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openxmlformats-officedocument.spreadsheetml.comments+xml" PartName="/xl/comments8.xml"/>
  <Override ContentType="application/vnd.openxmlformats-officedocument.spreadsheetml.comments+xml" PartName="/xl/comments9.xml"/>
  <Override ContentType="application/vnd.openxmlformats-officedocument.drawing+xml" PartName="/xl/drawings/drawing1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6.xml"/>
  <Override ContentType="application/vnd.openxmlformats-officedocument.spreadsheetml.externalLink+xml" PartName="/xl/externalLinks/externalLink7.xml"/>
  <Override ContentType="application/vnd.openxmlformats-officedocument.spreadsheetml.externalLink+xml" PartName="/xl/externalLinks/externalLink8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90" yWindow="285" windowWidth="11370" windowHeight="6105" tabRatio="790"/>
  </bookViews>
  <sheets>
    <sheet name="ImportantDisclosures" sheetId="38" r:id="rId1"/>
    <sheet name="Cover" sheetId="18" r:id="rId2"/>
    <sheet name="__FDSCACHE__" sheetId="19" state="veryHidden" r:id="rId3"/>
    <sheet name="Valuation" sheetId="2" r:id="rId4"/>
    <sheet name="Financial" sheetId="3" r:id="rId5"/>
    <sheet name="XEL" sheetId="4" r:id="rId6"/>
    <sheet name="NSP-MN" sheetId="5" r:id="rId7"/>
    <sheet name="PSCO" sheetId="7" r:id="rId8"/>
    <sheet name="SPS" sheetId="8" r:id="rId9"/>
    <sheet name="NSP-WI" sheetId="6" r:id="rId10"/>
    <sheet name="Parent" sheetId="9" r:id="rId11"/>
    <sheet name="Debt" sheetId="10" r:id="rId12"/>
    <sheet name="Chart Data" sheetId="20" r:id="rId13"/>
    <sheet name="MW-Cache" sheetId="17" state="hidden" r:id="rId14"/>
    <sheet name="Sheet1" sheetId="32" r:id="rId15"/>
    <sheet name="IndexInformation" sheetId="39" r:id="rId16"/>
    <sheet name="ModPubIndex" sheetId="40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_FDS_HYPERLINK_TOGGLE_STATE__" hidden="1">"ON"</definedName>
    <definedName name="__FDS_UNIQUE_RANGE_ID_GENERATOR_COUNTER" hidden="1">1</definedName>
    <definedName name="_1__FDSAUDITLINK__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0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7__FDSAUDITLINK__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8__FDSAUDITLINK__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__FDSAUDITLINK__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0__FDSAUDITLINK__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3__FDSAUDITLINK__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4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bdm.10830C3544764627871D4D9E0511F907.edm" hidden="1">'Chart Data'!$1:$1048576</definedName>
    <definedName name="_bdm.261112BAE8204F8280374C78A1E02552.edm" hidden="1" xml:space="preserve"> '[1]Capex Chart'!$A:$IV</definedName>
    <definedName name="_bdm.48BD514DC04A4AB4891E926213491EC9.edm" localSheetId="4">Financial!$A$5:$CI$65</definedName>
    <definedName name="_bdm.530488839E8A407C8F1C1B550BFC2836.edm" localSheetId="4">Financial!$A$5:$CI$63</definedName>
    <definedName name="_bdm.7264DC3258CD40029D96B7569D540AD9.edm" localSheetId="4">Financial!$A$5:$CI$65</definedName>
    <definedName name="_bdm.95D97703F0B44275930D649261210A38.edm" hidden="1">'[1]Capex Chart'!$A:$IV</definedName>
    <definedName name="_bdm.BB11A2CB11314C6E9BE7E6722D945EB9.edm" hidden="1">'[1]FCF-Div. Working Chart'!$A:$IV</definedName>
    <definedName name="_bdm.E967D92EDBF846E2B7B774FBF88F28E1.edm" localSheetId="4">Financial!$B$6:$CH$63</definedName>
    <definedName name="_bdm.F7E901476B1C4A78A8384B81CD6FDDBF.edm" hidden="1">'[1]MWA RR'!$A:$IV</definedName>
    <definedName name="_Order1">255</definedName>
    <definedName name="AdditionalInstructions">IndexInformation!$B$42</definedName>
    <definedName name="Address" localSheetId="0">ImportantDisclosures!$A$2:$A$2</definedName>
    <definedName name="ANA" localSheetId="16">ModPubIndex!$A$7</definedName>
    <definedName name="Analyst_Detail">'[3]Income Statement'!$O$1</definedName>
    <definedName name="anscount">1</definedName>
    <definedName name="Authors" localSheetId="0">ImportantDisclosures!$A$7</definedName>
    <definedName name="Authors" localSheetId="15">IndexInformation!$B$18</definedName>
    <definedName name="Average_Cost_of_Total_Debt">'[4]Fin Stats'!$B$59:$M$59</definedName>
    <definedName name="basept">Valuation!$BY$15</definedName>
    <definedName name="bearpt">Valuation!$BX$15</definedName>
    <definedName name="BRO" localSheetId="16">ModPubIndex!$A$1</definedName>
    <definedName name="bullpt">Valuation!$BZ$15</definedName>
    <definedName name="Capital_Expenditures">'[4]Fin Stats'!$B$111:$M$111</definedName>
    <definedName name="Cash_Flow">'[4]Fin Stats'!$B$113:$M$113</definedName>
    <definedName name="Cash_Flow_per_Share">'[4]Fin Stats'!$B$116:$M$116</definedName>
    <definedName name="CFO_Assets">'[4]Fin Stats'!$B$67:$M$67</definedName>
    <definedName name="CFO_Total_Debt">'[4]Fin Stats'!$B$78:$M$78</definedName>
    <definedName name="Common_equity">'[4]Fin Stats'!$B$38:$M$38</definedName>
    <definedName name="Company_Name">'[5]Income Statement'!$A$1</definedName>
    <definedName name="CopyrightStamp">ImportantDisclosures!$A$27</definedName>
    <definedName name="COU" localSheetId="16">ModPubIndex!$A$5</definedName>
    <definedName name="CQEnd" localSheetId="15">IndexInformation!$B$31</definedName>
    <definedName name="Currency" localSheetId="15">IndexInformation!$B$24</definedName>
    <definedName name="CurrentStockPrice" localSheetId="15">IndexInformation!$B$23</definedName>
    <definedName name="CurrQtrEPS" localSheetId="15">IndexInformation!$B$29</definedName>
    <definedName name="CurrYearEPS" localSheetId="15">IndexInformation!$B$11</definedName>
    <definedName name="CurrYearTotalRevenue" localSheetId="15">IndexInformation!$B$10</definedName>
    <definedName name="CurrYearTotalRevenueActual" localSheetId="15">IndexInformation!$B$32</definedName>
    <definedName name="CUSIP" localSheetId="15">IndexInformation!$B$20</definedName>
    <definedName name="CYEnd" localSheetId="15">IndexInformation!$B$30</definedName>
    <definedName name="dataseries4">OFFSET([6]c1!$G$12,0,0,COUNTA([6]c1!$G$12:$G$31),1)</definedName>
    <definedName name="Date" localSheetId="0">ImportantDisclosures!$A$8</definedName>
    <definedName name="Debt_Equity">'[4]Fin Stats'!$B$60:$M$60</definedName>
    <definedName name="Debt_Total_Capital">'[4]Fin Stats'!$B$61:$M$61</definedName>
    <definedName name="Deleted" localSheetId="15">IndexInformation!$B$27</definedName>
    <definedName name="Depreciation__D___A">'[4]Fin Stats'!$B$110:$M$110</definedName>
    <definedName name="Description" localSheetId="15">IndexInformation!$B$7</definedName>
    <definedName name="Discipline" localSheetId="15">IndexInformation!$B$3</definedName>
    <definedName name="DISCIPLINE" localSheetId="16">ModPubIndex!$A$12</definedName>
    <definedName name="DisclosuresText">ImportantDisclosures!$A$22</definedName>
    <definedName name="Distribution" localSheetId="15">IndexInformation!$B$26</definedName>
    <definedName name="DistTable" localSheetId="0">ImportantDisclosures!#REF!</definedName>
    <definedName name="DistTablePreamble" localSheetId="0">ImportantDisclosures!#REF!</definedName>
    <definedName name="Dividends_per_Share">'[4]Fin Stats'!$B$118:$M$118</definedName>
    <definedName name="DOCDAT" localSheetId="16">ModPubIndex!$A$2</definedName>
    <definedName name="DOCTIME" localSheetId="16">ModPubIndex!$A$3</definedName>
    <definedName name="DocType" localSheetId="15">IndexInformation!$B$5</definedName>
    <definedName name="Earnings">'[4]Fin Stats'!$B$106:$M$106</definedName>
    <definedName name="Earnings_per_Share">'[4]Fin Stats'!$B$107:$M$107</definedName>
    <definedName name="EBIT">'[4]Fin Stats'!$B$101:$M$101</definedName>
    <definedName name="EBIT_Assets">'[4]Fin Stats'!$B$66:$M$66</definedName>
    <definedName name="EBIT_Margin">'[4]Fin Stats'!$B$24:$M$24</definedName>
    <definedName name="EBIT_to_Interest_Expense">'[4]Fin Stats'!$B$45:$M$45</definedName>
    <definedName name="EBITDA">'[4]Fin Stats'!$B$100:$M$100</definedName>
    <definedName name="EBITDA_Interest">'[4]Fin Stats'!$B$75:$M$75</definedName>
    <definedName name="EMAIL_ALERT" localSheetId="16">ModPubIndex!$A$10</definedName>
    <definedName name="EmailAlert" localSheetId="15">IndexInformation!$B$28</definedName>
    <definedName name="Enterprise_Value">'[4]Fin Stats'!$B$57:$M$57</definedName>
    <definedName name="EPS">XEL!$N$63:$AL$63</definedName>
    <definedName name="Equity_to_Capital">'[4]Fin Stats'!$B$43:$M$43</definedName>
    <definedName name="ev.Calculation" hidden="1">-4105</definedName>
    <definedName name="ev.Initialized" hidden="1">FALSE</definedName>
    <definedName name="EV_EBITDA_Current_Year">'[4]Fin Stats'!$B$85:$M$85</definedName>
    <definedName name="EV_EBITDA_Forward_Year">'[4]Fin Stats'!$B$86:$M$86</definedName>
    <definedName name="EV_Sales_Current_Year">'[4]Fin Stats'!$B$82:$M$82</definedName>
    <definedName name="EV_Sales_Forward_Year">'[4]Fin Stats'!$B$83:$M$83</definedName>
    <definedName name="FFO_Coverage">'[4]Fin Stats'!$B$76:$M$76</definedName>
    <definedName name="FFO_Total_Debt">'[4]Fin Stats'!$B$77:$M$77</definedName>
    <definedName name="FiveYearGrowthRate" localSheetId="15">IndexInformation!$B$16</definedName>
    <definedName name="FollowingYearEPS" localSheetId="15">IndexInformation!$B$15</definedName>
    <definedName name="FollowingYearTotalRevenue" localSheetId="15">IndexInformation!$B$14</definedName>
    <definedName name="FollowingYearTotalRevenueActual" localSheetId="15">IndexInformation!$B$34</definedName>
    <definedName name="Free_Cash_Flow">'[4]Fin Stats'!$B$114:$M$114</definedName>
    <definedName name="GasPaste">[7]Gas!$D$7</definedName>
    <definedName name="Gross_Margin">'[4]Fin Stats'!$B$22:$M$22</definedName>
    <definedName name="Growth_ROIC" localSheetId="11">OFFSET(Debt!XRange,10,0)</definedName>
    <definedName name="Growth_ROIC" localSheetId="6">OFFSET('NSP-MN'!XRange,10,0)</definedName>
    <definedName name="Growth_ROIC" localSheetId="9">OFFSET('NSP-WI'!XRange,10,0)</definedName>
    <definedName name="Growth_ROIC" localSheetId="10">OFFSET(Parent!XRange,10,0)</definedName>
    <definedName name="Growth_ROIC" localSheetId="7">OFFSET(PSCO!XRange,10,0)</definedName>
    <definedName name="Growth_ROIC" localSheetId="8">OFFSET(SPS!XRange,10,0)</definedName>
    <definedName name="Growth_ROIC" localSheetId="3">OFFSET(Valuation!XRange,10,0)</definedName>
    <definedName name="Growth_ROIC">OFFSET([0]!XRange,10,0)</definedName>
    <definedName name="HL" localSheetId="16">ModPubIndex!$A$8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Img_ML_7g5e5e2b">"IMG_12"</definedName>
    <definedName name="IND" localSheetId="16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nterest_Expense">'[4]Fin Stats'!$B$103:$M$103</definedName>
    <definedName name="InvestCapGrowth" localSheetId="11">OFFSET(Debt!XRange2,4,0)</definedName>
    <definedName name="InvestCapGrowth" localSheetId="6">OFFSET('NSP-MN'!XRange2,4,0)</definedName>
    <definedName name="InvestCapGrowth" localSheetId="9">OFFSET('NSP-WI'!XRange2,4,0)</definedName>
    <definedName name="InvestCapGrowth" localSheetId="10">OFFSET(Parent!XRange2,4,0)</definedName>
    <definedName name="InvestCapGrowth" localSheetId="7">OFFSET(PSCO!XRange2,4,0)</definedName>
    <definedName name="InvestCapGrowth" localSheetId="8">OFFSET(SPS!XRange2,4,0)</definedName>
    <definedName name="InvestCapGrowth" localSheetId="3">OFFSET(Valuation!XRange2,4,0)</definedName>
    <definedName name="InvestCapGrowth">OFFSET([0]!XRange2,4,0)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DUSTRY_REC" hidden="1">"c4455"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EST_REUT" hidden="1">"c5453"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UM_EST" hidden="1">"c402"</definedName>
    <definedName name="IQ_EPS_NUM_EST_REUT" hidden="1">"c5451"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_TARGET_PRICE_REUT" hidden="1">"c5317"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MES_REVISION_DATE_" hidden="1">40521.6808449074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39177.4967361111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ShowHideColumns">"iQShowAll"</definedName>
    <definedName name="KeepVersions" localSheetId="15">IndexInformation!$B$8</definedName>
    <definedName name="LanguageCode">IndexInformation!$B$38</definedName>
    <definedName name="LastCell" localSheetId="0">ImportantDisclosures!$A$22</definedName>
    <definedName name="Linking_Range_1">Financial!$B$5:$DE$68</definedName>
    <definedName name="Linking_Range_2">Financial!$B$4:$DE$68</definedName>
    <definedName name="Long_term_debt">'[4]Fin Stats'!$B$36:$M$36</definedName>
    <definedName name="Long_term_Debt_to_Capital">'[4]Fin Stats'!$B$41:$M$41</definedName>
    <definedName name="MacroVersion" localSheetId="15">IndexInformation!$B$1</definedName>
    <definedName name="Market_Value">'[4]Fin Stats'!$B$56:$M$56</definedName>
    <definedName name="Minority_Interest">'[4]Fin Stats'!$B$53:$M$53</definedName>
    <definedName name="ModelPrice" localSheetId="0">ImportantDisclosures!$A$14</definedName>
    <definedName name="Multiplier" localSheetId="15">IndexInformation!$B$35</definedName>
    <definedName name="Net_Debt">'[4]Fin Stats'!$B$51:$M$51</definedName>
    <definedName name="Net_Income_Margin">'[4]Fin Stats'!$B$26:$M$26</definedName>
    <definedName name="NextYearEPS" localSheetId="15">IndexInformation!$B$13</definedName>
    <definedName name="NextYearTotalRevenue" localSheetId="15">IndexInformation!$B$12</definedName>
    <definedName name="NextYearTotalRevenueActual" localSheetId="15">IndexInformation!$B$33</definedName>
    <definedName name="NM">"NM"</definedName>
    <definedName name="ObjectType">IndexInformation!$B$37</definedName>
    <definedName name="Operating_Margin">'[4]Fin Stats'!$B$23:$M$23</definedName>
    <definedName name="OPkPaste">'[7]Off Peak'!$D$7</definedName>
    <definedName name="OpMargin" localSheetId="11">OFFSET(Debt!XRange2,5,0)</definedName>
    <definedName name="OpMargin" localSheetId="6">OFFSET('NSP-MN'!XRange2,5,0)</definedName>
    <definedName name="OpMargin" localSheetId="9">OFFSET('NSP-WI'!XRange2,5,0)</definedName>
    <definedName name="OpMargin" localSheetId="10">OFFSET(Parent!XRange2,5,0)</definedName>
    <definedName name="OpMargin" localSheetId="7">OFFSET(PSCO!XRange2,5,0)</definedName>
    <definedName name="OpMargin" localSheetId="8">OFFSET(SPS!XRange2,5,0)</definedName>
    <definedName name="OpMargin" localSheetId="3">OFFSET(Valuation!XRange2,5,0)</definedName>
    <definedName name="OpMargin">OFFSET([0]!XRange2,5,0)</definedName>
    <definedName name="PANA" localSheetId="16">ModPubIndex!$A$11</definedName>
    <definedName name="PathName" localSheetId="15">IndexInformation!$B$25</definedName>
    <definedName name="Payout_ratio">'[4]Fin Stats'!$B$119:$M$119</definedName>
    <definedName name="Phase1NPVFCF" localSheetId="11">OFFSET(Debt!XRange,39,0)</definedName>
    <definedName name="Phase1NPVFCF" localSheetId="6">OFFSET('NSP-MN'!XRange,39,0)</definedName>
    <definedName name="Phase1NPVFCF" localSheetId="9">OFFSET('NSP-WI'!XRange,39,0)</definedName>
    <definedName name="Phase1NPVFCF" localSheetId="10">OFFSET(Parent!XRange,39,0)</definedName>
    <definedName name="Phase1NPVFCF" localSheetId="7">OFFSET(PSCO!XRange,39,0)</definedName>
    <definedName name="Phase1NPVFCF" localSheetId="8">OFFSET(SPS!XRange,39,0)</definedName>
    <definedName name="Phase1NPVFCF" localSheetId="3">OFFSET(Valuation!XRange,39,0)</definedName>
    <definedName name="Phase1NPVFCF">OFFSET([0]!XRange,39,0)</definedName>
    <definedName name="Phase2NPVFCF" localSheetId="11">OFFSET(Debt!XRange,40,0)</definedName>
    <definedName name="Phase2NPVFCF" localSheetId="6">OFFSET('NSP-MN'!XRange,40,0)</definedName>
    <definedName name="Phase2NPVFCF" localSheetId="9">OFFSET('NSP-WI'!XRange,40,0)</definedName>
    <definedName name="Phase2NPVFCF" localSheetId="10">OFFSET(Parent!XRange,40,0)</definedName>
    <definedName name="Phase2NPVFCF" localSheetId="7">OFFSET(PSCO!XRange,40,0)</definedName>
    <definedName name="Phase2NPVFCF" localSheetId="8">OFFSET(SPS!XRange,40,0)</definedName>
    <definedName name="Phase2NPVFCF" localSheetId="3">OFFSET(Valuation!XRange,40,0)</definedName>
    <definedName name="Phase2NPVFCF">OFFSET([0]!XRange,40,0)</definedName>
    <definedName name="Phase3NPVFCF" localSheetId="11">OFFSET(Debt!XRange,41,0)</definedName>
    <definedName name="Phase3NPVFCF" localSheetId="6">OFFSET('NSP-MN'!XRange,41,0)</definedName>
    <definedName name="Phase3NPVFCF" localSheetId="9">OFFSET('NSP-WI'!XRange,41,0)</definedName>
    <definedName name="Phase3NPVFCF" localSheetId="10">OFFSET(Parent!XRange,41,0)</definedName>
    <definedName name="Phase3NPVFCF" localSheetId="7">OFFSET(PSCO!XRange,41,0)</definedName>
    <definedName name="Phase3NPVFCF" localSheetId="8">OFFSET(SPS!XRange,41,0)</definedName>
    <definedName name="Phase3NPVFCF" localSheetId="3">OFFSET(Valuation!XRange,41,0)</definedName>
    <definedName name="Phase3NPVFCF">OFFSET([0]!XRange,41,0)</definedName>
    <definedName name="PkPaste">[7]Peak!$D$7</definedName>
    <definedName name="Preferred_Equity">'[4]Fin Stats'!$B$52:$M$52</definedName>
    <definedName name="Preferred_stock">'[4]Fin Stats'!$B$37:$M$37</definedName>
    <definedName name="Preferred_to_Capital">'[4]Fin Stats'!$B$44:$M$44</definedName>
    <definedName name="Premium">Valuation!$BY$11</definedName>
    <definedName name="Pretax_Income">'[4]Fin Stats'!$B$104:$M$104</definedName>
    <definedName name="Pretax_Margin">'[4]Fin Stats'!$B$25:$M$25</definedName>
    <definedName name="Price_Book">'[4]Fin Stats'!$B$94:$M$94</definedName>
    <definedName name="Price_Cash_Flow">'[4]Fin Stats'!$B$88:$M$88</definedName>
    <definedName name="Price_Earnings">'[4]Fin Stats'!$B$91:$M$91</definedName>
    <definedName name="_xlnm.Print_Area" localSheetId="11">Debt!$A$1:$CP$81</definedName>
    <definedName name="_xlnm.Print_Area" localSheetId="4">Financial!$A$1:$DE$65</definedName>
    <definedName name="_xlnm.Print_Area" localSheetId="6">'NSP-MN'!$A$1:$BR$289</definedName>
    <definedName name="_xlnm.Print_Area" localSheetId="9">'NSP-WI'!$A$1:$BR$279</definedName>
    <definedName name="_xlnm.Print_Area" localSheetId="10">Parent!$A$1:$BR$47</definedName>
    <definedName name="_xlnm.Print_Area" localSheetId="7">PSCO!$A$1:$BR$283</definedName>
    <definedName name="_xlnm.Print_Area" localSheetId="8">SPS!$A$1:$BR$242</definedName>
    <definedName name="_xlnm.Print_Area" localSheetId="3">Valuation!$A$1:$CB$48</definedName>
    <definedName name="_xlnm.Print_Area" localSheetId="5">XEL!$B$2:$AM$65</definedName>
    <definedName name="_xlnm.Print_Area">"Formula removed, name can be deleted."</definedName>
    <definedName name="_xlnm.Print_Titles">"Formula removed, name can be deleted."</definedName>
    <definedName name="PRODUCT" localSheetId="16">ModPubIndex!$A$6</definedName>
    <definedName name="ProjectName" localSheetId="12">{"Cereva Networks, Inc"}</definedName>
    <definedName name="ProjectName" localSheetId="11">{"Client Name or Project Name"}</definedName>
    <definedName name="ProjectName" localSheetId="6">{"Client Name or Project Name"}</definedName>
    <definedName name="ProjectName" localSheetId="9">{"Client Name or Project Name"}</definedName>
    <definedName name="ProjectName" localSheetId="10">{"Client Name or Project Name"}</definedName>
    <definedName name="ProjectName" localSheetId="7">{"Client Name or Project Name"}</definedName>
    <definedName name="ProjectName" localSheetId="8">{"Client Name or Project Name"}</definedName>
    <definedName name="ProjectName" localSheetId="3">{"Client Name or Project Name"}</definedName>
    <definedName name="ProjectName">{"Client Name or Project Name"}</definedName>
    <definedName name="ProjectName_1" localSheetId="12">{"Client Name or Project Name"}</definedName>
    <definedName name="ProjectName_1" localSheetId="11">{"Client Name or Project Name"}</definedName>
    <definedName name="ProjectName_1" localSheetId="6">{"Client Name or Project Name"}</definedName>
    <definedName name="ProjectName_1" localSheetId="9">{"Client Name or Project Name"}</definedName>
    <definedName name="ProjectName_1" localSheetId="7">{"Client Name or Project Name"}</definedName>
    <definedName name="ProjectName_1" localSheetId="8">{"Client Name or Project Name"}</definedName>
    <definedName name="ProjectName_1">{"Client Name or Project Name"}</definedName>
    <definedName name="PSYM" localSheetId="16">ModPubIndex!$A$4</definedName>
    <definedName name="PublishDate" localSheetId="15">IndexInformation!$B$2</definedName>
    <definedName name="Rate_Case_2004">'[4]Income Statement'!$K$1</definedName>
    <definedName name="Rate_Case_2005">'[4]Income Statement'!$K$2</definedName>
    <definedName name="Rating" localSheetId="15">IndexInformation!$B$9</definedName>
    <definedName name="RatingsDefined" localSheetId="0">ImportantDisclosures!$A$21</definedName>
    <definedName name="RatingsDefs" localSheetId="0">ImportantDisclosures!#REF!</definedName>
    <definedName name="RCF_Total_Debt">'[4]Fin Stats'!$B$79:$M$79</definedName>
    <definedName name="RegACDisclosure" localSheetId="0">ImportantDisclosures!#REF!</definedName>
    <definedName name="RegPct">Financial!$D$10</definedName>
    <definedName name="Rem_Bus_ROIC" localSheetId="11">OFFSET(Debt!XRange,11,0)</definedName>
    <definedName name="Rem_Bus_ROIC" localSheetId="6">OFFSET('NSP-MN'!XRange,11,0)</definedName>
    <definedName name="Rem_Bus_ROIC" localSheetId="9">OFFSET('NSP-WI'!XRange,11,0)</definedName>
    <definedName name="Rem_Bus_ROIC" localSheetId="10">OFFSET(Parent!XRange,11,0)</definedName>
    <definedName name="Rem_Bus_ROIC" localSheetId="7">OFFSET(PSCO!XRange,11,0)</definedName>
    <definedName name="Rem_Bus_ROIC" localSheetId="8">OFFSET(SPS!XRange,11,0)</definedName>
    <definedName name="Rem_Bus_ROIC" localSheetId="3">OFFSET(Valuation!XRange,11,0)</definedName>
    <definedName name="Rem_Bus_ROIC">OFFSET([0]!XRange,11,0)</definedName>
    <definedName name="ResearchTopic" localSheetId="15">IndexInformation!$B$4</definedName>
    <definedName name="Return_on_Assets">'[4]Fin Stats'!$B$29:$M$29</definedName>
    <definedName name="Return_on_Equity">'[4]Fin Stats'!$B$30:$M$30</definedName>
    <definedName name="Return_on_Invested_Capital">'[4]Fin Stats'!$B$31:$M$31</definedName>
    <definedName name="Return_Relative_to_S_P_500">'[4]Fin Stats'!$B$133:$M$133</definedName>
    <definedName name="Revenues">'[4]Fin Stats'!$B$99:$M$99</definedName>
    <definedName name="RIC" localSheetId="15">IndexInformation!$B$21</definedName>
    <definedName name="SECSettlement" localSheetId="0">ImportantDisclosures!#REF!</definedName>
    <definedName name="SEDOL" localSheetId="15">IndexInformation!$B$22</definedName>
    <definedName name="Shareholder_Return">'[4]Fin Stats'!$B$32:$M$32</definedName>
    <definedName name="SharePrice">'[2]Valuation Summary'!$BO$11</definedName>
    <definedName name="Shares_Outstanding">'[4]Fin Stats'!$B$54:$M$54</definedName>
    <definedName name="Short_term_debt">'[4]Fin Stats'!$B$35:$M$35</definedName>
    <definedName name="SO">Financial!$AH$34</definedName>
    <definedName name="SourceDefined" localSheetId="0">ImportantDisclosures!$A$19</definedName>
    <definedName name="SPWS_WBID">"AB974E08-D2D4-47A3-BC27-DEDF1C76035D"</definedName>
    <definedName name="StockRating" localSheetId="0">ImportantDisclosures!$A$11</definedName>
    <definedName name="SubjectCode" localSheetId="15">IndexInformation!$B$6</definedName>
    <definedName name="SubmitterUserId">IndexInformation!$B$39</definedName>
    <definedName name="Subs">Financial!$C$10</definedName>
    <definedName name="SUPPRESSED" localSheetId="16">ModPubIndex!$A$13</definedName>
    <definedName name="TargetPrice" localSheetId="0">ImportantDisclosures!$A$15</definedName>
    <definedName name="Tax">'[2]Valuation Summary'!$BO$8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15">IndexInformation!$B$19</definedName>
    <definedName name="Total_Bus_ROIC" localSheetId="11">OFFSET(Debt!XRange,12,0)</definedName>
    <definedName name="Total_Bus_ROIC" localSheetId="6">OFFSET('NSP-MN'!XRange,12,0)</definedName>
    <definedName name="Total_Bus_ROIC" localSheetId="9">OFFSET('NSP-WI'!XRange,12,0)</definedName>
    <definedName name="Total_Bus_ROIC" localSheetId="10">OFFSET(Parent!XRange,12,0)</definedName>
    <definedName name="Total_Bus_ROIC" localSheetId="7">OFFSET(PSCO!XRange,12,0)</definedName>
    <definedName name="Total_Bus_ROIC" localSheetId="8">OFFSET(SPS!XRange,12,0)</definedName>
    <definedName name="Total_Bus_ROIC" localSheetId="3">OFFSET(Valuation!XRange,12,0)</definedName>
    <definedName name="Total_Bus_ROIC">OFFSET([0]!XRange,12,0)</definedName>
    <definedName name="Total_Capital">'[4]Fin Stats'!$B$39:$M$39</definedName>
    <definedName name="Total_Debt_EBITDA">'[4]Fin Stats'!$B$74:$M$74</definedName>
    <definedName name="Total_Debt_Outstanding">'[4]Fin Stats'!$B$50:$M$50</definedName>
    <definedName name="Total_Debt_to_Capital">'[4]Fin Stats'!$B$42:$M$42</definedName>
    <definedName name="Total_Debt_Total_Market_Cap">'[4]Fin Stats'!$B$62:$M$62</definedName>
    <definedName name="trc_XLS_DATASHEET_ProtectDate">36879.7503587963</definedName>
    <definedName name="trc_XLS_DATASHEET_ProtectDate_1">36879.7503587963</definedName>
    <definedName name="Update_This">[8]!Update_This</definedName>
    <definedName name="UpdateReason" localSheetId="15">IndexInformation!$B$17</definedName>
    <definedName name="USRegDisclosures" localSheetId="0">ImportantDisclosures!#REF!</definedName>
    <definedName name="UtilityEPS">Valuation!$BY$8</definedName>
    <definedName name="UtilityPE">Valuation!$BY$10</definedName>
    <definedName name="Version">"June 29, 2004"</definedName>
    <definedName name="WACC" localSheetId="11">OFFSET(Debt!XRange,13,0)</definedName>
    <definedName name="WACC" localSheetId="6">OFFSET('NSP-MN'!XRange,13,0)</definedName>
    <definedName name="WACC" localSheetId="9">OFFSET('NSP-WI'!XRange,13,0)</definedName>
    <definedName name="WACC" localSheetId="10">OFFSET(Parent!XRange,13,0)</definedName>
    <definedName name="WACC" localSheetId="7">OFFSET(PSCO!XRange,13,0)</definedName>
    <definedName name="WACC" localSheetId="8">OFFSET(SPS!XRange,13,0)</definedName>
    <definedName name="WACC" localSheetId="3">OFFSET(Valuation!XRange,13,0)</definedName>
    <definedName name="WACC">OFFSET([0]!XRange,13,0)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Year_End_Market_Price">'[4]Fin Stats'!$B$55:$M$55</definedName>
  </definedNames>
  <calcPr calcId="145621" calcMode="manual" iterate="1"/>
</workbook>
</file>

<file path=xl/calcChain.xml><?xml version="1.0" encoding="utf-8"?>
<calcChain xmlns="http://schemas.openxmlformats.org/spreadsheetml/2006/main">
  <c r="BC124" i="8" l="1"/>
  <c r="BB54" i="8"/>
  <c r="AW74" i="6"/>
  <c r="BN63" i="7"/>
  <c r="BM63" i="7"/>
  <c r="BK63" i="7"/>
  <c r="BJ63" i="7"/>
  <c r="BF63" i="7"/>
  <c r="BE63" i="7"/>
  <c r="BB266" i="6"/>
  <c r="BG266" i="6" s="1"/>
  <c r="BL266" i="6" s="1"/>
  <c r="BQ266" i="6" s="1"/>
  <c r="AW266" i="6"/>
  <c r="AW230" i="8"/>
  <c r="BB230" i="8" s="1"/>
  <c r="BG230" i="8" s="1"/>
  <c r="BL230" i="8" s="1"/>
  <c r="BQ230" i="8" s="1"/>
  <c r="AW270" i="7"/>
  <c r="BB270" i="7" s="1"/>
  <c r="BG270" i="7" s="1"/>
  <c r="BL270" i="7" s="1"/>
  <c r="BQ270" i="7" s="1"/>
  <c r="BB276" i="5"/>
  <c r="BG276" i="5" s="1"/>
  <c r="BL276" i="5" s="1"/>
  <c r="BQ276" i="5" s="1"/>
  <c r="BB269" i="7"/>
  <c r="BG269" i="7" s="1"/>
  <c r="BL269" i="7" s="1"/>
  <c r="BQ269" i="7" s="1"/>
  <c r="AW269" i="7"/>
  <c r="AH264" i="7"/>
  <c r="AH263" i="7"/>
  <c r="AH262" i="7"/>
  <c r="AH261" i="7"/>
  <c r="AH266" i="7" s="1"/>
  <c r="BQ277" i="7"/>
  <c r="BQ273" i="7"/>
  <c r="BA63" i="6"/>
  <c r="AZ63" i="6"/>
  <c r="AY63" i="6"/>
  <c r="AX63" i="6"/>
  <c r="BF102" i="6"/>
  <c r="BE102" i="6"/>
  <c r="BD102" i="6"/>
  <c r="BC102" i="6"/>
  <c r="BG102" i="6" s="1"/>
  <c r="BA55" i="8"/>
  <c r="AZ55" i="8"/>
  <c r="AY55" i="8"/>
  <c r="AX55" i="8"/>
  <c r="BF93" i="8"/>
  <c r="BE93" i="8"/>
  <c r="BD93" i="8"/>
  <c r="BC93" i="8"/>
  <c r="BG93" i="8" s="1"/>
  <c r="BQ56" i="8"/>
  <c r="BA65" i="7"/>
  <c r="AZ65" i="7"/>
  <c r="AY65" i="7"/>
  <c r="AX65" i="7"/>
  <c r="BQ68" i="7"/>
  <c r="BQ67" i="7"/>
  <c r="BQ63" i="7"/>
  <c r="BA65" i="5"/>
  <c r="AZ65" i="5"/>
  <c r="AY65" i="5"/>
  <c r="AX65" i="5"/>
  <c r="BN63" i="6"/>
  <c r="BP63" i="6"/>
  <c r="BO63" i="6"/>
  <c r="BM63" i="6"/>
  <c r="BK63" i="6"/>
  <c r="BJ63" i="6"/>
  <c r="BI63" i="6"/>
  <c r="BH63" i="6"/>
  <c r="BF63" i="6"/>
  <c r="BE63" i="6"/>
  <c r="BD63" i="6"/>
  <c r="BC63" i="6"/>
  <c r="BO55" i="8"/>
  <c r="BP55" i="8"/>
  <c r="BK55" i="8"/>
  <c r="BJ55" i="8"/>
  <c r="BI55" i="8"/>
  <c r="BH55" i="8"/>
  <c r="BF55" i="8"/>
  <c r="BE55" i="8"/>
  <c r="BD55" i="8"/>
  <c r="BC55" i="8"/>
  <c r="BP65" i="7"/>
  <c r="BO65" i="7"/>
  <c r="BN65" i="7"/>
  <c r="BM65" i="7"/>
  <c r="BK65" i="7"/>
  <c r="BJ65" i="7"/>
  <c r="BI65" i="7"/>
  <c r="BH65" i="7"/>
  <c r="BF65" i="7"/>
  <c r="BE65" i="7"/>
  <c r="BD65" i="7"/>
  <c r="BC65" i="7"/>
  <c r="BN65" i="5"/>
  <c r="BP65" i="5"/>
  <c r="BO65" i="5"/>
  <c r="BM65" i="5"/>
  <c r="BK65" i="5"/>
  <c r="BJ65" i="5"/>
  <c r="BI65" i="5"/>
  <c r="BH65" i="5"/>
  <c r="BF65" i="5"/>
  <c r="BE65" i="5"/>
  <c r="BD65" i="5"/>
  <c r="BC65" i="5"/>
  <c r="BM55" i="8" l="1"/>
  <c r="BN55" i="8"/>
  <c r="BL15" i="2"/>
  <c r="BQ47" i="2"/>
  <c r="BL47" i="2"/>
  <c r="BG47" i="2"/>
  <c r="BB47" i="2"/>
  <c r="AW47" i="2"/>
  <c r="AR47" i="2"/>
  <c r="AM47" i="2"/>
  <c r="AH47" i="2"/>
  <c r="AC47" i="2"/>
  <c r="X47" i="2"/>
  <c r="BQ44" i="2"/>
  <c r="BL44" i="2"/>
  <c r="BG44" i="2"/>
  <c r="AW45" i="2"/>
  <c r="AV45" i="2"/>
  <c r="AU45" i="2"/>
  <c r="AT45" i="2"/>
  <c r="AS45" i="2"/>
  <c r="AR45" i="2"/>
  <c r="AQ45" i="2"/>
  <c r="AP45" i="2"/>
  <c r="AO45" i="2"/>
  <c r="AN45" i="2"/>
  <c r="AM45" i="2"/>
  <c r="AL45" i="2"/>
  <c r="AK45" i="2"/>
  <c r="AJ45" i="2"/>
  <c r="AI45" i="2"/>
  <c r="AH45" i="2"/>
  <c r="AG45" i="2"/>
  <c r="AF45" i="2"/>
  <c r="AE45" i="2"/>
  <c r="AD45" i="2"/>
  <c r="AC45" i="2"/>
  <c r="X45" i="2"/>
  <c r="X44" i="2"/>
  <c r="BB44" i="2"/>
  <c r="AW44" i="2"/>
  <c r="AR44" i="2"/>
  <c r="AM44" i="2"/>
  <c r="AH44" i="2"/>
  <c r="AC44" i="2"/>
  <c r="CD43" i="2"/>
  <c r="CG42" i="2"/>
  <c r="CF42" i="2"/>
  <c r="CE42" i="2"/>
  <c r="CD42" i="2"/>
  <c r="CC42" i="2"/>
  <c r="CB42" i="2"/>
  <c r="CA42" i="2"/>
  <c r="CE41" i="2"/>
  <c r="CD41" i="2"/>
  <c r="CC41" i="2"/>
  <c r="CC43" i="2" s="1"/>
  <c r="BQ41" i="2"/>
  <c r="BL41" i="2"/>
  <c r="BG41" i="2"/>
  <c r="BB41" i="2"/>
  <c r="AW41" i="2"/>
  <c r="AR41" i="2"/>
  <c r="AM41" i="2"/>
  <c r="AH41" i="2"/>
  <c r="AC41" i="2"/>
  <c r="X41" i="2"/>
  <c r="BW38" i="2"/>
  <c r="AW39" i="2"/>
  <c r="AW38" i="2"/>
  <c r="AR39" i="2"/>
  <c r="AR38" i="2"/>
  <c r="AM39" i="2"/>
  <c r="AM38" i="2"/>
  <c r="AH39" i="2"/>
  <c r="AH38" i="2"/>
  <c r="AC39" i="2"/>
  <c r="AC38" i="2"/>
  <c r="X39" i="2"/>
  <c r="X38" i="2"/>
  <c r="CC38" i="2"/>
  <c r="CB38" i="2"/>
  <c r="CA38" i="2"/>
  <c r="BZ38" i="2"/>
  <c r="BY38" i="2"/>
  <c r="BL35" i="2"/>
  <c r="BG35" i="2"/>
  <c r="BB35" i="2"/>
  <c r="AM32" i="2"/>
  <c r="AH32" i="2"/>
  <c r="AC32" i="2"/>
  <c r="X32" i="2"/>
  <c r="BQ29" i="2"/>
  <c r="BL29" i="2"/>
  <c r="BG29" i="2"/>
  <c r="BB29" i="2"/>
  <c r="BL26" i="2"/>
  <c r="BG26" i="2"/>
  <c r="BB26" i="2"/>
  <c r="AW27" i="2"/>
  <c r="AW26" i="2"/>
  <c r="AR27" i="2"/>
  <c r="AR26" i="2"/>
  <c r="AM27" i="2"/>
  <c r="AM26" i="2"/>
  <c r="AH27" i="2"/>
  <c r="AH26" i="2"/>
  <c r="AC27" i="2"/>
  <c r="AC26" i="2"/>
  <c r="X27" i="2"/>
  <c r="X26" i="2"/>
  <c r="DF30" i="2"/>
  <c r="DA30" i="2"/>
  <c r="DB30" i="2" s="1"/>
  <c r="DF29" i="2"/>
  <c r="DB29" i="2"/>
  <c r="DA29" i="2"/>
  <c r="DF28" i="2"/>
  <c r="DC28" i="2" s="1"/>
  <c r="DD28" i="2" s="1"/>
  <c r="DA28" i="2"/>
  <c r="DB28" i="2" s="1"/>
  <c r="DF27" i="2"/>
  <c r="DB27" i="2"/>
  <c r="DA27" i="2"/>
  <c r="DF26" i="2"/>
  <c r="DA26" i="2"/>
  <c r="DB26" i="2" s="1"/>
  <c r="DF25" i="2"/>
  <c r="DB25" i="2"/>
  <c r="DA25" i="2"/>
  <c r="CE43" i="2" l="1"/>
  <c r="DC30" i="2"/>
  <c r="DD30" i="2" s="1"/>
  <c r="DB31" i="2"/>
  <c r="DC26" i="2"/>
  <c r="DD26" i="2" s="1"/>
  <c r="DE29" i="2"/>
  <c r="DC25" i="2"/>
  <c r="DD25" i="2" s="1"/>
  <c r="DE26" i="2"/>
  <c r="DC27" i="2"/>
  <c r="DE28" i="2"/>
  <c r="DC29" i="2"/>
  <c r="DE30" i="2"/>
  <c r="DD27" i="2"/>
  <c r="DE27" i="2" s="1"/>
  <c r="DD29" i="2"/>
  <c r="CM12" i="2"/>
  <c r="BG15" i="2"/>
  <c r="BB15" i="2" s="1"/>
  <c r="AW15" i="2" s="1"/>
  <c r="AR15" i="2" s="1"/>
  <c r="AM15" i="2" s="1"/>
  <c r="BG12" i="2"/>
  <c r="BB12" i="2"/>
  <c r="AW12" i="2"/>
  <c r="AR12" i="2"/>
  <c r="CM10" i="2"/>
  <c r="CM9" i="2"/>
  <c r="BZ10" i="2"/>
  <c r="BZ12" i="2" s="1"/>
  <c r="BY10" i="2"/>
  <c r="BY12" i="2" s="1"/>
  <c r="BX10" i="2"/>
  <c r="BX12" i="2" s="1"/>
  <c r="BL10" i="2"/>
  <c r="CF41" i="2" s="1"/>
  <c r="CF43" i="2" s="1"/>
  <c r="AR10" i="2"/>
  <c r="CB41" i="2" s="1"/>
  <c r="CB43" i="2" s="1"/>
  <c r="AM10" i="2"/>
  <c r="CA41" i="2" s="1"/>
  <c r="CA43" i="2" s="1"/>
  <c r="B2" i="2"/>
  <c r="BQ10" i="2" l="1"/>
  <c r="CG41" i="2" s="1"/>
  <c r="CG43" i="2" s="1"/>
  <c r="BY17" i="2"/>
  <c r="BX17" i="2"/>
  <c r="BZ17" i="2"/>
  <c r="DD31" i="2"/>
  <c r="DE25" i="2"/>
  <c r="DE31" i="2" s="1"/>
  <c r="AM12" i="2"/>
  <c r="BQ12" i="2"/>
  <c r="BL12" i="2"/>
  <c r="CG46" i="2"/>
  <c r="CC46" i="2"/>
  <c r="CF46" i="2"/>
  <c r="CB46" i="2"/>
  <c r="CE46" i="2"/>
  <c r="CA46" i="2"/>
  <c r="CD46" i="2"/>
  <c r="DC31" i="2"/>
  <c r="DN21" i="10"/>
  <c r="DM21" i="10"/>
  <c r="DL21" i="10"/>
  <c r="DK21" i="10"/>
  <c r="DI21" i="10"/>
  <c r="DH21" i="10"/>
  <c r="DG21" i="10"/>
  <c r="DF21" i="10"/>
  <c r="DD21" i="10"/>
  <c r="DC21" i="10"/>
  <c r="DB21" i="10"/>
  <c r="DA21" i="10"/>
  <c r="CY21" i="10"/>
  <c r="CX21" i="10"/>
  <c r="CW21" i="10"/>
  <c r="CV21" i="10"/>
  <c r="CT21" i="10"/>
  <c r="CS21" i="10"/>
  <c r="CR21" i="10"/>
  <c r="CQ21" i="10"/>
  <c r="CO21" i="10"/>
  <c r="CN21" i="10"/>
  <c r="CM21" i="10"/>
  <c r="CL21" i="10"/>
  <c r="CJ21" i="10"/>
  <c r="CI21" i="10"/>
  <c r="CH21" i="10"/>
  <c r="CG21" i="10"/>
  <c r="CE21" i="10"/>
  <c r="CD21" i="10"/>
  <c r="CC21" i="10"/>
  <c r="CB21" i="10"/>
  <c r="BZ21" i="10"/>
  <c r="BY21" i="10"/>
  <c r="BX21" i="10"/>
  <c r="BW21" i="10"/>
  <c r="BU21" i="10"/>
  <c r="BT21" i="10"/>
  <c r="BS21" i="10"/>
  <c r="BR21" i="10"/>
  <c r="BQ21" i="10"/>
  <c r="BV21" i="10" s="1"/>
  <c r="CA21" i="10" s="1"/>
  <c r="CF21" i="10" s="1"/>
  <c r="CK21" i="10" s="1"/>
  <c r="CP21" i="10" s="1"/>
  <c r="CU21" i="10" s="1"/>
  <c r="CZ21" i="10" s="1"/>
  <c r="DE21" i="10" s="1"/>
  <c r="DJ21" i="10" s="1"/>
  <c r="DO21" i="10" s="1"/>
  <c r="DT21" i="10" s="1"/>
  <c r="BO21" i="10"/>
  <c r="BN21" i="10" s="1"/>
  <c r="BM21" i="10"/>
  <c r="BK21" i="10"/>
  <c r="BJ21" i="10"/>
  <c r="BI21" i="10"/>
  <c r="BH21" i="10"/>
  <c r="BG21" i="10"/>
  <c r="BF21" i="10"/>
  <c r="BE21" i="10"/>
  <c r="BD21" i="10" s="1"/>
  <c r="BC21" i="10"/>
  <c r="BA21" i="10"/>
  <c r="AZ21" i="10"/>
  <c r="AY21" i="10"/>
  <c r="AX21" i="10"/>
  <c r="AW21" i="10"/>
  <c r="AV21" i="10"/>
  <c r="AU21" i="10"/>
  <c r="AT21" i="10" s="1"/>
  <c r="AS21" i="10"/>
  <c r="AQ21" i="10"/>
  <c r="AP21" i="10"/>
  <c r="AO21" i="10"/>
  <c r="AN21" i="10"/>
  <c r="AM21" i="10"/>
  <c r="AL21" i="10"/>
  <c r="AK21" i="10"/>
  <c r="AJ21" i="10" s="1"/>
  <c r="AI21" i="10"/>
  <c r="AG21" i="10"/>
  <c r="AF21" i="10"/>
  <c r="AE21" i="10"/>
  <c r="AD21" i="10"/>
  <c r="AC21" i="10"/>
  <c r="AB21" i="10"/>
  <c r="AA21" i="10"/>
  <c r="Z21" i="10" s="1"/>
  <c r="Y21" i="10"/>
  <c r="W21" i="10"/>
  <c r="V21" i="10"/>
  <c r="U21" i="10"/>
  <c r="T21" i="10"/>
  <c r="S21" i="10"/>
  <c r="R21" i="10"/>
  <c r="Q21" i="10"/>
  <c r="P21" i="10" s="1"/>
  <c r="O21" i="10"/>
  <c r="M21" i="10"/>
  <c r="L21" i="10"/>
  <c r="EI55" i="3"/>
  <c r="EI54" i="3"/>
  <c r="E163" i="10"/>
  <c r="BO163" i="10" s="1"/>
  <c r="DI163" i="10"/>
  <c r="DH163" i="10"/>
  <c r="DG163" i="10"/>
  <c r="DF163" i="10"/>
  <c r="DD163" i="10"/>
  <c r="DC163" i="10"/>
  <c r="DB163" i="10"/>
  <c r="DA163" i="10"/>
  <c r="CY163" i="10"/>
  <c r="CX163" i="10"/>
  <c r="CW163" i="10"/>
  <c r="CV163" i="10"/>
  <c r="CT163" i="10"/>
  <c r="CS163" i="10"/>
  <c r="CR163" i="10"/>
  <c r="CQ163" i="10"/>
  <c r="CO163" i="10"/>
  <c r="CN163" i="10"/>
  <c r="CM163" i="10"/>
  <c r="CL163" i="10"/>
  <c r="CJ163" i="10"/>
  <c r="CI163" i="10"/>
  <c r="CH163" i="10"/>
  <c r="CG163" i="10"/>
  <c r="CE163" i="10"/>
  <c r="CD163" i="10"/>
  <c r="CC163" i="10"/>
  <c r="CB163" i="10"/>
  <c r="BZ163" i="10"/>
  <c r="BY163" i="10"/>
  <c r="BX163" i="10"/>
  <c r="BW163" i="10"/>
  <c r="BU163" i="10"/>
  <c r="BT163" i="10"/>
  <c r="BS163" i="10"/>
  <c r="BR163" i="10"/>
  <c r="BQ163" i="10"/>
  <c r="BV163" i="10" s="1"/>
  <c r="CA163" i="10" s="1"/>
  <c r="CF163" i="10" s="1"/>
  <c r="CK163" i="10" s="1"/>
  <c r="CP163" i="10" s="1"/>
  <c r="CU163" i="10" s="1"/>
  <c r="CZ163" i="10" s="1"/>
  <c r="DE163" i="10" s="1"/>
  <c r="DJ163" i="10" s="1"/>
  <c r="BE163" i="10"/>
  <c r="BD163" i="10" s="1"/>
  <c r="AZ163" i="10"/>
  <c r="AY163" i="10" s="1"/>
  <c r="AX163" i="10"/>
  <c r="AV163" i="10"/>
  <c r="AU163" i="10"/>
  <c r="AT163" i="10" s="1"/>
  <c r="AP163" i="10"/>
  <c r="AO163" i="10" s="1"/>
  <c r="AK163" i="10"/>
  <c r="AJ163" i="10" s="1"/>
  <c r="AF163" i="10"/>
  <c r="AC163" i="10" s="1"/>
  <c r="AA163" i="10"/>
  <c r="Z163" i="10" s="1"/>
  <c r="V163" i="10"/>
  <c r="U163" i="10" s="1"/>
  <c r="Q163" i="10"/>
  <c r="P163" i="10" s="1"/>
  <c r="L163" i="10"/>
  <c r="DI137" i="10"/>
  <c r="DH137" i="10"/>
  <c r="DG137" i="10"/>
  <c r="DF137" i="10"/>
  <c r="DD137" i="10"/>
  <c r="DC137" i="10"/>
  <c r="DB137" i="10"/>
  <c r="DA137" i="10"/>
  <c r="CY137" i="10"/>
  <c r="CX137" i="10"/>
  <c r="CW137" i="10"/>
  <c r="CV137" i="10"/>
  <c r="CT137" i="10"/>
  <c r="CS137" i="10"/>
  <c r="CR137" i="10"/>
  <c r="CQ137" i="10"/>
  <c r="CO137" i="10"/>
  <c r="CN137" i="10"/>
  <c r="CM137" i="10"/>
  <c r="CL137" i="10"/>
  <c r="CJ137" i="10"/>
  <c r="CI137" i="10"/>
  <c r="CH137" i="10"/>
  <c r="CG137" i="10"/>
  <c r="CE137" i="10"/>
  <c r="CD137" i="10"/>
  <c r="CC137" i="10"/>
  <c r="CB137" i="10"/>
  <c r="BZ137" i="10"/>
  <c r="BY137" i="10"/>
  <c r="BX137" i="10"/>
  <c r="BW137" i="10"/>
  <c r="BU137" i="10"/>
  <c r="BT137" i="10"/>
  <c r="BS137" i="10"/>
  <c r="BR137" i="10"/>
  <c r="BQ137" i="10"/>
  <c r="BV137" i="10" s="1"/>
  <c r="CA137" i="10" s="1"/>
  <c r="CF137" i="10" s="1"/>
  <c r="CK137" i="10" s="1"/>
  <c r="CP137" i="10" s="1"/>
  <c r="CU137" i="10" s="1"/>
  <c r="CZ137" i="10" s="1"/>
  <c r="DE137" i="10" s="1"/>
  <c r="DJ137" i="10" s="1"/>
  <c r="BE137" i="10"/>
  <c r="BD137" i="10" s="1"/>
  <c r="AZ137" i="10"/>
  <c r="AY137" i="10" s="1"/>
  <c r="AU137" i="10"/>
  <c r="AT137" i="10" s="1"/>
  <c r="AP137" i="10"/>
  <c r="AO137" i="10" s="1"/>
  <c r="AK137" i="10"/>
  <c r="AJ137" i="10" s="1"/>
  <c r="AF137" i="10"/>
  <c r="AE137" i="10" s="1"/>
  <c r="AA137" i="10"/>
  <c r="Z137" i="10" s="1"/>
  <c r="V137" i="10"/>
  <c r="U137" i="10" s="1"/>
  <c r="Q137" i="10"/>
  <c r="P137" i="10" s="1"/>
  <c r="L137" i="10"/>
  <c r="DI101" i="10"/>
  <c r="DH101" i="10"/>
  <c r="DG101" i="10"/>
  <c r="DF101" i="10"/>
  <c r="DD101" i="10"/>
  <c r="DC101" i="10"/>
  <c r="DB101" i="10"/>
  <c r="DA101" i="10"/>
  <c r="CY101" i="10"/>
  <c r="CX101" i="10"/>
  <c r="CW101" i="10"/>
  <c r="CV101" i="10"/>
  <c r="CT101" i="10"/>
  <c r="CS101" i="10"/>
  <c r="CR101" i="10"/>
  <c r="CQ101" i="10"/>
  <c r="CO101" i="10"/>
  <c r="CN101" i="10"/>
  <c r="CM101" i="10"/>
  <c r="CL101" i="10"/>
  <c r="CJ101" i="10"/>
  <c r="CI101" i="10"/>
  <c r="CH101" i="10"/>
  <c r="CG101" i="10"/>
  <c r="CE101" i="10"/>
  <c r="CD101" i="10"/>
  <c r="CC101" i="10"/>
  <c r="CB101" i="10"/>
  <c r="BZ101" i="10"/>
  <c r="BY101" i="10"/>
  <c r="BX101" i="10"/>
  <c r="BW101" i="10"/>
  <c r="BU101" i="10"/>
  <c r="BT101" i="10"/>
  <c r="BS101" i="10"/>
  <c r="BR101" i="10"/>
  <c r="BQ101" i="10"/>
  <c r="BV101" i="10" s="1"/>
  <c r="CA101" i="10" s="1"/>
  <c r="CF101" i="10" s="1"/>
  <c r="CK101" i="10" s="1"/>
  <c r="CP101" i="10" s="1"/>
  <c r="CU101" i="10" s="1"/>
  <c r="CZ101" i="10" s="1"/>
  <c r="DE101" i="10" s="1"/>
  <c r="DJ101" i="10" s="1"/>
  <c r="BE101" i="10"/>
  <c r="BD101" i="10" s="1"/>
  <c r="AZ101" i="10"/>
  <c r="AY101" i="10" s="1"/>
  <c r="AU101" i="10"/>
  <c r="AT101" i="10" s="1"/>
  <c r="AP101" i="10"/>
  <c r="AO101" i="10" s="1"/>
  <c r="AK101" i="10"/>
  <c r="AJ101" i="10" s="1"/>
  <c r="AF101" i="10"/>
  <c r="AE101" i="10" s="1"/>
  <c r="AA101" i="10"/>
  <c r="Z101" i="10" s="1"/>
  <c r="V101" i="10"/>
  <c r="U101" i="10" s="1"/>
  <c r="Q101" i="10"/>
  <c r="P101" i="10" s="1"/>
  <c r="DI73" i="10"/>
  <c r="DH73" i="10"/>
  <c r="DG73" i="10"/>
  <c r="DF73" i="10"/>
  <c r="DD73" i="10"/>
  <c r="DC73" i="10"/>
  <c r="DB73" i="10"/>
  <c r="DA73" i="10"/>
  <c r="CY73" i="10"/>
  <c r="CX73" i="10"/>
  <c r="CW73" i="10"/>
  <c r="CV73" i="10"/>
  <c r="CT73" i="10"/>
  <c r="CS73" i="10"/>
  <c r="CR73" i="10"/>
  <c r="CQ73" i="10"/>
  <c r="CO73" i="10"/>
  <c r="CN73" i="10"/>
  <c r="CM73" i="10"/>
  <c r="CL73" i="10"/>
  <c r="CJ73" i="10"/>
  <c r="CI73" i="10"/>
  <c r="CH73" i="10"/>
  <c r="CG73" i="10"/>
  <c r="CE73" i="10"/>
  <c r="CD73" i="10"/>
  <c r="CC73" i="10"/>
  <c r="CB73" i="10"/>
  <c r="BZ73" i="10"/>
  <c r="BY73" i="10"/>
  <c r="BX73" i="10"/>
  <c r="BW73" i="10"/>
  <c r="BU73" i="10"/>
  <c r="BT73" i="10"/>
  <c r="BS73" i="10"/>
  <c r="BR73" i="10"/>
  <c r="BQ73" i="10"/>
  <c r="BV73" i="10" s="1"/>
  <c r="CA73" i="10" s="1"/>
  <c r="CF73" i="10" s="1"/>
  <c r="CK73" i="10" s="1"/>
  <c r="CP73" i="10" s="1"/>
  <c r="CU73" i="10" s="1"/>
  <c r="CZ73" i="10" s="1"/>
  <c r="DE73" i="10" s="1"/>
  <c r="DJ73" i="10" s="1"/>
  <c r="BE73" i="10"/>
  <c r="BD73" i="10" s="1"/>
  <c r="AZ73" i="10"/>
  <c r="AY73" i="10" s="1"/>
  <c r="AU73" i="10"/>
  <c r="AT73" i="10" s="1"/>
  <c r="AP73" i="10"/>
  <c r="AO73" i="10" s="1"/>
  <c r="AK73" i="10"/>
  <c r="AJ73" i="10" s="1"/>
  <c r="AF73" i="10"/>
  <c r="AE73" i="10" s="1"/>
  <c r="AA73" i="10"/>
  <c r="Z73" i="10" s="1"/>
  <c r="V73" i="10"/>
  <c r="U73" i="10" s="1"/>
  <c r="Q73" i="10"/>
  <c r="P73" i="10" s="1"/>
  <c r="L73" i="10"/>
  <c r="DI38" i="10"/>
  <c r="DH38" i="10"/>
  <c r="DG38" i="10"/>
  <c r="DF38" i="10"/>
  <c r="DD38" i="10"/>
  <c r="DC38" i="10"/>
  <c r="DB38" i="10"/>
  <c r="DA38" i="10"/>
  <c r="CY38" i="10"/>
  <c r="CX38" i="10"/>
  <c r="CW38" i="10"/>
  <c r="CV38" i="10"/>
  <c r="CT38" i="10"/>
  <c r="CS38" i="10"/>
  <c r="CR38" i="10"/>
  <c r="CQ38" i="10"/>
  <c r="CO38" i="10"/>
  <c r="CN38" i="10"/>
  <c r="CM38" i="10"/>
  <c r="CL38" i="10"/>
  <c r="CJ38" i="10"/>
  <c r="CI38" i="10"/>
  <c r="CH38" i="10"/>
  <c r="CG38" i="10"/>
  <c r="CE38" i="10"/>
  <c r="CD38" i="10"/>
  <c r="CC38" i="10"/>
  <c r="CB38" i="10"/>
  <c r="BZ38" i="10"/>
  <c r="BY38" i="10"/>
  <c r="BX38" i="10"/>
  <c r="BW38" i="10"/>
  <c r="BU38" i="10"/>
  <c r="BT38" i="10"/>
  <c r="BS38" i="10"/>
  <c r="BR38" i="10"/>
  <c r="BQ38" i="10"/>
  <c r="BV38" i="10" s="1"/>
  <c r="CA38" i="10" s="1"/>
  <c r="CF38" i="10" s="1"/>
  <c r="CK38" i="10" s="1"/>
  <c r="CP38" i="10" s="1"/>
  <c r="CU38" i="10" s="1"/>
  <c r="CZ38" i="10" s="1"/>
  <c r="DE38" i="10" s="1"/>
  <c r="DJ38" i="10" s="1"/>
  <c r="BE38" i="10"/>
  <c r="BD38" i="10" s="1"/>
  <c r="AZ38" i="10"/>
  <c r="AY38" i="10" s="1"/>
  <c r="AU38" i="10"/>
  <c r="AT38" i="10" s="1"/>
  <c r="AP38" i="10"/>
  <c r="AO38" i="10" s="1"/>
  <c r="AK38" i="10"/>
  <c r="AJ38" i="10" s="1"/>
  <c r="AF38" i="10"/>
  <c r="AE38" i="10" s="1"/>
  <c r="AA38" i="10"/>
  <c r="Z38" i="10" s="1"/>
  <c r="V38" i="10"/>
  <c r="U38" i="10" s="1"/>
  <c r="Q38" i="10"/>
  <c r="P38" i="10" s="1"/>
  <c r="L38" i="10"/>
  <c r="DT179" i="10"/>
  <c r="DS179" i="10" s="1"/>
  <c r="DR179" i="10"/>
  <c r="DP179" i="10"/>
  <c r="DT178" i="10"/>
  <c r="DT180" i="10" s="1"/>
  <c r="DS178" i="10"/>
  <c r="DS180" i="10" s="1"/>
  <c r="DR178" i="10"/>
  <c r="DR180" i="10" s="1"/>
  <c r="DQ178" i="10"/>
  <c r="DP178" i="10"/>
  <c r="DP180" i="10" s="1"/>
  <c r="DT174" i="10"/>
  <c r="DS174" i="10"/>
  <c r="DR174" i="10"/>
  <c r="DQ174" i="10"/>
  <c r="DP174" i="10"/>
  <c r="DT173" i="10"/>
  <c r="DT175" i="10" s="1"/>
  <c r="DR173" i="10"/>
  <c r="DR175" i="10" s="1"/>
  <c r="DP173" i="10"/>
  <c r="DP175" i="10" s="1"/>
  <c r="DS161" i="10"/>
  <c r="DR161" i="10"/>
  <c r="DQ161" i="10"/>
  <c r="DP161" i="10"/>
  <c r="DS160" i="10"/>
  <c r="DR160" i="10"/>
  <c r="DQ160" i="10"/>
  <c r="DP160" i="10"/>
  <c r="DS159" i="10"/>
  <c r="DR159" i="10"/>
  <c r="DQ159" i="10"/>
  <c r="DP159" i="10"/>
  <c r="DT154" i="10"/>
  <c r="DS154" i="10"/>
  <c r="DR154" i="10"/>
  <c r="DQ154" i="10"/>
  <c r="DP154" i="10"/>
  <c r="DT153" i="10"/>
  <c r="DS153" i="10"/>
  <c r="DR153" i="10"/>
  <c r="DQ153" i="10"/>
  <c r="DP153" i="10"/>
  <c r="DT152" i="10"/>
  <c r="DS152" i="10"/>
  <c r="DR152" i="10"/>
  <c r="DQ152" i="10"/>
  <c r="DP152" i="10"/>
  <c r="DT151" i="10"/>
  <c r="DS151" i="10"/>
  <c r="DR151" i="10"/>
  <c r="DQ151" i="10"/>
  <c r="DP151" i="10"/>
  <c r="DT149" i="10"/>
  <c r="DS149" i="10"/>
  <c r="DR149" i="10"/>
  <c r="DQ149" i="10"/>
  <c r="DP149" i="10"/>
  <c r="DT148" i="10"/>
  <c r="DS148" i="10"/>
  <c r="DR148" i="10"/>
  <c r="DQ148" i="10"/>
  <c r="DP148" i="10"/>
  <c r="DT147" i="10"/>
  <c r="DT156" i="10" s="1"/>
  <c r="BQ153" i="8" s="1"/>
  <c r="DS147" i="10"/>
  <c r="DS156" i="10" s="1"/>
  <c r="BP153" i="8" s="1"/>
  <c r="DR147" i="10"/>
  <c r="DR156" i="10" s="1"/>
  <c r="BO153" i="8" s="1"/>
  <c r="DQ147" i="10"/>
  <c r="DQ156" i="10" s="1"/>
  <c r="BN153" i="8" s="1"/>
  <c r="DP147" i="10"/>
  <c r="DP156" i="10" s="1"/>
  <c r="BM153" i="8" s="1"/>
  <c r="DS135" i="10"/>
  <c r="DR135" i="10"/>
  <c r="DQ135" i="10"/>
  <c r="DP135" i="10"/>
  <c r="DS134" i="10"/>
  <c r="DR134" i="10"/>
  <c r="DQ134" i="10"/>
  <c r="DP134" i="10"/>
  <c r="DS133" i="10"/>
  <c r="DR133" i="10"/>
  <c r="DQ133" i="10"/>
  <c r="DP133" i="10"/>
  <c r="DS128" i="10"/>
  <c r="DR128" i="10"/>
  <c r="DQ128" i="10"/>
  <c r="DP128" i="10"/>
  <c r="DS127" i="10"/>
  <c r="DR127" i="10"/>
  <c r="DQ127" i="10"/>
  <c r="DP127" i="10"/>
  <c r="DS125" i="10"/>
  <c r="DR125" i="10"/>
  <c r="DQ125" i="10"/>
  <c r="DP125" i="10"/>
  <c r="DS124" i="10"/>
  <c r="DR124" i="10"/>
  <c r="DQ124" i="10"/>
  <c r="DP124" i="10"/>
  <c r="DS123" i="10"/>
  <c r="DR123" i="10"/>
  <c r="DQ123" i="10"/>
  <c r="DP123" i="10"/>
  <c r="DS122" i="10"/>
  <c r="DR122" i="10"/>
  <c r="DQ122" i="10"/>
  <c r="DP122" i="10"/>
  <c r="DS121" i="10"/>
  <c r="DR121" i="10"/>
  <c r="DQ121" i="10"/>
  <c r="DP121" i="10"/>
  <c r="DS120" i="10"/>
  <c r="DR120" i="10"/>
  <c r="DQ120" i="10"/>
  <c r="DP120" i="10"/>
  <c r="DS119" i="10"/>
  <c r="DR119" i="10"/>
  <c r="DQ119" i="10"/>
  <c r="DP119" i="10"/>
  <c r="DS118" i="10"/>
  <c r="DR118" i="10"/>
  <c r="DQ118" i="10"/>
  <c r="DP118" i="10"/>
  <c r="DT117" i="10"/>
  <c r="DS117" i="10"/>
  <c r="DR117" i="10"/>
  <c r="DQ117" i="10"/>
  <c r="DP117" i="10"/>
  <c r="DS116" i="10"/>
  <c r="DR116" i="10"/>
  <c r="DQ116" i="10"/>
  <c r="DP116" i="10"/>
  <c r="DS115" i="10"/>
  <c r="DR115" i="10"/>
  <c r="DQ115" i="10"/>
  <c r="DP115" i="10"/>
  <c r="DS113" i="10"/>
  <c r="DR113" i="10"/>
  <c r="DQ113" i="10"/>
  <c r="DP113" i="10"/>
  <c r="DS112" i="10"/>
  <c r="DR112" i="10"/>
  <c r="DQ112" i="10"/>
  <c r="DP112" i="10"/>
  <c r="DS99" i="10"/>
  <c r="DR99" i="10"/>
  <c r="DQ99" i="10"/>
  <c r="DP99" i="10"/>
  <c r="DS98" i="10"/>
  <c r="DR98" i="10"/>
  <c r="DQ98" i="10"/>
  <c r="DP98" i="10"/>
  <c r="DT97" i="10"/>
  <c r="DS97" i="10"/>
  <c r="DR97" i="10"/>
  <c r="DQ97" i="10"/>
  <c r="DP97" i="10"/>
  <c r="DT92" i="10"/>
  <c r="DS92" i="10"/>
  <c r="DR92" i="10"/>
  <c r="DQ92" i="10"/>
  <c r="DP92" i="10"/>
  <c r="DT91" i="10"/>
  <c r="DS91" i="10"/>
  <c r="DR91" i="10"/>
  <c r="DQ91" i="10"/>
  <c r="DP91" i="10"/>
  <c r="DT90" i="10"/>
  <c r="DS90" i="10"/>
  <c r="DR90" i="10"/>
  <c r="DQ90" i="10"/>
  <c r="DP90" i="10"/>
  <c r="DT88" i="10"/>
  <c r="DS88" i="10"/>
  <c r="DR88" i="10"/>
  <c r="DQ88" i="10"/>
  <c r="DP88" i="10"/>
  <c r="DT87" i="10"/>
  <c r="DS87" i="10"/>
  <c r="DR87" i="10"/>
  <c r="DQ87" i="10"/>
  <c r="DP87" i="10"/>
  <c r="DT86" i="10"/>
  <c r="DS86" i="10"/>
  <c r="DR86" i="10"/>
  <c r="DQ86" i="10"/>
  <c r="DP86" i="10"/>
  <c r="DT85" i="10"/>
  <c r="DS85" i="10"/>
  <c r="DR85" i="10"/>
  <c r="DQ85" i="10"/>
  <c r="DP85" i="10"/>
  <c r="DT84" i="10"/>
  <c r="DT94" i="10" s="1"/>
  <c r="DS84" i="10"/>
  <c r="DR84" i="10"/>
  <c r="DR94" i="10" s="1"/>
  <c r="DQ84" i="10"/>
  <c r="DP84" i="10"/>
  <c r="DP94" i="10" s="1"/>
  <c r="DS71" i="10"/>
  <c r="DR71" i="10"/>
  <c r="DQ71" i="10"/>
  <c r="DP71" i="10"/>
  <c r="DS70" i="10"/>
  <c r="DR70" i="10"/>
  <c r="DQ70" i="10"/>
  <c r="DP70" i="10"/>
  <c r="DS69" i="10"/>
  <c r="DR69" i="10"/>
  <c r="DQ69" i="10"/>
  <c r="DP69" i="10"/>
  <c r="DS64" i="10"/>
  <c r="DR64" i="10"/>
  <c r="DQ64" i="10"/>
  <c r="DP64" i="10"/>
  <c r="DS63" i="10"/>
  <c r="DR63" i="10"/>
  <c r="DQ63" i="10"/>
  <c r="DP63" i="10"/>
  <c r="DS62" i="10"/>
  <c r="DR62" i="10"/>
  <c r="DQ62" i="10"/>
  <c r="DP62" i="10"/>
  <c r="DS61" i="10"/>
  <c r="DR61" i="10"/>
  <c r="DQ61" i="10"/>
  <c r="DP61" i="10"/>
  <c r="DS60" i="10"/>
  <c r="DR60" i="10"/>
  <c r="DQ60" i="10"/>
  <c r="DP60" i="10"/>
  <c r="DS59" i="10"/>
  <c r="DR59" i="10"/>
  <c r="DQ59" i="10"/>
  <c r="DP59" i="10"/>
  <c r="DS58" i="10"/>
  <c r="DR58" i="10"/>
  <c r="DQ58" i="10"/>
  <c r="DP58" i="10"/>
  <c r="DS57" i="10"/>
  <c r="DR57" i="10"/>
  <c r="DQ57" i="10"/>
  <c r="DP57" i="10"/>
  <c r="DS56" i="10"/>
  <c r="DR56" i="10"/>
  <c r="DQ56" i="10"/>
  <c r="DP56" i="10"/>
  <c r="DS55" i="10"/>
  <c r="DR55" i="10"/>
  <c r="DQ55" i="10"/>
  <c r="DP55" i="10"/>
  <c r="DS54" i="10"/>
  <c r="DR54" i="10"/>
  <c r="DQ54" i="10"/>
  <c r="DP54" i="10"/>
  <c r="DS53" i="10"/>
  <c r="DR53" i="10"/>
  <c r="DQ53" i="10"/>
  <c r="DP53" i="10"/>
  <c r="DT52" i="10"/>
  <c r="DS52" i="10"/>
  <c r="DR52" i="10"/>
  <c r="DQ52" i="10"/>
  <c r="DP52" i="10"/>
  <c r="DT51" i="10"/>
  <c r="DS51" i="10"/>
  <c r="DR51" i="10"/>
  <c r="DQ51" i="10"/>
  <c r="DP51" i="10"/>
  <c r="DT50" i="10"/>
  <c r="DS50" i="10"/>
  <c r="DR50" i="10"/>
  <c r="DQ50" i="10"/>
  <c r="DP50" i="10"/>
  <c r="DS49" i="10"/>
  <c r="DR49" i="10"/>
  <c r="DQ49" i="10"/>
  <c r="DP49" i="10"/>
  <c r="DS36" i="10"/>
  <c r="DR36" i="10"/>
  <c r="DQ36" i="10"/>
  <c r="DP36" i="10"/>
  <c r="DS35" i="10"/>
  <c r="DR35" i="10"/>
  <c r="DQ35" i="10"/>
  <c r="DP35" i="10"/>
  <c r="DT30" i="10"/>
  <c r="DS30" i="10"/>
  <c r="DR30" i="10"/>
  <c r="DQ30" i="10"/>
  <c r="DP30" i="10"/>
  <c r="DT29" i="10"/>
  <c r="DS29" i="10"/>
  <c r="DR29" i="10"/>
  <c r="DQ29" i="10"/>
  <c r="DP29" i="10"/>
  <c r="DS26" i="10"/>
  <c r="DR26" i="10"/>
  <c r="DQ26" i="10"/>
  <c r="DP26" i="10"/>
  <c r="DS25" i="10"/>
  <c r="DR25" i="10"/>
  <c r="DQ25" i="10"/>
  <c r="DP25" i="10"/>
  <c r="DT24" i="10"/>
  <c r="DS24" i="10"/>
  <c r="DR24" i="10"/>
  <c r="DQ24" i="10"/>
  <c r="DP24" i="10"/>
  <c r="DT23" i="10"/>
  <c r="DS23" i="10"/>
  <c r="DR23" i="10"/>
  <c r="DQ23" i="10"/>
  <c r="DP23" i="10"/>
  <c r="DT22" i="10"/>
  <c r="DS22" i="10"/>
  <c r="DR22" i="10"/>
  <c r="DQ22" i="10"/>
  <c r="DP22" i="10"/>
  <c r="DT19" i="10"/>
  <c r="DS19" i="10"/>
  <c r="DR19" i="10"/>
  <c r="DQ19" i="10"/>
  <c r="DP19" i="10"/>
  <c r="BO179" i="10"/>
  <c r="BN179" i="10" s="1"/>
  <c r="BO178" i="10"/>
  <c r="BO180" i="10" s="1"/>
  <c r="BM178" i="10"/>
  <c r="BK178" i="10"/>
  <c r="BO174" i="10"/>
  <c r="BN174" i="10"/>
  <c r="BM174" i="10"/>
  <c r="BL174" i="10"/>
  <c r="BK174" i="10"/>
  <c r="BO173" i="10"/>
  <c r="BO175" i="10" s="1"/>
  <c r="BO162" i="10"/>
  <c r="BN162" i="10" s="1"/>
  <c r="BO161" i="10"/>
  <c r="BN161" i="10" s="1"/>
  <c r="BO160" i="10"/>
  <c r="BN160" i="10" s="1"/>
  <c r="BO159" i="10"/>
  <c r="BN159" i="10" s="1"/>
  <c r="BO154" i="10"/>
  <c r="BN154" i="10" s="1"/>
  <c r="BK154" i="10"/>
  <c r="BO153" i="10"/>
  <c r="BN153" i="10" s="1"/>
  <c r="BM153" i="10"/>
  <c r="BK153" i="10"/>
  <c r="BO152" i="10"/>
  <c r="BN152" i="10" s="1"/>
  <c r="BK152" i="10"/>
  <c r="BO151" i="10"/>
  <c r="BN151" i="10" s="1"/>
  <c r="BM151" i="10"/>
  <c r="BK151" i="10"/>
  <c r="BO149" i="10"/>
  <c r="BN149" i="10" s="1"/>
  <c r="BK149" i="10"/>
  <c r="BO148" i="10"/>
  <c r="BM148" i="10"/>
  <c r="BK148" i="10"/>
  <c r="BO147" i="10"/>
  <c r="BN147" i="10" s="1"/>
  <c r="BK147" i="10"/>
  <c r="BO136" i="10"/>
  <c r="BN136" i="10" s="1"/>
  <c r="BO135" i="10"/>
  <c r="BN135" i="10" s="1"/>
  <c r="BO134" i="10"/>
  <c r="BN134" i="10" s="1"/>
  <c r="BO133" i="10"/>
  <c r="BO128" i="10"/>
  <c r="BN128" i="10"/>
  <c r="BM128" i="10"/>
  <c r="BL128" i="10"/>
  <c r="BK128" i="10"/>
  <c r="BO127" i="10"/>
  <c r="BN127" i="10" s="1"/>
  <c r="BO125" i="10"/>
  <c r="BN125" i="10" s="1"/>
  <c r="BO124" i="10"/>
  <c r="BN124" i="10" s="1"/>
  <c r="BO123" i="10"/>
  <c r="BN123" i="10" s="1"/>
  <c r="BM123" i="10"/>
  <c r="BK123" i="10"/>
  <c r="BO122" i="10"/>
  <c r="BN122" i="10" s="1"/>
  <c r="BO121" i="10"/>
  <c r="BN121" i="10" s="1"/>
  <c r="BK121" i="10"/>
  <c r="BO120" i="10"/>
  <c r="BN120" i="10" s="1"/>
  <c r="BO119" i="10"/>
  <c r="BN119" i="10" s="1"/>
  <c r="BO118" i="10"/>
  <c r="BN118" i="10" s="1"/>
  <c r="BO117" i="10"/>
  <c r="BN117" i="10" s="1"/>
  <c r="BM117" i="10"/>
  <c r="BK117" i="10"/>
  <c r="BO116" i="10"/>
  <c r="BN116" i="10" s="1"/>
  <c r="BK116" i="10"/>
  <c r="BO115" i="10"/>
  <c r="BN115" i="10"/>
  <c r="BM115" i="10"/>
  <c r="BL115" i="10"/>
  <c r="BK115" i="10"/>
  <c r="BO114" i="10"/>
  <c r="BN114" i="10" s="1"/>
  <c r="BO113" i="10"/>
  <c r="BN113" i="10" s="1"/>
  <c r="BK113" i="10"/>
  <c r="BO112" i="10"/>
  <c r="BK112" i="10" s="1"/>
  <c r="BO100" i="10"/>
  <c r="BN100" i="10" s="1"/>
  <c r="BO99" i="10"/>
  <c r="BN99" i="10" s="1"/>
  <c r="BO98" i="10"/>
  <c r="BN98" i="10" s="1"/>
  <c r="BO97" i="10"/>
  <c r="BK97" i="10"/>
  <c r="BO92" i="10"/>
  <c r="BN92" i="10"/>
  <c r="BM92" i="10"/>
  <c r="BL92" i="10"/>
  <c r="BK92" i="10"/>
  <c r="BO91" i="10"/>
  <c r="BN91" i="10" s="1"/>
  <c r="BO90" i="10"/>
  <c r="BN90" i="10" s="1"/>
  <c r="BM90" i="10"/>
  <c r="BK90" i="10"/>
  <c r="BO88" i="10"/>
  <c r="BN88" i="10" s="1"/>
  <c r="BK88" i="10"/>
  <c r="BO87" i="10"/>
  <c r="BN87" i="10"/>
  <c r="BM87" i="10"/>
  <c r="BL87" i="10"/>
  <c r="BK87" i="10"/>
  <c r="BO86" i="10"/>
  <c r="BN86" i="10" s="1"/>
  <c r="BO85" i="10"/>
  <c r="BN85" i="10" s="1"/>
  <c r="BM85" i="10"/>
  <c r="BK85" i="10"/>
  <c r="BO84" i="10"/>
  <c r="BK84" i="10"/>
  <c r="BO72" i="10"/>
  <c r="BN72" i="10" s="1"/>
  <c r="BO71" i="10"/>
  <c r="BN71" i="10" s="1"/>
  <c r="BO70" i="10"/>
  <c r="BN70" i="10" s="1"/>
  <c r="BO69" i="10"/>
  <c r="BO64" i="10"/>
  <c r="BN64" i="10" s="1"/>
  <c r="BK64" i="10"/>
  <c r="BO63" i="10"/>
  <c r="BN63" i="10" s="1"/>
  <c r="BO62" i="10"/>
  <c r="BN62" i="10" s="1"/>
  <c r="BO61" i="10"/>
  <c r="BN61" i="10" s="1"/>
  <c r="BO60" i="10"/>
  <c r="BN60" i="10" s="1"/>
  <c r="BO59" i="10"/>
  <c r="BN59" i="10" s="1"/>
  <c r="BO58" i="10"/>
  <c r="BN58" i="10" s="1"/>
  <c r="BO57" i="10"/>
  <c r="BN57" i="10" s="1"/>
  <c r="BO56" i="10"/>
  <c r="BN56" i="10" s="1"/>
  <c r="BO55" i="10"/>
  <c r="BN55" i="10" s="1"/>
  <c r="BO54" i="10"/>
  <c r="BN54" i="10" s="1"/>
  <c r="BO53" i="10"/>
  <c r="BN53" i="10" s="1"/>
  <c r="BO52" i="10"/>
  <c r="BN52" i="10"/>
  <c r="BM52" i="10"/>
  <c r="BL52" i="10"/>
  <c r="BK52" i="10"/>
  <c r="BO51" i="10"/>
  <c r="BN51" i="10" s="1"/>
  <c r="BO50" i="10"/>
  <c r="BN50" i="10" s="1"/>
  <c r="BM50" i="10"/>
  <c r="BK50" i="10"/>
  <c r="BO49" i="10"/>
  <c r="BK49" i="10" s="1"/>
  <c r="BO37" i="10"/>
  <c r="BN37" i="10" s="1"/>
  <c r="BO36" i="10"/>
  <c r="BN36" i="10" s="1"/>
  <c r="BO35" i="10"/>
  <c r="BM35" i="10" s="1"/>
  <c r="BO30" i="10"/>
  <c r="BN30" i="10" s="1"/>
  <c r="BO29" i="10"/>
  <c r="BN29" i="10" s="1"/>
  <c r="BM29" i="10"/>
  <c r="BK29" i="10"/>
  <c r="BO26" i="10"/>
  <c r="BN26" i="10" s="1"/>
  <c r="BO25" i="10"/>
  <c r="BN25" i="10" s="1"/>
  <c r="BM25" i="10"/>
  <c r="BK25" i="10"/>
  <c r="BO24" i="10"/>
  <c r="BN24" i="10" s="1"/>
  <c r="BO23" i="10"/>
  <c r="BN23" i="10" s="1"/>
  <c r="BM23" i="10"/>
  <c r="BK23" i="10"/>
  <c r="BO22" i="10"/>
  <c r="BN22" i="10" s="1"/>
  <c r="BK22" i="10"/>
  <c r="BO20" i="10"/>
  <c r="BN20" i="10" s="1"/>
  <c r="BO19" i="10"/>
  <c r="BN19" i="10" s="1"/>
  <c r="BM19" i="10"/>
  <c r="BK19" i="10"/>
  <c r="BO60" i="9"/>
  <c r="E38" i="10"/>
  <c r="BO38" i="10" s="1"/>
  <c r="BQ66" i="9"/>
  <c r="BQ61" i="9"/>
  <c r="BP60" i="9"/>
  <c r="BP62" i="9" s="1"/>
  <c r="BN60" i="9"/>
  <c r="BN62" i="9" s="1"/>
  <c r="BQ57" i="9"/>
  <c r="BQ36" i="9"/>
  <c r="BQ32" i="9"/>
  <c r="BQ15" i="9"/>
  <c r="BQ273" i="6"/>
  <c r="BP273" i="6"/>
  <c r="BP73" i="6" s="1"/>
  <c r="BO273" i="6"/>
  <c r="BN273" i="6"/>
  <c r="BN73" i="6" s="1"/>
  <c r="BM273" i="6"/>
  <c r="BQ269" i="6"/>
  <c r="BP269" i="6"/>
  <c r="BO269" i="6"/>
  <c r="BN269" i="6"/>
  <c r="BM269" i="6"/>
  <c r="BP262" i="6"/>
  <c r="BO262" i="6"/>
  <c r="BN262" i="6"/>
  <c r="BM262" i="6"/>
  <c r="BN229" i="6"/>
  <c r="BM229" i="6"/>
  <c r="BM212" i="6"/>
  <c r="BM211" i="6"/>
  <c r="BQ210" i="6"/>
  <c r="BM205" i="6"/>
  <c r="BN200" i="6"/>
  <c r="BP200" i="6" s="1"/>
  <c r="BM200" i="6"/>
  <c r="BO200" i="6" s="1"/>
  <c r="BN199" i="6"/>
  <c r="BP199" i="6" s="1"/>
  <c r="BM199" i="6"/>
  <c r="BO199" i="6" s="1"/>
  <c r="E101" i="10"/>
  <c r="BO101" i="10" s="1"/>
  <c r="BM177" i="6"/>
  <c r="BN177" i="6" s="1"/>
  <c r="BM174" i="6"/>
  <c r="BN174" i="6" s="1"/>
  <c r="BQ169" i="6"/>
  <c r="BQ259" i="6" s="1"/>
  <c r="BM167" i="6"/>
  <c r="BM166" i="6"/>
  <c r="BM165" i="6"/>
  <c r="BM164" i="6"/>
  <c r="BM163" i="6"/>
  <c r="BM133" i="6"/>
  <c r="BP106" i="6"/>
  <c r="BO106" i="6"/>
  <c r="BN106" i="6"/>
  <c r="BM106" i="6"/>
  <c r="BP95" i="6"/>
  <c r="BO95" i="6"/>
  <c r="BN95" i="6"/>
  <c r="BM95" i="6"/>
  <c r="BQ95" i="6" s="1"/>
  <c r="BP86" i="6"/>
  <c r="BO86" i="6"/>
  <c r="BN86" i="6"/>
  <c r="BM86" i="6"/>
  <c r="BQ86" i="6" s="1"/>
  <c r="BP68" i="6"/>
  <c r="BO68" i="6" s="1"/>
  <c r="BN68" i="6" s="1"/>
  <c r="BM68" i="6" s="1"/>
  <c r="BM147" i="6" s="1"/>
  <c r="BP59" i="6"/>
  <c r="BO59" i="6" s="1"/>
  <c r="BN59" i="6" s="1"/>
  <c r="BM59" i="6" s="1"/>
  <c r="BQ73" i="6"/>
  <c r="BO73" i="6"/>
  <c r="BM73" i="6"/>
  <c r="BP70" i="6"/>
  <c r="BO70" i="6" s="1"/>
  <c r="BN70" i="6" s="1"/>
  <c r="BM70" i="6" s="1"/>
  <c r="BP67" i="6"/>
  <c r="BO67" i="6" s="1"/>
  <c r="BN67" i="6" s="1"/>
  <c r="BM67" i="6" s="1"/>
  <c r="BM144" i="6" s="1"/>
  <c r="BP66" i="6"/>
  <c r="BO66" i="6" s="1"/>
  <c r="BN66" i="6" s="1"/>
  <c r="BM66" i="6" s="1"/>
  <c r="BM141" i="6" s="1"/>
  <c r="BP64" i="6"/>
  <c r="BP129" i="6" s="1"/>
  <c r="BO64" i="6"/>
  <c r="BO129" i="6" s="1"/>
  <c r="BN64" i="6"/>
  <c r="BN129" i="6" s="1"/>
  <c r="BM64" i="6"/>
  <c r="BM129" i="6" s="1"/>
  <c r="BP62" i="6"/>
  <c r="BP102" i="6" s="1"/>
  <c r="BO62" i="6"/>
  <c r="BO102" i="6" s="1"/>
  <c r="BN62" i="6"/>
  <c r="BN102" i="6" s="1"/>
  <c r="BM62" i="6"/>
  <c r="BM102" i="6" s="1"/>
  <c r="BP60" i="6"/>
  <c r="BO60" i="6" s="1"/>
  <c r="BN60" i="6" s="1"/>
  <c r="BM60" i="6" s="1"/>
  <c r="BQ47" i="6"/>
  <c r="BQ44" i="6"/>
  <c r="BP28" i="6"/>
  <c r="BO28" i="6"/>
  <c r="BN28" i="6"/>
  <c r="BM28" i="6"/>
  <c r="BQ28" i="6" s="1"/>
  <c r="BP10" i="6"/>
  <c r="BO10" i="6"/>
  <c r="BN10" i="6"/>
  <c r="BM10" i="6"/>
  <c r="BQ10" i="6" s="1"/>
  <c r="BQ237" i="8"/>
  <c r="BP237" i="8"/>
  <c r="BO237" i="8"/>
  <c r="BN237" i="8"/>
  <c r="BM237" i="8"/>
  <c r="BQ233" i="8"/>
  <c r="BP233" i="8"/>
  <c r="BO233" i="8"/>
  <c r="BN233" i="8"/>
  <c r="BM233" i="8"/>
  <c r="BP226" i="8"/>
  <c r="BO226" i="8"/>
  <c r="BN226" i="8"/>
  <c r="BM226" i="8"/>
  <c r="BN193" i="8"/>
  <c r="BM193" i="8"/>
  <c r="BM176" i="8"/>
  <c r="BM175" i="8"/>
  <c r="BQ174" i="8"/>
  <c r="BM169" i="8"/>
  <c r="BM164" i="8"/>
  <c r="BM163" i="8"/>
  <c r="BM141" i="8"/>
  <c r="BN141" i="8" s="1"/>
  <c r="BQ133" i="8"/>
  <c r="BM132" i="8"/>
  <c r="BM131" i="8"/>
  <c r="BM130" i="8"/>
  <c r="BM129" i="8"/>
  <c r="BM128" i="8"/>
  <c r="BN128" i="8" s="1"/>
  <c r="BM125" i="8"/>
  <c r="BN125" i="8" s="1"/>
  <c r="BP97" i="8"/>
  <c r="BO97" i="8"/>
  <c r="BN97" i="8"/>
  <c r="BM97" i="8"/>
  <c r="BP86" i="8"/>
  <c r="BO86" i="8"/>
  <c r="BN86" i="8"/>
  <c r="BM86" i="8"/>
  <c r="BQ86" i="8" s="1"/>
  <c r="BP77" i="8"/>
  <c r="BO77" i="8"/>
  <c r="BN77" i="8"/>
  <c r="BM77" i="8"/>
  <c r="BQ77" i="8" s="1"/>
  <c r="BP62" i="8"/>
  <c r="BO62" i="8" s="1"/>
  <c r="BN62" i="8" s="1"/>
  <c r="BM62" i="8" s="1"/>
  <c r="BO54" i="8"/>
  <c r="BO93" i="8" s="1"/>
  <c r="BP52" i="8"/>
  <c r="BO52" i="8" s="1"/>
  <c r="BN52" i="8" s="1"/>
  <c r="BM52" i="8" s="1"/>
  <c r="BQ65" i="8"/>
  <c r="BP65" i="8"/>
  <c r="BO65" i="8"/>
  <c r="BN65" i="8"/>
  <c r="BM65" i="8"/>
  <c r="BP60" i="8"/>
  <c r="BO60" i="8" s="1"/>
  <c r="BN60" i="8" s="1"/>
  <c r="BM60" i="8" s="1"/>
  <c r="BM111" i="8" s="1"/>
  <c r="BP59" i="8"/>
  <c r="BP108" i="8" s="1"/>
  <c r="BP58" i="8"/>
  <c r="BP105" i="8" s="1"/>
  <c r="BO58" i="8"/>
  <c r="BN58" i="8" s="1"/>
  <c r="BM58" i="8" s="1"/>
  <c r="BM105" i="8" s="1"/>
  <c r="BP54" i="8"/>
  <c r="BP93" i="8" s="1"/>
  <c r="BN54" i="8"/>
  <c r="BN93" i="8" s="1"/>
  <c r="BQ40" i="8"/>
  <c r="BQ37" i="8"/>
  <c r="BP21" i="8"/>
  <c r="BO21" i="8"/>
  <c r="BN21" i="8"/>
  <c r="BM21" i="8"/>
  <c r="BQ21" i="8" s="1"/>
  <c r="BQ77" i="7"/>
  <c r="BP277" i="7"/>
  <c r="BO277" i="7"/>
  <c r="BO77" i="7" s="1"/>
  <c r="BN277" i="7"/>
  <c r="BM277" i="7"/>
  <c r="BM77" i="7" s="1"/>
  <c r="BP273" i="7"/>
  <c r="BO273" i="7"/>
  <c r="BN273" i="7"/>
  <c r="BM273" i="7"/>
  <c r="BP265" i="7"/>
  <c r="BO265" i="7"/>
  <c r="BN265" i="7"/>
  <c r="BM265" i="7"/>
  <c r="BN232" i="7"/>
  <c r="BM232" i="7"/>
  <c r="BM215" i="7"/>
  <c r="BM214" i="7"/>
  <c r="BQ213" i="7"/>
  <c r="BM208" i="7"/>
  <c r="BN203" i="7"/>
  <c r="BM203" i="7"/>
  <c r="BO203" i="7" s="1"/>
  <c r="BN202" i="7"/>
  <c r="BM202" i="7"/>
  <c r="BO202" i="7" s="1"/>
  <c r="E137" i="10"/>
  <c r="BO137" i="10" s="1"/>
  <c r="BM180" i="7"/>
  <c r="BN180" i="7" s="1"/>
  <c r="BQ172" i="7"/>
  <c r="BQ94" i="4" s="1"/>
  <c r="BM170" i="7"/>
  <c r="BM169" i="7"/>
  <c r="BM168" i="7"/>
  <c r="BM167" i="7"/>
  <c r="BM166" i="7"/>
  <c r="BN164" i="7"/>
  <c r="BO164" i="7" s="1"/>
  <c r="BM164" i="7"/>
  <c r="BM135" i="7"/>
  <c r="BM124" i="7"/>
  <c r="BP109" i="7"/>
  <c r="BO109" i="7"/>
  <c r="BN109" i="7"/>
  <c r="BM109" i="7"/>
  <c r="BP98" i="7"/>
  <c r="BO98" i="7"/>
  <c r="BN98" i="7"/>
  <c r="BM98" i="7"/>
  <c r="BQ98" i="7" s="1"/>
  <c r="BP89" i="7"/>
  <c r="BO89" i="7"/>
  <c r="BN89" i="7"/>
  <c r="BM89" i="7"/>
  <c r="BQ89" i="7" s="1"/>
  <c r="BP74" i="7"/>
  <c r="BO74" i="7" s="1"/>
  <c r="BN74" i="7" s="1"/>
  <c r="BM74" i="7" s="1"/>
  <c r="BO68" i="7"/>
  <c r="BO131" i="7" s="1"/>
  <c r="BP61" i="7"/>
  <c r="BO61" i="7" s="1"/>
  <c r="BN61" i="7" s="1"/>
  <c r="BM61" i="7" s="1"/>
  <c r="BP60" i="7"/>
  <c r="BO60" i="7" s="1"/>
  <c r="BN60" i="7" s="1"/>
  <c r="BM60" i="7" s="1"/>
  <c r="BP77" i="7"/>
  <c r="BN77" i="7"/>
  <c r="BP72" i="7"/>
  <c r="BO72" i="7" s="1"/>
  <c r="BN72" i="7" s="1"/>
  <c r="BM72" i="7" s="1"/>
  <c r="BM150" i="7" s="1"/>
  <c r="BP71" i="7"/>
  <c r="BO71" i="7" s="1"/>
  <c r="BN71" i="7" s="1"/>
  <c r="BM71" i="7" s="1"/>
  <c r="BM147" i="7" s="1"/>
  <c r="BP70" i="7"/>
  <c r="BO70" i="7" s="1"/>
  <c r="BN70" i="7" s="1"/>
  <c r="BM70" i="7" s="1"/>
  <c r="BM144" i="7" s="1"/>
  <c r="BP68" i="7"/>
  <c r="BP131" i="7" s="1"/>
  <c r="BM68" i="7"/>
  <c r="BM131" i="7" s="1"/>
  <c r="BP67" i="7"/>
  <c r="BM66" i="7"/>
  <c r="BP64" i="7"/>
  <c r="BN64" i="7"/>
  <c r="BP63" i="7"/>
  <c r="BO63" i="7"/>
  <c r="BQ48" i="7"/>
  <c r="BP29" i="7"/>
  <c r="BO29" i="7"/>
  <c r="BN29" i="7"/>
  <c r="BM29" i="7"/>
  <c r="BP15" i="7"/>
  <c r="BO15" i="7"/>
  <c r="BN15" i="7"/>
  <c r="BM15" i="7"/>
  <c r="BP10" i="7"/>
  <c r="BO10" i="7"/>
  <c r="BN10" i="7"/>
  <c r="BM10" i="7"/>
  <c r="BP272" i="5"/>
  <c r="BO272" i="5"/>
  <c r="BN272" i="5"/>
  <c r="BM272" i="5"/>
  <c r="BM222" i="5"/>
  <c r="BM221" i="5"/>
  <c r="BN221" i="5" s="1"/>
  <c r="BN121" i="4" s="1"/>
  <c r="BQ220" i="5"/>
  <c r="BM215" i="5"/>
  <c r="BM210" i="5"/>
  <c r="BM139" i="4" s="1"/>
  <c r="BM209" i="5"/>
  <c r="E73" i="10"/>
  <c r="BO73" i="10" s="1"/>
  <c r="BQ179" i="5"/>
  <c r="BM178" i="5"/>
  <c r="BM177" i="5"/>
  <c r="BM176" i="5"/>
  <c r="BM175" i="5"/>
  <c r="BM174" i="5"/>
  <c r="BM173" i="5"/>
  <c r="BM172" i="5"/>
  <c r="BP73" i="5"/>
  <c r="BO73" i="5" s="1"/>
  <c r="BN73" i="5" s="1"/>
  <c r="BM73" i="5" s="1"/>
  <c r="BP70" i="5"/>
  <c r="BQ35" i="2"/>
  <c r="BN64" i="5"/>
  <c r="BQ26" i="2"/>
  <c r="BP71" i="5"/>
  <c r="BP156" i="5" s="1"/>
  <c r="BP67" i="5"/>
  <c r="BP135" i="5" s="1"/>
  <c r="BO67" i="5"/>
  <c r="BO135" i="5" s="1"/>
  <c r="BN67" i="5"/>
  <c r="BN135" i="5" s="1"/>
  <c r="BM67" i="5"/>
  <c r="BM135" i="5" s="1"/>
  <c r="BP64" i="5"/>
  <c r="BO64" i="5"/>
  <c r="BO63" i="5"/>
  <c r="BP61" i="5"/>
  <c r="BO61" i="5" s="1"/>
  <c r="BN61" i="5" s="1"/>
  <c r="BM61" i="5" s="1"/>
  <c r="BP60" i="5"/>
  <c r="BO60" i="5" s="1"/>
  <c r="BN60" i="5" s="1"/>
  <c r="BM60" i="5" s="1"/>
  <c r="BQ48" i="5"/>
  <c r="BQ256" i="4"/>
  <c r="BQ188" i="4"/>
  <c r="BQ156" i="4"/>
  <c r="BM153" i="4"/>
  <c r="BQ150" i="4"/>
  <c r="BQ149" i="4"/>
  <c r="BM144" i="4"/>
  <c r="BM138" i="4"/>
  <c r="BQ124" i="4"/>
  <c r="BM124" i="4"/>
  <c r="BQ123" i="4"/>
  <c r="BM123" i="4"/>
  <c r="BQ122" i="4"/>
  <c r="BM122" i="4"/>
  <c r="BQ121" i="4"/>
  <c r="BP116" i="4"/>
  <c r="BO116" i="4" s="1"/>
  <c r="BN116" i="4" s="1"/>
  <c r="BM116" i="4" s="1"/>
  <c r="BM256" i="4" s="1"/>
  <c r="BQ113" i="4"/>
  <c r="BP113" i="4" s="1"/>
  <c r="BP155" i="8" s="1"/>
  <c r="BQ110" i="4"/>
  <c r="BQ109" i="4"/>
  <c r="BQ97" i="4"/>
  <c r="BN97" i="4"/>
  <c r="BQ96" i="4"/>
  <c r="BQ95" i="4"/>
  <c r="BQ93" i="4"/>
  <c r="BP55" i="4"/>
  <c r="BP257" i="4" s="1"/>
  <c r="BO55" i="4"/>
  <c r="BN55" i="4"/>
  <c r="BN257" i="4" s="1"/>
  <c r="BM55" i="4"/>
  <c r="BQ52" i="4"/>
  <c r="BP51" i="4"/>
  <c r="BO51" i="4"/>
  <c r="BN51" i="4"/>
  <c r="BM51" i="4"/>
  <c r="BQ51" i="4" s="1"/>
  <c r="BQ102" i="6" l="1"/>
  <c r="BQ155" i="8"/>
  <c r="BP194" i="7"/>
  <c r="BP191" i="6"/>
  <c r="BQ194" i="7"/>
  <c r="BQ191" i="6"/>
  <c r="BO59" i="8"/>
  <c r="BN59" i="8" s="1"/>
  <c r="BM59" i="8" s="1"/>
  <c r="BM108" i="8" s="1"/>
  <c r="BM121" i="4"/>
  <c r="BO222" i="5"/>
  <c r="BN215" i="5"/>
  <c r="BO215" i="5" s="1"/>
  <c r="BP215" i="5" s="1"/>
  <c r="BN222" i="5"/>
  <c r="BP97" i="4"/>
  <c r="BN163" i="10"/>
  <c r="BK163" i="10"/>
  <c r="AB163" i="10"/>
  <c r="AD163" i="10"/>
  <c r="BA163" i="10"/>
  <c r="AB101" i="10"/>
  <c r="BN256" i="4"/>
  <c r="BO256" i="4"/>
  <c r="BP256" i="4"/>
  <c r="BN105" i="8"/>
  <c r="BN111" i="8"/>
  <c r="BO105" i="8"/>
  <c r="BO111" i="8"/>
  <c r="BN108" i="8"/>
  <c r="BP111" i="8"/>
  <c r="BP56" i="8"/>
  <c r="BN144" i="7"/>
  <c r="BP147" i="7"/>
  <c r="BN150" i="7"/>
  <c r="BO144" i="7"/>
  <c r="BO150" i="7"/>
  <c r="BP144" i="7"/>
  <c r="BN147" i="7"/>
  <c r="BP150" i="7"/>
  <c r="BO147" i="7"/>
  <c r="BQ39" i="2"/>
  <c r="BQ135" i="5"/>
  <c r="BQ129" i="6"/>
  <c r="BP141" i="6"/>
  <c r="BN144" i="6"/>
  <c r="BN147" i="6"/>
  <c r="BO144" i="6"/>
  <c r="BO147" i="6"/>
  <c r="BN141" i="6"/>
  <c r="BP144" i="6"/>
  <c r="BP147" i="6"/>
  <c r="BO141" i="6"/>
  <c r="AE163" i="10"/>
  <c r="AL163" i="10"/>
  <c r="AW163" i="10"/>
  <c r="R163" i="10"/>
  <c r="T163" i="10"/>
  <c r="AG163" i="10"/>
  <c r="BN66" i="7"/>
  <c r="W137" i="10"/>
  <c r="AQ137" i="10"/>
  <c r="BO66" i="7"/>
  <c r="R137" i="10"/>
  <c r="AL137" i="10"/>
  <c r="BP66" i="7"/>
  <c r="BP105" i="7" s="1"/>
  <c r="BO64" i="7"/>
  <c r="BQ38" i="2"/>
  <c r="T137" i="10"/>
  <c r="AB137" i="10"/>
  <c r="AN137" i="10"/>
  <c r="AV137" i="10"/>
  <c r="BP153" i="5"/>
  <c r="BO70" i="5"/>
  <c r="BP63" i="5"/>
  <c r="BM63" i="5"/>
  <c r="BM64" i="5"/>
  <c r="BO71" i="5"/>
  <c r="R73" i="10"/>
  <c r="BN63" i="5"/>
  <c r="BP69" i="5"/>
  <c r="DR21" i="10"/>
  <c r="DP21" i="10"/>
  <c r="DS21" i="10"/>
  <c r="DQ21" i="10"/>
  <c r="N21" i="10"/>
  <c r="X21" i="10"/>
  <c r="AH21" i="10"/>
  <c r="AR21" i="10"/>
  <c r="BB21" i="10"/>
  <c r="BL21" i="10"/>
  <c r="BM179" i="5"/>
  <c r="BM269" i="5" s="1"/>
  <c r="BM159" i="7"/>
  <c r="BM133" i="8"/>
  <c r="BM169" i="6"/>
  <c r="BM203" i="6" s="1"/>
  <c r="M163" i="10"/>
  <c r="AN163" i="10"/>
  <c r="S163" i="10"/>
  <c r="W163" i="10"/>
  <c r="AM163" i="10"/>
  <c r="AQ163" i="10"/>
  <c r="BM163" i="10"/>
  <c r="O163" i="10"/>
  <c r="Y163" i="10"/>
  <c r="AI163" i="10"/>
  <c r="AS163" i="10"/>
  <c r="BC163" i="10"/>
  <c r="BN137" i="10"/>
  <c r="BL137" i="10"/>
  <c r="BM137" i="10"/>
  <c r="BK137" i="10"/>
  <c r="BK35" i="10"/>
  <c r="BK36" i="10"/>
  <c r="BK37" i="10"/>
  <c r="BK53" i="10"/>
  <c r="BK54" i="10"/>
  <c r="BM56" i="10"/>
  <c r="BM58" i="10"/>
  <c r="BK70" i="10"/>
  <c r="BK98" i="10"/>
  <c r="BK103" i="10" s="1"/>
  <c r="BM182" i="6" s="1"/>
  <c r="BM208" i="6" s="1"/>
  <c r="DP66" i="10"/>
  <c r="DR66" i="10"/>
  <c r="AL73" i="10"/>
  <c r="N101" i="10"/>
  <c r="R101" i="10"/>
  <c r="AD101" i="10"/>
  <c r="AG101" i="10"/>
  <c r="AL101" i="10"/>
  <c r="AQ101" i="10"/>
  <c r="AV101" i="10"/>
  <c r="N163" i="10"/>
  <c r="X163" i="10"/>
  <c r="AH163" i="10"/>
  <c r="AR163" i="10"/>
  <c r="BB163" i="10"/>
  <c r="BL163" i="10"/>
  <c r="BK56" i="10"/>
  <c r="BK58" i="10"/>
  <c r="M137" i="10"/>
  <c r="AD137" i="10"/>
  <c r="AG137" i="10"/>
  <c r="AX137" i="10"/>
  <c r="BA137" i="10"/>
  <c r="O137" i="10"/>
  <c r="Y137" i="10"/>
  <c r="AI137" i="10"/>
  <c r="AS137" i="10"/>
  <c r="BC137" i="10"/>
  <c r="N137" i="10"/>
  <c r="X137" i="10"/>
  <c r="AH137" i="10"/>
  <c r="AR137" i="10"/>
  <c r="BB137" i="10"/>
  <c r="BN101" i="10"/>
  <c r="BM101" i="10"/>
  <c r="BK101" i="10"/>
  <c r="AB38" i="10"/>
  <c r="AX101" i="10"/>
  <c r="BA101" i="10"/>
  <c r="BK159" i="10"/>
  <c r="T73" i="10"/>
  <c r="W73" i="10"/>
  <c r="AB73" i="10"/>
  <c r="AN73" i="10"/>
  <c r="AQ73" i="10"/>
  <c r="AV73" i="10"/>
  <c r="S137" i="10"/>
  <c r="AC137" i="10"/>
  <c r="AM137" i="10"/>
  <c r="AW137" i="10"/>
  <c r="T101" i="10"/>
  <c r="W101" i="10"/>
  <c r="AS101" i="10"/>
  <c r="BL101" i="10"/>
  <c r="AN101" i="10"/>
  <c r="M101" i="10"/>
  <c r="O101" i="10"/>
  <c r="Y101" i="10"/>
  <c r="AI101" i="10"/>
  <c r="BC101" i="10"/>
  <c r="X101" i="10"/>
  <c r="AH101" i="10"/>
  <c r="AR101" i="10"/>
  <c r="BB101" i="10"/>
  <c r="BM73" i="10"/>
  <c r="BK73" i="10"/>
  <c r="BN73" i="10"/>
  <c r="BL73" i="10"/>
  <c r="BL60" i="10"/>
  <c r="BM64" i="10"/>
  <c r="BO103" i="10"/>
  <c r="BM98" i="10"/>
  <c r="BK99" i="10"/>
  <c r="BK100" i="10"/>
  <c r="BM113" i="10"/>
  <c r="BK119" i="10"/>
  <c r="BK134" i="10"/>
  <c r="BK161" i="10"/>
  <c r="AV38" i="10"/>
  <c r="S101" i="10"/>
  <c r="AC101" i="10"/>
  <c r="AM101" i="10"/>
  <c r="AW101" i="10"/>
  <c r="M73" i="10"/>
  <c r="AD73" i="10"/>
  <c r="AG73" i="10"/>
  <c r="AX73" i="10"/>
  <c r="BA73" i="10"/>
  <c r="O73" i="10"/>
  <c r="Y73" i="10"/>
  <c r="AI73" i="10"/>
  <c r="AS73" i="10"/>
  <c r="BC73" i="10"/>
  <c r="N73" i="10"/>
  <c r="X73" i="10"/>
  <c r="AH73" i="10"/>
  <c r="AR73" i="10"/>
  <c r="BB73" i="10"/>
  <c r="BN38" i="10"/>
  <c r="BM38" i="10"/>
  <c r="BK38" i="10"/>
  <c r="BK40" i="10" s="1"/>
  <c r="BM49" i="9" s="1"/>
  <c r="BM64" i="9" s="1"/>
  <c r="BK60" i="10"/>
  <c r="BM60" i="10"/>
  <c r="BK61" i="10"/>
  <c r="BK62" i="10"/>
  <c r="BL64" i="10"/>
  <c r="BO75" i="10"/>
  <c r="BM70" i="10"/>
  <c r="BK71" i="10"/>
  <c r="BK72" i="10"/>
  <c r="BM119" i="10"/>
  <c r="BM121" i="10"/>
  <c r="BL123" i="10"/>
  <c r="BK124" i="10"/>
  <c r="BK125" i="10"/>
  <c r="BO139" i="10"/>
  <c r="BM134" i="10"/>
  <c r="BK135" i="10"/>
  <c r="BK136" i="10"/>
  <c r="BM159" i="10"/>
  <c r="BM161" i="10"/>
  <c r="M38" i="10"/>
  <c r="R38" i="10"/>
  <c r="AD38" i="10"/>
  <c r="AG38" i="10"/>
  <c r="AL38" i="10"/>
  <c r="AX38" i="10"/>
  <c r="BA38" i="10"/>
  <c r="S73" i="10"/>
  <c r="AC73" i="10"/>
  <c r="AM73" i="10"/>
  <c r="AW73" i="10"/>
  <c r="T38" i="10"/>
  <c r="W38" i="10"/>
  <c r="AN38" i="10"/>
  <c r="AQ38" i="10"/>
  <c r="BL38" i="10"/>
  <c r="O38" i="10"/>
  <c r="Y38" i="10"/>
  <c r="AI38" i="10"/>
  <c r="AS38" i="10"/>
  <c r="BC38" i="10"/>
  <c r="N38" i="10"/>
  <c r="X38" i="10"/>
  <c r="AH38" i="10"/>
  <c r="AR38" i="10"/>
  <c r="BB38" i="10"/>
  <c r="BL25" i="10"/>
  <c r="BK26" i="10"/>
  <c r="BM37" i="10"/>
  <c r="BM54" i="10"/>
  <c r="BL56" i="10"/>
  <c r="BK57" i="10"/>
  <c r="BM62" i="10"/>
  <c r="BK69" i="10"/>
  <c r="BM72" i="10"/>
  <c r="BM100" i="10"/>
  <c r="BL119" i="10"/>
  <c r="BK120" i="10"/>
  <c r="BM125" i="10"/>
  <c r="BK133" i="10"/>
  <c r="BM136" i="10"/>
  <c r="BL159" i="10"/>
  <c r="BK160" i="10"/>
  <c r="S38" i="10"/>
  <c r="AC38" i="10"/>
  <c r="AM38" i="10"/>
  <c r="AW38" i="10"/>
  <c r="BL19" i="10"/>
  <c r="BK20" i="10"/>
  <c r="BL23" i="10"/>
  <c r="BK24" i="10"/>
  <c r="BL29" i="10"/>
  <c r="BK30" i="10"/>
  <c r="BM36" i="10"/>
  <c r="BO66" i="10"/>
  <c r="BO77" i="10" s="1"/>
  <c r="BL50" i="10"/>
  <c r="BK51" i="10"/>
  <c r="BL54" i="10"/>
  <c r="BK55" i="10"/>
  <c r="BL58" i="10"/>
  <c r="BK59" i="10"/>
  <c r="BL62" i="10"/>
  <c r="BK63" i="10"/>
  <c r="BM69" i="10"/>
  <c r="BM71" i="10"/>
  <c r="BO94" i="10"/>
  <c r="BL85" i="10"/>
  <c r="BK86" i="10"/>
  <c r="BL90" i="10"/>
  <c r="BK91" i="10"/>
  <c r="BM97" i="10"/>
  <c r="BM99" i="10"/>
  <c r="BO130" i="10"/>
  <c r="BQ186" i="7" s="1"/>
  <c r="BL113" i="10"/>
  <c r="BK114" i="10"/>
  <c r="BL117" i="10"/>
  <c r="BK118" i="10"/>
  <c r="BL121" i="10"/>
  <c r="BK122" i="10"/>
  <c r="BL125" i="10"/>
  <c r="BK127" i="10"/>
  <c r="BM133" i="10"/>
  <c r="BM135" i="10"/>
  <c r="BM147" i="10"/>
  <c r="BM149" i="10"/>
  <c r="BM152" i="10"/>
  <c r="BM154" i="10"/>
  <c r="BL161" i="10"/>
  <c r="BK162" i="10"/>
  <c r="BK173" i="10"/>
  <c r="BK175" i="10" s="1"/>
  <c r="BL178" i="10"/>
  <c r="BN178" i="10"/>
  <c r="BN180" i="10" s="1"/>
  <c r="BK179" i="10"/>
  <c r="BM40" i="10"/>
  <c r="BK66" i="10"/>
  <c r="BK94" i="10"/>
  <c r="BK130" i="10"/>
  <c r="BM186" i="7" s="1"/>
  <c r="BM212" i="7" s="1"/>
  <c r="BN165" i="10"/>
  <c r="BK180" i="10"/>
  <c r="BM20" i="10"/>
  <c r="BM22" i="10"/>
  <c r="BM24" i="10"/>
  <c r="BM26" i="10"/>
  <c r="BM30" i="10"/>
  <c r="BO40" i="10"/>
  <c r="BL36" i="10"/>
  <c r="BM49" i="10"/>
  <c r="BM51" i="10"/>
  <c r="BM53" i="10"/>
  <c r="BM55" i="10"/>
  <c r="BM57" i="10"/>
  <c r="BM59" i="10"/>
  <c r="BM61" i="10"/>
  <c r="BM63" i="10"/>
  <c r="BL69" i="10"/>
  <c r="BN69" i="10"/>
  <c r="BN75" i="10" s="1"/>
  <c r="BP192" i="5" s="1"/>
  <c r="BP218" i="5" s="1"/>
  <c r="BL71" i="10"/>
  <c r="BM84" i="10"/>
  <c r="BM86" i="10"/>
  <c r="BM88" i="10"/>
  <c r="BM91" i="10"/>
  <c r="BL97" i="10"/>
  <c r="BN97" i="10"/>
  <c r="BL99" i="10"/>
  <c r="BM112" i="10"/>
  <c r="BM114" i="10"/>
  <c r="BM116" i="10"/>
  <c r="BM118" i="10"/>
  <c r="BM120" i="10"/>
  <c r="BM122" i="10"/>
  <c r="BM124" i="10"/>
  <c r="BM127" i="10"/>
  <c r="BL133" i="10"/>
  <c r="BN133" i="10"/>
  <c r="BL135" i="10"/>
  <c r="BL147" i="10"/>
  <c r="BK156" i="10"/>
  <c r="BM147" i="8" s="1"/>
  <c r="BM173" i="8" s="1"/>
  <c r="BO156" i="10"/>
  <c r="BQ147" i="8" s="1"/>
  <c r="BL149" i="10"/>
  <c r="BL152" i="10"/>
  <c r="BL154" i="10"/>
  <c r="BO165" i="10"/>
  <c r="BO167" i="10" s="1"/>
  <c r="BM160" i="10"/>
  <c r="BM162" i="10"/>
  <c r="BM179" i="10"/>
  <c r="BM180" i="10" s="1"/>
  <c r="BM156" i="10"/>
  <c r="BO147" i="8" s="1"/>
  <c r="BO173" i="8" s="1"/>
  <c r="BM173" i="10"/>
  <c r="BM175" i="10" s="1"/>
  <c r="DQ66" i="10"/>
  <c r="BN199" i="5" s="1"/>
  <c r="DS66" i="10"/>
  <c r="BP199" i="5" s="1"/>
  <c r="DQ94" i="10"/>
  <c r="DS94" i="10"/>
  <c r="DP182" i="10"/>
  <c r="DR182" i="10"/>
  <c r="DT182" i="10"/>
  <c r="DQ173" i="10"/>
  <c r="DQ175" i="10" s="1"/>
  <c r="DS173" i="10"/>
  <c r="DS175" i="10" s="1"/>
  <c r="DS182" i="10" s="1"/>
  <c r="DQ179" i="10"/>
  <c r="DQ180" i="10" s="1"/>
  <c r="BM189" i="6"/>
  <c r="BO189" i="6"/>
  <c r="BQ189" i="6"/>
  <c r="BN189" i="6"/>
  <c r="BP189" i="6"/>
  <c r="BM199" i="5"/>
  <c r="BO199" i="5"/>
  <c r="BK182" i="10"/>
  <c r="BO182" i="10"/>
  <c r="BL173" i="10"/>
  <c r="BL175" i="10" s="1"/>
  <c r="BN173" i="10"/>
  <c r="BN175" i="10" s="1"/>
  <c r="BN182" i="10" s="1"/>
  <c r="BL179" i="10"/>
  <c r="BL180" i="10" s="1"/>
  <c r="BL182" i="10" s="1"/>
  <c r="BP146" i="8"/>
  <c r="BP172" i="8" s="1"/>
  <c r="BL148" i="10"/>
  <c r="BN148" i="10"/>
  <c r="BN156" i="10" s="1"/>
  <c r="BL151" i="10"/>
  <c r="BL153" i="10"/>
  <c r="BL160" i="10"/>
  <c r="BL162" i="10"/>
  <c r="BL112" i="10"/>
  <c r="BN112" i="10"/>
  <c r="BN130" i="10" s="1"/>
  <c r="BP186" i="7" s="1"/>
  <c r="BP212" i="7" s="1"/>
  <c r="BL114" i="10"/>
  <c r="BL116" i="10"/>
  <c r="BL118" i="10"/>
  <c r="BL120" i="10"/>
  <c r="BL122" i="10"/>
  <c r="BL124" i="10"/>
  <c r="BL127" i="10"/>
  <c r="BL134" i="10"/>
  <c r="BL136" i="10"/>
  <c r="BM183" i="6"/>
  <c r="BM209" i="6" s="1"/>
  <c r="BO105" i="10"/>
  <c r="BQ183" i="6"/>
  <c r="BL84" i="10"/>
  <c r="BN84" i="10"/>
  <c r="BN94" i="10" s="1"/>
  <c r="BL86" i="10"/>
  <c r="BL88" i="10"/>
  <c r="BL91" i="10"/>
  <c r="BL98" i="10"/>
  <c r="BL100" i="10"/>
  <c r="BM193" i="5"/>
  <c r="BM219" i="5" s="1"/>
  <c r="BQ193" i="5"/>
  <c r="BL49" i="10"/>
  <c r="BN49" i="10"/>
  <c r="BN66" i="10" s="1"/>
  <c r="BL51" i="10"/>
  <c r="BL53" i="10"/>
  <c r="BL55" i="10"/>
  <c r="BL57" i="10"/>
  <c r="BL59" i="10"/>
  <c r="BL61" i="10"/>
  <c r="BL63" i="10"/>
  <c r="BL70" i="10"/>
  <c r="BL72" i="10"/>
  <c r="BO49" i="9"/>
  <c r="BO64" i="9" s="1"/>
  <c r="BL20" i="10"/>
  <c r="BL22" i="10"/>
  <c r="BL24" i="10"/>
  <c r="BL26" i="10"/>
  <c r="BL30" i="10"/>
  <c r="BL35" i="10"/>
  <c r="BN35" i="10"/>
  <c r="BN40" i="10" s="1"/>
  <c r="BL37" i="10"/>
  <c r="BO62" i="9"/>
  <c r="BO97" i="4"/>
  <c r="BM60" i="9"/>
  <c r="BQ62" i="9"/>
  <c r="BO257" i="4"/>
  <c r="BO229" i="6"/>
  <c r="BO212" i="6"/>
  <c r="BN205" i="6"/>
  <c r="BO205" i="6" s="1"/>
  <c r="BN211" i="6"/>
  <c r="BN124" i="4" s="1"/>
  <c r="BN212" i="6"/>
  <c r="BP212" i="6"/>
  <c r="BO174" i="6"/>
  <c r="BO177" i="6"/>
  <c r="BN163" i="6"/>
  <c r="BP163" i="6" s="1"/>
  <c r="BN164" i="6"/>
  <c r="BO164" i="6" s="1"/>
  <c r="BP164" i="6" s="1"/>
  <c r="BN165" i="6"/>
  <c r="BO165" i="6" s="1"/>
  <c r="BP165" i="6" s="1"/>
  <c r="BN166" i="6"/>
  <c r="BO166" i="6" s="1"/>
  <c r="BP166" i="6" s="1"/>
  <c r="BN167" i="6"/>
  <c r="BO167" i="6" s="1"/>
  <c r="BP167" i="6" s="1"/>
  <c r="BO163" i="6"/>
  <c r="BM56" i="8"/>
  <c r="BO193" i="8"/>
  <c r="BO176" i="8"/>
  <c r="BO163" i="8"/>
  <c r="BN169" i="8"/>
  <c r="BO169" i="8" s="1"/>
  <c r="BN175" i="8"/>
  <c r="BN123" i="4" s="1"/>
  <c r="BN176" i="8"/>
  <c r="BP176" i="8"/>
  <c r="BN163" i="8"/>
  <c r="BP163" i="8" s="1"/>
  <c r="BN164" i="8"/>
  <c r="BO141" i="8"/>
  <c r="BN129" i="8"/>
  <c r="BN130" i="8"/>
  <c r="BO130" i="8" s="1"/>
  <c r="BP130" i="8" s="1"/>
  <c r="BN131" i="8"/>
  <c r="BN132" i="8"/>
  <c r="BO132" i="8" s="1"/>
  <c r="BP132" i="8" s="1"/>
  <c r="BO125" i="8"/>
  <c r="BN120" i="8"/>
  <c r="BO56" i="8"/>
  <c r="BM120" i="8"/>
  <c r="BO128" i="8"/>
  <c r="BP128" i="8" s="1"/>
  <c r="BN56" i="8"/>
  <c r="BM54" i="8"/>
  <c r="BM93" i="8" s="1"/>
  <c r="BQ93" i="8" s="1"/>
  <c r="BO232" i="7"/>
  <c r="BO208" i="7"/>
  <c r="BP202" i="7"/>
  <c r="BP203" i="7"/>
  <c r="BN208" i="7"/>
  <c r="BP208" i="7"/>
  <c r="BN214" i="7"/>
  <c r="BN122" i="4" s="1"/>
  <c r="BN215" i="7"/>
  <c r="BO215" i="7" s="1"/>
  <c r="BO153" i="4" s="1"/>
  <c r="BN144" i="4"/>
  <c r="BN153" i="4"/>
  <c r="BO180" i="7"/>
  <c r="BP164" i="7"/>
  <c r="BO159" i="7"/>
  <c r="BQ98" i="4"/>
  <c r="BO166" i="7"/>
  <c r="BO170" i="7"/>
  <c r="BP170" i="7" s="1"/>
  <c r="BM172" i="7"/>
  <c r="BM67" i="7"/>
  <c r="BN159" i="7"/>
  <c r="BN166" i="7"/>
  <c r="BN167" i="7"/>
  <c r="BO167" i="7" s="1"/>
  <c r="BN168" i="7"/>
  <c r="BN169" i="7"/>
  <c r="BN170" i="7"/>
  <c r="BO67" i="7"/>
  <c r="BO105" i="7" s="1"/>
  <c r="BM64" i="7"/>
  <c r="BN68" i="7"/>
  <c r="BN131" i="7" s="1"/>
  <c r="BQ131" i="7" s="1"/>
  <c r="BN67" i="7"/>
  <c r="BN105" i="7" s="1"/>
  <c r="BQ10" i="7"/>
  <c r="BQ15" i="7"/>
  <c r="BQ29" i="7"/>
  <c r="BO221" i="5"/>
  <c r="BO121" i="4" s="1"/>
  <c r="BP222" i="5"/>
  <c r="BN209" i="5"/>
  <c r="BN138" i="4" s="1"/>
  <c r="BN210" i="5"/>
  <c r="BN139" i="4" s="1"/>
  <c r="BM93" i="4"/>
  <c r="BN172" i="5"/>
  <c r="BO172" i="5" s="1"/>
  <c r="BN173" i="5"/>
  <c r="BO173" i="5" s="1"/>
  <c r="BP173" i="5" s="1"/>
  <c r="BN174" i="5"/>
  <c r="BO174" i="5" s="1"/>
  <c r="BP174" i="5" s="1"/>
  <c r="BN175" i="5"/>
  <c r="BO175" i="5" s="1"/>
  <c r="BP175" i="5" s="1"/>
  <c r="BN176" i="5"/>
  <c r="BO176" i="5" s="1"/>
  <c r="BP176" i="5" s="1"/>
  <c r="BN177" i="5"/>
  <c r="BO177" i="5" s="1"/>
  <c r="BP177" i="5" s="1"/>
  <c r="BN178" i="5"/>
  <c r="BO178" i="5" s="1"/>
  <c r="BP178" i="5" s="1"/>
  <c r="BQ55" i="4"/>
  <c r="BQ257" i="4" s="1"/>
  <c r="BM257" i="4"/>
  <c r="BO113" i="4"/>
  <c r="EI5" i="3"/>
  <c r="BQ5" i="3"/>
  <c r="BO155" i="8" l="1"/>
  <c r="BO191" i="6"/>
  <c r="BO194" i="7"/>
  <c r="BN103" i="10"/>
  <c r="BP182" i="6" s="1"/>
  <c r="BP208" i="6" s="1"/>
  <c r="BO108" i="8"/>
  <c r="BK165" i="10"/>
  <c r="BM146" i="8" s="1"/>
  <c r="BM172" i="8" s="1"/>
  <c r="BM177" i="8" s="1"/>
  <c r="BP221" i="5"/>
  <c r="BP121" i="4" s="1"/>
  <c r="BK105" i="10"/>
  <c r="BM105" i="7"/>
  <c r="BQ105" i="7" s="1"/>
  <c r="BN139" i="10"/>
  <c r="BP185" i="7" s="1"/>
  <c r="BP211" i="7" s="1"/>
  <c r="BK75" i="10"/>
  <c r="BM192" i="5" s="1"/>
  <c r="BM218" i="5" s="1"/>
  <c r="BN70" i="5"/>
  <c r="BO153" i="5"/>
  <c r="BN71" i="5"/>
  <c r="BO156" i="5"/>
  <c r="BP150" i="5"/>
  <c r="BO69" i="5"/>
  <c r="BM213" i="5"/>
  <c r="BP168" i="7"/>
  <c r="BO168" i="7"/>
  <c r="BN179" i="7"/>
  <c r="BN36" i="7" s="1"/>
  <c r="BM262" i="7"/>
  <c r="BM206" i="7"/>
  <c r="BM179" i="7"/>
  <c r="BM36" i="7" s="1"/>
  <c r="BO129" i="8"/>
  <c r="BP129" i="8" s="1"/>
  <c r="BP133" i="8" s="1"/>
  <c r="BP131" i="8"/>
  <c r="BO131" i="8"/>
  <c r="BM95" i="4"/>
  <c r="BM223" i="8"/>
  <c r="BM167" i="8"/>
  <c r="BM116" i="8"/>
  <c r="BM140" i="8"/>
  <c r="BM28" i="8" s="1"/>
  <c r="BN140" i="8"/>
  <c r="BN28" i="8" s="1"/>
  <c r="BM96" i="4"/>
  <c r="BM259" i="6"/>
  <c r="BO141" i="10"/>
  <c r="BK139" i="10"/>
  <c r="BK141" i="10" s="1"/>
  <c r="BM213" i="6"/>
  <c r="BM223" i="5"/>
  <c r="BO11" i="10"/>
  <c r="BQ103" i="4" s="1"/>
  <c r="BM165" i="10"/>
  <c r="BM167" i="10" s="1"/>
  <c r="BM103" i="10"/>
  <c r="BO182" i="6" s="1"/>
  <c r="BO208" i="6" s="1"/>
  <c r="BL75" i="10"/>
  <c r="BN192" i="5" s="1"/>
  <c r="BN218" i="5" s="1"/>
  <c r="BQ218" i="5" s="1"/>
  <c r="BL165" i="10"/>
  <c r="BM139" i="10"/>
  <c r="BO185" i="7" s="1"/>
  <c r="BO211" i="7" s="1"/>
  <c r="BM75" i="10"/>
  <c r="BO192" i="5" s="1"/>
  <c r="BO218" i="5" s="1"/>
  <c r="BM182" i="10"/>
  <c r="BO146" i="8"/>
  <c r="BO172" i="8" s="1"/>
  <c r="BL103" i="10"/>
  <c r="BN182" i="6" s="1"/>
  <c r="BN208" i="6" s="1"/>
  <c r="BL139" i="10"/>
  <c r="BN185" i="7" s="1"/>
  <c r="BN211" i="7" s="1"/>
  <c r="BM130" i="10"/>
  <c r="BM66" i="10"/>
  <c r="BL156" i="10"/>
  <c r="BN147" i="8" s="1"/>
  <c r="BN173" i="8" s="1"/>
  <c r="BM94" i="10"/>
  <c r="DQ182" i="10"/>
  <c r="BN146" i="8"/>
  <c r="BN172" i="8" s="1"/>
  <c r="BP147" i="8"/>
  <c r="BP173" i="8" s="1"/>
  <c r="BQ173" i="8" s="1"/>
  <c r="BN167" i="10"/>
  <c r="BL130" i="10"/>
  <c r="BN186" i="7" s="1"/>
  <c r="BN212" i="7" s="1"/>
  <c r="BN141" i="10"/>
  <c r="BP183" i="6"/>
  <c r="BP209" i="6" s="1"/>
  <c r="BL94" i="10"/>
  <c r="BL66" i="10"/>
  <c r="BN77" i="10"/>
  <c r="BP193" i="5"/>
  <c r="BP219" i="5" s="1"/>
  <c r="BP223" i="5" s="1"/>
  <c r="BN11" i="10"/>
  <c r="BP103" i="4" s="1"/>
  <c r="BP147" i="4" s="1"/>
  <c r="BP49" i="9"/>
  <c r="BP64" i="9" s="1"/>
  <c r="BL40" i="10"/>
  <c r="BM62" i="9"/>
  <c r="BM97" i="4"/>
  <c r="BP229" i="6"/>
  <c r="BO211" i="6"/>
  <c r="BO124" i="4" s="1"/>
  <c r="BP205" i="6"/>
  <c r="BP177" i="6"/>
  <c r="BP174" i="6"/>
  <c r="BO169" i="6"/>
  <c r="BN169" i="6"/>
  <c r="BP169" i="6"/>
  <c r="BP193" i="8"/>
  <c r="BO144" i="4"/>
  <c r="BP169" i="8"/>
  <c r="BO164" i="8"/>
  <c r="BP164" i="8" s="1"/>
  <c r="BO175" i="8"/>
  <c r="BP141" i="8"/>
  <c r="BO133" i="8"/>
  <c r="BN133" i="8"/>
  <c r="BP125" i="8"/>
  <c r="BO120" i="8"/>
  <c r="BO140" i="8" s="1"/>
  <c r="BO28" i="8" s="1"/>
  <c r="BP232" i="7"/>
  <c r="BP153" i="4"/>
  <c r="BP144" i="4"/>
  <c r="BP215" i="7"/>
  <c r="BO214" i="7"/>
  <c r="BP180" i="7"/>
  <c r="BO179" i="7"/>
  <c r="BP166" i="7"/>
  <c r="BP167" i="7"/>
  <c r="BQ164" i="7"/>
  <c r="BP159" i="7"/>
  <c r="BQ159" i="7" s="1"/>
  <c r="BN172" i="7"/>
  <c r="BM94" i="4"/>
  <c r="BO169" i="7"/>
  <c r="BP169" i="7" s="1"/>
  <c r="BO209" i="5"/>
  <c r="BP209" i="5" s="1"/>
  <c r="BO210" i="5"/>
  <c r="BO139" i="4" s="1"/>
  <c r="BP210" i="5"/>
  <c r="BO179" i="5"/>
  <c r="BN179" i="5"/>
  <c r="BP172" i="5"/>
  <c r="BP179" i="5" s="1"/>
  <c r="BN113" i="4"/>
  <c r="AV115" i="6"/>
  <c r="AV114" i="6"/>
  <c r="BA60" i="6"/>
  <c r="AZ60" i="6"/>
  <c r="BA59" i="6"/>
  <c r="AZ59" i="6"/>
  <c r="BA52" i="8"/>
  <c r="AZ52" i="8"/>
  <c r="BA61" i="7"/>
  <c r="BA60" i="7"/>
  <c r="AZ61" i="7"/>
  <c r="AZ60" i="7"/>
  <c r="BA61" i="5"/>
  <c r="BA60" i="5"/>
  <c r="AW138" i="5"/>
  <c r="AW40" i="9"/>
  <c r="AV40" i="9"/>
  <c r="AW39" i="9"/>
  <c r="AV39" i="9"/>
  <c r="AW36" i="9"/>
  <c r="AW33" i="9"/>
  <c r="AW32" i="9"/>
  <c r="AW29" i="9"/>
  <c r="AW15" i="9"/>
  <c r="AW14" i="9"/>
  <c r="AW13" i="9"/>
  <c r="AW12" i="9"/>
  <c r="AV183" i="6"/>
  <c r="AV182" i="6"/>
  <c r="AW176" i="6"/>
  <c r="AW177" i="6" s="1"/>
  <c r="AV176" i="6"/>
  <c r="AV177" i="6" s="1"/>
  <c r="AW173" i="6"/>
  <c r="AW174" i="6" s="1"/>
  <c r="AV173" i="6"/>
  <c r="AV174" i="6" s="1"/>
  <c r="AW146" i="6"/>
  <c r="AV146" i="6"/>
  <c r="AW143" i="6"/>
  <c r="AV143" i="6"/>
  <c r="AW140" i="6"/>
  <c r="AV140" i="6"/>
  <c r="AW132" i="6"/>
  <c r="AV132" i="6"/>
  <c r="AW105" i="6"/>
  <c r="AV105" i="6"/>
  <c r="AW73" i="6"/>
  <c r="AV73" i="6"/>
  <c r="ED175" i="8"/>
  <c r="AV147" i="8"/>
  <c r="AV146" i="8"/>
  <c r="AW140" i="8"/>
  <c r="AW141" i="8" s="1"/>
  <c r="AV140" i="8"/>
  <c r="AV141" i="8" s="1"/>
  <c r="AW138" i="8"/>
  <c r="AW137" i="8"/>
  <c r="AV137" i="8"/>
  <c r="AV138" i="8" s="1"/>
  <c r="AW110" i="8"/>
  <c r="AV110" i="8"/>
  <c r="AW107" i="8"/>
  <c r="AV107" i="8"/>
  <c r="AW104" i="8"/>
  <c r="AV104" i="8"/>
  <c r="AW65" i="8"/>
  <c r="AV65" i="8"/>
  <c r="AW179" i="7"/>
  <c r="AW180" i="7" s="1"/>
  <c r="AV179" i="7"/>
  <c r="AV180" i="7" s="1"/>
  <c r="AW176" i="7"/>
  <c r="AW177" i="7" s="1"/>
  <c r="AV176" i="7"/>
  <c r="AV177" i="7" s="1"/>
  <c r="AV143" i="7"/>
  <c r="AW143" i="7"/>
  <c r="AV146" i="7"/>
  <c r="AW146" i="7"/>
  <c r="AV149" i="7"/>
  <c r="AW149" i="7"/>
  <c r="AW108" i="7"/>
  <c r="AV108" i="7"/>
  <c r="AW77" i="7"/>
  <c r="AV77" i="7"/>
  <c r="AW155" i="5"/>
  <c r="AW152" i="5"/>
  <c r="AW149" i="5"/>
  <c r="B2" i="5"/>
  <c r="AW222" i="4"/>
  <c r="AW218" i="4"/>
  <c r="AW217" i="4"/>
  <c r="AW219" i="4" s="1"/>
  <c r="AW215" i="4"/>
  <c r="AV72" i="4"/>
  <c r="BN155" i="8" l="1"/>
  <c r="BN191" i="6"/>
  <c r="BN194" i="7"/>
  <c r="BP211" i="6"/>
  <c r="BP124" i="4" s="1"/>
  <c r="BN105" i="10"/>
  <c r="BQ172" i="8"/>
  <c r="BQ177" i="8" s="1"/>
  <c r="BK167" i="10"/>
  <c r="BK77" i="10"/>
  <c r="BP213" i="6"/>
  <c r="BM98" i="4"/>
  <c r="BM142" i="4" s="1"/>
  <c r="BM71" i="5"/>
  <c r="BM156" i="5" s="1"/>
  <c r="BN156" i="5"/>
  <c r="BN69" i="5"/>
  <c r="BO150" i="5"/>
  <c r="BM70" i="5"/>
  <c r="BM153" i="5" s="1"/>
  <c r="BN153" i="5"/>
  <c r="BO93" i="4"/>
  <c r="BO269" i="5"/>
  <c r="BO213" i="5"/>
  <c r="BP93" i="4"/>
  <c r="BP213" i="5"/>
  <c r="BP269" i="5"/>
  <c r="BN93" i="4"/>
  <c r="BN213" i="5"/>
  <c r="BN269" i="5"/>
  <c r="BO172" i="7"/>
  <c r="BO262" i="7" s="1"/>
  <c r="BO94" i="4"/>
  <c r="BP179" i="7"/>
  <c r="BP36" i="7" s="1"/>
  <c r="BM207" i="7"/>
  <c r="BN94" i="4"/>
  <c r="BN206" i="7"/>
  <c r="BN262" i="7"/>
  <c r="BN116" i="8"/>
  <c r="BP95" i="4"/>
  <c r="BP167" i="8"/>
  <c r="BP223" i="8"/>
  <c r="BO95" i="4"/>
  <c r="BO223" i="8"/>
  <c r="BO167" i="8"/>
  <c r="BN95" i="4"/>
  <c r="BN167" i="8"/>
  <c r="BN223" i="8"/>
  <c r="BQ223" i="8"/>
  <c r="BP96" i="4"/>
  <c r="BP259" i="6"/>
  <c r="BP203" i="6"/>
  <c r="BO96" i="4"/>
  <c r="BO203" i="6"/>
  <c r="BO259" i="6"/>
  <c r="BN96" i="4"/>
  <c r="BN259" i="6"/>
  <c r="BN203" i="6"/>
  <c r="BM185" i="7"/>
  <c r="BM211" i="7" s="1"/>
  <c r="BM216" i="7" s="1"/>
  <c r="BK11" i="10"/>
  <c r="BM103" i="4" s="1"/>
  <c r="BM147" i="4" s="1"/>
  <c r="BN216" i="7"/>
  <c r="BQ208" i="6"/>
  <c r="BL167" i="10"/>
  <c r="BM11" i="10"/>
  <c r="BO103" i="4" s="1"/>
  <c r="BO147" i="4" s="1"/>
  <c r="BO183" i="6"/>
  <c r="BO209" i="6" s="1"/>
  <c r="BO213" i="6" s="1"/>
  <c r="BM105" i="10"/>
  <c r="BO186" i="7"/>
  <c r="BO212" i="7" s="1"/>
  <c r="BQ212" i="7" s="1"/>
  <c r="BM141" i="10"/>
  <c r="BM77" i="10"/>
  <c r="BO193" i="5"/>
  <c r="BO219" i="5" s="1"/>
  <c r="BO223" i="5" s="1"/>
  <c r="BN177" i="8"/>
  <c r="BL141" i="10"/>
  <c r="BL105" i="10"/>
  <c r="BN183" i="6"/>
  <c r="BN209" i="6" s="1"/>
  <c r="BL77" i="10"/>
  <c r="BN193" i="5"/>
  <c r="BN219" i="5" s="1"/>
  <c r="BL11" i="10"/>
  <c r="BN103" i="4" s="1"/>
  <c r="BN147" i="4" s="1"/>
  <c r="BN49" i="9"/>
  <c r="BN64" i="9" s="1"/>
  <c r="BQ144" i="4"/>
  <c r="BQ229" i="6"/>
  <c r="BQ193" i="8"/>
  <c r="BO123" i="4"/>
  <c r="BP175" i="8"/>
  <c r="BO177" i="8"/>
  <c r="BP139" i="4"/>
  <c r="BQ139" i="4" s="1"/>
  <c r="BO116" i="8"/>
  <c r="BQ125" i="8"/>
  <c r="BP120" i="8"/>
  <c r="BQ120" i="8" s="1"/>
  <c r="BQ232" i="7"/>
  <c r="BO122" i="4"/>
  <c r="BO216" i="7"/>
  <c r="BP214" i="7"/>
  <c r="BQ153" i="4"/>
  <c r="EI67" i="3" s="1"/>
  <c r="BO36" i="7"/>
  <c r="BP172" i="7"/>
  <c r="BP138" i="4"/>
  <c r="BO138" i="4"/>
  <c r="BM113" i="4"/>
  <c r="AV135" i="6"/>
  <c r="BM191" i="6" l="1"/>
  <c r="BM194" i="7"/>
  <c r="BM155" i="8"/>
  <c r="BQ179" i="7"/>
  <c r="BQ180" i="7" s="1"/>
  <c r="BQ269" i="5"/>
  <c r="BO98" i="4"/>
  <c r="BO142" i="4" s="1"/>
  <c r="BQ211" i="7"/>
  <c r="BQ216" i="7" s="1"/>
  <c r="BM69" i="5"/>
  <c r="BM150" i="5" s="1"/>
  <c r="BN150" i="5"/>
  <c r="BQ213" i="5"/>
  <c r="BO206" i="7"/>
  <c r="BN98" i="4"/>
  <c r="BN142" i="4" s="1"/>
  <c r="BP94" i="4"/>
  <c r="BP98" i="4" s="1"/>
  <c r="BP142" i="4" s="1"/>
  <c r="BP206" i="7"/>
  <c r="BQ206" i="7" s="1"/>
  <c r="BP262" i="7"/>
  <c r="BQ262" i="7" s="1"/>
  <c r="BM209" i="7"/>
  <c r="BN207" i="7"/>
  <c r="BP140" i="8"/>
  <c r="BP28" i="8" s="1"/>
  <c r="BQ167" i="8"/>
  <c r="BQ203" i="6"/>
  <c r="BQ209" i="6"/>
  <c r="BQ213" i="6" s="1"/>
  <c r="BN213" i="6"/>
  <c r="BN223" i="5"/>
  <c r="BQ219" i="5"/>
  <c r="BQ223" i="5" s="1"/>
  <c r="BQ64" i="9"/>
  <c r="BQ147" i="4"/>
  <c r="BQ138" i="4"/>
  <c r="BP123" i="4"/>
  <c r="BP177" i="8"/>
  <c r="BP116" i="8"/>
  <c r="BP122" i="4"/>
  <c r="BP216" i="7"/>
  <c r="BQ36" i="7"/>
  <c r="EI64" i="3" l="1"/>
  <c r="BQ142" i="4"/>
  <c r="EI50" i="3" s="1"/>
  <c r="EI47" i="3" s="1"/>
  <c r="BO207" i="7"/>
  <c r="BN209" i="7"/>
  <c r="BQ140" i="8"/>
  <c r="BQ141" i="8" s="1"/>
  <c r="BQ28" i="8"/>
  <c r="BQ116" i="8"/>
  <c r="BP207" i="7" l="1"/>
  <c r="BQ207" i="7" s="1"/>
  <c r="BQ209" i="7" s="1"/>
  <c r="BO209" i="7"/>
  <c r="BP209" i="7" l="1"/>
  <c r="DN97" i="10" l="1"/>
  <c r="DM97" i="10"/>
  <c r="DL97" i="10"/>
  <c r="DK97" i="10"/>
  <c r="CT97" i="10"/>
  <c r="CS97" i="10"/>
  <c r="CR97" i="10"/>
  <c r="CQ97" i="10"/>
  <c r="CO97" i="10"/>
  <c r="CN97" i="10"/>
  <c r="CM97" i="10"/>
  <c r="CL97" i="10"/>
  <c r="CJ97" i="10"/>
  <c r="CI97" i="10"/>
  <c r="CH97" i="10"/>
  <c r="CG97" i="10"/>
  <c r="CE97" i="10"/>
  <c r="CD97" i="10"/>
  <c r="CC97" i="10"/>
  <c r="CB97" i="10"/>
  <c r="BZ97" i="10"/>
  <c r="BY97" i="10"/>
  <c r="BX97" i="10"/>
  <c r="BW97" i="10"/>
  <c r="BU97" i="10"/>
  <c r="BT97" i="10"/>
  <c r="BS97" i="10"/>
  <c r="BR97" i="10"/>
  <c r="BQ97" i="10"/>
  <c r="BV97" i="10" s="1"/>
  <c r="CA97" i="10" s="1"/>
  <c r="CF97" i="10" s="1"/>
  <c r="CK97" i="10" s="1"/>
  <c r="CP97" i="10" s="1"/>
  <c r="CU97" i="10" s="1"/>
  <c r="CZ97" i="10" s="1"/>
  <c r="DE97" i="10" s="1"/>
  <c r="BJ97" i="10"/>
  <c r="BI97" i="10" s="1"/>
  <c r="BE97" i="10"/>
  <c r="BD97" i="10" s="1"/>
  <c r="AZ97" i="10"/>
  <c r="AY97" i="10" s="1"/>
  <c r="AU97" i="10"/>
  <c r="AT97" i="10" s="1"/>
  <c r="AP97" i="10"/>
  <c r="AO97" i="10" s="1"/>
  <c r="AK97" i="10"/>
  <c r="AH97" i="10" s="1"/>
  <c r="AJ97" i="10"/>
  <c r="AI97" i="10"/>
  <c r="AF97" i="10"/>
  <c r="AE97" i="10" s="1"/>
  <c r="AA97" i="10"/>
  <c r="Z97" i="10" s="1"/>
  <c r="V97" i="10"/>
  <c r="U97" i="10" s="1"/>
  <c r="Q97" i="10"/>
  <c r="O97" i="10" s="1"/>
  <c r="L97" i="10"/>
  <c r="E154" i="10"/>
  <c r="E125" i="10"/>
  <c r="DN88" i="10"/>
  <c r="DM88" i="10"/>
  <c r="DL88" i="10"/>
  <c r="DK88" i="10"/>
  <c r="DI88" i="10"/>
  <c r="DH88" i="10"/>
  <c r="DG88" i="10"/>
  <c r="DF88" i="10"/>
  <c r="DD88" i="10"/>
  <c r="DC88" i="10"/>
  <c r="DB88" i="10"/>
  <c r="DA88" i="10"/>
  <c r="CY88" i="10"/>
  <c r="CX88" i="10"/>
  <c r="CW88" i="10"/>
  <c r="CV88" i="10"/>
  <c r="CT88" i="10"/>
  <c r="CS88" i="10"/>
  <c r="CR88" i="10"/>
  <c r="CQ88" i="10"/>
  <c r="CO88" i="10"/>
  <c r="CN88" i="10"/>
  <c r="CM88" i="10"/>
  <c r="CL88" i="10"/>
  <c r="CJ88" i="10"/>
  <c r="CI88" i="10"/>
  <c r="CH88" i="10"/>
  <c r="CG88" i="10"/>
  <c r="CE88" i="10"/>
  <c r="CD88" i="10"/>
  <c r="CC88" i="10"/>
  <c r="CB88" i="10"/>
  <c r="BZ88" i="10"/>
  <c r="BY88" i="10"/>
  <c r="BX88" i="10"/>
  <c r="BW88" i="10"/>
  <c r="BU88" i="10"/>
  <c r="BT88" i="10"/>
  <c r="BS88" i="10"/>
  <c r="BR88" i="10"/>
  <c r="BQ88" i="10"/>
  <c r="BV88" i="10" s="1"/>
  <c r="CA88" i="10" s="1"/>
  <c r="CF88" i="10" s="1"/>
  <c r="CK88" i="10" s="1"/>
  <c r="CP88" i="10" s="1"/>
  <c r="CU88" i="10" s="1"/>
  <c r="CZ88" i="10" s="1"/>
  <c r="DE88" i="10" s="1"/>
  <c r="DJ88" i="10" s="1"/>
  <c r="DO88" i="10" s="1"/>
  <c r="BJ88" i="10"/>
  <c r="BI88" i="10" s="1"/>
  <c r="BF88" i="10"/>
  <c r="BE88" i="10"/>
  <c r="BD88" i="10" s="1"/>
  <c r="AZ88" i="10"/>
  <c r="AY88" i="10" s="1"/>
  <c r="AU88" i="10"/>
  <c r="AT88" i="10" s="1"/>
  <c r="AP88" i="10"/>
  <c r="AO88" i="10" s="1"/>
  <c r="AK88" i="10"/>
  <c r="AJ88" i="10" s="1"/>
  <c r="AF88" i="10"/>
  <c r="AD88" i="10" s="1"/>
  <c r="AA88" i="10"/>
  <c r="Z88" i="10" s="1"/>
  <c r="V88" i="10"/>
  <c r="U88" i="10" s="1"/>
  <c r="Q88" i="10"/>
  <c r="P88" i="10" s="1"/>
  <c r="L88" i="10"/>
  <c r="E88" i="10"/>
  <c r="E64" i="10"/>
  <c r="G180" i="10"/>
  <c r="G175" i="10"/>
  <c r="G156" i="10"/>
  <c r="G127" i="10"/>
  <c r="G94" i="10"/>
  <c r="G66" i="10"/>
  <c r="G29" i="10"/>
  <c r="G30" i="10" s="1"/>
  <c r="AG97" i="10" l="1"/>
  <c r="BC97" i="10"/>
  <c r="W97" i="10"/>
  <c r="M97" i="10"/>
  <c r="Y97" i="10"/>
  <c r="AL97" i="10"/>
  <c r="BA97" i="10"/>
  <c r="AQ97" i="10"/>
  <c r="CV97" i="10"/>
  <c r="CX97" i="10"/>
  <c r="CW97" i="10"/>
  <c r="CY97" i="10"/>
  <c r="AS97" i="10"/>
  <c r="AR97" i="10"/>
  <c r="BB97" i="10"/>
  <c r="BF97" i="10"/>
  <c r="N97" i="10"/>
  <c r="P97" i="10"/>
  <c r="X97" i="10"/>
  <c r="AB97" i="10"/>
  <c r="AN97" i="10"/>
  <c r="BH97" i="10"/>
  <c r="DI97" i="10"/>
  <c r="DG97" i="10"/>
  <c r="DC97" i="10"/>
  <c r="DA97" i="10"/>
  <c r="DJ97" i="10"/>
  <c r="DH97" i="10"/>
  <c r="DF97" i="10"/>
  <c r="DD97" i="10"/>
  <c r="DB97" i="10"/>
  <c r="AV97" i="10"/>
  <c r="AX97" i="10"/>
  <c r="R97" i="10"/>
  <c r="T97" i="10"/>
  <c r="AD97" i="10"/>
  <c r="S97" i="10"/>
  <c r="AC97" i="10"/>
  <c r="AM97" i="10"/>
  <c r="AW97" i="10"/>
  <c r="BG97" i="10"/>
  <c r="AV88" i="10"/>
  <c r="BH88" i="10"/>
  <c r="R88" i="10"/>
  <c r="AL88" i="10"/>
  <c r="T88" i="10"/>
  <c r="AN88" i="10"/>
  <c r="AX88" i="10"/>
  <c r="BG88" i="10"/>
  <c r="S88" i="10"/>
  <c r="W88" i="10"/>
  <c r="AB88" i="10"/>
  <c r="AM88" i="10"/>
  <c r="AQ88" i="10"/>
  <c r="G128" i="10"/>
  <c r="G130" i="10" s="1"/>
  <c r="M88" i="10"/>
  <c r="AC88" i="10"/>
  <c r="AE88" i="10"/>
  <c r="AG88" i="10"/>
  <c r="AW88" i="10"/>
  <c r="BA88" i="10"/>
  <c r="O88" i="10"/>
  <c r="Y88" i="10"/>
  <c r="AI88" i="10"/>
  <c r="AS88" i="10"/>
  <c r="BC88" i="10"/>
  <c r="N88" i="10"/>
  <c r="X88" i="10"/>
  <c r="AH88" i="10"/>
  <c r="AR88" i="10"/>
  <c r="BB88" i="10"/>
  <c r="G32" i="10"/>
  <c r="DO97" i="10" l="1"/>
  <c r="G12" i="10"/>
  <c r="AV186" i="7" l="1"/>
  <c r="AS186" i="7"/>
  <c r="AV185" i="7"/>
  <c r="AS185" i="7"/>
  <c r="AU149" i="7"/>
  <c r="AT149" i="7"/>
  <c r="AS149" i="7"/>
  <c r="AU146" i="7"/>
  <c r="AT146" i="7"/>
  <c r="AS146" i="7"/>
  <c r="AU143" i="7"/>
  <c r="AT143" i="7"/>
  <c r="AS143" i="7"/>
  <c r="AW107" i="5"/>
  <c r="AU107" i="5"/>
  <c r="AT107" i="5"/>
  <c r="AS107" i="5"/>
  <c r="AU40" i="9"/>
  <c r="AT40" i="9"/>
  <c r="AS40" i="9"/>
  <c r="AU39" i="9"/>
  <c r="AT39" i="9"/>
  <c r="AS39" i="9"/>
  <c r="AU36" i="9"/>
  <c r="AT36" i="9"/>
  <c r="AS36" i="9"/>
  <c r="AU33" i="9"/>
  <c r="AT33" i="9"/>
  <c r="AS33" i="9"/>
  <c r="AU32" i="9"/>
  <c r="AT32" i="9"/>
  <c r="AS32" i="9"/>
  <c r="AU29" i="9"/>
  <c r="AT29" i="9"/>
  <c r="AS29" i="9"/>
  <c r="AU15" i="9"/>
  <c r="AT15" i="9"/>
  <c r="AS15" i="9"/>
  <c r="AU14" i="9"/>
  <c r="AT14" i="9"/>
  <c r="AS14" i="9"/>
  <c r="AU13" i="9"/>
  <c r="AT13" i="9"/>
  <c r="AS13" i="9"/>
  <c r="AU12" i="9"/>
  <c r="AZ12" i="9" s="1"/>
  <c r="AT12" i="9"/>
  <c r="AY12" i="9" s="1"/>
  <c r="AS12" i="9"/>
  <c r="AX12" i="9" s="1"/>
  <c r="AV169" i="6"/>
  <c r="AS169" i="6"/>
  <c r="AW133" i="8"/>
  <c r="AV133" i="8"/>
  <c r="AS133" i="8"/>
  <c r="AW172" i="7"/>
  <c r="AW166" i="7" s="1"/>
  <c r="AV172" i="7"/>
  <c r="AS172" i="7"/>
  <c r="AU212" i="8" l="1"/>
  <c r="AT212" i="8"/>
  <c r="AS212" i="8"/>
  <c r="AU211" i="8"/>
  <c r="AT211" i="8"/>
  <c r="AS211" i="8"/>
  <c r="AW207" i="8"/>
  <c r="AV207" i="8"/>
  <c r="AU207" i="8"/>
  <c r="AT207" i="8"/>
  <c r="AS207" i="8"/>
  <c r="AV196" i="8"/>
  <c r="AV193" i="8"/>
  <c r="AW190" i="8"/>
  <c r="AV190" i="8"/>
  <c r="AV189" i="8"/>
  <c r="AV188" i="8"/>
  <c r="AV186" i="8"/>
  <c r="AW180" i="8"/>
  <c r="AW176" i="8"/>
  <c r="AV176" i="8"/>
  <c r="AU176" i="8"/>
  <c r="AT176" i="8"/>
  <c r="AS176" i="8"/>
  <c r="AW175" i="8"/>
  <c r="AV175" i="8"/>
  <c r="AU175" i="8"/>
  <c r="AT175" i="8"/>
  <c r="AT123" i="4" s="1"/>
  <c r="AS175" i="8"/>
  <c r="AW174" i="8"/>
  <c r="AV174" i="8"/>
  <c r="AU174" i="8"/>
  <c r="AT174" i="8"/>
  <c r="AS174" i="8"/>
  <c r="AW173" i="8"/>
  <c r="AW147" i="8" s="1"/>
  <c r="AV173" i="8"/>
  <c r="AU173" i="8"/>
  <c r="AT173" i="8"/>
  <c r="AS173" i="8"/>
  <c r="AW172" i="8"/>
  <c r="AW146" i="8" s="1"/>
  <c r="AV172" i="8"/>
  <c r="AU172" i="8"/>
  <c r="AT172" i="8"/>
  <c r="AS172" i="8"/>
  <c r="AS177" i="8" s="1"/>
  <c r="AW170" i="8"/>
  <c r="AW169" i="8"/>
  <c r="AV169" i="8"/>
  <c r="AU169" i="8"/>
  <c r="AT169" i="8"/>
  <c r="AS169" i="8"/>
  <c r="AW168" i="8"/>
  <c r="AV168" i="8"/>
  <c r="AU168" i="8"/>
  <c r="AT168" i="8"/>
  <c r="AS168" i="8"/>
  <c r="AW167" i="8"/>
  <c r="AV167" i="8"/>
  <c r="AV170" i="8" s="1"/>
  <c r="AU167" i="8"/>
  <c r="AT167" i="8"/>
  <c r="AS167" i="8"/>
  <c r="AS170" i="8" s="1"/>
  <c r="AW165" i="8"/>
  <c r="AW164" i="8"/>
  <c r="AV164" i="8"/>
  <c r="AU164" i="8"/>
  <c r="AT164" i="8"/>
  <c r="AS164" i="8"/>
  <c r="AW163" i="8"/>
  <c r="AV163" i="8"/>
  <c r="AU163" i="8"/>
  <c r="AT163" i="8"/>
  <c r="AS163" i="8"/>
  <c r="AW162" i="8"/>
  <c r="AV162" i="8"/>
  <c r="AU162" i="8"/>
  <c r="AT162" i="8"/>
  <c r="AS162" i="8"/>
  <c r="AW161" i="8"/>
  <c r="AV161" i="8"/>
  <c r="AU161" i="8"/>
  <c r="AT161" i="8"/>
  <c r="AS161" i="8"/>
  <c r="AW160" i="8"/>
  <c r="AV160" i="8"/>
  <c r="AU160" i="8"/>
  <c r="AT160" i="8"/>
  <c r="AS160" i="8"/>
  <c r="AW159" i="8"/>
  <c r="AV159" i="8"/>
  <c r="AV165" i="8" s="1"/>
  <c r="AU159" i="8"/>
  <c r="AT159" i="8"/>
  <c r="AS159" i="8"/>
  <c r="ED174" i="8"/>
  <c r="ED169" i="8"/>
  <c r="ED163" i="8"/>
  <c r="ED164" i="8"/>
  <c r="ED180" i="8"/>
  <c r="EC180" i="8"/>
  <c r="EC176" i="8"/>
  <c r="EC175" i="8"/>
  <c r="ED177" i="8"/>
  <c r="AW177" i="8" s="1"/>
  <c r="EC173" i="8"/>
  <c r="EC172" i="8"/>
  <c r="EC169" i="8"/>
  <c r="EC168" i="8"/>
  <c r="EC167" i="8"/>
  <c r="EC170" i="8" s="1"/>
  <c r="EC164" i="8"/>
  <c r="EC163" i="8"/>
  <c r="EC162" i="8"/>
  <c r="EC161" i="8"/>
  <c r="EC160" i="8"/>
  <c r="EC159" i="8"/>
  <c r="AU147" i="8"/>
  <c r="AT147" i="8"/>
  <c r="AS147" i="8"/>
  <c r="AU146" i="8"/>
  <c r="AT146" i="8"/>
  <c r="AS146" i="8"/>
  <c r="AU140" i="8"/>
  <c r="AU141" i="8" s="1"/>
  <c r="AT140" i="8"/>
  <c r="AT141" i="8" s="1"/>
  <c r="AS140" i="8"/>
  <c r="AS141" i="8" s="1"/>
  <c r="AT138" i="8"/>
  <c r="AU137" i="8"/>
  <c r="AU138" i="8" s="1"/>
  <c r="AT137" i="8"/>
  <c r="AS137" i="8"/>
  <c r="AS138" i="8" s="1"/>
  <c r="AV122" i="8"/>
  <c r="AV120" i="8"/>
  <c r="AW118" i="8"/>
  <c r="AV117" i="8"/>
  <c r="AV116" i="8"/>
  <c r="AV118" i="8" s="1"/>
  <c r="AU110" i="8"/>
  <c r="AT110" i="8"/>
  <c r="AS110" i="8"/>
  <c r="AU107" i="8"/>
  <c r="AT107" i="8"/>
  <c r="AS107" i="8"/>
  <c r="AU104" i="8"/>
  <c r="AT104" i="8"/>
  <c r="AS104" i="8"/>
  <c r="AV96" i="8"/>
  <c r="AU96" i="8"/>
  <c r="AT96" i="8"/>
  <c r="AS96" i="8"/>
  <c r="AV86" i="8"/>
  <c r="AW85" i="8"/>
  <c r="AV84" i="8"/>
  <c r="AV83" i="8"/>
  <c r="AV82" i="8"/>
  <c r="AV81" i="8"/>
  <c r="AW76" i="8"/>
  <c r="AV75" i="8"/>
  <c r="AV74" i="8"/>
  <c r="AV73" i="8"/>
  <c r="AV72" i="8"/>
  <c r="AV76" i="8" s="1"/>
  <c r="AU65" i="8"/>
  <c r="AT65" i="8"/>
  <c r="AS65" i="8"/>
  <c r="AT63" i="8"/>
  <c r="AS63" i="8"/>
  <c r="AT62" i="8"/>
  <c r="AS62" i="8"/>
  <c r="AW44" i="8"/>
  <c r="AV44" i="8"/>
  <c r="AW43" i="8"/>
  <c r="AV43" i="8"/>
  <c r="AV40" i="8"/>
  <c r="AV37" i="8"/>
  <c r="AV36" i="8"/>
  <c r="AV33" i="8"/>
  <c r="AW29" i="8"/>
  <c r="AV28" i="8"/>
  <c r="AV27" i="8"/>
  <c r="AW22" i="8"/>
  <c r="AV21" i="8"/>
  <c r="AV20" i="8"/>
  <c r="AV22" i="8" s="1"/>
  <c r="AW16" i="8"/>
  <c r="AW18" i="8" s="1"/>
  <c r="AV15" i="8"/>
  <c r="AV14" i="8"/>
  <c r="AV13" i="8"/>
  <c r="AV12" i="8"/>
  <c r="AW10" i="8"/>
  <c r="AV9" i="8"/>
  <c r="AV8" i="8"/>
  <c r="AW251" i="7"/>
  <c r="AV251" i="7"/>
  <c r="AU251" i="7"/>
  <c r="AT251" i="7"/>
  <c r="AS251" i="7"/>
  <c r="AW250" i="7"/>
  <c r="AV250" i="7"/>
  <c r="AU250" i="7"/>
  <c r="AT250" i="7"/>
  <c r="AS250" i="7"/>
  <c r="AW246" i="7"/>
  <c r="AV246" i="7"/>
  <c r="AU246" i="7"/>
  <c r="AT246" i="7"/>
  <c r="AS246" i="7"/>
  <c r="AW238" i="7"/>
  <c r="AW239" i="7" s="1"/>
  <c r="AU238" i="7"/>
  <c r="AU239" i="7" s="1"/>
  <c r="AT238" i="7"/>
  <c r="AT239" i="7" s="1"/>
  <c r="AS238" i="7"/>
  <c r="AS239" i="7" s="1"/>
  <c r="AW236" i="7"/>
  <c r="AU236" i="7"/>
  <c r="AT236" i="7"/>
  <c r="AS236" i="7"/>
  <c r="AW228" i="7"/>
  <c r="AV235" i="7"/>
  <c r="AV232" i="7"/>
  <c r="AW229" i="7"/>
  <c r="AV228" i="7"/>
  <c r="AV227" i="7"/>
  <c r="AV225" i="7"/>
  <c r="AW219" i="7"/>
  <c r="AW221" i="7" s="1"/>
  <c r="AW218" i="7"/>
  <c r="AW216" i="7"/>
  <c r="AW215" i="7"/>
  <c r="AV215" i="7"/>
  <c r="AU215" i="7"/>
  <c r="AT215" i="7"/>
  <c r="AS215" i="7"/>
  <c r="AW214" i="7"/>
  <c r="AV214" i="7"/>
  <c r="AU214" i="7"/>
  <c r="AT214" i="7"/>
  <c r="AS214" i="7"/>
  <c r="AW213" i="7"/>
  <c r="AV213" i="7"/>
  <c r="AU213" i="7"/>
  <c r="AT213" i="7"/>
  <c r="AS213" i="7"/>
  <c r="AW212" i="7"/>
  <c r="AW186" i="7" s="1"/>
  <c r="AV212" i="7"/>
  <c r="AU212" i="7"/>
  <c r="AT212" i="7"/>
  <c r="AT186" i="7" s="1"/>
  <c r="AS212" i="7"/>
  <c r="AS216" i="7" s="1"/>
  <c r="AW211" i="7"/>
  <c r="AW185" i="7" s="1"/>
  <c r="AV211" i="7"/>
  <c r="AV216" i="7" s="1"/>
  <c r="AU211" i="7"/>
  <c r="AU185" i="7" s="1"/>
  <c r="AT211" i="7"/>
  <c r="AS211" i="7"/>
  <c r="AW209" i="7"/>
  <c r="AW208" i="7"/>
  <c r="AV208" i="7"/>
  <c r="AU208" i="7"/>
  <c r="AT208" i="7"/>
  <c r="AS208" i="7"/>
  <c r="AW207" i="7"/>
  <c r="AV207" i="7"/>
  <c r="AU207" i="7"/>
  <c r="AT207" i="7"/>
  <c r="AS207" i="7"/>
  <c r="AS209" i="7" s="1"/>
  <c r="AW206" i="7"/>
  <c r="AV206" i="7"/>
  <c r="AV209" i="7" s="1"/>
  <c r="AU206" i="7"/>
  <c r="AU172" i="7" s="1"/>
  <c r="AT206" i="7"/>
  <c r="AS206" i="7"/>
  <c r="AW204" i="7"/>
  <c r="AW203" i="7"/>
  <c r="AV203" i="7"/>
  <c r="AU203" i="7"/>
  <c r="AT203" i="7"/>
  <c r="AS203" i="7"/>
  <c r="AW202" i="7"/>
  <c r="AV202" i="7"/>
  <c r="AU202" i="7"/>
  <c r="AT202" i="7"/>
  <c r="AS202" i="7"/>
  <c r="AW201" i="7"/>
  <c r="AV201" i="7"/>
  <c r="AU201" i="7"/>
  <c r="AT201" i="7"/>
  <c r="AS201" i="7"/>
  <c r="AW200" i="7"/>
  <c r="AV200" i="7"/>
  <c r="AU200" i="7"/>
  <c r="AT200" i="7"/>
  <c r="AS200" i="7"/>
  <c r="AW199" i="7"/>
  <c r="AV199" i="7"/>
  <c r="AU199" i="7"/>
  <c r="AT199" i="7"/>
  <c r="AS199" i="7"/>
  <c r="AW198" i="7"/>
  <c r="AV198" i="7"/>
  <c r="AU198" i="7"/>
  <c r="AU204" i="7" s="1"/>
  <c r="AT198" i="7"/>
  <c r="AT204" i="7" s="1"/>
  <c r="AS198" i="7"/>
  <c r="ED214" i="7"/>
  <c r="ED213" i="7"/>
  <c r="ED208" i="7"/>
  <c r="ED202" i="7"/>
  <c r="ED203" i="7"/>
  <c r="ED219" i="7"/>
  <c r="EC219" i="7"/>
  <c r="EC215" i="7"/>
  <c r="EC214" i="7"/>
  <c r="ED216" i="7"/>
  <c r="EC212" i="7"/>
  <c r="EC211" i="7"/>
  <c r="EC208" i="7"/>
  <c r="EC207" i="7"/>
  <c r="EC206" i="7"/>
  <c r="EC203" i="7"/>
  <c r="EC202" i="7"/>
  <c r="EC201" i="7"/>
  <c r="EC200" i="7"/>
  <c r="EC199" i="7"/>
  <c r="EC198" i="7"/>
  <c r="AU179" i="7"/>
  <c r="AU180" i="7" s="1"/>
  <c r="AT179" i="7"/>
  <c r="AT180" i="7" s="1"/>
  <c r="AS179" i="7"/>
  <c r="AS180" i="7" s="1"/>
  <c r="AU176" i="7"/>
  <c r="AU177" i="7" s="1"/>
  <c r="AT176" i="7"/>
  <c r="AT177" i="7" s="1"/>
  <c r="AS176" i="7"/>
  <c r="AS177" i="7" s="1"/>
  <c r="AW155" i="7"/>
  <c r="AV161" i="7"/>
  <c r="AV159" i="7"/>
  <c r="AW157" i="7"/>
  <c r="AV156" i="7"/>
  <c r="AV155" i="7"/>
  <c r="AV157" i="7" s="1"/>
  <c r="AW134" i="7"/>
  <c r="AV134" i="7"/>
  <c r="AU134" i="7"/>
  <c r="AT134" i="7"/>
  <c r="AS134" i="7"/>
  <c r="AW123" i="7"/>
  <c r="AW117" i="7"/>
  <c r="AV117" i="7"/>
  <c r="AU117" i="7"/>
  <c r="AU118" i="7" s="1"/>
  <c r="AT117" i="7"/>
  <c r="AS117" i="7"/>
  <c r="AS118" i="7" s="1"/>
  <c r="AU108" i="7"/>
  <c r="AT108" i="7"/>
  <c r="AS108" i="7"/>
  <c r="AV98" i="7"/>
  <c r="AW97" i="7"/>
  <c r="AV96" i="7"/>
  <c r="AV95" i="7"/>
  <c r="AV94" i="7"/>
  <c r="AV93" i="7"/>
  <c r="AV97" i="7" s="1"/>
  <c r="AW88" i="7"/>
  <c r="AV87" i="7"/>
  <c r="AV86" i="7"/>
  <c r="AV85" i="7"/>
  <c r="AV84" i="7"/>
  <c r="AU77" i="7"/>
  <c r="AT77" i="7"/>
  <c r="AS77" i="7"/>
  <c r="AT75" i="7"/>
  <c r="AT74" i="7"/>
  <c r="AW52" i="7"/>
  <c r="AV52" i="7"/>
  <c r="AW51" i="7"/>
  <c r="AV51" i="7"/>
  <c r="AV48" i="7"/>
  <c r="AV45" i="7"/>
  <c r="AV44" i="7"/>
  <c r="AV41" i="7"/>
  <c r="AW37" i="7"/>
  <c r="AV36" i="7"/>
  <c r="AV35" i="7"/>
  <c r="AW30" i="7"/>
  <c r="AV29" i="7"/>
  <c r="AV28" i="7"/>
  <c r="AV30" i="7" s="1"/>
  <c r="AV23" i="7"/>
  <c r="AV22" i="7"/>
  <c r="AV21" i="7"/>
  <c r="AV20" i="7"/>
  <c r="AW16" i="7"/>
  <c r="AW24" i="7" s="1"/>
  <c r="AV15" i="7"/>
  <c r="AV14" i="7"/>
  <c r="AV13" i="7"/>
  <c r="AW11" i="7"/>
  <c r="AW26" i="7" s="1"/>
  <c r="AV10" i="7"/>
  <c r="AV9" i="7"/>
  <c r="AV8" i="7"/>
  <c r="AU270" i="5"/>
  <c r="AT270" i="5"/>
  <c r="AS270" i="5"/>
  <c r="AW235" i="5"/>
  <c r="AW234" i="5"/>
  <c r="AV242" i="5"/>
  <c r="AV239" i="5"/>
  <c r="AW236" i="5"/>
  <c r="AV234" i="5"/>
  <c r="AV232" i="5"/>
  <c r="AW224" i="5"/>
  <c r="AW222" i="5"/>
  <c r="AV222" i="5"/>
  <c r="AU222" i="5"/>
  <c r="AT222" i="5"/>
  <c r="AS222" i="5"/>
  <c r="AW219" i="5"/>
  <c r="AV219" i="5"/>
  <c r="AU219" i="5"/>
  <c r="AT219" i="5"/>
  <c r="AS219" i="5"/>
  <c r="AW218" i="5"/>
  <c r="AV218" i="5"/>
  <c r="AU218" i="5"/>
  <c r="AT218" i="5"/>
  <c r="AS218" i="5"/>
  <c r="AW214" i="5"/>
  <c r="AV214" i="5"/>
  <c r="AU214" i="5"/>
  <c r="AT214" i="5"/>
  <c r="AS214" i="5"/>
  <c r="AW213" i="5"/>
  <c r="AV213" i="5"/>
  <c r="AU213" i="5"/>
  <c r="AT213" i="5"/>
  <c r="AS213" i="5"/>
  <c r="AW208" i="5"/>
  <c r="AV208" i="5"/>
  <c r="AU208" i="5"/>
  <c r="AT208" i="5"/>
  <c r="AT56" i="9" s="1"/>
  <c r="AS208" i="5"/>
  <c r="AW207" i="5"/>
  <c r="AV207" i="5"/>
  <c r="AU207" i="5"/>
  <c r="AT207" i="5"/>
  <c r="AS207" i="5"/>
  <c r="AW206" i="5"/>
  <c r="AV206" i="5"/>
  <c r="AU206" i="5"/>
  <c r="AT206" i="5"/>
  <c r="AS206" i="5"/>
  <c r="AW205" i="5"/>
  <c r="AV205" i="5"/>
  <c r="AU205" i="5"/>
  <c r="AT205" i="5"/>
  <c r="AS205" i="5"/>
  <c r="ED221" i="5"/>
  <c r="ED220" i="5"/>
  <c r="AW220" i="5" s="1"/>
  <c r="ED215" i="5"/>
  <c r="AW215" i="5" s="1"/>
  <c r="ED209" i="5"/>
  <c r="AW209" i="5" s="1"/>
  <c r="ED210" i="5"/>
  <c r="AW210" i="5" s="1"/>
  <c r="EC222" i="5"/>
  <c r="ED223" i="5"/>
  <c r="AW223" i="5" s="1"/>
  <c r="EC219" i="5"/>
  <c r="EC218" i="5"/>
  <c r="EC214" i="5"/>
  <c r="EC213" i="5"/>
  <c r="EC208" i="5"/>
  <c r="EC207" i="5"/>
  <c r="EC206" i="5"/>
  <c r="EC205" i="5"/>
  <c r="AW186" i="5"/>
  <c r="AW187" i="5" s="1"/>
  <c r="AU186" i="5"/>
  <c r="AU187" i="5" s="1"/>
  <c r="AT186" i="5"/>
  <c r="AT187" i="5" s="1"/>
  <c r="AS186" i="5"/>
  <c r="AS187" i="5" s="1"/>
  <c r="AW183" i="5"/>
  <c r="AW184" i="5" s="1"/>
  <c r="AU183" i="5"/>
  <c r="AU184" i="5" s="1"/>
  <c r="AT183" i="5"/>
  <c r="AT184" i="5" s="1"/>
  <c r="AS183" i="5"/>
  <c r="AS184" i="5" s="1"/>
  <c r="AV167" i="5"/>
  <c r="AW161" i="5"/>
  <c r="AW163" i="5" s="1"/>
  <c r="AV165" i="5"/>
  <c r="AV162" i="5"/>
  <c r="AV161" i="5"/>
  <c r="AU155" i="5"/>
  <c r="AT155" i="5"/>
  <c r="AS155" i="5"/>
  <c r="AU152" i="5"/>
  <c r="AT152" i="5"/>
  <c r="AS152" i="5"/>
  <c r="AU149" i="5"/>
  <c r="AT149" i="5"/>
  <c r="AS149" i="5"/>
  <c r="AW126" i="5"/>
  <c r="AW129" i="5" s="1"/>
  <c r="AU120" i="5"/>
  <c r="AT120" i="5"/>
  <c r="AS120" i="5"/>
  <c r="AW96" i="5"/>
  <c r="AW87" i="5"/>
  <c r="AW8" i="5"/>
  <c r="AW270" i="6"/>
  <c r="AV270" i="6"/>
  <c r="AU270" i="6"/>
  <c r="AT270" i="6"/>
  <c r="AS270" i="6"/>
  <c r="AV262" i="6"/>
  <c r="AU262" i="6"/>
  <c r="AT262" i="6"/>
  <c r="AS262" i="6"/>
  <c r="AT261" i="6"/>
  <c r="AW260" i="6"/>
  <c r="AV260" i="6"/>
  <c r="AU260" i="6"/>
  <c r="AT260" i="6"/>
  <c r="AS260" i="6"/>
  <c r="AS259" i="6"/>
  <c r="AW248" i="6"/>
  <c r="AV248" i="6"/>
  <c r="AU248" i="6"/>
  <c r="AT248" i="6"/>
  <c r="AS248" i="6"/>
  <c r="AW247" i="6"/>
  <c r="AV247" i="6"/>
  <c r="AU247" i="6"/>
  <c r="AT247" i="6"/>
  <c r="AS247" i="6"/>
  <c r="AW243" i="6"/>
  <c r="AV243" i="6"/>
  <c r="AU243" i="6"/>
  <c r="AT243" i="6"/>
  <c r="AS243" i="6"/>
  <c r="AW235" i="6"/>
  <c r="AW236" i="6" s="1"/>
  <c r="AV235" i="6"/>
  <c r="AV236" i="6" s="1"/>
  <c r="AW233" i="6"/>
  <c r="AV233" i="6"/>
  <c r="AW225" i="6"/>
  <c r="AW224" i="6"/>
  <c r="AW226" i="6" s="1"/>
  <c r="AV232" i="6"/>
  <c r="AV229" i="6"/>
  <c r="AV225" i="6"/>
  <c r="AV224" i="6"/>
  <c r="AV222" i="6"/>
  <c r="AW215" i="6"/>
  <c r="AW214" i="6"/>
  <c r="AW213" i="6"/>
  <c r="AW212" i="6"/>
  <c r="AV212" i="6"/>
  <c r="AU212" i="6"/>
  <c r="AT212" i="6"/>
  <c r="AS212" i="6"/>
  <c r="AW211" i="6"/>
  <c r="AV211" i="6"/>
  <c r="AV124" i="4" s="1"/>
  <c r="AU211" i="6"/>
  <c r="AT211" i="6"/>
  <c r="AT124" i="4" s="1"/>
  <c r="AS211" i="6"/>
  <c r="AW210" i="6"/>
  <c r="AV210" i="6"/>
  <c r="AU210" i="6"/>
  <c r="AT210" i="6"/>
  <c r="AS210" i="6"/>
  <c r="AW209" i="6"/>
  <c r="AW183" i="6" s="1"/>
  <c r="AV209" i="6"/>
  <c r="AV213" i="6" s="1"/>
  <c r="AU209" i="6"/>
  <c r="AT209" i="6"/>
  <c r="AT183" i="6" s="1"/>
  <c r="AS209" i="6"/>
  <c r="AW208" i="6"/>
  <c r="AW182" i="6" s="1"/>
  <c r="AV208" i="6"/>
  <c r="AU208" i="6"/>
  <c r="AU213" i="6" s="1"/>
  <c r="AT208" i="6"/>
  <c r="AS208" i="6"/>
  <c r="AS213" i="6" s="1"/>
  <c r="AW207" i="6"/>
  <c r="AW206" i="6"/>
  <c r="AW205" i="6"/>
  <c r="AV205" i="6"/>
  <c r="AU205" i="6"/>
  <c r="AT205" i="6"/>
  <c r="AS205" i="6"/>
  <c r="AW204" i="6"/>
  <c r="AV204" i="6"/>
  <c r="AU204" i="6"/>
  <c r="AU206" i="6" s="1"/>
  <c r="AT204" i="6"/>
  <c r="AS204" i="6"/>
  <c r="AS206" i="6" s="1"/>
  <c r="AW203" i="6"/>
  <c r="AW169" i="6" s="1"/>
  <c r="AW167" i="6" s="1"/>
  <c r="AV203" i="6"/>
  <c r="AV206" i="6" s="1"/>
  <c r="AU203" i="6"/>
  <c r="AU169" i="6" s="1"/>
  <c r="AU259" i="6" s="1"/>
  <c r="AT203" i="6"/>
  <c r="AS203" i="6"/>
  <c r="AW201" i="6"/>
  <c r="AW200" i="6"/>
  <c r="AV200" i="6"/>
  <c r="AU200" i="6"/>
  <c r="AT200" i="6"/>
  <c r="AS200" i="6"/>
  <c r="AW199" i="6"/>
  <c r="AV199" i="6"/>
  <c r="AU199" i="6"/>
  <c r="AT199" i="6"/>
  <c r="AS199" i="6"/>
  <c r="AW198" i="6"/>
  <c r="AW261" i="6" s="1"/>
  <c r="AV198" i="6"/>
  <c r="AV261" i="6" s="1"/>
  <c r="AU198" i="6"/>
  <c r="AU261" i="6" s="1"/>
  <c r="AT198" i="6"/>
  <c r="AS198" i="6"/>
  <c r="AS261" i="6" s="1"/>
  <c r="AW197" i="6"/>
  <c r="AV197" i="6"/>
  <c r="AU197" i="6"/>
  <c r="AT197" i="6"/>
  <c r="AS197" i="6"/>
  <c r="AW196" i="6"/>
  <c r="AV196" i="6"/>
  <c r="AU196" i="6"/>
  <c r="AT196" i="6"/>
  <c r="AS196" i="6"/>
  <c r="AW195" i="6"/>
  <c r="AV195" i="6"/>
  <c r="AV201" i="6" s="1"/>
  <c r="AV215" i="6" s="1"/>
  <c r="AU195" i="6"/>
  <c r="AU201" i="6" s="1"/>
  <c r="AU215" i="6" s="1"/>
  <c r="AT195" i="6"/>
  <c r="AS195" i="6"/>
  <c r="ED216" i="6"/>
  <c r="EC216" i="6"/>
  <c r="ED213" i="6"/>
  <c r="ED215" i="6" s="1"/>
  <c r="ED218" i="6" s="1"/>
  <c r="EC213" i="6"/>
  <c r="ED211" i="6"/>
  <c r="ED200" i="6"/>
  <c r="EC200" i="6" s="1"/>
  <c r="ED199" i="6"/>
  <c r="EC199" i="6" s="1"/>
  <c r="EC212" i="6"/>
  <c r="EC210" i="6"/>
  <c r="EC209" i="6"/>
  <c r="EC208" i="6"/>
  <c r="ED206" i="6"/>
  <c r="EC205" i="6"/>
  <c r="EC204" i="6"/>
  <c r="EC206" i="6" s="1"/>
  <c r="EC203" i="6"/>
  <c r="EC198" i="6"/>
  <c r="EC197" i="6"/>
  <c r="EC196" i="6"/>
  <c r="EC195" i="6"/>
  <c r="AU183" i="6"/>
  <c r="AS183" i="6"/>
  <c r="AT182" i="6"/>
  <c r="AW96" i="4"/>
  <c r="AW152" i="6"/>
  <c r="AW161" i="6"/>
  <c r="AW158" i="6"/>
  <c r="AV158" i="6"/>
  <c r="AV156" i="6"/>
  <c r="AW154" i="6"/>
  <c r="AV153" i="6"/>
  <c r="AV152" i="6"/>
  <c r="AU146" i="6"/>
  <c r="AT146" i="6"/>
  <c r="AS146" i="6"/>
  <c r="AU143" i="6"/>
  <c r="AT143" i="6"/>
  <c r="AS143" i="6"/>
  <c r="AU140" i="6"/>
  <c r="AT140" i="6"/>
  <c r="AS140" i="6"/>
  <c r="AU132" i="6"/>
  <c r="AT132" i="6"/>
  <c r="AT135" i="6" s="1"/>
  <c r="AS132" i="6"/>
  <c r="AW120" i="6"/>
  <c r="AW133" i="6" s="1"/>
  <c r="AV95" i="6"/>
  <c r="AW94" i="6"/>
  <c r="AV94" i="6"/>
  <c r="AV93" i="6"/>
  <c r="AV92" i="6"/>
  <c r="AV91" i="6"/>
  <c r="AV90" i="6"/>
  <c r="AW85" i="6"/>
  <c r="AV84" i="6"/>
  <c r="AV83" i="6"/>
  <c r="AV82" i="6"/>
  <c r="AV81" i="6"/>
  <c r="AU73" i="6"/>
  <c r="AT73" i="6"/>
  <c r="AS73" i="6"/>
  <c r="AW13" i="6"/>
  <c r="AW51" i="6"/>
  <c r="AV51" i="6"/>
  <c r="AW50" i="6"/>
  <c r="AV50" i="6"/>
  <c r="AV47" i="6"/>
  <c r="AV44" i="6"/>
  <c r="AV43" i="6"/>
  <c r="AV40" i="6"/>
  <c r="AW36" i="6"/>
  <c r="AV35" i="6"/>
  <c r="AV34" i="6"/>
  <c r="AV36" i="6" s="1"/>
  <c r="AW29" i="6"/>
  <c r="AV28" i="6"/>
  <c r="AV27" i="6"/>
  <c r="AV22" i="6"/>
  <c r="AV21" i="6"/>
  <c r="AV20" i="6"/>
  <c r="AV19" i="6"/>
  <c r="AV14" i="6"/>
  <c r="AW15" i="6"/>
  <c r="AW23" i="6" s="1"/>
  <c r="AW11" i="6"/>
  <c r="AV10" i="6"/>
  <c r="AV9" i="6"/>
  <c r="AV8" i="6"/>
  <c r="AW52" i="5"/>
  <c r="AV52" i="5"/>
  <c r="AW51" i="5"/>
  <c r="AV51" i="5"/>
  <c r="AV48" i="5"/>
  <c r="AV45" i="5"/>
  <c r="AV33" i="9" s="1"/>
  <c r="AV44" i="5"/>
  <c r="AV41" i="5"/>
  <c r="AW37" i="5"/>
  <c r="AV36" i="5"/>
  <c r="AV186" i="5" s="1"/>
  <c r="AV187" i="5" s="1"/>
  <c r="AV35" i="5"/>
  <c r="AW30" i="5"/>
  <c r="AV29" i="5"/>
  <c r="AV28" i="5"/>
  <c r="AV183" i="5" s="1"/>
  <c r="AV184" i="5" s="1"/>
  <c r="AV23" i="5"/>
  <c r="AV22" i="5"/>
  <c r="AV21" i="5"/>
  <c r="AV20" i="5"/>
  <c r="AW16" i="5"/>
  <c r="AW24" i="5" s="1"/>
  <c r="AV15" i="5"/>
  <c r="AV14" i="5"/>
  <c r="AV138" i="5" s="1"/>
  <c r="AV13" i="5"/>
  <c r="AV107" i="5" s="1"/>
  <c r="AV10" i="5"/>
  <c r="AV9" i="5"/>
  <c r="AV120" i="5" s="1"/>
  <c r="AW257" i="4"/>
  <c r="AU257" i="4"/>
  <c r="AT257" i="4"/>
  <c r="AS257" i="4"/>
  <c r="AW252" i="4"/>
  <c r="AS252" i="4"/>
  <c r="AW236" i="4"/>
  <c r="AU222" i="4"/>
  <c r="AT222" i="4"/>
  <c r="AS222" i="4"/>
  <c r="AU218" i="4"/>
  <c r="AT218" i="4"/>
  <c r="AS218" i="4"/>
  <c r="AU217" i="4"/>
  <c r="AT217" i="4"/>
  <c r="AT219" i="4" s="1"/>
  <c r="AS217" i="4"/>
  <c r="AS219" i="4" s="1"/>
  <c r="AU215" i="4"/>
  <c r="AT215" i="4"/>
  <c r="AS215" i="4"/>
  <c r="AW205" i="4"/>
  <c r="AW199" i="4"/>
  <c r="AW190" i="4"/>
  <c r="AW182" i="4"/>
  <c r="AV182" i="4" s="1"/>
  <c r="AW174" i="4"/>
  <c r="AW172" i="4"/>
  <c r="AW169" i="4"/>
  <c r="AV206" i="4"/>
  <c r="AW207" i="4"/>
  <c r="AW225" i="4" s="1"/>
  <c r="AV204" i="4"/>
  <c r="AV202" i="4"/>
  <c r="AV222" i="4" s="1"/>
  <c r="AV199" i="4"/>
  <c r="AV198" i="4"/>
  <c r="AV197" i="4"/>
  <c r="AV196" i="4"/>
  <c r="AV195" i="4"/>
  <c r="AV193" i="4"/>
  <c r="AW191" i="4"/>
  <c r="AV190" i="4"/>
  <c r="AV189" i="4"/>
  <c r="AV188" i="4"/>
  <c r="AV218" i="4" s="1"/>
  <c r="AV187" i="4"/>
  <c r="AV217" i="4" s="1"/>
  <c r="AV219" i="4" s="1"/>
  <c r="AV181" i="4"/>
  <c r="AV180" i="4"/>
  <c r="AV179" i="4"/>
  <c r="AV178" i="4"/>
  <c r="AV175" i="4"/>
  <c r="AV174" i="4"/>
  <c r="AV173" i="4"/>
  <c r="AV172" i="4"/>
  <c r="AV169" i="4"/>
  <c r="AV168" i="4"/>
  <c r="AV167" i="4"/>
  <c r="AV166" i="4"/>
  <c r="AV215" i="4" s="1"/>
  <c r="AW160" i="4"/>
  <c r="AU160" i="4"/>
  <c r="AT160" i="4"/>
  <c r="AS160" i="4"/>
  <c r="AW156" i="4"/>
  <c r="AV156" i="4" s="1"/>
  <c r="AU156" i="4"/>
  <c r="AT156" i="4"/>
  <c r="AS156" i="4"/>
  <c r="AU153" i="4"/>
  <c r="AW152" i="4"/>
  <c r="AU152" i="4"/>
  <c r="AT152" i="4"/>
  <c r="AT80" i="4" s="1"/>
  <c r="AS152" i="4"/>
  <c r="AW151" i="4"/>
  <c r="AW74" i="4" s="1"/>
  <c r="AS151" i="4"/>
  <c r="AS253" i="4" s="1"/>
  <c r="AW150" i="4"/>
  <c r="AV150" i="4" s="1"/>
  <c r="AU150" i="4"/>
  <c r="AT150" i="4"/>
  <c r="AS150" i="4"/>
  <c r="AW149" i="4"/>
  <c r="AV149" i="4" s="1"/>
  <c r="AU149" i="4"/>
  <c r="AT149" i="4"/>
  <c r="AS149" i="4"/>
  <c r="AW148" i="4"/>
  <c r="AU148" i="4"/>
  <c r="AT148" i="4"/>
  <c r="AT104" i="4" s="1"/>
  <c r="AS148" i="4"/>
  <c r="AW147" i="4"/>
  <c r="AW103" i="4" s="1"/>
  <c r="AV147" i="4"/>
  <c r="AV103" i="4" s="1"/>
  <c r="AU147" i="4"/>
  <c r="AU103" i="4" s="1"/>
  <c r="AT147" i="4"/>
  <c r="AS147" i="4"/>
  <c r="AS103" i="4" s="1"/>
  <c r="AW143" i="4"/>
  <c r="AV143" i="4" s="1"/>
  <c r="AU143" i="4"/>
  <c r="AT143" i="4"/>
  <c r="AS143" i="4"/>
  <c r="AW142" i="4"/>
  <c r="AV142" i="4" s="1"/>
  <c r="AU142" i="4"/>
  <c r="AT142" i="4"/>
  <c r="AS142" i="4"/>
  <c r="AW137" i="4"/>
  <c r="AV137" i="4"/>
  <c r="AU137" i="4"/>
  <c r="AT137" i="4"/>
  <c r="AS137" i="4"/>
  <c r="AW136" i="4"/>
  <c r="AV136" i="4" s="1"/>
  <c r="AU136" i="4"/>
  <c r="AT136" i="4"/>
  <c r="AS136" i="4"/>
  <c r="AW135" i="4"/>
  <c r="AV135" i="4" s="1"/>
  <c r="AU135" i="4"/>
  <c r="AT135" i="4"/>
  <c r="AS135" i="4"/>
  <c r="AW134" i="4"/>
  <c r="AV134" i="4" s="1"/>
  <c r="AU134" i="4"/>
  <c r="AT134" i="4"/>
  <c r="AS134" i="4"/>
  <c r="ED153" i="4"/>
  <c r="AW153" i="4" s="1"/>
  <c r="AV153" i="4" s="1"/>
  <c r="ED144" i="4"/>
  <c r="AW144" i="4" s="1"/>
  <c r="ED138" i="4"/>
  <c r="AW138" i="4" s="1"/>
  <c r="ED139" i="4"/>
  <c r="AW139" i="4" s="1"/>
  <c r="EC160" i="4"/>
  <c r="EC156" i="4"/>
  <c r="ED154" i="4"/>
  <c r="AW154" i="4" s="1"/>
  <c r="EC153" i="4"/>
  <c r="EC152" i="4"/>
  <c r="EC150" i="4"/>
  <c r="EC149" i="4"/>
  <c r="EC148" i="4"/>
  <c r="EC147" i="4"/>
  <c r="EC143" i="4"/>
  <c r="EC142" i="4"/>
  <c r="EC137" i="4"/>
  <c r="EC136" i="4"/>
  <c r="EC135" i="4"/>
  <c r="EC134" i="4"/>
  <c r="AS129" i="4"/>
  <c r="AT125" i="4"/>
  <c r="AW124" i="4"/>
  <c r="AU124" i="4"/>
  <c r="AS124" i="4"/>
  <c r="AW123" i="4"/>
  <c r="AV123" i="4"/>
  <c r="AU123" i="4"/>
  <c r="AS123" i="4"/>
  <c r="AW122" i="4"/>
  <c r="AV122" i="4"/>
  <c r="AU122" i="4"/>
  <c r="AT122" i="4"/>
  <c r="AS122" i="4"/>
  <c r="AU94" i="4"/>
  <c r="AS74" i="4"/>
  <c r="AW71" i="4"/>
  <c r="AV55" i="4"/>
  <c r="AV36" i="9" s="1"/>
  <c r="AV58" i="4"/>
  <c r="AV52" i="4"/>
  <c r="AV51" i="4"/>
  <c r="AV48" i="4"/>
  <c r="AW44" i="4"/>
  <c r="AW25" i="9" s="1"/>
  <c r="AV43" i="4"/>
  <c r="AV42" i="4"/>
  <c r="AV44" i="4" s="1"/>
  <c r="AW37" i="4"/>
  <c r="AW20" i="9" s="1"/>
  <c r="AV36" i="4"/>
  <c r="AV35" i="4"/>
  <c r="AV34" i="4"/>
  <c r="AV23" i="4"/>
  <c r="AV22" i="4"/>
  <c r="AV21" i="4"/>
  <c r="AV20" i="4"/>
  <c r="AW16" i="4"/>
  <c r="AV15" i="4"/>
  <c r="AV14" i="4"/>
  <c r="AV13" i="4"/>
  <c r="AW11" i="4"/>
  <c r="AV10" i="4"/>
  <c r="AV9" i="4"/>
  <c r="AV8" i="4"/>
  <c r="AS104" i="4" l="1"/>
  <c r="AV152" i="4"/>
  <c r="AW80" i="4"/>
  <c r="AV183" i="4"/>
  <c r="AU219" i="4"/>
  <c r="AT252" i="4"/>
  <c r="AW253" i="4"/>
  <c r="AV13" i="9"/>
  <c r="AT103" i="4"/>
  <c r="AU125" i="4"/>
  <c r="AU80" i="4"/>
  <c r="AV16" i="4"/>
  <c r="AV37" i="4"/>
  <c r="AU104" i="4"/>
  <c r="AS125" i="4"/>
  <c r="AS80" i="4"/>
  <c r="AV236" i="4"/>
  <c r="AU252" i="4"/>
  <c r="AV29" i="9"/>
  <c r="AV11" i="4"/>
  <c r="AV148" i="4"/>
  <c r="AV104" i="4" s="1"/>
  <c r="AW104" i="4"/>
  <c r="AW228" i="4"/>
  <c r="AW226" i="4" s="1"/>
  <c r="AV32" i="9"/>
  <c r="AT201" i="6"/>
  <c r="AW259" i="6"/>
  <c r="AW54" i="9"/>
  <c r="AV55" i="9"/>
  <c r="AS55" i="9"/>
  <c r="AW55" i="9"/>
  <c r="AU56" i="9"/>
  <c r="AT55" i="9"/>
  <c r="AV56" i="9"/>
  <c r="AS201" i="6"/>
  <c r="AS215" i="6" s="1"/>
  <c r="AT206" i="6"/>
  <c r="AT169" i="6"/>
  <c r="AT259" i="6" s="1"/>
  <c r="EC165" i="8"/>
  <c r="AS165" i="8"/>
  <c r="AS179" i="8" s="1"/>
  <c r="AT170" i="8"/>
  <c r="AT133" i="8"/>
  <c r="AT177" i="8"/>
  <c r="AT165" i="8"/>
  <c r="AU170" i="8"/>
  <c r="AU133" i="8"/>
  <c r="AU177" i="8"/>
  <c r="AU55" i="9"/>
  <c r="AS56" i="9"/>
  <c r="AW56" i="9"/>
  <c r="AU165" i="8"/>
  <c r="EC204" i="7"/>
  <c r="AV204" i="7"/>
  <c r="AS204" i="7"/>
  <c r="AS218" i="7" s="1"/>
  <c r="AT209" i="7"/>
  <c r="AT172" i="7"/>
  <c r="AT216" i="7"/>
  <c r="AT185" i="7"/>
  <c r="AU209" i="7"/>
  <c r="AU218" i="7" s="1"/>
  <c r="AU216" i="7"/>
  <c r="AU186" i="7"/>
  <c r="AV14" i="9"/>
  <c r="AV152" i="5"/>
  <c r="AU54" i="9"/>
  <c r="AV60" i="9"/>
  <c r="AV179" i="5"/>
  <c r="AV269" i="5" s="1"/>
  <c r="AV64" i="9"/>
  <c r="AV192" i="5"/>
  <c r="AU65" i="9"/>
  <c r="AU50" i="9" s="1"/>
  <c r="AU193" i="5"/>
  <c r="AW221" i="5"/>
  <c r="AW121" i="4" s="1"/>
  <c r="AS271" i="5"/>
  <c r="AW67" i="9"/>
  <c r="AV15" i="9"/>
  <c r="AV155" i="5"/>
  <c r="AW120" i="5"/>
  <c r="AS121" i="5" s="1"/>
  <c r="AV54" i="9"/>
  <c r="AS60" i="9"/>
  <c r="AS179" i="5"/>
  <c r="AS269" i="5" s="1"/>
  <c r="AW60" i="9"/>
  <c r="AW97" i="4" s="1"/>
  <c r="AW179" i="5"/>
  <c r="AS192" i="5"/>
  <c r="AS64" i="9"/>
  <c r="AS49" i="9" s="1"/>
  <c r="AW192" i="5"/>
  <c r="AW64" i="9"/>
  <c r="AV193" i="5"/>
  <c r="AT271" i="5"/>
  <c r="AV12" i="9"/>
  <c r="BA12" i="9" s="1"/>
  <c r="AV149" i="5"/>
  <c r="AS54" i="9"/>
  <c r="AT60" i="9"/>
  <c r="AT179" i="5"/>
  <c r="AT269" i="5" s="1"/>
  <c r="AT192" i="5"/>
  <c r="AT64" i="9"/>
  <c r="AT49" i="9" s="1"/>
  <c r="AS65" i="9"/>
  <c r="AS50" i="9" s="1"/>
  <c r="AS193" i="5"/>
  <c r="AW65" i="9"/>
  <c r="AW66" i="9" s="1"/>
  <c r="AW193" i="5"/>
  <c r="AU271" i="5"/>
  <c r="AV163" i="5"/>
  <c r="AT54" i="9"/>
  <c r="AU60" i="9"/>
  <c r="AU179" i="5"/>
  <c r="AU269" i="5" s="1"/>
  <c r="AU64" i="9"/>
  <c r="AU49" i="9" s="1"/>
  <c r="AU192" i="5"/>
  <c r="AT65" i="9"/>
  <c r="AT50" i="9" s="1"/>
  <c r="AT193" i="5"/>
  <c r="AV270" i="5"/>
  <c r="AW270" i="5" s="1"/>
  <c r="AV271" i="5"/>
  <c r="AW100" i="6"/>
  <c r="AV96" i="6"/>
  <c r="AV106" i="6" s="1"/>
  <c r="AT118" i="7"/>
  <c r="AW103" i="7"/>
  <c r="AT137" i="7"/>
  <c r="AV137" i="7"/>
  <c r="AV118" i="7"/>
  <c r="AW135" i="7"/>
  <c r="AW139" i="5"/>
  <c r="AW102" i="5"/>
  <c r="AW24" i="4"/>
  <c r="AW31" i="4" s="1"/>
  <c r="AW39" i="4" s="1"/>
  <c r="AW234" i="4" s="1"/>
  <c r="AW247" i="4" s="1"/>
  <c r="AW9" i="9"/>
  <c r="AW16" i="9" s="1"/>
  <c r="AV24" i="4"/>
  <c r="AV257" i="4"/>
  <c r="AV177" i="8"/>
  <c r="AW269" i="5"/>
  <c r="AW199" i="8"/>
  <c r="AT179" i="8"/>
  <c r="AV179" i="8"/>
  <c r="ED165" i="8"/>
  <c r="ED170" i="8"/>
  <c r="EC174" i="8"/>
  <c r="EC177" i="8" s="1"/>
  <c r="EC179" i="8" s="1"/>
  <c r="EC182" i="8" s="1"/>
  <c r="AW96" i="8"/>
  <c r="AV85" i="8"/>
  <c r="AW91" i="8"/>
  <c r="AV91" i="8"/>
  <c r="AV87" i="8"/>
  <c r="AV97" i="8" s="1"/>
  <c r="AW77" i="8"/>
  <c r="AW87" i="8"/>
  <c r="AV29" i="8"/>
  <c r="AV16" i="8"/>
  <c r="AV18" i="8" s="1"/>
  <c r="AW24" i="8"/>
  <c r="AW205" i="8" s="1"/>
  <c r="AW218" i="8" s="1"/>
  <c r="AW28" i="4"/>
  <c r="AV10" i="8"/>
  <c r="AV238" i="7"/>
  <c r="AV229" i="7"/>
  <c r="AT218" i="7"/>
  <c r="AV218" i="7"/>
  <c r="EC209" i="7"/>
  <c r="EC216" i="7"/>
  <c r="ED204" i="7"/>
  <c r="ED209" i="7"/>
  <c r="EC213" i="7"/>
  <c r="AS137" i="7"/>
  <c r="AU137" i="7"/>
  <c r="AW137" i="7"/>
  <c r="AW125" i="7"/>
  <c r="AW129" i="7" s="1"/>
  <c r="AV88" i="7"/>
  <c r="AV103" i="7" s="1"/>
  <c r="AV99" i="7"/>
  <c r="AV109" i="7" s="1"/>
  <c r="AW89" i="7"/>
  <c r="AW99" i="7"/>
  <c r="AW109" i="7" s="1"/>
  <c r="AV37" i="7"/>
  <c r="AV16" i="7"/>
  <c r="AV11" i="7"/>
  <c r="AV18" i="7" s="1"/>
  <c r="AW32" i="7"/>
  <c r="AW244" i="7" s="1"/>
  <c r="AW257" i="7" s="1"/>
  <c r="AW27" i="4"/>
  <c r="AV24" i="7"/>
  <c r="AV26" i="7" s="1"/>
  <c r="AW18" i="7"/>
  <c r="AW245" i="5"/>
  <c r="AW246" i="5" s="1"/>
  <c r="AV236" i="5"/>
  <c r="AV235" i="5"/>
  <c r="ED211" i="5"/>
  <c r="AW211" i="5" s="1"/>
  <c r="ED216" i="5"/>
  <c r="AW216" i="5" s="1"/>
  <c r="AW88" i="5"/>
  <c r="AW98" i="5"/>
  <c r="AW108" i="5" s="1"/>
  <c r="AV37" i="5"/>
  <c r="AV25" i="9" s="1"/>
  <c r="AV30" i="5"/>
  <c r="AV16" i="5"/>
  <c r="AV24" i="5" s="1"/>
  <c r="AV226" i="6"/>
  <c r="AT213" i="6"/>
  <c r="AT215" i="6" s="1"/>
  <c r="AV161" i="6"/>
  <c r="AS182" i="6"/>
  <c r="AU182" i="6"/>
  <c r="EC201" i="6"/>
  <c r="EC215" i="6" s="1"/>
  <c r="EC218" i="6" s="1"/>
  <c r="ED201" i="6"/>
  <c r="EC211" i="6"/>
  <c r="AV154" i="6"/>
  <c r="AS135" i="6"/>
  <c r="AU135" i="6"/>
  <c r="AW96" i="6"/>
  <c r="AW106" i="6" s="1"/>
  <c r="AV85" i="6"/>
  <c r="AV100" i="6" s="1"/>
  <c r="AW86" i="6"/>
  <c r="AV29" i="6"/>
  <c r="AV11" i="6"/>
  <c r="AW25" i="6"/>
  <c r="AW31" i="6" s="1"/>
  <c r="AW241" i="6" s="1"/>
  <c r="AW254" i="6" s="1"/>
  <c r="AV13" i="6"/>
  <c r="AV15" i="6" s="1"/>
  <c r="AV23" i="6" s="1"/>
  <c r="AW17" i="6"/>
  <c r="AW11" i="5"/>
  <c r="AW8" i="9" s="1"/>
  <c r="AV200" i="4"/>
  <c r="AV191" i="4"/>
  <c r="AV176" i="4"/>
  <c r="AV170" i="4"/>
  <c r="AW170" i="4"/>
  <c r="AW176" i="4"/>
  <c r="AW183" i="4"/>
  <c r="AW200" i="4"/>
  <c r="AW209" i="4" s="1"/>
  <c r="AV205" i="4"/>
  <c r="AV207" i="4" s="1"/>
  <c r="AV225" i="4" s="1"/>
  <c r="AW125" i="4"/>
  <c r="AV160" i="4"/>
  <c r="ED140" i="4"/>
  <c r="AW140" i="4" s="1"/>
  <c r="AW158" i="4" s="1"/>
  <c r="ED145" i="4"/>
  <c r="AW145" i="4" s="1"/>
  <c r="AV31" i="4"/>
  <c r="AV18" i="4"/>
  <c r="AW18" i="4"/>
  <c r="AW62" i="9" l="1"/>
  <c r="AW58" i="9"/>
  <c r="AW57" i="9" s="1"/>
  <c r="AW229" i="4"/>
  <c r="AW223" i="4"/>
  <c r="AW220" i="4"/>
  <c r="AV125" i="4"/>
  <c r="AV80" i="4"/>
  <c r="AV252" i="4"/>
  <c r="AV228" i="4"/>
  <c r="AV65" i="9"/>
  <c r="AU179" i="8"/>
  <c r="AW61" i="9"/>
  <c r="AW133" i="5"/>
  <c r="AT121" i="5"/>
  <c r="AV121" i="5"/>
  <c r="AW271" i="5"/>
  <c r="AW69" i="9"/>
  <c r="AU121" i="5"/>
  <c r="AW172" i="5"/>
  <c r="AW170" i="5"/>
  <c r="AW93" i="4"/>
  <c r="AV170" i="5"/>
  <c r="BQ64" i="3"/>
  <c r="BN78" i="4"/>
  <c r="BQ78" i="4"/>
  <c r="BO78" i="4"/>
  <c r="BO79" i="4" s="1"/>
  <c r="BO80" i="4" s="1"/>
  <c r="BO152" i="4" s="1"/>
  <c r="BM78" i="4"/>
  <c r="BP78" i="4"/>
  <c r="AV20" i="9"/>
  <c r="AV9" i="9"/>
  <c r="AW10" i="9"/>
  <c r="AW18" i="9"/>
  <c r="AW212" i="8"/>
  <c r="AW211" i="8"/>
  <c r="AW197" i="8"/>
  <c r="AV199" i="8"/>
  <c r="AW194" i="8"/>
  <c r="AW191" i="8"/>
  <c r="AW200" i="8"/>
  <c r="ED179" i="8"/>
  <c r="AW97" i="8"/>
  <c r="AW78" i="8"/>
  <c r="AW99" i="8" s="1"/>
  <c r="AV28" i="4"/>
  <c r="AV24" i="8"/>
  <c r="AV31" i="8" s="1"/>
  <c r="AW31" i="8"/>
  <c r="AW25" i="8"/>
  <c r="AW206" i="8" s="1"/>
  <c r="AW213" i="8" s="1"/>
  <c r="AV239" i="7"/>
  <c r="AV236" i="7"/>
  <c r="AW230" i="7"/>
  <c r="AW233" i="7"/>
  <c r="EC218" i="7"/>
  <c r="EC221" i="7" s="1"/>
  <c r="ED218" i="7"/>
  <c r="ED221" i="7" s="1"/>
  <c r="AW90" i="7"/>
  <c r="AW111" i="7" s="1"/>
  <c r="AV27" i="4"/>
  <c r="AV32" i="7"/>
  <c r="AW39" i="7"/>
  <c r="AW33" i="7"/>
  <c r="AW245" i="7" s="1"/>
  <c r="AW252" i="7" s="1"/>
  <c r="AW237" i="5"/>
  <c r="AW243" i="5"/>
  <c r="AV245" i="5"/>
  <c r="AV246" i="5" s="1"/>
  <c r="AW240" i="5"/>
  <c r="ED225" i="5"/>
  <c r="AW89" i="5"/>
  <c r="AW110" i="5" s="1"/>
  <c r="AW227" i="6"/>
  <c r="AW230" i="6"/>
  <c r="AW87" i="6"/>
  <c r="AW108" i="6" s="1"/>
  <c r="AV25" i="6"/>
  <c r="AV31" i="6" s="1"/>
  <c r="AW38" i="6"/>
  <c r="AW32" i="6"/>
  <c r="AW242" i="6" s="1"/>
  <c r="AW249" i="6" s="1"/>
  <c r="AV17" i="6"/>
  <c r="AW26" i="5"/>
  <c r="AW18" i="5"/>
  <c r="AW240" i="4"/>
  <c r="AW241" i="4"/>
  <c r="AV209" i="4"/>
  <c r="AW185" i="4"/>
  <c r="ED158" i="4"/>
  <c r="AW46" i="4"/>
  <c r="AW40" i="4"/>
  <c r="AW235" i="4" s="1"/>
  <c r="AW242" i="4" s="1"/>
  <c r="AV39" i="4"/>
  <c r="AV223" i="4" l="1"/>
  <c r="AV220" i="4"/>
  <c r="AV241" i="4"/>
  <c r="AV240" i="4"/>
  <c r="AV229" i="4"/>
  <c r="AV226" i="4"/>
  <c r="AW225" i="5"/>
  <c r="AV16" i="9"/>
  <c r="BA9" i="9"/>
  <c r="BP79" i="4"/>
  <c r="BP80" i="4" s="1"/>
  <c r="BP152" i="4" s="1"/>
  <c r="BO252" i="4"/>
  <c r="BO125" i="4"/>
  <c r="BN79" i="4"/>
  <c r="BN80" i="4" s="1"/>
  <c r="BN152" i="4" s="1"/>
  <c r="BM79" i="4"/>
  <c r="AV29" i="4"/>
  <c r="AW42" i="6"/>
  <c r="AW71" i="6"/>
  <c r="AW70" i="6"/>
  <c r="AW35" i="8"/>
  <c r="AW63" i="8"/>
  <c r="AW62" i="8"/>
  <c r="AV63" i="8"/>
  <c r="AV62" i="8"/>
  <c r="AW43" i="7"/>
  <c r="AW75" i="7"/>
  <c r="AW74" i="7"/>
  <c r="AW22" i="9"/>
  <c r="AW30" i="4"/>
  <c r="AW50" i="4"/>
  <c r="AW54" i="4" s="1"/>
  <c r="AW117" i="4"/>
  <c r="AW116" i="4"/>
  <c r="AW256" i="4" s="1"/>
  <c r="AV212" i="8"/>
  <c r="AV211" i="8"/>
  <c r="ED182" i="8"/>
  <c r="AW179" i="8"/>
  <c r="AW182" i="8" s="1"/>
  <c r="AV197" i="8"/>
  <c r="AV200" i="8"/>
  <c r="AV194" i="8"/>
  <c r="AV191" i="8"/>
  <c r="AV25" i="8"/>
  <c r="AW39" i="8"/>
  <c r="AV233" i="7"/>
  <c r="AV230" i="7"/>
  <c r="AV39" i="7"/>
  <c r="AV33" i="7"/>
  <c r="AW47" i="7"/>
  <c r="AV243" i="5"/>
  <c r="AV240" i="5"/>
  <c r="AV237" i="5"/>
  <c r="AV230" i="6"/>
  <c r="AV227" i="6"/>
  <c r="AW46" i="6"/>
  <c r="AV38" i="6"/>
  <c r="AV32" i="6"/>
  <c r="AW29" i="4"/>
  <c r="AW32" i="5"/>
  <c r="AW26" i="4"/>
  <c r="AW211" i="4"/>
  <c r="AV185" i="4"/>
  <c r="AV211" i="4" s="1"/>
  <c r="AV46" i="4"/>
  <c r="AV40" i="4"/>
  <c r="BQ79" i="4" l="1"/>
  <c r="BN252" i="4"/>
  <c r="BN125" i="4"/>
  <c r="BP252" i="4"/>
  <c r="BP125" i="4"/>
  <c r="BM80" i="4"/>
  <c r="AV71" i="6"/>
  <c r="AV70" i="6"/>
  <c r="AW32" i="4"/>
  <c r="AV75" i="7"/>
  <c r="AV74" i="7"/>
  <c r="AV50" i="4"/>
  <c r="AV54" i="4" s="1"/>
  <c r="AV117" i="4"/>
  <c r="AV116" i="4"/>
  <c r="AV256" i="4" s="1"/>
  <c r="AW251" i="4"/>
  <c r="AW56" i="4"/>
  <c r="AW23" i="9"/>
  <c r="AW27" i="9"/>
  <c r="AW31" i="9" s="1"/>
  <c r="AW35" i="9" s="1"/>
  <c r="AW46" i="8"/>
  <c r="AW41" i="8"/>
  <c r="AW54" i="7"/>
  <c r="AW49" i="7"/>
  <c r="AW53" i="6"/>
  <c r="AW48" i="6"/>
  <c r="AW39" i="5"/>
  <c r="AW33" i="5"/>
  <c r="BQ80" i="4" l="1"/>
  <c r="BM152" i="4"/>
  <c r="AW54" i="6"/>
  <c r="AW244" i="6"/>
  <c r="AW240" i="6"/>
  <c r="AW47" i="8"/>
  <c r="AW208" i="8"/>
  <c r="AW204" i="8"/>
  <c r="AW55" i="7"/>
  <c r="AW247" i="7"/>
  <c r="AW243" i="7"/>
  <c r="AW43" i="5"/>
  <c r="AW74" i="5"/>
  <c r="AW73" i="5"/>
  <c r="AW37" i="9"/>
  <c r="AW42" i="9"/>
  <c r="AW254" i="4"/>
  <c r="AW255" i="4" s="1"/>
  <c r="AW233" i="4"/>
  <c r="AW237" i="4"/>
  <c r="AV56" i="4"/>
  <c r="AV251" i="4"/>
  <c r="AW47" i="5"/>
  <c r="B2" i="20"/>
  <c r="D9" i="20"/>
  <c r="D10" i="20"/>
  <c r="D11" i="20"/>
  <c r="D13" i="20"/>
  <c r="D14" i="20"/>
  <c r="D20" i="20"/>
  <c r="D21" i="20"/>
  <c r="D22" i="20"/>
  <c r="D24" i="20"/>
  <c r="D25" i="20"/>
  <c r="I19" i="20"/>
  <c r="I20" i="20" s="1"/>
  <c r="I21" i="20" s="1"/>
  <c r="D33" i="20"/>
  <c r="E33" i="20"/>
  <c r="F33" i="20"/>
  <c r="B2" i="10"/>
  <c r="L19" i="10"/>
  <c r="Q19" i="10"/>
  <c r="O19" i="10" s="1"/>
  <c r="V19" i="10"/>
  <c r="AA19" i="10"/>
  <c r="AF19" i="10"/>
  <c r="AE19" i="10" s="1"/>
  <c r="AK19" i="10"/>
  <c r="AI19" i="10" s="1"/>
  <c r="AP19" i="10"/>
  <c r="AL19" i="10" s="1"/>
  <c r="AZ19" i="10"/>
  <c r="AY19" i="10" s="1"/>
  <c r="BE19" i="10"/>
  <c r="BC19" i="10" s="1"/>
  <c r="BJ19" i="10"/>
  <c r="L20" i="10"/>
  <c r="Q20" i="10"/>
  <c r="P20" i="10" s="1"/>
  <c r="V20" i="10"/>
  <c r="T20" i="10" s="1"/>
  <c r="AA20" i="10"/>
  <c r="W20" i="10" s="1"/>
  <c r="AF20" i="10"/>
  <c r="AK20" i="10"/>
  <c r="AJ20" i="10" s="1"/>
  <c r="AP20" i="10"/>
  <c r="AU20" i="10"/>
  <c r="AZ20" i="10"/>
  <c r="AV20" i="10" s="1"/>
  <c r="BE20" i="10"/>
  <c r="BD20" i="10" s="1"/>
  <c r="L22" i="10"/>
  <c r="Q22" i="10"/>
  <c r="M22" i="10" s="1"/>
  <c r="V22" i="10"/>
  <c r="R22" i="10" s="1"/>
  <c r="AA22" i="10"/>
  <c r="X22" i="10" s="1"/>
  <c r="AF22" i="10"/>
  <c r="AB22" i="10" s="1"/>
  <c r="AK22" i="10"/>
  <c r="AG22" i="10" s="1"/>
  <c r="AP22" i="10"/>
  <c r="AU22" i="10"/>
  <c r="AR22" i="10" s="1"/>
  <c r="AZ22" i="10"/>
  <c r="AV22" i="10" s="1"/>
  <c r="BE22" i="10"/>
  <c r="BA22" i="10" s="1"/>
  <c r="BJ22" i="10"/>
  <c r="BF22" i="10" s="1"/>
  <c r="L23" i="10"/>
  <c r="Q23" i="10"/>
  <c r="M23" i="10" s="1"/>
  <c r="V23" i="10"/>
  <c r="R23" i="10" s="1"/>
  <c r="AA23" i="10"/>
  <c r="W23" i="10" s="1"/>
  <c r="AF23" i="10"/>
  <c r="AB23" i="10" s="1"/>
  <c r="AK23" i="10"/>
  <c r="AP23" i="10"/>
  <c r="AU23" i="10"/>
  <c r="AQ23" i="10" s="1"/>
  <c r="AZ23" i="10"/>
  <c r="AV23" i="10" s="1"/>
  <c r="BE23" i="10"/>
  <c r="BA23" i="10" s="1"/>
  <c r="BJ23" i="10"/>
  <c r="BF23" i="10" s="1"/>
  <c r="L24" i="10"/>
  <c r="Q24" i="10"/>
  <c r="M24" i="10" s="1"/>
  <c r="V24" i="10"/>
  <c r="U24" i="10" s="1"/>
  <c r="AA24" i="10"/>
  <c r="W24" i="10" s="1"/>
  <c r="AF24" i="10"/>
  <c r="AK24" i="10"/>
  <c r="AH24" i="10" s="1"/>
  <c r="AP24" i="10"/>
  <c r="AU24" i="10"/>
  <c r="AQ24" i="10" s="1"/>
  <c r="AZ24" i="10"/>
  <c r="BE24" i="10"/>
  <c r="BA24" i="10" s="1"/>
  <c r="BJ24" i="10"/>
  <c r="BI24" i="10" s="1"/>
  <c r="L25" i="10"/>
  <c r="Q25" i="10"/>
  <c r="O25" i="10" s="1"/>
  <c r="V25" i="10"/>
  <c r="T25" i="10" s="1"/>
  <c r="AA25" i="10"/>
  <c r="X25" i="10" s="1"/>
  <c r="AF25" i="10"/>
  <c r="AB25" i="10" s="1"/>
  <c r="AK25" i="10"/>
  <c r="AJ25" i="10" s="1"/>
  <c r="AP25" i="10"/>
  <c r="AN25" i="10" s="1"/>
  <c r="AU25" i="10"/>
  <c r="AR25" i="10" s="1"/>
  <c r="AZ25" i="10"/>
  <c r="AV25" i="10" s="1"/>
  <c r="BE25" i="10"/>
  <c r="BD25" i="10" s="1"/>
  <c r="BJ25" i="10"/>
  <c r="BH25" i="10" s="1"/>
  <c r="L26" i="10"/>
  <c r="Q26" i="10"/>
  <c r="M26" i="10" s="1"/>
  <c r="V26" i="10"/>
  <c r="R26" i="10" s="1"/>
  <c r="AA26" i="10"/>
  <c r="W26" i="10" s="1"/>
  <c r="AF26" i="10"/>
  <c r="AK26" i="10"/>
  <c r="AJ26" i="10" s="1"/>
  <c r="AP26" i="10"/>
  <c r="AU26" i="10"/>
  <c r="AZ26" i="10"/>
  <c r="AV26" i="10" s="1"/>
  <c r="BE26" i="10"/>
  <c r="BD26" i="10" s="1"/>
  <c r="BJ26" i="10"/>
  <c r="BH26" i="10" s="1"/>
  <c r="BQ19" i="10"/>
  <c r="BV19" i="10" s="1"/>
  <c r="CA19" i="10" s="1"/>
  <c r="CF19" i="10" s="1"/>
  <c r="CK19" i="10" s="1"/>
  <c r="CP19" i="10" s="1"/>
  <c r="CU19" i="10" s="1"/>
  <c r="BR19" i="10"/>
  <c r="BS19" i="10"/>
  <c r="BT19" i="10"/>
  <c r="BU19" i="10"/>
  <c r="BW19" i="10"/>
  <c r="BX19" i="10"/>
  <c r="BY19" i="10"/>
  <c r="BZ19" i="10"/>
  <c r="CB19" i="10"/>
  <c r="CC19" i="10"/>
  <c r="CD19" i="10"/>
  <c r="CE19" i="10"/>
  <c r="CG19" i="10"/>
  <c r="CH19" i="10"/>
  <c r="CI19" i="10"/>
  <c r="CJ19" i="10"/>
  <c r="CL19" i="10"/>
  <c r="CM19" i="10"/>
  <c r="CN19" i="10"/>
  <c r="CO19" i="10"/>
  <c r="CQ19" i="10"/>
  <c r="CR19" i="10"/>
  <c r="CS19" i="10"/>
  <c r="CT19" i="10"/>
  <c r="DF19" i="10"/>
  <c r="DG19" i="10"/>
  <c r="DH19" i="10"/>
  <c r="DI19" i="10"/>
  <c r="DK19" i="10"/>
  <c r="DL19" i="10"/>
  <c r="DM19" i="10"/>
  <c r="DN19" i="10"/>
  <c r="BQ20" i="10"/>
  <c r="BV20" i="10" s="1"/>
  <c r="CA20" i="10" s="1"/>
  <c r="CF20" i="10" s="1"/>
  <c r="CK20" i="10" s="1"/>
  <c r="CP20" i="10" s="1"/>
  <c r="CU20" i="10" s="1"/>
  <c r="CZ20" i="10" s="1"/>
  <c r="DE20" i="10" s="1"/>
  <c r="DJ20" i="10" s="1"/>
  <c r="BR20" i="10"/>
  <c r="BS20" i="10"/>
  <c r="BT20" i="10"/>
  <c r="BU20" i="10"/>
  <c r="BW20" i="10"/>
  <c r="BX20" i="10"/>
  <c r="BY20" i="10"/>
  <c r="BZ20" i="10"/>
  <c r="CB20" i="10"/>
  <c r="CC20" i="10"/>
  <c r="CD20" i="10"/>
  <c r="CE20" i="10"/>
  <c r="CG20" i="10"/>
  <c r="CH20" i="10"/>
  <c r="CI20" i="10"/>
  <c r="CJ20" i="10"/>
  <c r="CL20" i="10"/>
  <c r="CM20" i="10"/>
  <c r="CN20" i="10"/>
  <c r="CO20" i="10"/>
  <c r="CQ20" i="10"/>
  <c r="CR20" i="10"/>
  <c r="CS20" i="10"/>
  <c r="CT20" i="10"/>
  <c r="CV20" i="10"/>
  <c r="CW20" i="10"/>
  <c r="CX20" i="10"/>
  <c r="CY20" i="10"/>
  <c r="DA20" i="10"/>
  <c r="DB20" i="10"/>
  <c r="DC20" i="10"/>
  <c r="DD20" i="10"/>
  <c r="DF20" i="10"/>
  <c r="DG20" i="10"/>
  <c r="DH20" i="10"/>
  <c r="DI20" i="10"/>
  <c r="BQ22" i="10"/>
  <c r="BV22" i="10" s="1"/>
  <c r="CA22" i="10" s="1"/>
  <c r="CF22" i="10" s="1"/>
  <c r="CK22" i="10" s="1"/>
  <c r="CP22" i="10" s="1"/>
  <c r="CU22" i="10" s="1"/>
  <c r="CZ22" i="10" s="1"/>
  <c r="DE22" i="10" s="1"/>
  <c r="DJ22" i="10" s="1"/>
  <c r="DO22" i="10" s="1"/>
  <c r="BR22" i="10"/>
  <c r="BS22" i="10"/>
  <c r="BT22" i="10"/>
  <c r="BU22" i="10"/>
  <c r="BW22" i="10"/>
  <c r="BX22" i="10"/>
  <c r="BY22" i="10"/>
  <c r="BZ22" i="10"/>
  <c r="CB22" i="10"/>
  <c r="CC22" i="10"/>
  <c r="CD22" i="10"/>
  <c r="CE22" i="10"/>
  <c r="CG22" i="10"/>
  <c r="CH22" i="10"/>
  <c r="CI22" i="10"/>
  <c r="CJ22" i="10"/>
  <c r="CL22" i="10"/>
  <c r="CM22" i="10"/>
  <c r="CN22" i="10"/>
  <c r="CO22" i="10"/>
  <c r="CQ22" i="10"/>
  <c r="CR22" i="10"/>
  <c r="CS22" i="10"/>
  <c r="CT22" i="10"/>
  <c r="CV22" i="10"/>
  <c r="CW22" i="10"/>
  <c r="CX22" i="10"/>
  <c r="CY22" i="10"/>
  <c r="DA22" i="10"/>
  <c r="DB22" i="10"/>
  <c r="DC22" i="10"/>
  <c r="DD22" i="10"/>
  <c r="DF22" i="10"/>
  <c r="DG22" i="10"/>
  <c r="DH22" i="10"/>
  <c r="DI22" i="10"/>
  <c r="DK22" i="10"/>
  <c r="DL22" i="10"/>
  <c r="DM22" i="10"/>
  <c r="DN22" i="10"/>
  <c r="BQ23" i="10"/>
  <c r="BV23" i="10" s="1"/>
  <c r="CA23" i="10" s="1"/>
  <c r="CF23" i="10" s="1"/>
  <c r="CK23" i="10" s="1"/>
  <c r="CP23" i="10" s="1"/>
  <c r="CU23" i="10" s="1"/>
  <c r="CZ23" i="10" s="1"/>
  <c r="DE23" i="10" s="1"/>
  <c r="DJ23" i="10" s="1"/>
  <c r="DO23" i="10" s="1"/>
  <c r="BR23" i="10"/>
  <c r="BS23" i="10"/>
  <c r="BT23" i="10"/>
  <c r="BU23" i="10"/>
  <c r="BW23" i="10"/>
  <c r="BX23" i="10"/>
  <c r="BY23" i="10"/>
  <c r="BZ23" i="10"/>
  <c r="CB23" i="10"/>
  <c r="CC23" i="10"/>
  <c r="CD23" i="10"/>
  <c r="CE23" i="10"/>
  <c r="CG23" i="10"/>
  <c r="CH23" i="10"/>
  <c r="CI23" i="10"/>
  <c r="CJ23" i="10"/>
  <c r="CL23" i="10"/>
  <c r="CM23" i="10"/>
  <c r="CN23" i="10"/>
  <c r="CO23" i="10"/>
  <c r="CQ23" i="10"/>
  <c r="CR23" i="10"/>
  <c r="CS23" i="10"/>
  <c r="CT23" i="10"/>
  <c r="CV23" i="10"/>
  <c r="CW23" i="10"/>
  <c r="CX23" i="10"/>
  <c r="CY23" i="10"/>
  <c r="DA23" i="10"/>
  <c r="DB23" i="10"/>
  <c r="DC23" i="10"/>
  <c r="DD23" i="10"/>
  <c r="DF23" i="10"/>
  <c r="DG23" i="10"/>
  <c r="DH23" i="10"/>
  <c r="DI23" i="10"/>
  <c r="DK23" i="10"/>
  <c r="DL23" i="10"/>
  <c r="DM23" i="10"/>
  <c r="DN23" i="10"/>
  <c r="BQ24" i="10"/>
  <c r="BV24" i="10" s="1"/>
  <c r="CA24" i="10" s="1"/>
  <c r="CF24" i="10" s="1"/>
  <c r="CK24" i="10" s="1"/>
  <c r="CP24" i="10" s="1"/>
  <c r="CU24" i="10" s="1"/>
  <c r="CZ24" i="10" s="1"/>
  <c r="DE24" i="10" s="1"/>
  <c r="DJ24" i="10" s="1"/>
  <c r="DO24" i="10" s="1"/>
  <c r="BR24" i="10"/>
  <c r="BS24" i="10"/>
  <c r="BT24" i="10"/>
  <c r="BU24" i="10"/>
  <c r="BW24" i="10"/>
  <c r="BX24" i="10"/>
  <c r="BY24" i="10"/>
  <c r="BZ24" i="10"/>
  <c r="CB24" i="10"/>
  <c r="CC24" i="10"/>
  <c r="CD24" i="10"/>
  <c r="CE24" i="10"/>
  <c r="CG24" i="10"/>
  <c r="CH24" i="10"/>
  <c r="CI24" i="10"/>
  <c r="CJ24" i="10"/>
  <c r="CL24" i="10"/>
  <c r="CM24" i="10"/>
  <c r="CN24" i="10"/>
  <c r="CO24" i="10"/>
  <c r="CQ24" i="10"/>
  <c r="CR24" i="10"/>
  <c r="CS24" i="10"/>
  <c r="CT24" i="10"/>
  <c r="CV24" i="10"/>
  <c r="CW24" i="10"/>
  <c r="CX24" i="10"/>
  <c r="CY24" i="10"/>
  <c r="DA24" i="10"/>
  <c r="DB24" i="10"/>
  <c r="DC24" i="10"/>
  <c r="DD24" i="10"/>
  <c r="DF24" i="10"/>
  <c r="DG24" i="10"/>
  <c r="DH24" i="10"/>
  <c r="DI24" i="10"/>
  <c r="DK24" i="10"/>
  <c r="DL24" i="10"/>
  <c r="DM24" i="10"/>
  <c r="DN24" i="10"/>
  <c r="BQ25" i="10"/>
  <c r="BV25" i="10" s="1"/>
  <c r="CA25" i="10" s="1"/>
  <c r="CF25" i="10" s="1"/>
  <c r="CK25" i="10" s="1"/>
  <c r="CP25" i="10" s="1"/>
  <c r="CU25" i="10" s="1"/>
  <c r="CZ25" i="10" s="1"/>
  <c r="DE25" i="10" s="1"/>
  <c r="DJ25" i="10" s="1"/>
  <c r="DO25" i="10" s="1"/>
  <c r="DT25" i="10" s="1"/>
  <c r="BR25" i="10"/>
  <c r="BS25" i="10"/>
  <c r="BT25" i="10"/>
  <c r="BU25" i="10"/>
  <c r="BW25" i="10"/>
  <c r="BX25" i="10"/>
  <c r="BY25" i="10"/>
  <c r="BZ25" i="10"/>
  <c r="CB25" i="10"/>
  <c r="CC25" i="10"/>
  <c r="CD25" i="10"/>
  <c r="CE25" i="10"/>
  <c r="CG25" i="10"/>
  <c r="CH25" i="10"/>
  <c r="CI25" i="10"/>
  <c r="CJ25" i="10"/>
  <c r="CL25" i="10"/>
  <c r="CM25" i="10"/>
  <c r="CN25" i="10"/>
  <c r="CO25" i="10"/>
  <c r="CQ25" i="10"/>
  <c r="CR25" i="10"/>
  <c r="CS25" i="10"/>
  <c r="CT25" i="10"/>
  <c r="CV25" i="10"/>
  <c r="CW25" i="10"/>
  <c r="CX25" i="10"/>
  <c r="CY25" i="10"/>
  <c r="DA25" i="10"/>
  <c r="DB25" i="10"/>
  <c r="DC25" i="10"/>
  <c r="DD25" i="10"/>
  <c r="DF25" i="10"/>
  <c r="DG25" i="10"/>
  <c r="DH25" i="10"/>
  <c r="DI25" i="10"/>
  <c r="DK25" i="10"/>
  <c r="DL25" i="10"/>
  <c r="DM25" i="10"/>
  <c r="DN25" i="10"/>
  <c r="BQ26" i="10"/>
  <c r="BV26" i="10" s="1"/>
  <c r="CA26" i="10" s="1"/>
  <c r="CF26" i="10" s="1"/>
  <c r="CK26" i="10" s="1"/>
  <c r="CP26" i="10" s="1"/>
  <c r="CU26" i="10" s="1"/>
  <c r="CZ26" i="10" s="1"/>
  <c r="DE26" i="10" s="1"/>
  <c r="DJ26" i="10" s="1"/>
  <c r="DO26" i="10" s="1"/>
  <c r="DT26" i="10" s="1"/>
  <c r="BR26" i="10"/>
  <c r="BS26" i="10"/>
  <c r="BT26" i="10"/>
  <c r="BU26" i="10"/>
  <c r="BW26" i="10"/>
  <c r="BX26" i="10"/>
  <c r="BY26" i="10"/>
  <c r="BZ26" i="10"/>
  <c r="CB26" i="10"/>
  <c r="CC26" i="10"/>
  <c r="CD26" i="10"/>
  <c r="CE26" i="10"/>
  <c r="CG26" i="10"/>
  <c r="CH26" i="10"/>
  <c r="CI26" i="10"/>
  <c r="CJ26" i="10"/>
  <c r="CL26" i="10"/>
  <c r="CM26" i="10"/>
  <c r="CN26" i="10"/>
  <c r="CO26" i="10"/>
  <c r="CQ26" i="10"/>
  <c r="CR26" i="10"/>
  <c r="CS26" i="10"/>
  <c r="CT26" i="10"/>
  <c r="CV26" i="10"/>
  <c r="CW26" i="10"/>
  <c r="CX26" i="10"/>
  <c r="CY26" i="10"/>
  <c r="DA26" i="10"/>
  <c r="DB26" i="10"/>
  <c r="DC26" i="10"/>
  <c r="DD26" i="10"/>
  <c r="DF26" i="10"/>
  <c r="DG26" i="10"/>
  <c r="DH26" i="10"/>
  <c r="DI26" i="10"/>
  <c r="DK26" i="10"/>
  <c r="DL26" i="10"/>
  <c r="DM26" i="10"/>
  <c r="DN26" i="10"/>
  <c r="E19" i="10"/>
  <c r="AU19" i="10" s="1"/>
  <c r="E20" i="10"/>
  <c r="BJ20" i="10" s="1"/>
  <c r="E21" i="10"/>
  <c r="E22" i="10"/>
  <c r="E23" i="10"/>
  <c r="E24" i="10"/>
  <c r="E25" i="10"/>
  <c r="E26" i="10"/>
  <c r="L30" i="10"/>
  <c r="Q30" i="10"/>
  <c r="M30" i="10" s="1"/>
  <c r="V30" i="10"/>
  <c r="U30" i="10" s="1"/>
  <c r="AA30" i="10"/>
  <c r="AF30" i="10"/>
  <c r="AK30" i="10"/>
  <c r="AG30" i="10" s="1"/>
  <c r="AP30" i="10"/>
  <c r="AO30" i="10" s="1"/>
  <c r="AU30" i="10"/>
  <c r="AS30" i="10" s="1"/>
  <c r="AZ30" i="10"/>
  <c r="AV30" i="10" s="1"/>
  <c r="BE30" i="10"/>
  <c r="BA30" i="10" s="1"/>
  <c r="BJ30" i="10"/>
  <c r="BI30" i="10" s="1"/>
  <c r="BQ30" i="10"/>
  <c r="BV30" i="10" s="1"/>
  <c r="CA30" i="10" s="1"/>
  <c r="CF30" i="10" s="1"/>
  <c r="CK30" i="10" s="1"/>
  <c r="CP30" i="10" s="1"/>
  <c r="CU30" i="10" s="1"/>
  <c r="CZ30" i="10" s="1"/>
  <c r="DE30" i="10" s="1"/>
  <c r="DJ30" i="10" s="1"/>
  <c r="DO30" i="10" s="1"/>
  <c r="BR30" i="10"/>
  <c r="BS30" i="10"/>
  <c r="BT30" i="10"/>
  <c r="BU30" i="10"/>
  <c r="BW30" i="10"/>
  <c r="BX30" i="10"/>
  <c r="BY30" i="10"/>
  <c r="BZ30" i="10"/>
  <c r="CB30" i="10"/>
  <c r="CC30" i="10"/>
  <c r="CD30" i="10"/>
  <c r="CE30" i="10"/>
  <c r="CG30" i="10"/>
  <c r="CH30" i="10"/>
  <c r="CI30" i="10"/>
  <c r="CJ30" i="10"/>
  <c r="CL30" i="10"/>
  <c r="CM30" i="10"/>
  <c r="CN30" i="10"/>
  <c r="CO30" i="10"/>
  <c r="CQ30" i="10"/>
  <c r="CR30" i="10"/>
  <c r="CS30" i="10"/>
  <c r="CT30" i="10"/>
  <c r="CV30" i="10"/>
  <c r="CW30" i="10"/>
  <c r="CX30" i="10"/>
  <c r="CY30" i="10"/>
  <c r="DA30" i="10"/>
  <c r="DB30" i="10"/>
  <c r="DC30" i="10"/>
  <c r="DD30" i="10"/>
  <c r="DF30" i="10"/>
  <c r="DG30" i="10"/>
  <c r="DH30" i="10"/>
  <c r="DI30" i="10"/>
  <c r="DK30" i="10"/>
  <c r="DL30" i="10"/>
  <c r="DM30" i="10"/>
  <c r="DN30" i="10"/>
  <c r="E29" i="10"/>
  <c r="DM29" i="10"/>
  <c r="E30" i="10"/>
  <c r="I29" i="10"/>
  <c r="I30" i="10"/>
  <c r="F32" i="10"/>
  <c r="L35" i="10"/>
  <c r="Q35" i="10"/>
  <c r="V35" i="10"/>
  <c r="AA35" i="10"/>
  <c r="W35" i="10" s="1"/>
  <c r="AF35" i="10"/>
  <c r="AK35" i="10"/>
  <c r="AI35" i="10" s="1"/>
  <c r="AP35" i="10"/>
  <c r="AL35" i="10" s="1"/>
  <c r="AU35" i="10"/>
  <c r="AQ35" i="10" s="1"/>
  <c r="BE35" i="10"/>
  <c r="BC35" i="10" s="1"/>
  <c r="BJ35" i="10"/>
  <c r="L36" i="10"/>
  <c r="Q36" i="10"/>
  <c r="P36" i="10" s="1"/>
  <c r="V36" i="10"/>
  <c r="T36" i="10" s="1"/>
  <c r="AA36" i="10"/>
  <c r="W36" i="10" s="1"/>
  <c r="AF36" i="10"/>
  <c r="AB36" i="10" s="1"/>
  <c r="AK36" i="10"/>
  <c r="AJ36" i="10" s="1"/>
  <c r="AP36" i="10"/>
  <c r="AN36" i="10" s="1"/>
  <c r="AU36" i="10"/>
  <c r="AZ36" i="10"/>
  <c r="AV36" i="10" s="1"/>
  <c r="BJ36" i="10"/>
  <c r="BH36" i="10" s="1"/>
  <c r="L37" i="10"/>
  <c r="Q37" i="10"/>
  <c r="V37" i="10"/>
  <c r="U37" i="10" s="1"/>
  <c r="AA37" i="10"/>
  <c r="AF37" i="10"/>
  <c r="AB37" i="10" s="1"/>
  <c r="AK37" i="10"/>
  <c r="AP37" i="10"/>
  <c r="AU37" i="10"/>
  <c r="AS37" i="10" s="1"/>
  <c r="AZ37" i="10"/>
  <c r="AV37" i="10" s="1"/>
  <c r="BE37" i="10"/>
  <c r="BQ35" i="10"/>
  <c r="BV35" i="10" s="1"/>
  <c r="CA35" i="10" s="1"/>
  <c r="CF35" i="10" s="1"/>
  <c r="CK35" i="10" s="1"/>
  <c r="CP35" i="10" s="1"/>
  <c r="CU35" i="10" s="1"/>
  <c r="CZ35" i="10" s="1"/>
  <c r="BR35" i="10"/>
  <c r="BS35" i="10"/>
  <c r="BT35" i="10"/>
  <c r="BU35" i="10"/>
  <c r="BW35" i="10"/>
  <c r="BX35" i="10"/>
  <c r="BY35" i="10"/>
  <c r="BZ35" i="10"/>
  <c r="CB35" i="10"/>
  <c r="CC35" i="10"/>
  <c r="CD35" i="10"/>
  <c r="CE35" i="10"/>
  <c r="CG35" i="10"/>
  <c r="CH35" i="10"/>
  <c r="CI35" i="10"/>
  <c r="CJ35" i="10"/>
  <c r="CL35" i="10"/>
  <c r="CM35" i="10"/>
  <c r="CN35" i="10"/>
  <c r="CO35" i="10"/>
  <c r="CQ35" i="10"/>
  <c r="CR35" i="10"/>
  <c r="CS35" i="10"/>
  <c r="CT35" i="10"/>
  <c r="CV35" i="10"/>
  <c r="CW35" i="10"/>
  <c r="CX35" i="10"/>
  <c r="CY35" i="10"/>
  <c r="DK35" i="10"/>
  <c r="DL35" i="10"/>
  <c r="DM35" i="10"/>
  <c r="DN35" i="10"/>
  <c r="BQ36" i="10"/>
  <c r="BR36" i="10"/>
  <c r="BS36" i="10"/>
  <c r="BT36" i="10"/>
  <c r="BU36" i="10"/>
  <c r="BW36" i="10"/>
  <c r="BX36" i="10"/>
  <c r="BY36" i="10"/>
  <c r="BZ36" i="10"/>
  <c r="CB36" i="10"/>
  <c r="CC36" i="10"/>
  <c r="CD36" i="10"/>
  <c r="CE36" i="10"/>
  <c r="CG36" i="10"/>
  <c r="CH36" i="10"/>
  <c r="CI36" i="10"/>
  <c r="CJ36" i="10"/>
  <c r="CL36" i="10"/>
  <c r="CM36" i="10"/>
  <c r="CN36" i="10"/>
  <c r="CO36" i="10"/>
  <c r="CQ36" i="10"/>
  <c r="CR36" i="10"/>
  <c r="CS36" i="10"/>
  <c r="CT36" i="10"/>
  <c r="CV36" i="10"/>
  <c r="CW36" i="10"/>
  <c r="CX36" i="10"/>
  <c r="CY36" i="10"/>
  <c r="DA36" i="10"/>
  <c r="DB36" i="10"/>
  <c r="DC36" i="10"/>
  <c r="DD36" i="10"/>
  <c r="BQ37" i="10"/>
  <c r="BV37" i="10" s="1"/>
  <c r="CA37" i="10" s="1"/>
  <c r="CF37" i="10" s="1"/>
  <c r="CK37" i="10" s="1"/>
  <c r="CP37" i="10" s="1"/>
  <c r="CU37" i="10" s="1"/>
  <c r="CZ37" i="10" s="1"/>
  <c r="DE37" i="10" s="1"/>
  <c r="DJ37" i="10" s="1"/>
  <c r="BR37" i="10"/>
  <c r="BS37" i="10"/>
  <c r="BT37" i="10"/>
  <c r="BU37" i="10"/>
  <c r="BW37" i="10"/>
  <c r="BX37" i="10"/>
  <c r="BY37" i="10"/>
  <c r="BZ37" i="10"/>
  <c r="CB37" i="10"/>
  <c r="CC37" i="10"/>
  <c r="CD37" i="10"/>
  <c r="CE37" i="10"/>
  <c r="CG37" i="10"/>
  <c r="CH37" i="10"/>
  <c r="CI37" i="10"/>
  <c r="CJ37" i="10"/>
  <c r="CL37" i="10"/>
  <c r="CM37" i="10"/>
  <c r="CN37" i="10"/>
  <c r="CO37" i="10"/>
  <c r="CQ37" i="10"/>
  <c r="CR37" i="10"/>
  <c r="CS37" i="10"/>
  <c r="CT37" i="10"/>
  <c r="CV37" i="10"/>
  <c r="CW37" i="10"/>
  <c r="CX37" i="10"/>
  <c r="CY37" i="10"/>
  <c r="DA37" i="10"/>
  <c r="DB37" i="10"/>
  <c r="DC37" i="10"/>
  <c r="DD37" i="10"/>
  <c r="DF37" i="10"/>
  <c r="DG37" i="10"/>
  <c r="DH37" i="10"/>
  <c r="DI37" i="10"/>
  <c r="E35" i="10"/>
  <c r="E36" i="10"/>
  <c r="BE36" i="10" s="1"/>
  <c r="E37" i="10"/>
  <c r="BJ37" i="10" s="1"/>
  <c r="L49" i="10"/>
  <c r="Q49" i="10"/>
  <c r="V49" i="10"/>
  <c r="AA49" i="10"/>
  <c r="W49" i="10" s="1"/>
  <c r="AF49" i="10"/>
  <c r="AK49" i="10"/>
  <c r="AP49" i="10"/>
  <c r="AO49" i="10" s="1"/>
  <c r="AZ49" i="10"/>
  <c r="BE49" i="10"/>
  <c r="BA49" i="10" s="1"/>
  <c r="BJ49" i="10"/>
  <c r="BI49" i="10" s="1"/>
  <c r="L50" i="10"/>
  <c r="Q50" i="10"/>
  <c r="V50" i="10"/>
  <c r="R50" i="10" s="1"/>
  <c r="AA50" i="10"/>
  <c r="Z50" i="10" s="1"/>
  <c r="AF50" i="10"/>
  <c r="AK50" i="10"/>
  <c r="AG50" i="10" s="1"/>
  <c r="AP50" i="10"/>
  <c r="AU50" i="10"/>
  <c r="AT50" i="10" s="1"/>
  <c r="AZ50" i="10"/>
  <c r="BE50" i="10"/>
  <c r="L51" i="10"/>
  <c r="Q51" i="10"/>
  <c r="M51" i="10" s="1"/>
  <c r="V51" i="10"/>
  <c r="R51" i="10" s="1"/>
  <c r="AA51" i="10"/>
  <c r="AF51" i="10"/>
  <c r="AE51" i="10" s="1"/>
  <c r="AK51" i="10"/>
  <c r="AP51" i="10"/>
  <c r="AL51" i="10" s="1"/>
  <c r="AU51" i="10"/>
  <c r="AZ51" i="10"/>
  <c r="AW51" i="10" s="1"/>
  <c r="BE51" i="10"/>
  <c r="BA51" i="10" s="1"/>
  <c r="BJ51" i="10"/>
  <c r="BF51" i="10" s="1"/>
  <c r="L52" i="10"/>
  <c r="Q52" i="10"/>
  <c r="M52" i="10" s="1"/>
  <c r="V52" i="10"/>
  <c r="AA52" i="10"/>
  <c r="W52" i="10" s="1"/>
  <c r="AF52" i="10"/>
  <c r="AB52" i="10" s="1"/>
  <c r="AK52" i="10"/>
  <c r="AH52" i="10" s="1"/>
  <c r="AP52" i="10"/>
  <c r="AL52" i="10" s="1"/>
  <c r="AU52" i="10"/>
  <c r="AQ52" i="10" s="1"/>
  <c r="AZ52" i="10"/>
  <c r="BE52" i="10"/>
  <c r="BA52" i="10" s="1"/>
  <c r="BJ52" i="10"/>
  <c r="BI52" i="10" s="1"/>
  <c r="L53" i="10"/>
  <c r="Q53" i="10"/>
  <c r="M53" i="10" s="1"/>
  <c r="V53" i="10"/>
  <c r="R53" i="10" s="1"/>
  <c r="AA53" i="10"/>
  <c r="Z53" i="10" s="1"/>
  <c r="AF53" i="10"/>
  <c r="AB53" i="10" s="1"/>
  <c r="AK53" i="10"/>
  <c r="AP53" i="10"/>
  <c r="AM53" i="10" s="1"/>
  <c r="AU53" i="10"/>
  <c r="AQ53" i="10" s="1"/>
  <c r="AZ53" i="10"/>
  <c r="BE53" i="10"/>
  <c r="BD53" i="10" s="1"/>
  <c r="BJ53" i="10"/>
  <c r="BH53" i="10" s="1"/>
  <c r="L54" i="10"/>
  <c r="Q54" i="10"/>
  <c r="V54" i="10"/>
  <c r="U54" i="10" s="1"/>
  <c r="AA54" i="10"/>
  <c r="AF54" i="10"/>
  <c r="AC54" i="10" s="1"/>
  <c r="AK54" i="10"/>
  <c r="AG54" i="10" s="1"/>
  <c r="AP54" i="10"/>
  <c r="AU54" i="10"/>
  <c r="AS54" i="10" s="1"/>
  <c r="AZ54" i="10"/>
  <c r="BE54" i="10"/>
  <c r="BJ54" i="10"/>
  <c r="BI54" i="10" s="1"/>
  <c r="L55" i="10"/>
  <c r="Q55" i="10"/>
  <c r="N55" i="10" s="1"/>
  <c r="V55" i="10"/>
  <c r="R55" i="10" s="1"/>
  <c r="AA55" i="10"/>
  <c r="Z55" i="10" s="1"/>
  <c r="AF55" i="10"/>
  <c r="AD55" i="10" s="1"/>
  <c r="AK55" i="10"/>
  <c r="AH55" i="10" s="1"/>
  <c r="AP55" i="10"/>
  <c r="AL55" i="10" s="1"/>
  <c r="AU55" i="10"/>
  <c r="AT55" i="10" s="1"/>
  <c r="AZ55" i="10"/>
  <c r="AX55" i="10" s="1"/>
  <c r="BE55" i="10"/>
  <c r="BB55" i="10" s="1"/>
  <c r="BJ55" i="10"/>
  <c r="BF55" i="10" s="1"/>
  <c r="L56" i="10"/>
  <c r="Q56" i="10"/>
  <c r="O56" i="10" s="1"/>
  <c r="V56" i="10"/>
  <c r="S56" i="10" s="1"/>
  <c r="AA56" i="10"/>
  <c r="W56" i="10" s="1"/>
  <c r="AF56" i="10"/>
  <c r="AE56" i="10" s="1"/>
  <c r="AK56" i="10"/>
  <c r="AP56" i="10"/>
  <c r="AM56" i="10" s="1"/>
  <c r="AU56" i="10"/>
  <c r="AQ56" i="10" s="1"/>
  <c r="AZ56" i="10"/>
  <c r="AY56" i="10" s="1"/>
  <c r="BE56" i="10"/>
  <c r="BC56" i="10" s="1"/>
  <c r="BJ56" i="10"/>
  <c r="L57" i="10"/>
  <c r="Q57" i="10"/>
  <c r="P57" i="10" s="1"/>
  <c r="V57" i="10"/>
  <c r="T57" i="10" s="1"/>
  <c r="AA57" i="10"/>
  <c r="X57" i="10" s="1"/>
  <c r="AF57" i="10"/>
  <c r="AK57" i="10"/>
  <c r="AJ57" i="10" s="1"/>
  <c r="AP57" i="10"/>
  <c r="AN57" i="10" s="1"/>
  <c r="AU57" i="10"/>
  <c r="AR57" i="10" s="1"/>
  <c r="AZ57" i="10"/>
  <c r="AV57" i="10" s="1"/>
  <c r="BE57" i="10"/>
  <c r="BD57" i="10" s="1"/>
  <c r="BJ57" i="10"/>
  <c r="BH57" i="10" s="1"/>
  <c r="L58" i="10"/>
  <c r="Q58" i="10"/>
  <c r="M58" i="10" s="1"/>
  <c r="V58" i="10"/>
  <c r="AA58" i="10"/>
  <c r="Y58" i="10" s="1"/>
  <c r="AF58" i="10"/>
  <c r="AK58" i="10"/>
  <c r="AP58" i="10"/>
  <c r="AO58" i="10" s="1"/>
  <c r="AU58" i="10"/>
  <c r="AZ58" i="10"/>
  <c r="AW58" i="10" s="1"/>
  <c r="BE58" i="10"/>
  <c r="BA58" i="10" s="1"/>
  <c r="BJ58" i="10"/>
  <c r="L59" i="10"/>
  <c r="Q59" i="10"/>
  <c r="N59" i="10" s="1"/>
  <c r="V59" i="10"/>
  <c r="R59" i="10" s="1"/>
  <c r="AA59" i="10"/>
  <c r="Z59" i="10" s="1"/>
  <c r="AF59" i="10"/>
  <c r="AD59" i="10" s="1"/>
  <c r="AK59" i="10"/>
  <c r="AH59" i="10" s="1"/>
  <c r="AP59" i="10"/>
  <c r="AL59" i="10" s="1"/>
  <c r="AU59" i="10"/>
  <c r="AZ59" i="10"/>
  <c r="AX59" i="10" s="1"/>
  <c r="BE59" i="10"/>
  <c r="BB59" i="10" s="1"/>
  <c r="BJ59" i="10"/>
  <c r="BF59" i="10" s="1"/>
  <c r="L60" i="10"/>
  <c r="Q60" i="10"/>
  <c r="O60" i="10" s="1"/>
  <c r="V60" i="10"/>
  <c r="AA60" i="10"/>
  <c r="AF60" i="10"/>
  <c r="AE60" i="10" s="1"/>
  <c r="AK60" i="10"/>
  <c r="AP60" i="10"/>
  <c r="AM60" i="10" s="1"/>
  <c r="AU60" i="10"/>
  <c r="AQ60" i="10" s="1"/>
  <c r="AZ60" i="10"/>
  <c r="BE60" i="10"/>
  <c r="BC60" i="10" s="1"/>
  <c r="BJ60" i="10"/>
  <c r="L61" i="10"/>
  <c r="Q61" i="10"/>
  <c r="P61" i="10" s="1"/>
  <c r="V61" i="10"/>
  <c r="T61" i="10" s="1"/>
  <c r="AA61" i="10"/>
  <c r="X61" i="10" s="1"/>
  <c r="AF61" i="10"/>
  <c r="AB61" i="10" s="1"/>
  <c r="AK61" i="10"/>
  <c r="AJ61" i="10" s="1"/>
  <c r="AP61" i="10"/>
  <c r="AN61" i="10" s="1"/>
  <c r="AU61" i="10"/>
  <c r="AR61" i="10" s="1"/>
  <c r="AZ61" i="10"/>
  <c r="AV61" i="10" s="1"/>
  <c r="BE61" i="10"/>
  <c r="BD61" i="10" s="1"/>
  <c r="BJ61" i="10"/>
  <c r="BH61" i="10" s="1"/>
  <c r="L62" i="10"/>
  <c r="Q62" i="10"/>
  <c r="V62" i="10"/>
  <c r="U62" i="10" s="1"/>
  <c r="AA62" i="10"/>
  <c r="AF62" i="10"/>
  <c r="AC62" i="10" s="1"/>
  <c r="AK62" i="10"/>
  <c r="AG62" i="10" s="1"/>
  <c r="AP62" i="10"/>
  <c r="AU62" i="10"/>
  <c r="AS62" i="10" s="1"/>
  <c r="AZ62" i="10"/>
  <c r="BE62" i="10"/>
  <c r="BJ62" i="10"/>
  <c r="BI62" i="10" s="1"/>
  <c r="L63" i="10"/>
  <c r="Q63" i="10"/>
  <c r="N63" i="10" s="1"/>
  <c r="V63" i="10"/>
  <c r="AA63" i="10"/>
  <c r="Z63" i="10" s="1"/>
  <c r="AF63" i="10"/>
  <c r="AK63" i="10"/>
  <c r="AH63" i="10" s="1"/>
  <c r="AP63" i="10"/>
  <c r="AU63" i="10"/>
  <c r="AT63" i="10" s="1"/>
  <c r="AZ63" i="10"/>
  <c r="BE63" i="10"/>
  <c r="BB63" i="10" s="1"/>
  <c r="BJ63" i="10"/>
  <c r="L64" i="10"/>
  <c r="Q64" i="10"/>
  <c r="P64" i="10" s="1"/>
  <c r="V64" i="10"/>
  <c r="AA64" i="10"/>
  <c r="W64" i="10" s="1"/>
  <c r="AF64" i="10"/>
  <c r="AB64" i="10" s="1"/>
  <c r="AK64" i="10"/>
  <c r="AJ64" i="10" s="1"/>
  <c r="AP64" i="10"/>
  <c r="AN64" i="10" s="1"/>
  <c r="AU64" i="10"/>
  <c r="AQ64" i="10" s="1"/>
  <c r="AZ64" i="10"/>
  <c r="BE64" i="10"/>
  <c r="BD64" i="10" s="1"/>
  <c r="BJ64" i="10"/>
  <c r="BH64" i="10" s="1"/>
  <c r="BQ49" i="10"/>
  <c r="BR49" i="10"/>
  <c r="BS49" i="10"/>
  <c r="BT49" i="10"/>
  <c r="BU49" i="10"/>
  <c r="BW49" i="10"/>
  <c r="BX49" i="10"/>
  <c r="BY49" i="10"/>
  <c r="BZ49" i="10"/>
  <c r="CB49" i="10"/>
  <c r="CC49" i="10"/>
  <c r="CD49" i="10"/>
  <c r="CE49" i="10"/>
  <c r="CG49" i="10"/>
  <c r="CH49" i="10"/>
  <c r="CI49" i="10"/>
  <c r="CJ49" i="10"/>
  <c r="CL49" i="10"/>
  <c r="CM49" i="10"/>
  <c r="CN49" i="10"/>
  <c r="CO49" i="10"/>
  <c r="CQ49" i="10"/>
  <c r="CR49" i="10"/>
  <c r="CS49" i="10"/>
  <c r="CT49" i="10"/>
  <c r="DF49" i="10"/>
  <c r="DG49" i="10"/>
  <c r="DH49" i="10"/>
  <c r="DI49" i="10"/>
  <c r="DK49" i="10"/>
  <c r="DL49" i="10"/>
  <c r="DM49" i="10"/>
  <c r="DN49" i="10"/>
  <c r="BQ50" i="10"/>
  <c r="BV50" i="10" s="1"/>
  <c r="BR50" i="10"/>
  <c r="BS50" i="10"/>
  <c r="BT50" i="10"/>
  <c r="BU50" i="10"/>
  <c r="BW50" i="10"/>
  <c r="BX50" i="10"/>
  <c r="BY50" i="10"/>
  <c r="BZ50" i="10"/>
  <c r="CB50" i="10"/>
  <c r="CC50" i="10"/>
  <c r="CD50" i="10"/>
  <c r="CE50" i="10"/>
  <c r="CG50" i="10"/>
  <c r="CH50" i="10"/>
  <c r="CI50" i="10"/>
  <c r="CJ50" i="10"/>
  <c r="CL50" i="10"/>
  <c r="CM50" i="10"/>
  <c r="CN50" i="10"/>
  <c r="CO50" i="10"/>
  <c r="CQ50" i="10"/>
  <c r="CR50" i="10"/>
  <c r="CS50" i="10"/>
  <c r="CT50" i="10"/>
  <c r="CV50" i="10"/>
  <c r="CW50" i="10"/>
  <c r="CX50" i="10"/>
  <c r="CY50" i="10"/>
  <c r="DA50" i="10"/>
  <c r="DB50" i="10"/>
  <c r="DC50" i="10"/>
  <c r="DD50" i="10"/>
  <c r="DF50" i="10"/>
  <c r="DG50" i="10"/>
  <c r="DH50" i="10"/>
  <c r="DI50" i="10"/>
  <c r="BQ51" i="10"/>
  <c r="BV51" i="10" s="1"/>
  <c r="CA51" i="10" s="1"/>
  <c r="CF51" i="10" s="1"/>
  <c r="CK51" i="10" s="1"/>
  <c r="CP51" i="10" s="1"/>
  <c r="CU51" i="10" s="1"/>
  <c r="CZ51" i="10" s="1"/>
  <c r="DE51" i="10" s="1"/>
  <c r="DJ51" i="10" s="1"/>
  <c r="DO51" i="10" s="1"/>
  <c r="BR51" i="10"/>
  <c r="BS51" i="10"/>
  <c r="BT51" i="10"/>
  <c r="BU51" i="10"/>
  <c r="BW51" i="10"/>
  <c r="BX51" i="10"/>
  <c r="BY51" i="10"/>
  <c r="BZ51" i="10"/>
  <c r="CB51" i="10"/>
  <c r="CC51" i="10"/>
  <c r="CD51" i="10"/>
  <c r="CE51" i="10"/>
  <c r="CG51" i="10"/>
  <c r="CH51" i="10"/>
  <c r="CI51" i="10"/>
  <c r="CJ51" i="10"/>
  <c r="CL51" i="10"/>
  <c r="CM51" i="10"/>
  <c r="CN51" i="10"/>
  <c r="CO51" i="10"/>
  <c r="CQ51" i="10"/>
  <c r="CR51" i="10"/>
  <c r="CS51" i="10"/>
  <c r="CT51" i="10"/>
  <c r="CV51" i="10"/>
  <c r="CW51" i="10"/>
  <c r="CX51" i="10"/>
  <c r="CY51" i="10"/>
  <c r="DA51" i="10"/>
  <c r="DB51" i="10"/>
  <c r="DC51" i="10"/>
  <c r="DD51" i="10"/>
  <c r="DF51" i="10"/>
  <c r="DG51" i="10"/>
  <c r="DH51" i="10"/>
  <c r="DI51" i="10"/>
  <c r="DK51" i="10"/>
  <c r="DL51" i="10"/>
  <c r="DM51" i="10"/>
  <c r="DN51" i="10"/>
  <c r="BQ52" i="10"/>
  <c r="BV52" i="10" s="1"/>
  <c r="CA52" i="10" s="1"/>
  <c r="CF52" i="10" s="1"/>
  <c r="CK52" i="10" s="1"/>
  <c r="CP52" i="10" s="1"/>
  <c r="CU52" i="10" s="1"/>
  <c r="CZ52" i="10" s="1"/>
  <c r="DE52" i="10" s="1"/>
  <c r="DJ52" i="10" s="1"/>
  <c r="DO52" i="10" s="1"/>
  <c r="BR52" i="10"/>
  <c r="BS52" i="10"/>
  <c r="BT52" i="10"/>
  <c r="BU52" i="10"/>
  <c r="BW52" i="10"/>
  <c r="BX52" i="10"/>
  <c r="BY52" i="10"/>
  <c r="BZ52" i="10"/>
  <c r="CB52" i="10"/>
  <c r="CC52" i="10"/>
  <c r="CD52" i="10"/>
  <c r="CE52" i="10"/>
  <c r="CG52" i="10"/>
  <c r="CH52" i="10"/>
  <c r="CI52" i="10"/>
  <c r="CJ52" i="10"/>
  <c r="CL52" i="10"/>
  <c r="CM52" i="10"/>
  <c r="CN52" i="10"/>
  <c r="CO52" i="10"/>
  <c r="CQ52" i="10"/>
  <c r="CR52" i="10"/>
  <c r="CS52" i="10"/>
  <c r="CT52" i="10"/>
  <c r="CV52" i="10"/>
  <c r="CW52" i="10"/>
  <c r="CX52" i="10"/>
  <c r="CY52" i="10"/>
  <c r="DA52" i="10"/>
  <c r="DB52" i="10"/>
  <c r="DC52" i="10"/>
  <c r="DD52" i="10"/>
  <c r="DF52" i="10"/>
  <c r="DG52" i="10"/>
  <c r="DH52" i="10"/>
  <c r="DI52" i="10"/>
  <c r="DK52" i="10"/>
  <c r="DL52" i="10"/>
  <c r="DM52" i="10"/>
  <c r="DN52" i="10"/>
  <c r="BQ53" i="10"/>
  <c r="BV53" i="10" s="1"/>
  <c r="CA53" i="10" s="1"/>
  <c r="CF53" i="10" s="1"/>
  <c r="CK53" i="10" s="1"/>
  <c r="CP53" i="10" s="1"/>
  <c r="CU53" i="10" s="1"/>
  <c r="CZ53" i="10" s="1"/>
  <c r="DE53" i="10" s="1"/>
  <c r="DJ53" i="10" s="1"/>
  <c r="DO53" i="10" s="1"/>
  <c r="DT53" i="10" s="1"/>
  <c r="BR53" i="10"/>
  <c r="BS53" i="10"/>
  <c r="BT53" i="10"/>
  <c r="BU53" i="10"/>
  <c r="BW53" i="10"/>
  <c r="BX53" i="10"/>
  <c r="BY53" i="10"/>
  <c r="BZ53" i="10"/>
  <c r="CB53" i="10"/>
  <c r="CC53" i="10"/>
  <c r="CD53" i="10"/>
  <c r="CE53" i="10"/>
  <c r="CG53" i="10"/>
  <c r="CH53" i="10"/>
  <c r="CI53" i="10"/>
  <c r="CJ53" i="10"/>
  <c r="CL53" i="10"/>
  <c r="CM53" i="10"/>
  <c r="CN53" i="10"/>
  <c r="CO53" i="10"/>
  <c r="CQ53" i="10"/>
  <c r="CR53" i="10"/>
  <c r="CS53" i="10"/>
  <c r="CT53" i="10"/>
  <c r="CV53" i="10"/>
  <c r="CW53" i="10"/>
  <c r="CX53" i="10"/>
  <c r="CY53" i="10"/>
  <c r="DA53" i="10"/>
  <c r="DB53" i="10"/>
  <c r="DC53" i="10"/>
  <c r="DD53" i="10"/>
  <c r="DF53" i="10"/>
  <c r="DG53" i="10"/>
  <c r="DH53" i="10"/>
  <c r="DI53" i="10"/>
  <c r="DK53" i="10"/>
  <c r="DL53" i="10"/>
  <c r="DM53" i="10"/>
  <c r="DN53" i="10"/>
  <c r="BQ54" i="10"/>
  <c r="BV54" i="10" s="1"/>
  <c r="CA54" i="10" s="1"/>
  <c r="CF54" i="10" s="1"/>
  <c r="CK54" i="10" s="1"/>
  <c r="CP54" i="10" s="1"/>
  <c r="CU54" i="10" s="1"/>
  <c r="CZ54" i="10" s="1"/>
  <c r="DE54" i="10" s="1"/>
  <c r="DJ54" i="10" s="1"/>
  <c r="DO54" i="10" s="1"/>
  <c r="DT54" i="10" s="1"/>
  <c r="BR54" i="10"/>
  <c r="BS54" i="10"/>
  <c r="BT54" i="10"/>
  <c r="BU54" i="10"/>
  <c r="BW54" i="10"/>
  <c r="BX54" i="10"/>
  <c r="BY54" i="10"/>
  <c r="BZ54" i="10"/>
  <c r="CB54" i="10"/>
  <c r="CC54" i="10"/>
  <c r="CD54" i="10"/>
  <c r="CE54" i="10"/>
  <c r="CG54" i="10"/>
  <c r="CH54" i="10"/>
  <c r="CI54" i="10"/>
  <c r="CJ54" i="10"/>
  <c r="CL54" i="10"/>
  <c r="CM54" i="10"/>
  <c r="CN54" i="10"/>
  <c r="CO54" i="10"/>
  <c r="CQ54" i="10"/>
  <c r="CR54" i="10"/>
  <c r="CS54" i="10"/>
  <c r="CT54" i="10"/>
  <c r="CV54" i="10"/>
  <c r="CW54" i="10"/>
  <c r="CX54" i="10"/>
  <c r="CY54" i="10"/>
  <c r="DA54" i="10"/>
  <c r="DB54" i="10"/>
  <c r="DC54" i="10"/>
  <c r="DD54" i="10"/>
  <c r="DF54" i="10"/>
  <c r="DG54" i="10"/>
  <c r="DH54" i="10"/>
  <c r="DI54" i="10"/>
  <c r="DK54" i="10"/>
  <c r="DL54" i="10"/>
  <c r="DM54" i="10"/>
  <c r="DN54" i="10"/>
  <c r="BQ55" i="10"/>
  <c r="BV55" i="10" s="1"/>
  <c r="CA55" i="10" s="1"/>
  <c r="CF55" i="10" s="1"/>
  <c r="CK55" i="10" s="1"/>
  <c r="CP55" i="10" s="1"/>
  <c r="CU55" i="10" s="1"/>
  <c r="CZ55" i="10" s="1"/>
  <c r="DE55" i="10" s="1"/>
  <c r="DJ55" i="10" s="1"/>
  <c r="DO55" i="10" s="1"/>
  <c r="DT55" i="10" s="1"/>
  <c r="BR55" i="10"/>
  <c r="BS55" i="10"/>
  <c r="BT55" i="10"/>
  <c r="BU55" i="10"/>
  <c r="BW55" i="10"/>
  <c r="BX55" i="10"/>
  <c r="BY55" i="10"/>
  <c r="BZ55" i="10"/>
  <c r="CB55" i="10"/>
  <c r="CC55" i="10"/>
  <c r="CD55" i="10"/>
  <c r="CE55" i="10"/>
  <c r="CG55" i="10"/>
  <c r="CH55" i="10"/>
  <c r="CI55" i="10"/>
  <c r="CJ55" i="10"/>
  <c r="CL55" i="10"/>
  <c r="CM55" i="10"/>
  <c r="CN55" i="10"/>
  <c r="CO55" i="10"/>
  <c r="CQ55" i="10"/>
  <c r="CR55" i="10"/>
  <c r="CS55" i="10"/>
  <c r="CT55" i="10"/>
  <c r="CV55" i="10"/>
  <c r="CW55" i="10"/>
  <c r="CX55" i="10"/>
  <c r="CY55" i="10"/>
  <c r="DA55" i="10"/>
  <c r="DB55" i="10"/>
  <c r="DC55" i="10"/>
  <c r="DD55" i="10"/>
  <c r="DF55" i="10"/>
  <c r="DG55" i="10"/>
  <c r="DH55" i="10"/>
  <c r="DI55" i="10"/>
  <c r="DK55" i="10"/>
  <c r="DL55" i="10"/>
  <c r="DM55" i="10"/>
  <c r="DN55" i="10"/>
  <c r="BQ56" i="10"/>
  <c r="BV56" i="10" s="1"/>
  <c r="CA56" i="10" s="1"/>
  <c r="CF56" i="10" s="1"/>
  <c r="CK56" i="10" s="1"/>
  <c r="CP56" i="10" s="1"/>
  <c r="CU56" i="10" s="1"/>
  <c r="CZ56" i="10" s="1"/>
  <c r="DE56" i="10" s="1"/>
  <c r="DJ56" i="10" s="1"/>
  <c r="DO56" i="10" s="1"/>
  <c r="DT56" i="10" s="1"/>
  <c r="BR56" i="10"/>
  <c r="BS56" i="10"/>
  <c r="BT56" i="10"/>
  <c r="BU56" i="10"/>
  <c r="BW56" i="10"/>
  <c r="BX56" i="10"/>
  <c r="BY56" i="10"/>
  <c r="BZ56" i="10"/>
  <c r="CB56" i="10"/>
  <c r="CC56" i="10"/>
  <c r="CD56" i="10"/>
  <c r="CE56" i="10"/>
  <c r="CG56" i="10"/>
  <c r="CH56" i="10"/>
  <c r="CI56" i="10"/>
  <c r="CJ56" i="10"/>
  <c r="CL56" i="10"/>
  <c r="CM56" i="10"/>
  <c r="CN56" i="10"/>
  <c r="CO56" i="10"/>
  <c r="CQ56" i="10"/>
  <c r="CR56" i="10"/>
  <c r="CS56" i="10"/>
  <c r="CT56" i="10"/>
  <c r="CV56" i="10"/>
  <c r="CW56" i="10"/>
  <c r="CX56" i="10"/>
  <c r="CY56" i="10"/>
  <c r="DA56" i="10"/>
  <c r="DB56" i="10"/>
  <c r="DC56" i="10"/>
  <c r="DD56" i="10"/>
  <c r="DF56" i="10"/>
  <c r="DG56" i="10"/>
  <c r="DH56" i="10"/>
  <c r="DI56" i="10"/>
  <c r="DK56" i="10"/>
  <c r="DL56" i="10"/>
  <c r="DM56" i="10"/>
  <c r="DN56" i="10"/>
  <c r="BQ57" i="10"/>
  <c r="BV57" i="10" s="1"/>
  <c r="CA57" i="10" s="1"/>
  <c r="CF57" i="10" s="1"/>
  <c r="CK57" i="10" s="1"/>
  <c r="CP57" i="10" s="1"/>
  <c r="CU57" i="10" s="1"/>
  <c r="CZ57" i="10" s="1"/>
  <c r="DE57" i="10" s="1"/>
  <c r="DJ57" i="10" s="1"/>
  <c r="DO57" i="10" s="1"/>
  <c r="DT57" i="10" s="1"/>
  <c r="BR57" i="10"/>
  <c r="BS57" i="10"/>
  <c r="BT57" i="10"/>
  <c r="BU57" i="10"/>
  <c r="BW57" i="10"/>
  <c r="BX57" i="10"/>
  <c r="BY57" i="10"/>
  <c r="BZ57" i="10"/>
  <c r="CB57" i="10"/>
  <c r="CC57" i="10"/>
  <c r="CD57" i="10"/>
  <c r="CE57" i="10"/>
  <c r="CG57" i="10"/>
  <c r="CH57" i="10"/>
  <c r="CI57" i="10"/>
  <c r="CJ57" i="10"/>
  <c r="CL57" i="10"/>
  <c r="CM57" i="10"/>
  <c r="CN57" i="10"/>
  <c r="CO57" i="10"/>
  <c r="CQ57" i="10"/>
  <c r="CR57" i="10"/>
  <c r="CS57" i="10"/>
  <c r="CT57" i="10"/>
  <c r="CV57" i="10"/>
  <c r="CW57" i="10"/>
  <c r="CX57" i="10"/>
  <c r="CY57" i="10"/>
  <c r="DA57" i="10"/>
  <c r="DB57" i="10"/>
  <c r="DC57" i="10"/>
  <c r="DD57" i="10"/>
  <c r="DF57" i="10"/>
  <c r="DG57" i="10"/>
  <c r="DH57" i="10"/>
  <c r="DI57" i="10"/>
  <c r="DK57" i="10"/>
  <c r="DL57" i="10"/>
  <c r="DM57" i="10"/>
  <c r="DN57" i="10"/>
  <c r="BQ58" i="10"/>
  <c r="BV58" i="10" s="1"/>
  <c r="CA58" i="10" s="1"/>
  <c r="CF58" i="10" s="1"/>
  <c r="CK58" i="10" s="1"/>
  <c r="CP58" i="10" s="1"/>
  <c r="CU58" i="10" s="1"/>
  <c r="CZ58" i="10" s="1"/>
  <c r="DE58" i="10" s="1"/>
  <c r="DJ58" i="10" s="1"/>
  <c r="DO58" i="10" s="1"/>
  <c r="DT58" i="10" s="1"/>
  <c r="BR58" i="10"/>
  <c r="BS58" i="10"/>
  <c r="BT58" i="10"/>
  <c r="BU58" i="10"/>
  <c r="BW58" i="10"/>
  <c r="BX58" i="10"/>
  <c r="BY58" i="10"/>
  <c r="BZ58" i="10"/>
  <c r="CB58" i="10"/>
  <c r="CC58" i="10"/>
  <c r="CD58" i="10"/>
  <c r="CE58" i="10"/>
  <c r="CG58" i="10"/>
  <c r="CH58" i="10"/>
  <c r="CI58" i="10"/>
  <c r="CJ58" i="10"/>
  <c r="CL58" i="10"/>
  <c r="CM58" i="10"/>
  <c r="CN58" i="10"/>
  <c r="CO58" i="10"/>
  <c r="CQ58" i="10"/>
  <c r="CR58" i="10"/>
  <c r="CS58" i="10"/>
  <c r="CT58" i="10"/>
  <c r="CV58" i="10"/>
  <c r="CW58" i="10"/>
  <c r="CX58" i="10"/>
  <c r="CY58" i="10"/>
  <c r="DA58" i="10"/>
  <c r="DB58" i="10"/>
  <c r="DC58" i="10"/>
  <c r="DD58" i="10"/>
  <c r="DF58" i="10"/>
  <c r="DG58" i="10"/>
  <c r="DH58" i="10"/>
  <c r="DI58" i="10"/>
  <c r="DK58" i="10"/>
  <c r="DL58" i="10"/>
  <c r="DM58" i="10"/>
  <c r="DN58" i="10"/>
  <c r="BQ59" i="10"/>
  <c r="BV59" i="10" s="1"/>
  <c r="CA59" i="10" s="1"/>
  <c r="CF59" i="10" s="1"/>
  <c r="CK59" i="10" s="1"/>
  <c r="CP59" i="10" s="1"/>
  <c r="CU59" i="10" s="1"/>
  <c r="CZ59" i="10" s="1"/>
  <c r="DE59" i="10" s="1"/>
  <c r="DJ59" i="10" s="1"/>
  <c r="DO59" i="10" s="1"/>
  <c r="DT59" i="10" s="1"/>
  <c r="BR59" i="10"/>
  <c r="BS59" i="10"/>
  <c r="BT59" i="10"/>
  <c r="BU59" i="10"/>
  <c r="BW59" i="10"/>
  <c r="BX59" i="10"/>
  <c r="BY59" i="10"/>
  <c r="BZ59" i="10"/>
  <c r="CB59" i="10"/>
  <c r="CC59" i="10"/>
  <c r="CD59" i="10"/>
  <c r="CE59" i="10"/>
  <c r="CG59" i="10"/>
  <c r="CH59" i="10"/>
  <c r="CI59" i="10"/>
  <c r="CJ59" i="10"/>
  <c r="CL59" i="10"/>
  <c r="CM59" i="10"/>
  <c r="CN59" i="10"/>
  <c r="CO59" i="10"/>
  <c r="CQ59" i="10"/>
  <c r="CR59" i="10"/>
  <c r="CS59" i="10"/>
  <c r="CT59" i="10"/>
  <c r="CV59" i="10"/>
  <c r="CW59" i="10"/>
  <c r="CX59" i="10"/>
  <c r="CY59" i="10"/>
  <c r="DA59" i="10"/>
  <c r="DB59" i="10"/>
  <c r="DC59" i="10"/>
  <c r="DD59" i="10"/>
  <c r="DF59" i="10"/>
  <c r="DG59" i="10"/>
  <c r="DH59" i="10"/>
  <c r="DI59" i="10"/>
  <c r="DK59" i="10"/>
  <c r="DL59" i="10"/>
  <c r="DM59" i="10"/>
  <c r="DN59" i="10"/>
  <c r="BQ60" i="10"/>
  <c r="BV60" i="10" s="1"/>
  <c r="CA60" i="10" s="1"/>
  <c r="CF60" i="10" s="1"/>
  <c r="CK60" i="10" s="1"/>
  <c r="CP60" i="10" s="1"/>
  <c r="CU60" i="10" s="1"/>
  <c r="CZ60" i="10" s="1"/>
  <c r="DE60" i="10" s="1"/>
  <c r="DJ60" i="10" s="1"/>
  <c r="DO60" i="10" s="1"/>
  <c r="DT60" i="10" s="1"/>
  <c r="BR60" i="10"/>
  <c r="BS60" i="10"/>
  <c r="BT60" i="10"/>
  <c r="BU60" i="10"/>
  <c r="BW60" i="10"/>
  <c r="BX60" i="10"/>
  <c r="BY60" i="10"/>
  <c r="BZ60" i="10"/>
  <c r="CB60" i="10"/>
  <c r="CC60" i="10"/>
  <c r="CD60" i="10"/>
  <c r="CE60" i="10"/>
  <c r="CG60" i="10"/>
  <c r="CH60" i="10"/>
  <c r="CI60" i="10"/>
  <c r="CJ60" i="10"/>
  <c r="CL60" i="10"/>
  <c r="CM60" i="10"/>
  <c r="CN60" i="10"/>
  <c r="CO60" i="10"/>
  <c r="CQ60" i="10"/>
  <c r="CR60" i="10"/>
  <c r="CS60" i="10"/>
  <c r="CT60" i="10"/>
  <c r="CV60" i="10"/>
  <c r="CW60" i="10"/>
  <c r="CX60" i="10"/>
  <c r="CY60" i="10"/>
  <c r="DA60" i="10"/>
  <c r="DB60" i="10"/>
  <c r="DC60" i="10"/>
  <c r="DD60" i="10"/>
  <c r="DF60" i="10"/>
  <c r="DG60" i="10"/>
  <c r="DH60" i="10"/>
  <c r="DI60" i="10"/>
  <c r="DK60" i="10"/>
  <c r="DL60" i="10"/>
  <c r="DM60" i="10"/>
  <c r="DN60" i="10"/>
  <c r="BQ61" i="10"/>
  <c r="BV61" i="10" s="1"/>
  <c r="CA61" i="10" s="1"/>
  <c r="CF61" i="10" s="1"/>
  <c r="CK61" i="10" s="1"/>
  <c r="CP61" i="10" s="1"/>
  <c r="CU61" i="10" s="1"/>
  <c r="CZ61" i="10" s="1"/>
  <c r="DE61" i="10" s="1"/>
  <c r="DJ61" i="10" s="1"/>
  <c r="DO61" i="10" s="1"/>
  <c r="DT61" i="10" s="1"/>
  <c r="BR61" i="10"/>
  <c r="BS61" i="10"/>
  <c r="BT61" i="10"/>
  <c r="BU61" i="10"/>
  <c r="BW61" i="10"/>
  <c r="BX61" i="10"/>
  <c r="BY61" i="10"/>
  <c r="BZ61" i="10"/>
  <c r="CB61" i="10"/>
  <c r="CC61" i="10"/>
  <c r="CD61" i="10"/>
  <c r="CE61" i="10"/>
  <c r="CG61" i="10"/>
  <c r="CH61" i="10"/>
  <c r="CI61" i="10"/>
  <c r="CJ61" i="10"/>
  <c r="CL61" i="10"/>
  <c r="CM61" i="10"/>
  <c r="CN61" i="10"/>
  <c r="CO61" i="10"/>
  <c r="CQ61" i="10"/>
  <c r="CR61" i="10"/>
  <c r="CS61" i="10"/>
  <c r="CT61" i="10"/>
  <c r="CV61" i="10"/>
  <c r="CW61" i="10"/>
  <c r="CX61" i="10"/>
  <c r="CY61" i="10"/>
  <c r="DA61" i="10"/>
  <c r="DB61" i="10"/>
  <c r="DC61" i="10"/>
  <c r="DD61" i="10"/>
  <c r="DF61" i="10"/>
  <c r="DG61" i="10"/>
  <c r="DH61" i="10"/>
  <c r="DI61" i="10"/>
  <c r="DK61" i="10"/>
  <c r="DL61" i="10"/>
  <c r="DM61" i="10"/>
  <c r="DN61" i="10"/>
  <c r="BQ62" i="10"/>
  <c r="BV62" i="10" s="1"/>
  <c r="CA62" i="10" s="1"/>
  <c r="CF62" i="10" s="1"/>
  <c r="CK62" i="10" s="1"/>
  <c r="CP62" i="10" s="1"/>
  <c r="CU62" i="10" s="1"/>
  <c r="CZ62" i="10" s="1"/>
  <c r="DE62" i="10" s="1"/>
  <c r="DJ62" i="10" s="1"/>
  <c r="DO62" i="10" s="1"/>
  <c r="DT62" i="10" s="1"/>
  <c r="BR62" i="10"/>
  <c r="BS62" i="10"/>
  <c r="BT62" i="10"/>
  <c r="BU62" i="10"/>
  <c r="BW62" i="10"/>
  <c r="BX62" i="10"/>
  <c r="BY62" i="10"/>
  <c r="BZ62" i="10"/>
  <c r="CB62" i="10"/>
  <c r="CC62" i="10"/>
  <c r="CD62" i="10"/>
  <c r="CE62" i="10"/>
  <c r="CG62" i="10"/>
  <c r="CH62" i="10"/>
  <c r="CI62" i="10"/>
  <c r="CJ62" i="10"/>
  <c r="CL62" i="10"/>
  <c r="CM62" i="10"/>
  <c r="CN62" i="10"/>
  <c r="CO62" i="10"/>
  <c r="CQ62" i="10"/>
  <c r="CR62" i="10"/>
  <c r="CS62" i="10"/>
  <c r="CT62" i="10"/>
  <c r="CV62" i="10"/>
  <c r="CW62" i="10"/>
  <c r="CX62" i="10"/>
  <c r="CY62" i="10"/>
  <c r="DA62" i="10"/>
  <c r="DB62" i="10"/>
  <c r="DC62" i="10"/>
  <c r="DD62" i="10"/>
  <c r="DF62" i="10"/>
  <c r="DG62" i="10"/>
  <c r="DH62" i="10"/>
  <c r="DI62" i="10"/>
  <c r="DK62" i="10"/>
  <c r="DL62" i="10"/>
  <c r="DM62" i="10"/>
  <c r="DN62" i="10"/>
  <c r="BQ63" i="10"/>
  <c r="BV63" i="10" s="1"/>
  <c r="CA63" i="10" s="1"/>
  <c r="CF63" i="10" s="1"/>
  <c r="CK63" i="10" s="1"/>
  <c r="CP63" i="10" s="1"/>
  <c r="CU63" i="10" s="1"/>
  <c r="CZ63" i="10" s="1"/>
  <c r="DE63" i="10" s="1"/>
  <c r="DJ63" i="10" s="1"/>
  <c r="DO63" i="10" s="1"/>
  <c r="DT63" i="10" s="1"/>
  <c r="BR63" i="10"/>
  <c r="BS63" i="10"/>
  <c r="BT63" i="10"/>
  <c r="BU63" i="10"/>
  <c r="BW63" i="10"/>
  <c r="BX63" i="10"/>
  <c r="BY63" i="10"/>
  <c r="BZ63" i="10"/>
  <c r="CB63" i="10"/>
  <c r="CC63" i="10"/>
  <c r="CD63" i="10"/>
  <c r="CE63" i="10"/>
  <c r="CG63" i="10"/>
  <c r="CH63" i="10"/>
  <c r="CI63" i="10"/>
  <c r="CJ63" i="10"/>
  <c r="CL63" i="10"/>
  <c r="CM63" i="10"/>
  <c r="CN63" i="10"/>
  <c r="CO63" i="10"/>
  <c r="CQ63" i="10"/>
  <c r="CR63" i="10"/>
  <c r="CS63" i="10"/>
  <c r="CT63" i="10"/>
  <c r="CV63" i="10"/>
  <c r="CW63" i="10"/>
  <c r="CX63" i="10"/>
  <c r="CY63" i="10"/>
  <c r="DA63" i="10"/>
  <c r="DB63" i="10"/>
  <c r="DC63" i="10"/>
  <c r="DD63" i="10"/>
  <c r="DF63" i="10"/>
  <c r="DG63" i="10"/>
  <c r="DH63" i="10"/>
  <c r="DI63" i="10"/>
  <c r="DK63" i="10"/>
  <c r="DL63" i="10"/>
  <c r="DM63" i="10"/>
  <c r="DN63" i="10"/>
  <c r="BQ64" i="10"/>
  <c r="BV64" i="10" s="1"/>
  <c r="CA64" i="10" s="1"/>
  <c r="CF64" i="10" s="1"/>
  <c r="CK64" i="10" s="1"/>
  <c r="CP64" i="10" s="1"/>
  <c r="CU64" i="10" s="1"/>
  <c r="CZ64" i="10" s="1"/>
  <c r="DE64" i="10" s="1"/>
  <c r="DJ64" i="10" s="1"/>
  <c r="DO64" i="10" s="1"/>
  <c r="DT64" i="10" s="1"/>
  <c r="BR64" i="10"/>
  <c r="BS64" i="10"/>
  <c r="BT64" i="10"/>
  <c r="BU64" i="10"/>
  <c r="BW64" i="10"/>
  <c r="BX64" i="10"/>
  <c r="BY64" i="10"/>
  <c r="BZ64" i="10"/>
  <c r="CB64" i="10"/>
  <c r="CC64" i="10"/>
  <c r="CD64" i="10"/>
  <c r="CE64" i="10"/>
  <c r="CG64" i="10"/>
  <c r="CH64" i="10"/>
  <c r="CI64" i="10"/>
  <c r="CJ64" i="10"/>
  <c r="CL64" i="10"/>
  <c r="CM64" i="10"/>
  <c r="CN64" i="10"/>
  <c r="CO64" i="10"/>
  <c r="CQ64" i="10"/>
  <c r="CR64" i="10"/>
  <c r="CS64" i="10"/>
  <c r="CT64" i="10"/>
  <c r="CV64" i="10"/>
  <c r="CW64" i="10"/>
  <c r="CX64" i="10"/>
  <c r="CY64" i="10"/>
  <c r="DA64" i="10"/>
  <c r="DB64" i="10"/>
  <c r="DC64" i="10"/>
  <c r="DD64" i="10"/>
  <c r="DF64" i="10"/>
  <c r="DG64" i="10"/>
  <c r="DH64" i="10"/>
  <c r="DI64" i="10"/>
  <c r="DK64" i="10"/>
  <c r="DL64" i="10"/>
  <c r="DM64" i="10"/>
  <c r="DN64" i="10"/>
  <c r="E49" i="10"/>
  <c r="E50" i="10"/>
  <c r="BJ50" i="10" s="1"/>
  <c r="BH50" i="10" s="1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F66" i="10"/>
  <c r="L69" i="10"/>
  <c r="Q69" i="10"/>
  <c r="M69" i="10" s="1"/>
  <c r="V69" i="10"/>
  <c r="R69" i="10" s="1"/>
  <c r="AA69" i="10"/>
  <c r="AF69" i="10"/>
  <c r="AB69" i="10" s="1"/>
  <c r="AK69" i="10"/>
  <c r="AP69" i="10"/>
  <c r="AL69" i="10" s="1"/>
  <c r="AU69" i="10"/>
  <c r="AR69" i="10" s="1"/>
  <c r="AZ69" i="10"/>
  <c r="BE69" i="10"/>
  <c r="BA69" i="10" s="1"/>
  <c r="BJ69" i="10"/>
  <c r="L70" i="10"/>
  <c r="Q70" i="10"/>
  <c r="V70" i="10"/>
  <c r="R70" i="10" s="1"/>
  <c r="AA70" i="10"/>
  <c r="W70" i="10" s="1"/>
  <c r="AF70" i="10"/>
  <c r="AB70" i="10" s="1"/>
  <c r="AK70" i="10"/>
  <c r="AP70" i="10"/>
  <c r="AU70" i="10"/>
  <c r="AQ70" i="10" s="1"/>
  <c r="BE70" i="10"/>
  <c r="BJ70" i="10"/>
  <c r="L71" i="10"/>
  <c r="Q71" i="10"/>
  <c r="V71" i="10"/>
  <c r="R71" i="10" s="1"/>
  <c r="AA71" i="10"/>
  <c r="AF71" i="10"/>
  <c r="AK71" i="10"/>
  <c r="AG71" i="10" s="1"/>
  <c r="AP71" i="10"/>
  <c r="AU71" i="10"/>
  <c r="AQ71" i="10" s="1"/>
  <c r="AZ71" i="10"/>
  <c r="AV71" i="10" s="1"/>
  <c r="BJ71" i="10"/>
  <c r="L72" i="10"/>
  <c r="Q72" i="10"/>
  <c r="V72" i="10"/>
  <c r="AA72" i="10"/>
  <c r="Y72" i="10" s="1"/>
  <c r="AF72" i="10"/>
  <c r="AC72" i="10" s="1"/>
  <c r="AK72" i="10"/>
  <c r="AG72" i="10" s="1"/>
  <c r="AP72" i="10"/>
  <c r="AO72" i="10" s="1"/>
  <c r="AU72" i="10"/>
  <c r="AS72" i="10" s="1"/>
  <c r="AZ72" i="10"/>
  <c r="AW72" i="10" s="1"/>
  <c r="BE72" i="10"/>
  <c r="BA72" i="10" s="1"/>
  <c r="BQ69" i="10"/>
  <c r="BV69" i="10" s="1"/>
  <c r="CA69" i="10" s="1"/>
  <c r="BR69" i="10"/>
  <c r="BS69" i="10"/>
  <c r="BT69" i="10"/>
  <c r="BU69" i="10"/>
  <c r="BW69" i="10"/>
  <c r="BX69" i="10"/>
  <c r="BY69" i="10"/>
  <c r="BZ69" i="10"/>
  <c r="CB69" i="10"/>
  <c r="CC69" i="10"/>
  <c r="CD69" i="10"/>
  <c r="CE69" i="10"/>
  <c r="CG69" i="10"/>
  <c r="CH69" i="10"/>
  <c r="CI69" i="10"/>
  <c r="CJ69" i="10"/>
  <c r="CL69" i="10"/>
  <c r="CM69" i="10"/>
  <c r="CN69" i="10"/>
  <c r="CO69" i="10"/>
  <c r="CQ69" i="10"/>
  <c r="CR69" i="10"/>
  <c r="CS69" i="10"/>
  <c r="CT69" i="10"/>
  <c r="DF69" i="10"/>
  <c r="DG69" i="10"/>
  <c r="DH69" i="10"/>
  <c r="DI69" i="10"/>
  <c r="DK69" i="10"/>
  <c r="DL69" i="10"/>
  <c r="DM69" i="10"/>
  <c r="DN69" i="10"/>
  <c r="BQ70" i="10"/>
  <c r="BR70" i="10"/>
  <c r="BS70" i="10"/>
  <c r="BT70" i="10"/>
  <c r="BU70" i="10"/>
  <c r="BW70" i="10"/>
  <c r="BX70" i="10"/>
  <c r="BY70" i="10"/>
  <c r="BZ70" i="10"/>
  <c r="CB70" i="10"/>
  <c r="CC70" i="10"/>
  <c r="CD70" i="10"/>
  <c r="CE70" i="10"/>
  <c r="CG70" i="10"/>
  <c r="CH70" i="10"/>
  <c r="CI70" i="10"/>
  <c r="CJ70" i="10"/>
  <c r="CL70" i="10"/>
  <c r="CM70" i="10"/>
  <c r="CN70" i="10"/>
  <c r="CO70" i="10"/>
  <c r="CQ70" i="10"/>
  <c r="CR70" i="10"/>
  <c r="CS70" i="10"/>
  <c r="CT70" i="10"/>
  <c r="CV70" i="10"/>
  <c r="CW70" i="10"/>
  <c r="CX70" i="10"/>
  <c r="CY70" i="10"/>
  <c r="DK70" i="10"/>
  <c r="DL70" i="10"/>
  <c r="DM70" i="10"/>
  <c r="DN70" i="10"/>
  <c r="BQ71" i="10"/>
  <c r="BV71" i="10" s="1"/>
  <c r="BR71" i="10"/>
  <c r="BS71" i="10"/>
  <c r="BT71" i="10"/>
  <c r="BU71" i="10"/>
  <c r="BW71" i="10"/>
  <c r="BX71" i="10"/>
  <c r="BY71" i="10"/>
  <c r="BZ71" i="10"/>
  <c r="CB71" i="10"/>
  <c r="CC71" i="10"/>
  <c r="CD71" i="10"/>
  <c r="CE71" i="10"/>
  <c r="CG71" i="10"/>
  <c r="CH71" i="10"/>
  <c r="CI71" i="10"/>
  <c r="CJ71" i="10"/>
  <c r="CL71" i="10"/>
  <c r="CM71" i="10"/>
  <c r="CN71" i="10"/>
  <c r="CO71" i="10"/>
  <c r="CQ71" i="10"/>
  <c r="CR71" i="10"/>
  <c r="CS71" i="10"/>
  <c r="CT71" i="10"/>
  <c r="CV71" i="10"/>
  <c r="CW71" i="10"/>
  <c r="CX71" i="10"/>
  <c r="CY71" i="10"/>
  <c r="DA71" i="10"/>
  <c r="DB71" i="10"/>
  <c r="DC71" i="10"/>
  <c r="DD71" i="10"/>
  <c r="BQ72" i="10"/>
  <c r="BV72" i="10" s="1"/>
  <c r="CA72" i="10" s="1"/>
  <c r="CF72" i="10" s="1"/>
  <c r="CK72" i="10" s="1"/>
  <c r="CP72" i="10" s="1"/>
  <c r="CU72" i="10" s="1"/>
  <c r="CZ72" i="10" s="1"/>
  <c r="DE72" i="10" s="1"/>
  <c r="DJ72" i="10" s="1"/>
  <c r="BR72" i="10"/>
  <c r="BS72" i="10"/>
  <c r="BT72" i="10"/>
  <c r="BU72" i="10"/>
  <c r="BW72" i="10"/>
  <c r="BX72" i="10"/>
  <c r="BY72" i="10"/>
  <c r="BZ72" i="10"/>
  <c r="CB72" i="10"/>
  <c r="CC72" i="10"/>
  <c r="CD72" i="10"/>
  <c r="CE72" i="10"/>
  <c r="CG72" i="10"/>
  <c r="CH72" i="10"/>
  <c r="CI72" i="10"/>
  <c r="CJ72" i="10"/>
  <c r="CL72" i="10"/>
  <c r="CM72" i="10"/>
  <c r="CN72" i="10"/>
  <c r="CO72" i="10"/>
  <c r="CQ72" i="10"/>
  <c r="CR72" i="10"/>
  <c r="CS72" i="10"/>
  <c r="CT72" i="10"/>
  <c r="CV72" i="10"/>
  <c r="CW72" i="10"/>
  <c r="CX72" i="10"/>
  <c r="CY72" i="10"/>
  <c r="DA72" i="10"/>
  <c r="DB72" i="10"/>
  <c r="DC72" i="10"/>
  <c r="DD72" i="10"/>
  <c r="DF72" i="10"/>
  <c r="DG72" i="10"/>
  <c r="DH72" i="10"/>
  <c r="DI72" i="10"/>
  <c r="E70" i="10"/>
  <c r="AZ70" i="10" s="1"/>
  <c r="E71" i="10"/>
  <c r="BE71" i="10" s="1"/>
  <c r="BC71" i="10" s="1"/>
  <c r="E72" i="10"/>
  <c r="BJ72" i="10" s="1"/>
  <c r="K75" i="10"/>
  <c r="L84" i="10"/>
  <c r="Q84" i="10"/>
  <c r="M84" i="10" s="1"/>
  <c r="V84" i="10"/>
  <c r="AA84" i="10"/>
  <c r="AF84" i="10"/>
  <c r="AD84" i="10" s="1"/>
  <c r="AK84" i="10"/>
  <c r="AP84" i="10"/>
  <c r="AL84" i="10" s="1"/>
  <c r="AU84" i="10"/>
  <c r="BE84" i="10"/>
  <c r="BJ84" i="10"/>
  <c r="BF84" i="10" s="1"/>
  <c r="L85" i="10"/>
  <c r="Q85" i="10"/>
  <c r="O85" i="10" s="1"/>
  <c r="V85" i="10"/>
  <c r="R85" i="10" s="1"/>
  <c r="AA85" i="10"/>
  <c r="AF85" i="10"/>
  <c r="AE85" i="10" s="1"/>
  <c r="AK85" i="10"/>
  <c r="AI85" i="10" s="1"/>
  <c r="AP85" i="10"/>
  <c r="AU85" i="10"/>
  <c r="AQ85" i="10" s="1"/>
  <c r="AZ85" i="10"/>
  <c r="BE85" i="10"/>
  <c r="BC85" i="10" s="1"/>
  <c r="BJ85" i="10"/>
  <c r="BF85" i="10" s="1"/>
  <c r="L86" i="10"/>
  <c r="Q86" i="10"/>
  <c r="V86" i="10"/>
  <c r="T86" i="10" s="1"/>
  <c r="AA86" i="10"/>
  <c r="W86" i="10" s="1"/>
  <c r="AF86" i="10"/>
  <c r="AK86" i="10"/>
  <c r="AJ86" i="10" s="1"/>
  <c r="AP86" i="10"/>
  <c r="AN86" i="10" s="1"/>
  <c r="AU86" i="10"/>
  <c r="AZ86" i="10"/>
  <c r="AV86" i="10" s="1"/>
  <c r="BE86" i="10"/>
  <c r="BJ86" i="10"/>
  <c r="BH86" i="10" s="1"/>
  <c r="L87" i="10"/>
  <c r="Q87" i="10"/>
  <c r="M87" i="10" s="1"/>
  <c r="V87" i="10"/>
  <c r="AA87" i="10"/>
  <c r="Y87" i="10" s="1"/>
  <c r="AF87" i="10"/>
  <c r="AK87" i="10"/>
  <c r="AG87" i="10" s="1"/>
  <c r="AP87" i="10"/>
  <c r="AO87" i="10" s="1"/>
  <c r="AU87" i="10"/>
  <c r="AS87" i="10" s="1"/>
  <c r="AZ87" i="10"/>
  <c r="AV87" i="10" s="1"/>
  <c r="BE87" i="10"/>
  <c r="BA87" i="10" s="1"/>
  <c r="BJ87" i="10"/>
  <c r="BI87" i="10" s="1"/>
  <c r="BQ84" i="10"/>
  <c r="BV84" i="10" s="1"/>
  <c r="CA84" i="10" s="1"/>
  <c r="BR84" i="10"/>
  <c r="BS84" i="10"/>
  <c r="BT84" i="10"/>
  <c r="BU84" i="10"/>
  <c r="BW84" i="10"/>
  <c r="BX84" i="10"/>
  <c r="BY84" i="10"/>
  <c r="BZ84" i="10"/>
  <c r="CB84" i="10"/>
  <c r="CC84" i="10"/>
  <c r="CD84" i="10"/>
  <c r="CE84" i="10"/>
  <c r="CG84" i="10"/>
  <c r="CH84" i="10"/>
  <c r="CI84" i="10"/>
  <c r="CJ84" i="10"/>
  <c r="CL84" i="10"/>
  <c r="CM84" i="10"/>
  <c r="CN84" i="10"/>
  <c r="CO84" i="10"/>
  <c r="CQ84" i="10"/>
  <c r="CR84" i="10"/>
  <c r="CS84" i="10"/>
  <c r="CT84" i="10"/>
  <c r="CV84" i="10"/>
  <c r="CW84" i="10"/>
  <c r="CX84" i="10"/>
  <c r="CY84" i="10"/>
  <c r="DK84" i="10"/>
  <c r="DL84" i="10"/>
  <c r="DM84" i="10"/>
  <c r="DN84" i="10"/>
  <c r="BQ85" i="10"/>
  <c r="BV85" i="10" s="1"/>
  <c r="CA85" i="10" s="1"/>
  <c r="CF85" i="10" s="1"/>
  <c r="CK85" i="10" s="1"/>
  <c r="CP85" i="10" s="1"/>
  <c r="CU85" i="10" s="1"/>
  <c r="CZ85" i="10" s="1"/>
  <c r="DE85" i="10" s="1"/>
  <c r="DJ85" i="10" s="1"/>
  <c r="DO85" i="10" s="1"/>
  <c r="BR85" i="10"/>
  <c r="BS85" i="10"/>
  <c r="BT85" i="10"/>
  <c r="BU85" i="10"/>
  <c r="BW85" i="10"/>
  <c r="BX85" i="10"/>
  <c r="BY85" i="10"/>
  <c r="BZ85" i="10"/>
  <c r="CB85" i="10"/>
  <c r="CC85" i="10"/>
  <c r="CD85" i="10"/>
  <c r="CE85" i="10"/>
  <c r="CG85" i="10"/>
  <c r="CH85" i="10"/>
  <c r="CI85" i="10"/>
  <c r="CJ85" i="10"/>
  <c r="CL85" i="10"/>
  <c r="CM85" i="10"/>
  <c r="CN85" i="10"/>
  <c r="CO85" i="10"/>
  <c r="CQ85" i="10"/>
  <c r="CR85" i="10"/>
  <c r="CS85" i="10"/>
  <c r="CT85" i="10"/>
  <c r="CV85" i="10"/>
  <c r="CW85" i="10"/>
  <c r="CX85" i="10"/>
  <c r="CY85" i="10"/>
  <c r="DA85" i="10"/>
  <c r="DB85" i="10"/>
  <c r="DC85" i="10"/>
  <c r="DD85" i="10"/>
  <c r="DF85" i="10"/>
  <c r="DG85" i="10"/>
  <c r="DH85" i="10"/>
  <c r="DI85" i="10"/>
  <c r="DK85" i="10"/>
  <c r="DL85" i="10"/>
  <c r="DM85" i="10"/>
  <c r="DN85" i="10"/>
  <c r="BQ86" i="10"/>
  <c r="BV86" i="10" s="1"/>
  <c r="CA86" i="10" s="1"/>
  <c r="CF86" i="10" s="1"/>
  <c r="CK86" i="10" s="1"/>
  <c r="CP86" i="10" s="1"/>
  <c r="CU86" i="10" s="1"/>
  <c r="CZ86" i="10" s="1"/>
  <c r="DE86" i="10" s="1"/>
  <c r="DJ86" i="10" s="1"/>
  <c r="DO86" i="10" s="1"/>
  <c r="BR86" i="10"/>
  <c r="BS86" i="10"/>
  <c r="BT86" i="10"/>
  <c r="BU86" i="10"/>
  <c r="BW86" i="10"/>
  <c r="BX86" i="10"/>
  <c r="BY86" i="10"/>
  <c r="BZ86" i="10"/>
  <c r="CB86" i="10"/>
  <c r="CC86" i="10"/>
  <c r="CD86" i="10"/>
  <c r="CE86" i="10"/>
  <c r="CG86" i="10"/>
  <c r="CH86" i="10"/>
  <c r="CI86" i="10"/>
  <c r="CJ86" i="10"/>
  <c r="CL86" i="10"/>
  <c r="CM86" i="10"/>
  <c r="CN86" i="10"/>
  <c r="CO86" i="10"/>
  <c r="CQ86" i="10"/>
  <c r="CR86" i="10"/>
  <c r="CS86" i="10"/>
  <c r="CT86" i="10"/>
  <c r="CV86" i="10"/>
  <c r="CW86" i="10"/>
  <c r="CX86" i="10"/>
  <c r="CY86" i="10"/>
  <c r="DA86" i="10"/>
  <c r="DB86" i="10"/>
  <c r="DC86" i="10"/>
  <c r="DD86" i="10"/>
  <c r="DF86" i="10"/>
  <c r="DG86" i="10"/>
  <c r="DH86" i="10"/>
  <c r="DI86" i="10"/>
  <c r="DK86" i="10"/>
  <c r="DL86" i="10"/>
  <c r="DM86" i="10"/>
  <c r="DN86" i="10"/>
  <c r="BQ87" i="10"/>
  <c r="BV87" i="10" s="1"/>
  <c r="CA87" i="10" s="1"/>
  <c r="CF87" i="10" s="1"/>
  <c r="CK87" i="10" s="1"/>
  <c r="CP87" i="10" s="1"/>
  <c r="CU87" i="10" s="1"/>
  <c r="CZ87" i="10" s="1"/>
  <c r="DE87" i="10" s="1"/>
  <c r="DJ87" i="10" s="1"/>
  <c r="DO87" i="10" s="1"/>
  <c r="BR87" i="10"/>
  <c r="BS87" i="10"/>
  <c r="BT87" i="10"/>
  <c r="BU87" i="10"/>
  <c r="BW87" i="10"/>
  <c r="BX87" i="10"/>
  <c r="BY87" i="10"/>
  <c r="BZ87" i="10"/>
  <c r="CB87" i="10"/>
  <c r="CC87" i="10"/>
  <c r="CD87" i="10"/>
  <c r="CE87" i="10"/>
  <c r="CG87" i="10"/>
  <c r="CH87" i="10"/>
  <c r="CI87" i="10"/>
  <c r="CJ87" i="10"/>
  <c r="CL87" i="10"/>
  <c r="CM87" i="10"/>
  <c r="CN87" i="10"/>
  <c r="CO87" i="10"/>
  <c r="CQ87" i="10"/>
  <c r="CR87" i="10"/>
  <c r="CS87" i="10"/>
  <c r="CT87" i="10"/>
  <c r="CV87" i="10"/>
  <c r="CW87" i="10"/>
  <c r="CX87" i="10"/>
  <c r="CY87" i="10"/>
  <c r="DA87" i="10"/>
  <c r="DB87" i="10"/>
  <c r="DC87" i="10"/>
  <c r="DD87" i="10"/>
  <c r="DF87" i="10"/>
  <c r="DG87" i="10"/>
  <c r="DH87" i="10"/>
  <c r="DI87" i="10"/>
  <c r="DK87" i="10"/>
  <c r="DL87" i="10"/>
  <c r="DM87" i="10"/>
  <c r="DN87" i="10"/>
  <c r="E84" i="10"/>
  <c r="AZ84" i="10" s="1"/>
  <c r="E85" i="10"/>
  <c r="E86" i="10"/>
  <c r="E87" i="10"/>
  <c r="L90" i="10"/>
  <c r="Q90" i="10"/>
  <c r="M90" i="10" s="1"/>
  <c r="V90" i="10"/>
  <c r="R90" i="10" s="1"/>
  <c r="AA90" i="10"/>
  <c r="Z90" i="10" s="1"/>
  <c r="AF90" i="10"/>
  <c r="AD90" i="10" s="1"/>
  <c r="AK90" i="10"/>
  <c r="AP90" i="10"/>
  <c r="AL90" i="10" s="1"/>
  <c r="AU90" i="10"/>
  <c r="AT90" i="10" s="1"/>
  <c r="AZ90" i="10"/>
  <c r="AX90" i="10" s="1"/>
  <c r="BE90" i="10"/>
  <c r="BJ90" i="10"/>
  <c r="BF90" i="10" s="1"/>
  <c r="L91" i="10"/>
  <c r="Q91" i="10"/>
  <c r="O91" i="10" s="1"/>
  <c r="V91" i="10"/>
  <c r="R91" i="10" s="1"/>
  <c r="AA91" i="10"/>
  <c r="W91" i="10" s="1"/>
  <c r="AF91" i="10"/>
  <c r="AK91" i="10"/>
  <c r="AI91" i="10" s="1"/>
  <c r="AP91" i="10"/>
  <c r="AL91" i="10" s="1"/>
  <c r="AU91" i="10"/>
  <c r="AZ91" i="10"/>
  <c r="AY91" i="10" s="1"/>
  <c r="BE91" i="10"/>
  <c r="BC91" i="10" s="1"/>
  <c r="BJ91" i="10"/>
  <c r="BG91" i="10" s="1"/>
  <c r="L92" i="10"/>
  <c r="Q92" i="10"/>
  <c r="P92" i="10" s="1"/>
  <c r="V92" i="10"/>
  <c r="T92" i="10" s="1"/>
  <c r="AA92" i="10"/>
  <c r="AF92" i="10"/>
  <c r="AB92" i="10" s="1"/>
  <c r="AK92" i="10"/>
  <c r="AP92" i="10"/>
  <c r="AN92" i="10" s="1"/>
  <c r="AU92" i="10"/>
  <c r="AQ92" i="10" s="1"/>
  <c r="AZ92" i="10"/>
  <c r="BE92" i="10"/>
  <c r="BD92" i="10" s="1"/>
  <c r="BJ92" i="10"/>
  <c r="BH92" i="10" s="1"/>
  <c r="BQ90" i="10"/>
  <c r="BV90" i="10" s="1"/>
  <c r="CA90" i="10" s="1"/>
  <c r="CF90" i="10" s="1"/>
  <c r="CK90" i="10" s="1"/>
  <c r="CP90" i="10" s="1"/>
  <c r="CU90" i="10" s="1"/>
  <c r="CZ90" i="10" s="1"/>
  <c r="DE90" i="10" s="1"/>
  <c r="DJ90" i="10" s="1"/>
  <c r="DO90" i="10" s="1"/>
  <c r="BR90" i="10"/>
  <c r="BS90" i="10"/>
  <c r="BT90" i="10"/>
  <c r="BU90" i="10"/>
  <c r="BW90" i="10"/>
  <c r="BX90" i="10"/>
  <c r="BY90" i="10"/>
  <c r="BZ90" i="10"/>
  <c r="CB90" i="10"/>
  <c r="CC90" i="10"/>
  <c r="CD90" i="10"/>
  <c r="CE90" i="10"/>
  <c r="CG90" i="10"/>
  <c r="CH90" i="10"/>
  <c r="CI90" i="10"/>
  <c r="CJ90" i="10"/>
  <c r="CL90" i="10"/>
  <c r="CM90" i="10"/>
  <c r="CN90" i="10"/>
  <c r="CO90" i="10"/>
  <c r="CQ90" i="10"/>
  <c r="CR90" i="10"/>
  <c r="CS90" i="10"/>
  <c r="CT90" i="10"/>
  <c r="CV90" i="10"/>
  <c r="CW90" i="10"/>
  <c r="CX90" i="10"/>
  <c r="CY90" i="10"/>
  <c r="DA90" i="10"/>
  <c r="DB90" i="10"/>
  <c r="DC90" i="10"/>
  <c r="DD90" i="10"/>
  <c r="DF90" i="10"/>
  <c r="DG90" i="10"/>
  <c r="DH90" i="10"/>
  <c r="DI90" i="10"/>
  <c r="DK90" i="10"/>
  <c r="DL90" i="10"/>
  <c r="DM90" i="10"/>
  <c r="DN90" i="10"/>
  <c r="BQ91" i="10"/>
  <c r="BV91" i="10" s="1"/>
  <c r="CA91" i="10" s="1"/>
  <c r="CF91" i="10" s="1"/>
  <c r="CK91" i="10" s="1"/>
  <c r="CP91" i="10" s="1"/>
  <c r="CU91" i="10" s="1"/>
  <c r="CZ91" i="10" s="1"/>
  <c r="DE91" i="10" s="1"/>
  <c r="DJ91" i="10" s="1"/>
  <c r="DO91" i="10" s="1"/>
  <c r="BR91" i="10"/>
  <c r="BS91" i="10"/>
  <c r="BT91" i="10"/>
  <c r="BU91" i="10"/>
  <c r="BW91" i="10"/>
  <c r="BX91" i="10"/>
  <c r="BY91" i="10"/>
  <c r="BZ91" i="10"/>
  <c r="CB91" i="10"/>
  <c r="CC91" i="10"/>
  <c r="CD91" i="10"/>
  <c r="CE91" i="10"/>
  <c r="CG91" i="10"/>
  <c r="CH91" i="10"/>
  <c r="CI91" i="10"/>
  <c r="CJ91" i="10"/>
  <c r="CL91" i="10"/>
  <c r="CM91" i="10"/>
  <c r="CN91" i="10"/>
  <c r="CO91" i="10"/>
  <c r="CQ91" i="10"/>
  <c r="CR91" i="10"/>
  <c r="CS91" i="10"/>
  <c r="CT91" i="10"/>
  <c r="CY91" i="10"/>
  <c r="DB91" i="10"/>
  <c r="DC91" i="10"/>
  <c r="DD91" i="10"/>
  <c r="DF91" i="10"/>
  <c r="DG91" i="10"/>
  <c r="DH91" i="10"/>
  <c r="DI91" i="10"/>
  <c r="DK91" i="10"/>
  <c r="DL91" i="10"/>
  <c r="DM91" i="10"/>
  <c r="DN91" i="10"/>
  <c r="BQ92" i="10"/>
  <c r="BV92" i="10" s="1"/>
  <c r="CA92" i="10" s="1"/>
  <c r="CF92" i="10" s="1"/>
  <c r="CK92" i="10" s="1"/>
  <c r="CP92" i="10" s="1"/>
  <c r="CU92" i="10" s="1"/>
  <c r="CZ92" i="10" s="1"/>
  <c r="DE92" i="10" s="1"/>
  <c r="DJ92" i="10" s="1"/>
  <c r="DO92" i="10" s="1"/>
  <c r="BR92" i="10"/>
  <c r="BS92" i="10"/>
  <c r="BT92" i="10"/>
  <c r="BU92" i="10"/>
  <c r="BW92" i="10"/>
  <c r="BX92" i="10"/>
  <c r="BY92" i="10"/>
  <c r="BZ92" i="10"/>
  <c r="CB92" i="10"/>
  <c r="CC92" i="10"/>
  <c r="CD92" i="10"/>
  <c r="CE92" i="10"/>
  <c r="CG92" i="10"/>
  <c r="CH92" i="10"/>
  <c r="CI92" i="10"/>
  <c r="CJ92" i="10"/>
  <c r="CL92" i="10"/>
  <c r="CM92" i="10"/>
  <c r="CN92" i="10"/>
  <c r="CO92" i="10"/>
  <c r="CQ92" i="10"/>
  <c r="CR92" i="10"/>
  <c r="CS92" i="10"/>
  <c r="CT92" i="10"/>
  <c r="CV92" i="10"/>
  <c r="CW92" i="10"/>
  <c r="CX92" i="10"/>
  <c r="CY92" i="10"/>
  <c r="DA92" i="10"/>
  <c r="DB92" i="10"/>
  <c r="DC92" i="10"/>
  <c r="DD92" i="10"/>
  <c r="DF92" i="10"/>
  <c r="DG92" i="10"/>
  <c r="DH92" i="10"/>
  <c r="DI92" i="10"/>
  <c r="DK92" i="10"/>
  <c r="DL92" i="10"/>
  <c r="DM92" i="10"/>
  <c r="DN92" i="10"/>
  <c r="E90" i="10"/>
  <c r="E91" i="10"/>
  <c r="E92" i="10"/>
  <c r="F94" i="10"/>
  <c r="Q98" i="10"/>
  <c r="V98" i="10"/>
  <c r="AA98" i="10"/>
  <c r="AF98" i="10"/>
  <c r="AK98" i="10"/>
  <c r="AP98" i="10"/>
  <c r="AU98" i="10"/>
  <c r="BE98" i="10"/>
  <c r="BJ98" i="10"/>
  <c r="Q99" i="10"/>
  <c r="N99" i="10" s="1"/>
  <c r="V99" i="10"/>
  <c r="U99" i="10" s="1"/>
  <c r="AA99" i="10"/>
  <c r="AF99" i="10"/>
  <c r="AC99" i="10" s="1"/>
  <c r="AK99" i="10"/>
  <c r="AG99" i="10" s="1"/>
  <c r="AP99" i="10"/>
  <c r="AO99" i="10" s="1"/>
  <c r="AU99" i="10"/>
  <c r="AZ99" i="10"/>
  <c r="BJ99" i="10"/>
  <c r="Q100" i="10"/>
  <c r="M100" i="10" s="1"/>
  <c r="V100" i="10"/>
  <c r="S100" i="10" s="1"/>
  <c r="AA100" i="10"/>
  <c r="AF100" i="10"/>
  <c r="AB100" i="10" s="1"/>
  <c r="AK100" i="10"/>
  <c r="AP100" i="10"/>
  <c r="AO100" i="10" s="1"/>
  <c r="AU100" i="10"/>
  <c r="AZ100" i="10"/>
  <c r="BE100" i="10"/>
  <c r="BD100" i="10" s="1"/>
  <c r="BQ98" i="10"/>
  <c r="BR98" i="10"/>
  <c r="BS98" i="10"/>
  <c r="BT98" i="10"/>
  <c r="BU98" i="10"/>
  <c r="BW98" i="10"/>
  <c r="BX98" i="10"/>
  <c r="BY98" i="10"/>
  <c r="BZ98" i="10"/>
  <c r="CB98" i="10"/>
  <c r="CC98" i="10"/>
  <c r="CD98" i="10"/>
  <c r="CE98" i="10"/>
  <c r="CG98" i="10"/>
  <c r="CH98" i="10"/>
  <c r="CI98" i="10"/>
  <c r="CJ98" i="10"/>
  <c r="CL98" i="10"/>
  <c r="CM98" i="10"/>
  <c r="CN98" i="10"/>
  <c r="CO98" i="10"/>
  <c r="CQ98" i="10"/>
  <c r="CR98" i="10"/>
  <c r="CS98" i="10"/>
  <c r="CT98" i="10"/>
  <c r="CV98" i="10"/>
  <c r="CW98" i="10"/>
  <c r="CX98" i="10"/>
  <c r="CY98" i="10"/>
  <c r="DK98" i="10"/>
  <c r="DL98" i="10"/>
  <c r="DM98" i="10"/>
  <c r="DN98" i="10"/>
  <c r="BQ99" i="10"/>
  <c r="BV99" i="10" s="1"/>
  <c r="CA99" i="10" s="1"/>
  <c r="CF99" i="10" s="1"/>
  <c r="CK99" i="10" s="1"/>
  <c r="CP99" i="10" s="1"/>
  <c r="CU99" i="10" s="1"/>
  <c r="CZ99" i="10" s="1"/>
  <c r="DE99" i="10" s="1"/>
  <c r="BR99" i="10"/>
  <c r="BS99" i="10"/>
  <c r="BT99" i="10"/>
  <c r="BU99" i="10"/>
  <c r="BW99" i="10"/>
  <c r="BX99" i="10"/>
  <c r="BY99" i="10"/>
  <c r="BZ99" i="10"/>
  <c r="CB99" i="10"/>
  <c r="CC99" i="10"/>
  <c r="CD99" i="10"/>
  <c r="CE99" i="10"/>
  <c r="CG99" i="10"/>
  <c r="CH99" i="10"/>
  <c r="CI99" i="10"/>
  <c r="CJ99" i="10"/>
  <c r="CL99" i="10"/>
  <c r="CM99" i="10"/>
  <c r="CN99" i="10"/>
  <c r="CO99" i="10"/>
  <c r="CQ99" i="10"/>
  <c r="CR99" i="10"/>
  <c r="CS99" i="10"/>
  <c r="CT99" i="10"/>
  <c r="CV99" i="10"/>
  <c r="CW99" i="10"/>
  <c r="CX99" i="10"/>
  <c r="CY99" i="10"/>
  <c r="DA99" i="10"/>
  <c r="DB99" i="10"/>
  <c r="DC99" i="10"/>
  <c r="DD99" i="10"/>
  <c r="BQ100" i="10"/>
  <c r="BV100" i="10" s="1"/>
  <c r="CA100" i="10" s="1"/>
  <c r="CF100" i="10" s="1"/>
  <c r="CK100" i="10" s="1"/>
  <c r="CP100" i="10" s="1"/>
  <c r="CU100" i="10" s="1"/>
  <c r="CZ100" i="10" s="1"/>
  <c r="DE100" i="10" s="1"/>
  <c r="DJ100" i="10" s="1"/>
  <c r="BR100" i="10"/>
  <c r="BS100" i="10"/>
  <c r="BT100" i="10"/>
  <c r="BU100" i="10"/>
  <c r="BW100" i="10"/>
  <c r="BX100" i="10"/>
  <c r="BY100" i="10"/>
  <c r="BZ100" i="10"/>
  <c r="CB100" i="10"/>
  <c r="CC100" i="10"/>
  <c r="CD100" i="10"/>
  <c r="CE100" i="10"/>
  <c r="CG100" i="10"/>
  <c r="CH100" i="10"/>
  <c r="CI100" i="10"/>
  <c r="CJ100" i="10"/>
  <c r="CL100" i="10"/>
  <c r="CM100" i="10"/>
  <c r="CN100" i="10"/>
  <c r="CO100" i="10"/>
  <c r="CQ100" i="10"/>
  <c r="CR100" i="10"/>
  <c r="CS100" i="10"/>
  <c r="CT100" i="10"/>
  <c r="CV100" i="10"/>
  <c r="CW100" i="10"/>
  <c r="CX100" i="10"/>
  <c r="CY100" i="10"/>
  <c r="DA100" i="10"/>
  <c r="DB100" i="10"/>
  <c r="DC100" i="10"/>
  <c r="DD100" i="10"/>
  <c r="DF100" i="10"/>
  <c r="DG100" i="10"/>
  <c r="DH100" i="10"/>
  <c r="DI100" i="10"/>
  <c r="L98" i="10"/>
  <c r="L99" i="10"/>
  <c r="E98" i="10"/>
  <c r="E99" i="10"/>
  <c r="BE99" i="10" s="1"/>
  <c r="BB99" i="10" s="1"/>
  <c r="E100" i="10"/>
  <c r="BJ100" i="10" s="1"/>
  <c r="L112" i="10"/>
  <c r="Q112" i="10"/>
  <c r="M112" i="10" s="1"/>
  <c r="V112" i="10"/>
  <c r="U112" i="10" s="1"/>
  <c r="AA112" i="10"/>
  <c r="Y112" i="10" s="1"/>
  <c r="AF112" i="10"/>
  <c r="AK112" i="10"/>
  <c r="AG112" i="10" s="1"/>
  <c r="AP112" i="10"/>
  <c r="AO112" i="10" s="1"/>
  <c r="AU112" i="10"/>
  <c r="AS112" i="10" s="1"/>
  <c r="BE112" i="10"/>
  <c r="BA112" i="10" s="1"/>
  <c r="BJ112" i="10"/>
  <c r="BI112" i="10" s="1"/>
  <c r="L113" i="10"/>
  <c r="Q113" i="10"/>
  <c r="V113" i="10"/>
  <c r="R113" i="10" s="1"/>
  <c r="AA113" i="10"/>
  <c r="AF113" i="10"/>
  <c r="AD113" i="10" s="1"/>
  <c r="AK113" i="10"/>
  <c r="AP113" i="10"/>
  <c r="AL113" i="10" s="1"/>
  <c r="AU113" i="10"/>
  <c r="AT113" i="10" s="1"/>
  <c r="AZ113" i="10"/>
  <c r="AX113" i="10" s="1"/>
  <c r="BJ113" i="10"/>
  <c r="BF113" i="10" s="1"/>
  <c r="L114" i="10"/>
  <c r="Q114" i="10"/>
  <c r="O114" i="10" s="1"/>
  <c r="V114" i="10"/>
  <c r="AA114" i="10"/>
  <c r="AF114" i="10"/>
  <c r="AE114" i="10" s="1"/>
  <c r="AK114" i="10"/>
  <c r="AI114" i="10" s="1"/>
  <c r="AP114" i="10"/>
  <c r="AL114" i="10" s="1"/>
  <c r="AU114" i="10"/>
  <c r="AQ114" i="10" s="1"/>
  <c r="AZ114" i="10"/>
  <c r="BE114" i="10"/>
  <c r="BC114" i="10" s="1"/>
  <c r="L115" i="10"/>
  <c r="Q115" i="10"/>
  <c r="V115" i="10"/>
  <c r="T115" i="10" s="1"/>
  <c r="AA115" i="10"/>
  <c r="W115" i="10" s="1"/>
  <c r="AF115" i="10"/>
  <c r="AK115" i="10"/>
  <c r="AJ115" i="10" s="1"/>
  <c r="AP115" i="10"/>
  <c r="AN115" i="10" s="1"/>
  <c r="AU115" i="10"/>
  <c r="AQ115" i="10" s="1"/>
  <c r="AZ115" i="10"/>
  <c r="BE115" i="10"/>
  <c r="BJ115" i="10"/>
  <c r="BH115" i="10" s="1"/>
  <c r="L116" i="10"/>
  <c r="Q116" i="10"/>
  <c r="M116" i="10" s="1"/>
  <c r="V116" i="10"/>
  <c r="U116" i="10" s="1"/>
  <c r="AA116" i="10"/>
  <c r="Y116" i="10" s="1"/>
  <c r="AF116" i="10"/>
  <c r="AK116" i="10"/>
  <c r="AG116" i="10" s="1"/>
  <c r="AP116" i="10"/>
  <c r="AO116" i="10" s="1"/>
  <c r="AU116" i="10"/>
  <c r="AS116" i="10" s="1"/>
  <c r="AZ116" i="10"/>
  <c r="AV116" i="10" s="1"/>
  <c r="BE116" i="10"/>
  <c r="BA116" i="10" s="1"/>
  <c r="BJ116" i="10"/>
  <c r="BI116" i="10" s="1"/>
  <c r="L117" i="10"/>
  <c r="Q117" i="10"/>
  <c r="V117" i="10"/>
  <c r="R117" i="10" s="1"/>
  <c r="AA117" i="10"/>
  <c r="Z117" i="10" s="1"/>
  <c r="AF117" i="10"/>
  <c r="AD117" i="10" s="1"/>
  <c r="AK117" i="10"/>
  <c r="AG117" i="10" s="1"/>
  <c r="AP117" i="10"/>
  <c r="AU117" i="10"/>
  <c r="AT117" i="10" s="1"/>
  <c r="AZ117" i="10"/>
  <c r="AX117" i="10" s="1"/>
  <c r="BE117" i="10"/>
  <c r="BJ117" i="10"/>
  <c r="BF117" i="10" s="1"/>
  <c r="L118" i="10"/>
  <c r="Q118" i="10"/>
  <c r="O118" i="10" s="1"/>
  <c r="V118" i="10"/>
  <c r="AA118" i="10"/>
  <c r="AF118" i="10"/>
  <c r="AE118" i="10" s="1"/>
  <c r="AK118" i="10"/>
  <c r="AI118" i="10" s="1"/>
  <c r="AP118" i="10"/>
  <c r="AL118" i="10" s="1"/>
  <c r="AU118" i="10"/>
  <c r="AQ118" i="10" s="1"/>
  <c r="AZ118" i="10"/>
  <c r="BE118" i="10"/>
  <c r="BC118" i="10" s="1"/>
  <c r="BJ118" i="10"/>
  <c r="BF118" i="10" s="1"/>
  <c r="L119" i="10"/>
  <c r="Q119" i="10"/>
  <c r="V119" i="10"/>
  <c r="T119" i="10" s="1"/>
  <c r="AA119" i="10"/>
  <c r="W119" i="10" s="1"/>
  <c r="AF119" i="10"/>
  <c r="AK119" i="10"/>
  <c r="AJ119" i="10" s="1"/>
  <c r="AP119" i="10"/>
  <c r="AN119" i="10" s="1"/>
  <c r="AU119" i="10"/>
  <c r="AQ119" i="10" s="1"/>
  <c r="AZ119" i="10"/>
  <c r="AV119" i="10" s="1"/>
  <c r="BE119" i="10"/>
  <c r="BJ119" i="10"/>
  <c r="BH119" i="10" s="1"/>
  <c r="L120" i="10"/>
  <c r="Q120" i="10"/>
  <c r="M120" i="10" s="1"/>
  <c r="V120" i="10"/>
  <c r="U120" i="10" s="1"/>
  <c r="AA120" i="10"/>
  <c r="Y120" i="10" s="1"/>
  <c r="AF120" i="10"/>
  <c r="AK120" i="10"/>
  <c r="AG120" i="10" s="1"/>
  <c r="AP120" i="10"/>
  <c r="AU120" i="10"/>
  <c r="AS120" i="10" s="1"/>
  <c r="AZ120" i="10"/>
  <c r="BE120" i="10"/>
  <c r="BA120" i="10" s="1"/>
  <c r="BJ120" i="10"/>
  <c r="BI120" i="10" s="1"/>
  <c r="L121" i="10"/>
  <c r="Q121" i="10"/>
  <c r="V121" i="10"/>
  <c r="R121" i="10" s="1"/>
  <c r="AA121" i="10"/>
  <c r="Z121" i="10" s="1"/>
  <c r="AF121" i="10"/>
  <c r="AD121" i="10" s="1"/>
  <c r="AK121" i="10"/>
  <c r="AG121" i="10" s="1"/>
  <c r="AP121" i="10"/>
  <c r="AL121" i="10" s="1"/>
  <c r="AU121" i="10"/>
  <c r="AT121" i="10" s="1"/>
  <c r="AZ121" i="10"/>
  <c r="AX121" i="10" s="1"/>
  <c r="BE121" i="10"/>
  <c r="BJ121" i="10"/>
  <c r="BF121" i="10" s="1"/>
  <c r="L122" i="10"/>
  <c r="Q122" i="10"/>
  <c r="O122" i="10" s="1"/>
  <c r="V122" i="10"/>
  <c r="R122" i="10" s="1"/>
  <c r="AA122" i="10"/>
  <c r="AF122" i="10"/>
  <c r="AE122" i="10" s="1"/>
  <c r="AK122" i="10"/>
  <c r="AI122" i="10" s="1"/>
  <c r="AP122" i="10"/>
  <c r="AL122" i="10" s="1"/>
  <c r="AU122" i="10"/>
  <c r="AQ122" i="10" s="1"/>
  <c r="AZ122" i="10"/>
  <c r="BE122" i="10"/>
  <c r="BC122" i="10" s="1"/>
  <c r="BJ122" i="10"/>
  <c r="L123" i="10"/>
  <c r="Q123" i="10"/>
  <c r="P123" i="10" s="1"/>
  <c r="V123" i="10"/>
  <c r="T123" i="10" s="1"/>
  <c r="AA123" i="10"/>
  <c r="X123" i="10" s="1"/>
  <c r="AF123" i="10"/>
  <c r="AB123" i="10" s="1"/>
  <c r="AK123" i="10"/>
  <c r="AJ123" i="10" s="1"/>
  <c r="AP123" i="10"/>
  <c r="AN123" i="10" s="1"/>
  <c r="AU123" i="10"/>
  <c r="AR123" i="10" s="1"/>
  <c r="AZ123" i="10"/>
  <c r="AV123" i="10" s="1"/>
  <c r="BE123" i="10"/>
  <c r="BD123" i="10" s="1"/>
  <c r="BJ123" i="10"/>
  <c r="BH123" i="10" s="1"/>
  <c r="L124" i="10"/>
  <c r="Q124" i="10"/>
  <c r="M124" i="10" s="1"/>
  <c r="V124" i="10"/>
  <c r="U124" i="10" s="1"/>
  <c r="AA124" i="10"/>
  <c r="Y124" i="10" s="1"/>
  <c r="AF124" i="10"/>
  <c r="AC124" i="10" s="1"/>
  <c r="AK124" i="10"/>
  <c r="AG124" i="10" s="1"/>
  <c r="AP124" i="10"/>
  <c r="AO124" i="10" s="1"/>
  <c r="AU124" i="10"/>
  <c r="AS124" i="10" s="1"/>
  <c r="AZ124" i="10"/>
  <c r="AW124" i="10" s="1"/>
  <c r="BE124" i="10"/>
  <c r="BA124" i="10" s="1"/>
  <c r="BJ124" i="10"/>
  <c r="BI124" i="10" s="1"/>
  <c r="L125" i="10"/>
  <c r="Q125" i="10"/>
  <c r="N125" i="10" s="1"/>
  <c r="V125" i="10"/>
  <c r="AA125" i="10"/>
  <c r="Z125" i="10" s="1"/>
  <c r="AF125" i="10"/>
  <c r="AD125" i="10" s="1"/>
  <c r="AK125" i="10"/>
  <c r="AH125" i="10" s="1"/>
  <c r="AP125" i="10"/>
  <c r="AL125" i="10" s="1"/>
  <c r="AU125" i="10"/>
  <c r="AT125" i="10" s="1"/>
  <c r="AZ125" i="10"/>
  <c r="AX125" i="10" s="1"/>
  <c r="BE125" i="10"/>
  <c r="BB125" i="10" s="1"/>
  <c r="BJ125" i="10"/>
  <c r="BF125" i="10" s="1"/>
  <c r="BQ112" i="10"/>
  <c r="BV112" i="10" s="1"/>
  <c r="CA112" i="10" s="1"/>
  <c r="CF112" i="10" s="1"/>
  <c r="CK112" i="10" s="1"/>
  <c r="CP112" i="10" s="1"/>
  <c r="CU112" i="10" s="1"/>
  <c r="CZ112" i="10" s="1"/>
  <c r="BR112" i="10"/>
  <c r="BS112" i="10"/>
  <c r="BT112" i="10"/>
  <c r="BU112" i="10"/>
  <c r="BW112" i="10"/>
  <c r="BX112" i="10"/>
  <c r="BY112" i="10"/>
  <c r="BZ112" i="10"/>
  <c r="CB112" i="10"/>
  <c r="CC112" i="10"/>
  <c r="CD112" i="10"/>
  <c r="CE112" i="10"/>
  <c r="CG112" i="10"/>
  <c r="CH112" i="10"/>
  <c r="CI112" i="10"/>
  <c r="CJ112" i="10"/>
  <c r="CL112" i="10"/>
  <c r="CM112" i="10"/>
  <c r="CN112" i="10"/>
  <c r="CO112" i="10"/>
  <c r="CQ112" i="10"/>
  <c r="CR112" i="10"/>
  <c r="CS112" i="10"/>
  <c r="CT112" i="10"/>
  <c r="CV112" i="10"/>
  <c r="CW112" i="10"/>
  <c r="CX112" i="10"/>
  <c r="CY112" i="10"/>
  <c r="DK112" i="10"/>
  <c r="DL112" i="10"/>
  <c r="DM112" i="10"/>
  <c r="DN112" i="10"/>
  <c r="BQ113" i="10"/>
  <c r="BV113" i="10" s="1"/>
  <c r="CA113" i="10" s="1"/>
  <c r="CF113" i="10" s="1"/>
  <c r="CK113" i="10" s="1"/>
  <c r="CP113" i="10" s="1"/>
  <c r="CU113" i="10" s="1"/>
  <c r="CZ113" i="10" s="1"/>
  <c r="DE113" i="10" s="1"/>
  <c r="BR113" i="10"/>
  <c r="BS113" i="10"/>
  <c r="BT113" i="10"/>
  <c r="BU113" i="10"/>
  <c r="BW113" i="10"/>
  <c r="BX113" i="10"/>
  <c r="BY113" i="10"/>
  <c r="BZ113" i="10"/>
  <c r="CB113" i="10"/>
  <c r="CC113" i="10"/>
  <c r="CD113" i="10"/>
  <c r="CE113" i="10"/>
  <c r="CG113" i="10"/>
  <c r="CH113" i="10"/>
  <c r="CI113" i="10"/>
  <c r="CJ113" i="10"/>
  <c r="CL113" i="10"/>
  <c r="CM113" i="10"/>
  <c r="CN113" i="10"/>
  <c r="CO113" i="10"/>
  <c r="CQ113" i="10"/>
  <c r="CR113" i="10"/>
  <c r="CS113" i="10"/>
  <c r="CT113" i="10"/>
  <c r="CV113" i="10"/>
  <c r="CW113" i="10"/>
  <c r="CX113" i="10"/>
  <c r="CY113" i="10"/>
  <c r="DA113" i="10"/>
  <c r="DB113" i="10"/>
  <c r="DC113" i="10"/>
  <c r="DD113" i="10"/>
  <c r="BQ114" i="10"/>
  <c r="BV114" i="10" s="1"/>
  <c r="CA114" i="10" s="1"/>
  <c r="CF114" i="10" s="1"/>
  <c r="CK114" i="10" s="1"/>
  <c r="CP114" i="10" s="1"/>
  <c r="CU114" i="10" s="1"/>
  <c r="CZ114" i="10" s="1"/>
  <c r="DE114" i="10" s="1"/>
  <c r="DJ114" i="10" s="1"/>
  <c r="BR114" i="10"/>
  <c r="BS114" i="10"/>
  <c r="BT114" i="10"/>
  <c r="BU114" i="10"/>
  <c r="BW114" i="10"/>
  <c r="BX114" i="10"/>
  <c r="BY114" i="10"/>
  <c r="BZ114" i="10"/>
  <c r="CB114" i="10"/>
  <c r="CC114" i="10"/>
  <c r="CD114" i="10"/>
  <c r="CE114" i="10"/>
  <c r="CG114" i="10"/>
  <c r="CH114" i="10"/>
  <c r="CI114" i="10"/>
  <c r="CJ114" i="10"/>
  <c r="CL114" i="10"/>
  <c r="CM114" i="10"/>
  <c r="CN114" i="10"/>
  <c r="CO114" i="10"/>
  <c r="CQ114" i="10"/>
  <c r="CR114" i="10"/>
  <c r="CS114" i="10"/>
  <c r="CT114" i="10"/>
  <c r="CV114" i="10"/>
  <c r="CW114" i="10"/>
  <c r="CX114" i="10"/>
  <c r="CY114" i="10"/>
  <c r="DA114" i="10"/>
  <c r="DB114" i="10"/>
  <c r="DC114" i="10"/>
  <c r="DD114" i="10"/>
  <c r="DF114" i="10"/>
  <c r="DG114" i="10"/>
  <c r="DH114" i="10"/>
  <c r="DI114" i="10"/>
  <c r="BQ115" i="10"/>
  <c r="BV115" i="10" s="1"/>
  <c r="CA115" i="10" s="1"/>
  <c r="CF115" i="10" s="1"/>
  <c r="CK115" i="10" s="1"/>
  <c r="CP115" i="10" s="1"/>
  <c r="CU115" i="10" s="1"/>
  <c r="CZ115" i="10" s="1"/>
  <c r="DE115" i="10" s="1"/>
  <c r="DJ115" i="10" s="1"/>
  <c r="DO115" i="10" s="1"/>
  <c r="DT115" i="10" s="1"/>
  <c r="BR115" i="10"/>
  <c r="BS115" i="10"/>
  <c r="BT115" i="10"/>
  <c r="BU115" i="10"/>
  <c r="BW115" i="10"/>
  <c r="BX115" i="10"/>
  <c r="BY115" i="10"/>
  <c r="BZ115" i="10"/>
  <c r="CB115" i="10"/>
  <c r="CC115" i="10"/>
  <c r="CD115" i="10"/>
  <c r="CE115" i="10"/>
  <c r="CG115" i="10"/>
  <c r="CH115" i="10"/>
  <c r="CI115" i="10"/>
  <c r="CJ115" i="10"/>
  <c r="CL115" i="10"/>
  <c r="CM115" i="10"/>
  <c r="CN115" i="10"/>
  <c r="CO115" i="10"/>
  <c r="CQ115" i="10"/>
  <c r="CR115" i="10"/>
  <c r="CS115" i="10"/>
  <c r="CT115" i="10"/>
  <c r="CV115" i="10"/>
  <c r="CW115" i="10"/>
  <c r="CX115" i="10"/>
  <c r="CY115" i="10"/>
  <c r="DA115" i="10"/>
  <c r="DB115" i="10"/>
  <c r="DC115" i="10"/>
  <c r="DD115" i="10"/>
  <c r="DF115" i="10"/>
  <c r="DG115" i="10"/>
  <c r="DH115" i="10"/>
  <c r="DI115" i="10"/>
  <c r="DK115" i="10"/>
  <c r="DL115" i="10"/>
  <c r="DM115" i="10"/>
  <c r="DN115" i="10"/>
  <c r="BQ116" i="10"/>
  <c r="BV116" i="10" s="1"/>
  <c r="CA116" i="10" s="1"/>
  <c r="CF116" i="10" s="1"/>
  <c r="CK116" i="10" s="1"/>
  <c r="CP116" i="10" s="1"/>
  <c r="CU116" i="10" s="1"/>
  <c r="CZ116" i="10" s="1"/>
  <c r="DE116" i="10" s="1"/>
  <c r="DJ116" i="10" s="1"/>
  <c r="DO116" i="10" s="1"/>
  <c r="DT116" i="10" s="1"/>
  <c r="BR116" i="10"/>
  <c r="BS116" i="10"/>
  <c r="BT116" i="10"/>
  <c r="BU116" i="10"/>
  <c r="BW116" i="10"/>
  <c r="BX116" i="10"/>
  <c r="BY116" i="10"/>
  <c r="BZ116" i="10"/>
  <c r="CB116" i="10"/>
  <c r="CC116" i="10"/>
  <c r="CD116" i="10"/>
  <c r="CE116" i="10"/>
  <c r="CG116" i="10"/>
  <c r="CH116" i="10"/>
  <c r="CI116" i="10"/>
  <c r="CJ116" i="10"/>
  <c r="CL116" i="10"/>
  <c r="CM116" i="10"/>
  <c r="CN116" i="10"/>
  <c r="CO116" i="10"/>
  <c r="CQ116" i="10"/>
  <c r="CR116" i="10"/>
  <c r="CS116" i="10"/>
  <c r="CT116" i="10"/>
  <c r="CV116" i="10"/>
  <c r="CW116" i="10"/>
  <c r="CX116" i="10"/>
  <c r="CY116" i="10"/>
  <c r="DA116" i="10"/>
  <c r="DB116" i="10"/>
  <c r="DC116" i="10"/>
  <c r="DD116" i="10"/>
  <c r="DF116" i="10"/>
  <c r="DG116" i="10"/>
  <c r="DH116" i="10"/>
  <c r="DI116" i="10"/>
  <c r="DK116" i="10"/>
  <c r="DL116" i="10"/>
  <c r="DM116" i="10"/>
  <c r="DN116" i="10"/>
  <c r="BQ117" i="10"/>
  <c r="BV117" i="10" s="1"/>
  <c r="CA117" i="10" s="1"/>
  <c r="CF117" i="10" s="1"/>
  <c r="CK117" i="10" s="1"/>
  <c r="CP117" i="10" s="1"/>
  <c r="CU117" i="10" s="1"/>
  <c r="CZ117" i="10" s="1"/>
  <c r="DE117" i="10" s="1"/>
  <c r="DJ117" i="10" s="1"/>
  <c r="DO117" i="10" s="1"/>
  <c r="BR117" i="10"/>
  <c r="BS117" i="10"/>
  <c r="BT117" i="10"/>
  <c r="BU117" i="10"/>
  <c r="BW117" i="10"/>
  <c r="BX117" i="10"/>
  <c r="BY117" i="10"/>
  <c r="BZ117" i="10"/>
  <c r="CB117" i="10"/>
  <c r="CC117" i="10"/>
  <c r="CD117" i="10"/>
  <c r="CE117" i="10"/>
  <c r="CG117" i="10"/>
  <c r="CH117" i="10"/>
  <c r="CI117" i="10"/>
  <c r="CJ117" i="10"/>
  <c r="CL117" i="10"/>
  <c r="CM117" i="10"/>
  <c r="CN117" i="10"/>
  <c r="CO117" i="10"/>
  <c r="CQ117" i="10"/>
  <c r="CR117" i="10"/>
  <c r="CS117" i="10"/>
  <c r="CT117" i="10"/>
  <c r="CV117" i="10"/>
  <c r="CW117" i="10"/>
  <c r="CX117" i="10"/>
  <c r="CY117" i="10"/>
  <c r="DA117" i="10"/>
  <c r="DB117" i="10"/>
  <c r="DC117" i="10"/>
  <c r="DD117" i="10"/>
  <c r="DF117" i="10"/>
  <c r="DG117" i="10"/>
  <c r="DH117" i="10"/>
  <c r="DI117" i="10"/>
  <c r="DK117" i="10"/>
  <c r="DL117" i="10"/>
  <c r="DM117" i="10"/>
  <c r="DN117" i="10"/>
  <c r="BQ118" i="10"/>
  <c r="BV118" i="10" s="1"/>
  <c r="CA118" i="10" s="1"/>
  <c r="CF118" i="10" s="1"/>
  <c r="CK118" i="10" s="1"/>
  <c r="CP118" i="10" s="1"/>
  <c r="CU118" i="10" s="1"/>
  <c r="CZ118" i="10" s="1"/>
  <c r="DE118" i="10" s="1"/>
  <c r="DJ118" i="10" s="1"/>
  <c r="DO118" i="10" s="1"/>
  <c r="DT118" i="10" s="1"/>
  <c r="BR118" i="10"/>
  <c r="BS118" i="10"/>
  <c r="BT118" i="10"/>
  <c r="BU118" i="10"/>
  <c r="BW118" i="10"/>
  <c r="BX118" i="10"/>
  <c r="BY118" i="10"/>
  <c r="BZ118" i="10"/>
  <c r="CB118" i="10"/>
  <c r="CC118" i="10"/>
  <c r="CD118" i="10"/>
  <c r="CE118" i="10"/>
  <c r="CG118" i="10"/>
  <c r="CH118" i="10"/>
  <c r="CI118" i="10"/>
  <c r="CJ118" i="10"/>
  <c r="CL118" i="10"/>
  <c r="CM118" i="10"/>
  <c r="CN118" i="10"/>
  <c r="CO118" i="10"/>
  <c r="CQ118" i="10"/>
  <c r="CR118" i="10"/>
  <c r="CS118" i="10"/>
  <c r="CT118" i="10"/>
  <c r="CV118" i="10"/>
  <c r="CW118" i="10"/>
  <c r="CX118" i="10"/>
  <c r="CY118" i="10"/>
  <c r="DA118" i="10"/>
  <c r="DB118" i="10"/>
  <c r="DC118" i="10"/>
  <c r="DD118" i="10"/>
  <c r="DF118" i="10"/>
  <c r="DG118" i="10"/>
  <c r="DH118" i="10"/>
  <c r="DI118" i="10"/>
  <c r="DK118" i="10"/>
  <c r="DL118" i="10"/>
  <c r="DM118" i="10"/>
  <c r="DN118" i="10"/>
  <c r="BQ119" i="10"/>
  <c r="BV119" i="10" s="1"/>
  <c r="CA119" i="10" s="1"/>
  <c r="CF119" i="10" s="1"/>
  <c r="CK119" i="10" s="1"/>
  <c r="CP119" i="10" s="1"/>
  <c r="CU119" i="10" s="1"/>
  <c r="CZ119" i="10" s="1"/>
  <c r="DE119" i="10" s="1"/>
  <c r="DJ119" i="10" s="1"/>
  <c r="DO119" i="10" s="1"/>
  <c r="DT119" i="10" s="1"/>
  <c r="BR119" i="10"/>
  <c r="BS119" i="10"/>
  <c r="BT119" i="10"/>
  <c r="BU119" i="10"/>
  <c r="BW119" i="10"/>
  <c r="BX119" i="10"/>
  <c r="BY119" i="10"/>
  <c r="BZ119" i="10"/>
  <c r="CB119" i="10"/>
  <c r="CC119" i="10"/>
  <c r="CD119" i="10"/>
  <c r="CE119" i="10"/>
  <c r="CG119" i="10"/>
  <c r="CH119" i="10"/>
  <c r="CI119" i="10"/>
  <c r="CJ119" i="10"/>
  <c r="CL119" i="10"/>
  <c r="CM119" i="10"/>
  <c r="CN119" i="10"/>
  <c r="CO119" i="10"/>
  <c r="CQ119" i="10"/>
  <c r="CR119" i="10"/>
  <c r="CS119" i="10"/>
  <c r="CT119" i="10"/>
  <c r="CV119" i="10"/>
  <c r="CW119" i="10"/>
  <c r="CX119" i="10"/>
  <c r="CY119" i="10"/>
  <c r="DA119" i="10"/>
  <c r="DB119" i="10"/>
  <c r="DC119" i="10"/>
  <c r="DD119" i="10"/>
  <c r="DF119" i="10"/>
  <c r="DG119" i="10"/>
  <c r="DH119" i="10"/>
  <c r="DI119" i="10"/>
  <c r="DK119" i="10"/>
  <c r="DL119" i="10"/>
  <c r="DM119" i="10"/>
  <c r="DN119" i="10"/>
  <c r="BQ120" i="10"/>
  <c r="BV120" i="10" s="1"/>
  <c r="CA120" i="10" s="1"/>
  <c r="CF120" i="10" s="1"/>
  <c r="CK120" i="10" s="1"/>
  <c r="CP120" i="10" s="1"/>
  <c r="CU120" i="10" s="1"/>
  <c r="CZ120" i="10" s="1"/>
  <c r="DE120" i="10" s="1"/>
  <c r="DJ120" i="10" s="1"/>
  <c r="DO120" i="10" s="1"/>
  <c r="DT120" i="10" s="1"/>
  <c r="BR120" i="10"/>
  <c r="BS120" i="10"/>
  <c r="BT120" i="10"/>
  <c r="BU120" i="10"/>
  <c r="BW120" i="10"/>
  <c r="BX120" i="10"/>
  <c r="BY120" i="10"/>
  <c r="BZ120" i="10"/>
  <c r="CB120" i="10"/>
  <c r="CC120" i="10"/>
  <c r="CD120" i="10"/>
  <c r="CE120" i="10"/>
  <c r="CG120" i="10"/>
  <c r="CH120" i="10"/>
  <c r="CI120" i="10"/>
  <c r="CJ120" i="10"/>
  <c r="CL120" i="10"/>
  <c r="CM120" i="10"/>
  <c r="CN120" i="10"/>
  <c r="CO120" i="10"/>
  <c r="CQ120" i="10"/>
  <c r="CR120" i="10"/>
  <c r="CS120" i="10"/>
  <c r="CT120" i="10"/>
  <c r="CV120" i="10"/>
  <c r="CW120" i="10"/>
  <c r="CX120" i="10"/>
  <c r="CY120" i="10"/>
  <c r="DA120" i="10"/>
  <c r="DB120" i="10"/>
  <c r="DC120" i="10"/>
  <c r="DD120" i="10"/>
  <c r="DF120" i="10"/>
  <c r="DG120" i="10"/>
  <c r="DH120" i="10"/>
  <c r="DI120" i="10"/>
  <c r="DK120" i="10"/>
  <c r="DL120" i="10"/>
  <c r="DM120" i="10"/>
  <c r="DN120" i="10"/>
  <c r="BQ121" i="10"/>
  <c r="BV121" i="10" s="1"/>
  <c r="CA121" i="10" s="1"/>
  <c r="CF121" i="10" s="1"/>
  <c r="CK121" i="10" s="1"/>
  <c r="CP121" i="10" s="1"/>
  <c r="CU121" i="10" s="1"/>
  <c r="CZ121" i="10" s="1"/>
  <c r="DE121" i="10" s="1"/>
  <c r="DJ121" i="10" s="1"/>
  <c r="DO121" i="10" s="1"/>
  <c r="DT121" i="10" s="1"/>
  <c r="BR121" i="10"/>
  <c r="BS121" i="10"/>
  <c r="BT121" i="10"/>
  <c r="BU121" i="10"/>
  <c r="BW121" i="10"/>
  <c r="BX121" i="10"/>
  <c r="BY121" i="10"/>
  <c r="BZ121" i="10"/>
  <c r="CB121" i="10"/>
  <c r="CC121" i="10"/>
  <c r="CD121" i="10"/>
  <c r="CE121" i="10"/>
  <c r="CG121" i="10"/>
  <c r="CH121" i="10"/>
  <c r="CI121" i="10"/>
  <c r="CJ121" i="10"/>
  <c r="CL121" i="10"/>
  <c r="CM121" i="10"/>
  <c r="CN121" i="10"/>
  <c r="CO121" i="10"/>
  <c r="CQ121" i="10"/>
  <c r="CR121" i="10"/>
  <c r="CS121" i="10"/>
  <c r="CT121" i="10"/>
  <c r="CV121" i="10"/>
  <c r="CW121" i="10"/>
  <c r="CX121" i="10"/>
  <c r="CY121" i="10"/>
  <c r="DA121" i="10"/>
  <c r="DB121" i="10"/>
  <c r="DC121" i="10"/>
  <c r="DD121" i="10"/>
  <c r="DF121" i="10"/>
  <c r="DG121" i="10"/>
  <c r="DH121" i="10"/>
  <c r="DI121" i="10"/>
  <c r="DK121" i="10"/>
  <c r="DL121" i="10"/>
  <c r="DM121" i="10"/>
  <c r="DN121" i="10"/>
  <c r="BQ122" i="10"/>
  <c r="BV122" i="10" s="1"/>
  <c r="CA122" i="10" s="1"/>
  <c r="CF122" i="10" s="1"/>
  <c r="CK122" i="10" s="1"/>
  <c r="CP122" i="10" s="1"/>
  <c r="CU122" i="10" s="1"/>
  <c r="CZ122" i="10" s="1"/>
  <c r="DE122" i="10" s="1"/>
  <c r="DJ122" i="10" s="1"/>
  <c r="DO122" i="10" s="1"/>
  <c r="DT122" i="10" s="1"/>
  <c r="BR122" i="10"/>
  <c r="BS122" i="10"/>
  <c r="BT122" i="10"/>
  <c r="BU122" i="10"/>
  <c r="BW122" i="10"/>
  <c r="BX122" i="10"/>
  <c r="BY122" i="10"/>
  <c r="BZ122" i="10"/>
  <c r="CB122" i="10"/>
  <c r="CC122" i="10"/>
  <c r="CD122" i="10"/>
  <c r="CE122" i="10"/>
  <c r="CG122" i="10"/>
  <c r="CH122" i="10"/>
  <c r="CI122" i="10"/>
  <c r="CJ122" i="10"/>
  <c r="CL122" i="10"/>
  <c r="CM122" i="10"/>
  <c r="CN122" i="10"/>
  <c r="CO122" i="10"/>
  <c r="CQ122" i="10"/>
  <c r="CR122" i="10"/>
  <c r="CS122" i="10"/>
  <c r="CT122" i="10"/>
  <c r="CV122" i="10"/>
  <c r="CW122" i="10"/>
  <c r="CX122" i="10"/>
  <c r="CY122" i="10"/>
  <c r="DA122" i="10"/>
  <c r="DB122" i="10"/>
  <c r="DC122" i="10"/>
  <c r="DD122" i="10"/>
  <c r="DF122" i="10"/>
  <c r="DG122" i="10"/>
  <c r="DH122" i="10"/>
  <c r="DI122" i="10"/>
  <c r="DK122" i="10"/>
  <c r="DL122" i="10"/>
  <c r="DM122" i="10"/>
  <c r="DN122" i="10"/>
  <c r="BQ123" i="10"/>
  <c r="BV123" i="10" s="1"/>
  <c r="CA123" i="10" s="1"/>
  <c r="CF123" i="10" s="1"/>
  <c r="CK123" i="10" s="1"/>
  <c r="CP123" i="10" s="1"/>
  <c r="CU123" i="10" s="1"/>
  <c r="CZ123" i="10" s="1"/>
  <c r="DE123" i="10" s="1"/>
  <c r="DJ123" i="10" s="1"/>
  <c r="DO123" i="10" s="1"/>
  <c r="DT123" i="10" s="1"/>
  <c r="BR123" i="10"/>
  <c r="BS123" i="10"/>
  <c r="BT123" i="10"/>
  <c r="BU123" i="10"/>
  <c r="BW123" i="10"/>
  <c r="BX123" i="10"/>
  <c r="BY123" i="10"/>
  <c r="BZ123" i="10"/>
  <c r="CB123" i="10"/>
  <c r="CC123" i="10"/>
  <c r="CD123" i="10"/>
  <c r="CE123" i="10"/>
  <c r="CG123" i="10"/>
  <c r="CH123" i="10"/>
  <c r="CI123" i="10"/>
  <c r="CJ123" i="10"/>
  <c r="CL123" i="10"/>
  <c r="CM123" i="10"/>
  <c r="CN123" i="10"/>
  <c r="CO123" i="10"/>
  <c r="CQ123" i="10"/>
  <c r="CR123" i="10"/>
  <c r="CS123" i="10"/>
  <c r="CT123" i="10"/>
  <c r="CV123" i="10"/>
  <c r="CW123" i="10"/>
  <c r="CX123" i="10"/>
  <c r="CY123" i="10"/>
  <c r="DA123" i="10"/>
  <c r="DB123" i="10"/>
  <c r="DC123" i="10"/>
  <c r="DD123" i="10"/>
  <c r="DF123" i="10"/>
  <c r="DG123" i="10"/>
  <c r="DH123" i="10"/>
  <c r="DI123" i="10"/>
  <c r="DK123" i="10"/>
  <c r="DL123" i="10"/>
  <c r="DM123" i="10"/>
  <c r="DN123" i="10"/>
  <c r="BQ124" i="10"/>
  <c r="BV124" i="10" s="1"/>
  <c r="CA124" i="10" s="1"/>
  <c r="CF124" i="10" s="1"/>
  <c r="CK124" i="10" s="1"/>
  <c r="CP124" i="10" s="1"/>
  <c r="CU124" i="10" s="1"/>
  <c r="CZ124" i="10" s="1"/>
  <c r="DE124" i="10" s="1"/>
  <c r="DJ124" i="10" s="1"/>
  <c r="DO124" i="10" s="1"/>
  <c r="DT124" i="10" s="1"/>
  <c r="BR124" i="10"/>
  <c r="BS124" i="10"/>
  <c r="BT124" i="10"/>
  <c r="BU124" i="10"/>
  <c r="BW124" i="10"/>
  <c r="BX124" i="10"/>
  <c r="BY124" i="10"/>
  <c r="BZ124" i="10"/>
  <c r="CB124" i="10"/>
  <c r="CC124" i="10"/>
  <c r="CD124" i="10"/>
  <c r="CE124" i="10"/>
  <c r="CG124" i="10"/>
  <c r="CH124" i="10"/>
  <c r="CI124" i="10"/>
  <c r="CJ124" i="10"/>
  <c r="CL124" i="10"/>
  <c r="CM124" i="10"/>
  <c r="CN124" i="10"/>
  <c r="CO124" i="10"/>
  <c r="CQ124" i="10"/>
  <c r="CR124" i="10"/>
  <c r="CS124" i="10"/>
  <c r="CT124" i="10"/>
  <c r="CV124" i="10"/>
  <c r="CW124" i="10"/>
  <c r="CX124" i="10"/>
  <c r="CY124" i="10"/>
  <c r="DA124" i="10"/>
  <c r="DB124" i="10"/>
  <c r="DC124" i="10"/>
  <c r="DD124" i="10"/>
  <c r="DF124" i="10"/>
  <c r="DG124" i="10"/>
  <c r="DH124" i="10"/>
  <c r="DI124" i="10"/>
  <c r="DK124" i="10"/>
  <c r="DL124" i="10"/>
  <c r="DM124" i="10"/>
  <c r="DN124" i="10"/>
  <c r="BQ125" i="10"/>
  <c r="BV125" i="10" s="1"/>
  <c r="CA125" i="10" s="1"/>
  <c r="CF125" i="10" s="1"/>
  <c r="CK125" i="10" s="1"/>
  <c r="CP125" i="10" s="1"/>
  <c r="CU125" i="10" s="1"/>
  <c r="CZ125" i="10" s="1"/>
  <c r="DE125" i="10" s="1"/>
  <c r="DJ125" i="10" s="1"/>
  <c r="DO125" i="10" s="1"/>
  <c r="DT125" i="10" s="1"/>
  <c r="BR125" i="10"/>
  <c r="BS125" i="10"/>
  <c r="BT125" i="10"/>
  <c r="BU125" i="10"/>
  <c r="BW125" i="10"/>
  <c r="BX125" i="10"/>
  <c r="BY125" i="10"/>
  <c r="BZ125" i="10"/>
  <c r="CB125" i="10"/>
  <c r="CC125" i="10"/>
  <c r="CD125" i="10"/>
  <c r="CE125" i="10"/>
  <c r="CG125" i="10"/>
  <c r="CH125" i="10"/>
  <c r="CI125" i="10"/>
  <c r="CJ125" i="10"/>
  <c r="CL125" i="10"/>
  <c r="CM125" i="10"/>
  <c r="CN125" i="10"/>
  <c r="CO125" i="10"/>
  <c r="CQ125" i="10"/>
  <c r="CR125" i="10"/>
  <c r="CS125" i="10"/>
  <c r="CT125" i="10"/>
  <c r="CV125" i="10"/>
  <c r="CW125" i="10"/>
  <c r="CX125" i="10"/>
  <c r="CY125" i="10"/>
  <c r="DA125" i="10"/>
  <c r="DB125" i="10"/>
  <c r="DC125" i="10"/>
  <c r="DD125" i="10"/>
  <c r="DF125" i="10"/>
  <c r="DG125" i="10"/>
  <c r="DH125" i="10"/>
  <c r="DI125" i="10"/>
  <c r="DK125" i="10"/>
  <c r="DL125" i="10"/>
  <c r="DM125" i="10"/>
  <c r="DN125" i="10"/>
  <c r="E112" i="10"/>
  <c r="AZ112" i="10" s="1"/>
  <c r="E113" i="10"/>
  <c r="BE113" i="10" s="1"/>
  <c r="E114" i="10"/>
  <c r="BJ114" i="10" s="1"/>
  <c r="E115" i="10"/>
  <c r="E116" i="10"/>
  <c r="E117" i="10"/>
  <c r="E118" i="10"/>
  <c r="E119" i="10"/>
  <c r="E120" i="10"/>
  <c r="E121" i="10"/>
  <c r="E122" i="10"/>
  <c r="E123" i="10"/>
  <c r="E124" i="10"/>
  <c r="L128" i="10"/>
  <c r="Q128" i="10"/>
  <c r="O128" i="10" s="1"/>
  <c r="V128" i="10"/>
  <c r="S128" i="10" s="1"/>
  <c r="AA128" i="10"/>
  <c r="W128" i="10" s="1"/>
  <c r="AF128" i="10"/>
  <c r="AE128" i="10" s="1"/>
  <c r="AK128" i="10"/>
  <c r="AI128" i="10" s="1"/>
  <c r="AP128" i="10"/>
  <c r="AM128" i="10" s="1"/>
  <c r="AU128" i="10"/>
  <c r="AQ128" i="10" s="1"/>
  <c r="AZ128" i="10"/>
  <c r="AY128" i="10" s="1"/>
  <c r="BE128" i="10"/>
  <c r="BA128" i="10" s="1"/>
  <c r="BJ128" i="10"/>
  <c r="BG128" i="10" s="1"/>
  <c r="BQ128" i="10"/>
  <c r="BV128" i="10" s="1"/>
  <c r="CA128" i="10" s="1"/>
  <c r="CF128" i="10" s="1"/>
  <c r="CK128" i="10" s="1"/>
  <c r="CP128" i="10" s="1"/>
  <c r="CU128" i="10" s="1"/>
  <c r="CZ128" i="10" s="1"/>
  <c r="DE128" i="10" s="1"/>
  <c r="DJ128" i="10" s="1"/>
  <c r="DO128" i="10" s="1"/>
  <c r="DT128" i="10" s="1"/>
  <c r="BR128" i="10"/>
  <c r="BS128" i="10"/>
  <c r="BT128" i="10"/>
  <c r="BU128" i="10"/>
  <c r="BW128" i="10"/>
  <c r="BX128" i="10"/>
  <c r="BY128" i="10"/>
  <c r="BZ128" i="10"/>
  <c r="CB128" i="10"/>
  <c r="CC128" i="10"/>
  <c r="CD128" i="10"/>
  <c r="CE128" i="10"/>
  <c r="CG128" i="10"/>
  <c r="CH128" i="10"/>
  <c r="CI128" i="10"/>
  <c r="CJ128" i="10"/>
  <c r="CL128" i="10"/>
  <c r="CM128" i="10"/>
  <c r="CN128" i="10"/>
  <c r="CO128" i="10"/>
  <c r="CQ128" i="10"/>
  <c r="CR128" i="10"/>
  <c r="CS128" i="10"/>
  <c r="CT128" i="10"/>
  <c r="CV128" i="10"/>
  <c r="CW128" i="10"/>
  <c r="CX128" i="10"/>
  <c r="CY128" i="10"/>
  <c r="DA128" i="10"/>
  <c r="DB128" i="10"/>
  <c r="DC128" i="10"/>
  <c r="DD128" i="10"/>
  <c r="DF128" i="10"/>
  <c r="DG128" i="10"/>
  <c r="DH128" i="10"/>
  <c r="DI128" i="10"/>
  <c r="DK128" i="10"/>
  <c r="DL128" i="10"/>
  <c r="DM128" i="10"/>
  <c r="DN128" i="10"/>
  <c r="E127" i="10"/>
  <c r="I127" i="10"/>
  <c r="I128" i="10"/>
  <c r="L133" i="10"/>
  <c r="Q133" i="10"/>
  <c r="M133" i="10" s="1"/>
  <c r="V133" i="10"/>
  <c r="R133" i="10" s="1"/>
  <c r="AA133" i="10"/>
  <c r="Z133" i="10" s="1"/>
  <c r="AF133" i="10"/>
  <c r="AC133" i="10" s="1"/>
  <c r="AK133" i="10"/>
  <c r="AG133" i="10" s="1"/>
  <c r="AP133" i="10"/>
  <c r="AL133" i="10" s="1"/>
  <c r="AU133" i="10"/>
  <c r="AT133" i="10" s="1"/>
  <c r="AZ133" i="10"/>
  <c r="AX133" i="10" s="1"/>
  <c r="BE133" i="10"/>
  <c r="BJ133" i="10"/>
  <c r="BF133" i="10" s="1"/>
  <c r="L134" i="10"/>
  <c r="Q134" i="10"/>
  <c r="V134" i="10"/>
  <c r="T134" i="10" s="1"/>
  <c r="AA134" i="10"/>
  <c r="W134" i="10" s="1"/>
  <c r="AF134" i="10"/>
  <c r="AB134" i="10" s="1"/>
  <c r="AK134" i="10"/>
  <c r="AG134" i="10" s="1"/>
  <c r="AP134" i="10"/>
  <c r="AN134" i="10" s="1"/>
  <c r="AU134" i="10"/>
  <c r="AQ134" i="10" s="1"/>
  <c r="BE134" i="10"/>
  <c r="BJ134" i="10"/>
  <c r="L135" i="10"/>
  <c r="Q135" i="10"/>
  <c r="M135" i="10" s="1"/>
  <c r="V135" i="10"/>
  <c r="AA135" i="10"/>
  <c r="Y135" i="10" s="1"/>
  <c r="AF135" i="10"/>
  <c r="AB135" i="10" s="1"/>
  <c r="AK135" i="10"/>
  <c r="AG135" i="10" s="1"/>
  <c r="AP135" i="10"/>
  <c r="AL135" i="10" s="1"/>
  <c r="AU135" i="10"/>
  <c r="AS135" i="10" s="1"/>
  <c r="AZ135" i="10"/>
  <c r="AV135" i="10" s="1"/>
  <c r="BJ135" i="10"/>
  <c r="L136" i="10"/>
  <c r="Q136" i="10"/>
  <c r="V136" i="10"/>
  <c r="R136" i="10" s="1"/>
  <c r="AA136" i="10"/>
  <c r="W136" i="10" s="1"/>
  <c r="AF136" i="10"/>
  <c r="AD136" i="10" s="1"/>
  <c r="AK136" i="10"/>
  <c r="AG136" i="10" s="1"/>
  <c r="AP136" i="10"/>
  <c r="AL136" i="10" s="1"/>
  <c r="AU136" i="10"/>
  <c r="AZ136" i="10"/>
  <c r="AX136" i="10" s="1"/>
  <c r="BE136" i="10"/>
  <c r="BA136" i="10" s="1"/>
  <c r="BQ133" i="10"/>
  <c r="BV133" i="10" s="1"/>
  <c r="CA133" i="10" s="1"/>
  <c r="CF133" i="10" s="1"/>
  <c r="CK133" i="10" s="1"/>
  <c r="CP133" i="10" s="1"/>
  <c r="CU133" i="10" s="1"/>
  <c r="CZ133" i="10" s="1"/>
  <c r="BR133" i="10"/>
  <c r="BS133" i="10"/>
  <c r="BT133" i="10"/>
  <c r="BU133" i="10"/>
  <c r="BW133" i="10"/>
  <c r="BX133" i="10"/>
  <c r="BY133" i="10"/>
  <c r="BZ133" i="10"/>
  <c r="CB133" i="10"/>
  <c r="CC133" i="10"/>
  <c r="CD133" i="10"/>
  <c r="CE133" i="10"/>
  <c r="CG133" i="10"/>
  <c r="CH133" i="10"/>
  <c r="CI133" i="10"/>
  <c r="CJ133" i="10"/>
  <c r="CL133" i="10"/>
  <c r="CM133" i="10"/>
  <c r="CN133" i="10"/>
  <c r="CO133" i="10"/>
  <c r="CQ133" i="10"/>
  <c r="CR133" i="10"/>
  <c r="CS133" i="10"/>
  <c r="CT133" i="10"/>
  <c r="DF133" i="10"/>
  <c r="DG133" i="10"/>
  <c r="DH133" i="10"/>
  <c r="DI133" i="10"/>
  <c r="DK133" i="10"/>
  <c r="DL133" i="10"/>
  <c r="DM133" i="10"/>
  <c r="DN133" i="10"/>
  <c r="BQ134" i="10"/>
  <c r="BV134" i="10" s="1"/>
  <c r="CA134" i="10" s="1"/>
  <c r="CF134" i="10" s="1"/>
  <c r="CK134" i="10" s="1"/>
  <c r="CP134" i="10" s="1"/>
  <c r="CU134" i="10" s="1"/>
  <c r="CZ134" i="10" s="1"/>
  <c r="BR134" i="10"/>
  <c r="BS134" i="10"/>
  <c r="BT134" i="10"/>
  <c r="BU134" i="10"/>
  <c r="BW134" i="10"/>
  <c r="BX134" i="10"/>
  <c r="BY134" i="10"/>
  <c r="BZ134" i="10"/>
  <c r="CB134" i="10"/>
  <c r="CC134" i="10"/>
  <c r="CD134" i="10"/>
  <c r="CE134" i="10"/>
  <c r="CG134" i="10"/>
  <c r="CH134" i="10"/>
  <c r="CI134" i="10"/>
  <c r="CJ134" i="10"/>
  <c r="CL134" i="10"/>
  <c r="CM134" i="10"/>
  <c r="CN134" i="10"/>
  <c r="CO134" i="10"/>
  <c r="CQ134" i="10"/>
  <c r="CR134" i="10"/>
  <c r="CS134" i="10"/>
  <c r="CT134" i="10"/>
  <c r="CV134" i="10"/>
  <c r="CW134" i="10"/>
  <c r="CX134" i="10"/>
  <c r="CY134" i="10"/>
  <c r="DK134" i="10"/>
  <c r="DL134" i="10"/>
  <c r="DM134" i="10"/>
  <c r="DN134" i="10"/>
  <c r="BQ135" i="10"/>
  <c r="BV135" i="10" s="1"/>
  <c r="CA135" i="10" s="1"/>
  <c r="CF135" i="10" s="1"/>
  <c r="CK135" i="10" s="1"/>
  <c r="CP135" i="10" s="1"/>
  <c r="CU135" i="10" s="1"/>
  <c r="CZ135" i="10" s="1"/>
  <c r="DE135" i="10" s="1"/>
  <c r="BR135" i="10"/>
  <c r="BS135" i="10"/>
  <c r="BT135" i="10"/>
  <c r="BU135" i="10"/>
  <c r="BW135" i="10"/>
  <c r="BX135" i="10"/>
  <c r="BY135" i="10"/>
  <c r="BZ135" i="10"/>
  <c r="CB135" i="10"/>
  <c r="CC135" i="10"/>
  <c r="CD135" i="10"/>
  <c r="CE135" i="10"/>
  <c r="CG135" i="10"/>
  <c r="CH135" i="10"/>
  <c r="CI135" i="10"/>
  <c r="CJ135" i="10"/>
  <c r="CL135" i="10"/>
  <c r="CM135" i="10"/>
  <c r="CN135" i="10"/>
  <c r="CO135" i="10"/>
  <c r="CQ135" i="10"/>
  <c r="CR135" i="10"/>
  <c r="CS135" i="10"/>
  <c r="CT135" i="10"/>
  <c r="CV135" i="10"/>
  <c r="CW135" i="10"/>
  <c r="CX135" i="10"/>
  <c r="CY135" i="10"/>
  <c r="DA135" i="10"/>
  <c r="DB135" i="10"/>
  <c r="DC135" i="10"/>
  <c r="DD135" i="10"/>
  <c r="BQ136" i="10"/>
  <c r="BV136" i="10" s="1"/>
  <c r="CA136" i="10" s="1"/>
  <c r="CF136" i="10" s="1"/>
  <c r="CK136" i="10" s="1"/>
  <c r="CP136" i="10" s="1"/>
  <c r="CU136" i="10" s="1"/>
  <c r="CZ136" i="10" s="1"/>
  <c r="DE136" i="10" s="1"/>
  <c r="DJ136" i="10" s="1"/>
  <c r="BR136" i="10"/>
  <c r="BS136" i="10"/>
  <c r="BT136" i="10"/>
  <c r="BU136" i="10"/>
  <c r="BW136" i="10"/>
  <c r="BX136" i="10"/>
  <c r="BY136" i="10"/>
  <c r="BZ136" i="10"/>
  <c r="CB136" i="10"/>
  <c r="CC136" i="10"/>
  <c r="CD136" i="10"/>
  <c r="CE136" i="10"/>
  <c r="CG136" i="10"/>
  <c r="CH136" i="10"/>
  <c r="CI136" i="10"/>
  <c r="CJ136" i="10"/>
  <c r="CL136" i="10"/>
  <c r="CM136" i="10"/>
  <c r="CN136" i="10"/>
  <c r="CO136" i="10"/>
  <c r="CQ136" i="10"/>
  <c r="CR136" i="10"/>
  <c r="CS136" i="10"/>
  <c r="CT136" i="10"/>
  <c r="CV136" i="10"/>
  <c r="CW136" i="10"/>
  <c r="CX136" i="10"/>
  <c r="CY136" i="10"/>
  <c r="DA136" i="10"/>
  <c r="DB136" i="10"/>
  <c r="DC136" i="10"/>
  <c r="DD136" i="10"/>
  <c r="DF136" i="10"/>
  <c r="DG136" i="10"/>
  <c r="DH136" i="10"/>
  <c r="DI136" i="10"/>
  <c r="E134" i="10"/>
  <c r="AZ134" i="10" s="1"/>
  <c r="AW134" i="10" s="1"/>
  <c r="E135" i="10"/>
  <c r="BE135" i="10" s="1"/>
  <c r="BB135" i="10" s="1"/>
  <c r="E136" i="10"/>
  <c r="BJ136" i="10" s="1"/>
  <c r="L147" i="10"/>
  <c r="Q147" i="10"/>
  <c r="M147" i="10" s="1"/>
  <c r="V147" i="10"/>
  <c r="AA147" i="10"/>
  <c r="Y147" i="10" s="1"/>
  <c r="AF147" i="10"/>
  <c r="AB147" i="10" s="1"/>
  <c r="AK147" i="10"/>
  <c r="AP147" i="10"/>
  <c r="AL147" i="10" s="1"/>
  <c r="AZ147" i="10"/>
  <c r="AV147" i="10" s="1"/>
  <c r="BE147" i="10"/>
  <c r="BA147" i="10" s="1"/>
  <c r="BJ147" i="10"/>
  <c r="L148" i="10"/>
  <c r="Q148" i="10"/>
  <c r="M148" i="10" s="1"/>
  <c r="V148" i="10"/>
  <c r="R148" i="10" s="1"/>
  <c r="AA148" i="10"/>
  <c r="W148" i="10" s="1"/>
  <c r="AF148" i="10"/>
  <c r="AD148" i="10" s="1"/>
  <c r="AK148" i="10"/>
  <c r="AG148" i="10" s="1"/>
  <c r="AP148" i="10"/>
  <c r="AL148" i="10" s="1"/>
  <c r="AU148" i="10"/>
  <c r="AQ148" i="10" s="1"/>
  <c r="AZ148" i="10"/>
  <c r="AX148" i="10" s="1"/>
  <c r="BE148" i="10"/>
  <c r="BA148" i="10" s="1"/>
  <c r="BJ148" i="10"/>
  <c r="BF148" i="10" s="1"/>
  <c r="L149" i="10"/>
  <c r="Q149" i="10"/>
  <c r="O149" i="10" s="1"/>
  <c r="V149" i="10"/>
  <c r="R149" i="10" s="1"/>
  <c r="AA149" i="10"/>
  <c r="AF149" i="10"/>
  <c r="AB149" i="10" s="1"/>
  <c r="AK149" i="10"/>
  <c r="AP149" i="10"/>
  <c r="AL149" i="10" s="1"/>
  <c r="AU149" i="10"/>
  <c r="AQ149" i="10" s="1"/>
  <c r="AZ149" i="10"/>
  <c r="AV149" i="10" s="1"/>
  <c r="BE149" i="10"/>
  <c r="BC149" i="10" s="1"/>
  <c r="BJ149" i="10"/>
  <c r="BF149" i="10" s="1"/>
  <c r="BQ147" i="10"/>
  <c r="BV147" i="10" s="1"/>
  <c r="CA147" i="10" s="1"/>
  <c r="CF147" i="10" s="1"/>
  <c r="CK147" i="10" s="1"/>
  <c r="CP147" i="10" s="1"/>
  <c r="CU147" i="10" s="1"/>
  <c r="BR147" i="10"/>
  <c r="BS147" i="10"/>
  <c r="BT147" i="10"/>
  <c r="BU147" i="10"/>
  <c r="BW147" i="10"/>
  <c r="BX147" i="10"/>
  <c r="BY147" i="10"/>
  <c r="BZ147" i="10"/>
  <c r="CB147" i="10"/>
  <c r="CC147" i="10"/>
  <c r="CD147" i="10"/>
  <c r="CE147" i="10"/>
  <c r="CG147" i="10"/>
  <c r="CH147" i="10"/>
  <c r="CI147" i="10"/>
  <c r="CJ147" i="10"/>
  <c r="CL147" i="10"/>
  <c r="CM147" i="10"/>
  <c r="CN147" i="10"/>
  <c r="CO147" i="10"/>
  <c r="CQ147" i="10"/>
  <c r="CR147" i="10"/>
  <c r="CS147" i="10"/>
  <c r="CT147" i="10"/>
  <c r="DF147" i="10"/>
  <c r="DG147" i="10"/>
  <c r="DH147" i="10"/>
  <c r="DI147" i="10"/>
  <c r="DK147" i="10"/>
  <c r="DL147" i="10"/>
  <c r="DM147" i="10"/>
  <c r="DN147" i="10"/>
  <c r="BQ148" i="10"/>
  <c r="BV148" i="10" s="1"/>
  <c r="CA148" i="10" s="1"/>
  <c r="CF148" i="10" s="1"/>
  <c r="BR148" i="10"/>
  <c r="BS148" i="10"/>
  <c r="BT148" i="10"/>
  <c r="BU148" i="10"/>
  <c r="BW148" i="10"/>
  <c r="BX148" i="10"/>
  <c r="BY148" i="10"/>
  <c r="BZ148" i="10"/>
  <c r="CB148" i="10"/>
  <c r="CC148" i="10"/>
  <c r="CD148" i="10"/>
  <c r="CE148" i="10"/>
  <c r="CG148" i="10"/>
  <c r="CH148" i="10"/>
  <c r="CI148" i="10"/>
  <c r="CJ148" i="10"/>
  <c r="CL148" i="10"/>
  <c r="CM148" i="10"/>
  <c r="CN148" i="10"/>
  <c r="CO148" i="10"/>
  <c r="CQ148" i="10"/>
  <c r="CR148" i="10"/>
  <c r="CS148" i="10"/>
  <c r="CT148" i="10"/>
  <c r="CV148" i="10"/>
  <c r="CW148" i="10"/>
  <c r="CX148" i="10"/>
  <c r="CY148" i="10"/>
  <c r="DA148" i="10"/>
  <c r="DB148" i="10"/>
  <c r="DC148" i="10"/>
  <c r="DD148" i="10"/>
  <c r="DF148" i="10"/>
  <c r="DG148" i="10"/>
  <c r="DH148" i="10"/>
  <c r="DI148" i="10"/>
  <c r="DK148" i="10"/>
  <c r="DL148" i="10"/>
  <c r="DM148" i="10"/>
  <c r="DN148" i="10"/>
  <c r="BQ149" i="10"/>
  <c r="BV149" i="10" s="1"/>
  <c r="CA149" i="10" s="1"/>
  <c r="CF149" i="10" s="1"/>
  <c r="CK149" i="10" s="1"/>
  <c r="CP149" i="10" s="1"/>
  <c r="CU149" i="10" s="1"/>
  <c r="CZ149" i="10" s="1"/>
  <c r="DE149" i="10" s="1"/>
  <c r="DJ149" i="10" s="1"/>
  <c r="DO149" i="10" s="1"/>
  <c r="BR149" i="10"/>
  <c r="BS149" i="10"/>
  <c r="BT149" i="10"/>
  <c r="BU149" i="10"/>
  <c r="BW149" i="10"/>
  <c r="BX149" i="10"/>
  <c r="BY149" i="10"/>
  <c r="BZ149" i="10"/>
  <c r="CB149" i="10"/>
  <c r="CC149" i="10"/>
  <c r="CD149" i="10"/>
  <c r="CE149" i="10"/>
  <c r="CG149" i="10"/>
  <c r="CH149" i="10"/>
  <c r="CI149" i="10"/>
  <c r="CJ149" i="10"/>
  <c r="CL149" i="10"/>
  <c r="CM149" i="10"/>
  <c r="CN149" i="10"/>
  <c r="CO149" i="10"/>
  <c r="CQ149" i="10"/>
  <c r="CR149" i="10"/>
  <c r="CS149" i="10"/>
  <c r="CT149" i="10"/>
  <c r="CV149" i="10"/>
  <c r="CW149" i="10"/>
  <c r="CX149" i="10"/>
  <c r="CY149" i="10"/>
  <c r="DA149" i="10"/>
  <c r="DB149" i="10"/>
  <c r="DC149" i="10"/>
  <c r="DD149" i="10"/>
  <c r="DF149" i="10"/>
  <c r="DG149" i="10"/>
  <c r="DH149" i="10"/>
  <c r="DI149" i="10"/>
  <c r="DK149" i="10"/>
  <c r="DL149" i="10"/>
  <c r="DM149" i="10"/>
  <c r="DN149" i="10"/>
  <c r="E147" i="10"/>
  <c r="AU147" i="10" s="1"/>
  <c r="E148" i="10"/>
  <c r="E149" i="10"/>
  <c r="L151" i="10"/>
  <c r="Q151" i="10"/>
  <c r="M151" i="10" s="1"/>
  <c r="V151" i="10"/>
  <c r="T151" i="10" s="1"/>
  <c r="AA151" i="10"/>
  <c r="W151" i="10" s="1"/>
  <c r="AF151" i="10"/>
  <c r="AB151" i="10" s="1"/>
  <c r="AK151" i="10"/>
  <c r="AP151" i="10"/>
  <c r="AN151" i="10" s="1"/>
  <c r="AU151" i="10"/>
  <c r="AQ151" i="10" s="1"/>
  <c r="AZ151" i="10"/>
  <c r="AV151" i="10" s="1"/>
  <c r="BE151" i="10"/>
  <c r="BJ151" i="10"/>
  <c r="BH151" i="10" s="1"/>
  <c r="L152" i="10"/>
  <c r="Q152" i="10"/>
  <c r="M152" i="10" s="1"/>
  <c r="V152" i="10"/>
  <c r="AA152" i="10"/>
  <c r="AF152" i="10"/>
  <c r="AC152" i="10" s="1"/>
  <c r="AK152" i="10"/>
  <c r="AG152" i="10" s="1"/>
  <c r="AP152" i="10"/>
  <c r="AL152" i="10" s="1"/>
  <c r="AU152" i="10"/>
  <c r="AS152" i="10" s="1"/>
  <c r="AZ152" i="10"/>
  <c r="BE152" i="10"/>
  <c r="BA152" i="10" s="1"/>
  <c r="BJ152" i="10"/>
  <c r="BF152" i="10" s="1"/>
  <c r="L153" i="10"/>
  <c r="Q153" i="10"/>
  <c r="N153" i="10" s="1"/>
  <c r="V153" i="10"/>
  <c r="R153" i="10" s="1"/>
  <c r="AA153" i="10"/>
  <c r="Z153" i="10" s="1"/>
  <c r="AF153" i="10"/>
  <c r="AD153" i="10" s="1"/>
  <c r="AK153" i="10"/>
  <c r="AH153" i="10" s="1"/>
  <c r="AP153" i="10"/>
  <c r="AL153" i="10" s="1"/>
  <c r="AU153" i="10"/>
  <c r="AT153" i="10" s="1"/>
  <c r="AZ153" i="10"/>
  <c r="AX153" i="10" s="1"/>
  <c r="BE153" i="10"/>
  <c r="BB153" i="10" s="1"/>
  <c r="BJ153" i="10"/>
  <c r="BF153" i="10" s="1"/>
  <c r="L154" i="10"/>
  <c r="Q154" i="10"/>
  <c r="O154" i="10" s="1"/>
  <c r="V154" i="10"/>
  <c r="S154" i="10" s="1"/>
  <c r="AA154" i="10"/>
  <c r="W154" i="10" s="1"/>
  <c r="AF154" i="10"/>
  <c r="AE154" i="10" s="1"/>
  <c r="AK154" i="10"/>
  <c r="AP154" i="10"/>
  <c r="AM154" i="10" s="1"/>
  <c r="AU154" i="10"/>
  <c r="AQ154" i="10" s="1"/>
  <c r="AZ154" i="10"/>
  <c r="AY154" i="10" s="1"/>
  <c r="BE154" i="10"/>
  <c r="BC154" i="10" s="1"/>
  <c r="BJ154" i="10"/>
  <c r="BG154" i="10" s="1"/>
  <c r="BQ151" i="10"/>
  <c r="BV151" i="10" s="1"/>
  <c r="CA151" i="10" s="1"/>
  <c r="CF151" i="10" s="1"/>
  <c r="CK151" i="10" s="1"/>
  <c r="CP151" i="10" s="1"/>
  <c r="CU151" i="10" s="1"/>
  <c r="CZ151" i="10" s="1"/>
  <c r="DE151" i="10" s="1"/>
  <c r="DJ151" i="10" s="1"/>
  <c r="DO151" i="10" s="1"/>
  <c r="BR151" i="10"/>
  <c r="BS151" i="10"/>
  <c r="BT151" i="10"/>
  <c r="BU151" i="10"/>
  <c r="BW151" i="10"/>
  <c r="BX151" i="10"/>
  <c r="BY151" i="10"/>
  <c r="BZ151" i="10"/>
  <c r="CB151" i="10"/>
  <c r="CC151" i="10"/>
  <c r="CD151" i="10"/>
  <c r="CE151" i="10"/>
  <c r="CG151" i="10"/>
  <c r="CH151" i="10"/>
  <c r="CI151" i="10"/>
  <c r="CJ151" i="10"/>
  <c r="CL151" i="10"/>
  <c r="CM151" i="10"/>
  <c r="CN151" i="10"/>
  <c r="CO151" i="10"/>
  <c r="CQ151" i="10"/>
  <c r="CR151" i="10"/>
  <c r="CS151" i="10"/>
  <c r="CT151" i="10"/>
  <c r="CV151" i="10"/>
  <c r="CW151" i="10"/>
  <c r="CX151" i="10"/>
  <c r="CY151" i="10"/>
  <c r="DA151" i="10"/>
  <c r="DB151" i="10"/>
  <c r="DC151" i="10"/>
  <c r="DD151" i="10"/>
  <c r="DF151" i="10"/>
  <c r="DG151" i="10"/>
  <c r="DH151" i="10"/>
  <c r="DI151" i="10"/>
  <c r="DK151" i="10"/>
  <c r="DL151" i="10"/>
  <c r="DM151" i="10"/>
  <c r="DN151" i="10"/>
  <c r="BQ152" i="10"/>
  <c r="BV152" i="10" s="1"/>
  <c r="CA152" i="10" s="1"/>
  <c r="CF152" i="10" s="1"/>
  <c r="CK152" i="10" s="1"/>
  <c r="CP152" i="10" s="1"/>
  <c r="CU152" i="10" s="1"/>
  <c r="CZ152" i="10" s="1"/>
  <c r="DE152" i="10" s="1"/>
  <c r="DJ152" i="10" s="1"/>
  <c r="DO152" i="10" s="1"/>
  <c r="BR152" i="10"/>
  <c r="BS152" i="10"/>
  <c r="BT152" i="10"/>
  <c r="BU152" i="10"/>
  <c r="BW152" i="10"/>
  <c r="BX152" i="10"/>
  <c r="BY152" i="10"/>
  <c r="BZ152" i="10"/>
  <c r="CB152" i="10"/>
  <c r="CC152" i="10"/>
  <c r="CD152" i="10"/>
  <c r="CE152" i="10"/>
  <c r="CG152" i="10"/>
  <c r="CH152" i="10"/>
  <c r="CI152" i="10"/>
  <c r="CJ152" i="10"/>
  <c r="CL152" i="10"/>
  <c r="CM152" i="10"/>
  <c r="CN152" i="10"/>
  <c r="CO152" i="10"/>
  <c r="CQ152" i="10"/>
  <c r="CR152" i="10"/>
  <c r="CS152" i="10"/>
  <c r="CT152" i="10"/>
  <c r="CV152" i="10"/>
  <c r="CW152" i="10"/>
  <c r="CX152" i="10"/>
  <c r="CY152" i="10"/>
  <c r="DA152" i="10"/>
  <c r="DB152" i="10"/>
  <c r="DC152" i="10"/>
  <c r="DD152" i="10"/>
  <c r="DF152" i="10"/>
  <c r="DG152" i="10"/>
  <c r="DH152" i="10"/>
  <c r="DI152" i="10"/>
  <c r="DK152" i="10"/>
  <c r="DL152" i="10"/>
  <c r="DM152" i="10"/>
  <c r="DN152" i="10"/>
  <c r="BQ153" i="10"/>
  <c r="BV153" i="10" s="1"/>
  <c r="CA153" i="10" s="1"/>
  <c r="CF153" i="10" s="1"/>
  <c r="CK153" i="10" s="1"/>
  <c r="CP153" i="10" s="1"/>
  <c r="CU153" i="10" s="1"/>
  <c r="CZ153" i="10" s="1"/>
  <c r="DE153" i="10" s="1"/>
  <c r="DJ153" i="10" s="1"/>
  <c r="DO153" i="10" s="1"/>
  <c r="BR153" i="10"/>
  <c r="BS153" i="10"/>
  <c r="BT153" i="10"/>
  <c r="BU153" i="10"/>
  <c r="BW153" i="10"/>
  <c r="BX153" i="10"/>
  <c r="BY153" i="10"/>
  <c r="BZ153" i="10"/>
  <c r="CB153" i="10"/>
  <c r="CC153" i="10"/>
  <c r="CD153" i="10"/>
  <c r="CE153" i="10"/>
  <c r="CG153" i="10"/>
  <c r="CH153" i="10"/>
  <c r="CI153" i="10"/>
  <c r="CJ153" i="10"/>
  <c r="CL153" i="10"/>
  <c r="CM153" i="10"/>
  <c r="CN153" i="10"/>
  <c r="CO153" i="10"/>
  <c r="CQ153" i="10"/>
  <c r="CR153" i="10"/>
  <c r="CS153" i="10"/>
  <c r="CT153" i="10"/>
  <c r="CV153" i="10"/>
  <c r="CW153" i="10"/>
  <c r="CX153" i="10"/>
  <c r="CY153" i="10"/>
  <c r="DA153" i="10"/>
  <c r="DB153" i="10"/>
  <c r="DC153" i="10"/>
  <c r="DD153" i="10"/>
  <c r="DF153" i="10"/>
  <c r="DG153" i="10"/>
  <c r="DH153" i="10"/>
  <c r="DI153" i="10"/>
  <c r="DK153" i="10"/>
  <c r="DL153" i="10"/>
  <c r="DM153" i="10"/>
  <c r="DN153" i="10"/>
  <c r="BQ154" i="10"/>
  <c r="BV154" i="10" s="1"/>
  <c r="CA154" i="10" s="1"/>
  <c r="CF154" i="10" s="1"/>
  <c r="CK154" i="10" s="1"/>
  <c r="CP154" i="10" s="1"/>
  <c r="CU154" i="10" s="1"/>
  <c r="CZ154" i="10" s="1"/>
  <c r="DE154" i="10" s="1"/>
  <c r="DJ154" i="10" s="1"/>
  <c r="DO154" i="10" s="1"/>
  <c r="BR154" i="10"/>
  <c r="BS154" i="10"/>
  <c r="BT154" i="10"/>
  <c r="BU154" i="10"/>
  <c r="BW154" i="10"/>
  <c r="BX154" i="10"/>
  <c r="BY154" i="10"/>
  <c r="BZ154" i="10"/>
  <c r="CB154" i="10"/>
  <c r="CC154" i="10"/>
  <c r="CD154" i="10"/>
  <c r="CE154" i="10"/>
  <c r="CG154" i="10"/>
  <c r="CH154" i="10"/>
  <c r="CI154" i="10"/>
  <c r="CJ154" i="10"/>
  <c r="CL154" i="10"/>
  <c r="CM154" i="10"/>
  <c r="CN154" i="10"/>
  <c r="CO154" i="10"/>
  <c r="CQ154" i="10"/>
  <c r="CR154" i="10"/>
  <c r="CS154" i="10"/>
  <c r="CT154" i="10"/>
  <c r="CV154" i="10"/>
  <c r="CW154" i="10"/>
  <c r="CX154" i="10"/>
  <c r="CY154" i="10"/>
  <c r="DA154" i="10"/>
  <c r="DB154" i="10"/>
  <c r="DC154" i="10"/>
  <c r="DD154" i="10"/>
  <c r="DF154" i="10"/>
  <c r="DG154" i="10"/>
  <c r="DH154" i="10"/>
  <c r="DI154" i="10"/>
  <c r="DK154" i="10"/>
  <c r="DL154" i="10"/>
  <c r="DM154" i="10"/>
  <c r="DN154" i="10"/>
  <c r="E151" i="10"/>
  <c r="E152" i="10"/>
  <c r="E153" i="10"/>
  <c r="F156" i="10"/>
  <c r="L159" i="10"/>
  <c r="Q159" i="10"/>
  <c r="O159" i="10" s="1"/>
  <c r="V159" i="10"/>
  <c r="S159" i="10" s="1"/>
  <c r="AA159" i="10"/>
  <c r="W159" i="10" s="1"/>
  <c r="AF159" i="10"/>
  <c r="AE159" i="10" s="1"/>
  <c r="AK159" i="10"/>
  <c r="AI159" i="10" s="1"/>
  <c r="AP159" i="10"/>
  <c r="AM159" i="10" s="1"/>
  <c r="AU159" i="10"/>
  <c r="AQ159" i="10" s="1"/>
  <c r="AZ159" i="10"/>
  <c r="AY159" i="10" s="1"/>
  <c r="BE159" i="10"/>
  <c r="BC159" i="10" s="1"/>
  <c r="BJ159" i="10"/>
  <c r="BG159" i="10" s="1"/>
  <c r="L160" i="10"/>
  <c r="Q160" i="10"/>
  <c r="M160" i="10" s="1"/>
  <c r="V160" i="10"/>
  <c r="U160" i="10" s="1"/>
  <c r="AA160" i="10"/>
  <c r="Y160" i="10" s="1"/>
  <c r="AF160" i="10"/>
  <c r="AC160" i="10" s="1"/>
  <c r="AK160" i="10"/>
  <c r="AG160" i="10" s="1"/>
  <c r="AP160" i="10"/>
  <c r="AO160" i="10" s="1"/>
  <c r="AU160" i="10"/>
  <c r="AS160" i="10" s="1"/>
  <c r="BE160" i="10"/>
  <c r="BA160" i="10" s="1"/>
  <c r="BJ160" i="10"/>
  <c r="L161" i="10"/>
  <c r="Q161" i="10"/>
  <c r="N161" i="10" s="1"/>
  <c r="V161" i="10"/>
  <c r="R161" i="10" s="1"/>
  <c r="AA161" i="10"/>
  <c r="Z161" i="10" s="1"/>
  <c r="AF161" i="10"/>
  <c r="AD161" i="10" s="1"/>
  <c r="AK161" i="10"/>
  <c r="AH161" i="10" s="1"/>
  <c r="AP161" i="10"/>
  <c r="AL161" i="10" s="1"/>
  <c r="AU161" i="10"/>
  <c r="AT161" i="10" s="1"/>
  <c r="AZ161" i="10"/>
  <c r="AX161" i="10" s="1"/>
  <c r="BJ161" i="10"/>
  <c r="BF161" i="10" s="1"/>
  <c r="L162" i="10"/>
  <c r="Q162" i="10"/>
  <c r="O162" i="10" s="1"/>
  <c r="V162" i="10"/>
  <c r="S162" i="10" s="1"/>
  <c r="AA162" i="10"/>
  <c r="W162" i="10" s="1"/>
  <c r="AF162" i="10"/>
  <c r="AE162" i="10" s="1"/>
  <c r="AK162" i="10"/>
  <c r="AP162" i="10"/>
  <c r="AM162" i="10" s="1"/>
  <c r="AU162" i="10"/>
  <c r="AZ162" i="10"/>
  <c r="AY162" i="10" s="1"/>
  <c r="BE162" i="10"/>
  <c r="BQ159" i="10"/>
  <c r="BV159" i="10" s="1"/>
  <c r="BR159" i="10"/>
  <c r="BS159" i="10"/>
  <c r="BT159" i="10"/>
  <c r="BU159" i="10"/>
  <c r="BW159" i="10"/>
  <c r="BX159" i="10"/>
  <c r="BY159" i="10"/>
  <c r="BZ159" i="10"/>
  <c r="CB159" i="10"/>
  <c r="CC159" i="10"/>
  <c r="CD159" i="10"/>
  <c r="CE159" i="10"/>
  <c r="CG159" i="10"/>
  <c r="CH159" i="10"/>
  <c r="CI159" i="10"/>
  <c r="CJ159" i="10"/>
  <c r="CL159" i="10"/>
  <c r="CM159" i="10"/>
  <c r="CN159" i="10"/>
  <c r="CO159" i="10"/>
  <c r="CQ159" i="10"/>
  <c r="CR159" i="10"/>
  <c r="CS159" i="10"/>
  <c r="CT159" i="10"/>
  <c r="DF159" i="10"/>
  <c r="DG159" i="10"/>
  <c r="DH159" i="10"/>
  <c r="DI159" i="10"/>
  <c r="DK159" i="10"/>
  <c r="DL159" i="10"/>
  <c r="DM159" i="10"/>
  <c r="DN159" i="10"/>
  <c r="BQ160" i="10"/>
  <c r="BV160" i="10" s="1"/>
  <c r="CA160" i="10" s="1"/>
  <c r="CF160" i="10" s="1"/>
  <c r="CK160" i="10" s="1"/>
  <c r="CP160" i="10" s="1"/>
  <c r="CU160" i="10" s="1"/>
  <c r="CZ160" i="10" s="1"/>
  <c r="BR160" i="10"/>
  <c r="BS160" i="10"/>
  <c r="BT160" i="10"/>
  <c r="BU160" i="10"/>
  <c r="BW160" i="10"/>
  <c r="BX160" i="10"/>
  <c r="BY160" i="10"/>
  <c r="BZ160" i="10"/>
  <c r="CB160" i="10"/>
  <c r="CC160" i="10"/>
  <c r="CD160" i="10"/>
  <c r="CE160" i="10"/>
  <c r="CG160" i="10"/>
  <c r="CH160" i="10"/>
  <c r="CI160" i="10"/>
  <c r="CJ160" i="10"/>
  <c r="CL160" i="10"/>
  <c r="CM160" i="10"/>
  <c r="CN160" i="10"/>
  <c r="CO160" i="10"/>
  <c r="CQ160" i="10"/>
  <c r="CR160" i="10"/>
  <c r="CS160" i="10"/>
  <c r="CT160" i="10"/>
  <c r="CV160" i="10"/>
  <c r="CW160" i="10"/>
  <c r="CX160" i="10"/>
  <c r="CY160" i="10"/>
  <c r="DK160" i="10"/>
  <c r="DL160" i="10"/>
  <c r="DM160" i="10"/>
  <c r="DN160" i="10"/>
  <c r="BQ161" i="10"/>
  <c r="BV161" i="10" s="1"/>
  <c r="CA161" i="10" s="1"/>
  <c r="CF161" i="10" s="1"/>
  <c r="CK161" i="10" s="1"/>
  <c r="CP161" i="10" s="1"/>
  <c r="CU161" i="10" s="1"/>
  <c r="CZ161" i="10" s="1"/>
  <c r="DE161" i="10" s="1"/>
  <c r="BR161" i="10"/>
  <c r="BS161" i="10"/>
  <c r="BT161" i="10"/>
  <c r="BU161" i="10"/>
  <c r="BW161" i="10"/>
  <c r="BX161" i="10"/>
  <c r="BY161" i="10"/>
  <c r="BZ161" i="10"/>
  <c r="CB161" i="10"/>
  <c r="CC161" i="10"/>
  <c r="CD161" i="10"/>
  <c r="CE161" i="10"/>
  <c r="CG161" i="10"/>
  <c r="CH161" i="10"/>
  <c r="CI161" i="10"/>
  <c r="CJ161" i="10"/>
  <c r="CL161" i="10"/>
  <c r="CM161" i="10"/>
  <c r="CN161" i="10"/>
  <c r="CO161" i="10"/>
  <c r="CQ161" i="10"/>
  <c r="CR161" i="10"/>
  <c r="CS161" i="10"/>
  <c r="CT161" i="10"/>
  <c r="CV161" i="10"/>
  <c r="CW161" i="10"/>
  <c r="CX161" i="10"/>
  <c r="CY161" i="10"/>
  <c r="DA161" i="10"/>
  <c r="DB161" i="10"/>
  <c r="DC161" i="10"/>
  <c r="DD161" i="10"/>
  <c r="BQ162" i="10"/>
  <c r="BV162" i="10" s="1"/>
  <c r="CA162" i="10" s="1"/>
  <c r="CF162" i="10" s="1"/>
  <c r="CK162" i="10" s="1"/>
  <c r="CP162" i="10" s="1"/>
  <c r="CU162" i="10" s="1"/>
  <c r="CZ162" i="10" s="1"/>
  <c r="DE162" i="10" s="1"/>
  <c r="DJ162" i="10" s="1"/>
  <c r="BR162" i="10"/>
  <c r="BS162" i="10"/>
  <c r="BT162" i="10"/>
  <c r="BU162" i="10"/>
  <c r="BW162" i="10"/>
  <c r="BX162" i="10"/>
  <c r="BY162" i="10"/>
  <c r="BZ162" i="10"/>
  <c r="CB162" i="10"/>
  <c r="CC162" i="10"/>
  <c r="CD162" i="10"/>
  <c r="CE162" i="10"/>
  <c r="CG162" i="10"/>
  <c r="CH162" i="10"/>
  <c r="CI162" i="10"/>
  <c r="CJ162" i="10"/>
  <c r="CL162" i="10"/>
  <c r="CM162" i="10"/>
  <c r="CN162" i="10"/>
  <c r="CO162" i="10"/>
  <c r="CQ162" i="10"/>
  <c r="CR162" i="10"/>
  <c r="CS162" i="10"/>
  <c r="CT162" i="10"/>
  <c r="CV162" i="10"/>
  <c r="CW162" i="10"/>
  <c r="CX162" i="10"/>
  <c r="CY162" i="10"/>
  <c r="DA162" i="10"/>
  <c r="DB162" i="10"/>
  <c r="DC162" i="10"/>
  <c r="DD162" i="10"/>
  <c r="DF162" i="10"/>
  <c r="DG162" i="10"/>
  <c r="DH162" i="10"/>
  <c r="DI162" i="10"/>
  <c r="E160" i="10"/>
  <c r="AZ160" i="10" s="1"/>
  <c r="E161" i="10"/>
  <c r="BE161" i="10" s="1"/>
  <c r="E162" i="10"/>
  <c r="BJ162" i="10" s="1"/>
  <c r="BI162" i="10" s="1"/>
  <c r="L173" i="10"/>
  <c r="Q173" i="10"/>
  <c r="M173" i="10" s="1"/>
  <c r="V173" i="10"/>
  <c r="U173" i="10" s="1"/>
  <c r="AA173" i="10"/>
  <c r="AF173" i="10"/>
  <c r="AC173" i="10" s="1"/>
  <c r="AK173" i="10"/>
  <c r="AP173" i="10"/>
  <c r="AO173" i="10" s="1"/>
  <c r="AU173" i="10"/>
  <c r="AQ173" i="10" s="1"/>
  <c r="AZ173" i="10"/>
  <c r="AW173" i="10" s="1"/>
  <c r="BE173" i="10"/>
  <c r="BA173" i="10" s="1"/>
  <c r="BJ173" i="10"/>
  <c r="BI173" i="10" s="1"/>
  <c r="L174" i="10"/>
  <c r="Q174" i="10"/>
  <c r="V174" i="10"/>
  <c r="R174" i="10" s="1"/>
  <c r="AA174" i="10"/>
  <c r="Z174" i="10" s="1"/>
  <c r="AF174" i="10"/>
  <c r="AK174" i="10"/>
  <c r="AH174" i="10" s="1"/>
  <c r="AP174" i="10"/>
  <c r="AL174" i="10" s="1"/>
  <c r="AU174" i="10"/>
  <c r="AT174" i="10" s="1"/>
  <c r="AZ174" i="10"/>
  <c r="AV174" i="10" s="1"/>
  <c r="BE174" i="10"/>
  <c r="BB174" i="10" s="1"/>
  <c r="BJ174" i="10"/>
  <c r="BF174" i="10" s="1"/>
  <c r="BQ173" i="10"/>
  <c r="BV173" i="10" s="1"/>
  <c r="CA173" i="10" s="1"/>
  <c r="BR173" i="10"/>
  <c r="BS173" i="10"/>
  <c r="BT173" i="10"/>
  <c r="BU173" i="10"/>
  <c r="BW173" i="10"/>
  <c r="BX173" i="10"/>
  <c r="BY173" i="10"/>
  <c r="BZ173" i="10"/>
  <c r="CB173" i="10"/>
  <c r="CC173" i="10"/>
  <c r="CD173" i="10"/>
  <c r="CE173" i="10"/>
  <c r="CG173" i="10"/>
  <c r="CH173" i="10"/>
  <c r="CI173" i="10"/>
  <c r="CJ173" i="10"/>
  <c r="CL173" i="10"/>
  <c r="CM173" i="10"/>
  <c r="CN173" i="10"/>
  <c r="CO173" i="10"/>
  <c r="CQ173" i="10"/>
  <c r="CR173" i="10"/>
  <c r="CS173" i="10"/>
  <c r="CT173" i="10"/>
  <c r="CV173" i="10"/>
  <c r="CW173" i="10"/>
  <c r="CX173" i="10"/>
  <c r="CY173" i="10"/>
  <c r="DA173" i="10"/>
  <c r="DB173" i="10"/>
  <c r="DC173" i="10"/>
  <c r="DD173" i="10"/>
  <c r="DF173" i="10"/>
  <c r="DG173" i="10"/>
  <c r="DH173" i="10"/>
  <c r="DI173" i="10"/>
  <c r="DK173" i="10"/>
  <c r="DL173" i="10"/>
  <c r="DM173" i="10"/>
  <c r="DN173" i="10"/>
  <c r="BQ174" i="10"/>
  <c r="BV174" i="10" s="1"/>
  <c r="CA174" i="10" s="1"/>
  <c r="CF174" i="10" s="1"/>
  <c r="CK174" i="10" s="1"/>
  <c r="CP174" i="10" s="1"/>
  <c r="CU174" i="10" s="1"/>
  <c r="CZ174" i="10" s="1"/>
  <c r="DE174" i="10" s="1"/>
  <c r="DJ174" i="10" s="1"/>
  <c r="DO174" i="10" s="1"/>
  <c r="BR174" i="10"/>
  <c r="BS174" i="10"/>
  <c r="BT174" i="10"/>
  <c r="BU174" i="10"/>
  <c r="BW174" i="10"/>
  <c r="BX174" i="10"/>
  <c r="BY174" i="10"/>
  <c r="BZ174" i="10"/>
  <c r="CB174" i="10"/>
  <c r="CC174" i="10"/>
  <c r="CD174" i="10"/>
  <c r="CE174" i="10"/>
  <c r="CG174" i="10"/>
  <c r="CH174" i="10"/>
  <c r="CI174" i="10"/>
  <c r="CJ174" i="10"/>
  <c r="CL174" i="10"/>
  <c r="CM174" i="10"/>
  <c r="CN174" i="10"/>
  <c r="CO174" i="10"/>
  <c r="CQ174" i="10"/>
  <c r="CR174" i="10"/>
  <c r="CS174" i="10"/>
  <c r="CT174" i="10"/>
  <c r="CV174" i="10"/>
  <c r="CW174" i="10"/>
  <c r="CX174" i="10"/>
  <c r="CY174" i="10"/>
  <c r="DA174" i="10"/>
  <c r="DB174" i="10"/>
  <c r="DC174" i="10"/>
  <c r="DD174" i="10"/>
  <c r="DF174" i="10"/>
  <c r="DG174" i="10"/>
  <c r="DH174" i="10"/>
  <c r="DI174" i="10"/>
  <c r="DK174" i="10"/>
  <c r="DL174" i="10"/>
  <c r="DM174" i="10"/>
  <c r="DN174" i="10"/>
  <c r="E173" i="10"/>
  <c r="E174" i="10"/>
  <c r="F175" i="10"/>
  <c r="L178" i="10"/>
  <c r="Q178" i="10"/>
  <c r="N178" i="10" s="1"/>
  <c r="V178" i="10"/>
  <c r="R178" i="10" s="1"/>
  <c r="AA178" i="10"/>
  <c r="AF178" i="10"/>
  <c r="AB178" i="10" s="1"/>
  <c r="AK178" i="10"/>
  <c r="AH178" i="10" s="1"/>
  <c r="AP178" i="10"/>
  <c r="AL178" i="10" s="1"/>
  <c r="AU178" i="10"/>
  <c r="AQ178" i="10" s="1"/>
  <c r="AZ178" i="10"/>
  <c r="BE178" i="10"/>
  <c r="BJ178" i="10"/>
  <c r="BF178" i="10" s="1"/>
  <c r="L179" i="10"/>
  <c r="Q179" i="10"/>
  <c r="M179" i="10" s="1"/>
  <c r="V179" i="10"/>
  <c r="S179" i="10" s="1"/>
  <c r="AA179" i="10"/>
  <c r="AF179" i="10"/>
  <c r="AB179" i="10" s="1"/>
  <c r="AK179" i="10"/>
  <c r="AP179" i="10"/>
  <c r="AM179" i="10" s="1"/>
  <c r="AU179" i="10"/>
  <c r="AQ179" i="10" s="1"/>
  <c r="AZ179" i="10"/>
  <c r="AW179" i="10" s="1"/>
  <c r="BE179" i="10"/>
  <c r="BD179" i="10" s="1"/>
  <c r="BJ179" i="10"/>
  <c r="BG179" i="10" s="1"/>
  <c r="BQ178" i="10"/>
  <c r="BV178" i="10" s="1"/>
  <c r="CA178" i="10" s="1"/>
  <c r="BR178" i="10"/>
  <c r="BS178" i="10"/>
  <c r="BT178" i="10"/>
  <c r="BU178" i="10"/>
  <c r="BW178" i="10"/>
  <c r="BX178" i="10"/>
  <c r="BY178" i="10"/>
  <c r="BZ178" i="10"/>
  <c r="CB178" i="10"/>
  <c r="CC178" i="10"/>
  <c r="CD178" i="10"/>
  <c r="CE178" i="10"/>
  <c r="CG178" i="10"/>
  <c r="CH178" i="10"/>
  <c r="CI178" i="10"/>
  <c r="CJ178" i="10"/>
  <c r="CL178" i="10"/>
  <c r="CM178" i="10"/>
  <c r="CN178" i="10"/>
  <c r="CO178" i="10"/>
  <c r="CQ178" i="10"/>
  <c r="CR178" i="10"/>
  <c r="CS178" i="10"/>
  <c r="CT178" i="10"/>
  <c r="CV178" i="10"/>
  <c r="CW178" i="10"/>
  <c r="CX178" i="10"/>
  <c r="CY178" i="10"/>
  <c r="DA178" i="10"/>
  <c r="DB178" i="10"/>
  <c r="DC178" i="10"/>
  <c r="DD178" i="10"/>
  <c r="DF178" i="10"/>
  <c r="DG178" i="10"/>
  <c r="DH178" i="10"/>
  <c r="DI178" i="10"/>
  <c r="DK178" i="10"/>
  <c r="DL178" i="10"/>
  <c r="DM178" i="10"/>
  <c r="DN178" i="10"/>
  <c r="BQ179" i="10"/>
  <c r="BV179" i="10" s="1"/>
  <c r="CA179" i="10" s="1"/>
  <c r="CF179" i="10" s="1"/>
  <c r="CK179" i="10" s="1"/>
  <c r="CP179" i="10" s="1"/>
  <c r="CU179" i="10" s="1"/>
  <c r="CZ179" i="10" s="1"/>
  <c r="DE179" i="10" s="1"/>
  <c r="DJ179" i="10" s="1"/>
  <c r="DO179" i="10" s="1"/>
  <c r="BR179" i="10"/>
  <c r="BS179" i="10"/>
  <c r="BT179" i="10"/>
  <c r="BU179" i="10"/>
  <c r="BW179" i="10"/>
  <c r="BX179" i="10"/>
  <c r="BY179" i="10"/>
  <c r="BZ179" i="10"/>
  <c r="CB179" i="10"/>
  <c r="CC179" i="10"/>
  <c r="CD179" i="10"/>
  <c r="CE179" i="10"/>
  <c r="CG179" i="10"/>
  <c r="CH179" i="10"/>
  <c r="CI179" i="10"/>
  <c r="CJ179" i="10"/>
  <c r="CL179" i="10"/>
  <c r="CM179" i="10"/>
  <c r="CN179" i="10"/>
  <c r="CO179" i="10"/>
  <c r="CQ179" i="10"/>
  <c r="CR179" i="10"/>
  <c r="CS179" i="10"/>
  <c r="CT179" i="10"/>
  <c r="CV179" i="10"/>
  <c r="CW179" i="10"/>
  <c r="CX179" i="10"/>
  <c r="CY179" i="10"/>
  <c r="DA179" i="10"/>
  <c r="DB179" i="10"/>
  <c r="DC179" i="10"/>
  <c r="DD179" i="10"/>
  <c r="DF179" i="10"/>
  <c r="DG179" i="10"/>
  <c r="DH179" i="10"/>
  <c r="DI179" i="10"/>
  <c r="DK179" i="10"/>
  <c r="DL179" i="10"/>
  <c r="DM179" i="10"/>
  <c r="DN179" i="10"/>
  <c r="E178" i="10"/>
  <c r="E179" i="10"/>
  <c r="F180" i="10"/>
  <c r="B2" i="9"/>
  <c r="BF9" i="9"/>
  <c r="BK9" i="9" s="1"/>
  <c r="BP9" i="9" s="1"/>
  <c r="E12" i="9"/>
  <c r="F12" i="9"/>
  <c r="G12" i="9"/>
  <c r="I12" i="9"/>
  <c r="J12" i="9"/>
  <c r="K12" i="9"/>
  <c r="L12" i="9"/>
  <c r="N12" i="9"/>
  <c r="O12" i="9"/>
  <c r="P12" i="9"/>
  <c r="Q12" i="9"/>
  <c r="S12" i="9"/>
  <c r="T12" i="9"/>
  <c r="U12" i="9"/>
  <c r="V12" i="9"/>
  <c r="X12" i="9"/>
  <c r="Y12" i="9"/>
  <c r="Z12" i="9"/>
  <c r="AA12" i="9"/>
  <c r="AC12" i="9"/>
  <c r="AD12" i="9"/>
  <c r="AE12" i="9"/>
  <c r="AF12" i="9"/>
  <c r="AH12" i="9"/>
  <c r="AI12" i="9"/>
  <c r="AJ12" i="9"/>
  <c r="AK12" i="9"/>
  <c r="AM12" i="9"/>
  <c r="AN12" i="9"/>
  <c r="AO12" i="9"/>
  <c r="AP12" i="9"/>
  <c r="AR12" i="9"/>
  <c r="BC12" i="9"/>
  <c r="BH12" i="9" s="1"/>
  <c r="BM12" i="9" s="1"/>
  <c r="BE12" i="9"/>
  <c r="BF12" i="9"/>
  <c r="BK12" i="9" s="1"/>
  <c r="BP12" i="9" s="1"/>
  <c r="E13" i="9"/>
  <c r="F13" i="9"/>
  <c r="G13" i="9"/>
  <c r="I13" i="9"/>
  <c r="J13" i="9"/>
  <c r="K13" i="9"/>
  <c r="L13" i="9"/>
  <c r="N13" i="9"/>
  <c r="O13" i="9"/>
  <c r="P13" i="9"/>
  <c r="Q13" i="9"/>
  <c r="S13" i="9"/>
  <c r="T13" i="9"/>
  <c r="U13" i="9"/>
  <c r="V13" i="9"/>
  <c r="X13" i="9"/>
  <c r="Y13" i="9"/>
  <c r="Z13" i="9"/>
  <c r="AA13" i="9"/>
  <c r="AC13" i="9"/>
  <c r="AD13" i="9"/>
  <c r="AE13" i="9"/>
  <c r="AF13" i="9"/>
  <c r="AH13" i="9"/>
  <c r="AI13" i="9"/>
  <c r="AJ13" i="9"/>
  <c r="AK13" i="9"/>
  <c r="AM13" i="9"/>
  <c r="AN13" i="9"/>
  <c r="AO13" i="9"/>
  <c r="AP13" i="9"/>
  <c r="AR13" i="9"/>
  <c r="AX13" i="9"/>
  <c r="AY13" i="9"/>
  <c r="BD13" i="9" s="1"/>
  <c r="BI13" i="9" s="1"/>
  <c r="BN13" i="9" s="1"/>
  <c r="BN55" i="9" s="1"/>
  <c r="AZ13" i="9"/>
  <c r="BE13" i="9" s="1"/>
  <c r="BJ13" i="9" s="1"/>
  <c r="BO13" i="9" s="1"/>
  <c r="BO55" i="9" s="1"/>
  <c r="E14" i="9"/>
  <c r="F14" i="9"/>
  <c r="G14" i="9"/>
  <c r="I14" i="9"/>
  <c r="J14" i="9"/>
  <c r="K14" i="9"/>
  <c r="L14" i="9"/>
  <c r="N14" i="9"/>
  <c r="O14" i="9"/>
  <c r="P14" i="9"/>
  <c r="Q14" i="9"/>
  <c r="S14" i="9"/>
  <c r="T14" i="9"/>
  <c r="U14" i="9"/>
  <c r="V14" i="9"/>
  <c r="X14" i="9"/>
  <c r="Y14" i="9"/>
  <c r="Z14" i="9"/>
  <c r="AA14" i="9"/>
  <c r="AC14" i="9"/>
  <c r="AD14" i="9"/>
  <c r="AE14" i="9"/>
  <c r="AF14" i="9"/>
  <c r="AH14" i="9"/>
  <c r="AI14" i="9"/>
  <c r="AJ14" i="9"/>
  <c r="AK14" i="9"/>
  <c r="AM14" i="9"/>
  <c r="AN14" i="9"/>
  <c r="AO14" i="9"/>
  <c r="AP14" i="9"/>
  <c r="AR14" i="9"/>
  <c r="AX14" i="9"/>
  <c r="AY14" i="9"/>
  <c r="BD14" i="9" s="1"/>
  <c r="BI14" i="9" s="1"/>
  <c r="BN14" i="9" s="1"/>
  <c r="E15" i="9"/>
  <c r="F15" i="9"/>
  <c r="G15" i="9"/>
  <c r="I15" i="9"/>
  <c r="J15" i="9"/>
  <c r="K15" i="9"/>
  <c r="L15" i="9"/>
  <c r="N15" i="9"/>
  <c r="O15" i="9"/>
  <c r="P15" i="9"/>
  <c r="Q15" i="9"/>
  <c r="S15" i="9"/>
  <c r="T15" i="9"/>
  <c r="U15" i="9"/>
  <c r="V15" i="9"/>
  <c r="X15" i="9"/>
  <c r="Y15" i="9"/>
  <c r="Z15" i="9"/>
  <c r="AA15" i="9"/>
  <c r="AC15" i="9"/>
  <c r="AD15" i="9"/>
  <c r="AE15" i="9"/>
  <c r="AF15" i="9"/>
  <c r="AH15" i="9"/>
  <c r="AJ15" i="9"/>
  <c r="AK15" i="9"/>
  <c r="AM15" i="9"/>
  <c r="AN15" i="9"/>
  <c r="AO15" i="9"/>
  <c r="AP15" i="9"/>
  <c r="AR15" i="9"/>
  <c r="BB15" i="9"/>
  <c r="BG15" i="9"/>
  <c r="BL15" i="9"/>
  <c r="BA20" i="9"/>
  <c r="BA35" i="4" s="1"/>
  <c r="E29" i="9"/>
  <c r="F29" i="9"/>
  <c r="G29" i="9"/>
  <c r="I29" i="9"/>
  <c r="J29" i="9"/>
  <c r="K29" i="9"/>
  <c r="L29" i="9"/>
  <c r="N29" i="9"/>
  <c r="O29" i="9"/>
  <c r="P29" i="9"/>
  <c r="Q29" i="9"/>
  <c r="S29" i="9"/>
  <c r="T29" i="9"/>
  <c r="U29" i="9"/>
  <c r="V29" i="9"/>
  <c r="X29" i="9"/>
  <c r="Y29" i="9"/>
  <c r="Z29" i="9"/>
  <c r="AA29" i="9"/>
  <c r="AC29" i="9"/>
  <c r="AD29" i="9"/>
  <c r="AE29" i="9"/>
  <c r="AF29" i="9"/>
  <c r="AH29" i="9"/>
  <c r="AI29" i="9"/>
  <c r="AJ29" i="9"/>
  <c r="AK29" i="9"/>
  <c r="AM29" i="9"/>
  <c r="AN29" i="9"/>
  <c r="AO29" i="9"/>
  <c r="AP29" i="9"/>
  <c r="AR29" i="9"/>
  <c r="E32" i="9"/>
  <c r="F32" i="9"/>
  <c r="G32" i="9"/>
  <c r="I32" i="9"/>
  <c r="J32" i="9"/>
  <c r="K32" i="9"/>
  <c r="L32" i="9"/>
  <c r="N32" i="9"/>
  <c r="O32" i="9"/>
  <c r="P32" i="9"/>
  <c r="S32" i="9"/>
  <c r="T32" i="9"/>
  <c r="U32" i="9"/>
  <c r="X32" i="9"/>
  <c r="Y32" i="9"/>
  <c r="Z32" i="9"/>
  <c r="AC32" i="9"/>
  <c r="AD32" i="9"/>
  <c r="AE32" i="9"/>
  <c r="AH32" i="9"/>
  <c r="AI32" i="9"/>
  <c r="AJ32" i="9"/>
  <c r="AM32" i="9"/>
  <c r="AN32" i="9"/>
  <c r="AO32" i="9"/>
  <c r="AR32" i="9"/>
  <c r="BB32" i="9"/>
  <c r="BG32" i="9"/>
  <c r="BL32" i="9"/>
  <c r="E33" i="9"/>
  <c r="F33" i="9"/>
  <c r="G33" i="9"/>
  <c r="I33" i="9"/>
  <c r="J33" i="9"/>
  <c r="K33" i="9"/>
  <c r="L33" i="9"/>
  <c r="N33" i="9"/>
  <c r="O33" i="9"/>
  <c r="P33" i="9"/>
  <c r="T33" i="9"/>
  <c r="U33" i="9"/>
  <c r="X33" i="9"/>
  <c r="Y33" i="9"/>
  <c r="Z33" i="9"/>
  <c r="AC33" i="9"/>
  <c r="AD33" i="9"/>
  <c r="AE33" i="9"/>
  <c r="AH33" i="9"/>
  <c r="AI33" i="9"/>
  <c r="AJ33" i="9"/>
  <c r="AM33" i="9"/>
  <c r="AN33" i="9"/>
  <c r="AO33" i="9"/>
  <c r="AR33" i="9"/>
  <c r="T36" i="9"/>
  <c r="AC36" i="9"/>
  <c r="AD36" i="9"/>
  <c r="AE36" i="9"/>
  <c r="AF36" i="9"/>
  <c r="AH36" i="9"/>
  <c r="AI36" i="9"/>
  <c r="AJ36" i="9"/>
  <c r="AK36" i="9"/>
  <c r="AM36" i="9"/>
  <c r="AN36" i="9"/>
  <c r="AO36" i="9"/>
  <c r="AP36" i="9"/>
  <c r="AR36" i="9"/>
  <c r="BB36" i="9"/>
  <c r="BG36" i="9"/>
  <c r="BL36" i="9"/>
  <c r="E39" i="9"/>
  <c r="F39" i="9"/>
  <c r="G39" i="9"/>
  <c r="H39" i="9"/>
  <c r="I39" i="9"/>
  <c r="J39" i="9"/>
  <c r="K39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AA39" i="9"/>
  <c r="AB39" i="9"/>
  <c r="AC39" i="9"/>
  <c r="AD39" i="9"/>
  <c r="AE39" i="9"/>
  <c r="AF39" i="9"/>
  <c r="AG39" i="9"/>
  <c r="AH39" i="9"/>
  <c r="AI39" i="9"/>
  <c r="AJ39" i="9"/>
  <c r="AK39" i="9"/>
  <c r="AL39" i="9"/>
  <c r="AM39" i="9"/>
  <c r="AN39" i="9"/>
  <c r="AO39" i="9"/>
  <c r="AP39" i="9"/>
  <c r="AQ39" i="9"/>
  <c r="AR39" i="9"/>
  <c r="E40" i="9"/>
  <c r="F40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AM40" i="9"/>
  <c r="AN40" i="9"/>
  <c r="AO40" i="9"/>
  <c r="AP40" i="9"/>
  <c r="AQ40" i="9"/>
  <c r="AR40" i="9"/>
  <c r="AX55" i="9"/>
  <c r="AY55" i="9"/>
  <c r="AZ55" i="9"/>
  <c r="BD55" i="9"/>
  <c r="BE55" i="9"/>
  <c r="BI55" i="9"/>
  <c r="BJ55" i="9"/>
  <c r="BB57" i="9"/>
  <c r="BG57" i="9"/>
  <c r="BL57" i="9"/>
  <c r="AX60" i="9"/>
  <c r="AX62" i="9" s="1"/>
  <c r="AY60" i="9"/>
  <c r="AY62" i="9" s="1"/>
  <c r="AZ60" i="9"/>
  <c r="AZ62" i="9" s="1"/>
  <c r="BA60" i="9"/>
  <c r="BA62" i="9" s="1"/>
  <c r="BC60" i="9"/>
  <c r="BC62" i="9" s="1"/>
  <c r="BD60" i="9"/>
  <c r="BD62" i="9" s="1"/>
  <c r="BE60" i="9"/>
  <c r="BE62" i="9" s="1"/>
  <c r="BF60" i="9"/>
  <c r="BF62" i="9" s="1"/>
  <c r="BH60" i="9"/>
  <c r="BH62" i="9" s="1"/>
  <c r="BI60" i="9"/>
  <c r="BI62" i="9" s="1"/>
  <c r="BJ60" i="9"/>
  <c r="BJ62" i="9" s="1"/>
  <c r="BK60" i="9"/>
  <c r="BK62" i="9" s="1"/>
  <c r="BB61" i="9"/>
  <c r="BB62" i="9" s="1"/>
  <c r="BG61" i="9"/>
  <c r="BG62" i="9" s="1"/>
  <c r="BL61" i="9"/>
  <c r="BL62" i="9" s="1"/>
  <c r="BB66" i="9"/>
  <c r="BG66" i="9"/>
  <c r="BL66" i="9"/>
  <c r="B2" i="6"/>
  <c r="AX10" i="6"/>
  <c r="AY10" i="6"/>
  <c r="AZ10" i="6"/>
  <c r="BE10" i="6" s="1"/>
  <c r="BJ10" i="6" s="1"/>
  <c r="BC10" i="6"/>
  <c r="BH10" i="6" s="1"/>
  <c r="BD10" i="6"/>
  <c r="BI10" i="6" s="1"/>
  <c r="H8" i="6"/>
  <c r="H9" i="6"/>
  <c r="H10" i="6"/>
  <c r="M8" i="6"/>
  <c r="M9" i="6"/>
  <c r="M10" i="6"/>
  <c r="R8" i="6"/>
  <c r="R9" i="6"/>
  <c r="R10" i="6"/>
  <c r="W8" i="6"/>
  <c r="W9" i="6"/>
  <c r="W10" i="6"/>
  <c r="AB8" i="6"/>
  <c r="AB9" i="6"/>
  <c r="AB10" i="6"/>
  <c r="AG8" i="6"/>
  <c r="AG9" i="6"/>
  <c r="AG10" i="6"/>
  <c r="AL8" i="6"/>
  <c r="AL9" i="6"/>
  <c r="AL10" i="6"/>
  <c r="AQ8" i="6"/>
  <c r="AQ9" i="6"/>
  <c r="AQ10" i="6"/>
  <c r="E11" i="6"/>
  <c r="F11" i="6"/>
  <c r="G11" i="6"/>
  <c r="I11" i="6"/>
  <c r="J11" i="6"/>
  <c r="K11" i="6"/>
  <c r="L11" i="6"/>
  <c r="N11" i="6"/>
  <c r="O11" i="6"/>
  <c r="P11" i="6"/>
  <c r="Q11" i="6"/>
  <c r="S11" i="6"/>
  <c r="T11" i="6"/>
  <c r="U11" i="6"/>
  <c r="V11" i="6"/>
  <c r="X11" i="6"/>
  <c r="Y11" i="6"/>
  <c r="Z11" i="6"/>
  <c r="Z17" i="6" s="1"/>
  <c r="AA11" i="6"/>
  <c r="AC11" i="6"/>
  <c r="AD11" i="6"/>
  <c r="AE11" i="6"/>
  <c r="AF11" i="6"/>
  <c r="AH11" i="6"/>
  <c r="AI11" i="6"/>
  <c r="AJ11" i="6"/>
  <c r="AK11" i="6"/>
  <c r="AM11" i="6"/>
  <c r="AN11" i="6"/>
  <c r="AO11" i="6"/>
  <c r="AP11" i="6"/>
  <c r="AR11" i="6"/>
  <c r="AS11" i="6"/>
  <c r="AT11" i="6"/>
  <c r="AU11" i="6"/>
  <c r="X13" i="6"/>
  <c r="W13" i="6" s="1"/>
  <c r="Y13" i="6"/>
  <c r="Y15" i="6" s="1"/>
  <c r="Y23" i="6" s="1"/>
  <c r="Y25" i="6" s="1"/>
  <c r="Y29" i="4" s="1"/>
  <c r="Y28" i="3" s="1"/>
  <c r="Z13" i="6"/>
  <c r="Z15" i="6" s="1"/>
  <c r="AA13" i="6"/>
  <c r="AC13" i="6"/>
  <c r="AC15" i="6" s="1"/>
  <c r="AD13" i="6"/>
  <c r="AD15" i="6" s="1"/>
  <c r="AD23" i="6" s="1"/>
  <c r="AD25" i="6" s="1"/>
  <c r="AD29" i="4" s="1"/>
  <c r="AE13" i="6"/>
  <c r="AE15" i="6" s="1"/>
  <c r="AF13" i="6"/>
  <c r="AH13" i="6"/>
  <c r="AI13" i="6"/>
  <c r="AJ13" i="6"/>
  <c r="AK13" i="6"/>
  <c r="AM13" i="6"/>
  <c r="AN13" i="6"/>
  <c r="AN15" i="6" s="1"/>
  <c r="AN23" i="6" s="1"/>
  <c r="AN25" i="6" s="1"/>
  <c r="AO13" i="6"/>
  <c r="AO15" i="6" s="1"/>
  <c r="AP13" i="6"/>
  <c r="AR13" i="6"/>
  <c r="AS13" i="6"/>
  <c r="AS15" i="6" s="1"/>
  <c r="AS17" i="6" s="1"/>
  <c r="AT13" i="6"/>
  <c r="AT15" i="6" s="1"/>
  <c r="AT17" i="6" s="1"/>
  <c r="AU13" i="6"/>
  <c r="H13" i="6"/>
  <c r="H14" i="6"/>
  <c r="M13" i="6"/>
  <c r="M14" i="6"/>
  <c r="R13" i="6"/>
  <c r="R14" i="6"/>
  <c r="W14" i="6"/>
  <c r="AB14" i="6"/>
  <c r="AG14" i="6"/>
  <c r="AL14" i="6"/>
  <c r="AQ14" i="6"/>
  <c r="E15" i="6"/>
  <c r="E23" i="6" s="1"/>
  <c r="E25" i="6" s="1"/>
  <c r="E29" i="4" s="1"/>
  <c r="F15" i="6"/>
  <c r="G15" i="6"/>
  <c r="G17" i="6" s="1"/>
  <c r="I15" i="6"/>
  <c r="I17" i="6" s="1"/>
  <c r="J15" i="6"/>
  <c r="J23" i="6" s="1"/>
  <c r="J25" i="6" s="1"/>
  <c r="J29" i="4" s="1"/>
  <c r="J28" i="3" s="1"/>
  <c r="K15" i="6"/>
  <c r="L15" i="6"/>
  <c r="N15" i="6"/>
  <c r="N17" i="6" s="1"/>
  <c r="O15" i="6"/>
  <c r="O23" i="6" s="1"/>
  <c r="O25" i="6" s="1"/>
  <c r="O29" i="4" s="1"/>
  <c r="P15" i="6"/>
  <c r="Q15" i="6"/>
  <c r="Q17" i="6" s="1"/>
  <c r="R15" i="6"/>
  <c r="S15" i="6"/>
  <c r="T15" i="6"/>
  <c r="U15" i="6"/>
  <c r="V15" i="6"/>
  <c r="V23" i="6" s="1"/>
  <c r="AA15" i="6"/>
  <c r="AF15" i="6"/>
  <c r="AI15" i="6"/>
  <c r="AI17" i="6" s="1"/>
  <c r="AJ15" i="6"/>
  <c r="AK15" i="6"/>
  <c r="AK23" i="6" s="1"/>
  <c r="AK25" i="6" s="1"/>
  <c r="AP15" i="6"/>
  <c r="AU15" i="6"/>
  <c r="AU23" i="6" s="1"/>
  <c r="AU25" i="6" s="1"/>
  <c r="AU29" i="4" s="1"/>
  <c r="K17" i="6"/>
  <c r="P17" i="6"/>
  <c r="S17" i="6"/>
  <c r="AD17" i="6"/>
  <c r="H19" i="6"/>
  <c r="H20" i="6"/>
  <c r="H21" i="6"/>
  <c r="H22" i="6"/>
  <c r="H146" i="6" s="1"/>
  <c r="M19" i="6"/>
  <c r="M20" i="6"/>
  <c r="M21" i="6"/>
  <c r="M22" i="6"/>
  <c r="M146" i="6" s="1"/>
  <c r="R19" i="6"/>
  <c r="R20" i="6"/>
  <c r="R21" i="6"/>
  <c r="R22" i="6"/>
  <c r="W19" i="6"/>
  <c r="W20" i="6"/>
  <c r="W21" i="6"/>
  <c r="W22" i="6"/>
  <c r="AB19" i="6"/>
  <c r="AB20" i="6"/>
  <c r="AB21" i="6"/>
  <c r="AB22" i="6"/>
  <c r="AB146" i="6" s="1"/>
  <c r="AG19" i="6"/>
  <c r="AG20" i="6"/>
  <c r="AG21" i="6"/>
  <c r="AG22" i="6"/>
  <c r="AG146" i="6" s="1"/>
  <c r="AI22" i="6"/>
  <c r="AL19" i="6"/>
  <c r="AL20" i="6"/>
  <c r="AL21" i="6"/>
  <c r="AL143" i="6" s="1"/>
  <c r="AL22" i="6"/>
  <c r="AQ19" i="6"/>
  <c r="AQ20" i="6"/>
  <c r="AQ21" i="6"/>
  <c r="AQ22" i="6"/>
  <c r="F23" i="6"/>
  <c r="F25" i="6" s="1"/>
  <c r="F29" i="4" s="1"/>
  <c r="K23" i="6"/>
  <c r="P23" i="6"/>
  <c r="P25" i="6" s="1"/>
  <c r="P29" i="4" s="1"/>
  <c r="S23" i="6"/>
  <c r="S25" i="6" s="1"/>
  <c r="T23" i="6"/>
  <c r="Z23" i="6"/>
  <c r="AE23" i="6"/>
  <c r="AE25" i="6" s="1"/>
  <c r="AF23" i="6"/>
  <c r="AT23" i="6"/>
  <c r="AT25" i="6" s="1"/>
  <c r="AT31" i="6" s="1"/>
  <c r="AT32" i="6" s="1"/>
  <c r="AL27" i="6"/>
  <c r="AX28" i="6"/>
  <c r="BC28" i="6" s="1"/>
  <c r="BH28" i="6" s="1"/>
  <c r="AY28" i="6"/>
  <c r="BD28" i="6" s="1"/>
  <c r="AZ28" i="6"/>
  <c r="BE28" i="6" s="1"/>
  <c r="BJ28" i="6" s="1"/>
  <c r="H27" i="6"/>
  <c r="H28" i="6"/>
  <c r="M27" i="6"/>
  <c r="M173" i="6" s="1"/>
  <c r="M174" i="6" s="1"/>
  <c r="M28" i="6"/>
  <c r="R27" i="6"/>
  <c r="R28" i="6"/>
  <c r="R29" i="6" s="1"/>
  <c r="W27" i="6"/>
  <c r="W29" i="6" s="1"/>
  <c r="W28" i="6"/>
  <c r="AB27" i="6"/>
  <c r="AB28" i="6"/>
  <c r="AG27" i="6"/>
  <c r="AG173" i="6" s="1"/>
  <c r="AG174" i="6" s="1"/>
  <c r="AG28" i="6"/>
  <c r="AI28" i="6"/>
  <c r="AM28" i="6"/>
  <c r="AQ27" i="6"/>
  <c r="AQ28" i="6"/>
  <c r="E29" i="6"/>
  <c r="F29" i="6"/>
  <c r="G29" i="6"/>
  <c r="I29" i="6"/>
  <c r="J29" i="6"/>
  <c r="K29" i="6"/>
  <c r="L29" i="6"/>
  <c r="N29" i="6"/>
  <c r="O29" i="6"/>
  <c r="P29" i="6"/>
  <c r="Q29" i="6"/>
  <c r="S29" i="6"/>
  <c r="T29" i="6"/>
  <c r="U29" i="6"/>
  <c r="V29" i="6"/>
  <c r="X29" i="6"/>
  <c r="Y29" i="6"/>
  <c r="Z29" i="6"/>
  <c r="AA29" i="6"/>
  <c r="AC29" i="6"/>
  <c r="AD29" i="6"/>
  <c r="AE29" i="6"/>
  <c r="AF29" i="6"/>
  <c r="AH29" i="6"/>
  <c r="AI29" i="6"/>
  <c r="AJ29" i="6"/>
  <c r="AK29" i="6"/>
  <c r="AM29" i="6"/>
  <c r="AN29" i="6"/>
  <c r="AO29" i="6"/>
  <c r="AP29" i="6"/>
  <c r="AR29" i="6"/>
  <c r="AS29" i="6"/>
  <c r="AT29" i="6"/>
  <c r="AU29" i="6"/>
  <c r="H34" i="6"/>
  <c r="H35" i="6"/>
  <c r="H36" i="6" s="1"/>
  <c r="M34" i="6"/>
  <c r="M35" i="6"/>
  <c r="R34" i="6"/>
  <c r="R35" i="6"/>
  <c r="R36" i="6" s="1"/>
  <c r="W34" i="6"/>
  <c r="W36" i="6" s="1"/>
  <c r="W35" i="6"/>
  <c r="AB34" i="6"/>
  <c r="AB35" i="6"/>
  <c r="AB36" i="6" s="1"/>
  <c r="AG34" i="6"/>
  <c r="AG35" i="6"/>
  <c r="AL34" i="6"/>
  <c r="AL35" i="6"/>
  <c r="AL36" i="6" s="1"/>
  <c r="AQ34" i="6"/>
  <c r="AQ35" i="6"/>
  <c r="E36" i="6"/>
  <c r="F36" i="6"/>
  <c r="G36" i="6"/>
  <c r="I36" i="6"/>
  <c r="J36" i="6"/>
  <c r="K36" i="6"/>
  <c r="L36" i="6"/>
  <c r="N36" i="6"/>
  <c r="O36" i="6"/>
  <c r="P36" i="6"/>
  <c r="Q36" i="6"/>
  <c r="S36" i="6"/>
  <c r="T36" i="6"/>
  <c r="U36" i="6"/>
  <c r="V36" i="6"/>
  <c r="X36" i="6"/>
  <c r="Y36" i="6"/>
  <c r="Z36" i="6"/>
  <c r="AA36" i="6"/>
  <c r="AC36" i="6"/>
  <c r="AD36" i="6"/>
  <c r="AE36" i="6"/>
  <c r="AF36" i="6"/>
  <c r="AH36" i="6"/>
  <c r="AI36" i="6"/>
  <c r="AJ36" i="6"/>
  <c r="AK36" i="6"/>
  <c r="AM36" i="6"/>
  <c r="AN36" i="6"/>
  <c r="AO36" i="6"/>
  <c r="AP36" i="6"/>
  <c r="AR36" i="6"/>
  <c r="AS36" i="6"/>
  <c r="AT36" i="6"/>
  <c r="AU36" i="6"/>
  <c r="H40" i="6"/>
  <c r="M40" i="6"/>
  <c r="R40" i="6"/>
  <c r="W40" i="6"/>
  <c r="AB40" i="6"/>
  <c r="AG40" i="6"/>
  <c r="AL40" i="6"/>
  <c r="AQ40" i="6"/>
  <c r="AX43" i="6"/>
  <c r="BC43" i="6" s="1"/>
  <c r="AY43" i="6"/>
  <c r="BD43" i="6" s="1"/>
  <c r="BI43" i="6" s="1"/>
  <c r="BN43" i="6" s="1"/>
  <c r="AZ43" i="6"/>
  <c r="BE43" i="6" s="1"/>
  <c r="BJ43" i="6" s="1"/>
  <c r="BO43" i="6" s="1"/>
  <c r="BB44" i="6"/>
  <c r="BG44" i="6" s="1"/>
  <c r="BL44" i="6" s="1"/>
  <c r="AX44" i="6"/>
  <c r="BC44" i="6" s="1"/>
  <c r="BH44" i="6" s="1"/>
  <c r="BM44" i="6" s="1"/>
  <c r="AY44" i="6"/>
  <c r="BD44" i="6" s="1"/>
  <c r="BI44" i="6" s="1"/>
  <c r="BN44" i="6" s="1"/>
  <c r="AZ44" i="6"/>
  <c r="BE44" i="6" s="1"/>
  <c r="BJ44" i="6" s="1"/>
  <c r="BO44" i="6" s="1"/>
  <c r="AP43" i="6"/>
  <c r="AP44" i="6"/>
  <c r="H43" i="6"/>
  <c r="H44" i="6"/>
  <c r="M43" i="6"/>
  <c r="M44" i="6"/>
  <c r="R43" i="6"/>
  <c r="R44" i="6"/>
  <c r="W43" i="6"/>
  <c r="W44" i="6"/>
  <c r="AB43" i="6"/>
  <c r="AB44" i="6"/>
  <c r="AG43" i="6"/>
  <c r="AG44" i="6"/>
  <c r="AL43" i="6"/>
  <c r="AL44" i="6"/>
  <c r="Q46" i="6"/>
  <c r="Q48" i="6" s="1"/>
  <c r="H47" i="6"/>
  <c r="M47" i="6"/>
  <c r="R47" i="6"/>
  <c r="W47" i="6"/>
  <c r="AB47" i="6"/>
  <c r="AG47" i="6"/>
  <c r="AL47" i="6"/>
  <c r="AQ47" i="6"/>
  <c r="BB47" i="6"/>
  <c r="BG47" i="6"/>
  <c r="BL47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X59" i="6"/>
  <c r="AY59" i="6"/>
  <c r="AX60" i="6"/>
  <c r="AY60" i="6"/>
  <c r="BF59" i="6"/>
  <c r="BE59" i="6" s="1"/>
  <c r="BD59" i="6" s="1"/>
  <c r="BC59" i="6" s="1"/>
  <c r="BF60" i="6"/>
  <c r="BE60" i="6" s="1"/>
  <c r="BD60" i="6" s="1"/>
  <c r="BC60" i="6" s="1"/>
  <c r="BK59" i="6"/>
  <c r="BJ59" i="6" s="1"/>
  <c r="BI59" i="6" s="1"/>
  <c r="BH59" i="6" s="1"/>
  <c r="BK60" i="6"/>
  <c r="BJ60" i="6" s="1"/>
  <c r="BI60" i="6" s="1"/>
  <c r="BH60" i="6" s="1"/>
  <c r="AY62" i="6"/>
  <c r="AY102" i="6" s="1"/>
  <c r="BC62" i="6"/>
  <c r="BD62" i="6"/>
  <c r="BE62" i="6"/>
  <c r="BF62" i="6"/>
  <c r="BC64" i="6"/>
  <c r="BD64" i="6"/>
  <c r="BE64" i="6"/>
  <c r="BE129" i="6" s="1"/>
  <c r="BF64" i="6"/>
  <c r="BH62" i="6"/>
  <c r="BH102" i="6" s="1"/>
  <c r="BI62" i="6"/>
  <c r="BI102" i="6" s="1"/>
  <c r="BJ62" i="6"/>
  <c r="BJ102" i="6" s="1"/>
  <c r="BK62" i="6"/>
  <c r="BK102" i="6" s="1"/>
  <c r="BH64" i="6"/>
  <c r="BI64" i="6"/>
  <c r="BJ64" i="6"/>
  <c r="BJ129" i="6" s="1"/>
  <c r="BK64" i="6"/>
  <c r="BA66" i="6"/>
  <c r="BA67" i="6"/>
  <c r="AZ67" i="6" s="1"/>
  <c r="BA68" i="6"/>
  <c r="AZ68" i="6" s="1"/>
  <c r="BF66" i="6"/>
  <c r="BE66" i="6" s="1"/>
  <c r="BF67" i="6"/>
  <c r="BE67" i="6" s="1"/>
  <c r="BF68" i="6"/>
  <c r="BE68" i="6" s="1"/>
  <c r="BD68" i="6" s="1"/>
  <c r="BC68" i="6" s="1"/>
  <c r="BK66" i="6"/>
  <c r="BK67" i="6"/>
  <c r="BJ67" i="6" s="1"/>
  <c r="BK68" i="6"/>
  <c r="BA70" i="6"/>
  <c r="AZ70" i="6" s="1"/>
  <c r="BF70" i="6"/>
  <c r="BE70" i="6" s="1"/>
  <c r="BK70" i="6"/>
  <c r="BJ70" i="6" s="1"/>
  <c r="J73" i="6"/>
  <c r="K73" i="6"/>
  <c r="L73" i="6"/>
  <c r="M73" i="6"/>
  <c r="O73" i="6"/>
  <c r="P73" i="6"/>
  <c r="Q73" i="6"/>
  <c r="R73" i="6"/>
  <c r="T73" i="6"/>
  <c r="U73" i="6"/>
  <c r="V73" i="6"/>
  <c r="W73" i="6"/>
  <c r="Y73" i="6"/>
  <c r="Z73" i="6"/>
  <c r="AA73" i="6"/>
  <c r="AB73" i="6"/>
  <c r="AD73" i="6"/>
  <c r="AE73" i="6"/>
  <c r="AF73" i="6"/>
  <c r="AG73" i="6"/>
  <c r="AI73" i="6"/>
  <c r="AJ73" i="6"/>
  <c r="AK73" i="6"/>
  <c r="AL73" i="6"/>
  <c r="I73" i="6"/>
  <c r="N73" i="6"/>
  <c r="S73" i="6"/>
  <c r="X73" i="6"/>
  <c r="AC73" i="6"/>
  <c r="AH73" i="6"/>
  <c r="AM73" i="6"/>
  <c r="AR73" i="6"/>
  <c r="H81" i="6"/>
  <c r="H82" i="6"/>
  <c r="H83" i="6"/>
  <c r="H84" i="6"/>
  <c r="M81" i="6"/>
  <c r="M82" i="6"/>
  <c r="M83" i="6"/>
  <c r="M84" i="6"/>
  <c r="R81" i="6"/>
  <c r="R82" i="6"/>
  <c r="R83" i="6"/>
  <c r="R84" i="6"/>
  <c r="W81" i="6"/>
  <c r="W82" i="6"/>
  <c r="W83" i="6"/>
  <c r="W84" i="6"/>
  <c r="AB81" i="6"/>
  <c r="AB82" i="6"/>
  <c r="AB83" i="6"/>
  <c r="AB84" i="6"/>
  <c r="AG81" i="6"/>
  <c r="AG82" i="6"/>
  <c r="AG83" i="6"/>
  <c r="AG84" i="6"/>
  <c r="AL81" i="6"/>
  <c r="AL82" i="6"/>
  <c r="AL83" i="6"/>
  <c r="AL84" i="6"/>
  <c r="AQ81" i="6"/>
  <c r="AQ82" i="6"/>
  <c r="AQ83" i="6"/>
  <c r="AQ84" i="6"/>
  <c r="AU81" i="6"/>
  <c r="AU82" i="6"/>
  <c r="AU83" i="6"/>
  <c r="AU84" i="6"/>
  <c r="E85" i="6"/>
  <c r="F85" i="6"/>
  <c r="G85" i="6"/>
  <c r="I85" i="6"/>
  <c r="I86" i="6" s="1"/>
  <c r="J85" i="6"/>
  <c r="J86" i="6" s="1"/>
  <c r="J87" i="6" s="1"/>
  <c r="K85" i="6"/>
  <c r="L85" i="6"/>
  <c r="L86" i="6" s="1"/>
  <c r="N85" i="6"/>
  <c r="O85" i="6"/>
  <c r="O86" i="6" s="1"/>
  <c r="P85" i="6"/>
  <c r="P86" i="6" s="1"/>
  <c r="P87" i="6" s="1"/>
  <c r="Q85" i="6"/>
  <c r="R85" i="6"/>
  <c r="S85" i="6"/>
  <c r="S86" i="6" s="1"/>
  <c r="T85" i="6"/>
  <c r="T86" i="6" s="1"/>
  <c r="T87" i="6" s="1"/>
  <c r="U85" i="6"/>
  <c r="U86" i="6" s="1"/>
  <c r="V85" i="6"/>
  <c r="X85" i="6"/>
  <c r="Y85" i="6"/>
  <c r="Z85" i="6"/>
  <c r="AA85" i="6"/>
  <c r="AA86" i="6" s="1"/>
  <c r="AA87" i="6" s="1"/>
  <c r="AC85" i="6"/>
  <c r="AD85" i="6"/>
  <c r="AD86" i="6" s="1"/>
  <c r="AE85" i="6"/>
  <c r="AF85" i="6"/>
  <c r="AF86" i="6" s="1"/>
  <c r="AF87" i="6" s="1"/>
  <c r="AH85" i="6"/>
  <c r="AI85" i="6"/>
  <c r="AJ85" i="6"/>
  <c r="AJ86" i="6" s="1"/>
  <c r="AJ87" i="6" s="1"/>
  <c r="AK85" i="6"/>
  <c r="AM85" i="6"/>
  <c r="AN85" i="6"/>
  <c r="AN86" i="6" s="1"/>
  <c r="AO85" i="6"/>
  <c r="AO86" i="6" s="1"/>
  <c r="AP85" i="6"/>
  <c r="AR85" i="6"/>
  <c r="AR86" i="6" s="1"/>
  <c r="AS85" i="6"/>
  <c r="AT85" i="6"/>
  <c r="AT86" i="6" s="1"/>
  <c r="AY86" i="6" s="1"/>
  <c r="F86" i="6"/>
  <c r="G86" i="6"/>
  <c r="G87" i="6" s="1"/>
  <c r="K86" i="6"/>
  <c r="Q86" i="6"/>
  <c r="Y86" i="6"/>
  <c r="AS86" i="6"/>
  <c r="AU90" i="6"/>
  <c r="AU91" i="6"/>
  <c r="AU92" i="6"/>
  <c r="E93" i="6"/>
  <c r="E94" i="6" s="1"/>
  <c r="F93" i="6"/>
  <c r="F94" i="6" s="1"/>
  <c r="G93" i="6"/>
  <c r="G94" i="6" s="1"/>
  <c r="I93" i="6"/>
  <c r="J93" i="6"/>
  <c r="K93" i="6"/>
  <c r="L93" i="6"/>
  <c r="I94" i="6"/>
  <c r="J94" i="6"/>
  <c r="K94" i="6"/>
  <c r="L94" i="6"/>
  <c r="N93" i="6"/>
  <c r="O93" i="6"/>
  <c r="P93" i="6"/>
  <c r="Q93" i="6"/>
  <c r="N94" i="6"/>
  <c r="N98" i="6" s="1"/>
  <c r="N59" i="6" s="1"/>
  <c r="O94" i="6"/>
  <c r="O98" i="6" s="1"/>
  <c r="O59" i="6" s="1"/>
  <c r="P94" i="6"/>
  <c r="Q94" i="6"/>
  <c r="U93" i="6"/>
  <c r="V93" i="6"/>
  <c r="Y93" i="6"/>
  <c r="Y94" i="6" s="1"/>
  <c r="Y96" i="6" s="1"/>
  <c r="Z93" i="6"/>
  <c r="Z94" i="6" s="1"/>
  <c r="Z96" i="6" s="1"/>
  <c r="AA93" i="6"/>
  <c r="AD93" i="6"/>
  <c r="AE93" i="6"/>
  <c r="AE94" i="6" s="1"/>
  <c r="AF93" i="6"/>
  <c r="AF94" i="6" s="1"/>
  <c r="AI93" i="6"/>
  <c r="AJ93" i="6"/>
  <c r="AJ94" i="6" s="1"/>
  <c r="AK93" i="6"/>
  <c r="AK94" i="6" s="1"/>
  <c r="AN93" i="6"/>
  <c r="AN94" i="6" s="1"/>
  <c r="AO93" i="6"/>
  <c r="AP93" i="6"/>
  <c r="AP94" i="6" s="1"/>
  <c r="AP96" i="6" s="1"/>
  <c r="AS93" i="6"/>
  <c r="AS94" i="6" s="1"/>
  <c r="AT93" i="6"/>
  <c r="S94" i="6"/>
  <c r="S98" i="6" s="1"/>
  <c r="S59" i="6" s="1"/>
  <c r="T94" i="6"/>
  <c r="T96" i="6" s="1"/>
  <c r="U94" i="6"/>
  <c r="X94" i="6"/>
  <c r="AA94" i="6"/>
  <c r="AA96" i="6" s="1"/>
  <c r="AC94" i="6"/>
  <c r="AC98" i="6" s="1"/>
  <c r="AC59" i="6" s="1"/>
  <c r="AH94" i="6"/>
  <c r="AH96" i="6" s="1"/>
  <c r="AM94" i="6"/>
  <c r="AO94" i="6"/>
  <c r="AR94" i="6"/>
  <c r="AX95" i="6"/>
  <c r="BC95" i="6" s="1"/>
  <c r="BH95" i="6" s="1"/>
  <c r="AY95" i="6"/>
  <c r="BD95" i="6" s="1"/>
  <c r="BI95" i="6" s="1"/>
  <c r="AZ95" i="6"/>
  <c r="BE95" i="6"/>
  <c r="BJ95" i="6"/>
  <c r="H90" i="6"/>
  <c r="H91" i="6"/>
  <c r="H92" i="6"/>
  <c r="H95" i="6"/>
  <c r="M90" i="6"/>
  <c r="M91" i="6"/>
  <c r="M92" i="6"/>
  <c r="M95" i="6"/>
  <c r="R90" i="6"/>
  <c r="R91" i="6"/>
  <c r="R92" i="6"/>
  <c r="R95" i="6"/>
  <c r="W90" i="6"/>
  <c r="W91" i="6"/>
  <c r="W92" i="6"/>
  <c r="W95" i="6"/>
  <c r="AB90" i="6"/>
  <c r="AB91" i="6"/>
  <c r="AB92" i="6"/>
  <c r="AB95" i="6"/>
  <c r="AG90" i="6"/>
  <c r="AG91" i="6"/>
  <c r="AG92" i="6"/>
  <c r="AG95" i="6"/>
  <c r="AL90" i="6"/>
  <c r="AL91" i="6"/>
  <c r="AL92" i="6"/>
  <c r="AL95" i="6"/>
  <c r="AQ90" i="6"/>
  <c r="AQ91" i="6"/>
  <c r="AQ92" i="6"/>
  <c r="AQ95" i="6"/>
  <c r="E96" i="6"/>
  <c r="I96" i="6"/>
  <c r="O96" i="6"/>
  <c r="AR100" i="6"/>
  <c r="E105" i="6"/>
  <c r="F105" i="6"/>
  <c r="G105" i="6"/>
  <c r="H105" i="6"/>
  <c r="I105" i="6"/>
  <c r="J105" i="6"/>
  <c r="J108" i="6" s="1"/>
  <c r="K105" i="6"/>
  <c r="L105" i="6"/>
  <c r="M105" i="6"/>
  <c r="N105" i="6"/>
  <c r="O105" i="6"/>
  <c r="P105" i="6"/>
  <c r="Q105" i="6"/>
  <c r="R105" i="6"/>
  <c r="S105" i="6"/>
  <c r="T105" i="6"/>
  <c r="U105" i="6"/>
  <c r="V105" i="6"/>
  <c r="X105" i="6"/>
  <c r="Y105" i="6"/>
  <c r="Z105" i="6"/>
  <c r="AA105" i="6"/>
  <c r="AC105" i="6"/>
  <c r="AD105" i="6"/>
  <c r="AE105" i="6"/>
  <c r="AF105" i="6"/>
  <c r="AH105" i="6"/>
  <c r="AI105" i="6"/>
  <c r="AJ105" i="6"/>
  <c r="AK105" i="6"/>
  <c r="AM105" i="6"/>
  <c r="AN105" i="6"/>
  <c r="AO105" i="6"/>
  <c r="AP105" i="6"/>
  <c r="AP106" i="6" s="1"/>
  <c r="AR105" i="6"/>
  <c r="AS105" i="6"/>
  <c r="AT105" i="6"/>
  <c r="AU105" i="6"/>
  <c r="E114" i="6"/>
  <c r="F114" i="6"/>
  <c r="G114" i="6"/>
  <c r="H114" i="6"/>
  <c r="I114" i="6"/>
  <c r="J114" i="6"/>
  <c r="K114" i="6"/>
  <c r="L114" i="6"/>
  <c r="M114" i="6"/>
  <c r="M135" i="6" s="1"/>
  <c r="N114" i="6"/>
  <c r="N135" i="6" s="1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F114" i="6"/>
  <c r="AG114" i="6"/>
  <c r="AI114" i="6"/>
  <c r="AJ114" i="6"/>
  <c r="AK114" i="6"/>
  <c r="AL114" i="6"/>
  <c r="AN114" i="6"/>
  <c r="AO114" i="6"/>
  <c r="AP114" i="6"/>
  <c r="AQ114" i="6"/>
  <c r="AS114" i="6"/>
  <c r="AT114" i="6"/>
  <c r="AU114" i="6"/>
  <c r="E115" i="6"/>
  <c r="E121" i="6" s="1"/>
  <c r="I120" i="6"/>
  <c r="N120" i="6"/>
  <c r="N123" i="6" s="1"/>
  <c r="S120" i="6"/>
  <c r="S123" i="6" s="1"/>
  <c r="X120" i="6"/>
  <c r="X123" i="6" s="1"/>
  <c r="AC120" i="6"/>
  <c r="AH120" i="6"/>
  <c r="AH123" i="6" s="1"/>
  <c r="AM120" i="6"/>
  <c r="AR120" i="6"/>
  <c r="BC129" i="6"/>
  <c r="BD129" i="6"/>
  <c r="BF129" i="6"/>
  <c r="BH129" i="6"/>
  <c r="BI129" i="6"/>
  <c r="BK129" i="6"/>
  <c r="E132" i="6"/>
  <c r="F132" i="6"/>
  <c r="G132" i="6"/>
  <c r="G135" i="6" s="1"/>
  <c r="H132" i="6"/>
  <c r="I132" i="6"/>
  <c r="J132" i="6"/>
  <c r="J135" i="6" s="1"/>
  <c r="K132" i="6"/>
  <c r="L132" i="6"/>
  <c r="M132" i="6"/>
  <c r="N132" i="6"/>
  <c r="N133" i="6" s="1"/>
  <c r="O132" i="6"/>
  <c r="P132" i="6"/>
  <c r="Q132" i="6"/>
  <c r="R132" i="6"/>
  <c r="S132" i="6"/>
  <c r="T132" i="6"/>
  <c r="U132" i="6"/>
  <c r="V132" i="6"/>
  <c r="W132" i="6"/>
  <c r="X132" i="6"/>
  <c r="X133" i="6" s="1"/>
  <c r="Y132" i="6"/>
  <c r="Z132" i="6"/>
  <c r="AA132" i="6"/>
  <c r="AB132" i="6"/>
  <c r="AC132" i="6"/>
  <c r="AD132" i="6"/>
  <c r="AE132" i="6"/>
  <c r="AF132" i="6"/>
  <c r="AG132" i="6"/>
  <c r="AG135" i="6" s="1"/>
  <c r="AH132" i="6"/>
  <c r="AH133" i="6" s="1"/>
  <c r="AI132" i="6"/>
  <c r="AJ132" i="6"/>
  <c r="AJ135" i="6" s="1"/>
  <c r="AK132" i="6"/>
  <c r="AL132" i="6"/>
  <c r="AM132" i="6"/>
  <c r="AN132" i="6"/>
  <c r="AN135" i="6" s="1"/>
  <c r="AS136" i="6" s="1"/>
  <c r="AO132" i="6"/>
  <c r="AO135" i="6" s="1"/>
  <c r="AT136" i="6" s="1"/>
  <c r="AP132" i="6"/>
  <c r="AP135" i="6" s="1"/>
  <c r="AU136" i="6" s="1"/>
  <c r="AQ132" i="6"/>
  <c r="AR132" i="6"/>
  <c r="E135" i="6"/>
  <c r="L135" i="6"/>
  <c r="U135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B140" i="6"/>
  <c r="AC140" i="6"/>
  <c r="AD140" i="6"/>
  <c r="AE140" i="6"/>
  <c r="AF140" i="6"/>
  <c r="AG140" i="6"/>
  <c r="AH140" i="6"/>
  <c r="AI140" i="6"/>
  <c r="AJ140" i="6"/>
  <c r="AK140" i="6"/>
  <c r="AL140" i="6"/>
  <c r="AM140" i="6"/>
  <c r="AN140" i="6"/>
  <c r="AO140" i="6"/>
  <c r="AT141" i="6" s="1"/>
  <c r="AT66" i="6" s="1"/>
  <c r="AP140" i="6"/>
  <c r="AU141" i="6" s="1"/>
  <c r="AU66" i="6" s="1"/>
  <c r="AQ140" i="6"/>
  <c r="AV141" i="6" s="1"/>
  <c r="AV66" i="6" s="1"/>
  <c r="AR140" i="6"/>
  <c r="AW141" i="6" s="1"/>
  <c r="AW66" i="6" s="1"/>
  <c r="E143" i="6"/>
  <c r="F143" i="6"/>
  <c r="G143" i="6"/>
  <c r="H143" i="6"/>
  <c r="I143" i="6"/>
  <c r="J143" i="6"/>
  <c r="K143" i="6"/>
  <c r="L143" i="6"/>
  <c r="M143" i="6"/>
  <c r="M144" i="6" s="1"/>
  <c r="M67" i="6" s="1"/>
  <c r="N143" i="6"/>
  <c r="O143" i="6"/>
  <c r="P143" i="6"/>
  <c r="Q143" i="6"/>
  <c r="Q144" i="6" s="1"/>
  <c r="Q67" i="6" s="1"/>
  <c r="R143" i="6"/>
  <c r="S143" i="6"/>
  <c r="X144" i="6" s="1"/>
  <c r="X67" i="6" s="1"/>
  <c r="T143" i="6"/>
  <c r="U143" i="6"/>
  <c r="U144" i="6" s="1"/>
  <c r="U67" i="6" s="1"/>
  <c r="V143" i="6"/>
  <c r="W143" i="6"/>
  <c r="AB144" i="6" s="1"/>
  <c r="AB67" i="6" s="1"/>
  <c r="X143" i="6"/>
  <c r="Y143" i="6"/>
  <c r="Y144" i="6" s="1"/>
  <c r="Y67" i="6" s="1"/>
  <c r="Z143" i="6"/>
  <c r="AA143" i="6"/>
  <c r="AF144" i="6" s="1"/>
  <c r="AF67" i="6" s="1"/>
  <c r="AB143" i="6"/>
  <c r="AC143" i="6"/>
  <c r="AC144" i="6" s="1"/>
  <c r="AC67" i="6" s="1"/>
  <c r="AD143" i="6"/>
  <c r="AE143" i="6"/>
  <c r="AJ144" i="6" s="1"/>
  <c r="AJ67" i="6" s="1"/>
  <c r="AF143" i="6"/>
  <c r="AG143" i="6"/>
  <c r="AG144" i="6" s="1"/>
  <c r="AG67" i="6" s="1"/>
  <c r="AH143" i="6"/>
  <c r="AI143" i="6"/>
  <c r="AJ143" i="6"/>
  <c r="AK143" i="6"/>
  <c r="AK144" i="6" s="1"/>
  <c r="AK67" i="6" s="1"/>
  <c r="AM143" i="6"/>
  <c r="AN143" i="6"/>
  <c r="AS144" i="6" s="1"/>
  <c r="AS67" i="6" s="1"/>
  <c r="AO143" i="6"/>
  <c r="AP143" i="6"/>
  <c r="AU144" i="6" s="1"/>
  <c r="AU67" i="6" s="1"/>
  <c r="AQ143" i="6"/>
  <c r="AV144" i="6" s="1"/>
  <c r="AV67" i="6" s="1"/>
  <c r="AR143" i="6"/>
  <c r="AW144" i="6" s="1"/>
  <c r="AW67" i="6" s="1"/>
  <c r="BA144" i="6"/>
  <c r="BK144" i="6"/>
  <c r="E146" i="6"/>
  <c r="F146" i="6"/>
  <c r="G146" i="6"/>
  <c r="I146" i="6"/>
  <c r="J146" i="6"/>
  <c r="K146" i="6"/>
  <c r="L146" i="6"/>
  <c r="N146" i="6"/>
  <c r="O146" i="6"/>
  <c r="P146" i="6"/>
  <c r="Q146" i="6"/>
  <c r="S146" i="6"/>
  <c r="T146" i="6"/>
  <c r="U146" i="6"/>
  <c r="V146" i="6"/>
  <c r="W146" i="6"/>
  <c r="X146" i="6"/>
  <c r="Y146" i="6"/>
  <c r="Z146" i="6"/>
  <c r="AA146" i="6"/>
  <c r="AA147" i="6" s="1"/>
  <c r="AA68" i="6" s="1"/>
  <c r="AC146" i="6"/>
  <c r="AD146" i="6"/>
  <c r="AE146" i="6"/>
  <c r="AE147" i="6" s="1"/>
  <c r="AE68" i="6" s="1"/>
  <c r="AF146" i="6"/>
  <c r="AH146" i="6"/>
  <c r="AI146" i="6"/>
  <c r="AI147" i="6" s="1"/>
  <c r="AI68" i="6" s="1"/>
  <c r="AJ146" i="6"/>
  <c r="AK146" i="6"/>
  <c r="AL146" i="6"/>
  <c r="AM146" i="6"/>
  <c r="AM147" i="6" s="1"/>
  <c r="AM68" i="6" s="1"/>
  <c r="AN146" i="6"/>
  <c r="AS147" i="6" s="1"/>
  <c r="AS68" i="6" s="1"/>
  <c r="AO146" i="6"/>
  <c r="AT147" i="6" s="1"/>
  <c r="AT68" i="6" s="1"/>
  <c r="AP146" i="6"/>
  <c r="AU147" i="6" s="1"/>
  <c r="AU68" i="6" s="1"/>
  <c r="AQ146" i="6"/>
  <c r="AV147" i="6" s="1"/>
  <c r="AV68" i="6" s="1"/>
  <c r="AR146" i="6"/>
  <c r="AW147" i="6" s="1"/>
  <c r="AW68" i="6" s="1"/>
  <c r="J147" i="6"/>
  <c r="J68" i="6" s="1"/>
  <c r="BC147" i="6"/>
  <c r="BD147" i="6"/>
  <c r="BE147" i="6"/>
  <c r="BF147" i="6"/>
  <c r="E152" i="6"/>
  <c r="E154" i="6" s="1"/>
  <c r="F152" i="6"/>
  <c r="F154" i="6" s="1"/>
  <c r="G152" i="6"/>
  <c r="G154" i="6" s="1"/>
  <c r="I152" i="6"/>
  <c r="J152" i="6"/>
  <c r="J154" i="6" s="1"/>
  <c r="K152" i="6"/>
  <c r="L152" i="6"/>
  <c r="L154" i="6" s="1"/>
  <c r="N152" i="6"/>
  <c r="O152" i="6"/>
  <c r="O154" i="6" s="1"/>
  <c r="P152" i="6"/>
  <c r="Q152" i="6"/>
  <c r="Q154" i="6" s="1"/>
  <c r="S152" i="6"/>
  <c r="R152" i="6" s="1"/>
  <c r="T152" i="6"/>
  <c r="T154" i="6" s="1"/>
  <c r="U152" i="6"/>
  <c r="V152" i="6"/>
  <c r="V154" i="6" s="1"/>
  <c r="X152" i="6"/>
  <c r="W152" i="6" s="1"/>
  <c r="Y152" i="6"/>
  <c r="Y154" i="6" s="1"/>
  <c r="Z152" i="6"/>
  <c r="Z154" i="6" s="1"/>
  <c r="AA152" i="6"/>
  <c r="AA154" i="6" s="1"/>
  <c r="AC152" i="6"/>
  <c r="AD152" i="6"/>
  <c r="AD154" i="6" s="1"/>
  <c r="AE152" i="6"/>
  <c r="AF152" i="6"/>
  <c r="AF154" i="6" s="1"/>
  <c r="AH152" i="6"/>
  <c r="AH154" i="6" s="1"/>
  <c r="AI152" i="6"/>
  <c r="AI154" i="6" s="1"/>
  <c r="AJ152" i="6"/>
  <c r="AK152" i="6"/>
  <c r="AK154" i="6" s="1"/>
  <c r="AM152" i="6"/>
  <c r="AL152" i="6" s="1"/>
  <c r="AN152" i="6"/>
  <c r="AN154" i="6" s="1"/>
  <c r="AO152" i="6"/>
  <c r="AP152" i="6"/>
  <c r="AP154" i="6" s="1"/>
  <c r="AR152" i="6"/>
  <c r="AQ152" i="6" s="1"/>
  <c r="AS152" i="6"/>
  <c r="AS154" i="6" s="1"/>
  <c r="AT152" i="6"/>
  <c r="AT154" i="6" s="1"/>
  <c r="AU152" i="6"/>
  <c r="AU154" i="6" s="1"/>
  <c r="AV160" i="6" s="1"/>
  <c r="H153" i="6"/>
  <c r="M153" i="6"/>
  <c r="R153" i="6"/>
  <c r="W153" i="6"/>
  <c r="AB153" i="6"/>
  <c r="AG153" i="6"/>
  <c r="AL153" i="6"/>
  <c r="AQ153" i="6"/>
  <c r="K154" i="6"/>
  <c r="P154" i="6"/>
  <c r="U154" i="6"/>
  <c r="AE154" i="6"/>
  <c r="AJ154" i="6"/>
  <c r="AO154" i="6"/>
  <c r="AR154" i="6"/>
  <c r="AW160" i="6" s="1"/>
  <c r="AX160" i="6" s="1"/>
  <c r="H156" i="6"/>
  <c r="M156" i="6"/>
  <c r="R156" i="6"/>
  <c r="W156" i="6"/>
  <c r="AB156" i="6"/>
  <c r="AG156" i="6"/>
  <c r="AL156" i="6"/>
  <c r="AQ156" i="6"/>
  <c r="AY160" i="6"/>
  <c r="AX163" i="6"/>
  <c r="AX164" i="6"/>
  <c r="AX165" i="6"/>
  <c r="AX166" i="6"/>
  <c r="AX167" i="6"/>
  <c r="BC163" i="6"/>
  <c r="BC164" i="6"/>
  <c r="BC165" i="6"/>
  <c r="BC166" i="6"/>
  <c r="BC167" i="6"/>
  <c r="BH163" i="6"/>
  <c r="BH164" i="6"/>
  <c r="BH165" i="6"/>
  <c r="BH166" i="6"/>
  <c r="BH167" i="6"/>
  <c r="AU161" i="6"/>
  <c r="BB169" i="6"/>
  <c r="BG169" i="6"/>
  <c r="BL169" i="6"/>
  <c r="BL259" i="6" s="1"/>
  <c r="E173" i="6"/>
  <c r="E174" i="6" s="1"/>
  <c r="F173" i="6"/>
  <c r="F174" i="6" s="1"/>
  <c r="G173" i="6"/>
  <c r="G174" i="6" s="1"/>
  <c r="H173" i="6"/>
  <c r="I173" i="6"/>
  <c r="I174" i="6" s="1"/>
  <c r="J173" i="6"/>
  <c r="J174" i="6" s="1"/>
  <c r="K173" i="6"/>
  <c r="K174" i="6" s="1"/>
  <c r="L173" i="6"/>
  <c r="N173" i="6"/>
  <c r="N174" i="6" s="1"/>
  <c r="O173" i="6"/>
  <c r="O174" i="6" s="1"/>
  <c r="P173" i="6"/>
  <c r="P174" i="6" s="1"/>
  <c r="Q173" i="6"/>
  <c r="Q174" i="6" s="1"/>
  <c r="R173" i="6"/>
  <c r="R174" i="6" s="1"/>
  <c r="S173" i="6"/>
  <c r="S174" i="6" s="1"/>
  <c r="T173" i="6"/>
  <c r="T174" i="6" s="1"/>
  <c r="U173" i="6"/>
  <c r="U174" i="6" s="1"/>
  <c r="V173" i="6"/>
  <c r="W173" i="6"/>
  <c r="W174" i="6" s="1"/>
  <c r="X173" i="6"/>
  <c r="X174" i="6" s="1"/>
  <c r="Y173" i="6"/>
  <c r="Y174" i="6" s="1"/>
  <c r="Z173" i="6"/>
  <c r="Z174" i="6" s="1"/>
  <c r="AA173" i="6"/>
  <c r="AA174" i="6" s="1"/>
  <c r="AB173" i="6"/>
  <c r="AB174" i="6" s="1"/>
  <c r="AC173" i="6"/>
  <c r="AC174" i="6" s="1"/>
  <c r="AD173" i="6"/>
  <c r="AD174" i="6" s="1"/>
  <c r="AE173" i="6"/>
  <c r="AE174" i="6" s="1"/>
  <c r="AF173" i="6"/>
  <c r="AF174" i="6" s="1"/>
  <c r="AH173" i="6"/>
  <c r="AH174" i="6" s="1"/>
  <c r="AI173" i="6"/>
  <c r="AI174" i="6" s="1"/>
  <c r="AJ173" i="6"/>
  <c r="AJ174" i="6" s="1"/>
  <c r="AK173" i="6"/>
  <c r="AK174" i="6" s="1"/>
  <c r="AL173" i="6"/>
  <c r="AM173" i="6"/>
  <c r="AM174" i="6" s="1"/>
  <c r="AN173" i="6"/>
  <c r="AN174" i="6" s="1"/>
  <c r="AO173" i="6"/>
  <c r="AO174" i="6" s="1"/>
  <c r="AP173" i="6"/>
  <c r="AR173" i="6"/>
  <c r="AR174" i="6" s="1"/>
  <c r="AS173" i="6"/>
  <c r="AS174" i="6" s="1"/>
  <c r="AT173" i="6"/>
  <c r="AT174" i="6" s="1"/>
  <c r="AU173" i="6"/>
  <c r="AY174" i="6"/>
  <c r="AZ174" i="6" s="1"/>
  <c r="BA174" i="6" s="1"/>
  <c r="BC174" i="6" s="1"/>
  <c r="BD174" i="6" s="1"/>
  <c r="BE174" i="6" s="1"/>
  <c r="BF174" i="6" s="1"/>
  <c r="BH174" i="6" s="1"/>
  <c r="BI174" i="6" s="1"/>
  <c r="BJ174" i="6" s="1"/>
  <c r="BK174" i="6" s="1"/>
  <c r="H174" i="6"/>
  <c r="L174" i="6"/>
  <c r="V174" i="6"/>
  <c r="AP174" i="6"/>
  <c r="E176" i="6"/>
  <c r="E177" i="6" s="1"/>
  <c r="F176" i="6"/>
  <c r="F177" i="6" s="1"/>
  <c r="G176" i="6"/>
  <c r="G177" i="6" s="1"/>
  <c r="H176" i="6"/>
  <c r="H177" i="6" s="1"/>
  <c r="I176" i="6"/>
  <c r="I177" i="6" s="1"/>
  <c r="J176" i="6"/>
  <c r="J177" i="6" s="1"/>
  <c r="K176" i="6"/>
  <c r="K177" i="6" s="1"/>
  <c r="L176" i="6"/>
  <c r="L177" i="6" s="1"/>
  <c r="M176" i="6"/>
  <c r="M177" i="6" s="1"/>
  <c r="N176" i="6"/>
  <c r="N177" i="6" s="1"/>
  <c r="O176" i="6"/>
  <c r="O177" i="6" s="1"/>
  <c r="P176" i="6"/>
  <c r="P177" i="6" s="1"/>
  <c r="Q176" i="6"/>
  <c r="Q177" i="6" s="1"/>
  <c r="R176" i="6"/>
  <c r="S176" i="6"/>
  <c r="S177" i="6" s="1"/>
  <c r="T176" i="6"/>
  <c r="T177" i="6" s="1"/>
  <c r="U176" i="6"/>
  <c r="U177" i="6" s="1"/>
  <c r="V176" i="6"/>
  <c r="V177" i="6" s="1"/>
  <c r="W176" i="6"/>
  <c r="W177" i="6" s="1"/>
  <c r="X176" i="6"/>
  <c r="X177" i="6" s="1"/>
  <c r="Y176" i="6"/>
  <c r="Y177" i="6" s="1"/>
  <c r="Z176" i="6"/>
  <c r="Z177" i="6" s="1"/>
  <c r="AA176" i="6"/>
  <c r="AA177" i="6" s="1"/>
  <c r="AB176" i="6"/>
  <c r="AB177" i="6" s="1"/>
  <c r="AC176" i="6"/>
  <c r="AC177" i="6" s="1"/>
  <c r="AD176" i="6"/>
  <c r="AD177" i="6" s="1"/>
  <c r="AE176" i="6"/>
  <c r="AE177" i="6" s="1"/>
  <c r="AF176" i="6"/>
  <c r="AF177" i="6" s="1"/>
  <c r="AG176" i="6"/>
  <c r="AG177" i="6" s="1"/>
  <c r="AH176" i="6"/>
  <c r="AH177" i="6" s="1"/>
  <c r="AI176" i="6"/>
  <c r="AI177" i="6" s="1"/>
  <c r="AJ176" i="6"/>
  <c r="AJ177" i="6" s="1"/>
  <c r="AK176" i="6"/>
  <c r="AK177" i="6" s="1"/>
  <c r="AL176" i="6"/>
  <c r="AM176" i="6"/>
  <c r="AM177" i="6" s="1"/>
  <c r="AN176" i="6"/>
  <c r="AN177" i="6" s="1"/>
  <c r="AO176" i="6"/>
  <c r="AO177" i="6" s="1"/>
  <c r="AP176" i="6"/>
  <c r="AP177" i="6" s="1"/>
  <c r="AQ176" i="6"/>
  <c r="AR176" i="6"/>
  <c r="AR177" i="6" s="1"/>
  <c r="AS176" i="6"/>
  <c r="AS177" i="6" s="1"/>
  <c r="AT176" i="6"/>
  <c r="AU176" i="6"/>
  <c r="AU177" i="6" s="1"/>
  <c r="AX177" i="6"/>
  <c r="AY177" i="6" s="1"/>
  <c r="AZ177" i="6" s="1"/>
  <c r="BA177" i="6" s="1"/>
  <c r="BC177" i="6" s="1"/>
  <c r="BD177" i="6" s="1"/>
  <c r="BE177" i="6" s="1"/>
  <c r="BF177" i="6" s="1"/>
  <c r="BH177" i="6" s="1"/>
  <c r="BI177" i="6" s="1"/>
  <c r="BJ177" i="6" s="1"/>
  <c r="BK177" i="6" s="1"/>
  <c r="AQ177" i="6"/>
  <c r="BB191" i="6"/>
  <c r="BG191" i="6"/>
  <c r="BL191" i="6"/>
  <c r="E195" i="6"/>
  <c r="F195" i="6"/>
  <c r="G195" i="6"/>
  <c r="H195" i="6"/>
  <c r="I195" i="6"/>
  <c r="J195" i="6"/>
  <c r="K195" i="6"/>
  <c r="L195" i="6"/>
  <c r="M195" i="6"/>
  <c r="N195" i="6"/>
  <c r="O195" i="6"/>
  <c r="P195" i="6"/>
  <c r="Q195" i="6"/>
  <c r="R195" i="6"/>
  <c r="S195" i="6"/>
  <c r="T195" i="6"/>
  <c r="U195" i="6"/>
  <c r="V195" i="6"/>
  <c r="W195" i="6"/>
  <c r="X195" i="6"/>
  <c r="Y195" i="6"/>
  <c r="Z195" i="6"/>
  <c r="AA195" i="6"/>
  <c r="AB195" i="6"/>
  <c r="AC195" i="6"/>
  <c r="AD195" i="6"/>
  <c r="AE195" i="6"/>
  <c r="AF195" i="6"/>
  <c r="AG195" i="6"/>
  <c r="AH195" i="6"/>
  <c r="AI195" i="6"/>
  <c r="AJ195" i="6"/>
  <c r="AK195" i="6"/>
  <c r="AL195" i="6"/>
  <c r="AM195" i="6"/>
  <c r="AN195" i="6"/>
  <c r="AO195" i="6"/>
  <c r="AP195" i="6"/>
  <c r="AQ195" i="6"/>
  <c r="AR195" i="6"/>
  <c r="E196" i="6"/>
  <c r="E158" i="6" s="1"/>
  <c r="E160" i="6" s="1"/>
  <c r="F196" i="6"/>
  <c r="F158" i="6" s="1"/>
  <c r="G196" i="6"/>
  <c r="G158" i="6" s="1"/>
  <c r="H196" i="6"/>
  <c r="H158" i="6" s="1"/>
  <c r="I196" i="6"/>
  <c r="I158" i="6" s="1"/>
  <c r="J196" i="6"/>
  <c r="J158" i="6" s="1"/>
  <c r="K196" i="6"/>
  <c r="K158" i="6" s="1"/>
  <c r="K160" i="6" s="1"/>
  <c r="L196" i="6"/>
  <c r="L158" i="6" s="1"/>
  <c r="M196" i="6"/>
  <c r="M158" i="6" s="1"/>
  <c r="N196" i="6"/>
  <c r="N158" i="6" s="1"/>
  <c r="O196" i="6"/>
  <c r="O158" i="6" s="1"/>
  <c r="P196" i="6"/>
  <c r="P158" i="6" s="1"/>
  <c r="Q196" i="6"/>
  <c r="Q158" i="6" s="1"/>
  <c r="R196" i="6"/>
  <c r="R158" i="6" s="1"/>
  <c r="S196" i="6"/>
  <c r="S158" i="6" s="1"/>
  <c r="T196" i="6"/>
  <c r="T158" i="6" s="1"/>
  <c r="U196" i="6"/>
  <c r="U158" i="6" s="1"/>
  <c r="V196" i="6"/>
  <c r="V158" i="6" s="1"/>
  <c r="W196" i="6"/>
  <c r="W158" i="6" s="1"/>
  <c r="X196" i="6"/>
  <c r="X158" i="6" s="1"/>
  <c r="Y196" i="6"/>
  <c r="Y158" i="6" s="1"/>
  <c r="Z196" i="6"/>
  <c r="Z158" i="6" s="1"/>
  <c r="AA196" i="6"/>
  <c r="AA158" i="6" s="1"/>
  <c r="AB196" i="6"/>
  <c r="AB158" i="6" s="1"/>
  <c r="AC196" i="6"/>
  <c r="AC158" i="6" s="1"/>
  <c r="AD196" i="6"/>
  <c r="AD158" i="6" s="1"/>
  <c r="AE196" i="6"/>
  <c r="AE158" i="6" s="1"/>
  <c r="AF196" i="6"/>
  <c r="AF158" i="6" s="1"/>
  <c r="AG196" i="6"/>
  <c r="AG158" i="6" s="1"/>
  <c r="AH196" i="6"/>
  <c r="AH158" i="6" s="1"/>
  <c r="AI196" i="6"/>
  <c r="AI158" i="6" s="1"/>
  <c r="AJ196" i="6"/>
  <c r="AJ158" i="6" s="1"/>
  <c r="AK196" i="6"/>
  <c r="AK158" i="6" s="1"/>
  <c r="AL196" i="6"/>
  <c r="AL158" i="6" s="1"/>
  <c r="AM196" i="6"/>
  <c r="AM158" i="6" s="1"/>
  <c r="AN196" i="6"/>
  <c r="AN158" i="6" s="1"/>
  <c r="AO196" i="6"/>
  <c r="AO158" i="6" s="1"/>
  <c r="AO160" i="6" s="1"/>
  <c r="AP196" i="6"/>
  <c r="AP158" i="6" s="1"/>
  <c r="AQ196" i="6"/>
  <c r="AQ158" i="6" s="1"/>
  <c r="AR196" i="6"/>
  <c r="AR158" i="6" s="1"/>
  <c r="AS158" i="6"/>
  <c r="AT158" i="6"/>
  <c r="AU158" i="6"/>
  <c r="E197" i="6"/>
  <c r="F197" i="6"/>
  <c r="G197" i="6"/>
  <c r="H197" i="6"/>
  <c r="I197" i="6"/>
  <c r="J197" i="6"/>
  <c r="K197" i="6"/>
  <c r="L197" i="6"/>
  <c r="M197" i="6"/>
  <c r="N197" i="6"/>
  <c r="O197" i="6"/>
  <c r="P197" i="6"/>
  <c r="Q197" i="6"/>
  <c r="R197" i="6"/>
  <c r="S197" i="6"/>
  <c r="T197" i="6"/>
  <c r="U197" i="6"/>
  <c r="V197" i="6"/>
  <c r="W197" i="6"/>
  <c r="X197" i="6"/>
  <c r="Y197" i="6"/>
  <c r="Z197" i="6"/>
  <c r="AA197" i="6"/>
  <c r="AB197" i="6"/>
  <c r="AC197" i="6"/>
  <c r="AD197" i="6"/>
  <c r="AE197" i="6"/>
  <c r="AF197" i="6"/>
  <c r="AG197" i="6"/>
  <c r="AH197" i="6"/>
  <c r="AI197" i="6"/>
  <c r="AJ197" i="6"/>
  <c r="AK197" i="6"/>
  <c r="AL197" i="6"/>
  <c r="AM197" i="6"/>
  <c r="AN197" i="6"/>
  <c r="AO197" i="6"/>
  <c r="AP197" i="6"/>
  <c r="AQ197" i="6"/>
  <c r="AR197" i="6"/>
  <c r="E198" i="6"/>
  <c r="F198" i="6"/>
  <c r="G198" i="6"/>
  <c r="H198" i="6"/>
  <c r="I198" i="6"/>
  <c r="J198" i="6"/>
  <c r="K198" i="6"/>
  <c r="L198" i="6"/>
  <c r="M198" i="6"/>
  <c r="N198" i="6"/>
  <c r="O198" i="6"/>
  <c r="P198" i="6"/>
  <c r="Q198" i="6"/>
  <c r="R198" i="6"/>
  <c r="S198" i="6"/>
  <c r="T198" i="6"/>
  <c r="U198" i="6"/>
  <c r="V198" i="6"/>
  <c r="W198" i="6"/>
  <c r="X198" i="6"/>
  <c r="Y198" i="6"/>
  <c r="Z198" i="6"/>
  <c r="AA198" i="6"/>
  <c r="AB198" i="6"/>
  <c r="AC198" i="6"/>
  <c r="AD198" i="6"/>
  <c r="AE198" i="6"/>
  <c r="AF198" i="6"/>
  <c r="AG198" i="6"/>
  <c r="AH198" i="6"/>
  <c r="AI198" i="6"/>
  <c r="AJ198" i="6"/>
  <c r="AK198" i="6"/>
  <c r="AL198" i="6"/>
  <c r="AM198" i="6"/>
  <c r="AN198" i="6"/>
  <c r="AO198" i="6"/>
  <c r="AP198" i="6"/>
  <c r="AQ198" i="6"/>
  <c r="AR198" i="6"/>
  <c r="CO195" i="6"/>
  <c r="CO196" i="6"/>
  <c r="CO197" i="6"/>
  <c r="CO198" i="6"/>
  <c r="CT195" i="6"/>
  <c r="CT196" i="6"/>
  <c r="CT197" i="6"/>
  <c r="CT198" i="6"/>
  <c r="CY195" i="6"/>
  <c r="CY196" i="6"/>
  <c r="CY197" i="6"/>
  <c r="CY198" i="6"/>
  <c r="DD195" i="6"/>
  <c r="DD196" i="6"/>
  <c r="DD197" i="6"/>
  <c r="DD198" i="6"/>
  <c r="DI195" i="6"/>
  <c r="DI196" i="6"/>
  <c r="DI197" i="6"/>
  <c r="DI198" i="6"/>
  <c r="DN195" i="6"/>
  <c r="DN196" i="6"/>
  <c r="DN197" i="6"/>
  <c r="DN198" i="6"/>
  <c r="DS195" i="6"/>
  <c r="DS196" i="6"/>
  <c r="DS197" i="6"/>
  <c r="DS198" i="6"/>
  <c r="DX195" i="6"/>
  <c r="DX196" i="6"/>
  <c r="DX197" i="6"/>
  <c r="DX198" i="6"/>
  <c r="AX199" i="6"/>
  <c r="AX200" i="6"/>
  <c r="BC199" i="6"/>
  <c r="BC200" i="6"/>
  <c r="BH199" i="6"/>
  <c r="BH200" i="6"/>
  <c r="CL199" i="6"/>
  <c r="CM199" i="6"/>
  <c r="CN199" i="6"/>
  <c r="CP199" i="6"/>
  <c r="CQ199" i="6"/>
  <c r="J199" i="6" s="1"/>
  <c r="CR199" i="6"/>
  <c r="CS199" i="6"/>
  <c r="CU199" i="6"/>
  <c r="N199" i="6" s="1"/>
  <c r="CV199" i="6"/>
  <c r="O199" i="6" s="1"/>
  <c r="CW199" i="6"/>
  <c r="CX199" i="6"/>
  <c r="CZ199" i="6"/>
  <c r="S199" i="6" s="1"/>
  <c r="DA199" i="6"/>
  <c r="T199" i="6" s="1"/>
  <c r="DB199" i="6"/>
  <c r="DC199" i="6"/>
  <c r="V199" i="6" s="1"/>
  <c r="DE199" i="6"/>
  <c r="X199" i="6" s="1"/>
  <c r="DF199" i="6"/>
  <c r="DG199" i="6"/>
  <c r="Z199" i="6" s="1"/>
  <c r="DH199" i="6"/>
  <c r="DJ199" i="6"/>
  <c r="DK199" i="6"/>
  <c r="AD199" i="6" s="1"/>
  <c r="DL199" i="6"/>
  <c r="AE199" i="6" s="1"/>
  <c r="DM199" i="6"/>
  <c r="DO199" i="6"/>
  <c r="AH199" i="6" s="1"/>
  <c r="DP199" i="6"/>
  <c r="AI199" i="6" s="1"/>
  <c r="DQ199" i="6"/>
  <c r="DR199" i="6"/>
  <c r="DT199" i="6"/>
  <c r="DU199" i="6"/>
  <c r="AN199" i="6" s="1"/>
  <c r="DV199" i="6"/>
  <c r="DW199" i="6"/>
  <c r="DY199" i="6"/>
  <c r="AR199" i="6" s="1"/>
  <c r="DZ199" i="6"/>
  <c r="EA199" i="6"/>
  <c r="EB199" i="6"/>
  <c r="CL200" i="6"/>
  <c r="E200" i="6" s="1"/>
  <c r="CM200" i="6"/>
  <c r="CN200" i="6"/>
  <c r="CN201" i="6" s="1"/>
  <c r="CP200" i="6"/>
  <c r="I200" i="6" s="1"/>
  <c r="CQ200" i="6"/>
  <c r="CR200" i="6"/>
  <c r="CS200" i="6"/>
  <c r="CU200" i="6"/>
  <c r="CV200" i="6"/>
  <c r="CW200" i="6"/>
  <c r="CX200" i="6"/>
  <c r="Q200" i="6" s="1"/>
  <c r="CZ200" i="6"/>
  <c r="DA200" i="6"/>
  <c r="T200" i="6" s="1"/>
  <c r="DB200" i="6"/>
  <c r="DC200" i="6"/>
  <c r="DE200" i="6"/>
  <c r="DF200" i="6"/>
  <c r="Y200" i="6" s="1"/>
  <c r="DG200" i="6"/>
  <c r="DH200" i="6"/>
  <c r="DJ200" i="6"/>
  <c r="DK200" i="6"/>
  <c r="DL200" i="6"/>
  <c r="DM200" i="6"/>
  <c r="DO200" i="6"/>
  <c r="DP200" i="6"/>
  <c r="DQ200" i="6"/>
  <c r="DR200" i="6"/>
  <c r="DT200" i="6"/>
  <c r="DU200" i="6"/>
  <c r="AN200" i="6" s="1"/>
  <c r="DV200" i="6"/>
  <c r="DW200" i="6"/>
  <c r="DW201" i="6" s="1"/>
  <c r="DY200" i="6"/>
  <c r="DZ200" i="6"/>
  <c r="EA200" i="6"/>
  <c r="EB200" i="6"/>
  <c r="EB201" i="6" s="1"/>
  <c r="CZ201" i="6"/>
  <c r="S201" i="6" s="1"/>
  <c r="E203" i="6"/>
  <c r="E169" i="6" s="1"/>
  <c r="F203" i="6"/>
  <c r="F169" i="6" s="1"/>
  <c r="F259" i="6" s="1"/>
  <c r="G203" i="6"/>
  <c r="G169" i="6" s="1"/>
  <c r="H203" i="6"/>
  <c r="H169" i="6" s="1"/>
  <c r="H259" i="6" s="1"/>
  <c r="E204" i="6"/>
  <c r="F204" i="6"/>
  <c r="G204" i="6"/>
  <c r="H204" i="6"/>
  <c r="E205" i="6"/>
  <c r="F205" i="6"/>
  <c r="G205" i="6"/>
  <c r="H205" i="6"/>
  <c r="E206" i="6"/>
  <c r="F206" i="6"/>
  <c r="G206" i="6"/>
  <c r="H206" i="6"/>
  <c r="J203" i="6"/>
  <c r="J169" i="6" s="1"/>
  <c r="J259" i="6" s="1"/>
  <c r="K203" i="6"/>
  <c r="K169" i="6" s="1"/>
  <c r="K259" i="6" s="1"/>
  <c r="L203" i="6"/>
  <c r="L169" i="6" s="1"/>
  <c r="L259" i="6" s="1"/>
  <c r="M203" i="6"/>
  <c r="M169" i="6" s="1"/>
  <c r="M259" i="6" s="1"/>
  <c r="J204" i="6"/>
  <c r="K204" i="6"/>
  <c r="L204" i="6"/>
  <c r="M204" i="6"/>
  <c r="J205" i="6"/>
  <c r="K205" i="6"/>
  <c r="L205" i="6"/>
  <c r="M205" i="6"/>
  <c r="J206" i="6"/>
  <c r="K206" i="6"/>
  <c r="L206" i="6"/>
  <c r="M206" i="6"/>
  <c r="O203" i="6"/>
  <c r="O169" i="6" s="1"/>
  <c r="O259" i="6" s="1"/>
  <c r="P203" i="6"/>
  <c r="P169" i="6" s="1"/>
  <c r="P259" i="6" s="1"/>
  <c r="Q203" i="6"/>
  <c r="Q169" i="6" s="1"/>
  <c r="Q259" i="6" s="1"/>
  <c r="R203" i="6"/>
  <c r="R169" i="6" s="1"/>
  <c r="O204" i="6"/>
  <c r="P204" i="6"/>
  <c r="Q204" i="6"/>
  <c r="R204" i="6"/>
  <c r="O205" i="6"/>
  <c r="P205" i="6"/>
  <c r="Q205" i="6"/>
  <c r="R205" i="6"/>
  <c r="O206" i="6"/>
  <c r="P206" i="6"/>
  <c r="Q206" i="6"/>
  <c r="R206" i="6"/>
  <c r="T203" i="6"/>
  <c r="T169" i="6" s="1"/>
  <c r="T259" i="6" s="1"/>
  <c r="U203" i="6"/>
  <c r="U169" i="6" s="1"/>
  <c r="U259" i="6" s="1"/>
  <c r="V203" i="6"/>
  <c r="V169" i="6" s="1"/>
  <c r="V259" i="6" s="1"/>
  <c r="W203" i="6"/>
  <c r="W169" i="6" s="1"/>
  <c r="W259" i="6" s="1"/>
  <c r="T204" i="6"/>
  <c r="U204" i="6"/>
  <c r="V204" i="6"/>
  <c r="W204" i="6"/>
  <c r="T205" i="6"/>
  <c r="U205" i="6"/>
  <c r="V205" i="6"/>
  <c r="W205" i="6"/>
  <c r="T206" i="6"/>
  <c r="U206" i="6"/>
  <c r="V206" i="6"/>
  <c r="W206" i="6"/>
  <c r="Y203" i="6"/>
  <c r="Y169" i="6" s="1"/>
  <c r="Y259" i="6" s="1"/>
  <c r="Z203" i="6"/>
  <c r="Z169" i="6" s="1"/>
  <c r="Z259" i="6" s="1"/>
  <c r="AA203" i="6"/>
  <c r="AA169" i="6" s="1"/>
  <c r="AA259" i="6" s="1"/>
  <c r="AB203" i="6"/>
  <c r="AB169" i="6" s="1"/>
  <c r="Y204" i="6"/>
  <c r="Z204" i="6"/>
  <c r="AA204" i="6"/>
  <c r="AB204" i="6"/>
  <c r="Y205" i="6"/>
  <c r="Z205" i="6"/>
  <c r="AA205" i="6"/>
  <c r="AB205" i="6"/>
  <c r="Y206" i="6"/>
  <c r="Z206" i="6"/>
  <c r="AA206" i="6"/>
  <c r="AB206" i="6"/>
  <c r="AD203" i="6"/>
  <c r="AD169" i="6" s="1"/>
  <c r="AD259" i="6" s="1"/>
  <c r="AE203" i="6"/>
  <c r="AE169" i="6" s="1"/>
  <c r="AE259" i="6" s="1"/>
  <c r="AF203" i="6"/>
  <c r="AF169" i="6" s="1"/>
  <c r="AF259" i="6" s="1"/>
  <c r="AG203" i="6"/>
  <c r="AG169" i="6" s="1"/>
  <c r="AG259" i="6" s="1"/>
  <c r="AD204" i="6"/>
  <c r="AE204" i="6"/>
  <c r="AF204" i="6"/>
  <c r="AG204" i="6"/>
  <c r="AD205" i="6"/>
  <c r="AE205" i="6"/>
  <c r="AF205" i="6"/>
  <c r="AG205" i="6"/>
  <c r="AD206" i="6"/>
  <c r="AE206" i="6"/>
  <c r="AF206" i="6"/>
  <c r="AG206" i="6"/>
  <c r="AI203" i="6"/>
  <c r="AI169" i="6" s="1"/>
  <c r="AI259" i="6" s="1"/>
  <c r="AJ203" i="6"/>
  <c r="AJ169" i="6" s="1"/>
  <c r="AJ259" i="6" s="1"/>
  <c r="AK203" i="6"/>
  <c r="AK169" i="6" s="1"/>
  <c r="AK259" i="6" s="1"/>
  <c r="AL203" i="6"/>
  <c r="AL169" i="6" s="1"/>
  <c r="AI204" i="6"/>
  <c r="AJ204" i="6"/>
  <c r="AK204" i="6"/>
  <c r="AL204" i="6"/>
  <c r="AI205" i="6"/>
  <c r="AJ205" i="6"/>
  <c r="AK205" i="6"/>
  <c r="AL205" i="6"/>
  <c r="AI206" i="6"/>
  <c r="AJ206" i="6"/>
  <c r="AK206" i="6"/>
  <c r="AL206" i="6"/>
  <c r="AN203" i="6"/>
  <c r="AN169" i="6" s="1"/>
  <c r="AN259" i="6" s="1"/>
  <c r="AO203" i="6"/>
  <c r="AO169" i="6" s="1"/>
  <c r="AO259" i="6" s="1"/>
  <c r="AP203" i="6"/>
  <c r="AP169" i="6" s="1"/>
  <c r="AP259" i="6" s="1"/>
  <c r="AQ203" i="6"/>
  <c r="AQ169" i="6" s="1"/>
  <c r="AN204" i="6"/>
  <c r="AO204" i="6"/>
  <c r="AP204" i="6"/>
  <c r="AQ204" i="6"/>
  <c r="AN205" i="6"/>
  <c r="AO205" i="6"/>
  <c r="AP205" i="6"/>
  <c r="AQ205" i="6"/>
  <c r="AN206" i="6"/>
  <c r="AO206" i="6"/>
  <c r="AP206" i="6"/>
  <c r="AQ206" i="6"/>
  <c r="AU96" i="4"/>
  <c r="AX205" i="6"/>
  <c r="AY205" i="6" s="1"/>
  <c r="AZ205" i="6" s="1"/>
  <c r="BA205" i="6" s="1"/>
  <c r="BC205" i="6"/>
  <c r="BD205" i="6" s="1"/>
  <c r="BE205" i="6" s="1"/>
  <c r="BF205" i="6" s="1"/>
  <c r="BH205" i="6"/>
  <c r="BI205" i="6" s="1"/>
  <c r="BJ205" i="6" s="1"/>
  <c r="BK205" i="6" s="1"/>
  <c r="CO203" i="6"/>
  <c r="CO204" i="6"/>
  <c r="CO206" i="6" s="1"/>
  <c r="CO205" i="6"/>
  <c r="CT203" i="6"/>
  <c r="CT204" i="6"/>
  <c r="CT205" i="6"/>
  <c r="CY203" i="6"/>
  <c r="CY204" i="6"/>
  <c r="CY205" i="6"/>
  <c r="DD203" i="6"/>
  <c r="DD204" i="6"/>
  <c r="DD205" i="6"/>
  <c r="DI203" i="6"/>
  <c r="DI204" i="6"/>
  <c r="DI206" i="6" s="1"/>
  <c r="DI205" i="6"/>
  <c r="DN203" i="6"/>
  <c r="DN204" i="6"/>
  <c r="DN205" i="6"/>
  <c r="DS203" i="6"/>
  <c r="DS204" i="6"/>
  <c r="DS205" i="6"/>
  <c r="DX203" i="6"/>
  <c r="DX204" i="6"/>
  <c r="DX205" i="6"/>
  <c r="CL206" i="6"/>
  <c r="CM206" i="6"/>
  <c r="CN206" i="6"/>
  <c r="CP206" i="6"/>
  <c r="CQ206" i="6"/>
  <c r="CR206" i="6"/>
  <c r="CS206" i="6"/>
  <c r="CU206" i="6"/>
  <c r="N206" i="6" s="1"/>
  <c r="CV206" i="6"/>
  <c r="CW206" i="6"/>
  <c r="CX206" i="6"/>
  <c r="CZ206" i="6"/>
  <c r="DA206" i="6"/>
  <c r="DB206" i="6"/>
  <c r="DC206" i="6"/>
  <c r="DE206" i="6"/>
  <c r="X206" i="6" s="1"/>
  <c r="DF206" i="6"/>
  <c r="DG206" i="6"/>
  <c r="DH206" i="6"/>
  <c r="DJ206" i="6"/>
  <c r="DK206" i="6"/>
  <c r="DL206" i="6"/>
  <c r="DM206" i="6"/>
  <c r="DO206" i="6"/>
  <c r="DP206" i="6"/>
  <c r="DQ206" i="6"/>
  <c r="DR206" i="6"/>
  <c r="DT206" i="6"/>
  <c r="AM206" i="6" s="1"/>
  <c r="DU206" i="6"/>
  <c r="DV206" i="6"/>
  <c r="DW206" i="6"/>
  <c r="DY206" i="6"/>
  <c r="DZ206" i="6"/>
  <c r="EA206" i="6"/>
  <c r="EB206" i="6"/>
  <c r="E208" i="6"/>
  <c r="E182" i="6" s="1"/>
  <c r="F208" i="6"/>
  <c r="F182" i="6" s="1"/>
  <c r="G208" i="6"/>
  <c r="G182" i="6" s="1"/>
  <c r="H208" i="6"/>
  <c r="H182" i="6" s="1"/>
  <c r="E209" i="6"/>
  <c r="E183" i="6" s="1"/>
  <c r="F209" i="6"/>
  <c r="F183" i="6" s="1"/>
  <c r="G209" i="6"/>
  <c r="G183" i="6" s="1"/>
  <c r="H209" i="6"/>
  <c r="H183" i="6" s="1"/>
  <c r="E210" i="6"/>
  <c r="F210" i="6"/>
  <c r="G210" i="6"/>
  <c r="H210" i="6"/>
  <c r="E211" i="6"/>
  <c r="E212" i="6"/>
  <c r="F212" i="6"/>
  <c r="G212" i="6"/>
  <c r="J208" i="6"/>
  <c r="J182" i="6" s="1"/>
  <c r="K208" i="6"/>
  <c r="K182" i="6" s="1"/>
  <c r="L208" i="6"/>
  <c r="L182" i="6" s="1"/>
  <c r="M208" i="6"/>
  <c r="M182" i="6" s="1"/>
  <c r="J209" i="6"/>
  <c r="J183" i="6" s="1"/>
  <c r="K209" i="6"/>
  <c r="K183" i="6" s="1"/>
  <c r="L209" i="6"/>
  <c r="L183" i="6" s="1"/>
  <c r="M209" i="6"/>
  <c r="M183" i="6" s="1"/>
  <c r="J210" i="6"/>
  <c r="K210" i="6"/>
  <c r="L210" i="6"/>
  <c r="M210" i="6"/>
  <c r="J211" i="6"/>
  <c r="O208" i="6"/>
  <c r="O182" i="6" s="1"/>
  <c r="P208" i="6"/>
  <c r="P182" i="6" s="1"/>
  <c r="Q208" i="6"/>
  <c r="Q182" i="6" s="1"/>
  <c r="R208" i="6"/>
  <c r="R182" i="6" s="1"/>
  <c r="O209" i="6"/>
  <c r="O183" i="6" s="1"/>
  <c r="P209" i="6"/>
  <c r="P183" i="6" s="1"/>
  <c r="Q209" i="6"/>
  <c r="Q183" i="6" s="1"/>
  <c r="R209" i="6"/>
  <c r="R183" i="6" s="1"/>
  <c r="O210" i="6"/>
  <c r="P210" i="6"/>
  <c r="O211" i="6"/>
  <c r="R211" i="6"/>
  <c r="T208" i="6"/>
  <c r="T182" i="6" s="1"/>
  <c r="U208" i="6"/>
  <c r="U182" i="6" s="1"/>
  <c r="V208" i="6"/>
  <c r="V182" i="6" s="1"/>
  <c r="W208" i="6"/>
  <c r="W182" i="6" s="1"/>
  <c r="T209" i="6"/>
  <c r="T183" i="6" s="1"/>
  <c r="U209" i="6"/>
  <c r="U183" i="6" s="1"/>
  <c r="V209" i="6"/>
  <c r="V183" i="6" s="1"/>
  <c r="W209" i="6"/>
  <c r="W183" i="6" s="1"/>
  <c r="V210" i="6"/>
  <c r="T211" i="6"/>
  <c r="T212" i="6"/>
  <c r="U212" i="6"/>
  <c r="V212" i="6"/>
  <c r="W212" i="6"/>
  <c r="Y208" i="6"/>
  <c r="Y182" i="6" s="1"/>
  <c r="Z208" i="6"/>
  <c r="Z182" i="6" s="1"/>
  <c r="AA208" i="6"/>
  <c r="AA182" i="6" s="1"/>
  <c r="AB208" i="6"/>
  <c r="AB182" i="6" s="1"/>
  <c r="Y209" i="6"/>
  <c r="Y183" i="6" s="1"/>
  <c r="Z209" i="6"/>
  <c r="Z183" i="6" s="1"/>
  <c r="AA209" i="6"/>
  <c r="AA183" i="6" s="1"/>
  <c r="AB209" i="6"/>
  <c r="AB183" i="6" s="1"/>
  <c r="Y210" i="6"/>
  <c r="Z210" i="6"/>
  <c r="AA210" i="6"/>
  <c r="Y212" i="6"/>
  <c r="Z212" i="6"/>
  <c r="AA212" i="6"/>
  <c r="AB212" i="6"/>
  <c r="AD208" i="6"/>
  <c r="AD182" i="6" s="1"/>
  <c r="AE208" i="6"/>
  <c r="AE182" i="6" s="1"/>
  <c r="AF208" i="6"/>
  <c r="AF182" i="6" s="1"/>
  <c r="AG208" i="6"/>
  <c r="AG182" i="6" s="1"/>
  <c r="AD209" i="6"/>
  <c r="AD183" i="6" s="1"/>
  <c r="AE209" i="6"/>
  <c r="AE183" i="6" s="1"/>
  <c r="AF209" i="6"/>
  <c r="AF183" i="6" s="1"/>
  <c r="AG209" i="6"/>
  <c r="AG183" i="6" s="1"/>
  <c r="AD210" i="6"/>
  <c r="AE210" i="6"/>
  <c r="AF210" i="6"/>
  <c r="AG210" i="6"/>
  <c r="AD211" i="6"/>
  <c r="AD212" i="6"/>
  <c r="AE212" i="6"/>
  <c r="AF212" i="6"/>
  <c r="AG212" i="6"/>
  <c r="AD213" i="6"/>
  <c r="AI208" i="6"/>
  <c r="AI182" i="6" s="1"/>
  <c r="AJ208" i="6"/>
  <c r="AJ182" i="6" s="1"/>
  <c r="AK208" i="6"/>
  <c r="AK182" i="6" s="1"/>
  <c r="AL208" i="6"/>
  <c r="AL182" i="6" s="1"/>
  <c r="AI209" i="6"/>
  <c r="AI183" i="6" s="1"/>
  <c r="AJ209" i="6"/>
  <c r="AJ183" i="6" s="1"/>
  <c r="AK209" i="6"/>
  <c r="AK183" i="6" s="1"/>
  <c r="AL209" i="6"/>
  <c r="AL183" i="6" s="1"/>
  <c r="AI210" i="6"/>
  <c r="AJ210" i="6"/>
  <c r="AK210" i="6"/>
  <c r="AL210" i="6"/>
  <c r="AI211" i="6"/>
  <c r="AI212" i="6"/>
  <c r="AJ212" i="6"/>
  <c r="AK212" i="6"/>
  <c r="AL212" i="6"/>
  <c r="AN208" i="6"/>
  <c r="AN182" i="6" s="1"/>
  <c r="AO208" i="6"/>
  <c r="AO182" i="6" s="1"/>
  <c r="AP208" i="6"/>
  <c r="AP182" i="6" s="1"/>
  <c r="AQ208" i="6"/>
  <c r="AQ182" i="6" s="1"/>
  <c r="AN209" i="6"/>
  <c r="AN183" i="6" s="1"/>
  <c r="AO209" i="6"/>
  <c r="AO183" i="6" s="1"/>
  <c r="AP209" i="6"/>
  <c r="AP183" i="6" s="1"/>
  <c r="AQ209" i="6"/>
  <c r="AQ183" i="6" s="1"/>
  <c r="AN210" i="6"/>
  <c r="AO210" i="6"/>
  <c r="AP210" i="6"/>
  <c r="AQ210" i="6"/>
  <c r="AN211" i="6"/>
  <c r="AN212" i="6"/>
  <c r="AO212" i="6"/>
  <c r="AP212" i="6"/>
  <c r="AQ212" i="6"/>
  <c r="BB210" i="6"/>
  <c r="BG210" i="6"/>
  <c r="BL210" i="6"/>
  <c r="CO208" i="6"/>
  <c r="CO209" i="6"/>
  <c r="CO210" i="6"/>
  <c r="CT208" i="6"/>
  <c r="CT209" i="6"/>
  <c r="CT210" i="6"/>
  <c r="CX210" i="6"/>
  <c r="Q210" i="6" s="1"/>
  <c r="CZ210" i="6"/>
  <c r="DA210" i="6"/>
  <c r="U210" i="6" s="1"/>
  <c r="DE210" i="6"/>
  <c r="X210" i="6" s="1"/>
  <c r="AX211" i="6"/>
  <c r="AY211" i="6" s="1"/>
  <c r="AZ211" i="6" s="1"/>
  <c r="AZ124" i="4" s="1"/>
  <c r="AX212" i="6"/>
  <c r="AY212" i="6" s="1"/>
  <c r="AZ212" i="6" s="1"/>
  <c r="BC211" i="6"/>
  <c r="BD211" i="6" s="1"/>
  <c r="BC212" i="6"/>
  <c r="BD212" i="6" s="1"/>
  <c r="BE212" i="6" s="1"/>
  <c r="BH211" i="6"/>
  <c r="BI211" i="6" s="1"/>
  <c r="BH212" i="6"/>
  <c r="BI212" i="6" s="1"/>
  <c r="BJ212" i="6" s="1"/>
  <c r="CM211" i="6"/>
  <c r="F211" i="6" s="1"/>
  <c r="CN211" i="6"/>
  <c r="CP211" i="6"/>
  <c r="CR211" i="6"/>
  <c r="K211" i="6" s="1"/>
  <c r="CS211" i="6"/>
  <c r="CU211" i="6"/>
  <c r="CW211" i="6"/>
  <c r="CY208" i="6"/>
  <c r="CY209" i="6"/>
  <c r="CY211" i="6"/>
  <c r="DB211" i="6"/>
  <c r="U211" i="6" s="1"/>
  <c r="DC211" i="6"/>
  <c r="DE211" i="6"/>
  <c r="DF211" i="6"/>
  <c r="Y211" i="6" s="1"/>
  <c r="Y213" i="6" s="1"/>
  <c r="DG211" i="6"/>
  <c r="Z211" i="6" s="1"/>
  <c r="Z213" i="6" s="1"/>
  <c r="DH211" i="6"/>
  <c r="DJ210" i="6"/>
  <c r="DI210" i="6" s="1"/>
  <c r="DJ211" i="6"/>
  <c r="DL211" i="6"/>
  <c r="AE211" i="6" s="1"/>
  <c r="AE213" i="6" s="1"/>
  <c r="DM211" i="6"/>
  <c r="DO211" i="6"/>
  <c r="DQ211" i="6"/>
  <c r="AJ211" i="6" s="1"/>
  <c r="DR211" i="6"/>
  <c r="AK211" i="6" s="1"/>
  <c r="AK213" i="6" s="1"/>
  <c r="DT211" i="6"/>
  <c r="DV211" i="6"/>
  <c r="DW211" i="6"/>
  <c r="DW213" i="6" s="1"/>
  <c r="DW215" i="6" s="1"/>
  <c r="DY211" i="6"/>
  <c r="AQ211" i="6" s="1"/>
  <c r="AQ213" i="6" s="1"/>
  <c r="DZ211" i="6"/>
  <c r="EA211" i="6"/>
  <c r="EB211" i="6"/>
  <c r="CP212" i="6"/>
  <c r="CO212" i="6" s="1"/>
  <c r="CQ212" i="6"/>
  <c r="CQ213" i="6" s="1"/>
  <c r="CR212" i="6"/>
  <c r="CS212" i="6"/>
  <c r="CU212" i="6"/>
  <c r="CV212" i="6"/>
  <c r="O212" i="6" s="1"/>
  <c r="CW212" i="6"/>
  <c r="CX212" i="6"/>
  <c r="CY212" i="6"/>
  <c r="DD208" i="6"/>
  <c r="DD209" i="6"/>
  <c r="DD212" i="6"/>
  <c r="DI208" i="6"/>
  <c r="DI209" i="6"/>
  <c r="DI212" i="6"/>
  <c r="DN208" i="6"/>
  <c r="DN209" i="6"/>
  <c r="DN210" i="6"/>
  <c r="DN212" i="6"/>
  <c r="DS208" i="6"/>
  <c r="DS209" i="6"/>
  <c r="DS210" i="6"/>
  <c r="DS212" i="6"/>
  <c r="DX208" i="6"/>
  <c r="DX209" i="6"/>
  <c r="DX210" i="6"/>
  <c r="DX212" i="6"/>
  <c r="CL213" i="6"/>
  <c r="CN213" i="6"/>
  <c r="CZ213" i="6"/>
  <c r="S213" i="6" s="1"/>
  <c r="DC213" i="6"/>
  <c r="DF213" i="6"/>
  <c r="DK213" i="6"/>
  <c r="DP213" i="6"/>
  <c r="DQ213" i="6"/>
  <c r="DU213" i="6"/>
  <c r="EB213" i="6"/>
  <c r="I203" i="6"/>
  <c r="I169" i="6" s="1"/>
  <c r="I259" i="6" s="1"/>
  <c r="I204" i="6"/>
  <c r="I205" i="6"/>
  <c r="I206" i="6"/>
  <c r="I207" i="6"/>
  <c r="I208" i="6"/>
  <c r="I182" i="6" s="1"/>
  <c r="I209" i="6"/>
  <c r="I183" i="6" s="1"/>
  <c r="I210" i="6"/>
  <c r="I214" i="6"/>
  <c r="N203" i="6"/>
  <c r="N169" i="6" s="1"/>
  <c r="N259" i="6" s="1"/>
  <c r="N204" i="6"/>
  <c r="N205" i="6"/>
  <c r="N207" i="6"/>
  <c r="N208" i="6"/>
  <c r="N182" i="6" s="1"/>
  <c r="N209" i="6"/>
  <c r="N183" i="6" s="1"/>
  <c r="N210" i="6"/>
  <c r="N214" i="6"/>
  <c r="S203" i="6"/>
  <c r="S169" i="6" s="1"/>
  <c r="S259" i="6" s="1"/>
  <c r="S204" i="6"/>
  <c r="S205" i="6"/>
  <c r="S206" i="6"/>
  <c r="S207" i="6"/>
  <c r="S208" i="6"/>
  <c r="S182" i="6" s="1"/>
  <c r="S209" i="6"/>
  <c r="S183" i="6" s="1"/>
  <c r="S210" i="6"/>
  <c r="S211" i="6"/>
  <c r="S212" i="6"/>
  <c r="S214" i="6"/>
  <c r="X203" i="6"/>
  <c r="X169" i="6" s="1"/>
  <c r="X259" i="6" s="1"/>
  <c r="X204" i="6"/>
  <c r="X205" i="6"/>
  <c r="X207" i="6"/>
  <c r="X208" i="6"/>
  <c r="X182" i="6" s="1"/>
  <c r="X209" i="6"/>
  <c r="X183" i="6" s="1"/>
  <c r="X212" i="6"/>
  <c r="X214" i="6"/>
  <c r="AC203" i="6"/>
  <c r="AC169" i="6" s="1"/>
  <c r="AC259" i="6" s="1"/>
  <c r="AC204" i="6"/>
  <c r="AC205" i="6"/>
  <c r="AC206" i="6"/>
  <c r="AC207" i="6"/>
  <c r="AC208" i="6"/>
  <c r="AC182" i="6" s="1"/>
  <c r="AC209" i="6"/>
  <c r="AC183" i="6" s="1"/>
  <c r="AC210" i="6"/>
  <c r="AC211" i="6"/>
  <c r="AC212" i="6"/>
  <c r="AC214" i="6"/>
  <c r="AH203" i="6"/>
  <c r="AH169" i="6" s="1"/>
  <c r="AH259" i="6" s="1"/>
  <c r="AH204" i="6"/>
  <c r="AH205" i="6"/>
  <c r="AH206" i="6"/>
  <c r="AH207" i="6"/>
  <c r="AH208" i="6"/>
  <c r="AH182" i="6" s="1"/>
  <c r="AH209" i="6"/>
  <c r="AH183" i="6" s="1"/>
  <c r="AH210" i="6"/>
  <c r="AH212" i="6"/>
  <c r="AH214" i="6"/>
  <c r="AM203" i="6"/>
  <c r="AM169" i="6" s="1"/>
  <c r="AM259" i="6" s="1"/>
  <c r="AM204" i="6"/>
  <c r="AM205" i="6"/>
  <c r="AM207" i="6"/>
  <c r="AM208" i="6"/>
  <c r="AM182" i="6" s="1"/>
  <c r="AM209" i="6"/>
  <c r="AM183" i="6" s="1"/>
  <c r="AM210" i="6"/>
  <c r="AM212" i="6"/>
  <c r="AM214" i="6"/>
  <c r="AR203" i="6"/>
  <c r="AR169" i="6" s="1"/>
  <c r="AR259" i="6" s="1"/>
  <c r="AR204" i="6"/>
  <c r="AR205" i="6"/>
  <c r="AR206" i="6"/>
  <c r="AR207" i="6"/>
  <c r="AR208" i="6"/>
  <c r="AR182" i="6" s="1"/>
  <c r="AR209" i="6"/>
  <c r="AR183" i="6" s="1"/>
  <c r="AR210" i="6"/>
  <c r="AR212" i="6"/>
  <c r="AR214" i="6"/>
  <c r="E216" i="6"/>
  <c r="I216" i="6" s="1"/>
  <c r="CM216" i="6"/>
  <c r="CN216" i="6" s="1"/>
  <c r="CP216" i="6"/>
  <c r="H222" i="6"/>
  <c r="M222" i="6"/>
  <c r="R222" i="6"/>
  <c r="W222" i="6"/>
  <c r="AB222" i="6"/>
  <c r="AG222" i="6"/>
  <c r="AL222" i="6"/>
  <c r="AQ222" i="6"/>
  <c r="H224" i="6"/>
  <c r="M224" i="6"/>
  <c r="S224" i="6"/>
  <c r="R224" i="6" s="1"/>
  <c r="T224" i="6"/>
  <c r="U224" i="6"/>
  <c r="V224" i="6"/>
  <c r="X224" i="6"/>
  <c r="W224" i="6" s="1"/>
  <c r="Y224" i="6"/>
  <c r="Z224" i="6"/>
  <c r="AA224" i="6"/>
  <c r="AC224" i="6"/>
  <c r="AB224" i="6" s="1"/>
  <c r="AD224" i="6"/>
  <c r="AF224" i="6"/>
  <c r="AH224" i="6"/>
  <c r="AI224" i="6"/>
  <c r="AM224" i="6"/>
  <c r="AL224" i="6" s="1"/>
  <c r="AN224" i="6"/>
  <c r="AO224" i="6"/>
  <c r="AO226" i="6" s="1"/>
  <c r="AO235" i="6" s="1"/>
  <c r="AP224" i="6"/>
  <c r="AR224" i="6"/>
  <c r="AQ224" i="6" s="1"/>
  <c r="AS224" i="6"/>
  <c r="AT224" i="6"/>
  <c r="AU224" i="6"/>
  <c r="E225" i="6"/>
  <c r="E226" i="6" s="1"/>
  <c r="E235" i="6" s="1"/>
  <c r="F225" i="6"/>
  <c r="F226" i="6" s="1"/>
  <c r="G225" i="6"/>
  <c r="G226" i="6" s="1"/>
  <c r="G235" i="6" s="1"/>
  <c r="I225" i="6"/>
  <c r="H225" i="6" s="1"/>
  <c r="J225" i="6"/>
  <c r="J226" i="6" s="1"/>
  <c r="J235" i="6" s="1"/>
  <c r="J230" i="6" s="1"/>
  <c r="K225" i="6"/>
  <c r="K226" i="6" s="1"/>
  <c r="K235" i="6" s="1"/>
  <c r="K227" i="6" s="1"/>
  <c r="L225" i="6"/>
  <c r="N225" i="6"/>
  <c r="M225" i="6" s="1"/>
  <c r="O225" i="6"/>
  <c r="O226" i="6" s="1"/>
  <c r="O235" i="6" s="1"/>
  <c r="O227" i="6" s="1"/>
  <c r="P225" i="6"/>
  <c r="Q225" i="6"/>
  <c r="Q226" i="6" s="1"/>
  <c r="Q235" i="6" s="1"/>
  <c r="S225" i="6"/>
  <c r="R225" i="6" s="1"/>
  <c r="T225" i="6"/>
  <c r="T226" i="6" s="1"/>
  <c r="U225" i="6"/>
  <c r="V225" i="6"/>
  <c r="X225" i="6"/>
  <c r="W225" i="6" s="1"/>
  <c r="Y225" i="6"/>
  <c r="Z225" i="6"/>
  <c r="AA225" i="6"/>
  <c r="AC225" i="6"/>
  <c r="AB225" i="6" s="1"/>
  <c r="AD225" i="6"/>
  <c r="AE225" i="6"/>
  <c r="AE226" i="6" s="1"/>
  <c r="AE235" i="6" s="1"/>
  <c r="AF225" i="6"/>
  <c r="AH225" i="6"/>
  <c r="AG225" i="6" s="1"/>
  <c r="AI225" i="6"/>
  <c r="AJ225" i="6"/>
  <c r="AJ226" i="6" s="1"/>
  <c r="AJ235" i="6" s="1"/>
  <c r="AK225" i="6"/>
  <c r="AK226" i="6" s="1"/>
  <c r="AK235" i="6" s="1"/>
  <c r="AM225" i="6"/>
  <c r="AL225" i="6" s="1"/>
  <c r="AN225" i="6"/>
  <c r="AO225" i="6"/>
  <c r="AP225" i="6"/>
  <c r="AP226" i="6" s="1"/>
  <c r="AR225" i="6"/>
  <c r="AQ225" i="6" s="1"/>
  <c r="AS225" i="6"/>
  <c r="AT225" i="6"/>
  <c r="AU225" i="6"/>
  <c r="P226" i="6"/>
  <c r="P235" i="6" s="1"/>
  <c r="AC226" i="6"/>
  <c r="AC235" i="6" s="1"/>
  <c r="AS226" i="6"/>
  <c r="AS235" i="6" s="1"/>
  <c r="H229" i="6"/>
  <c r="M229" i="6"/>
  <c r="R229" i="6"/>
  <c r="W229" i="6"/>
  <c r="AB229" i="6"/>
  <c r="AG229" i="6"/>
  <c r="AL229" i="6"/>
  <c r="AQ229" i="6"/>
  <c r="H232" i="6"/>
  <c r="M232" i="6"/>
  <c r="R232" i="6"/>
  <c r="W232" i="6"/>
  <c r="AB232" i="6"/>
  <c r="AG232" i="6"/>
  <c r="AL232" i="6"/>
  <c r="AQ232" i="6"/>
  <c r="F235" i="6"/>
  <c r="K236" i="6"/>
  <c r="AJ236" i="6"/>
  <c r="H243" i="6"/>
  <c r="I243" i="6"/>
  <c r="J243" i="6"/>
  <c r="K243" i="6"/>
  <c r="L243" i="6"/>
  <c r="M243" i="6"/>
  <c r="N243" i="6"/>
  <c r="O243" i="6"/>
  <c r="P243" i="6"/>
  <c r="Q243" i="6"/>
  <c r="R243" i="6"/>
  <c r="S243" i="6"/>
  <c r="T243" i="6"/>
  <c r="U243" i="6"/>
  <c r="V243" i="6"/>
  <c r="W243" i="6"/>
  <c r="X243" i="6"/>
  <c r="Y243" i="6"/>
  <c r="Z243" i="6"/>
  <c r="AA243" i="6"/>
  <c r="AB243" i="6"/>
  <c r="AC243" i="6"/>
  <c r="AD243" i="6"/>
  <c r="AE243" i="6"/>
  <c r="AF243" i="6"/>
  <c r="AG243" i="6"/>
  <c r="AH243" i="6"/>
  <c r="AI243" i="6"/>
  <c r="AJ243" i="6"/>
  <c r="AK243" i="6"/>
  <c r="AL243" i="6"/>
  <c r="AM243" i="6"/>
  <c r="AN243" i="6"/>
  <c r="AO243" i="6"/>
  <c r="AP243" i="6"/>
  <c r="AQ243" i="6"/>
  <c r="AR243" i="6"/>
  <c r="F248" i="6"/>
  <c r="K247" i="6"/>
  <c r="K248" i="6"/>
  <c r="O248" i="6"/>
  <c r="AJ248" i="6"/>
  <c r="J260" i="6"/>
  <c r="K260" i="6"/>
  <c r="L260" i="6"/>
  <c r="M260" i="6"/>
  <c r="J261" i="6"/>
  <c r="K261" i="6"/>
  <c r="L261" i="6"/>
  <c r="M261" i="6"/>
  <c r="R259" i="6"/>
  <c r="O260" i="6"/>
  <c r="P260" i="6"/>
  <c r="Q260" i="6"/>
  <c r="R260" i="6"/>
  <c r="O261" i="6"/>
  <c r="P261" i="6"/>
  <c r="Q261" i="6"/>
  <c r="R261" i="6"/>
  <c r="T260" i="6"/>
  <c r="U260" i="6"/>
  <c r="V260" i="6"/>
  <c r="W260" i="6"/>
  <c r="T261" i="6"/>
  <c r="U261" i="6"/>
  <c r="V261" i="6"/>
  <c r="W261" i="6"/>
  <c r="AB259" i="6"/>
  <c r="Y260" i="6"/>
  <c r="Z260" i="6"/>
  <c r="AA260" i="6"/>
  <c r="AB260" i="6"/>
  <c r="Y261" i="6"/>
  <c r="Z261" i="6"/>
  <c r="AA261" i="6"/>
  <c r="AB261" i="6"/>
  <c r="AL259" i="6"/>
  <c r="AQ259" i="6"/>
  <c r="BB259" i="6"/>
  <c r="BG259" i="6"/>
  <c r="AD260" i="6"/>
  <c r="AE260" i="6"/>
  <c r="AF260" i="6"/>
  <c r="AG260" i="6"/>
  <c r="AH260" i="6"/>
  <c r="AI260" i="6"/>
  <c r="AJ260" i="6"/>
  <c r="AK260" i="6"/>
  <c r="AL260" i="6"/>
  <c r="AM260" i="6"/>
  <c r="AN260" i="6"/>
  <c r="AO260" i="6"/>
  <c r="AP260" i="6"/>
  <c r="AQ260" i="6"/>
  <c r="AR260" i="6"/>
  <c r="AD261" i="6"/>
  <c r="AE261" i="6"/>
  <c r="AF261" i="6"/>
  <c r="AG261" i="6"/>
  <c r="AH261" i="6"/>
  <c r="AI261" i="6"/>
  <c r="AJ261" i="6"/>
  <c r="AK261" i="6"/>
  <c r="AL261" i="6"/>
  <c r="AM261" i="6"/>
  <c r="AN261" i="6"/>
  <c r="AO261" i="6"/>
  <c r="AP261" i="6"/>
  <c r="AQ261" i="6"/>
  <c r="AR261" i="6"/>
  <c r="E259" i="6"/>
  <c r="G259" i="6"/>
  <c r="E260" i="6"/>
  <c r="F260" i="6"/>
  <c r="G260" i="6"/>
  <c r="H260" i="6"/>
  <c r="E261" i="6"/>
  <c r="F261" i="6"/>
  <c r="G261" i="6"/>
  <c r="H261" i="6"/>
  <c r="I258" i="6"/>
  <c r="I260" i="6"/>
  <c r="I262" i="6"/>
  <c r="N260" i="6"/>
  <c r="N262" i="6"/>
  <c r="S260" i="6"/>
  <c r="S262" i="6"/>
  <c r="X260" i="6"/>
  <c r="AC260" i="6"/>
  <c r="AC261" i="6"/>
  <c r="AN262" i="6"/>
  <c r="AO262" i="6"/>
  <c r="AP262" i="6"/>
  <c r="AQ262" i="6"/>
  <c r="AX262" i="6"/>
  <c r="AY262" i="6"/>
  <c r="AZ262" i="6"/>
  <c r="BA262" i="6"/>
  <c r="BC262" i="6"/>
  <c r="BD262" i="6"/>
  <c r="BE262" i="6"/>
  <c r="BF262" i="6"/>
  <c r="BH262" i="6"/>
  <c r="BI262" i="6"/>
  <c r="BJ262" i="6"/>
  <c r="BK262" i="6"/>
  <c r="AN269" i="6"/>
  <c r="AO269" i="6"/>
  <c r="AP269" i="6"/>
  <c r="AQ269" i="6"/>
  <c r="AS269" i="6"/>
  <c r="AW269" i="6"/>
  <c r="AV269" i="6" s="1"/>
  <c r="AN273" i="6"/>
  <c r="AN73" i="6" s="1"/>
  <c r="AO273" i="6"/>
  <c r="AO73" i="6" s="1"/>
  <c r="AP273" i="6"/>
  <c r="AP73" i="6" s="1"/>
  <c r="AQ273" i="6"/>
  <c r="AQ73" i="6" s="1"/>
  <c r="AT273" i="6"/>
  <c r="AW273" i="6"/>
  <c r="X283" i="6"/>
  <c r="AC283" i="6"/>
  <c r="AD283" i="6"/>
  <c r="AE283" i="6"/>
  <c r="AF283" i="6"/>
  <c r="AG283" i="6"/>
  <c r="AH283" i="6"/>
  <c r="AI283" i="6"/>
  <c r="AJ283" i="6"/>
  <c r="AK283" i="6"/>
  <c r="AL283" i="6"/>
  <c r="AM283" i="6"/>
  <c r="AR283" i="6"/>
  <c r="B2" i="8"/>
  <c r="H8" i="8"/>
  <c r="H9" i="8"/>
  <c r="M8" i="8"/>
  <c r="M10" i="8" s="1"/>
  <c r="M9" i="8"/>
  <c r="M96" i="8" s="1"/>
  <c r="R8" i="8"/>
  <c r="R9" i="8"/>
  <c r="W8" i="8"/>
  <c r="W9" i="8"/>
  <c r="AB8" i="8"/>
  <c r="AB9" i="8"/>
  <c r="AG8" i="8"/>
  <c r="AG9" i="8"/>
  <c r="AL8" i="8"/>
  <c r="AL9" i="8"/>
  <c r="AQ8" i="8"/>
  <c r="AQ9" i="8"/>
  <c r="E10" i="8"/>
  <c r="F10" i="8"/>
  <c r="G10" i="8"/>
  <c r="I10" i="8"/>
  <c r="J10" i="8"/>
  <c r="K10" i="8"/>
  <c r="L10" i="8"/>
  <c r="N10" i="8"/>
  <c r="O10" i="8"/>
  <c r="P10" i="8"/>
  <c r="Q10" i="8"/>
  <c r="R10" i="8"/>
  <c r="S10" i="8"/>
  <c r="T10" i="8"/>
  <c r="U10" i="8"/>
  <c r="V10" i="8"/>
  <c r="X10" i="8"/>
  <c r="Y10" i="8"/>
  <c r="Z10" i="8"/>
  <c r="AA10" i="8"/>
  <c r="AC10" i="8"/>
  <c r="AD10" i="8"/>
  <c r="AE10" i="8"/>
  <c r="AF10" i="8"/>
  <c r="AH10" i="8"/>
  <c r="AI10" i="8"/>
  <c r="AJ10" i="8"/>
  <c r="AK10" i="8"/>
  <c r="AL10" i="8"/>
  <c r="AM10" i="8"/>
  <c r="AN10" i="8"/>
  <c r="AO10" i="8"/>
  <c r="AP10" i="8"/>
  <c r="AR10" i="8"/>
  <c r="AS10" i="8"/>
  <c r="AT10" i="8"/>
  <c r="AU10" i="8"/>
  <c r="H12" i="8"/>
  <c r="H104" i="8" s="1"/>
  <c r="H13" i="8"/>
  <c r="H14" i="8"/>
  <c r="H15" i="8"/>
  <c r="M12" i="8"/>
  <c r="M104" i="8" s="1"/>
  <c r="M13" i="8"/>
  <c r="M14" i="8"/>
  <c r="M15" i="8"/>
  <c r="R12" i="8"/>
  <c r="R13" i="8"/>
  <c r="R14" i="8"/>
  <c r="R15" i="8"/>
  <c r="W12" i="8"/>
  <c r="W104" i="8" s="1"/>
  <c r="W13" i="8"/>
  <c r="W14" i="8"/>
  <c r="W15" i="8"/>
  <c r="AB12" i="8"/>
  <c r="AB104" i="8" s="1"/>
  <c r="AB13" i="8"/>
  <c r="AB14" i="8"/>
  <c r="AB15" i="8"/>
  <c r="AG12" i="8"/>
  <c r="AG104" i="8" s="1"/>
  <c r="AG105" i="8" s="1"/>
  <c r="AG58" i="8" s="1"/>
  <c r="AG13" i="8"/>
  <c r="AG14" i="8"/>
  <c r="AG15" i="8"/>
  <c r="AL12" i="8"/>
  <c r="AL13" i="8"/>
  <c r="AL14" i="8"/>
  <c r="AL15" i="8"/>
  <c r="AQ12" i="8"/>
  <c r="AQ104" i="8" s="1"/>
  <c r="AV105" i="8" s="1"/>
  <c r="AV58" i="8" s="1"/>
  <c r="AQ13" i="8"/>
  <c r="AQ14" i="8"/>
  <c r="AQ15" i="8"/>
  <c r="E16" i="8"/>
  <c r="E18" i="8" s="1"/>
  <c r="F16" i="8"/>
  <c r="G16" i="8"/>
  <c r="G18" i="8" s="1"/>
  <c r="I16" i="8"/>
  <c r="J16" i="8"/>
  <c r="J18" i="8" s="1"/>
  <c r="K16" i="8"/>
  <c r="K18" i="8" s="1"/>
  <c r="L16" i="8"/>
  <c r="L18" i="8" s="1"/>
  <c r="N16" i="8"/>
  <c r="O16" i="8"/>
  <c r="O18" i="8" s="1"/>
  <c r="P16" i="8"/>
  <c r="Q16" i="8"/>
  <c r="Q18" i="8" s="1"/>
  <c r="S16" i="8"/>
  <c r="S18" i="8" s="1"/>
  <c r="T16" i="8"/>
  <c r="T18" i="8" s="1"/>
  <c r="U16" i="8"/>
  <c r="V16" i="8"/>
  <c r="V18" i="8" s="1"/>
  <c r="X16" i="8"/>
  <c r="Y16" i="8"/>
  <c r="Y18" i="8" s="1"/>
  <c r="Z16" i="8"/>
  <c r="AA16" i="8"/>
  <c r="AA18" i="8" s="1"/>
  <c r="AC16" i="8"/>
  <c r="AD16" i="8"/>
  <c r="AD18" i="8" s="1"/>
  <c r="AD28" i="4" s="1"/>
  <c r="AE16" i="8"/>
  <c r="AE18" i="8" s="1"/>
  <c r="AF16" i="8"/>
  <c r="AF18" i="8" s="1"/>
  <c r="AH16" i="8"/>
  <c r="AI16" i="8"/>
  <c r="AI18" i="8" s="1"/>
  <c r="AJ16" i="8"/>
  <c r="AK16" i="8"/>
  <c r="AK18" i="8" s="1"/>
  <c r="AM16" i="8"/>
  <c r="AM18" i="8" s="1"/>
  <c r="AN16" i="8"/>
  <c r="AN18" i="8" s="1"/>
  <c r="AO16" i="8"/>
  <c r="AP16" i="8"/>
  <c r="AP18" i="8" s="1"/>
  <c r="AR16" i="8"/>
  <c r="AS16" i="8"/>
  <c r="AS18" i="8" s="1"/>
  <c r="AS24" i="8" s="1"/>
  <c r="AT16" i="8"/>
  <c r="AU16" i="8"/>
  <c r="AU18" i="8" s="1"/>
  <c r="AU24" i="8" s="1"/>
  <c r="F18" i="8"/>
  <c r="I18" i="8"/>
  <c r="N18" i="8"/>
  <c r="P18" i="8"/>
  <c r="U18" i="8"/>
  <c r="X18" i="8"/>
  <c r="Z18" i="8"/>
  <c r="AC18" i="8"/>
  <c r="AH18" i="8"/>
  <c r="AJ18" i="8"/>
  <c r="AO18" i="8"/>
  <c r="AR18" i="8"/>
  <c r="AT18" i="8"/>
  <c r="AX21" i="8"/>
  <c r="BC21" i="8" s="1"/>
  <c r="AY21" i="8"/>
  <c r="AZ21" i="8"/>
  <c r="BD21" i="8"/>
  <c r="BI21" i="8" s="1"/>
  <c r="BE21" i="8"/>
  <c r="BJ21" i="8" s="1"/>
  <c r="H20" i="8"/>
  <c r="H21" i="8"/>
  <c r="M20" i="8"/>
  <c r="M21" i="8"/>
  <c r="R20" i="8"/>
  <c r="R21" i="8"/>
  <c r="W20" i="8"/>
  <c r="W22" i="8" s="1"/>
  <c r="W21" i="8"/>
  <c r="AB20" i="8"/>
  <c r="AB21" i="8"/>
  <c r="AG20" i="8"/>
  <c r="AG21" i="8"/>
  <c r="AL20" i="8"/>
  <c r="AL21" i="8"/>
  <c r="AQ20" i="8"/>
  <c r="AQ22" i="8" s="1"/>
  <c r="AQ21" i="8"/>
  <c r="E22" i="8"/>
  <c r="F22" i="8"/>
  <c r="G22" i="8"/>
  <c r="I22" i="8"/>
  <c r="J22" i="8"/>
  <c r="K22" i="8"/>
  <c r="L22" i="8"/>
  <c r="N22" i="8"/>
  <c r="N24" i="8" s="1"/>
  <c r="N25" i="8" s="1"/>
  <c r="O22" i="8"/>
  <c r="P22" i="8"/>
  <c r="Q22" i="8"/>
  <c r="R22" i="8"/>
  <c r="S22" i="8"/>
  <c r="T22" i="8"/>
  <c r="U22" i="8"/>
  <c r="V22" i="8"/>
  <c r="X22" i="8"/>
  <c r="Y22" i="8"/>
  <c r="Z22" i="8"/>
  <c r="Z24" i="8" s="1"/>
  <c r="Z25" i="8" s="1"/>
  <c r="AA22" i="8"/>
  <c r="AC22" i="8"/>
  <c r="AD22" i="8"/>
  <c r="AE22" i="8"/>
  <c r="AF22" i="8"/>
  <c r="AH22" i="8"/>
  <c r="AH24" i="8" s="1"/>
  <c r="AH205" i="8" s="1"/>
  <c r="AH218" i="8" s="1"/>
  <c r="AI22" i="8"/>
  <c r="AJ22" i="8"/>
  <c r="AK22" i="8"/>
  <c r="AL22" i="8"/>
  <c r="AM22" i="8"/>
  <c r="AN22" i="8"/>
  <c r="AO22" i="8"/>
  <c r="AP22" i="8"/>
  <c r="AR22" i="8"/>
  <c r="AS22" i="8"/>
  <c r="AT22" i="8"/>
  <c r="AU22" i="8"/>
  <c r="I24" i="8"/>
  <c r="I25" i="8" s="1"/>
  <c r="O24" i="8"/>
  <c r="S24" i="8"/>
  <c r="U24" i="8"/>
  <c r="AA24" i="8"/>
  <c r="AE24" i="8"/>
  <c r="AM24" i="8"/>
  <c r="U25" i="8"/>
  <c r="AS25" i="8"/>
  <c r="H27" i="8"/>
  <c r="H28" i="8"/>
  <c r="M27" i="8"/>
  <c r="M28" i="8"/>
  <c r="R27" i="8"/>
  <c r="R29" i="8" s="1"/>
  <c r="R28" i="8"/>
  <c r="W27" i="8"/>
  <c r="W28" i="8"/>
  <c r="AB27" i="8"/>
  <c r="AB29" i="8" s="1"/>
  <c r="AB28" i="8"/>
  <c r="AG27" i="8"/>
  <c r="AG28" i="8"/>
  <c r="AG29" i="8" s="1"/>
  <c r="AL27" i="8"/>
  <c r="AL29" i="8" s="1"/>
  <c r="AL28" i="8"/>
  <c r="AQ27" i="8"/>
  <c r="AQ28" i="8"/>
  <c r="E29" i="8"/>
  <c r="F29" i="8"/>
  <c r="G29" i="8"/>
  <c r="I29" i="8"/>
  <c r="J29" i="8"/>
  <c r="K29" i="8"/>
  <c r="L29" i="8"/>
  <c r="M29" i="8"/>
  <c r="N29" i="8"/>
  <c r="O29" i="8"/>
  <c r="P29" i="8"/>
  <c r="Q29" i="8"/>
  <c r="S29" i="8"/>
  <c r="T29" i="8"/>
  <c r="U29" i="8"/>
  <c r="U31" i="8" s="1"/>
  <c r="U35" i="8" s="1"/>
  <c r="U39" i="8" s="1"/>
  <c r="V29" i="8"/>
  <c r="X29" i="8"/>
  <c r="Y29" i="8"/>
  <c r="Z29" i="8"/>
  <c r="Z31" i="8" s="1"/>
  <c r="AA29" i="8"/>
  <c r="AC29" i="8"/>
  <c r="AD29" i="8"/>
  <c r="AE29" i="8"/>
  <c r="AF29" i="8"/>
  <c r="AH29" i="8"/>
  <c r="AI29" i="8"/>
  <c r="AJ29" i="8"/>
  <c r="AK29" i="8"/>
  <c r="AM29" i="8"/>
  <c r="AN29" i="8"/>
  <c r="AO29" i="8"/>
  <c r="AP29" i="8"/>
  <c r="AR29" i="8"/>
  <c r="AS29" i="8"/>
  <c r="AT29" i="8"/>
  <c r="AU29" i="8"/>
  <c r="H33" i="8"/>
  <c r="M33" i="8"/>
  <c r="R33" i="8"/>
  <c r="W33" i="8"/>
  <c r="AB33" i="8"/>
  <c r="AG33" i="8"/>
  <c r="AL33" i="8"/>
  <c r="AQ33" i="8"/>
  <c r="AX36" i="8"/>
  <c r="BC36" i="8" s="1"/>
  <c r="BH36" i="8" s="1"/>
  <c r="BM36" i="8" s="1"/>
  <c r="AY36" i="8"/>
  <c r="BD36" i="8" s="1"/>
  <c r="BI36" i="8" s="1"/>
  <c r="BN36" i="8" s="1"/>
  <c r="AZ36" i="8"/>
  <c r="BE36" i="8" s="1"/>
  <c r="BJ36" i="8" s="1"/>
  <c r="BO36" i="8" s="1"/>
  <c r="BB37" i="8"/>
  <c r="BG37" i="8" s="1"/>
  <c r="BL37" i="8" s="1"/>
  <c r="AX37" i="8"/>
  <c r="BC37" i="8" s="1"/>
  <c r="BH37" i="8" s="1"/>
  <c r="BM37" i="8" s="1"/>
  <c r="AY37" i="8"/>
  <c r="BD37" i="8" s="1"/>
  <c r="BI37" i="8" s="1"/>
  <c r="BN37" i="8" s="1"/>
  <c r="AZ37" i="8"/>
  <c r="BE37" i="8" s="1"/>
  <c r="BJ37" i="8" s="1"/>
  <c r="BO37" i="8" s="1"/>
  <c r="AP36" i="8"/>
  <c r="AQ36" i="8" s="1"/>
  <c r="AP37" i="8"/>
  <c r="AQ37" i="8" s="1"/>
  <c r="BA37" i="8" s="1"/>
  <c r="BF37" i="8" s="1"/>
  <c r="BK37" i="8" s="1"/>
  <c r="BP37" i="8" s="1"/>
  <c r="H36" i="8"/>
  <c r="H37" i="8"/>
  <c r="M36" i="8"/>
  <c r="M37" i="8"/>
  <c r="R36" i="8"/>
  <c r="R37" i="8"/>
  <c r="W36" i="8"/>
  <c r="W37" i="8"/>
  <c r="AB36" i="8"/>
  <c r="AB37" i="8"/>
  <c r="AG36" i="8"/>
  <c r="AG37" i="8"/>
  <c r="AL36" i="8"/>
  <c r="AL37" i="8"/>
  <c r="H40" i="8"/>
  <c r="M40" i="8"/>
  <c r="R40" i="8"/>
  <c r="W40" i="8"/>
  <c r="AB40" i="8"/>
  <c r="AG40" i="8"/>
  <c r="AL40" i="8"/>
  <c r="AQ40" i="8"/>
  <c r="BB40" i="8"/>
  <c r="BG40" i="8"/>
  <c r="BL40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AA43" i="8"/>
  <c r="AB43" i="8"/>
  <c r="AC43" i="8"/>
  <c r="AD43" i="8"/>
  <c r="AE43" i="8"/>
  <c r="AF43" i="8"/>
  <c r="AG43" i="8"/>
  <c r="AH43" i="8"/>
  <c r="AI43" i="8"/>
  <c r="AJ43" i="8"/>
  <c r="AK43" i="8"/>
  <c r="AL43" i="8"/>
  <c r="AM43" i="8"/>
  <c r="AN43" i="8"/>
  <c r="AO43" i="8"/>
  <c r="AP43" i="8"/>
  <c r="AQ43" i="8"/>
  <c r="AR43" i="8"/>
  <c r="AS43" i="8"/>
  <c r="AT43" i="8"/>
  <c r="AU43" i="8"/>
  <c r="E44" i="8"/>
  <c r="F44" i="8"/>
  <c r="G44" i="8"/>
  <c r="H44" i="8"/>
  <c r="I44" i="8"/>
  <c r="J44" i="8"/>
  <c r="K44" i="8"/>
  <c r="L44" i="8"/>
  <c r="M44" i="8"/>
  <c r="N44" i="8"/>
  <c r="O44" i="8"/>
  <c r="P44" i="8"/>
  <c r="Q44" i="8"/>
  <c r="R44" i="8"/>
  <c r="S44" i="8"/>
  <c r="T44" i="8"/>
  <c r="U44" i="8"/>
  <c r="V44" i="8"/>
  <c r="W44" i="8"/>
  <c r="X44" i="8"/>
  <c r="Y44" i="8"/>
  <c r="Z44" i="8"/>
  <c r="AA44" i="8"/>
  <c r="AB44" i="8"/>
  <c r="AC44" i="8"/>
  <c r="AD44" i="8"/>
  <c r="AE44" i="8"/>
  <c r="AF44" i="8"/>
  <c r="AG44" i="8"/>
  <c r="AH44" i="8"/>
  <c r="AI44" i="8"/>
  <c r="AJ44" i="8"/>
  <c r="AK44" i="8"/>
  <c r="AL44" i="8"/>
  <c r="AM44" i="8"/>
  <c r="AN44" i="8"/>
  <c r="AO44" i="8"/>
  <c r="AP44" i="8"/>
  <c r="AQ44" i="8"/>
  <c r="AR44" i="8"/>
  <c r="AS44" i="8"/>
  <c r="AT44" i="8"/>
  <c r="AU44" i="8"/>
  <c r="AX52" i="8"/>
  <c r="AY52" i="8"/>
  <c r="BF52" i="8"/>
  <c r="BE52" i="8" s="1"/>
  <c r="BD52" i="8" s="1"/>
  <c r="BC52" i="8" s="1"/>
  <c r="BK52" i="8"/>
  <c r="BJ52" i="8" s="1"/>
  <c r="BI52" i="8" s="1"/>
  <c r="BH52" i="8" s="1"/>
  <c r="AX54" i="8"/>
  <c r="AX93" i="8" s="1"/>
  <c r="AY54" i="8"/>
  <c r="AY93" i="8" s="1"/>
  <c r="AZ54" i="8"/>
  <c r="AZ93" i="8" s="1"/>
  <c r="BA54" i="8"/>
  <c r="BA93" i="8" s="1"/>
  <c r="BC54" i="8"/>
  <c r="BD54" i="8"/>
  <c r="BE54" i="8"/>
  <c r="BF54" i="8"/>
  <c r="BH54" i="8"/>
  <c r="BH93" i="8" s="1"/>
  <c r="BI54" i="8"/>
  <c r="BI93" i="8" s="1"/>
  <c r="BJ54" i="8"/>
  <c r="BJ93" i="8" s="1"/>
  <c r="BK54" i="8"/>
  <c r="BK93" i="8" s="1"/>
  <c r="BA58" i="8"/>
  <c r="BA59" i="8"/>
  <c r="BA60" i="8"/>
  <c r="AZ60" i="8" s="1"/>
  <c r="AY60" i="8" s="1"/>
  <c r="AX60" i="8" s="1"/>
  <c r="BF58" i="8"/>
  <c r="BE58" i="8" s="1"/>
  <c r="BF59" i="8"/>
  <c r="BE59" i="8" s="1"/>
  <c r="BF60" i="8"/>
  <c r="BE60" i="8" s="1"/>
  <c r="BD60" i="8" s="1"/>
  <c r="BC60" i="8" s="1"/>
  <c r="BK58" i="8"/>
  <c r="BJ58" i="8" s="1"/>
  <c r="BK59" i="8"/>
  <c r="BK60" i="8"/>
  <c r="BJ60" i="8" s="1"/>
  <c r="U62" i="8"/>
  <c r="BA62" i="8"/>
  <c r="AZ62" i="8" s="1"/>
  <c r="AY62" i="8" s="1"/>
  <c r="BF62" i="8"/>
  <c r="BE62" i="8" s="1"/>
  <c r="BD62" i="8" s="1"/>
  <c r="BC62" i="8" s="1"/>
  <c r="BK62" i="8"/>
  <c r="BJ62" i="8" s="1"/>
  <c r="BI62" i="8" s="1"/>
  <c r="BH62" i="8" s="1"/>
  <c r="U63" i="8"/>
  <c r="J65" i="8"/>
  <c r="K65" i="8"/>
  <c r="L65" i="8"/>
  <c r="M65" i="8"/>
  <c r="O65" i="8"/>
  <c r="P65" i="8"/>
  <c r="Q65" i="8"/>
  <c r="R65" i="8"/>
  <c r="T65" i="8"/>
  <c r="U65" i="8"/>
  <c r="V65" i="8"/>
  <c r="W65" i="8"/>
  <c r="Y65" i="8"/>
  <c r="Z65" i="8"/>
  <c r="AA65" i="8"/>
  <c r="AB65" i="8"/>
  <c r="AD65" i="8"/>
  <c r="AE65" i="8"/>
  <c r="AF65" i="8"/>
  <c r="AG65" i="8"/>
  <c r="AI65" i="8"/>
  <c r="AJ65" i="8"/>
  <c r="AK65" i="8"/>
  <c r="AL65" i="8"/>
  <c r="I65" i="8"/>
  <c r="N65" i="8"/>
  <c r="S65" i="8"/>
  <c r="X65" i="8"/>
  <c r="AC65" i="8"/>
  <c r="AH65" i="8"/>
  <c r="AM65" i="8"/>
  <c r="H72" i="8"/>
  <c r="H73" i="8"/>
  <c r="H74" i="8"/>
  <c r="H75" i="8"/>
  <c r="M72" i="8"/>
  <c r="M73" i="8"/>
  <c r="M74" i="8"/>
  <c r="M75" i="8"/>
  <c r="R72" i="8"/>
  <c r="R73" i="8"/>
  <c r="R74" i="8"/>
  <c r="R75" i="8"/>
  <c r="W72" i="8"/>
  <c r="W73" i="8"/>
  <c r="W74" i="8"/>
  <c r="W75" i="8"/>
  <c r="AB72" i="8"/>
  <c r="AB73" i="8"/>
  <c r="AB74" i="8"/>
  <c r="AB75" i="8"/>
  <c r="AG72" i="8"/>
  <c r="AG73" i="8"/>
  <c r="AG74" i="8"/>
  <c r="AG75" i="8"/>
  <c r="AL72" i="8"/>
  <c r="AL73" i="8"/>
  <c r="AL76" i="8" s="1"/>
  <c r="AL74" i="8"/>
  <c r="AL75" i="8"/>
  <c r="AQ72" i="8"/>
  <c r="AQ73" i="8"/>
  <c r="AQ74" i="8"/>
  <c r="AQ75" i="8"/>
  <c r="AU72" i="8"/>
  <c r="AU73" i="8"/>
  <c r="AU74" i="8"/>
  <c r="AU75" i="8"/>
  <c r="E76" i="8"/>
  <c r="F76" i="8"/>
  <c r="F77" i="8" s="1"/>
  <c r="F78" i="8" s="1"/>
  <c r="G76" i="8"/>
  <c r="I76" i="8"/>
  <c r="J76" i="8"/>
  <c r="K76" i="8"/>
  <c r="K77" i="8" s="1"/>
  <c r="K78" i="8" s="1"/>
  <c r="L76" i="8"/>
  <c r="N76" i="8"/>
  <c r="O76" i="8"/>
  <c r="P76" i="8"/>
  <c r="Q76" i="8"/>
  <c r="S76" i="8"/>
  <c r="T76" i="8"/>
  <c r="U76" i="8"/>
  <c r="V76" i="8"/>
  <c r="X76" i="8"/>
  <c r="Y76" i="8"/>
  <c r="Z76" i="8"/>
  <c r="Z77" i="8" s="1"/>
  <c r="AA76" i="8"/>
  <c r="AA77" i="8" s="1"/>
  <c r="AA78" i="8" s="1"/>
  <c r="AC76" i="8"/>
  <c r="AD76" i="8"/>
  <c r="AE76" i="8"/>
  <c r="AF76" i="8"/>
  <c r="AH76" i="8"/>
  <c r="AI76" i="8"/>
  <c r="AJ76" i="8"/>
  <c r="AJ77" i="8" s="1"/>
  <c r="AK76" i="8"/>
  <c r="AK77" i="8" s="1"/>
  <c r="AK78" i="8" s="1"/>
  <c r="AK99" i="8" s="1"/>
  <c r="AM76" i="8"/>
  <c r="AM77" i="8" s="1"/>
  <c r="AM78" i="8" s="1"/>
  <c r="AN76" i="8"/>
  <c r="AN77" i="8" s="1"/>
  <c r="AO76" i="8"/>
  <c r="AO77" i="8" s="1"/>
  <c r="AP76" i="8"/>
  <c r="AR76" i="8"/>
  <c r="AS76" i="8"/>
  <c r="AT76" i="8"/>
  <c r="AT77" i="8" s="1"/>
  <c r="AT78" i="8" s="1"/>
  <c r="AT99" i="8" s="1"/>
  <c r="E77" i="8"/>
  <c r="G77" i="8"/>
  <c r="I77" i="8"/>
  <c r="I78" i="8" s="1"/>
  <c r="J77" i="8"/>
  <c r="L77" i="8"/>
  <c r="N77" i="8"/>
  <c r="O77" i="8"/>
  <c r="Q77" i="8"/>
  <c r="T77" i="8"/>
  <c r="T78" i="8" s="1"/>
  <c r="V77" i="8"/>
  <c r="V78" i="8" s="1"/>
  <c r="Y77" i="8"/>
  <c r="Y78" i="8" s="1"/>
  <c r="AD77" i="8"/>
  <c r="AD78" i="8" s="1"/>
  <c r="AF77" i="8"/>
  <c r="AF78" i="8" s="1"/>
  <c r="AF99" i="8" s="1"/>
  <c r="AI77" i="8"/>
  <c r="AI78" i="8" s="1"/>
  <c r="AR77" i="8"/>
  <c r="AR78" i="8" s="1"/>
  <c r="N78" i="8"/>
  <c r="AU81" i="8"/>
  <c r="AU82" i="8"/>
  <c r="AU83" i="8"/>
  <c r="AU84" i="8"/>
  <c r="E85" i="8"/>
  <c r="E87" i="8" s="1"/>
  <c r="F85" i="8"/>
  <c r="F87" i="8" s="1"/>
  <c r="G85" i="8"/>
  <c r="I85" i="8"/>
  <c r="J85" i="8"/>
  <c r="J89" i="8" s="1"/>
  <c r="J52" i="8" s="1"/>
  <c r="K85" i="8"/>
  <c r="K89" i="8" s="1"/>
  <c r="K52" i="8" s="1"/>
  <c r="L85" i="8"/>
  <c r="N85" i="8"/>
  <c r="O85" i="8"/>
  <c r="P85" i="8"/>
  <c r="P89" i="8" s="1"/>
  <c r="P52" i="8" s="1"/>
  <c r="Q85" i="8"/>
  <c r="S85" i="8"/>
  <c r="T85" i="8"/>
  <c r="U85" i="8"/>
  <c r="U87" i="8" s="1"/>
  <c r="V85" i="8"/>
  <c r="X85" i="8"/>
  <c r="Y85" i="8"/>
  <c r="Y87" i="8" s="1"/>
  <c r="Z85" i="8"/>
  <c r="Z87" i="8" s="1"/>
  <c r="AA85" i="8"/>
  <c r="AC85" i="8"/>
  <c r="AC87" i="8" s="1"/>
  <c r="AD85" i="8"/>
  <c r="AD89" i="8" s="1"/>
  <c r="AD52" i="8" s="1"/>
  <c r="AE85" i="8"/>
  <c r="AE87" i="8" s="1"/>
  <c r="AF85" i="8"/>
  <c r="AH85" i="8"/>
  <c r="AI85" i="8"/>
  <c r="AJ85" i="8"/>
  <c r="AK85" i="8"/>
  <c r="AM85" i="8"/>
  <c r="AN85" i="8"/>
  <c r="AO85" i="8"/>
  <c r="AO87" i="8" s="1"/>
  <c r="AP85" i="8"/>
  <c r="AR85" i="8"/>
  <c r="AW89" i="8" s="1"/>
  <c r="AW52" i="8" s="1"/>
  <c r="AS85" i="8"/>
  <c r="AS87" i="8" s="1"/>
  <c r="AS97" i="8" s="1"/>
  <c r="AT85" i="8"/>
  <c r="AT87" i="8" s="1"/>
  <c r="AT97" i="8" s="1"/>
  <c r="AU86" i="8"/>
  <c r="AZ86" i="8" s="1"/>
  <c r="BE86" i="8" s="1"/>
  <c r="BJ86" i="8" s="1"/>
  <c r="AX86" i="8"/>
  <c r="BC86" i="8" s="1"/>
  <c r="BH86" i="8" s="1"/>
  <c r="AY86" i="8"/>
  <c r="BD86" i="8" s="1"/>
  <c r="H81" i="8"/>
  <c r="H82" i="8"/>
  <c r="H83" i="8"/>
  <c r="H84" i="8"/>
  <c r="H86" i="8"/>
  <c r="M81" i="8"/>
  <c r="M82" i="8"/>
  <c r="M83" i="8"/>
  <c r="M84" i="8"/>
  <c r="M86" i="8"/>
  <c r="R81" i="8"/>
  <c r="R82" i="8"/>
  <c r="R83" i="8"/>
  <c r="R84" i="8"/>
  <c r="R86" i="8"/>
  <c r="W81" i="8"/>
  <c r="W82" i="8"/>
  <c r="W83" i="8"/>
  <c r="W84" i="8"/>
  <c r="W86" i="8"/>
  <c r="AB81" i="8"/>
  <c r="AB82" i="8"/>
  <c r="AB83" i="8"/>
  <c r="AB84" i="8"/>
  <c r="AB86" i="8"/>
  <c r="AG81" i="8"/>
  <c r="AG82" i="8"/>
  <c r="AG83" i="8"/>
  <c r="AG84" i="8"/>
  <c r="AG86" i="8"/>
  <c r="AL81" i="8"/>
  <c r="AL82" i="8"/>
  <c r="AL83" i="8"/>
  <c r="AL84" i="8"/>
  <c r="AL86" i="8"/>
  <c r="AQ81" i="8"/>
  <c r="AQ82" i="8"/>
  <c r="AQ83" i="8"/>
  <c r="AQ84" i="8"/>
  <c r="AQ86" i="8"/>
  <c r="BA86" i="8" s="1"/>
  <c r="BF86" i="8" s="1"/>
  <c r="BK86" i="8" s="1"/>
  <c r="G87" i="8"/>
  <c r="G97" i="8" s="1"/>
  <c r="J87" i="8"/>
  <c r="K87" i="8"/>
  <c r="L87" i="8"/>
  <c r="O87" i="8"/>
  <c r="P87" i="8"/>
  <c r="Q87" i="8"/>
  <c r="T87" i="8"/>
  <c r="V87" i="8"/>
  <c r="AA87" i="8"/>
  <c r="AD87" i="8"/>
  <c r="AF87" i="8"/>
  <c r="AF97" i="8" s="1"/>
  <c r="AI87" i="8"/>
  <c r="AJ87" i="8"/>
  <c r="AK87" i="8"/>
  <c r="AN87" i="8"/>
  <c r="AP87" i="8"/>
  <c r="L89" i="8"/>
  <c r="L52" i="8" s="1"/>
  <c r="O89" i="8"/>
  <c r="O52" i="8" s="1"/>
  <c r="Q89" i="8"/>
  <c r="Q52" i="8" s="1"/>
  <c r="T89" i="8"/>
  <c r="T52" i="8" s="1"/>
  <c r="V89" i="8"/>
  <c r="V52" i="8" s="1"/>
  <c r="Y89" i="8"/>
  <c r="Y52" i="8" s="1"/>
  <c r="AA89" i="8"/>
  <c r="AA52" i="8" s="1"/>
  <c r="AE89" i="8"/>
  <c r="AE52" i="8" s="1"/>
  <c r="AF89" i="8"/>
  <c r="AF52" i="8" s="1"/>
  <c r="AI89" i="8"/>
  <c r="AI52" i="8" s="1"/>
  <c r="AJ89" i="8"/>
  <c r="AJ52" i="8" s="1"/>
  <c r="AK89" i="8"/>
  <c r="AK52" i="8" s="1"/>
  <c r="AN89" i="8"/>
  <c r="AN52" i="8" s="1"/>
  <c r="AO89" i="8"/>
  <c r="AO52" i="8" s="1"/>
  <c r="AP89" i="8"/>
  <c r="AP52" i="8" s="1"/>
  <c r="AS89" i="8"/>
  <c r="AS52" i="8" s="1"/>
  <c r="G91" i="8"/>
  <c r="J91" i="8"/>
  <c r="K91" i="8"/>
  <c r="L91" i="8"/>
  <c r="O91" i="8"/>
  <c r="Q91" i="8"/>
  <c r="T91" i="8"/>
  <c r="V91" i="8"/>
  <c r="Y91" i="8"/>
  <c r="AA91" i="8"/>
  <c r="AF91" i="8"/>
  <c r="AJ91" i="8"/>
  <c r="AK91" i="8"/>
  <c r="AO91" i="8"/>
  <c r="E96" i="8"/>
  <c r="F96" i="8"/>
  <c r="G96" i="8"/>
  <c r="H96" i="8"/>
  <c r="J96" i="8"/>
  <c r="J97" i="8" s="1"/>
  <c r="K96" i="8"/>
  <c r="K97" i="8" s="1"/>
  <c r="L96" i="8"/>
  <c r="O96" i="8"/>
  <c r="P96" i="8"/>
  <c r="Q96" i="8"/>
  <c r="Q97" i="8" s="1"/>
  <c r="R96" i="8"/>
  <c r="T96" i="8"/>
  <c r="T97" i="8" s="1"/>
  <c r="U96" i="8"/>
  <c r="V96" i="8"/>
  <c r="Y96" i="8"/>
  <c r="Z96" i="8"/>
  <c r="AA96" i="8"/>
  <c r="AA97" i="8" s="1"/>
  <c r="AB96" i="8"/>
  <c r="AD96" i="8"/>
  <c r="AE96" i="8"/>
  <c r="AF96" i="8"/>
  <c r="AI96" i="8"/>
  <c r="AI97" i="8" s="1"/>
  <c r="AJ96" i="8"/>
  <c r="AK96" i="8"/>
  <c r="AL96" i="8"/>
  <c r="AN96" i="8"/>
  <c r="AO96" i="8"/>
  <c r="AP96" i="8"/>
  <c r="L97" i="8"/>
  <c r="P97" i="8"/>
  <c r="AJ97" i="8"/>
  <c r="AK97" i="8"/>
  <c r="E104" i="8"/>
  <c r="F104" i="8"/>
  <c r="G104" i="8"/>
  <c r="I104" i="8"/>
  <c r="J104" i="8"/>
  <c r="J105" i="8" s="1"/>
  <c r="J58" i="8" s="1"/>
  <c r="K104" i="8"/>
  <c r="L104" i="8"/>
  <c r="N104" i="8"/>
  <c r="O104" i="8"/>
  <c r="P104" i="8"/>
  <c r="Q104" i="8"/>
  <c r="R104" i="8"/>
  <c r="R105" i="8" s="1"/>
  <c r="R58" i="8" s="1"/>
  <c r="S104" i="8"/>
  <c r="T104" i="8"/>
  <c r="U104" i="8"/>
  <c r="V104" i="8"/>
  <c r="X104" i="8"/>
  <c r="Y104" i="8"/>
  <c r="Z104" i="8"/>
  <c r="AA104" i="8"/>
  <c r="AC104" i="8"/>
  <c r="AD104" i="8"/>
  <c r="AD105" i="8" s="1"/>
  <c r="AD58" i="8" s="1"/>
  <c r="AE104" i="8"/>
  <c r="AF104" i="8"/>
  <c r="AH104" i="8"/>
  <c r="AH105" i="8" s="1"/>
  <c r="AH58" i="8" s="1"/>
  <c r="AI104" i="8"/>
  <c r="AJ104" i="8"/>
  <c r="AK104" i="8"/>
  <c r="AK105" i="8" s="1"/>
  <c r="AK58" i="8" s="1"/>
  <c r="AL104" i="8"/>
  <c r="AM104" i="8"/>
  <c r="AN104" i="8"/>
  <c r="AS105" i="8" s="1"/>
  <c r="AS58" i="8" s="1"/>
  <c r="AO104" i="8"/>
  <c r="AP104" i="8"/>
  <c r="AU105" i="8" s="1"/>
  <c r="AU58" i="8" s="1"/>
  <c r="AR104" i="8"/>
  <c r="AW105" i="8" s="1"/>
  <c r="AW58" i="8" s="1"/>
  <c r="AC105" i="8"/>
  <c r="AC58" i="8" s="1"/>
  <c r="BF105" i="8"/>
  <c r="BK105" i="8"/>
  <c r="E107" i="8"/>
  <c r="F107" i="8"/>
  <c r="G107" i="8"/>
  <c r="H107" i="8"/>
  <c r="I107" i="8"/>
  <c r="J107" i="8"/>
  <c r="K107" i="8"/>
  <c r="L107" i="8"/>
  <c r="M107" i="8"/>
  <c r="N107" i="8"/>
  <c r="O107" i="8"/>
  <c r="O108" i="8" s="1"/>
  <c r="O59" i="8" s="1"/>
  <c r="P107" i="8"/>
  <c r="Q107" i="8"/>
  <c r="R107" i="8"/>
  <c r="S107" i="8"/>
  <c r="T107" i="8"/>
  <c r="U107" i="8"/>
  <c r="V107" i="8"/>
  <c r="W107" i="8"/>
  <c r="X107" i="8"/>
  <c r="Y107" i="8"/>
  <c r="Z107" i="8"/>
  <c r="AA107" i="8"/>
  <c r="AB107" i="8"/>
  <c r="AC107" i="8"/>
  <c r="AD107" i="8"/>
  <c r="AE107" i="8"/>
  <c r="AF107" i="8"/>
  <c r="AG107" i="8"/>
  <c r="AH107" i="8"/>
  <c r="AI107" i="8"/>
  <c r="AJ107" i="8"/>
  <c r="AK107" i="8"/>
  <c r="AL107" i="8"/>
  <c r="AM107" i="8"/>
  <c r="AN107" i="8"/>
  <c r="AS108" i="8" s="1"/>
  <c r="AS59" i="8" s="1"/>
  <c r="AO107" i="8"/>
  <c r="AT108" i="8" s="1"/>
  <c r="AT59" i="8" s="1"/>
  <c r="AP107" i="8"/>
  <c r="AU108" i="8" s="1"/>
  <c r="AU59" i="8" s="1"/>
  <c r="AQ107" i="8"/>
  <c r="AR107" i="8"/>
  <c r="AW108" i="8" s="1"/>
  <c r="AW59" i="8" s="1"/>
  <c r="J108" i="8"/>
  <c r="J59" i="8" s="1"/>
  <c r="BF108" i="8"/>
  <c r="E110" i="8"/>
  <c r="F110" i="8"/>
  <c r="G110" i="8"/>
  <c r="H110" i="8"/>
  <c r="I110" i="8"/>
  <c r="J110" i="8"/>
  <c r="K110" i="8"/>
  <c r="L110" i="8"/>
  <c r="M110" i="8"/>
  <c r="N110" i="8"/>
  <c r="O110" i="8"/>
  <c r="P110" i="8"/>
  <c r="Q110" i="8"/>
  <c r="R110" i="8"/>
  <c r="S110" i="8"/>
  <c r="T110" i="8"/>
  <c r="U110" i="8"/>
  <c r="V110" i="8"/>
  <c r="W110" i="8"/>
  <c r="X110" i="8"/>
  <c r="Y110" i="8"/>
  <c r="Z110" i="8"/>
  <c r="AA110" i="8"/>
  <c r="AB110" i="8"/>
  <c r="AC110" i="8"/>
  <c r="AD110" i="8"/>
  <c r="AE110" i="8"/>
  <c r="AF110" i="8"/>
  <c r="AG110" i="8"/>
  <c r="AH110" i="8"/>
  <c r="AI110" i="8"/>
  <c r="AJ110" i="8"/>
  <c r="AK110" i="8"/>
  <c r="AL110" i="8"/>
  <c r="AM110" i="8"/>
  <c r="AN110" i="8"/>
  <c r="AS111" i="8" s="1"/>
  <c r="AS60" i="8" s="1"/>
  <c r="AO110" i="8"/>
  <c r="AT111" i="8" s="1"/>
  <c r="AT60" i="8" s="1"/>
  <c r="AP110" i="8"/>
  <c r="AU111" i="8" s="1"/>
  <c r="AU60" i="8" s="1"/>
  <c r="AQ110" i="8"/>
  <c r="AV111" i="8" s="1"/>
  <c r="AV60" i="8" s="1"/>
  <c r="AR110" i="8"/>
  <c r="AW111" i="8" s="1"/>
  <c r="AW60" i="8" s="1"/>
  <c r="AX111" i="8"/>
  <c r="AY111" i="8"/>
  <c r="AY110" i="8" s="1"/>
  <c r="AZ111" i="8"/>
  <c r="AZ110" i="8" s="1"/>
  <c r="BA111" i="8"/>
  <c r="BC111" i="8"/>
  <c r="BD111" i="8"/>
  <c r="BE111" i="8"/>
  <c r="BF111" i="8"/>
  <c r="BK111" i="8"/>
  <c r="H116" i="8"/>
  <c r="H117" i="8"/>
  <c r="M116" i="8"/>
  <c r="M117" i="8"/>
  <c r="R116" i="8"/>
  <c r="R117" i="8"/>
  <c r="R118" i="8" s="1"/>
  <c r="W116" i="8"/>
  <c r="W117" i="8"/>
  <c r="W118" i="8" s="1"/>
  <c r="AB116" i="8"/>
  <c r="AB117" i="8"/>
  <c r="AG116" i="8"/>
  <c r="AG117" i="8"/>
  <c r="AG118" i="8" s="1"/>
  <c r="AL116" i="8"/>
  <c r="AL117" i="8"/>
  <c r="AQ116" i="8"/>
  <c r="AQ117" i="8"/>
  <c r="AQ118" i="8" s="1"/>
  <c r="E118" i="8"/>
  <c r="F118" i="8"/>
  <c r="G118" i="8"/>
  <c r="I118" i="8"/>
  <c r="J118" i="8"/>
  <c r="K118" i="8"/>
  <c r="L118" i="8"/>
  <c r="M118" i="8"/>
  <c r="N118" i="8"/>
  <c r="O118" i="8"/>
  <c r="P118" i="8"/>
  <c r="Q118" i="8"/>
  <c r="S118" i="8"/>
  <c r="T118" i="8"/>
  <c r="U118" i="8"/>
  <c r="V118" i="8"/>
  <c r="X118" i="8"/>
  <c r="Y118" i="8"/>
  <c r="Z118" i="8"/>
  <c r="AA118" i="8"/>
  <c r="AC118" i="8"/>
  <c r="AD118" i="8"/>
  <c r="AE118" i="8"/>
  <c r="AF118" i="8"/>
  <c r="AH118" i="8"/>
  <c r="AI118" i="8"/>
  <c r="AJ118" i="8"/>
  <c r="AK118" i="8"/>
  <c r="AM118" i="8"/>
  <c r="AN118" i="8"/>
  <c r="AO118" i="8"/>
  <c r="AP118" i="8"/>
  <c r="AR118" i="8"/>
  <c r="AS118" i="8"/>
  <c r="AT118" i="8"/>
  <c r="AU118" i="8"/>
  <c r="AV124" i="8" s="1"/>
  <c r="H120" i="8"/>
  <c r="M120" i="8"/>
  <c r="R120" i="8"/>
  <c r="W120" i="8"/>
  <c r="AB120" i="8"/>
  <c r="AG120" i="8"/>
  <c r="AL120" i="8"/>
  <c r="AQ120" i="8"/>
  <c r="AY124" i="8"/>
  <c r="AZ124" i="8" s="1"/>
  <c r="AX128" i="8"/>
  <c r="AY128" i="8" s="1"/>
  <c r="AX129" i="8"/>
  <c r="AY129" i="8" s="1"/>
  <c r="AX130" i="8"/>
  <c r="AY130" i="8" s="1"/>
  <c r="AX131" i="8"/>
  <c r="AY131" i="8"/>
  <c r="AX132" i="8"/>
  <c r="AY132" i="8" s="1"/>
  <c r="BC128" i="8"/>
  <c r="BD128" i="8" s="1"/>
  <c r="BC129" i="8"/>
  <c r="BD129" i="8" s="1"/>
  <c r="BC130" i="8"/>
  <c r="BD130" i="8" s="1"/>
  <c r="BC131" i="8"/>
  <c r="BD131" i="8" s="1"/>
  <c r="BC132" i="8"/>
  <c r="BD132" i="8" s="1"/>
  <c r="BH128" i="8"/>
  <c r="BI128" i="8" s="1"/>
  <c r="BH129" i="8"/>
  <c r="BI129" i="8" s="1"/>
  <c r="BH130" i="8"/>
  <c r="BI130" i="8" s="1"/>
  <c r="BH131" i="8"/>
  <c r="BI131" i="8"/>
  <c r="BH132" i="8"/>
  <c r="BI132" i="8" s="1"/>
  <c r="BB133" i="8"/>
  <c r="BG133" i="8"/>
  <c r="BL133" i="8"/>
  <c r="E137" i="8"/>
  <c r="E138" i="8" s="1"/>
  <c r="F137" i="8"/>
  <c r="F138" i="8" s="1"/>
  <c r="G137" i="8"/>
  <c r="G138" i="8" s="1"/>
  <c r="H137" i="8"/>
  <c r="I137" i="8"/>
  <c r="I138" i="8" s="1"/>
  <c r="J137" i="8"/>
  <c r="J138" i="8" s="1"/>
  <c r="K137" i="8"/>
  <c r="K138" i="8" s="1"/>
  <c r="L137" i="8"/>
  <c r="N137" i="8"/>
  <c r="N138" i="8" s="1"/>
  <c r="O137" i="8"/>
  <c r="O138" i="8" s="1"/>
  <c r="P137" i="8"/>
  <c r="P138" i="8" s="1"/>
  <c r="Q137" i="8"/>
  <c r="Q138" i="8" s="1"/>
  <c r="R137" i="8"/>
  <c r="S137" i="8"/>
  <c r="S138" i="8" s="1"/>
  <c r="T137" i="8"/>
  <c r="T138" i="8" s="1"/>
  <c r="U137" i="8"/>
  <c r="V137" i="8"/>
  <c r="V138" i="8" s="1"/>
  <c r="W138" i="8" s="1"/>
  <c r="W137" i="8" s="1"/>
  <c r="Y137" i="8"/>
  <c r="Y138" i="8" s="1"/>
  <c r="Z137" i="8"/>
  <c r="Z138" i="8" s="1"/>
  <c r="AA137" i="8"/>
  <c r="AA138" i="8" s="1"/>
  <c r="AB137" i="8"/>
  <c r="AD137" i="8"/>
  <c r="AD138" i="8" s="1"/>
  <c r="AE137" i="8"/>
  <c r="AF137" i="8"/>
  <c r="AF138" i="8" s="1"/>
  <c r="AI137" i="8"/>
  <c r="AI138" i="8" s="1"/>
  <c r="AJ137" i="8"/>
  <c r="AJ138" i="8" s="1"/>
  <c r="AK137" i="8"/>
  <c r="AL137" i="8"/>
  <c r="AL138" i="8" s="1"/>
  <c r="AN137" i="8"/>
  <c r="AO137" i="8"/>
  <c r="AP137" i="8"/>
  <c r="AP138" i="8" s="1"/>
  <c r="AQ137" i="8"/>
  <c r="AQ138" i="8" s="1"/>
  <c r="AY138" i="8"/>
  <c r="AZ138" i="8" s="1"/>
  <c r="BA138" i="8" s="1"/>
  <c r="BC138" i="8" s="1"/>
  <c r="BD138" i="8" s="1"/>
  <c r="BE138" i="8" s="1"/>
  <c r="BF138" i="8" s="1"/>
  <c r="BH138" i="8" s="1"/>
  <c r="BI138" i="8" s="1"/>
  <c r="BJ138" i="8" s="1"/>
  <c r="BK138" i="8" s="1"/>
  <c r="BM138" i="8" s="1"/>
  <c r="H138" i="8"/>
  <c r="L138" i="8"/>
  <c r="AE138" i="8"/>
  <c r="AN138" i="8"/>
  <c r="E140" i="8"/>
  <c r="F140" i="8"/>
  <c r="F141" i="8" s="1"/>
  <c r="G140" i="8"/>
  <c r="G141" i="8" s="1"/>
  <c r="H140" i="8"/>
  <c r="I140" i="8"/>
  <c r="I141" i="8" s="1"/>
  <c r="J140" i="8"/>
  <c r="J141" i="8" s="1"/>
  <c r="K140" i="8"/>
  <c r="K141" i="8" s="1"/>
  <c r="L140" i="8"/>
  <c r="L141" i="8" s="1"/>
  <c r="M140" i="8"/>
  <c r="M141" i="8" s="1"/>
  <c r="N140" i="8"/>
  <c r="N141" i="8" s="1"/>
  <c r="O140" i="8"/>
  <c r="O141" i="8" s="1"/>
  <c r="P140" i="8"/>
  <c r="P141" i="8" s="1"/>
  <c r="Q140" i="8"/>
  <c r="Q141" i="8" s="1"/>
  <c r="R140" i="8"/>
  <c r="S140" i="8"/>
  <c r="S141" i="8" s="1"/>
  <c r="T140" i="8"/>
  <c r="U140" i="8"/>
  <c r="U141" i="8" s="1"/>
  <c r="V140" i="8"/>
  <c r="V141" i="8" s="1"/>
  <c r="X140" i="8"/>
  <c r="Y140" i="8"/>
  <c r="Y141" i="8" s="1"/>
  <c r="Z140" i="8"/>
  <c r="Z141" i="8" s="1"/>
  <c r="AA140" i="8"/>
  <c r="AA141" i="8" s="1"/>
  <c r="AB140" i="8"/>
  <c r="AB141" i="8" s="1"/>
  <c r="AC140" i="8"/>
  <c r="AC141" i="8" s="1"/>
  <c r="AD140" i="8"/>
  <c r="AD141" i="8" s="1"/>
  <c r="AE140" i="8"/>
  <c r="AE141" i="8" s="1"/>
  <c r="AF140" i="8"/>
  <c r="AF141" i="8" s="1"/>
  <c r="AG140" i="8"/>
  <c r="AG141" i="8" s="1"/>
  <c r="AH140" i="8"/>
  <c r="AH141" i="8" s="1"/>
  <c r="AI140" i="8"/>
  <c r="AI141" i="8" s="1"/>
  <c r="AJ140" i="8"/>
  <c r="AK140" i="8"/>
  <c r="AK141" i="8" s="1"/>
  <c r="AL140" i="8"/>
  <c r="AM140" i="8"/>
  <c r="AM141" i="8" s="1"/>
  <c r="AN140" i="8"/>
  <c r="AO140" i="8"/>
  <c r="AO141" i="8" s="1"/>
  <c r="AP140" i="8"/>
  <c r="AP141" i="8" s="1"/>
  <c r="AR140" i="8"/>
  <c r="AR141" i="8" s="1"/>
  <c r="AY141" i="8"/>
  <c r="AZ141" i="8" s="1"/>
  <c r="BA141" i="8" s="1"/>
  <c r="BC141" i="8" s="1"/>
  <c r="BD141" i="8" s="1"/>
  <c r="BE141" i="8" s="1"/>
  <c r="BF141" i="8" s="1"/>
  <c r="BH141" i="8" s="1"/>
  <c r="BI141" i="8" s="1"/>
  <c r="BJ141" i="8" s="1"/>
  <c r="BK141" i="8" s="1"/>
  <c r="E141" i="8"/>
  <c r="T141" i="8"/>
  <c r="X141" i="8"/>
  <c r="AJ141" i="8"/>
  <c r="AN141" i="8"/>
  <c r="BB155" i="8"/>
  <c r="BG155" i="8"/>
  <c r="BL155" i="8"/>
  <c r="E159" i="8"/>
  <c r="F159" i="8"/>
  <c r="G159" i="8"/>
  <c r="H159" i="8"/>
  <c r="I159" i="8"/>
  <c r="J159" i="8"/>
  <c r="K159" i="8"/>
  <c r="L159" i="8"/>
  <c r="M159" i="8"/>
  <c r="N159" i="8"/>
  <c r="O159" i="8"/>
  <c r="P159" i="8"/>
  <c r="Q159" i="8"/>
  <c r="R159" i="8"/>
  <c r="S159" i="8"/>
  <c r="T159" i="8"/>
  <c r="U159" i="8"/>
  <c r="V159" i="8"/>
  <c r="W159" i="8"/>
  <c r="X159" i="8"/>
  <c r="Y159" i="8"/>
  <c r="Z159" i="8"/>
  <c r="AA159" i="8"/>
  <c r="AB159" i="8"/>
  <c r="AC159" i="8"/>
  <c r="AD159" i="8"/>
  <c r="AE159" i="8"/>
  <c r="AF159" i="8"/>
  <c r="AG159" i="8"/>
  <c r="AH159" i="8"/>
  <c r="AI159" i="8"/>
  <c r="AJ159" i="8"/>
  <c r="AK159" i="8"/>
  <c r="AL159" i="8"/>
  <c r="AM159" i="8"/>
  <c r="AN159" i="8"/>
  <c r="AO159" i="8"/>
  <c r="AP159" i="8"/>
  <c r="AQ159" i="8"/>
  <c r="AR159" i="8"/>
  <c r="E160" i="8"/>
  <c r="E122" i="8" s="1"/>
  <c r="F160" i="8"/>
  <c r="F122" i="8" s="1"/>
  <c r="G160" i="8"/>
  <c r="G122" i="8" s="1"/>
  <c r="G124" i="8" s="1"/>
  <c r="H160" i="8"/>
  <c r="H122" i="8" s="1"/>
  <c r="I160" i="8"/>
  <c r="I122" i="8" s="1"/>
  <c r="J160" i="8"/>
  <c r="J122" i="8" s="1"/>
  <c r="K160" i="8"/>
  <c r="K122" i="8" s="1"/>
  <c r="K124" i="8" s="1"/>
  <c r="L160" i="8"/>
  <c r="L122" i="8" s="1"/>
  <c r="L124" i="8" s="1"/>
  <c r="M160" i="8"/>
  <c r="M122" i="8" s="1"/>
  <c r="N160" i="8"/>
  <c r="N122" i="8" s="1"/>
  <c r="O160" i="8"/>
  <c r="O122" i="8" s="1"/>
  <c r="P160" i="8"/>
  <c r="P122" i="8" s="1"/>
  <c r="P124" i="8" s="1"/>
  <c r="Q160" i="8"/>
  <c r="Q122" i="8" s="1"/>
  <c r="R160" i="8"/>
  <c r="R122" i="8" s="1"/>
  <c r="S160" i="8"/>
  <c r="T160" i="8"/>
  <c r="T122" i="8" s="1"/>
  <c r="U160" i="8"/>
  <c r="U122" i="8" s="1"/>
  <c r="U124" i="8" s="1"/>
  <c r="V160" i="8"/>
  <c r="V122" i="8" s="1"/>
  <c r="W160" i="8"/>
  <c r="W122" i="8" s="1"/>
  <c r="X160" i="8"/>
  <c r="Y160" i="8"/>
  <c r="Y122" i="8" s="1"/>
  <c r="Z160" i="8"/>
  <c r="Z122" i="8" s="1"/>
  <c r="Z124" i="8" s="1"/>
  <c r="AA160" i="8"/>
  <c r="AA122" i="8" s="1"/>
  <c r="AB160" i="8"/>
  <c r="AB122" i="8" s="1"/>
  <c r="AC160" i="8"/>
  <c r="AD160" i="8"/>
  <c r="AD122" i="8" s="1"/>
  <c r="AE160" i="8"/>
  <c r="AE122" i="8" s="1"/>
  <c r="AE124" i="8" s="1"/>
  <c r="AF160" i="8"/>
  <c r="AF122" i="8" s="1"/>
  <c r="AG160" i="8"/>
  <c r="AG122" i="8" s="1"/>
  <c r="AH160" i="8"/>
  <c r="AI160" i="8"/>
  <c r="AI122" i="8" s="1"/>
  <c r="AJ160" i="8"/>
  <c r="AJ122" i="8" s="1"/>
  <c r="AK160" i="8"/>
  <c r="AK122" i="8" s="1"/>
  <c r="AL160" i="8"/>
  <c r="AL122" i="8" s="1"/>
  <c r="AM160" i="8"/>
  <c r="AN160" i="8"/>
  <c r="AN122" i="8" s="1"/>
  <c r="AO160" i="8"/>
  <c r="AO122" i="8" s="1"/>
  <c r="AP160" i="8"/>
  <c r="AP122" i="8" s="1"/>
  <c r="AQ160" i="8"/>
  <c r="AQ122" i="8" s="1"/>
  <c r="AR160" i="8"/>
  <c r="AS122" i="8"/>
  <c r="AT122" i="8"/>
  <c r="AT124" i="8" s="1"/>
  <c r="AU122" i="8"/>
  <c r="AU124" i="8" s="1"/>
  <c r="E161" i="8"/>
  <c r="F161" i="8"/>
  <c r="G161" i="8"/>
  <c r="H161" i="8"/>
  <c r="I161" i="8"/>
  <c r="J161" i="8"/>
  <c r="K161" i="8"/>
  <c r="L161" i="8"/>
  <c r="M161" i="8"/>
  <c r="N161" i="8"/>
  <c r="O161" i="8"/>
  <c r="P161" i="8"/>
  <c r="Q161" i="8"/>
  <c r="R161" i="8"/>
  <c r="S161" i="8"/>
  <c r="T161" i="8"/>
  <c r="U161" i="8"/>
  <c r="V161" i="8"/>
  <c r="W161" i="8"/>
  <c r="X161" i="8"/>
  <c r="Y161" i="8"/>
  <c r="Z161" i="8"/>
  <c r="AA161" i="8"/>
  <c r="AB161" i="8"/>
  <c r="AC161" i="8"/>
  <c r="AD161" i="8"/>
  <c r="AE161" i="8"/>
  <c r="AF161" i="8"/>
  <c r="AG161" i="8"/>
  <c r="AH161" i="8"/>
  <c r="AI161" i="8"/>
  <c r="AJ161" i="8"/>
  <c r="AK161" i="8"/>
  <c r="AL161" i="8"/>
  <c r="AM161" i="8"/>
  <c r="AN161" i="8"/>
  <c r="AO161" i="8"/>
  <c r="AP161" i="8"/>
  <c r="AQ161" i="8"/>
  <c r="AR161" i="8"/>
  <c r="E162" i="8"/>
  <c r="F162" i="8"/>
  <c r="G162" i="8"/>
  <c r="H162" i="8"/>
  <c r="I162" i="8"/>
  <c r="J162" i="8"/>
  <c r="J225" i="8" s="1"/>
  <c r="K162" i="8"/>
  <c r="L162" i="8"/>
  <c r="M162" i="8"/>
  <c r="N162" i="8"/>
  <c r="O162" i="8"/>
  <c r="P162" i="8"/>
  <c r="Q162" i="8"/>
  <c r="R162" i="8"/>
  <c r="S162" i="8"/>
  <c r="T162" i="8"/>
  <c r="U162" i="8"/>
  <c r="V162" i="8"/>
  <c r="V225" i="8" s="1"/>
  <c r="W162" i="8"/>
  <c r="X162" i="8"/>
  <c r="Y162" i="8"/>
  <c r="Z162" i="8"/>
  <c r="AA162" i="8"/>
  <c r="AB162" i="8"/>
  <c r="AC162" i="8"/>
  <c r="AD162" i="8"/>
  <c r="AD225" i="8" s="1"/>
  <c r="AE162" i="8"/>
  <c r="AF162" i="8"/>
  <c r="AG162" i="8"/>
  <c r="AH162" i="8"/>
  <c r="AI162" i="8"/>
  <c r="AJ162" i="8"/>
  <c r="AK162" i="8"/>
  <c r="AL162" i="8"/>
  <c r="AL225" i="8" s="1"/>
  <c r="AM162" i="8"/>
  <c r="AN162" i="8"/>
  <c r="AO162" i="8"/>
  <c r="AP162" i="8"/>
  <c r="AP225" i="8" s="1"/>
  <c r="AQ162" i="8"/>
  <c r="AR162" i="8"/>
  <c r="CO159" i="8"/>
  <c r="CO160" i="8"/>
  <c r="CO161" i="8"/>
  <c r="CO162" i="8"/>
  <c r="CT159" i="8"/>
  <c r="CT160" i="8"/>
  <c r="CT161" i="8"/>
  <c r="CT162" i="8"/>
  <c r="CY159" i="8"/>
  <c r="CY160" i="8"/>
  <c r="CY161" i="8"/>
  <c r="CY162" i="8"/>
  <c r="DD159" i="8"/>
  <c r="DD160" i="8"/>
  <c r="DD161" i="8"/>
  <c r="DD162" i="8"/>
  <c r="DI159" i="8"/>
  <c r="DI160" i="8"/>
  <c r="DI161" i="8"/>
  <c r="DI162" i="8"/>
  <c r="DN159" i="8"/>
  <c r="DN160" i="8"/>
  <c r="DN161" i="8"/>
  <c r="DN162" i="8"/>
  <c r="DS159" i="8"/>
  <c r="DS160" i="8"/>
  <c r="DS161" i="8"/>
  <c r="DS162" i="8"/>
  <c r="DX159" i="8"/>
  <c r="DX160" i="8"/>
  <c r="DX161" i="8"/>
  <c r="DX162" i="8"/>
  <c r="AX163" i="8"/>
  <c r="AY163" i="8"/>
  <c r="AX164" i="8"/>
  <c r="AY164" i="8" s="1"/>
  <c r="BC163" i="8"/>
  <c r="BD163" i="8"/>
  <c r="BC164" i="8"/>
  <c r="BD164" i="8" s="1"/>
  <c r="BH163" i="8"/>
  <c r="BI163" i="8"/>
  <c r="BH164" i="8"/>
  <c r="BI164" i="8" s="1"/>
  <c r="CL163" i="8"/>
  <c r="E163" i="8" s="1"/>
  <c r="CM163" i="8"/>
  <c r="CN163" i="8"/>
  <c r="CP163" i="8"/>
  <c r="CQ163" i="8"/>
  <c r="CR163" i="8"/>
  <c r="K163" i="8" s="1"/>
  <c r="CS163" i="8"/>
  <c r="CU163" i="8"/>
  <c r="CV163" i="8"/>
  <c r="O163" i="8" s="1"/>
  <c r="CW163" i="8"/>
  <c r="CX163" i="8"/>
  <c r="CZ163" i="8"/>
  <c r="S163" i="8" s="1"/>
  <c r="DA163" i="8"/>
  <c r="DB163" i="8"/>
  <c r="DC163" i="8"/>
  <c r="DE163" i="8"/>
  <c r="X163" i="8" s="1"/>
  <c r="DF163" i="8"/>
  <c r="Y163" i="8" s="1"/>
  <c r="DG163" i="8"/>
  <c r="DH163" i="8"/>
  <c r="DJ163" i="8"/>
  <c r="DK163" i="8"/>
  <c r="DL163" i="8"/>
  <c r="DM163" i="8"/>
  <c r="DO163" i="8"/>
  <c r="DP163" i="8"/>
  <c r="AI163" i="8" s="1"/>
  <c r="DQ163" i="8"/>
  <c r="DQ165" i="8" s="1"/>
  <c r="DR163" i="8"/>
  <c r="DT163" i="8"/>
  <c r="DU163" i="8"/>
  <c r="AN163" i="8" s="1"/>
  <c r="DV163" i="8"/>
  <c r="DW163" i="8"/>
  <c r="DY163" i="8"/>
  <c r="AR163" i="8" s="1"/>
  <c r="DZ163" i="8"/>
  <c r="EA163" i="8"/>
  <c r="EB163" i="8"/>
  <c r="CL164" i="8"/>
  <c r="E164" i="8" s="1"/>
  <c r="CM164" i="8"/>
  <c r="CN164" i="8"/>
  <c r="CP164" i="8"/>
  <c r="I164" i="8" s="1"/>
  <c r="CQ164" i="8"/>
  <c r="J164" i="8" s="1"/>
  <c r="CR164" i="8"/>
  <c r="CS164" i="8"/>
  <c r="CS165" i="8" s="1"/>
  <c r="CU164" i="8"/>
  <c r="N164" i="8" s="1"/>
  <c r="CV164" i="8"/>
  <c r="CW164" i="8"/>
  <c r="CX164" i="8"/>
  <c r="CZ164" i="8"/>
  <c r="DA164" i="8"/>
  <c r="T164" i="8" s="1"/>
  <c r="DB164" i="8"/>
  <c r="DC164" i="8"/>
  <c r="V164" i="8" s="1"/>
  <c r="DE164" i="8"/>
  <c r="DF164" i="8"/>
  <c r="Y164" i="8" s="1"/>
  <c r="DG164" i="8"/>
  <c r="Z164" i="8" s="1"/>
  <c r="DH164" i="8"/>
  <c r="DJ164" i="8"/>
  <c r="DK164" i="8"/>
  <c r="AD164" i="8" s="1"/>
  <c r="DL164" i="8"/>
  <c r="DM164" i="8"/>
  <c r="DO164" i="8"/>
  <c r="DP164" i="8"/>
  <c r="DQ164" i="8"/>
  <c r="DR164" i="8"/>
  <c r="DT164" i="8"/>
  <c r="DU164" i="8"/>
  <c r="AN164" i="8" s="1"/>
  <c r="DV164" i="8"/>
  <c r="AO164" i="8" s="1"/>
  <c r="DW164" i="8"/>
  <c r="AP164" i="8" s="1"/>
  <c r="DY164" i="8"/>
  <c r="AR164" i="8" s="1"/>
  <c r="DZ164" i="8"/>
  <c r="EA164" i="8"/>
  <c r="EB164" i="8"/>
  <c r="DE165" i="8"/>
  <c r="X165" i="8" s="1"/>
  <c r="E167" i="8"/>
  <c r="F167" i="8"/>
  <c r="F133" i="8" s="1"/>
  <c r="G167" i="8"/>
  <c r="H167" i="8"/>
  <c r="H133" i="8" s="1"/>
  <c r="I167" i="8"/>
  <c r="I133" i="8" s="1"/>
  <c r="J167" i="8"/>
  <c r="J133" i="8" s="1"/>
  <c r="K167" i="8"/>
  <c r="K133" i="8" s="1"/>
  <c r="L167" i="8"/>
  <c r="L133" i="8" s="1"/>
  <c r="M167" i="8"/>
  <c r="N167" i="8"/>
  <c r="N133" i="8" s="1"/>
  <c r="O167" i="8"/>
  <c r="P167" i="8"/>
  <c r="P133" i="8" s="1"/>
  <c r="Q167" i="8"/>
  <c r="R167" i="8"/>
  <c r="R133" i="8" s="1"/>
  <c r="S167" i="8"/>
  <c r="S133" i="8" s="1"/>
  <c r="O125" i="8" s="1"/>
  <c r="T167" i="8"/>
  <c r="T133" i="8" s="1"/>
  <c r="U167" i="8"/>
  <c r="V167" i="8"/>
  <c r="V133" i="8" s="1"/>
  <c r="W167" i="8"/>
  <c r="W133" i="8" s="1"/>
  <c r="X167" i="8"/>
  <c r="X133" i="8" s="1"/>
  <c r="W125" i="8" s="1"/>
  <c r="Y167" i="8"/>
  <c r="Z167" i="8"/>
  <c r="Z133" i="8" s="1"/>
  <c r="AA167" i="8"/>
  <c r="AA133" i="8" s="1"/>
  <c r="AB167" i="8"/>
  <c r="AB133" i="8" s="1"/>
  <c r="AC167" i="8"/>
  <c r="AC133" i="8" s="1"/>
  <c r="AC95" i="4" s="1"/>
  <c r="AD167" i="8"/>
  <c r="AD133" i="8" s="1"/>
  <c r="AE167" i="8"/>
  <c r="AF167" i="8"/>
  <c r="AF133" i="8" s="1"/>
  <c r="AG167" i="8"/>
  <c r="AH167" i="8"/>
  <c r="AH133" i="8" s="1"/>
  <c r="AI167" i="8"/>
  <c r="AI133" i="8" s="1"/>
  <c r="AJ167" i="8"/>
  <c r="AJ133" i="8" s="1"/>
  <c r="AK167" i="8"/>
  <c r="AL167" i="8"/>
  <c r="AL133" i="8" s="1"/>
  <c r="AM167" i="8"/>
  <c r="AM133" i="8" s="1"/>
  <c r="AJ125" i="8" s="1"/>
  <c r="AN167" i="8"/>
  <c r="AN133" i="8" s="1"/>
  <c r="AO167" i="8"/>
  <c r="AP167" i="8"/>
  <c r="AP133" i="8" s="1"/>
  <c r="AQ167" i="8"/>
  <c r="AR167" i="8"/>
  <c r="AR133" i="8" s="1"/>
  <c r="AN125" i="8" s="1"/>
  <c r="AT95" i="4"/>
  <c r="AU95" i="4"/>
  <c r="E168" i="8"/>
  <c r="F168" i="8"/>
  <c r="G168" i="8"/>
  <c r="H168" i="8"/>
  <c r="I168" i="8"/>
  <c r="J168" i="8"/>
  <c r="K168" i="8"/>
  <c r="L168" i="8"/>
  <c r="M168" i="8"/>
  <c r="N168" i="8"/>
  <c r="O168" i="8"/>
  <c r="P168" i="8"/>
  <c r="Q168" i="8"/>
  <c r="R168" i="8"/>
  <c r="S168" i="8"/>
  <c r="T168" i="8"/>
  <c r="U168" i="8"/>
  <c r="V168" i="8"/>
  <c r="W168" i="8"/>
  <c r="X168" i="8"/>
  <c r="Y168" i="8"/>
  <c r="Z168" i="8"/>
  <c r="AA168" i="8"/>
  <c r="AB168" i="8"/>
  <c r="AC168" i="8"/>
  <c r="AD168" i="8"/>
  <c r="AE168" i="8"/>
  <c r="AF168" i="8"/>
  <c r="AG168" i="8"/>
  <c r="AH168" i="8"/>
  <c r="AI168" i="8"/>
  <c r="AJ168" i="8"/>
  <c r="AK168" i="8"/>
  <c r="AL168" i="8"/>
  <c r="AM168" i="8"/>
  <c r="AN168" i="8"/>
  <c r="AO168" i="8"/>
  <c r="AP168" i="8"/>
  <c r="AQ168" i="8"/>
  <c r="AR168" i="8"/>
  <c r="CO167" i="8"/>
  <c r="CO168" i="8"/>
  <c r="CT167" i="8"/>
  <c r="CT168" i="8"/>
  <c r="CY167" i="8"/>
  <c r="CY168" i="8"/>
  <c r="DD167" i="8"/>
  <c r="DD168" i="8"/>
  <c r="DI167" i="8"/>
  <c r="DI168" i="8"/>
  <c r="DN167" i="8"/>
  <c r="DN168" i="8"/>
  <c r="DS167" i="8"/>
  <c r="DS168" i="8"/>
  <c r="DX167" i="8"/>
  <c r="DX168" i="8"/>
  <c r="O169" i="8"/>
  <c r="P169" i="8"/>
  <c r="Q169" i="8"/>
  <c r="T169" i="8"/>
  <c r="AC169" i="8"/>
  <c r="AD169" i="8"/>
  <c r="AN169" i="8"/>
  <c r="AX169" i="8"/>
  <c r="BC169" i="8"/>
  <c r="BH169" i="8"/>
  <c r="CL169" i="8"/>
  <c r="CL170" i="8" s="1"/>
  <c r="CM169" i="8"/>
  <c r="CN169" i="8"/>
  <c r="CP169" i="8"/>
  <c r="CQ169" i="8"/>
  <c r="J169" i="8" s="1"/>
  <c r="CR169" i="8"/>
  <c r="CS169" i="8"/>
  <c r="CU169" i="8"/>
  <c r="N169" i="8" s="1"/>
  <c r="CZ169" i="8"/>
  <c r="DB169" i="8"/>
  <c r="DB170" i="8" s="1"/>
  <c r="DC169" i="8"/>
  <c r="DE169" i="8"/>
  <c r="DE170" i="8" s="1"/>
  <c r="X170" i="8" s="1"/>
  <c r="DF169" i="8"/>
  <c r="DG169" i="8"/>
  <c r="DH169" i="8"/>
  <c r="DH170" i="8" s="1"/>
  <c r="DL169" i="8"/>
  <c r="AE169" i="8" s="1"/>
  <c r="DM169" i="8"/>
  <c r="AF169" i="8" s="1"/>
  <c r="DO169" i="8"/>
  <c r="DP169" i="8"/>
  <c r="AI169" i="8" s="1"/>
  <c r="DQ169" i="8"/>
  <c r="DR169" i="8"/>
  <c r="DT169" i="8"/>
  <c r="DV169" i="8"/>
  <c r="DV170" i="8" s="1"/>
  <c r="DW169" i="8"/>
  <c r="DW170" i="8" s="1"/>
  <c r="DY169" i="8"/>
  <c r="DY170" i="8" s="1"/>
  <c r="AR170" i="8" s="1"/>
  <c r="CM170" i="8"/>
  <c r="CR170" i="8"/>
  <c r="CU170" i="8"/>
  <c r="N170" i="8" s="1"/>
  <c r="CV170" i="8"/>
  <c r="CW170" i="8"/>
  <c r="CX170" i="8"/>
  <c r="CZ170" i="8"/>
  <c r="S170" i="8" s="1"/>
  <c r="DA170" i="8"/>
  <c r="DC170" i="8"/>
  <c r="DJ170" i="8"/>
  <c r="AC170" i="8" s="1"/>
  <c r="DK170" i="8"/>
  <c r="DL170" i="8"/>
  <c r="DQ170" i="8"/>
  <c r="DT170" i="8"/>
  <c r="AM170" i="8" s="1"/>
  <c r="DU170" i="8"/>
  <c r="DZ170" i="8"/>
  <c r="EA170" i="8"/>
  <c r="EB170" i="8"/>
  <c r="E172" i="8"/>
  <c r="E146" i="8" s="1"/>
  <c r="F172" i="8"/>
  <c r="F146" i="8" s="1"/>
  <c r="G172" i="8"/>
  <c r="G146" i="8" s="1"/>
  <c r="H172" i="8"/>
  <c r="H146" i="8" s="1"/>
  <c r="I172" i="8"/>
  <c r="I146" i="8" s="1"/>
  <c r="J172" i="8"/>
  <c r="J146" i="8" s="1"/>
  <c r="K172" i="8"/>
  <c r="K146" i="8" s="1"/>
  <c r="L172" i="8"/>
  <c r="L146" i="8" s="1"/>
  <c r="M172" i="8"/>
  <c r="M146" i="8" s="1"/>
  <c r="N172" i="8"/>
  <c r="N146" i="8" s="1"/>
  <c r="O172" i="8"/>
  <c r="O146" i="8" s="1"/>
  <c r="P172" i="8"/>
  <c r="P146" i="8" s="1"/>
  <c r="Q172" i="8"/>
  <c r="Q146" i="8" s="1"/>
  <c r="R172" i="8"/>
  <c r="R146" i="8" s="1"/>
  <c r="S172" i="8"/>
  <c r="S146" i="8" s="1"/>
  <c r="T172" i="8"/>
  <c r="T146" i="8" s="1"/>
  <c r="U172" i="8"/>
  <c r="U146" i="8" s="1"/>
  <c r="V172" i="8"/>
  <c r="V146" i="8" s="1"/>
  <c r="W172" i="8"/>
  <c r="W146" i="8" s="1"/>
  <c r="X172" i="8"/>
  <c r="X146" i="8" s="1"/>
  <c r="Y172" i="8"/>
  <c r="Y146" i="8" s="1"/>
  <c r="Z172" i="8"/>
  <c r="Z146" i="8" s="1"/>
  <c r="AA172" i="8"/>
  <c r="AA146" i="8" s="1"/>
  <c r="AB172" i="8"/>
  <c r="AB146" i="8" s="1"/>
  <c r="AC172" i="8"/>
  <c r="AC146" i="8" s="1"/>
  <c r="AD172" i="8"/>
  <c r="AD146" i="8" s="1"/>
  <c r="AE172" i="8"/>
  <c r="AE146" i="8" s="1"/>
  <c r="AF172" i="8"/>
  <c r="AF146" i="8" s="1"/>
  <c r="AG172" i="8"/>
  <c r="AG146" i="8" s="1"/>
  <c r="AH172" i="8"/>
  <c r="AH146" i="8" s="1"/>
  <c r="AI172" i="8"/>
  <c r="AI146" i="8" s="1"/>
  <c r="AJ172" i="8"/>
  <c r="AJ146" i="8" s="1"/>
  <c r="AK172" i="8"/>
  <c r="AK146" i="8" s="1"/>
  <c r="AL172" i="8"/>
  <c r="AL146" i="8" s="1"/>
  <c r="AM172" i="8"/>
  <c r="AM146" i="8" s="1"/>
  <c r="AN172" i="8"/>
  <c r="AN146" i="8" s="1"/>
  <c r="AO172" i="8"/>
  <c r="AO146" i="8" s="1"/>
  <c r="AP172" i="8"/>
  <c r="AP146" i="8" s="1"/>
  <c r="AQ172" i="8"/>
  <c r="AQ146" i="8" s="1"/>
  <c r="AR172" i="8"/>
  <c r="AR146" i="8" s="1"/>
  <c r="E173" i="8"/>
  <c r="E147" i="8" s="1"/>
  <c r="F173" i="8"/>
  <c r="F147" i="8" s="1"/>
  <c r="G173" i="8"/>
  <c r="G147" i="8" s="1"/>
  <c r="H173" i="8"/>
  <c r="H147" i="8" s="1"/>
  <c r="I173" i="8"/>
  <c r="I147" i="8" s="1"/>
  <c r="J173" i="8"/>
  <c r="J147" i="8" s="1"/>
  <c r="K173" i="8"/>
  <c r="K147" i="8" s="1"/>
  <c r="L173" i="8"/>
  <c r="L147" i="8" s="1"/>
  <c r="M173" i="8"/>
  <c r="M147" i="8" s="1"/>
  <c r="N173" i="8"/>
  <c r="N147" i="8" s="1"/>
  <c r="O173" i="8"/>
  <c r="O147" i="8" s="1"/>
  <c r="P173" i="8"/>
  <c r="P147" i="8" s="1"/>
  <c r="Q173" i="8"/>
  <c r="Q147" i="8" s="1"/>
  <c r="R173" i="8"/>
  <c r="R147" i="8" s="1"/>
  <c r="S173" i="8"/>
  <c r="S147" i="8" s="1"/>
  <c r="T173" i="8"/>
  <c r="T147" i="8" s="1"/>
  <c r="U173" i="8"/>
  <c r="U147" i="8" s="1"/>
  <c r="V173" i="8"/>
  <c r="V147" i="8" s="1"/>
  <c r="W173" i="8"/>
  <c r="W147" i="8" s="1"/>
  <c r="X173" i="8"/>
  <c r="X147" i="8" s="1"/>
  <c r="Y173" i="8"/>
  <c r="Y147" i="8" s="1"/>
  <c r="Z173" i="8"/>
  <c r="Z147" i="8" s="1"/>
  <c r="AA173" i="8"/>
  <c r="AA147" i="8" s="1"/>
  <c r="AB173" i="8"/>
  <c r="AB147" i="8" s="1"/>
  <c r="AC173" i="8"/>
  <c r="AC147" i="8" s="1"/>
  <c r="AD173" i="8"/>
  <c r="AD147" i="8" s="1"/>
  <c r="AE173" i="8"/>
  <c r="AE147" i="8" s="1"/>
  <c r="AF173" i="8"/>
  <c r="AF147" i="8" s="1"/>
  <c r="AG173" i="8"/>
  <c r="AG147" i="8" s="1"/>
  <c r="AH173" i="8"/>
  <c r="AH147" i="8" s="1"/>
  <c r="AI173" i="8"/>
  <c r="AI147" i="8" s="1"/>
  <c r="AJ173" i="8"/>
  <c r="AJ147" i="8" s="1"/>
  <c r="AK173" i="8"/>
  <c r="AK147" i="8" s="1"/>
  <c r="AL173" i="8"/>
  <c r="AL147" i="8" s="1"/>
  <c r="AM173" i="8"/>
  <c r="AM147" i="8" s="1"/>
  <c r="AN173" i="8"/>
  <c r="AN147" i="8" s="1"/>
  <c r="AO173" i="8"/>
  <c r="AO147" i="8" s="1"/>
  <c r="AP173" i="8"/>
  <c r="AP147" i="8" s="1"/>
  <c r="AQ173" i="8"/>
  <c r="AQ147" i="8" s="1"/>
  <c r="AR173" i="8"/>
  <c r="AR147" i="8" s="1"/>
  <c r="CY172" i="8"/>
  <c r="CY173" i="8"/>
  <c r="DD172" i="8"/>
  <c r="DD173" i="8"/>
  <c r="DI172" i="8"/>
  <c r="DI173" i="8"/>
  <c r="DN172" i="8"/>
  <c r="DN173" i="8"/>
  <c r="DS172" i="8"/>
  <c r="DS173" i="8"/>
  <c r="E174" i="8"/>
  <c r="F174" i="8"/>
  <c r="G174" i="8"/>
  <c r="H174" i="8"/>
  <c r="I174" i="8"/>
  <c r="J174" i="8"/>
  <c r="K174" i="8"/>
  <c r="L174" i="8"/>
  <c r="M174" i="8"/>
  <c r="N174" i="8"/>
  <c r="O174" i="8"/>
  <c r="P174" i="8"/>
  <c r="V174" i="8"/>
  <c r="AA174" i="8"/>
  <c r="AF174" i="8"/>
  <c r="AK174" i="8"/>
  <c r="BB174" i="8"/>
  <c r="BG174" i="8"/>
  <c r="BL174" i="8"/>
  <c r="CX174" i="8"/>
  <c r="Q174" i="8" s="1"/>
  <c r="CZ174" i="8"/>
  <c r="S174" i="8" s="1"/>
  <c r="DA174" i="8"/>
  <c r="U174" i="8" s="1"/>
  <c r="DE174" i="8"/>
  <c r="DF174" i="8"/>
  <c r="Y174" i="8" s="1"/>
  <c r="DJ174" i="8"/>
  <c r="AC174" i="8" s="1"/>
  <c r="DK174" i="8"/>
  <c r="AD174" i="8" s="1"/>
  <c r="DO174" i="8"/>
  <c r="DP174" i="8"/>
  <c r="AI174" i="8" s="1"/>
  <c r="DT174" i="8"/>
  <c r="AM174" i="8" s="1"/>
  <c r="DU174" i="8"/>
  <c r="AN174" i="8" s="1"/>
  <c r="DV174" i="8"/>
  <c r="DW174" i="8"/>
  <c r="DY174" i="8"/>
  <c r="AR174" i="8" s="1"/>
  <c r="DZ174" i="8"/>
  <c r="EA174" i="8"/>
  <c r="EB174" i="8"/>
  <c r="DY175" i="8"/>
  <c r="DZ175" i="8"/>
  <c r="EA175" i="8"/>
  <c r="EB175" i="8"/>
  <c r="E175" i="8"/>
  <c r="J175" i="8"/>
  <c r="J177" i="8" s="1"/>
  <c r="T175" i="8"/>
  <c r="AI175" i="8"/>
  <c r="AR175" i="8"/>
  <c r="E176" i="8"/>
  <c r="F176" i="8"/>
  <c r="G176" i="8"/>
  <c r="H176" i="8"/>
  <c r="I176" i="8"/>
  <c r="J176" i="8"/>
  <c r="K176" i="8"/>
  <c r="L176" i="8"/>
  <c r="M176" i="8"/>
  <c r="N176" i="8"/>
  <c r="O176" i="8"/>
  <c r="P176" i="8"/>
  <c r="S176" i="8"/>
  <c r="T176" i="8"/>
  <c r="X176" i="8"/>
  <c r="Y176" i="8"/>
  <c r="AC176" i="8"/>
  <c r="AD176" i="8"/>
  <c r="AH176" i="8"/>
  <c r="AI176" i="8"/>
  <c r="AM176" i="8"/>
  <c r="AN176" i="8"/>
  <c r="AO176" i="8"/>
  <c r="AP176" i="8"/>
  <c r="AQ176" i="8"/>
  <c r="AR176" i="8"/>
  <c r="AX175" i="8"/>
  <c r="AY175" i="8"/>
  <c r="AX176" i="8"/>
  <c r="AY176" i="8" s="1"/>
  <c r="AZ176" i="8" s="1"/>
  <c r="BA176" i="8" s="1"/>
  <c r="BC175" i="8"/>
  <c r="BD175" i="8" s="1"/>
  <c r="BE175" i="8" s="1"/>
  <c r="BC176" i="8"/>
  <c r="BD176" i="8" s="1"/>
  <c r="BE176" i="8" s="1"/>
  <c r="BF176" i="8" s="1"/>
  <c r="BH175" i="8"/>
  <c r="BI175" i="8" s="1"/>
  <c r="BJ175" i="8" s="1"/>
  <c r="BH176" i="8"/>
  <c r="BI176" i="8" s="1"/>
  <c r="BJ176" i="8" s="1"/>
  <c r="CM175" i="8"/>
  <c r="CM177" i="8" s="1"/>
  <c r="CN175" i="8"/>
  <c r="G175" i="8" s="1"/>
  <c r="CP175" i="8"/>
  <c r="CP177" i="8" s="1"/>
  <c r="I177" i="8" s="1"/>
  <c r="CR175" i="8"/>
  <c r="CS175" i="8"/>
  <c r="CU175" i="8"/>
  <c r="N175" i="8" s="1"/>
  <c r="CV175" i="8"/>
  <c r="CW175" i="8"/>
  <c r="CX175" i="8"/>
  <c r="CZ175" i="8"/>
  <c r="R175" i="8" s="1"/>
  <c r="DB175" i="8"/>
  <c r="DC175" i="8"/>
  <c r="DE175" i="8"/>
  <c r="DF175" i="8"/>
  <c r="DG175" i="8"/>
  <c r="DH175" i="8"/>
  <c r="DJ175" i="8"/>
  <c r="DK175" i="8"/>
  <c r="DK177" i="8" s="1"/>
  <c r="DL175" i="8"/>
  <c r="DM175" i="8"/>
  <c r="DO175" i="8"/>
  <c r="DQ175" i="8"/>
  <c r="DR175" i="8"/>
  <c r="DT175" i="8"/>
  <c r="AM175" i="8" s="1"/>
  <c r="DU175" i="8"/>
  <c r="AN175" i="8" s="1"/>
  <c r="DV175" i="8"/>
  <c r="AO175" i="8" s="1"/>
  <c r="DW175" i="8"/>
  <c r="DX175" i="8" s="1"/>
  <c r="CO172" i="8"/>
  <c r="CO173" i="8"/>
  <c r="CO174" i="8"/>
  <c r="CO176" i="8"/>
  <c r="CT172" i="8"/>
  <c r="CT173" i="8"/>
  <c r="CT174" i="8"/>
  <c r="CT176" i="8"/>
  <c r="CX176" i="8"/>
  <c r="R176" i="8" s="1"/>
  <c r="DB176" i="8"/>
  <c r="U176" i="8" s="1"/>
  <c r="DC176" i="8"/>
  <c r="DG176" i="8"/>
  <c r="Z176" i="8" s="1"/>
  <c r="DH176" i="8"/>
  <c r="AB176" i="8" s="1"/>
  <c r="DI176" i="8"/>
  <c r="DL176" i="8"/>
  <c r="AE176" i="8" s="1"/>
  <c r="DM176" i="8"/>
  <c r="AF176" i="8" s="1"/>
  <c r="DQ176" i="8"/>
  <c r="AJ176" i="8" s="1"/>
  <c r="DR176" i="8"/>
  <c r="AL176" i="8" s="1"/>
  <c r="DX172" i="8"/>
  <c r="DX173" i="8"/>
  <c r="DX176" i="8"/>
  <c r="CL177" i="8"/>
  <c r="CN177" i="8"/>
  <c r="CQ177" i="8"/>
  <c r="CS177" i="8"/>
  <c r="CZ177" i="8"/>
  <c r="S177" i="8" s="1"/>
  <c r="DH177" i="8"/>
  <c r="DP177" i="8"/>
  <c r="DY177" i="8"/>
  <c r="AR177" i="8" s="1"/>
  <c r="EA177" i="8"/>
  <c r="E180" i="8"/>
  <c r="I180" i="8" s="1"/>
  <c r="CM180" i="8"/>
  <c r="CN180" i="8" s="1"/>
  <c r="CP180" i="8"/>
  <c r="H186" i="8"/>
  <c r="M186" i="8"/>
  <c r="R186" i="8"/>
  <c r="W186" i="8"/>
  <c r="AB186" i="8"/>
  <c r="AG186" i="8"/>
  <c r="AL186" i="8"/>
  <c r="AQ186" i="8"/>
  <c r="M188" i="8"/>
  <c r="T188" i="8"/>
  <c r="T190" i="8" s="1"/>
  <c r="Y188" i="8"/>
  <c r="Z188" i="8"/>
  <c r="Z190" i="8" s="1"/>
  <c r="AC188" i="8"/>
  <c r="AD188" i="8"/>
  <c r="AD190" i="8" s="1"/>
  <c r="AD199" i="8" s="1"/>
  <c r="AH188" i="8"/>
  <c r="AG188" i="8" s="1"/>
  <c r="AL188" i="8"/>
  <c r="AO188" i="8"/>
  <c r="AQ188" i="8"/>
  <c r="AT188" i="8"/>
  <c r="H188" i="8"/>
  <c r="H189" i="8"/>
  <c r="L189" i="8"/>
  <c r="N189" i="8"/>
  <c r="O189" i="8"/>
  <c r="O190" i="8" s="1"/>
  <c r="P189" i="8"/>
  <c r="P190" i="8" s="1"/>
  <c r="R188" i="8"/>
  <c r="R189" i="8"/>
  <c r="W188" i="8"/>
  <c r="W189" i="8"/>
  <c r="AB189" i="8"/>
  <c r="AG189" i="8"/>
  <c r="AM189" i="8"/>
  <c r="AN189" i="8"/>
  <c r="AN190" i="8" s="1"/>
  <c r="AO189" i="8"/>
  <c r="AP189" i="8"/>
  <c r="AP190" i="8" s="1"/>
  <c r="AQ189" i="8"/>
  <c r="E190" i="8"/>
  <c r="E199" i="8" s="1"/>
  <c r="F190" i="8"/>
  <c r="G190" i="8"/>
  <c r="I190" i="8"/>
  <c r="H190" i="8" s="1"/>
  <c r="J190" i="8"/>
  <c r="K190" i="8"/>
  <c r="K199" i="8" s="1"/>
  <c r="K212" i="8" s="1"/>
  <c r="L190" i="8"/>
  <c r="Q190" i="8"/>
  <c r="S190" i="8"/>
  <c r="R190" i="8" s="1"/>
  <c r="U190" i="8"/>
  <c r="V190" i="8"/>
  <c r="X190" i="8"/>
  <c r="Y190" i="8"/>
  <c r="AA190" i="8"/>
  <c r="AA199" i="8" s="1"/>
  <c r="AE190" i="8"/>
  <c r="AE199" i="8" s="1"/>
  <c r="AF190" i="8"/>
  <c r="AH190" i="8"/>
  <c r="AG190" i="8" s="1"/>
  <c r="AI190" i="8"/>
  <c r="AJ190" i="8"/>
  <c r="AK190" i="8"/>
  <c r="AR190" i="8"/>
  <c r="AS190" i="8"/>
  <c r="AS199" i="8" s="1"/>
  <c r="AT190" i="8"/>
  <c r="AT199" i="8" s="1"/>
  <c r="AT197" i="8" s="1"/>
  <c r="AU190" i="8"/>
  <c r="AU199" i="8" s="1"/>
  <c r="AU194" i="8" s="1"/>
  <c r="H193" i="8"/>
  <c r="M193" i="8"/>
  <c r="R193" i="8"/>
  <c r="W193" i="8"/>
  <c r="AB193" i="8"/>
  <c r="AG193" i="8"/>
  <c r="AL193" i="8"/>
  <c r="AQ193" i="8"/>
  <c r="V194" i="8"/>
  <c r="AT194" i="8"/>
  <c r="H196" i="8"/>
  <c r="M196" i="8"/>
  <c r="R196" i="8"/>
  <c r="W196" i="8"/>
  <c r="AB196" i="8"/>
  <c r="AG196" i="8"/>
  <c r="AL196" i="8"/>
  <c r="AQ196" i="8"/>
  <c r="F199" i="8"/>
  <c r="J199" i="8"/>
  <c r="U199" i="8"/>
  <c r="V199" i="8"/>
  <c r="V191" i="8" s="1"/>
  <c r="Y199" i="8"/>
  <c r="Y197" i="8" s="1"/>
  <c r="AH199" i="8"/>
  <c r="AK199" i="8"/>
  <c r="V200" i="8"/>
  <c r="I205" i="8"/>
  <c r="N205" i="8"/>
  <c r="N218" i="8" s="1"/>
  <c r="S205" i="8"/>
  <c r="AM205" i="8"/>
  <c r="I206" i="8"/>
  <c r="N206" i="8"/>
  <c r="H207" i="8"/>
  <c r="I207" i="8"/>
  <c r="J207" i="8"/>
  <c r="K207" i="8"/>
  <c r="L207" i="8"/>
  <c r="M207" i="8"/>
  <c r="N207" i="8"/>
  <c r="O207" i="8"/>
  <c r="P207" i="8"/>
  <c r="Q207" i="8"/>
  <c r="R207" i="8"/>
  <c r="S207" i="8"/>
  <c r="S218" i="8" s="1"/>
  <c r="T207" i="8"/>
  <c r="U207" i="8"/>
  <c r="V207" i="8"/>
  <c r="W207" i="8"/>
  <c r="X207" i="8"/>
  <c r="Y207" i="8"/>
  <c r="Z207" i="8"/>
  <c r="AA207" i="8"/>
  <c r="AB207" i="8"/>
  <c r="AC207" i="8"/>
  <c r="AD207" i="8"/>
  <c r="AE207" i="8"/>
  <c r="AF207" i="8"/>
  <c r="AG207" i="8"/>
  <c r="AH207" i="8"/>
  <c r="AI207" i="8"/>
  <c r="AJ207" i="8"/>
  <c r="AK207" i="8"/>
  <c r="AL207" i="8"/>
  <c r="AM207" i="8"/>
  <c r="AM218" i="8" s="1"/>
  <c r="AN207" i="8"/>
  <c r="AO207" i="8"/>
  <c r="AP207" i="8"/>
  <c r="AQ207" i="8"/>
  <c r="AR207" i="8"/>
  <c r="F211" i="8"/>
  <c r="F212" i="8"/>
  <c r="K211" i="8"/>
  <c r="V211" i="8"/>
  <c r="Y211" i="8"/>
  <c r="J212" i="8"/>
  <c r="V212" i="8"/>
  <c r="AE212" i="8"/>
  <c r="I213" i="8"/>
  <c r="I222" i="8"/>
  <c r="J223" i="8"/>
  <c r="K223" i="8"/>
  <c r="L223" i="8"/>
  <c r="P223" i="8"/>
  <c r="R223" i="8"/>
  <c r="I224" i="8"/>
  <c r="J224" i="8"/>
  <c r="K224" i="8"/>
  <c r="L224" i="8"/>
  <c r="M224" i="8"/>
  <c r="O224" i="8"/>
  <c r="P224" i="8"/>
  <c r="Q224" i="8"/>
  <c r="R224" i="8"/>
  <c r="I225" i="8"/>
  <c r="K225" i="8"/>
  <c r="L225" i="8"/>
  <c r="M225" i="8"/>
  <c r="O225" i="8"/>
  <c r="P225" i="8"/>
  <c r="Q225" i="8"/>
  <c r="R225" i="8"/>
  <c r="T223" i="8"/>
  <c r="V223" i="8"/>
  <c r="W223" i="8"/>
  <c r="T224" i="8"/>
  <c r="U224" i="8"/>
  <c r="V224" i="8"/>
  <c r="W224" i="8"/>
  <c r="T225" i="8"/>
  <c r="U225" i="8"/>
  <c r="W225" i="8"/>
  <c r="Z223" i="8"/>
  <c r="AA223" i="8"/>
  <c r="AB223" i="8"/>
  <c r="AD223" i="8"/>
  <c r="AF223" i="8"/>
  <c r="AI223" i="8"/>
  <c r="AJ223" i="8"/>
  <c r="AL223" i="8"/>
  <c r="AN223" i="8"/>
  <c r="AP223" i="8"/>
  <c r="AT223" i="8"/>
  <c r="AU223" i="8"/>
  <c r="Y224" i="8"/>
  <c r="Z224" i="8"/>
  <c r="AA224" i="8"/>
  <c r="AB224" i="8"/>
  <c r="AD224" i="8"/>
  <c r="AE224" i="8"/>
  <c r="AF224" i="8"/>
  <c r="AG224" i="8"/>
  <c r="AI224" i="8"/>
  <c r="AJ224" i="8"/>
  <c r="AK224" i="8"/>
  <c r="AL224" i="8"/>
  <c r="AN224" i="8"/>
  <c r="AO224" i="8"/>
  <c r="AP224" i="8"/>
  <c r="AQ224" i="8"/>
  <c r="AS224" i="8"/>
  <c r="AT224" i="8"/>
  <c r="AU224" i="8"/>
  <c r="Y225" i="8"/>
  <c r="Z225" i="8"/>
  <c r="AA225" i="8"/>
  <c r="AB225" i="8"/>
  <c r="AE225" i="8"/>
  <c r="AH225" i="8" s="1"/>
  <c r="AF225" i="8"/>
  <c r="AG225" i="8"/>
  <c r="AI225" i="8"/>
  <c r="AJ225" i="8"/>
  <c r="AK225" i="8"/>
  <c r="AN225" i="8"/>
  <c r="AO225" i="8"/>
  <c r="AQ225" i="8"/>
  <c r="AS225" i="8"/>
  <c r="AT225" i="8"/>
  <c r="AU225" i="8"/>
  <c r="S226" i="8"/>
  <c r="AN226" i="8"/>
  <c r="AO226" i="8"/>
  <c r="AP226" i="8"/>
  <c r="AQ226" i="8"/>
  <c r="AS226" i="8"/>
  <c r="AT226" i="8"/>
  <c r="AU226" i="8"/>
  <c r="AV226" i="8"/>
  <c r="AX226" i="8"/>
  <c r="AY226" i="8"/>
  <c r="AZ226" i="8"/>
  <c r="BA226" i="8"/>
  <c r="BC226" i="8"/>
  <c r="BD226" i="8"/>
  <c r="BE226" i="8"/>
  <c r="BF226" i="8"/>
  <c r="BH226" i="8"/>
  <c r="BI226" i="8"/>
  <c r="BJ226" i="8"/>
  <c r="BK226" i="8"/>
  <c r="I227" i="8"/>
  <c r="I229" i="8" s="1"/>
  <c r="N227" i="8"/>
  <c r="AR233" i="8"/>
  <c r="AQ233" i="8" s="1"/>
  <c r="Y234" i="8"/>
  <c r="AT234" i="8"/>
  <c r="AR237" i="8"/>
  <c r="AN237" i="8" s="1"/>
  <c r="AN65" i="8" s="1"/>
  <c r="BD237" i="8"/>
  <c r="BD65" i="8" s="1"/>
  <c r="BE237" i="8"/>
  <c r="BE65" i="8" s="1"/>
  <c r="BF237" i="8"/>
  <c r="BF65" i="8" s="1"/>
  <c r="BI237" i="8"/>
  <c r="BI65" i="8" s="1"/>
  <c r="BJ237" i="8"/>
  <c r="BJ65" i="8" s="1"/>
  <c r="BK237" i="8"/>
  <c r="BK65" i="8" s="1"/>
  <c r="AH246" i="8"/>
  <c r="AI246" i="8"/>
  <c r="AJ246" i="8"/>
  <c r="AK246" i="8"/>
  <c r="AL246" i="8"/>
  <c r="AM246" i="8"/>
  <c r="AR246" i="8"/>
  <c r="B2" i="7"/>
  <c r="AX10" i="7"/>
  <c r="AY10" i="7"/>
  <c r="AZ10" i="7"/>
  <c r="BC10" i="7"/>
  <c r="BH10" i="7" s="1"/>
  <c r="BD10" i="7"/>
  <c r="BI10" i="7" s="1"/>
  <c r="H8" i="7"/>
  <c r="H11" i="7" s="1"/>
  <c r="H9" i="7"/>
  <c r="H10" i="7"/>
  <c r="M8" i="7"/>
  <c r="M9" i="7"/>
  <c r="M11" i="7" s="1"/>
  <c r="M10" i="7"/>
  <c r="R8" i="7"/>
  <c r="R9" i="7"/>
  <c r="R10" i="7"/>
  <c r="W8" i="7"/>
  <c r="W9" i="7"/>
  <c r="W10" i="7"/>
  <c r="AB8" i="7"/>
  <c r="AB11" i="7" s="1"/>
  <c r="AB9" i="7"/>
  <c r="AB10" i="7"/>
  <c r="AG8" i="7"/>
  <c r="AG9" i="7"/>
  <c r="AG11" i="7" s="1"/>
  <c r="AG10" i="7"/>
  <c r="AL8" i="7"/>
  <c r="AL9" i="7"/>
  <c r="AL10" i="7"/>
  <c r="AL11" i="7" s="1"/>
  <c r="AQ8" i="7"/>
  <c r="AQ9" i="7"/>
  <c r="AQ10" i="7"/>
  <c r="E11" i="7"/>
  <c r="F11" i="7"/>
  <c r="G11" i="7"/>
  <c r="I11" i="7"/>
  <c r="J11" i="7"/>
  <c r="K11" i="7"/>
  <c r="L11" i="7"/>
  <c r="N11" i="7"/>
  <c r="O11" i="7"/>
  <c r="P11" i="7"/>
  <c r="Q11" i="7"/>
  <c r="S11" i="7"/>
  <c r="T11" i="7"/>
  <c r="U11" i="7"/>
  <c r="V11" i="7"/>
  <c r="W11" i="7"/>
  <c r="X11" i="7"/>
  <c r="Y11" i="7"/>
  <c r="Z11" i="7"/>
  <c r="AA11" i="7"/>
  <c r="AC11" i="7"/>
  <c r="AD11" i="7"/>
  <c r="AE11" i="7"/>
  <c r="AF11" i="7"/>
  <c r="AH11" i="7"/>
  <c r="AI11" i="7"/>
  <c r="AJ11" i="7"/>
  <c r="AK11" i="7"/>
  <c r="AM11" i="7"/>
  <c r="AN11" i="7"/>
  <c r="AO11" i="7"/>
  <c r="AP11" i="7"/>
  <c r="AQ11" i="7"/>
  <c r="AR11" i="7"/>
  <c r="AS11" i="7"/>
  <c r="AT11" i="7"/>
  <c r="AU11" i="7"/>
  <c r="AX15" i="7"/>
  <c r="BC15" i="7" s="1"/>
  <c r="AY15" i="7"/>
  <c r="BD15" i="7" s="1"/>
  <c r="BI15" i="7" s="1"/>
  <c r="AZ15" i="7"/>
  <c r="BE15" i="7" s="1"/>
  <c r="BJ15" i="7" s="1"/>
  <c r="H13" i="7"/>
  <c r="H14" i="7"/>
  <c r="H15" i="7"/>
  <c r="M13" i="7"/>
  <c r="M14" i="7"/>
  <c r="M15" i="7"/>
  <c r="R13" i="7"/>
  <c r="R14" i="7"/>
  <c r="R15" i="7"/>
  <c r="R16" i="7" s="1"/>
  <c r="W13" i="7"/>
  <c r="W16" i="7" s="1"/>
  <c r="W14" i="7"/>
  <c r="W15" i="7"/>
  <c r="AB13" i="7"/>
  <c r="AB14" i="7"/>
  <c r="AB15" i="7"/>
  <c r="AG13" i="7"/>
  <c r="AG14" i="7"/>
  <c r="AG15" i="7"/>
  <c r="AL13" i="7"/>
  <c r="AL14" i="7"/>
  <c r="AL15" i="7"/>
  <c r="AQ13" i="7"/>
  <c r="AQ16" i="7" s="1"/>
  <c r="AQ14" i="7"/>
  <c r="AQ15" i="7"/>
  <c r="E16" i="7"/>
  <c r="E24" i="7" s="1"/>
  <c r="F16" i="7"/>
  <c r="F18" i="7" s="1"/>
  <c r="G16" i="7"/>
  <c r="G24" i="7" s="1"/>
  <c r="G26" i="7" s="1"/>
  <c r="I16" i="7"/>
  <c r="J16" i="7"/>
  <c r="J24" i="7" s="1"/>
  <c r="K16" i="7"/>
  <c r="K18" i="7" s="1"/>
  <c r="L16" i="7"/>
  <c r="L24" i="7" s="1"/>
  <c r="N16" i="7"/>
  <c r="O16" i="7"/>
  <c r="O24" i="7" s="1"/>
  <c r="P16" i="7"/>
  <c r="P18" i="7" s="1"/>
  <c r="Q16" i="7"/>
  <c r="Q24" i="7" s="1"/>
  <c r="S16" i="7"/>
  <c r="T16" i="7"/>
  <c r="T24" i="7" s="1"/>
  <c r="T26" i="7" s="1"/>
  <c r="U16" i="7"/>
  <c r="V16" i="7"/>
  <c r="V24" i="7" s="1"/>
  <c r="X16" i="7"/>
  <c r="X24" i="7" s="1"/>
  <c r="Y16" i="7"/>
  <c r="Y18" i="7" s="1"/>
  <c r="Z16" i="7"/>
  <c r="AA16" i="7"/>
  <c r="AA18" i="7" s="1"/>
  <c r="AC16" i="7"/>
  <c r="AC24" i="7" s="1"/>
  <c r="AD16" i="7"/>
  <c r="AE16" i="7"/>
  <c r="AF16" i="7"/>
  <c r="AF24" i="7" s="1"/>
  <c r="AF26" i="7" s="1"/>
  <c r="AH16" i="7"/>
  <c r="AH24" i="7" s="1"/>
  <c r="AI16" i="7"/>
  <c r="AI18" i="7" s="1"/>
  <c r="AJ16" i="7"/>
  <c r="AK16" i="7"/>
  <c r="AK18" i="7" s="1"/>
  <c r="AL16" i="7"/>
  <c r="AM16" i="7"/>
  <c r="AM24" i="7" s="1"/>
  <c r="AN16" i="7"/>
  <c r="AO16" i="7"/>
  <c r="AP16" i="7"/>
  <c r="AR16" i="7"/>
  <c r="AR18" i="7" s="1"/>
  <c r="AS16" i="7"/>
  <c r="AT16" i="7"/>
  <c r="AU16" i="7"/>
  <c r="AU24" i="7" s="1"/>
  <c r="G18" i="7"/>
  <c r="I18" i="7"/>
  <c r="L18" i="7"/>
  <c r="N18" i="7"/>
  <c r="Q18" i="7"/>
  <c r="U18" i="7"/>
  <c r="V18" i="7"/>
  <c r="AN18" i="7"/>
  <c r="AO18" i="7"/>
  <c r="AS18" i="7"/>
  <c r="AT18" i="7"/>
  <c r="H20" i="7"/>
  <c r="H21" i="7"/>
  <c r="H22" i="7"/>
  <c r="H23" i="7"/>
  <c r="M20" i="7"/>
  <c r="M21" i="7"/>
  <c r="M22" i="7"/>
  <c r="M23" i="7"/>
  <c r="R20" i="7"/>
  <c r="R21" i="7"/>
  <c r="R22" i="7"/>
  <c r="R23" i="7"/>
  <c r="W20" i="7"/>
  <c r="W21" i="7"/>
  <c r="W22" i="7"/>
  <c r="W23" i="7"/>
  <c r="AB20" i="7"/>
  <c r="AB21" i="7"/>
  <c r="AB22" i="7"/>
  <c r="AB23" i="7"/>
  <c r="AG20" i="7"/>
  <c r="AG21" i="7"/>
  <c r="AG22" i="7"/>
  <c r="AG23" i="7"/>
  <c r="AL20" i="7"/>
  <c r="AL21" i="7"/>
  <c r="AL22" i="7"/>
  <c r="AL23" i="7"/>
  <c r="AQ20" i="7"/>
  <c r="AQ21" i="7"/>
  <c r="AQ22" i="7"/>
  <c r="AQ23" i="7"/>
  <c r="F24" i="7"/>
  <c r="F26" i="7" s="1"/>
  <c r="I24" i="7"/>
  <c r="I26" i="7" s="1"/>
  <c r="K24" i="7"/>
  <c r="K26" i="7" s="1"/>
  <c r="N24" i="7"/>
  <c r="N26" i="7" s="1"/>
  <c r="P24" i="7"/>
  <c r="U24" i="7"/>
  <c r="U26" i="7" s="1"/>
  <c r="Z24" i="7"/>
  <c r="AE24" i="7"/>
  <c r="AJ24" i="7"/>
  <c r="AN24" i="7"/>
  <c r="AO24" i="7"/>
  <c r="AR24" i="7"/>
  <c r="AR26" i="7" s="1"/>
  <c r="AS24" i="7"/>
  <c r="AT24" i="7"/>
  <c r="J26" i="7"/>
  <c r="P26" i="7"/>
  <c r="AJ26" i="7"/>
  <c r="AN26" i="7"/>
  <c r="AO26" i="7"/>
  <c r="AS26" i="7"/>
  <c r="AT26" i="7"/>
  <c r="AX29" i="7"/>
  <c r="BC29" i="7" s="1"/>
  <c r="BH29" i="7" s="1"/>
  <c r="AY29" i="7"/>
  <c r="BD29" i="7" s="1"/>
  <c r="AZ29" i="7"/>
  <c r="BE29" i="7" s="1"/>
  <c r="BJ29" i="7" s="1"/>
  <c r="H28" i="7"/>
  <c r="H29" i="7"/>
  <c r="M28" i="7"/>
  <c r="M29" i="7"/>
  <c r="M30" i="7" s="1"/>
  <c r="R28" i="7"/>
  <c r="R29" i="7"/>
  <c r="W28" i="7"/>
  <c r="W29" i="7"/>
  <c r="W30" i="7" s="1"/>
  <c r="AB28" i="7"/>
  <c r="AB29" i="7"/>
  <c r="AB30" i="7" s="1"/>
  <c r="AG28" i="7"/>
  <c r="AG29" i="7"/>
  <c r="AL28" i="7"/>
  <c r="AL29" i="7"/>
  <c r="AL30" i="7" s="1"/>
  <c r="AQ28" i="7"/>
  <c r="AQ29" i="7"/>
  <c r="E30" i="7"/>
  <c r="F30" i="7"/>
  <c r="G30" i="7"/>
  <c r="H30" i="7"/>
  <c r="I30" i="7"/>
  <c r="J30" i="7"/>
  <c r="K30" i="7"/>
  <c r="L30" i="7"/>
  <c r="N30" i="7"/>
  <c r="O30" i="7"/>
  <c r="P30" i="7"/>
  <c r="Q30" i="7"/>
  <c r="S30" i="7"/>
  <c r="T30" i="7"/>
  <c r="U30" i="7"/>
  <c r="V30" i="7"/>
  <c r="X30" i="7"/>
  <c r="Y30" i="7"/>
  <c r="Z30" i="7"/>
  <c r="AA30" i="7"/>
  <c r="AC30" i="7"/>
  <c r="AD30" i="7"/>
  <c r="AE30" i="7"/>
  <c r="AF30" i="7"/>
  <c r="AG30" i="7"/>
  <c r="AH30" i="7"/>
  <c r="AI30" i="7"/>
  <c r="AJ30" i="7"/>
  <c r="AK30" i="7"/>
  <c r="AM30" i="7"/>
  <c r="AN30" i="7"/>
  <c r="AO30" i="7"/>
  <c r="AP30" i="7"/>
  <c r="AR30" i="7"/>
  <c r="AS30" i="7"/>
  <c r="AS32" i="7" s="1"/>
  <c r="AS33" i="7" s="1"/>
  <c r="AT30" i="7"/>
  <c r="AU30" i="7"/>
  <c r="P32" i="7"/>
  <c r="P33" i="7" s="1"/>
  <c r="AN32" i="7"/>
  <c r="AN33" i="7" s="1"/>
  <c r="AT32" i="7"/>
  <c r="H35" i="7"/>
  <c r="H36" i="7"/>
  <c r="M35" i="7"/>
  <c r="M36" i="7"/>
  <c r="R35" i="7"/>
  <c r="R36" i="7"/>
  <c r="W35" i="7"/>
  <c r="W36" i="7"/>
  <c r="AB35" i="7"/>
  <c r="AB37" i="7" s="1"/>
  <c r="AB36" i="7"/>
  <c r="AG35" i="7"/>
  <c r="AG36" i="7"/>
  <c r="AL35" i="7"/>
  <c r="AL37" i="7" s="1"/>
  <c r="AL36" i="7"/>
  <c r="AQ35" i="7"/>
  <c r="AQ36" i="7"/>
  <c r="E37" i="7"/>
  <c r="F37" i="7"/>
  <c r="G37" i="7"/>
  <c r="I37" i="7"/>
  <c r="J37" i="7"/>
  <c r="K37" i="7"/>
  <c r="L37" i="7"/>
  <c r="N37" i="7"/>
  <c r="O37" i="7"/>
  <c r="P37" i="7"/>
  <c r="Q37" i="7"/>
  <c r="S37" i="7"/>
  <c r="T37" i="7"/>
  <c r="U37" i="7"/>
  <c r="V37" i="7"/>
  <c r="X37" i="7"/>
  <c r="Y37" i="7"/>
  <c r="Z37" i="7"/>
  <c r="AA37" i="7"/>
  <c r="AC37" i="7"/>
  <c r="AD37" i="7"/>
  <c r="AE37" i="7"/>
  <c r="AF37" i="7"/>
  <c r="AH37" i="7"/>
  <c r="AI37" i="7"/>
  <c r="AJ37" i="7"/>
  <c r="AK37" i="7"/>
  <c r="AM37" i="7"/>
  <c r="AN37" i="7"/>
  <c r="AO37" i="7"/>
  <c r="AP37" i="7"/>
  <c r="AR37" i="7"/>
  <c r="AS37" i="7"/>
  <c r="AT37" i="7"/>
  <c r="AU37" i="7"/>
  <c r="H41" i="7"/>
  <c r="M41" i="7"/>
  <c r="R41" i="7"/>
  <c r="W41" i="7"/>
  <c r="AB41" i="7"/>
  <c r="AG41" i="7"/>
  <c r="AL41" i="7"/>
  <c r="AQ41" i="7"/>
  <c r="AX44" i="7"/>
  <c r="BC44" i="7" s="1"/>
  <c r="AY44" i="7"/>
  <c r="BD44" i="7" s="1"/>
  <c r="BI44" i="7" s="1"/>
  <c r="BN44" i="7" s="1"/>
  <c r="AZ44" i="7"/>
  <c r="BE44" i="7" s="1"/>
  <c r="BJ44" i="7" s="1"/>
  <c r="BO44" i="7" s="1"/>
  <c r="AX45" i="7"/>
  <c r="BC45" i="7" s="1"/>
  <c r="AY45" i="7"/>
  <c r="BD45" i="7" s="1"/>
  <c r="BI45" i="7" s="1"/>
  <c r="BN45" i="7" s="1"/>
  <c r="AZ45" i="7"/>
  <c r="BE45" i="7" s="1"/>
  <c r="BJ45" i="7" s="1"/>
  <c r="BO45" i="7" s="1"/>
  <c r="Q44" i="7"/>
  <c r="R44" i="7" s="1"/>
  <c r="Q45" i="7"/>
  <c r="V45" i="7" s="1"/>
  <c r="R45" i="7"/>
  <c r="H44" i="7"/>
  <c r="H45" i="7"/>
  <c r="M44" i="7"/>
  <c r="M45" i="7"/>
  <c r="AQ44" i="7"/>
  <c r="AQ45" i="7"/>
  <c r="H48" i="7"/>
  <c r="M48" i="7"/>
  <c r="R48" i="7"/>
  <c r="W48" i="7"/>
  <c r="AB48" i="7"/>
  <c r="AG48" i="7"/>
  <c r="AL48" i="7"/>
  <c r="AQ48" i="7"/>
  <c r="BB48" i="7"/>
  <c r="BG48" i="7"/>
  <c r="BL48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U51" i="7"/>
  <c r="V51" i="7"/>
  <c r="W51" i="7"/>
  <c r="X51" i="7"/>
  <c r="Y51" i="7"/>
  <c r="Z51" i="7"/>
  <c r="AA51" i="7"/>
  <c r="AB51" i="7"/>
  <c r="AC51" i="7"/>
  <c r="AD51" i="7"/>
  <c r="AE51" i="7"/>
  <c r="AF51" i="7"/>
  <c r="AG51" i="7"/>
  <c r="AH51" i="7"/>
  <c r="AI51" i="7"/>
  <c r="AJ51" i="7"/>
  <c r="AK51" i="7"/>
  <c r="AL51" i="7"/>
  <c r="AM51" i="7"/>
  <c r="AN51" i="7"/>
  <c r="AO51" i="7"/>
  <c r="AP51" i="7"/>
  <c r="AQ51" i="7"/>
  <c r="AR51" i="7"/>
  <c r="AS51" i="7"/>
  <c r="AT51" i="7"/>
  <c r="AU51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U52" i="7"/>
  <c r="V52" i="7"/>
  <c r="W52" i="7"/>
  <c r="X52" i="7"/>
  <c r="Y52" i="7"/>
  <c r="Z52" i="7"/>
  <c r="AA52" i="7"/>
  <c r="AB52" i="7"/>
  <c r="AC52" i="7"/>
  <c r="AD52" i="7"/>
  <c r="AE52" i="7"/>
  <c r="AF52" i="7"/>
  <c r="AG52" i="7"/>
  <c r="AH52" i="7"/>
  <c r="AI52" i="7"/>
  <c r="AJ52" i="7"/>
  <c r="AK52" i="7"/>
  <c r="AL52" i="7"/>
  <c r="AM52" i="7"/>
  <c r="AN52" i="7"/>
  <c r="AO52" i="7"/>
  <c r="AP52" i="7"/>
  <c r="AQ52" i="7"/>
  <c r="AR52" i="7"/>
  <c r="AS52" i="7"/>
  <c r="AT52" i="7"/>
  <c r="AU52" i="7"/>
  <c r="AX60" i="7"/>
  <c r="AY60" i="7"/>
  <c r="AX61" i="7"/>
  <c r="AY61" i="7"/>
  <c r="BF60" i="7"/>
  <c r="BE60" i="7" s="1"/>
  <c r="BD60" i="7" s="1"/>
  <c r="BC60" i="7" s="1"/>
  <c r="BF61" i="7"/>
  <c r="BE61" i="7" s="1"/>
  <c r="BD61" i="7" s="1"/>
  <c r="BC61" i="7" s="1"/>
  <c r="BK60" i="7"/>
  <c r="BJ60" i="7" s="1"/>
  <c r="BI60" i="7" s="1"/>
  <c r="BH60" i="7" s="1"/>
  <c r="BK61" i="7"/>
  <c r="BJ61" i="7" s="1"/>
  <c r="BI61" i="7" s="1"/>
  <c r="BH61" i="7" s="1"/>
  <c r="BC63" i="7"/>
  <c r="BD63" i="7"/>
  <c r="BH63" i="7"/>
  <c r="BI63" i="7"/>
  <c r="AX64" i="7"/>
  <c r="AY64" i="7"/>
  <c r="AZ64" i="7"/>
  <c r="BA64" i="7"/>
  <c r="AX66" i="7"/>
  <c r="AY66" i="7"/>
  <c r="AZ66" i="7"/>
  <c r="BA66" i="7"/>
  <c r="BC64" i="7"/>
  <c r="BD64" i="7"/>
  <c r="BE64" i="7"/>
  <c r="BF64" i="7"/>
  <c r="BC66" i="7"/>
  <c r="BD66" i="7"/>
  <c r="BE66" i="7"/>
  <c r="BF66" i="7"/>
  <c r="BH64" i="7"/>
  <c r="BI64" i="7"/>
  <c r="BJ64" i="7"/>
  <c r="BK64" i="7"/>
  <c r="BH66" i="7"/>
  <c r="BI66" i="7"/>
  <c r="BJ66" i="7"/>
  <c r="BK66" i="7"/>
  <c r="AX68" i="7"/>
  <c r="BG68" i="7"/>
  <c r="BF68" i="7" s="1"/>
  <c r="BF131" i="7" s="1"/>
  <c r="BL68" i="7"/>
  <c r="BJ68" i="7" s="1"/>
  <c r="BA70" i="7"/>
  <c r="AZ70" i="7" s="1"/>
  <c r="AY70" i="7" s="1"/>
  <c r="BA71" i="7"/>
  <c r="AZ71" i="7" s="1"/>
  <c r="AY71" i="7" s="1"/>
  <c r="AX71" i="7" s="1"/>
  <c r="AX147" i="7" s="1"/>
  <c r="BA72" i="7"/>
  <c r="BF70" i="7"/>
  <c r="BE70" i="7" s="1"/>
  <c r="BF71" i="7"/>
  <c r="BE71" i="7" s="1"/>
  <c r="BK70" i="7"/>
  <c r="BJ70" i="7" s="1"/>
  <c r="BK71" i="7"/>
  <c r="BG72" i="7"/>
  <c r="BF72" i="7" s="1"/>
  <c r="BE72" i="7" s="1"/>
  <c r="BD72" i="7" s="1"/>
  <c r="BC72" i="7" s="1"/>
  <c r="BK72" i="7"/>
  <c r="BJ72" i="7" s="1"/>
  <c r="BI72" i="7" s="1"/>
  <c r="BH72" i="7" s="1"/>
  <c r="BA74" i="7"/>
  <c r="AZ74" i="7" s="1"/>
  <c r="AY74" i="7" s="1"/>
  <c r="BF74" i="7"/>
  <c r="BE74" i="7" s="1"/>
  <c r="BD74" i="7" s="1"/>
  <c r="BK74" i="7"/>
  <c r="BJ74" i="7" s="1"/>
  <c r="Q77" i="7"/>
  <c r="Y77" i="7"/>
  <c r="Z77" i="7"/>
  <c r="AA77" i="7"/>
  <c r="AB77" i="7"/>
  <c r="AD77" i="7"/>
  <c r="AE77" i="7"/>
  <c r="AF77" i="7"/>
  <c r="AG77" i="7"/>
  <c r="AI77" i="7"/>
  <c r="AJ77" i="7"/>
  <c r="AK77" i="7"/>
  <c r="AL77" i="7"/>
  <c r="X77" i="7"/>
  <c r="AC77" i="7"/>
  <c r="AH77" i="7"/>
  <c r="AM77" i="7"/>
  <c r="H84" i="7"/>
  <c r="H85" i="7"/>
  <c r="H86" i="7"/>
  <c r="H87" i="7"/>
  <c r="M84" i="7"/>
  <c r="M85" i="7"/>
  <c r="M86" i="7"/>
  <c r="M87" i="7"/>
  <c r="R84" i="7"/>
  <c r="R85" i="7"/>
  <c r="R86" i="7"/>
  <c r="R88" i="7" s="1"/>
  <c r="R87" i="7"/>
  <c r="W84" i="7"/>
  <c r="W85" i="7"/>
  <c r="W86" i="7"/>
  <c r="W88" i="7" s="1"/>
  <c r="W87" i="7"/>
  <c r="AB84" i="7"/>
  <c r="AB85" i="7"/>
  <c r="AB86" i="7"/>
  <c r="AB87" i="7"/>
  <c r="AG84" i="7"/>
  <c r="AG85" i="7"/>
  <c r="AG86" i="7"/>
  <c r="AG87" i="7"/>
  <c r="AL84" i="7"/>
  <c r="AL85" i="7"/>
  <c r="AL86" i="7"/>
  <c r="AL88" i="7" s="1"/>
  <c r="AL87" i="7"/>
  <c r="AQ84" i="7"/>
  <c r="AQ85" i="7"/>
  <c r="AQ86" i="7"/>
  <c r="AQ88" i="7" s="1"/>
  <c r="AQ87" i="7"/>
  <c r="AU84" i="7"/>
  <c r="AU85" i="7"/>
  <c r="AU86" i="7"/>
  <c r="AU88" i="7" s="1"/>
  <c r="AU89" i="7" s="1"/>
  <c r="AZ89" i="7" s="1"/>
  <c r="BE89" i="7" s="1"/>
  <c r="BJ89" i="7" s="1"/>
  <c r="AU87" i="7"/>
  <c r="E88" i="7"/>
  <c r="F88" i="7"/>
  <c r="G88" i="7"/>
  <c r="I88" i="7"/>
  <c r="I89" i="7" s="1"/>
  <c r="I90" i="7" s="1"/>
  <c r="J88" i="7"/>
  <c r="K88" i="7"/>
  <c r="K89" i="7" s="1"/>
  <c r="L88" i="7"/>
  <c r="N88" i="7"/>
  <c r="O88" i="7"/>
  <c r="P88" i="7"/>
  <c r="Q88" i="7"/>
  <c r="Q89" i="7" s="1"/>
  <c r="Q90" i="7" s="1"/>
  <c r="S88" i="7"/>
  <c r="S89" i="7" s="1"/>
  <c r="T88" i="7"/>
  <c r="U88" i="7"/>
  <c r="U89" i="7" s="1"/>
  <c r="U90" i="7" s="1"/>
  <c r="V88" i="7"/>
  <c r="V89" i="7" s="1"/>
  <c r="X88" i="7"/>
  <c r="Y88" i="7"/>
  <c r="Z88" i="7"/>
  <c r="AA88" i="7"/>
  <c r="AC88" i="7"/>
  <c r="AC89" i="7" s="1"/>
  <c r="AD88" i="7"/>
  <c r="AD89" i="7" s="1"/>
  <c r="AE88" i="7"/>
  <c r="AE89" i="7" s="1"/>
  <c r="AF88" i="7"/>
  <c r="AH88" i="7"/>
  <c r="AH89" i="7" s="1"/>
  <c r="AH90" i="7" s="1"/>
  <c r="AI88" i="7"/>
  <c r="AI89" i="7" s="1"/>
  <c r="AJ88" i="7"/>
  <c r="AK88" i="7"/>
  <c r="AM88" i="7"/>
  <c r="AM89" i="7" s="1"/>
  <c r="AN88" i="7"/>
  <c r="AN89" i="7" s="1"/>
  <c r="AO88" i="7"/>
  <c r="AP88" i="7"/>
  <c r="AP89" i="7" s="1"/>
  <c r="AR88" i="7"/>
  <c r="AS88" i="7"/>
  <c r="AS89" i="7" s="1"/>
  <c r="AT88" i="7"/>
  <c r="AT89" i="7" s="1"/>
  <c r="E89" i="7"/>
  <c r="F89" i="7"/>
  <c r="J89" i="7"/>
  <c r="J90" i="7" s="1"/>
  <c r="N89" i="7"/>
  <c r="O89" i="7"/>
  <c r="O90" i="7" s="1"/>
  <c r="P89" i="7"/>
  <c r="T89" i="7"/>
  <c r="T90" i="7" s="1"/>
  <c r="X89" i="7"/>
  <c r="X90" i="7" s="1"/>
  <c r="Y89" i="7"/>
  <c r="Z89" i="7"/>
  <c r="AK89" i="7"/>
  <c r="AO89" i="7"/>
  <c r="E90" i="7"/>
  <c r="K90" i="7"/>
  <c r="Y90" i="7"/>
  <c r="AU93" i="7"/>
  <c r="AU94" i="7"/>
  <c r="AU95" i="7"/>
  <c r="E96" i="7"/>
  <c r="F96" i="7"/>
  <c r="F97" i="7" s="1"/>
  <c r="G96" i="7"/>
  <c r="G97" i="7" s="1"/>
  <c r="E97" i="7"/>
  <c r="I96" i="7"/>
  <c r="J96" i="7"/>
  <c r="K96" i="7"/>
  <c r="L96" i="7"/>
  <c r="I97" i="7"/>
  <c r="J97" i="7"/>
  <c r="K97" i="7"/>
  <c r="K99" i="7" s="1"/>
  <c r="L97" i="7"/>
  <c r="L99" i="7" s="1"/>
  <c r="N96" i="7"/>
  <c r="O96" i="7"/>
  <c r="P96" i="7"/>
  <c r="Q96" i="7"/>
  <c r="N97" i="7"/>
  <c r="O97" i="7"/>
  <c r="O99" i="7" s="1"/>
  <c r="P97" i="7"/>
  <c r="P101" i="7" s="1"/>
  <c r="P60" i="7" s="1"/>
  <c r="Q97" i="7"/>
  <c r="Q101" i="7" s="1"/>
  <c r="Q60" i="7" s="1"/>
  <c r="U96" i="7"/>
  <c r="U97" i="7" s="1"/>
  <c r="U99" i="7" s="1"/>
  <c r="V96" i="7"/>
  <c r="Y96" i="7"/>
  <c r="Y97" i="7" s="1"/>
  <c r="Z96" i="7"/>
  <c r="AA96" i="7"/>
  <c r="AD96" i="7"/>
  <c r="AD97" i="7" s="1"/>
  <c r="AD99" i="7" s="1"/>
  <c r="AE96" i="7"/>
  <c r="AE97" i="7" s="1"/>
  <c r="AF96" i="7"/>
  <c r="AI96" i="7"/>
  <c r="AJ96" i="7"/>
  <c r="AJ97" i="7" s="1"/>
  <c r="AJ99" i="7" s="1"/>
  <c r="AK96" i="7"/>
  <c r="AN96" i="7"/>
  <c r="AO96" i="7"/>
  <c r="AO97" i="7" s="1"/>
  <c r="AP96" i="7"/>
  <c r="AS96" i="7"/>
  <c r="AU96" i="7" s="1"/>
  <c r="AT96" i="7"/>
  <c r="S97" i="7"/>
  <c r="S99" i="7" s="1"/>
  <c r="T97" i="7"/>
  <c r="X97" i="7"/>
  <c r="X99" i="7" s="1"/>
  <c r="Z97" i="7"/>
  <c r="AA97" i="7"/>
  <c r="AA99" i="7" s="1"/>
  <c r="AC97" i="7"/>
  <c r="AC99" i="7" s="1"/>
  <c r="AF97" i="7"/>
  <c r="AF99" i="7" s="1"/>
  <c r="AH97" i="7"/>
  <c r="AH101" i="7" s="1"/>
  <c r="AH60" i="7" s="1"/>
  <c r="AK97" i="7"/>
  <c r="AK99" i="7" s="1"/>
  <c r="AM97" i="7"/>
  <c r="AM99" i="7" s="1"/>
  <c r="AN97" i="7"/>
  <c r="AR97" i="7"/>
  <c r="AS97" i="7"/>
  <c r="AT97" i="7"/>
  <c r="AU98" i="7"/>
  <c r="AZ98" i="7" s="1"/>
  <c r="BE98" i="7" s="1"/>
  <c r="BJ98" i="7" s="1"/>
  <c r="AX98" i="7"/>
  <c r="BC98" i="7" s="1"/>
  <c r="AY98" i="7"/>
  <c r="BD98" i="7" s="1"/>
  <c r="BI98" i="7" s="1"/>
  <c r="H93" i="7"/>
  <c r="H94" i="7"/>
  <c r="H95" i="7"/>
  <c r="H98" i="7"/>
  <c r="M93" i="7"/>
  <c r="M94" i="7"/>
  <c r="M95" i="7"/>
  <c r="M98" i="7"/>
  <c r="R93" i="7"/>
  <c r="R94" i="7"/>
  <c r="R95" i="7"/>
  <c r="R98" i="7"/>
  <c r="W93" i="7"/>
  <c r="W94" i="7"/>
  <c r="W95" i="7"/>
  <c r="W98" i="7"/>
  <c r="AB93" i="7"/>
  <c r="AB94" i="7"/>
  <c r="AB95" i="7"/>
  <c r="AB98" i="7"/>
  <c r="AG93" i="7"/>
  <c r="AG94" i="7"/>
  <c r="AG95" i="7"/>
  <c r="AG98" i="7"/>
  <c r="AL93" i="7"/>
  <c r="AL94" i="7"/>
  <c r="AL95" i="7"/>
  <c r="AL98" i="7"/>
  <c r="AQ93" i="7"/>
  <c r="AQ94" i="7"/>
  <c r="AQ95" i="7"/>
  <c r="AQ98" i="7"/>
  <c r="BA98" i="7" s="1"/>
  <c r="E99" i="7"/>
  <c r="I99" i="7"/>
  <c r="J99" i="7"/>
  <c r="Q99" i="7"/>
  <c r="AH99" i="7"/>
  <c r="AN99" i="7"/>
  <c r="AT99" i="7"/>
  <c r="AT109" i="7" s="1"/>
  <c r="N103" i="7"/>
  <c r="AN103" i="7"/>
  <c r="E108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T108" i="7"/>
  <c r="U108" i="7"/>
  <c r="V108" i="7"/>
  <c r="W108" i="7"/>
  <c r="X108" i="7"/>
  <c r="X109" i="7" s="1"/>
  <c r="Y108" i="7"/>
  <c r="Z108" i="7"/>
  <c r="AA108" i="7"/>
  <c r="AB108" i="7"/>
  <c r="AC108" i="7"/>
  <c r="AD108" i="7"/>
  <c r="AE108" i="7"/>
  <c r="AF108" i="7"/>
  <c r="AF109" i="7" s="1"/>
  <c r="AG108" i="7"/>
  <c r="AH108" i="7"/>
  <c r="AI108" i="7"/>
  <c r="AJ108" i="7"/>
  <c r="AJ109" i="7" s="1"/>
  <c r="AK108" i="7"/>
  <c r="AL108" i="7"/>
  <c r="AM108" i="7"/>
  <c r="AN108" i="7"/>
  <c r="AO108" i="7"/>
  <c r="AP108" i="7"/>
  <c r="AQ108" i="7"/>
  <c r="AR108" i="7"/>
  <c r="AM109" i="7"/>
  <c r="Y111" i="7"/>
  <c r="E117" i="7"/>
  <c r="F117" i="7"/>
  <c r="G117" i="7"/>
  <c r="H117" i="7"/>
  <c r="J117" i="7"/>
  <c r="K117" i="7"/>
  <c r="L117" i="7"/>
  <c r="M117" i="7"/>
  <c r="N117" i="7"/>
  <c r="O117" i="7"/>
  <c r="P117" i="7"/>
  <c r="Q117" i="7"/>
  <c r="R117" i="7"/>
  <c r="S117" i="7"/>
  <c r="T117" i="7"/>
  <c r="U117" i="7"/>
  <c r="V117" i="7"/>
  <c r="W117" i="7"/>
  <c r="W118" i="7" s="1"/>
  <c r="X117" i="7"/>
  <c r="Y117" i="7"/>
  <c r="Z117" i="7"/>
  <c r="AA117" i="7"/>
  <c r="AB117" i="7"/>
  <c r="AC117" i="7"/>
  <c r="AD117" i="7"/>
  <c r="AE117" i="7"/>
  <c r="AE118" i="7" s="1"/>
  <c r="AF117" i="7"/>
  <c r="AG117" i="7"/>
  <c r="AH117" i="7"/>
  <c r="AI117" i="7"/>
  <c r="AJ117" i="7"/>
  <c r="AK117" i="7"/>
  <c r="AL117" i="7"/>
  <c r="AM117" i="7"/>
  <c r="AN117" i="7"/>
  <c r="AO117" i="7"/>
  <c r="AO118" i="7" s="1"/>
  <c r="AP117" i="7"/>
  <c r="AQ117" i="7"/>
  <c r="AR117" i="7"/>
  <c r="J118" i="7"/>
  <c r="T118" i="7"/>
  <c r="U118" i="7"/>
  <c r="AN118" i="7"/>
  <c r="I123" i="7"/>
  <c r="I125" i="7" s="1"/>
  <c r="N123" i="7"/>
  <c r="N125" i="7" s="1"/>
  <c r="S123" i="7"/>
  <c r="S125" i="7" s="1"/>
  <c r="X123" i="7"/>
  <c r="AC123" i="7"/>
  <c r="AH123" i="7"/>
  <c r="AH125" i="7" s="1"/>
  <c r="AM123" i="7"/>
  <c r="AM125" i="7" s="1"/>
  <c r="AR123" i="7"/>
  <c r="AX131" i="7"/>
  <c r="BJ131" i="7"/>
  <c r="E134" i="7"/>
  <c r="E137" i="7" s="1"/>
  <c r="F134" i="7"/>
  <c r="G134" i="7"/>
  <c r="G137" i="7" s="1"/>
  <c r="H134" i="7"/>
  <c r="H137" i="7" s="1"/>
  <c r="I134" i="7"/>
  <c r="I135" i="7" s="1"/>
  <c r="J134" i="7"/>
  <c r="J137" i="7" s="1"/>
  <c r="K134" i="7"/>
  <c r="L134" i="7"/>
  <c r="L137" i="7" s="1"/>
  <c r="M134" i="7"/>
  <c r="M137" i="7" s="1"/>
  <c r="N134" i="7"/>
  <c r="N137" i="7" s="1"/>
  <c r="O134" i="7"/>
  <c r="P134" i="7"/>
  <c r="P137" i="7" s="1"/>
  <c r="Q134" i="7"/>
  <c r="R134" i="7"/>
  <c r="R137" i="7" s="1"/>
  <c r="S134" i="7"/>
  <c r="T134" i="7"/>
  <c r="T137" i="7" s="1"/>
  <c r="U134" i="7"/>
  <c r="V134" i="7"/>
  <c r="V137" i="7" s="1"/>
  <c r="W134" i="7"/>
  <c r="X134" i="7"/>
  <c r="Y134" i="7"/>
  <c r="Y137" i="7" s="1"/>
  <c r="Z134" i="7"/>
  <c r="Z137" i="7" s="1"/>
  <c r="AA134" i="7"/>
  <c r="AB134" i="7"/>
  <c r="AB137" i="7" s="1"/>
  <c r="AC134" i="7"/>
  <c r="AC135" i="7" s="1"/>
  <c r="AD134" i="7"/>
  <c r="AD137" i="7" s="1"/>
  <c r="AE134" i="7"/>
  <c r="AF134" i="7"/>
  <c r="AF137" i="7" s="1"/>
  <c r="AG134" i="7"/>
  <c r="AH134" i="7"/>
  <c r="AH137" i="7" s="1"/>
  <c r="AI134" i="7"/>
  <c r="AJ134" i="7"/>
  <c r="AJ137" i="7" s="1"/>
  <c r="AK134" i="7"/>
  <c r="AL134" i="7"/>
  <c r="AL137" i="7" s="1"/>
  <c r="AM134" i="7"/>
  <c r="AM135" i="7" s="1"/>
  <c r="AN134" i="7"/>
  <c r="AN137" i="7" s="1"/>
  <c r="AS138" i="7" s="1"/>
  <c r="AO134" i="7"/>
  <c r="AO137" i="7" s="1"/>
  <c r="AT138" i="7" s="1"/>
  <c r="AP134" i="7"/>
  <c r="AP137" i="7" s="1"/>
  <c r="AU138" i="7" s="1"/>
  <c r="AQ134" i="7"/>
  <c r="AR134" i="7"/>
  <c r="S135" i="7"/>
  <c r="W137" i="7"/>
  <c r="W138" i="7" s="1"/>
  <c r="E143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T143" i="7"/>
  <c r="U143" i="7"/>
  <c r="V143" i="7"/>
  <c r="W143" i="7"/>
  <c r="X143" i="7"/>
  <c r="Y143" i="7"/>
  <c r="Z143" i="7"/>
  <c r="AA143" i="7"/>
  <c r="AB143" i="7"/>
  <c r="AC143" i="7"/>
  <c r="AD143" i="7"/>
  <c r="AE143" i="7"/>
  <c r="AF143" i="7"/>
  <c r="AG143" i="7"/>
  <c r="AH143" i="7"/>
  <c r="AI143" i="7"/>
  <c r="AJ143" i="7"/>
  <c r="AK143" i="7"/>
  <c r="AL143" i="7"/>
  <c r="AM143" i="7"/>
  <c r="AN143" i="7"/>
  <c r="AS144" i="7" s="1"/>
  <c r="AS70" i="7" s="1"/>
  <c r="AO143" i="7"/>
  <c r="AT144" i="7" s="1"/>
  <c r="AT70" i="7" s="1"/>
  <c r="AP143" i="7"/>
  <c r="AU144" i="7" s="1"/>
  <c r="AU70" i="7" s="1"/>
  <c r="AQ143" i="7"/>
  <c r="AV144" i="7" s="1"/>
  <c r="AV70" i="7" s="1"/>
  <c r="AR143" i="7"/>
  <c r="AW144" i="7" s="1"/>
  <c r="AW70" i="7" s="1"/>
  <c r="AH144" i="7"/>
  <c r="AH70" i="7" s="1"/>
  <c r="AZ144" i="7"/>
  <c r="BA144" i="7"/>
  <c r="E146" i="7"/>
  <c r="F146" i="7"/>
  <c r="G146" i="7"/>
  <c r="H146" i="7"/>
  <c r="I146" i="7"/>
  <c r="J146" i="7"/>
  <c r="K146" i="7"/>
  <c r="L146" i="7"/>
  <c r="Q147" i="7" s="1"/>
  <c r="Q71" i="7" s="1"/>
  <c r="M146" i="7"/>
  <c r="N146" i="7"/>
  <c r="O146" i="7"/>
  <c r="P146" i="7"/>
  <c r="Q146" i="7"/>
  <c r="R146" i="7"/>
  <c r="S146" i="7"/>
  <c r="T146" i="7"/>
  <c r="U146" i="7"/>
  <c r="V146" i="7"/>
  <c r="W146" i="7"/>
  <c r="X146" i="7"/>
  <c r="Y146" i="7"/>
  <c r="Z146" i="7"/>
  <c r="AA146" i="7"/>
  <c r="AB146" i="7"/>
  <c r="AC146" i="7"/>
  <c r="AD146" i="7"/>
  <c r="AE146" i="7"/>
  <c r="AF146" i="7"/>
  <c r="AG146" i="7"/>
  <c r="AH146" i="7"/>
  <c r="AI146" i="7"/>
  <c r="AJ146" i="7"/>
  <c r="AK146" i="7"/>
  <c r="AL146" i="7"/>
  <c r="AM146" i="7"/>
  <c r="AN146" i="7"/>
  <c r="AS147" i="7" s="1"/>
  <c r="AS71" i="7" s="1"/>
  <c r="AO146" i="7"/>
  <c r="AP146" i="7"/>
  <c r="AU147" i="7" s="1"/>
  <c r="AU71" i="7" s="1"/>
  <c r="AQ146" i="7"/>
  <c r="AV147" i="7" s="1"/>
  <c r="AV71" i="7" s="1"/>
  <c r="AR146" i="7"/>
  <c r="AW147" i="7" s="1"/>
  <c r="AW71" i="7" s="1"/>
  <c r="AZ147" i="7"/>
  <c r="BF147" i="7"/>
  <c r="E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T149" i="7"/>
  <c r="U149" i="7"/>
  <c r="V149" i="7"/>
  <c r="W149" i="7"/>
  <c r="X149" i="7"/>
  <c r="Y149" i="7"/>
  <c r="Z149" i="7"/>
  <c r="AA149" i="7"/>
  <c r="AB149" i="7"/>
  <c r="AC149" i="7"/>
  <c r="AD149" i="7"/>
  <c r="AE149" i="7"/>
  <c r="AF149" i="7"/>
  <c r="AG149" i="7"/>
  <c r="AH149" i="7"/>
  <c r="AI149" i="7"/>
  <c r="AJ149" i="7"/>
  <c r="AK149" i="7"/>
  <c r="AL149" i="7"/>
  <c r="AM149" i="7"/>
  <c r="AN149" i="7"/>
  <c r="AS150" i="7" s="1"/>
  <c r="AS72" i="7" s="1"/>
  <c r="AO149" i="7"/>
  <c r="AP149" i="7"/>
  <c r="AU150" i="7" s="1"/>
  <c r="AU72" i="7" s="1"/>
  <c r="AQ149" i="7"/>
  <c r="AV150" i="7" s="1"/>
  <c r="AV72" i="7" s="1"/>
  <c r="AR149" i="7"/>
  <c r="AW150" i="7" s="1"/>
  <c r="AW72" i="7" s="1"/>
  <c r="BC150" i="7"/>
  <c r="BH150" i="7"/>
  <c r="BI150" i="7"/>
  <c r="BJ150" i="7"/>
  <c r="BK150" i="7"/>
  <c r="E155" i="7"/>
  <c r="E157" i="7" s="1"/>
  <c r="F155" i="7"/>
  <c r="G155" i="7"/>
  <c r="G157" i="7" s="1"/>
  <c r="J155" i="7"/>
  <c r="J157" i="7" s="1"/>
  <c r="K155" i="7"/>
  <c r="K157" i="7" s="1"/>
  <c r="L155" i="7"/>
  <c r="L157" i="7" s="1"/>
  <c r="N155" i="7"/>
  <c r="M155" i="7" s="1"/>
  <c r="O155" i="7"/>
  <c r="O157" i="7" s="1"/>
  <c r="P155" i="7"/>
  <c r="P157" i="7" s="1"/>
  <c r="Q155" i="7"/>
  <c r="Q157" i="7" s="1"/>
  <c r="S155" i="7"/>
  <c r="T155" i="7"/>
  <c r="T157" i="7" s="1"/>
  <c r="U155" i="7"/>
  <c r="U157" i="7" s="1"/>
  <c r="V155" i="7"/>
  <c r="V157" i="7" s="1"/>
  <c r="X155" i="7"/>
  <c r="W155" i="7" s="1"/>
  <c r="Y155" i="7"/>
  <c r="Y157" i="7" s="1"/>
  <c r="Z155" i="7"/>
  <c r="AA155" i="7"/>
  <c r="AA157" i="7" s="1"/>
  <c r="AC155" i="7"/>
  <c r="AC157" i="7" s="1"/>
  <c r="AD155" i="7"/>
  <c r="AD157" i="7" s="1"/>
  <c r="AE155" i="7"/>
  <c r="AE157" i="7" s="1"/>
  <c r="AF155" i="7"/>
  <c r="AF157" i="7" s="1"/>
  <c r="AH155" i="7"/>
  <c r="AH157" i="7" s="1"/>
  <c r="AI155" i="7"/>
  <c r="AI157" i="7" s="1"/>
  <c r="AJ155" i="7"/>
  <c r="AJ157" i="7" s="1"/>
  <c r="AK155" i="7"/>
  <c r="AK157" i="7" s="1"/>
  <c r="AM155" i="7"/>
  <c r="AM157" i="7" s="1"/>
  <c r="AN155" i="7"/>
  <c r="AN157" i="7" s="1"/>
  <c r="AO155" i="7"/>
  <c r="AO157" i="7" s="1"/>
  <c r="AP155" i="7"/>
  <c r="AP157" i="7" s="1"/>
  <c r="AR155" i="7"/>
  <c r="AR157" i="7" s="1"/>
  <c r="AS155" i="7"/>
  <c r="AS157" i="7" s="1"/>
  <c r="AT155" i="7"/>
  <c r="AU155" i="7"/>
  <c r="H155" i="7"/>
  <c r="H156" i="7"/>
  <c r="M156" i="7"/>
  <c r="R155" i="7"/>
  <c r="R156" i="7"/>
  <c r="W156" i="7"/>
  <c r="AB155" i="7"/>
  <c r="AB156" i="7"/>
  <c r="AG156" i="7"/>
  <c r="AL155" i="7"/>
  <c r="AL156" i="7"/>
  <c r="AQ156" i="7"/>
  <c r="F157" i="7"/>
  <c r="I157" i="7"/>
  <c r="N157" i="7"/>
  <c r="S157" i="7"/>
  <c r="X157" i="7"/>
  <c r="Z157" i="7"/>
  <c r="AT157" i="7"/>
  <c r="H159" i="7"/>
  <c r="M159" i="7"/>
  <c r="R159" i="7"/>
  <c r="W159" i="7"/>
  <c r="AB159" i="7"/>
  <c r="AG159" i="7"/>
  <c r="AL159" i="7"/>
  <c r="AQ159" i="7"/>
  <c r="AY163" i="7"/>
  <c r="AX166" i="7"/>
  <c r="AX167" i="7"/>
  <c r="AX168" i="7"/>
  <c r="AX169" i="7"/>
  <c r="AX170" i="7"/>
  <c r="BC166" i="7"/>
  <c r="BC167" i="7"/>
  <c r="BC168" i="7"/>
  <c r="BC169" i="7"/>
  <c r="BC170" i="7"/>
  <c r="BH166" i="7"/>
  <c r="BI166" i="7" s="1"/>
  <c r="BH167" i="7"/>
  <c r="BI167" i="7" s="1"/>
  <c r="BH168" i="7"/>
  <c r="BI168" i="7" s="1"/>
  <c r="BH169" i="7"/>
  <c r="BI169" i="7" s="1"/>
  <c r="BH170" i="7"/>
  <c r="BI170" i="7" s="1"/>
  <c r="BB172" i="7"/>
  <c r="BG172" i="7"/>
  <c r="BG94" i="4" s="1"/>
  <c r="BL172" i="7"/>
  <c r="BL94" i="4" s="1"/>
  <c r="E176" i="7"/>
  <c r="E177" i="7" s="1"/>
  <c r="F176" i="7"/>
  <c r="G176" i="7"/>
  <c r="G177" i="7" s="1"/>
  <c r="H176" i="7"/>
  <c r="I176" i="7"/>
  <c r="J176" i="7"/>
  <c r="J177" i="7" s="1"/>
  <c r="K176" i="7"/>
  <c r="K177" i="7" s="1"/>
  <c r="L176" i="7"/>
  <c r="L177" i="7" s="1"/>
  <c r="M176" i="7"/>
  <c r="N176" i="7"/>
  <c r="O176" i="7"/>
  <c r="O177" i="7" s="1"/>
  <c r="P176" i="7"/>
  <c r="P177" i="7" s="1"/>
  <c r="Q176" i="7"/>
  <c r="Q177" i="7" s="1"/>
  <c r="R176" i="7"/>
  <c r="R177" i="7" s="1"/>
  <c r="S176" i="7"/>
  <c r="T176" i="7"/>
  <c r="T177" i="7" s="1"/>
  <c r="U176" i="7"/>
  <c r="U177" i="7" s="1"/>
  <c r="V176" i="7"/>
  <c r="V177" i="7" s="1"/>
  <c r="W176" i="7"/>
  <c r="X176" i="7"/>
  <c r="X177" i="7" s="1"/>
  <c r="Y176" i="7"/>
  <c r="Y177" i="7" s="1"/>
  <c r="Z176" i="7"/>
  <c r="Z177" i="7" s="1"/>
  <c r="AA176" i="7"/>
  <c r="AA177" i="7" s="1"/>
  <c r="AB176" i="7"/>
  <c r="AC176" i="7"/>
  <c r="AC177" i="7" s="1"/>
  <c r="AD176" i="7"/>
  <c r="AD177" i="7" s="1"/>
  <c r="AE176" i="7"/>
  <c r="AE177" i="7" s="1"/>
  <c r="AF176" i="7"/>
  <c r="AF177" i="7" s="1"/>
  <c r="AG176" i="7"/>
  <c r="AH176" i="7"/>
  <c r="AH177" i="7" s="1"/>
  <c r="AI176" i="7"/>
  <c r="AI177" i="7" s="1"/>
  <c r="AJ176" i="7"/>
  <c r="AJ177" i="7" s="1"/>
  <c r="AK176" i="7"/>
  <c r="AK177" i="7" s="1"/>
  <c r="AL176" i="7"/>
  <c r="AL177" i="7" s="1"/>
  <c r="AM176" i="7"/>
  <c r="AM177" i="7" s="1"/>
  <c r="AN176" i="7"/>
  <c r="AN177" i="7" s="1"/>
  <c r="AO176" i="7"/>
  <c r="AO177" i="7" s="1"/>
  <c r="AP176" i="7"/>
  <c r="AP177" i="7" s="1"/>
  <c r="AQ176" i="7"/>
  <c r="AQ177" i="7" s="1"/>
  <c r="AR176" i="7"/>
  <c r="AR177" i="7" s="1"/>
  <c r="AY177" i="7"/>
  <c r="AZ177" i="7" s="1"/>
  <c r="BA177" i="7" s="1"/>
  <c r="BC177" i="7" s="1"/>
  <c r="BD177" i="7" s="1"/>
  <c r="BE177" i="7" s="1"/>
  <c r="BF177" i="7" s="1"/>
  <c r="BH177" i="7" s="1"/>
  <c r="BI177" i="7" s="1"/>
  <c r="BJ177" i="7" s="1"/>
  <c r="BK177" i="7" s="1"/>
  <c r="BM177" i="7" s="1"/>
  <c r="F177" i="7"/>
  <c r="I177" i="7"/>
  <c r="N177" i="7"/>
  <c r="S177" i="7"/>
  <c r="E179" i="7"/>
  <c r="E180" i="7" s="1"/>
  <c r="F179" i="7"/>
  <c r="F180" i="7" s="1"/>
  <c r="G179" i="7"/>
  <c r="G180" i="7" s="1"/>
  <c r="H179" i="7"/>
  <c r="I179" i="7"/>
  <c r="I180" i="7" s="1"/>
  <c r="J179" i="7"/>
  <c r="J180" i="7" s="1"/>
  <c r="K179" i="7"/>
  <c r="K180" i="7" s="1"/>
  <c r="L179" i="7"/>
  <c r="L180" i="7" s="1"/>
  <c r="M179" i="7"/>
  <c r="M180" i="7" s="1"/>
  <c r="N179" i="7"/>
  <c r="N180" i="7" s="1"/>
  <c r="O179" i="7"/>
  <c r="O180" i="7" s="1"/>
  <c r="P179" i="7"/>
  <c r="P180" i="7" s="1"/>
  <c r="Q179" i="7"/>
  <c r="Q180" i="7" s="1"/>
  <c r="R179" i="7"/>
  <c r="R180" i="7" s="1"/>
  <c r="S179" i="7"/>
  <c r="S180" i="7" s="1"/>
  <c r="T179" i="7"/>
  <c r="T180" i="7" s="1"/>
  <c r="U179" i="7"/>
  <c r="U180" i="7" s="1"/>
  <c r="V179" i="7"/>
  <c r="V180" i="7" s="1"/>
  <c r="W179" i="7"/>
  <c r="W180" i="7" s="1"/>
  <c r="X179" i="7"/>
  <c r="X180" i="7" s="1"/>
  <c r="Y179" i="7"/>
  <c r="Y180" i="7" s="1"/>
  <c r="Z179" i="7"/>
  <c r="Z180" i="7" s="1"/>
  <c r="AA179" i="7"/>
  <c r="AA180" i="7" s="1"/>
  <c r="AB179" i="7"/>
  <c r="AC179" i="7"/>
  <c r="AC180" i="7" s="1"/>
  <c r="AD179" i="7"/>
  <c r="AD180" i="7" s="1"/>
  <c r="AE179" i="7"/>
  <c r="AE180" i="7" s="1"/>
  <c r="AF179" i="7"/>
  <c r="AF180" i="7" s="1"/>
  <c r="AG179" i="7"/>
  <c r="AG180" i="7" s="1"/>
  <c r="AH179" i="7"/>
  <c r="AH180" i="7" s="1"/>
  <c r="AI179" i="7"/>
  <c r="AI180" i="7" s="1"/>
  <c r="AJ179" i="7"/>
  <c r="AJ180" i="7" s="1"/>
  <c r="AK179" i="7"/>
  <c r="AK180" i="7" s="1"/>
  <c r="AL179" i="7"/>
  <c r="AM179" i="7"/>
  <c r="AM180" i="7" s="1"/>
  <c r="AN179" i="7"/>
  <c r="AN180" i="7" s="1"/>
  <c r="AO179" i="7"/>
  <c r="AO180" i="7" s="1"/>
  <c r="AP179" i="7"/>
  <c r="AP180" i="7" s="1"/>
  <c r="AQ179" i="7"/>
  <c r="AQ180" i="7" s="1"/>
  <c r="AR179" i="7"/>
  <c r="AR180" i="7" s="1"/>
  <c r="AY180" i="7"/>
  <c r="AZ180" i="7"/>
  <c r="BA180" i="7" s="1"/>
  <c r="BC180" i="7" s="1"/>
  <c r="BD180" i="7" s="1"/>
  <c r="BE180" i="7" s="1"/>
  <c r="BF180" i="7" s="1"/>
  <c r="BH180" i="7" s="1"/>
  <c r="BI180" i="7" s="1"/>
  <c r="BJ180" i="7" s="1"/>
  <c r="BK180" i="7" s="1"/>
  <c r="AL180" i="7"/>
  <c r="BB194" i="7"/>
  <c r="BG194" i="7"/>
  <c r="BL194" i="7"/>
  <c r="E198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T198" i="7"/>
  <c r="U198" i="7"/>
  <c r="V198" i="7"/>
  <c r="W198" i="7"/>
  <c r="X198" i="7"/>
  <c r="Y198" i="7"/>
  <c r="Z198" i="7"/>
  <c r="AA198" i="7"/>
  <c r="AB198" i="7"/>
  <c r="AC198" i="7"/>
  <c r="AD198" i="7"/>
  <c r="AE198" i="7"/>
  <c r="AF198" i="7"/>
  <c r="AG198" i="7"/>
  <c r="AH198" i="7"/>
  <c r="AI198" i="7"/>
  <c r="AJ198" i="7"/>
  <c r="AK198" i="7"/>
  <c r="AL198" i="7"/>
  <c r="AM198" i="7"/>
  <c r="AN198" i="7"/>
  <c r="AO198" i="7"/>
  <c r="AP198" i="7"/>
  <c r="AQ198" i="7"/>
  <c r="AR198" i="7"/>
  <c r="E199" i="7"/>
  <c r="E161" i="7" s="1"/>
  <c r="F199" i="7"/>
  <c r="F161" i="7" s="1"/>
  <c r="G199" i="7"/>
  <c r="G161" i="7" s="1"/>
  <c r="G163" i="7" s="1"/>
  <c r="H199" i="7"/>
  <c r="H161" i="7" s="1"/>
  <c r="I199" i="7"/>
  <c r="I161" i="7" s="1"/>
  <c r="J199" i="7"/>
  <c r="J161" i="7" s="1"/>
  <c r="K199" i="7"/>
  <c r="K161" i="7" s="1"/>
  <c r="L199" i="7"/>
  <c r="L161" i="7" s="1"/>
  <c r="M199" i="7"/>
  <c r="M161" i="7" s="1"/>
  <c r="N199" i="7"/>
  <c r="N161" i="7" s="1"/>
  <c r="O199" i="7"/>
  <c r="O161" i="7" s="1"/>
  <c r="P199" i="7"/>
  <c r="P161" i="7" s="1"/>
  <c r="Q199" i="7"/>
  <c r="Q161" i="7" s="1"/>
  <c r="R199" i="7"/>
  <c r="R161" i="7" s="1"/>
  <c r="S199" i="7"/>
  <c r="T199" i="7"/>
  <c r="T161" i="7" s="1"/>
  <c r="U199" i="7"/>
  <c r="U161" i="7" s="1"/>
  <c r="V199" i="7"/>
  <c r="V161" i="7" s="1"/>
  <c r="W199" i="7"/>
  <c r="W161" i="7" s="1"/>
  <c r="X199" i="7"/>
  <c r="Y199" i="7"/>
  <c r="Y161" i="7" s="1"/>
  <c r="Z199" i="7"/>
  <c r="Z161" i="7" s="1"/>
  <c r="AA199" i="7"/>
  <c r="AA161" i="7" s="1"/>
  <c r="AB199" i="7"/>
  <c r="AB161" i="7" s="1"/>
  <c r="AC199" i="7"/>
  <c r="AD199" i="7"/>
  <c r="AD161" i="7" s="1"/>
  <c r="AE199" i="7"/>
  <c r="AE161" i="7" s="1"/>
  <c r="AF199" i="7"/>
  <c r="AF161" i="7" s="1"/>
  <c r="AG199" i="7"/>
  <c r="AG161" i="7" s="1"/>
  <c r="AH199" i="7"/>
  <c r="AI199" i="7"/>
  <c r="AI161" i="7" s="1"/>
  <c r="AJ199" i="7"/>
  <c r="AJ161" i="7" s="1"/>
  <c r="AK199" i="7"/>
  <c r="AK161" i="7" s="1"/>
  <c r="AL199" i="7"/>
  <c r="AL161" i="7" s="1"/>
  <c r="AM199" i="7"/>
  <c r="AN199" i="7"/>
  <c r="AN161" i="7" s="1"/>
  <c r="AO199" i="7"/>
  <c r="AO161" i="7" s="1"/>
  <c r="AP199" i="7"/>
  <c r="AP161" i="7" s="1"/>
  <c r="AQ199" i="7"/>
  <c r="AQ161" i="7" s="1"/>
  <c r="AR199" i="7"/>
  <c r="AS161" i="7"/>
  <c r="AT161" i="7"/>
  <c r="AU161" i="7"/>
  <c r="E200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T200" i="7"/>
  <c r="U200" i="7"/>
  <c r="V200" i="7"/>
  <c r="W200" i="7"/>
  <c r="X200" i="7"/>
  <c r="Y200" i="7"/>
  <c r="Z200" i="7"/>
  <c r="AA200" i="7"/>
  <c r="AB200" i="7"/>
  <c r="AC200" i="7"/>
  <c r="AD200" i="7"/>
  <c r="AE200" i="7"/>
  <c r="AF200" i="7"/>
  <c r="AG200" i="7"/>
  <c r="AH200" i="7"/>
  <c r="AI200" i="7"/>
  <c r="AJ200" i="7"/>
  <c r="AK200" i="7"/>
  <c r="AL200" i="7"/>
  <c r="AM200" i="7"/>
  <c r="AN200" i="7"/>
  <c r="AO200" i="7"/>
  <c r="AP200" i="7"/>
  <c r="AQ200" i="7"/>
  <c r="AR200" i="7"/>
  <c r="E201" i="7"/>
  <c r="F201" i="7"/>
  <c r="F264" i="7" s="1"/>
  <c r="G201" i="7"/>
  <c r="H201" i="7"/>
  <c r="I201" i="7"/>
  <c r="J201" i="7"/>
  <c r="J264" i="7" s="1"/>
  <c r="K201" i="7"/>
  <c r="L201" i="7"/>
  <c r="M201" i="7"/>
  <c r="N201" i="7"/>
  <c r="O201" i="7"/>
  <c r="P201" i="7"/>
  <c r="Q201" i="7"/>
  <c r="Q264" i="7" s="1"/>
  <c r="R201" i="7"/>
  <c r="R264" i="7" s="1"/>
  <c r="S201" i="7"/>
  <c r="T201" i="7"/>
  <c r="U201" i="7"/>
  <c r="V201" i="7"/>
  <c r="W201" i="7"/>
  <c r="X201" i="7"/>
  <c r="Y201" i="7"/>
  <c r="Y264" i="7" s="1"/>
  <c r="Z201" i="7"/>
  <c r="Z264" i="7" s="1"/>
  <c r="AA201" i="7"/>
  <c r="AB201" i="7"/>
  <c r="AC201" i="7"/>
  <c r="AD201" i="7"/>
  <c r="AD264" i="7" s="1"/>
  <c r="AE201" i="7"/>
  <c r="AF201" i="7"/>
  <c r="AG201" i="7"/>
  <c r="AG264" i="7" s="1"/>
  <c r="AH201" i="7"/>
  <c r="AI201" i="7"/>
  <c r="AJ201" i="7"/>
  <c r="AK201" i="7"/>
  <c r="AL201" i="7"/>
  <c r="AL264" i="7" s="1"/>
  <c r="AM201" i="7"/>
  <c r="AN201" i="7"/>
  <c r="AO201" i="7"/>
  <c r="AP201" i="7"/>
  <c r="AP264" i="7" s="1"/>
  <c r="AQ201" i="7"/>
  <c r="AR201" i="7"/>
  <c r="AS264" i="7"/>
  <c r="AT264" i="7"/>
  <c r="CO198" i="7"/>
  <c r="CO199" i="7"/>
  <c r="CO200" i="7"/>
  <c r="CO201" i="7"/>
  <c r="CT198" i="7"/>
  <c r="CT199" i="7"/>
  <c r="CT200" i="7"/>
  <c r="CT201" i="7"/>
  <c r="CY198" i="7"/>
  <c r="CY199" i="7"/>
  <c r="CY200" i="7"/>
  <c r="CY201" i="7"/>
  <c r="DD198" i="7"/>
  <c r="DD199" i="7"/>
  <c r="DD200" i="7"/>
  <c r="DD201" i="7"/>
  <c r="DI198" i="7"/>
  <c r="DI199" i="7"/>
  <c r="DI200" i="7"/>
  <c r="DI201" i="7"/>
  <c r="DN198" i="7"/>
  <c r="DN199" i="7"/>
  <c r="DN200" i="7"/>
  <c r="DN201" i="7"/>
  <c r="DS198" i="7"/>
  <c r="DS199" i="7"/>
  <c r="DS200" i="7"/>
  <c r="DS201" i="7"/>
  <c r="DX198" i="7"/>
  <c r="DX199" i="7"/>
  <c r="DX200" i="7"/>
  <c r="DX201" i="7"/>
  <c r="AX202" i="7"/>
  <c r="AY202" i="7" s="1"/>
  <c r="AZ202" i="7" s="1"/>
  <c r="BA202" i="7" s="1"/>
  <c r="AX203" i="7"/>
  <c r="AY203" i="7" s="1"/>
  <c r="AZ203" i="7" s="1"/>
  <c r="BA203" i="7" s="1"/>
  <c r="BC202" i="7"/>
  <c r="BD202" i="7" s="1"/>
  <c r="BE202" i="7" s="1"/>
  <c r="BF202" i="7" s="1"/>
  <c r="BC203" i="7"/>
  <c r="BD203" i="7" s="1"/>
  <c r="BE203" i="7" s="1"/>
  <c r="BF203" i="7" s="1"/>
  <c r="BH202" i="7"/>
  <c r="BI202" i="7"/>
  <c r="BJ202" i="7" s="1"/>
  <c r="BK202" i="7" s="1"/>
  <c r="BH203" i="7"/>
  <c r="BI203" i="7" s="1"/>
  <c r="BJ203" i="7" s="1"/>
  <c r="BK203" i="7" s="1"/>
  <c r="CL202" i="7"/>
  <c r="E202" i="7" s="1"/>
  <c r="CM202" i="7"/>
  <c r="F202" i="7" s="1"/>
  <c r="CN202" i="7"/>
  <c r="G202" i="7" s="1"/>
  <c r="CP202" i="7"/>
  <c r="I202" i="7" s="1"/>
  <c r="CQ202" i="7"/>
  <c r="J202" i="7" s="1"/>
  <c r="CR202" i="7"/>
  <c r="K202" i="7" s="1"/>
  <c r="CS202" i="7"/>
  <c r="CS204" i="7" s="1"/>
  <c r="CU202" i="7"/>
  <c r="N202" i="7" s="1"/>
  <c r="CV202" i="7"/>
  <c r="O202" i="7" s="1"/>
  <c r="CW202" i="7"/>
  <c r="P202" i="7" s="1"/>
  <c r="CX202" i="7"/>
  <c r="CL203" i="7"/>
  <c r="CM203" i="7"/>
  <c r="CN203" i="7"/>
  <c r="G203" i="7" s="1"/>
  <c r="CP203" i="7"/>
  <c r="CQ203" i="7"/>
  <c r="J203" i="7" s="1"/>
  <c r="CR203" i="7"/>
  <c r="CS203" i="7"/>
  <c r="CU203" i="7"/>
  <c r="CU204" i="7" s="1"/>
  <c r="N204" i="7" s="1"/>
  <c r="CV203" i="7"/>
  <c r="O203" i="7" s="1"/>
  <c r="CW203" i="7"/>
  <c r="CX203" i="7"/>
  <c r="CZ202" i="7"/>
  <c r="DA202" i="7"/>
  <c r="T202" i="7" s="1"/>
  <c r="DB202" i="7"/>
  <c r="DC202" i="7"/>
  <c r="DE202" i="7"/>
  <c r="DF202" i="7"/>
  <c r="Y202" i="7" s="1"/>
  <c r="DG202" i="7"/>
  <c r="DH202" i="7"/>
  <c r="DJ202" i="7"/>
  <c r="AC202" i="7" s="1"/>
  <c r="DK202" i="7"/>
  <c r="AD202" i="7" s="1"/>
  <c r="DL202" i="7"/>
  <c r="DM202" i="7"/>
  <c r="DO202" i="7"/>
  <c r="DN202" i="7" s="1"/>
  <c r="DP202" i="7"/>
  <c r="AI202" i="7" s="1"/>
  <c r="DQ202" i="7"/>
  <c r="DR202" i="7"/>
  <c r="DT202" i="7"/>
  <c r="DU202" i="7"/>
  <c r="AN202" i="7" s="1"/>
  <c r="DV202" i="7"/>
  <c r="DW202" i="7"/>
  <c r="DY202" i="7"/>
  <c r="DZ202" i="7"/>
  <c r="EA202" i="7"/>
  <c r="EB202" i="7"/>
  <c r="CZ203" i="7"/>
  <c r="R203" i="7" s="1"/>
  <c r="DA203" i="7"/>
  <c r="T203" i="7" s="1"/>
  <c r="DB203" i="7"/>
  <c r="DC203" i="7"/>
  <c r="DE203" i="7"/>
  <c r="X203" i="7" s="1"/>
  <c r="DF203" i="7"/>
  <c r="DG203" i="7"/>
  <c r="DH203" i="7"/>
  <c r="DJ203" i="7"/>
  <c r="DK203" i="7"/>
  <c r="AD203" i="7" s="1"/>
  <c r="DL203" i="7"/>
  <c r="AE203" i="7" s="1"/>
  <c r="DM203" i="7"/>
  <c r="AF203" i="7" s="1"/>
  <c r="DO203" i="7"/>
  <c r="DP203" i="7"/>
  <c r="AI203" i="7" s="1"/>
  <c r="DQ203" i="7"/>
  <c r="AJ203" i="7" s="1"/>
  <c r="DR203" i="7"/>
  <c r="DT203" i="7"/>
  <c r="AL203" i="7" s="1"/>
  <c r="DU203" i="7"/>
  <c r="AN203" i="7" s="1"/>
  <c r="DV203" i="7"/>
  <c r="DV204" i="7" s="1"/>
  <c r="DW203" i="7"/>
  <c r="DY203" i="7"/>
  <c r="AQ203" i="7" s="1"/>
  <c r="DZ203" i="7"/>
  <c r="DZ204" i="7" s="1"/>
  <c r="EA203" i="7"/>
  <c r="EB203" i="7"/>
  <c r="DA204" i="7"/>
  <c r="DK204" i="7"/>
  <c r="DL204" i="7"/>
  <c r="DQ204" i="7"/>
  <c r="DW204" i="7"/>
  <c r="EA204" i="7"/>
  <c r="EB204" i="7"/>
  <c r="CL204" i="7"/>
  <c r="CM204" i="7"/>
  <c r="CQ204" i="7"/>
  <c r="E206" i="7"/>
  <c r="E172" i="7" s="1"/>
  <c r="E262" i="7" s="1"/>
  <c r="F206" i="7"/>
  <c r="F172" i="7" s="1"/>
  <c r="F262" i="7" s="1"/>
  <c r="G206" i="7"/>
  <c r="G172" i="7" s="1"/>
  <c r="G94" i="4" s="1"/>
  <c r="H206" i="7"/>
  <c r="H172" i="7" s="1"/>
  <c r="H262" i="7" s="1"/>
  <c r="E207" i="7"/>
  <c r="F207" i="7"/>
  <c r="G207" i="7"/>
  <c r="H207" i="7"/>
  <c r="E208" i="7"/>
  <c r="F208" i="7"/>
  <c r="G208" i="7"/>
  <c r="H208" i="7"/>
  <c r="E209" i="7"/>
  <c r="F209" i="7"/>
  <c r="G209" i="7"/>
  <c r="H209" i="7"/>
  <c r="J206" i="7"/>
  <c r="J172" i="7" s="1"/>
  <c r="K206" i="7"/>
  <c r="K172" i="7" s="1"/>
  <c r="K262" i="7" s="1"/>
  <c r="L206" i="7"/>
  <c r="L172" i="7" s="1"/>
  <c r="L262" i="7" s="1"/>
  <c r="M206" i="7"/>
  <c r="N206" i="7"/>
  <c r="N172" i="7" s="1"/>
  <c r="N94" i="4" s="1"/>
  <c r="O206" i="7"/>
  <c r="O172" i="7" s="1"/>
  <c r="O262" i="7" s="1"/>
  <c r="P206" i="7"/>
  <c r="P172" i="7" s="1"/>
  <c r="P262" i="7" s="1"/>
  <c r="Q206" i="7"/>
  <c r="R206" i="7"/>
  <c r="R172" i="7" s="1"/>
  <c r="S206" i="7"/>
  <c r="S172" i="7" s="1"/>
  <c r="T206" i="7"/>
  <c r="T172" i="7" s="1"/>
  <c r="U206" i="7"/>
  <c r="V206" i="7"/>
  <c r="V172" i="7" s="1"/>
  <c r="V94" i="4" s="1"/>
  <c r="W206" i="7"/>
  <c r="W172" i="7" s="1"/>
  <c r="W262" i="7" s="1"/>
  <c r="X206" i="7"/>
  <c r="X172" i="7" s="1"/>
  <c r="X94" i="4" s="1"/>
  <c r="Y206" i="7"/>
  <c r="Z206" i="7"/>
  <c r="Z172" i="7" s="1"/>
  <c r="Z262" i="7" s="1"/>
  <c r="AA206" i="7"/>
  <c r="AA172" i="7" s="1"/>
  <c r="AA262" i="7" s="1"/>
  <c r="AB206" i="7"/>
  <c r="AB172" i="7" s="1"/>
  <c r="AB262" i="7" s="1"/>
  <c r="AC206" i="7"/>
  <c r="AC172" i="7" s="1"/>
  <c r="AC94" i="4" s="1"/>
  <c r="AD206" i="7"/>
  <c r="AD172" i="7" s="1"/>
  <c r="AE206" i="7"/>
  <c r="AE172" i="7" s="1"/>
  <c r="AE262" i="7" s="1"/>
  <c r="AF206" i="7"/>
  <c r="AF172" i="7" s="1"/>
  <c r="AF262" i="7" s="1"/>
  <c r="AG206" i="7"/>
  <c r="AH206" i="7"/>
  <c r="AH172" i="7" s="1"/>
  <c r="AH94" i="4" s="1"/>
  <c r="AI206" i="7"/>
  <c r="AI172" i="7" s="1"/>
  <c r="AI262" i="7" s="1"/>
  <c r="AJ206" i="7"/>
  <c r="AJ172" i="7" s="1"/>
  <c r="AJ94" i="4" s="1"/>
  <c r="AK206" i="7"/>
  <c r="AL206" i="7"/>
  <c r="AL172" i="7" s="1"/>
  <c r="AL262" i="7" s="1"/>
  <c r="AM206" i="7"/>
  <c r="AM172" i="7" s="1"/>
  <c r="AM94" i="4" s="1"/>
  <c r="AN206" i="7"/>
  <c r="AN172" i="7" s="1"/>
  <c r="AO206" i="7"/>
  <c r="AP206" i="7"/>
  <c r="AP172" i="7" s="1"/>
  <c r="AP262" i="7" s="1"/>
  <c r="AQ206" i="7"/>
  <c r="AQ172" i="7" s="1"/>
  <c r="AQ262" i="7" s="1"/>
  <c r="AR206" i="7"/>
  <c r="AR172" i="7" s="1"/>
  <c r="AR94" i="4" s="1"/>
  <c r="AT94" i="4"/>
  <c r="AU262" i="7"/>
  <c r="J207" i="7"/>
  <c r="K207" i="7"/>
  <c r="L207" i="7"/>
  <c r="M207" i="7"/>
  <c r="N207" i="7"/>
  <c r="O207" i="7"/>
  <c r="P207" i="7"/>
  <c r="Q207" i="7"/>
  <c r="R207" i="7"/>
  <c r="S207" i="7"/>
  <c r="T207" i="7"/>
  <c r="U207" i="7"/>
  <c r="V207" i="7"/>
  <c r="W207" i="7"/>
  <c r="X207" i="7"/>
  <c r="Y207" i="7"/>
  <c r="Z207" i="7"/>
  <c r="AA207" i="7"/>
  <c r="AB207" i="7"/>
  <c r="AC207" i="7"/>
  <c r="AD207" i="7"/>
  <c r="AE207" i="7"/>
  <c r="AF207" i="7"/>
  <c r="AG207" i="7"/>
  <c r="AH207" i="7"/>
  <c r="AI207" i="7"/>
  <c r="AJ207" i="7"/>
  <c r="AK207" i="7"/>
  <c r="AL207" i="7"/>
  <c r="AM207" i="7"/>
  <c r="AN207" i="7"/>
  <c r="AO207" i="7"/>
  <c r="AP207" i="7"/>
  <c r="AQ207" i="7"/>
  <c r="AR207" i="7"/>
  <c r="CY206" i="7"/>
  <c r="CY207" i="7"/>
  <c r="DD206" i="7"/>
  <c r="DD207" i="7"/>
  <c r="DI206" i="7"/>
  <c r="DI207" i="7"/>
  <c r="DN206" i="7"/>
  <c r="DN207" i="7"/>
  <c r="DS206" i="7"/>
  <c r="DS207" i="7"/>
  <c r="DX206" i="7"/>
  <c r="DX207" i="7"/>
  <c r="J208" i="7"/>
  <c r="K208" i="7"/>
  <c r="L208" i="7"/>
  <c r="M208" i="7"/>
  <c r="N208" i="7"/>
  <c r="O208" i="7"/>
  <c r="P208" i="7"/>
  <c r="AX208" i="7"/>
  <c r="AY208" i="7" s="1"/>
  <c r="AZ208" i="7" s="1"/>
  <c r="BA208" i="7" s="1"/>
  <c r="BC208" i="7"/>
  <c r="BD208" i="7" s="1"/>
  <c r="BE208" i="7" s="1"/>
  <c r="BF208" i="7" s="1"/>
  <c r="BH208" i="7"/>
  <c r="BI208" i="7"/>
  <c r="CO206" i="7"/>
  <c r="CO207" i="7"/>
  <c r="CO208" i="7"/>
  <c r="CT206" i="7"/>
  <c r="CT207" i="7"/>
  <c r="CT208" i="7"/>
  <c r="CX208" i="7"/>
  <c r="Q208" i="7" s="1"/>
  <c r="CZ208" i="7"/>
  <c r="CZ209" i="7" s="1"/>
  <c r="S209" i="7" s="1"/>
  <c r="DA208" i="7"/>
  <c r="T208" i="7" s="1"/>
  <c r="T209" i="7" s="1"/>
  <c r="DB208" i="7"/>
  <c r="DC208" i="7"/>
  <c r="DE208" i="7"/>
  <c r="DF208" i="7"/>
  <c r="Y208" i="7" s="1"/>
  <c r="DG208" i="7"/>
  <c r="DG209" i="7" s="1"/>
  <c r="DH208" i="7"/>
  <c r="DJ208" i="7"/>
  <c r="AC208" i="7" s="1"/>
  <c r="DK208" i="7"/>
  <c r="AD208" i="7" s="1"/>
  <c r="DL208" i="7"/>
  <c r="DM208" i="7"/>
  <c r="DO208" i="7"/>
  <c r="AG208" i="7" s="1"/>
  <c r="DP208" i="7"/>
  <c r="AI208" i="7" s="1"/>
  <c r="DQ208" i="7"/>
  <c r="DR208" i="7"/>
  <c r="DT208" i="7"/>
  <c r="AL208" i="7" s="1"/>
  <c r="DU208" i="7"/>
  <c r="AN208" i="7" s="1"/>
  <c r="DV208" i="7"/>
  <c r="DW208" i="7"/>
  <c r="DY208" i="7"/>
  <c r="DX208" i="7" s="1"/>
  <c r="DX209" i="7" s="1"/>
  <c r="DZ208" i="7"/>
  <c r="EA208" i="7"/>
  <c r="EB208" i="7"/>
  <c r="K209" i="7"/>
  <c r="CL209" i="7"/>
  <c r="CM209" i="7"/>
  <c r="CN209" i="7"/>
  <c r="CP209" i="7"/>
  <c r="I209" i="7" s="1"/>
  <c r="CQ209" i="7"/>
  <c r="CR209" i="7"/>
  <c r="CS209" i="7"/>
  <c r="CU209" i="7"/>
  <c r="N209" i="7" s="1"/>
  <c r="CV209" i="7"/>
  <c r="CW209" i="7"/>
  <c r="DC209" i="7"/>
  <c r="DH209" i="7"/>
  <c r="DL209" i="7"/>
  <c r="DM209" i="7"/>
  <c r="DQ209" i="7"/>
  <c r="DU209" i="7"/>
  <c r="DW209" i="7"/>
  <c r="EA209" i="7"/>
  <c r="EB209" i="7"/>
  <c r="I206" i="7"/>
  <c r="I172" i="7" s="1"/>
  <c r="I94" i="4" s="1"/>
  <c r="I207" i="7"/>
  <c r="I208" i="7"/>
  <c r="I210" i="7"/>
  <c r="E211" i="7"/>
  <c r="E185" i="7" s="1"/>
  <c r="F211" i="7"/>
  <c r="F185" i="7" s="1"/>
  <c r="G211" i="7"/>
  <c r="G185" i="7" s="1"/>
  <c r="H211" i="7"/>
  <c r="H185" i="7" s="1"/>
  <c r="I211" i="7"/>
  <c r="I185" i="7" s="1"/>
  <c r="J211" i="7"/>
  <c r="K211" i="7"/>
  <c r="K185" i="7" s="1"/>
  <c r="L211" i="7"/>
  <c r="L185" i="7" s="1"/>
  <c r="M211" i="7"/>
  <c r="M185" i="7" s="1"/>
  <c r="N211" i="7"/>
  <c r="N185" i="7" s="1"/>
  <c r="O211" i="7"/>
  <c r="O185" i="7" s="1"/>
  <c r="P211" i="7"/>
  <c r="P185" i="7" s="1"/>
  <c r="Q211" i="7"/>
  <c r="Q185" i="7" s="1"/>
  <c r="R211" i="7"/>
  <c r="R185" i="7" s="1"/>
  <c r="S211" i="7"/>
  <c r="S185" i="7" s="1"/>
  <c r="T211" i="7"/>
  <c r="T185" i="7" s="1"/>
  <c r="U211" i="7"/>
  <c r="U185" i="7" s="1"/>
  <c r="V211" i="7"/>
  <c r="V185" i="7" s="1"/>
  <c r="W211" i="7"/>
  <c r="W185" i="7" s="1"/>
  <c r="X211" i="7"/>
  <c r="X185" i="7" s="1"/>
  <c r="Y211" i="7"/>
  <c r="Y185" i="7" s="1"/>
  <c r="Z211" i="7"/>
  <c r="Z185" i="7" s="1"/>
  <c r="AA211" i="7"/>
  <c r="AA185" i="7" s="1"/>
  <c r="AB211" i="7"/>
  <c r="AB185" i="7" s="1"/>
  <c r="AC211" i="7"/>
  <c r="AC185" i="7" s="1"/>
  <c r="AD211" i="7"/>
  <c r="AD185" i="7" s="1"/>
  <c r="AE211" i="7"/>
  <c r="AE185" i="7" s="1"/>
  <c r="AF211" i="7"/>
  <c r="AF185" i="7" s="1"/>
  <c r="AG211" i="7"/>
  <c r="AG185" i="7" s="1"/>
  <c r="AH211" i="7"/>
  <c r="AH185" i="7" s="1"/>
  <c r="AI211" i="7"/>
  <c r="AI185" i="7" s="1"/>
  <c r="AJ211" i="7"/>
  <c r="AJ185" i="7" s="1"/>
  <c r="AK211" i="7"/>
  <c r="AK185" i="7" s="1"/>
  <c r="AL211" i="7"/>
  <c r="AL185" i="7" s="1"/>
  <c r="AM211" i="7"/>
  <c r="AM185" i="7" s="1"/>
  <c r="AN211" i="7"/>
  <c r="AN185" i="7" s="1"/>
  <c r="AO211" i="7"/>
  <c r="AO185" i="7" s="1"/>
  <c r="AP211" i="7"/>
  <c r="AP185" i="7" s="1"/>
  <c r="AQ211" i="7"/>
  <c r="AQ185" i="7" s="1"/>
  <c r="AR211" i="7"/>
  <c r="AR185" i="7" s="1"/>
  <c r="E212" i="7"/>
  <c r="E186" i="7" s="1"/>
  <c r="F212" i="7"/>
  <c r="F186" i="7" s="1"/>
  <c r="G212" i="7"/>
  <c r="G186" i="7" s="1"/>
  <c r="H212" i="7"/>
  <c r="H186" i="7" s="1"/>
  <c r="I212" i="7"/>
  <c r="I186" i="7" s="1"/>
  <c r="J212" i="7"/>
  <c r="J186" i="7" s="1"/>
  <c r="K212" i="7"/>
  <c r="K186" i="7" s="1"/>
  <c r="L212" i="7"/>
  <c r="L186" i="7" s="1"/>
  <c r="M212" i="7"/>
  <c r="M186" i="7" s="1"/>
  <c r="N212" i="7"/>
  <c r="N186" i="7" s="1"/>
  <c r="O212" i="7"/>
  <c r="O186" i="7" s="1"/>
  <c r="P212" i="7"/>
  <c r="P186" i="7" s="1"/>
  <c r="Q212" i="7"/>
  <c r="Q186" i="7" s="1"/>
  <c r="R212" i="7"/>
  <c r="R186" i="7" s="1"/>
  <c r="S212" i="7"/>
  <c r="S186" i="7" s="1"/>
  <c r="T212" i="7"/>
  <c r="T186" i="7" s="1"/>
  <c r="U212" i="7"/>
  <c r="U186" i="7" s="1"/>
  <c r="V212" i="7"/>
  <c r="V186" i="7" s="1"/>
  <c r="W212" i="7"/>
  <c r="W186" i="7" s="1"/>
  <c r="X212" i="7"/>
  <c r="X186" i="7" s="1"/>
  <c r="Y212" i="7"/>
  <c r="Y186" i="7" s="1"/>
  <c r="Z212" i="7"/>
  <c r="Z186" i="7" s="1"/>
  <c r="AA212" i="7"/>
  <c r="AA186" i="7" s="1"/>
  <c r="AB212" i="7"/>
  <c r="AB186" i="7" s="1"/>
  <c r="AC212" i="7"/>
  <c r="AC186" i="7" s="1"/>
  <c r="AD212" i="7"/>
  <c r="AD186" i="7" s="1"/>
  <c r="AE212" i="7"/>
  <c r="AE186" i="7" s="1"/>
  <c r="AF212" i="7"/>
  <c r="AF186" i="7" s="1"/>
  <c r="AG212" i="7"/>
  <c r="AG186" i="7" s="1"/>
  <c r="AH212" i="7"/>
  <c r="AH186" i="7" s="1"/>
  <c r="AI212" i="7"/>
  <c r="AI186" i="7" s="1"/>
  <c r="AJ212" i="7"/>
  <c r="AJ186" i="7" s="1"/>
  <c r="AK212" i="7"/>
  <c r="AK186" i="7" s="1"/>
  <c r="AL212" i="7"/>
  <c r="AL186" i="7" s="1"/>
  <c r="AM212" i="7"/>
  <c r="AM186" i="7" s="1"/>
  <c r="AN212" i="7"/>
  <c r="AN186" i="7" s="1"/>
  <c r="AO212" i="7"/>
  <c r="AO186" i="7" s="1"/>
  <c r="AP212" i="7"/>
  <c r="AP186" i="7" s="1"/>
  <c r="AQ212" i="7"/>
  <c r="AQ186" i="7" s="1"/>
  <c r="AR212" i="7"/>
  <c r="AR186" i="7" s="1"/>
  <c r="CY211" i="7"/>
  <c r="CY212" i="7"/>
  <c r="DD211" i="7"/>
  <c r="DD212" i="7"/>
  <c r="DI211" i="7"/>
  <c r="DI212" i="7"/>
  <c r="E213" i="7"/>
  <c r="F213" i="7"/>
  <c r="G213" i="7"/>
  <c r="H213" i="7"/>
  <c r="I213" i="7"/>
  <c r="J213" i="7"/>
  <c r="K213" i="7"/>
  <c r="L213" i="7"/>
  <c r="M213" i="7"/>
  <c r="N213" i="7"/>
  <c r="O213" i="7"/>
  <c r="P213" i="7"/>
  <c r="T213" i="7"/>
  <c r="U213" i="7"/>
  <c r="V213" i="7"/>
  <c r="AA213" i="7"/>
  <c r="AN213" i="7"/>
  <c r="BB213" i="7"/>
  <c r="BG213" i="7"/>
  <c r="BL213" i="7"/>
  <c r="CX213" i="7"/>
  <c r="Q213" i="7" s="1"/>
  <c r="CZ213" i="7"/>
  <c r="S213" i="7" s="1"/>
  <c r="DE213" i="7"/>
  <c r="DF213" i="7"/>
  <c r="DJ213" i="7"/>
  <c r="AB213" i="7" s="1"/>
  <c r="DK213" i="7"/>
  <c r="AE213" i="7" s="1"/>
  <c r="DP213" i="7"/>
  <c r="DQ213" i="7"/>
  <c r="DR213" i="7"/>
  <c r="DQ214" i="7"/>
  <c r="AJ214" i="7" s="1"/>
  <c r="DR214" i="7"/>
  <c r="DT213" i="7"/>
  <c r="AM213" i="7" s="1"/>
  <c r="DV213" i="7"/>
  <c r="AO213" i="7" s="1"/>
  <c r="DW213" i="7"/>
  <c r="DY213" i="7"/>
  <c r="DZ213" i="7"/>
  <c r="EA213" i="7"/>
  <c r="EB213" i="7"/>
  <c r="DY214" i="7"/>
  <c r="DZ214" i="7"/>
  <c r="EA214" i="7"/>
  <c r="EB214" i="7"/>
  <c r="J214" i="7"/>
  <c r="T214" i="7"/>
  <c r="Y214" i="7"/>
  <c r="AD214" i="7"/>
  <c r="AI214" i="7"/>
  <c r="E215" i="7"/>
  <c r="F215" i="7"/>
  <c r="G215" i="7"/>
  <c r="H215" i="7"/>
  <c r="I215" i="7"/>
  <c r="J215" i="7"/>
  <c r="K215" i="7"/>
  <c r="L215" i="7"/>
  <c r="M215" i="7"/>
  <c r="N215" i="7"/>
  <c r="O215" i="7"/>
  <c r="P215" i="7"/>
  <c r="S215" i="7"/>
  <c r="T215" i="7"/>
  <c r="X215" i="7"/>
  <c r="Y215" i="7"/>
  <c r="AC215" i="7"/>
  <c r="AD215" i="7"/>
  <c r="AG215" i="7"/>
  <c r="AH215" i="7"/>
  <c r="AI215" i="7"/>
  <c r="AJ215" i="7"/>
  <c r="AK215" i="7"/>
  <c r="AL215" i="7"/>
  <c r="AM215" i="7"/>
  <c r="AN215" i="7"/>
  <c r="AO215" i="7"/>
  <c r="AP215" i="7"/>
  <c r="AQ215" i="7"/>
  <c r="AR215" i="7"/>
  <c r="AX214" i="7"/>
  <c r="AX215" i="7"/>
  <c r="BC214" i="7"/>
  <c r="BC215" i="7"/>
  <c r="BH214" i="7"/>
  <c r="BH215" i="7"/>
  <c r="CL214" i="7"/>
  <c r="CL216" i="7" s="1"/>
  <c r="CM214" i="7"/>
  <c r="CN214" i="7"/>
  <c r="G214" i="7" s="1"/>
  <c r="CP214" i="7"/>
  <c r="I214" i="7" s="1"/>
  <c r="CR214" i="7"/>
  <c r="CS214" i="7"/>
  <c r="CS216" i="7" s="1"/>
  <c r="CU214" i="7"/>
  <c r="CT214" i="7" s="1"/>
  <c r="CV214" i="7"/>
  <c r="CW214" i="7"/>
  <c r="CX214" i="7"/>
  <c r="CZ214" i="7"/>
  <c r="S214" i="7" s="1"/>
  <c r="DB214" i="7"/>
  <c r="DC214" i="7"/>
  <c r="DE214" i="7"/>
  <c r="DG214" i="7"/>
  <c r="Z214" i="7" s="1"/>
  <c r="DH214" i="7"/>
  <c r="DJ214" i="7"/>
  <c r="DM213" i="7"/>
  <c r="DM214" i="7"/>
  <c r="DO213" i="7"/>
  <c r="AH213" i="7" s="1"/>
  <c r="DO214" i="7"/>
  <c r="AH214" i="7" s="1"/>
  <c r="DT214" i="7"/>
  <c r="DU214" i="7"/>
  <c r="AN214" i="7" s="1"/>
  <c r="AN216" i="7" s="1"/>
  <c r="DV214" i="7"/>
  <c r="AO214" i="7" s="1"/>
  <c r="DW214" i="7"/>
  <c r="CO211" i="7"/>
  <c r="CO212" i="7"/>
  <c r="CO213" i="7"/>
  <c r="CO215" i="7"/>
  <c r="CT211" i="7"/>
  <c r="CT212" i="7"/>
  <c r="CT213" i="7"/>
  <c r="CT215" i="7"/>
  <c r="CX215" i="7"/>
  <c r="R215" i="7" s="1"/>
  <c r="CY215" i="7"/>
  <c r="DB215" i="7"/>
  <c r="U215" i="7" s="1"/>
  <c r="DC215" i="7"/>
  <c r="W215" i="7" s="1"/>
  <c r="DG215" i="7"/>
  <c r="Z215" i="7" s="1"/>
  <c r="DH215" i="7"/>
  <c r="DL214" i="7"/>
  <c r="AE214" i="7" s="1"/>
  <c r="DL215" i="7"/>
  <c r="AE215" i="7" s="1"/>
  <c r="DN211" i="7"/>
  <c r="DN212" i="7"/>
  <c r="DN215" i="7"/>
  <c r="DS211" i="7"/>
  <c r="DS212" i="7"/>
  <c r="DS215" i="7"/>
  <c r="DX211" i="7"/>
  <c r="DX212" i="7"/>
  <c r="DX215" i="7"/>
  <c r="T216" i="7"/>
  <c r="CM216" i="7"/>
  <c r="CQ216" i="7"/>
  <c r="CU216" i="7"/>
  <c r="N216" i="7" s="1"/>
  <c r="CX216" i="7"/>
  <c r="DA216" i="7"/>
  <c r="DJ216" i="7"/>
  <c r="AC216" i="7" s="1"/>
  <c r="DQ216" i="7"/>
  <c r="DZ216" i="7"/>
  <c r="EB216" i="7"/>
  <c r="E219" i="7"/>
  <c r="I219" i="7" s="1"/>
  <c r="CQ218" i="7"/>
  <c r="EB218" i="7"/>
  <c r="CM219" i="7"/>
  <c r="CN219" i="7" s="1"/>
  <c r="CP219" i="7"/>
  <c r="H225" i="7"/>
  <c r="M225" i="7"/>
  <c r="R225" i="7"/>
  <c r="W225" i="7"/>
  <c r="AB225" i="7"/>
  <c r="AG225" i="7"/>
  <c r="AL225" i="7"/>
  <c r="AQ225" i="7"/>
  <c r="H227" i="7"/>
  <c r="M227" i="7"/>
  <c r="R227" i="7"/>
  <c r="U227" i="7"/>
  <c r="W227" i="7"/>
  <c r="AB227" i="7"/>
  <c r="AF227" i="7"/>
  <c r="AG227" i="7"/>
  <c r="AL227" i="7"/>
  <c r="AQ227" i="7"/>
  <c r="E228" i="7"/>
  <c r="E229" i="7" s="1"/>
  <c r="F228" i="7"/>
  <c r="G228" i="7"/>
  <c r="G229" i="7" s="1"/>
  <c r="I228" i="7"/>
  <c r="J228" i="7"/>
  <c r="J229" i="7" s="1"/>
  <c r="K228" i="7"/>
  <c r="K229" i="7" s="1"/>
  <c r="L228" i="7"/>
  <c r="N228" i="7"/>
  <c r="M228" i="7" s="1"/>
  <c r="O228" i="7"/>
  <c r="P228" i="7"/>
  <c r="Q228" i="7"/>
  <c r="Q229" i="7" s="1"/>
  <c r="S228" i="7"/>
  <c r="T228" i="7"/>
  <c r="U228" i="7"/>
  <c r="U229" i="7" s="1"/>
  <c r="V228" i="7"/>
  <c r="V229" i="7" s="1"/>
  <c r="X228" i="7"/>
  <c r="Y228" i="7"/>
  <c r="Y229" i="7" s="1"/>
  <c r="Z228" i="7"/>
  <c r="Z229" i="7" s="1"/>
  <c r="AA228" i="7"/>
  <c r="AC228" i="7"/>
  <c r="AB228" i="7" s="1"/>
  <c r="AD228" i="7"/>
  <c r="AD229" i="7" s="1"/>
  <c r="AE228" i="7"/>
  <c r="AE229" i="7" s="1"/>
  <c r="AF228" i="7"/>
  <c r="AH228" i="7"/>
  <c r="AG228" i="7" s="1"/>
  <c r="AI228" i="7"/>
  <c r="AI229" i="7" s="1"/>
  <c r="AJ228" i="7"/>
  <c r="AJ229" i="7" s="1"/>
  <c r="AK228" i="7"/>
  <c r="AK229" i="7" s="1"/>
  <c r="AM228" i="7"/>
  <c r="AL228" i="7" s="1"/>
  <c r="AN228" i="7"/>
  <c r="AN229" i="7" s="1"/>
  <c r="AO228" i="7"/>
  <c r="AO229" i="7" s="1"/>
  <c r="AP228" i="7"/>
  <c r="AR228" i="7"/>
  <c r="AR229" i="7" s="1"/>
  <c r="AS228" i="7"/>
  <c r="AS229" i="7" s="1"/>
  <c r="AT228" i="7"/>
  <c r="AU228" i="7"/>
  <c r="F229" i="7"/>
  <c r="O229" i="7"/>
  <c r="O238" i="7" s="1"/>
  <c r="P229" i="7"/>
  <c r="T229" i="7"/>
  <c r="T238" i="7" s="1"/>
  <c r="AA229" i="7"/>
  <c r="AP229" i="7"/>
  <c r="AP238" i="7" s="1"/>
  <c r="AP233" i="7" s="1"/>
  <c r="AT229" i="7"/>
  <c r="H232" i="7"/>
  <c r="M232" i="7"/>
  <c r="R232" i="7"/>
  <c r="W232" i="7"/>
  <c r="AB232" i="7"/>
  <c r="AG232" i="7"/>
  <c r="AL232" i="7"/>
  <c r="AQ232" i="7"/>
  <c r="AX232" i="7"/>
  <c r="H235" i="7"/>
  <c r="M235" i="7"/>
  <c r="R235" i="7"/>
  <c r="W235" i="7"/>
  <c r="AB235" i="7"/>
  <c r="AG235" i="7"/>
  <c r="AL235" i="7"/>
  <c r="AQ235" i="7"/>
  <c r="P238" i="7"/>
  <c r="P230" i="7" s="1"/>
  <c r="AT233" i="7"/>
  <c r="H246" i="7"/>
  <c r="I246" i="7"/>
  <c r="J246" i="7"/>
  <c r="K246" i="7"/>
  <c r="L246" i="7"/>
  <c r="M246" i="7"/>
  <c r="N246" i="7"/>
  <c r="Q246" i="7"/>
  <c r="R246" i="7"/>
  <c r="S246" i="7"/>
  <c r="T246" i="7"/>
  <c r="U246" i="7"/>
  <c r="V246" i="7"/>
  <c r="X246" i="7"/>
  <c r="Y246" i="7"/>
  <c r="AB246" i="7"/>
  <c r="AC246" i="7"/>
  <c r="AD246" i="7"/>
  <c r="AE246" i="7"/>
  <c r="AF246" i="7"/>
  <c r="AG246" i="7"/>
  <c r="AH246" i="7"/>
  <c r="AK246" i="7"/>
  <c r="AL246" i="7"/>
  <c r="AM246" i="7"/>
  <c r="AN246" i="7"/>
  <c r="AO246" i="7"/>
  <c r="AP246" i="7"/>
  <c r="AR246" i="7"/>
  <c r="P250" i="7"/>
  <c r="AP250" i="7"/>
  <c r="P251" i="7"/>
  <c r="J262" i="7"/>
  <c r="J263" i="7"/>
  <c r="K263" i="7"/>
  <c r="L263" i="7"/>
  <c r="M263" i="7"/>
  <c r="K264" i="7"/>
  <c r="L264" i="7"/>
  <c r="M264" i="7"/>
  <c r="R262" i="7"/>
  <c r="O263" i="7"/>
  <c r="P263" i="7"/>
  <c r="Q263" i="7"/>
  <c r="R263" i="7"/>
  <c r="O264" i="7"/>
  <c r="P264" i="7"/>
  <c r="T262" i="7"/>
  <c r="V262" i="7"/>
  <c r="T263" i="7"/>
  <c r="U263" i="7"/>
  <c r="V263" i="7"/>
  <c r="X263" i="7" s="1"/>
  <c r="W263" i="7"/>
  <c r="T264" i="7"/>
  <c r="U264" i="7"/>
  <c r="V264" i="7"/>
  <c r="W264" i="7"/>
  <c r="AD262" i="7"/>
  <c r="AJ262" i="7"/>
  <c r="AN262" i="7"/>
  <c r="Y263" i="7"/>
  <c r="Z263" i="7"/>
  <c r="AA263" i="7"/>
  <c r="AB263" i="7"/>
  <c r="AD263" i="7"/>
  <c r="AE263" i="7"/>
  <c r="AF263" i="7"/>
  <c r="AG263" i="7"/>
  <c r="AI263" i="7"/>
  <c r="AJ263" i="7"/>
  <c r="AK263" i="7"/>
  <c r="AL263" i="7"/>
  <c r="AN263" i="7"/>
  <c r="AO263" i="7"/>
  <c r="AP263" i="7"/>
  <c r="AA264" i="7"/>
  <c r="AB264" i="7"/>
  <c r="AE264" i="7"/>
  <c r="AF264" i="7"/>
  <c r="AI264" i="7"/>
  <c r="AJ264" i="7"/>
  <c r="AK264" i="7"/>
  <c r="AN264" i="7"/>
  <c r="AO264" i="7"/>
  <c r="AT262" i="7"/>
  <c r="AS263" i="7"/>
  <c r="AT263" i="7"/>
  <c r="AU263" i="7"/>
  <c r="AU264" i="7"/>
  <c r="G262" i="7"/>
  <c r="E263" i="7"/>
  <c r="I263" i="7" s="1"/>
  <c r="F263" i="7"/>
  <c r="G263" i="7"/>
  <c r="H263" i="7"/>
  <c r="E264" i="7"/>
  <c r="G264" i="7"/>
  <c r="H264" i="7"/>
  <c r="I261" i="7"/>
  <c r="I265" i="7"/>
  <c r="N265" i="7"/>
  <c r="S265" i="7"/>
  <c r="AN265" i="7"/>
  <c r="AO265" i="7"/>
  <c r="AQ263" i="7"/>
  <c r="AQ264" i="7"/>
  <c r="AQ265" i="7"/>
  <c r="AS265" i="7"/>
  <c r="AT265" i="7"/>
  <c r="AU265" i="7"/>
  <c r="AV265" i="7"/>
  <c r="AX265" i="7"/>
  <c r="AY265" i="7"/>
  <c r="AZ265" i="7"/>
  <c r="BA265" i="7"/>
  <c r="BC265" i="7"/>
  <c r="BD265" i="7"/>
  <c r="BE265" i="7"/>
  <c r="BF265" i="7"/>
  <c r="BH265" i="7"/>
  <c r="BI265" i="7"/>
  <c r="BJ265" i="7"/>
  <c r="BK265" i="7"/>
  <c r="P273" i="7"/>
  <c r="AR273" i="7"/>
  <c r="AP273" i="7" s="1"/>
  <c r="I277" i="7"/>
  <c r="I77" i="7" s="1"/>
  <c r="R277" i="7"/>
  <c r="R77" i="7" s="1"/>
  <c r="AR277" i="7"/>
  <c r="AR77" i="7" s="1"/>
  <c r="X285" i="7"/>
  <c r="X289" i="7" s="1"/>
  <c r="AC285" i="7"/>
  <c r="AD286" i="7"/>
  <c r="AE286" i="7"/>
  <c r="AF286" i="7"/>
  <c r="AG286" i="7"/>
  <c r="AH286" i="7"/>
  <c r="AM286" i="7"/>
  <c r="AR286" i="7"/>
  <c r="AH288" i="7"/>
  <c r="AH289" i="7" s="1"/>
  <c r="AM288" i="7"/>
  <c r="AM289" i="7" s="1"/>
  <c r="X8" i="5"/>
  <c r="Y8" i="5"/>
  <c r="Y11" i="5" s="1"/>
  <c r="Z8" i="5"/>
  <c r="AA8" i="5"/>
  <c r="AC8" i="5"/>
  <c r="AD8" i="5"/>
  <c r="AE8" i="5"/>
  <c r="AE11" i="5" s="1"/>
  <c r="AF8" i="5"/>
  <c r="AH8" i="5"/>
  <c r="AI8" i="5"/>
  <c r="AJ8" i="5"/>
  <c r="AK8" i="5"/>
  <c r="AM8" i="5"/>
  <c r="AN8" i="5"/>
  <c r="AO8" i="5"/>
  <c r="AP8" i="5"/>
  <c r="AR8" i="5"/>
  <c r="AS8" i="5"/>
  <c r="AT8" i="5"/>
  <c r="AU8" i="5"/>
  <c r="AX10" i="5"/>
  <c r="BC10" i="5" s="1"/>
  <c r="BH10" i="5" s="1"/>
  <c r="BM10" i="5" s="1"/>
  <c r="AY10" i="5"/>
  <c r="AZ10" i="5"/>
  <c r="H8" i="5"/>
  <c r="H9" i="5"/>
  <c r="H120" i="5" s="1"/>
  <c r="H10" i="5"/>
  <c r="M8" i="5"/>
  <c r="M9" i="5"/>
  <c r="M10" i="5"/>
  <c r="R8" i="5"/>
  <c r="R9" i="5"/>
  <c r="R10" i="5"/>
  <c r="W8" i="5"/>
  <c r="W9" i="5"/>
  <c r="W10" i="5"/>
  <c r="AB9" i="5"/>
  <c r="AB10" i="5"/>
  <c r="AG9" i="5"/>
  <c r="AG10" i="5"/>
  <c r="AL9" i="5"/>
  <c r="AL10" i="5"/>
  <c r="AQ9" i="5"/>
  <c r="AQ10" i="5"/>
  <c r="E11" i="5"/>
  <c r="F11" i="5"/>
  <c r="G11" i="5"/>
  <c r="I11" i="5"/>
  <c r="J11" i="5"/>
  <c r="K11" i="5"/>
  <c r="L11" i="5"/>
  <c r="N11" i="5"/>
  <c r="O11" i="5"/>
  <c r="P11" i="5"/>
  <c r="Q11" i="5"/>
  <c r="S11" i="5"/>
  <c r="T11" i="5"/>
  <c r="U11" i="5"/>
  <c r="V11" i="5"/>
  <c r="X11" i="5"/>
  <c r="AA11" i="5"/>
  <c r="AC11" i="5"/>
  <c r="AF11" i="5"/>
  <c r="AH11" i="5"/>
  <c r="AK11" i="5"/>
  <c r="AM11" i="5"/>
  <c r="AP11" i="5"/>
  <c r="AR11" i="5"/>
  <c r="AU11" i="5"/>
  <c r="AX15" i="5"/>
  <c r="BC15" i="5" s="1"/>
  <c r="AY15" i="5"/>
  <c r="AZ15" i="5"/>
  <c r="BE15" i="5" s="1"/>
  <c r="BD15" i="5"/>
  <c r="BI15" i="5" s="1"/>
  <c r="BN15" i="5" s="1"/>
  <c r="H13" i="5"/>
  <c r="H14" i="5"/>
  <c r="H15" i="5"/>
  <c r="M13" i="5"/>
  <c r="M14" i="5"/>
  <c r="M15" i="5"/>
  <c r="R13" i="5"/>
  <c r="R107" i="5" s="1"/>
  <c r="R14" i="5"/>
  <c r="R15" i="5"/>
  <c r="W13" i="5"/>
  <c r="W14" i="5"/>
  <c r="W15" i="5"/>
  <c r="AB13" i="5"/>
  <c r="AB14" i="5"/>
  <c r="AB15" i="5"/>
  <c r="AG13" i="5"/>
  <c r="AG14" i="5"/>
  <c r="AG15" i="5"/>
  <c r="AL13" i="5"/>
  <c r="AL107" i="5" s="1"/>
  <c r="AL14" i="5"/>
  <c r="AL15" i="5"/>
  <c r="AQ13" i="5"/>
  <c r="AQ14" i="5"/>
  <c r="AQ15" i="5"/>
  <c r="E16" i="5"/>
  <c r="E24" i="5" s="1"/>
  <c r="E26" i="5" s="1"/>
  <c r="F16" i="5"/>
  <c r="G16" i="5"/>
  <c r="I16" i="5"/>
  <c r="I24" i="5" s="1"/>
  <c r="I26" i="5" s="1"/>
  <c r="J16" i="5"/>
  <c r="K16" i="5"/>
  <c r="L16" i="5"/>
  <c r="L24" i="5" s="1"/>
  <c r="L26" i="5" s="1"/>
  <c r="N16" i="5"/>
  <c r="O16" i="5"/>
  <c r="P16" i="5"/>
  <c r="Q16" i="5"/>
  <c r="S16" i="5"/>
  <c r="T16" i="5"/>
  <c r="U16" i="5"/>
  <c r="U24" i="5" s="1"/>
  <c r="V16" i="5"/>
  <c r="X16" i="5"/>
  <c r="Y16" i="5"/>
  <c r="Z16" i="5"/>
  <c r="AA16" i="5"/>
  <c r="AC16" i="5"/>
  <c r="AC24" i="5" s="1"/>
  <c r="AC26" i="5" s="1"/>
  <c r="AD16" i="5"/>
  <c r="AE16" i="5"/>
  <c r="AE24" i="5" s="1"/>
  <c r="AF16" i="5"/>
  <c r="AH16" i="5"/>
  <c r="AI16" i="5"/>
  <c r="AJ16" i="5"/>
  <c r="AJ24" i="5" s="1"/>
  <c r="AK16" i="5"/>
  <c r="AK24" i="5" s="1"/>
  <c r="AK26" i="5" s="1"/>
  <c r="AM16" i="5"/>
  <c r="AM18" i="5" s="1"/>
  <c r="AN16" i="5"/>
  <c r="AO16" i="5"/>
  <c r="AO24" i="5" s="1"/>
  <c r="AP16" i="5"/>
  <c r="AR16" i="5"/>
  <c r="AS16" i="5"/>
  <c r="AS24" i="5" s="1"/>
  <c r="AT16" i="5"/>
  <c r="AU16" i="5"/>
  <c r="I18" i="5"/>
  <c r="J18" i="5"/>
  <c r="N18" i="5"/>
  <c r="O18" i="5"/>
  <c r="S18" i="5"/>
  <c r="AC18" i="5"/>
  <c r="AP18" i="5"/>
  <c r="H20" i="5"/>
  <c r="H21" i="5"/>
  <c r="H270" i="5" s="1"/>
  <c r="H22" i="5"/>
  <c r="H23" i="5"/>
  <c r="M20" i="5"/>
  <c r="M21" i="5"/>
  <c r="M270" i="5" s="1"/>
  <c r="M22" i="5"/>
  <c r="M23" i="5"/>
  <c r="R20" i="5"/>
  <c r="R21" i="5"/>
  <c r="R270" i="5" s="1"/>
  <c r="R22" i="5"/>
  <c r="R23" i="5"/>
  <c r="W20" i="5"/>
  <c r="W21" i="5"/>
  <c r="W270" i="5" s="1"/>
  <c r="W22" i="5"/>
  <c r="W23" i="5"/>
  <c r="AB20" i="5"/>
  <c r="AB21" i="5"/>
  <c r="AB270" i="5" s="1"/>
  <c r="AB22" i="5"/>
  <c r="AB23" i="5"/>
  <c r="AG20" i="5"/>
  <c r="AG21" i="5"/>
  <c r="AG270" i="5" s="1"/>
  <c r="AG22" i="5"/>
  <c r="AG23" i="5"/>
  <c r="AI23" i="5"/>
  <c r="AI24" i="5" s="1"/>
  <c r="AL20" i="5"/>
  <c r="AL149" i="5" s="1"/>
  <c r="AL21" i="5"/>
  <c r="AL22" i="5"/>
  <c r="AL23" i="5"/>
  <c r="AQ20" i="5"/>
  <c r="AQ149" i="5" s="1"/>
  <c r="AV150" i="5" s="1"/>
  <c r="AV69" i="5" s="1"/>
  <c r="AQ21" i="5"/>
  <c r="AQ22" i="5"/>
  <c r="AQ23" i="5"/>
  <c r="F24" i="5"/>
  <c r="J24" i="5"/>
  <c r="K24" i="5"/>
  <c r="N24" i="5"/>
  <c r="N26" i="5" s="1"/>
  <c r="N26" i="4" s="1"/>
  <c r="O24" i="5"/>
  <c r="O26" i="5" s="1"/>
  <c r="O26" i="4" s="1"/>
  <c r="P24" i="5"/>
  <c r="S24" i="5"/>
  <c r="S26" i="5" s="1"/>
  <c r="T24" i="5"/>
  <c r="X24" i="5"/>
  <c r="X26" i="5" s="1"/>
  <c r="Z24" i="5"/>
  <c r="AA24" i="5"/>
  <c r="AD24" i="5"/>
  <c r="AF24" i="5"/>
  <c r="AF26" i="5" s="1"/>
  <c r="AH24" i="5"/>
  <c r="AM24" i="5"/>
  <c r="AM26" i="5" s="1"/>
  <c r="AN24" i="5"/>
  <c r="AP24" i="5"/>
  <c r="AR24" i="5"/>
  <c r="AT24" i="5"/>
  <c r="AU24" i="5"/>
  <c r="J26" i="5"/>
  <c r="AH26" i="5"/>
  <c r="AP26" i="5"/>
  <c r="AR26" i="5"/>
  <c r="AL28" i="5"/>
  <c r="AX29" i="5"/>
  <c r="BC29" i="5" s="1"/>
  <c r="BH29" i="5" s="1"/>
  <c r="BM29" i="5" s="1"/>
  <c r="AY29" i="5"/>
  <c r="BD29" i="5" s="1"/>
  <c r="BI29" i="5" s="1"/>
  <c r="BN29" i="5" s="1"/>
  <c r="BN36" i="4" s="1"/>
  <c r="AZ29" i="5"/>
  <c r="BE29" i="5" s="1"/>
  <c r="BJ29" i="5" s="1"/>
  <c r="BO29" i="5" s="1"/>
  <c r="BO36" i="4" s="1"/>
  <c r="H28" i="5"/>
  <c r="H29" i="5"/>
  <c r="M28" i="5"/>
  <c r="M29" i="5"/>
  <c r="R28" i="5"/>
  <c r="R29" i="5"/>
  <c r="W28" i="5"/>
  <c r="W29" i="5"/>
  <c r="AB28" i="5"/>
  <c r="AB29" i="5"/>
  <c r="AG28" i="5"/>
  <c r="AG29" i="5"/>
  <c r="AI29" i="5"/>
  <c r="AI30" i="5" s="1"/>
  <c r="AM29" i="5"/>
  <c r="AM30" i="5" s="1"/>
  <c r="AQ28" i="5"/>
  <c r="AQ29" i="5"/>
  <c r="E30" i="5"/>
  <c r="F30" i="5"/>
  <c r="G30" i="5"/>
  <c r="I30" i="5"/>
  <c r="I32" i="5" s="1"/>
  <c r="I251" i="5" s="1"/>
  <c r="J30" i="5"/>
  <c r="J32" i="5" s="1"/>
  <c r="K30" i="5"/>
  <c r="L30" i="5"/>
  <c r="N30" i="5"/>
  <c r="O30" i="5"/>
  <c r="P30" i="5"/>
  <c r="Q30" i="5"/>
  <c r="S30" i="5"/>
  <c r="T30" i="5"/>
  <c r="U30" i="5"/>
  <c r="V30" i="5"/>
  <c r="X30" i="5"/>
  <c r="Y30" i="5"/>
  <c r="Z30" i="5"/>
  <c r="AA30" i="5"/>
  <c r="AC30" i="5"/>
  <c r="AC32" i="5" s="1"/>
  <c r="AD30" i="5"/>
  <c r="AE30" i="5"/>
  <c r="AF30" i="5"/>
  <c r="AH30" i="5"/>
  <c r="AJ30" i="5"/>
  <c r="AK30" i="5"/>
  <c r="AN30" i="5"/>
  <c r="AO30" i="5"/>
  <c r="AP30" i="5"/>
  <c r="AP32" i="5" s="1"/>
  <c r="AP33" i="5" s="1"/>
  <c r="AR30" i="5"/>
  <c r="AS30" i="5"/>
  <c r="AT30" i="5"/>
  <c r="AU30" i="5"/>
  <c r="AH32" i="5"/>
  <c r="H35" i="5"/>
  <c r="H36" i="5"/>
  <c r="M35" i="5"/>
  <c r="M36" i="5"/>
  <c r="M186" i="5" s="1"/>
  <c r="R35" i="5"/>
  <c r="R36" i="5"/>
  <c r="W35" i="5"/>
  <c r="W36" i="5"/>
  <c r="AB35" i="5"/>
  <c r="AB37" i="5" s="1"/>
  <c r="AB36" i="5"/>
  <c r="AG35" i="5"/>
  <c r="AG36" i="5"/>
  <c r="AG186" i="5" s="1"/>
  <c r="AL35" i="5"/>
  <c r="AL37" i="5" s="1"/>
  <c r="AL36" i="5"/>
  <c r="AQ35" i="5"/>
  <c r="AQ36" i="5"/>
  <c r="E37" i="5"/>
  <c r="F37" i="5"/>
  <c r="G37" i="5"/>
  <c r="H37" i="5"/>
  <c r="I37" i="5"/>
  <c r="J37" i="5"/>
  <c r="K37" i="5"/>
  <c r="L37" i="5"/>
  <c r="N37" i="5"/>
  <c r="O37" i="5"/>
  <c r="P37" i="5"/>
  <c r="Q37" i="5"/>
  <c r="R37" i="5"/>
  <c r="S37" i="5"/>
  <c r="T37" i="5"/>
  <c r="U37" i="5"/>
  <c r="V37" i="5"/>
  <c r="X37" i="5"/>
  <c r="Y37" i="5"/>
  <c r="Z37" i="5"/>
  <c r="AA37" i="5"/>
  <c r="AC37" i="5"/>
  <c r="AD37" i="5"/>
  <c r="AE37" i="5"/>
  <c r="AF37" i="5"/>
  <c r="AH37" i="5"/>
  <c r="AI37" i="5"/>
  <c r="AJ37" i="5"/>
  <c r="AK37" i="5"/>
  <c r="AM37" i="5"/>
  <c r="AN37" i="5"/>
  <c r="AO37" i="5"/>
  <c r="AP37" i="5"/>
  <c r="AR37" i="5"/>
  <c r="AS37" i="5"/>
  <c r="AT37" i="5"/>
  <c r="AU37" i="5"/>
  <c r="H41" i="5"/>
  <c r="M41" i="5"/>
  <c r="R41" i="5"/>
  <c r="W41" i="5"/>
  <c r="AB41" i="5"/>
  <c r="AG41" i="5"/>
  <c r="AL41" i="5"/>
  <c r="AQ41" i="5"/>
  <c r="AX44" i="5"/>
  <c r="BC44" i="5" s="1"/>
  <c r="AY44" i="5"/>
  <c r="BD44" i="5" s="1"/>
  <c r="BI44" i="5" s="1"/>
  <c r="BN44" i="5" s="1"/>
  <c r="AZ44" i="5"/>
  <c r="BE44" i="5" s="1"/>
  <c r="BJ44" i="5" s="1"/>
  <c r="BO44" i="5" s="1"/>
  <c r="AX45" i="5"/>
  <c r="BC45" i="5" s="1"/>
  <c r="AY45" i="5"/>
  <c r="AZ45" i="5"/>
  <c r="H44" i="5"/>
  <c r="H45" i="5"/>
  <c r="M44" i="5"/>
  <c r="M45" i="5"/>
  <c r="R44" i="5"/>
  <c r="R45" i="5"/>
  <c r="W44" i="5"/>
  <c r="W45" i="5"/>
  <c r="AB44" i="5"/>
  <c r="AB45" i="5"/>
  <c r="AG44" i="5"/>
  <c r="AG45" i="5"/>
  <c r="AL44" i="5"/>
  <c r="AL45" i="5"/>
  <c r="AQ44" i="5"/>
  <c r="AQ45" i="5"/>
  <c r="H48" i="5"/>
  <c r="M48" i="5"/>
  <c r="R48" i="5"/>
  <c r="W48" i="5"/>
  <c r="AB48" i="5"/>
  <c r="AG48" i="5"/>
  <c r="AL48" i="5"/>
  <c r="AQ48" i="5"/>
  <c r="BB48" i="5"/>
  <c r="BG48" i="5"/>
  <c r="BL48" i="5"/>
  <c r="E51" i="5"/>
  <c r="F51" i="5"/>
  <c r="G51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AU51" i="5"/>
  <c r="E52" i="5"/>
  <c r="F52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BW292" i="5" s="1"/>
  <c r="AI52" i="5"/>
  <c r="AJ52" i="5"/>
  <c r="AK52" i="5"/>
  <c r="AL52" i="5"/>
  <c r="AM52" i="5"/>
  <c r="BX292" i="5" s="1"/>
  <c r="AN52" i="5"/>
  <c r="AO52" i="5"/>
  <c r="AP52" i="5"/>
  <c r="AQ52" i="5"/>
  <c r="AR52" i="5"/>
  <c r="AS52" i="5"/>
  <c r="AT52" i="5"/>
  <c r="AU52" i="5"/>
  <c r="AX60" i="5"/>
  <c r="AY60" i="5"/>
  <c r="AZ60" i="5"/>
  <c r="AX61" i="5"/>
  <c r="AY61" i="5"/>
  <c r="AZ61" i="5"/>
  <c r="BF60" i="5"/>
  <c r="BE60" i="5" s="1"/>
  <c r="BD60" i="5" s="1"/>
  <c r="BC60" i="5" s="1"/>
  <c r="BF61" i="5"/>
  <c r="BE61" i="5" s="1"/>
  <c r="BD61" i="5" s="1"/>
  <c r="BC61" i="5" s="1"/>
  <c r="BK60" i="5"/>
  <c r="BJ60" i="5" s="1"/>
  <c r="BI60" i="5" s="1"/>
  <c r="BH60" i="5" s="1"/>
  <c r="BK61" i="5"/>
  <c r="BJ61" i="5" s="1"/>
  <c r="BI61" i="5" s="1"/>
  <c r="BH61" i="5" s="1"/>
  <c r="AX63" i="5"/>
  <c r="AY63" i="5"/>
  <c r="AZ63" i="5"/>
  <c r="BA63" i="5"/>
  <c r="AX64" i="5"/>
  <c r="AY64" i="5"/>
  <c r="AZ64" i="5"/>
  <c r="BA64" i="5"/>
  <c r="BC63" i="5"/>
  <c r="BD63" i="5"/>
  <c r="BE63" i="5"/>
  <c r="BF63" i="5"/>
  <c r="BC64" i="5"/>
  <c r="BD64" i="5"/>
  <c r="BE64" i="5"/>
  <c r="BF64" i="5"/>
  <c r="BH63" i="5"/>
  <c r="BI63" i="5"/>
  <c r="BJ63" i="5"/>
  <c r="BK63" i="5"/>
  <c r="BH64" i="5"/>
  <c r="BI64" i="5"/>
  <c r="BJ64" i="5"/>
  <c r="BK64" i="5"/>
  <c r="AX67" i="5"/>
  <c r="AY67" i="5"/>
  <c r="AY135" i="5" s="1"/>
  <c r="AZ67" i="5"/>
  <c r="BA67" i="5"/>
  <c r="BC67" i="5"/>
  <c r="BD67" i="5"/>
  <c r="BD135" i="5" s="1"/>
  <c r="BE67" i="5"/>
  <c r="BF67" i="5"/>
  <c r="BH67" i="5"/>
  <c r="BI67" i="5"/>
  <c r="BI135" i="5" s="1"/>
  <c r="BJ67" i="5"/>
  <c r="BK67" i="5"/>
  <c r="BA69" i="5"/>
  <c r="AZ69" i="5" s="1"/>
  <c r="AY69" i="5" s="1"/>
  <c r="AX69" i="5" s="1"/>
  <c r="BA70" i="5"/>
  <c r="AZ70" i="5" s="1"/>
  <c r="AY70" i="5" s="1"/>
  <c r="AX70" i="5" s="1"/>
  <c r="BA71" i="5"/>
  <c r="AZ71" i="5" s="1"/>
  <c r="BF69" i="5"/>
  <c r="BE69" i="5" s="1"/>
  <c r="BD69" i="5" s="1"/>
  <c r="BC69" i="5" s="1"/>
  <c r="BF70" i="5"/>
  <c r="BE70" i="5" s="1"/>
  <c r="BD70" i="5" s="1"/>
  <c r="BC70" i="5" s="1"/>
  <c r="BF71" i="5"/>
  <c r="BK69" i="5"/>
  <c r="BJ69" i="5" s="1"/>
  <c r="BI69" i="5" s="1"/>
  <c r="BH69" i="5" s="1"/>
  <c r="BK70" i="5"/>
  <c r="BJ70" i="5" s="1"/>
  <c r="BK71" i="5"/>
  <c r="BJ71" i="5" s="1"/>
  <c r="BI71" i="5" s="1"/>
  <c r="BH71" i="5" s="1"/>
  <c r="BA73" i="5"/>
  <c r="AZ73" i="5" s="1"/>
  <c r="AY73" i="5" s="1"/>
  <c r="AX73" i="5" s="1"/>
  <c r="BF73" i="5"/>
  <c r="BE73" i="5" s="1"/>
  <c r="BD73" i="5" s="1"/>
  <c r="BC73" i="5" s="1"/>
  <c r="BK73" i="5"/>
  <c r="BJ73" i="5" s="1"/>
  <c r="BI73" i="5" s="1"/>
  <c r="BH73" i="5" s="1"/>
  <c r="J76" i="5"/>
  <c r="K76" i="5"/>
  <c r="L76" i="5"/>
  <c r="M76" i="5"/>
  <c r="O76" i="5"/>
  <c r="P76" i="5"/>
  <c r="Q76" i="5"/>
  <c r="R76" i="5"/>
  <c r="T76" i="5"/>
  <c r="U76" i="5"/>
  <c r="V76" i="5"/>
  <c r="W76" i="5"/>
  <c r="Y76" i="5"/>
  <c r="Z76" i="5"/>
  <c r="AA76" i="5"/>
  <c r="AB76" i="5"/>
  <c r="AD76" i="5"/>
  <c r="AE76" i="5"/>
  <c r="AF76" i="5"/>
  <c r="AG76" i="5"/>
  <c r="AI76" i="5"/>
  <c r="AJ76" i="5"/>
  <c r="AK76" i="5"/>
  <c r="AL76" i="5"/>
  <c r="I76" i="5"/>
  <c r="N76" i="5"/>
  <c r="S76" i="5"/>
  <c r="X76" i="5"/>
  <c r="AC76" i="5"/>
  <c r="AH76" i="5"/>
  <c r="AM76" i="5"/>
  <c r="H83" i="5"/>
  <c r="H84" i="5"/>
  <c r="H85" i="5"/>
  <c r="H86" i="5"/>
  <c r="M83" i="5"/>
  <c r="M84" i="5"/>
  <c r="M85" i="5"/>
  <c r="M86" i="5"/>
  <c r="R83" i="5"/>
  <c r="R84" i="5"/>
  <c r="R85" i="5"/>
  <c r="R86" i="5"/>
  <c r="W83" i="5"/>
  <c r="W84" i="5"/>
  <c r="W85" i="5"/>
  <c r="W86" i="5"/>
  <c r="AB83" i="5"/>
  <c r="AB84" i="5"/>
  <c r="AB85" i="5"/>
  <c r="AB86" i="5"/>
  <c r="AG83" i="5"/>
  <c r="AG84" i="5"/>
  <c r="AG85" i="5"/>
  <c r="AG86" i="5"/>
  <c r="AL83" i="5"/>
  <c r="AL84" i="5"/>
  <c r="AL85" i="5"/>
  <c r="AL86" i="5"/>
  <c r="AQ83" i="5"/>
  <c r="AQ84" i="5"/>
  <c r="AQ85" i="5"/>
  <c r="AQ86" i="5"/>
  <c r="AU83" i="5"/>
  <c r="AV83" i="5" s="1"/>
  <c r="AU84" i="5"/>
  <c r="AV84" i="5" s="1"/>
  <c r="AU85" i="5"/>
  <c r="AV85" i="5" s="1"/>
  <c r="AU86" i="5"/>
  <c r="AV86" i="5" s="1"/>
  <c r="E87" i="5"/>
  <c r="F87" i="5"/>
  <c r="G87" i="5"/>
  <c r="I87" i="5"/>
  <c r="I88" i="5" s="1"/>
  <c r="J87" i="5"/>
  <c r="K87" i="5"/>
  <c r="L87" i="5"/>
  <c r="N87" i="5"/>
  <c r="N88" i="5" s="1"/>
  <c r="N89" i="5" s="1"/>
  <c r="O87" i="5"/>
  <c r="O88" i="5" s="1"/>
  <c r="O89" i="5" s="1"/>
  <c r="P87" i="5"/>
  <c r="Q87" i="5"/>
  <c r="S87" i="5"/>
  <c r="T87" i="5"/>
  <c r="U87" i="5"/>
  <c r="V87" i="5"/>
  <c r="X87" i="5"/>
  <c r="Y87" i="5"/>
  <c r="Z87" i="5"/>
  <c r="AA87" i="5"/>
  <c r="AC87" i="5"/>
  <c r="AD87" i="5"/>
  <c r="AE87" i="5"/>
  <c r="AF87" i="5"/>
  <c r="AH87" i="5"/>
  <c r="AH88" i="5" s="1"/>
  <c r="AH89" i="5" s="1"/>
  <c r="AI87" i="5"/>
  <c r="AJ87" i="5"/>
  <c r="AK87" i="5"/>
  <c r="AM87" i="5"/>
  <c r="AN87" i="5"/>
  <c r="AO87" i="5"/>
  <c r="AO88" i="5" s="1"/>
  <c r="AP87" i="5"/>
  <c r="AP88" i="5" s="1"/>
  <c r="AP89" i="5" s="1"/>
  <c r="AR87" i="5"/>
  <c r="AS87" i="5"/>
  <c r="AT87" i="5"/>
  <c r="E88" i="5"/>
  <c r="F88" i="5"/>
  <c r="G88" i="5"/>
  <c r="G89" i="5" s="1"/>
  <c r="J88" i="5"/>
  <c r="K88" i="5"/>
  <c r="L88" i="5"/>
  <c r="P88" i="5"/>
  <c r="Q88" i="5"/>
  <c r="S88" i="5"/>
  <c r="S89" i="5" s="1"/>
  <c r="S110" i="5" s="1"/>
  <c r="U88" i="5"/>
  <c r="U89" i="5" s="1"/>
  <c r="V88" i="5"/>
  <c r="X88" i="5"/>
  <c r="Z88" i="5"/>
  <c r="Z89" i="5" s="1"/>
  <c r="Z110" i="5" s="1"/>
  <c r="AA88" i="5"/>
  <c r="AA89" i="5" s="1"/>
  <c r="AC88" i="5"/>
  <c r="AE88" i="5"/>
  <c r="AF88" i="5"/>
  <c r="AF89" i="5" s="1"/>
  <c r="AJ88" i="5"/>
  <c r="AK88" i="5"/>
  <c r="AK89" i="5" s="1"/>
  <c r="AS88" i="5"/>
  <c r="AT88" i="5"/>
  <c r="AY88" i="5" s="1"/>
  <c r="BD88" i="5" s="1"/>
  <c r="BI88" i="5" s="1"/>
  <c r="BN88" i="5" s="1"/>
  <c r="E89" i="5"/>
  <c r="J89" i="5"/>
  <c r="L89" i="5"/>
  <c r="P89" i="5"/>
  <c r="V89" i="5"/>
  <c r="X89" i="5"/>
  <c r="AJ89" i="5"/>
  <c r="AT89" i="5"/>
  <c r="AT110" i="5" s="1"/>
  <c r="AU92" i="5"/>
  <c r="AV92" i="5" s="1"/>
  <c r="AU93" i="5"/>
  <c r="AV93" i="5" s="1"/>
  <c r="AU94" i="5"/>
  <c r="AV94" i="5" s="1"/>
  <c r="E95" i="5"/>
  <c r="E96" i="5" s="1"/>
  <c r="F95" i="5"/>
  <c r="F96" i="5" s="1"/>
  <c r="F98" i="5" s="1"/>
  <c r="G95" i="5"/>
  <c r="G96" i="5" s="1"/>
  <c r="I95" i="5"/>
  <c r="J95" i="5"/>
  <c r="M95" i="5" s="1"/>
  <c r="K95" i="5"/>
  <c r="L95" i="5"/>
  <c r="I96" i="5"/>
  <c r="J96" i="5"/>
  <c r="J98" i="5" s="1"/>
  <c r="K96" i="5"/>
  <c r="L96" i="5"/>
  <c r="N95" i="5"/>
  <c r="O95" i="5"/>
  <c r="R95" i="5" s="1"/>
  <c r="P95" i="5"/>
  <c r="Q95" i="5"/>
  <c r="N96" i="5"/>
  <c r="O96" i="5"/>
  <c r="P96" i="5"/>
  <c r="Q96" i="5"/>
  <c r="Q98" i="5" s="1"/>
  <c r="T95" i="5"/>
  <c r="U95" i="5"/>
  <c r="V95" i="5"/>
  <c r="Y95" i="5"/>
  <c r="Y96" i="5" s="1"/>
  <c r="Z95" i="5"/>
  <c r="AA95" i="5"/>
  <c r="AA96" i="5" s="1"/>
  <c r="AD95" i="5"/>
  <c r="AE95" i="5"/>
  <c r="AE96" i="5" s="1"/>
  <c r="AF95" i="5"/>
  <c r="AI95" i="5"/>
  <c r="AJ95" i="5"/>
  <c r="AK95" i="5"/>
  <c r="AK96" i="5" s="1"/>
  <c r="AN95" i="5"/>
  <c r="AO95" i="5"/>
  <c r="AQ95" i="5" s="1"/>
  <c r="AP95" i="5"/>
  <c r="AT95" i="5"/>
  <c r="S96" i="5"/>
  <c r="S98" i="5" s="1"/>
  <c r="T96" i="5"/>
  <c r="Y100" i="5" s="1"/>
  <c r="Y60" i="5" s="1"/>
  <c r="V96" i="5"/>
  <c r="X96" i="5"/>
  <c r="X100" i="5" s="1"/>
  <c r="X60" i="5" s="1"/>
  <c r="X29" i="2" s="1"/>
  <c r="Z96" i="5"/>
  <c r="AC96" i="5"/>
  <c r="AC98" i="5" s="1"/>
  <c r="AD96" i="5"/>
  <c r="AF96" i="5"/>
  <c r="AH96" i="5"/>
  <c r="AJ96" i="5"/>
  <c r="AJ98" i="5" s="1"/>
  <c r="AM96" i="5"/>
  <c r="AM98" i="5" s="1"/>
  <c r="AN96" i="5"/>
  <c r="AP96" i="5"/>
  <c r="AP98" i="5" s="1"/>
  <c r="AR96" i="5"/>
  <c r="AS96" i="5"/>
  <c r="AS98" i="5" s="1"/>
  <c r="AS108" i="5" s="1"/>
  <c r="AT96" i="5"/>
  <c r="AT98" i="5" s="1"/>
  <c r="AT108" i="5" s="1"/>
  <c r="AU97" i="5"/>
  <c r="AX97" i="5"/>
  <c r="BC97" i="5" s="1"/>
  <c r="AY97" i="5"/>
  <c r="BD97" i="5" s="1"/>
  <c r="BI97" i="5" s="1"/>
  <c r="BN97" i="5" s="1"/>
  <c r="BH97" i="5"/>
  <c r="BM97" i="5" s="1"/>
  <c r="H92" i="5"/>
  <c r="H93" i="5"/>
  <c r="H94" i="5"/>
  <c r="H95" i="5"/>
  <c r="H97" i="5"/>
  <c r="M92" i="5"/>
  <c r="M93" i="5"/>
  <c r="M94" i="5"/>
  <c r="M97" i="5"/>
  <c r="R92" i="5"/>
  <c r="R93" i="5"/>
  <c r="R94" i="5"/>
  <c r="R97" i="5"/>
  <c r="W92" i="5"/>
  <c r="W93" i="5"/>
  <c r="W94" i="5"/>
  <c r="W97" i="5"/>
  <c r="AB92" i="5"/>
  <c r="AB93" i="5"/>
  <c r="AB94" i="5"/>
  <c r="AB95" i="5"/>
  <c r="AB97" i="5"/>
  <c r="AG92" i="5"/>
  <c r="AG93" i="5"/>
  <c r="AG94" i="5"/>
  <c r="AG95" i="5"/>
  <c r="AG97" i="5"/>
  <c r="AL92" i="5"/>
  <c r="AL93" i="5"/>
  <c r="AL94" i="5"/>
  <c r="AL97" i="5"/>
  <c r="AQ92" i="5"/>
  <c r="AQ93" i="5"/>
  <c r="AQ94" i="5"/>
  <c r="AQ97" i="5"/>
  <c r="I98" i="5"/>
  <c r="K98" i="5"/>
  <c r="L98" i="5"/>
  <c r="N98" i="5"/>
  <c r="P98" i="5"/>
  <c r="T98" i="5"/>
  <c r="V98" i="5"/>
  <c r="X98" i="5"/>
  <c r="AD98" i="5"/>
  <c r="AF98" i="5"/>
  <c r="AN98" i="5"/>
  <c r="AR98" i="5"/>
  <c r="K100" i="5"/>
  <c r="K60" i="5" s="1"/>
  <c r="N100" i="5"/>
  <c r="N60" i="5" s="1"/>
  <c r="P100" i="5"/>
  <c r="P60" i="5" s="1"/>
  <c r="Q100" i="5"/>
  <c r="Q60" i="5" s="1"/>
  <c r="S100" i="5"/>
  <c r="S60" i="5" s="1"/>
  <c r="AA100" i="5"/>
  <c r="AA60" i="5" s="1"/>
  <c r="AC100" i="5"/>
  <c r="AC60" i="5" s="1"/>
  <c r="AC29" i="2" s="1"/>
  <c r="AK100" i="5"/>
  <c r="AK60" i="5" s="1"/>
  <c r="AM100" i="5"/>
  <c r="AM60" i="5" s="1"/>
  <c r="AM29" i="2" s="1"/>
  <c r="AS100" i="5"/>
  <c r="AS60" i="5" s="1"/>
  <c r="I102" i="5"/>
  <c r="N102" i="5"/>
  <c r="O102" i="5"/>
  <c r="P102" i="5"/>
  <c r="Q102" i="5"/>
  <c r="S102" i="5"/>
  <c r="T102" i="5"/>
  <c r="V102" i="5"/>
  <c r="AA102" i="5"/>
  <c r="AC102" i="5"/>
  <c r="AF102" i="5"/>
  <c r="AK102" i="5"/>
  <c r="AN102" i="5"/>
  <c r="AP102" i="5"/>
  <c r="E107" i="5"/>
  <c r="F107" i="5"/>
  <c r="G107" i="5"/>
  <c r="H107" i="5"/>
  <c r="I107" i="5"/>
  <c r="I108" i="5" s="1"/>
  <c r="J107" i="5"/>
  <c r="J110" i="5" s="1"/>
  <c r="K107" i="5"/>
  <c r="L107" i="5"/>
  <c r="L108" i="5" s="1"/>
  <c r="M107" i="5"/>
  <c r="N107" i="5"/>
  <c r="N108" i="5" s="1"/>
  <c r="O107" i="5"/>
  <c r="P107" i="5"/>
  <c r="Q107" i="5"/>
  <c r="S107" i="5"/>
  <c r="T107" i="5"/>
  <c r="U107" i="5"/>
  <c r="V107" i="5"/>
  <c r="W107" i="5"/>
  <c r="X107" i="5"/>
  <c r="X110" i="5" s="1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M107" i="5"/>
  <c r="AN107" i="5"/>
  <c r="AO107" i="5"/>
  <c r="AP107" i="5"/>
  <c r="AQ107" i="5"/>
  <c r="AR107" i="5"/>
  <c r="AR108" i="5" s="1"/>
  <c r="V108" i="5"/>
  <c r="E120" i="5"/>
  <c r="F120" i="5"/>
  <c r="G120" i="5"/>
  <c r="I120" i="5"/>
  <c r="J120" i="5"/>
  <c r="K120" i="5"/>
  <c r="L120" i="5"/>
  <c r="M120" i="5"/>
  <c r="N120" i="5"/>
  <c r="O120" i="5"/>
  <c r="P120" i="5"/>
  <c r="Q120" i="5"/>
  <c r="R120" i="5"/>
  <c r="T120" i="5"/>
  <c r="U120" i="5"/>
  <c r="V120" i="5"/>
  <c r="W120" i="5"/>
  <c r="Y120" i="5"/>
  <c r="Z120" i="5"/>
  <c r="AA120" i="5"/>
  <c r="AB120" i="5"/>
  <c r="AD120" i="5"/>
  <c r="AE120" i="5"/>
  <c r="AF120" i="5"/>
  <c r="AG120" i="5"/>
  <c r="AI120" i="5"/>
  <c r="AJ120" i="5"/>
  <c r="AK120" i="5"/>
  <c r="AL120" i="5"/>
  <c r="AN120" i="5"/>
  <c r="AO120" i="5"/>
  <c r="AP120" i="5"/>
  <c r="AQ120" i="5"/>
  <c r="I126" i="5"/>
  <c r="I129" i="5" s="1"/>
  <c r="N126" i="5"/>
  <c r="N129" i="5" s="1"/>
  <c r="S126" i="5"/>
  <c r="S129" i="5" s="1"/>
  <c r="X126" i="5"/>
  <c r="AC126" i="5"/>
  <c r="AC129" i="5" s="1"/>
  <c r="AH126" i="5"/>
  <c r="AH129" i="5" s="1"/>
  <c r="AM126" i="5"/>
  <c r="AM129" i="5" s="1"/>
  <c r="AR126" i="5"/>
  <c r="AR129" i="5" s="1"/>
  <c r="AW131" i="5" s="1"/>
  <c r="AW61" i="5" s="1"/>
  <c r="X129" i="5"/>
  <c r="AX135" i="5"/>
  <c r="AZ135" i="5"/>
  <c r="BA135" i="5"/>
  <c r="BC135" i="5"/>
  <c r="BE135" i="5"/>
  <c r="BF135" i="5"/>
  <c r="BH135" i="5"/>
  <c r="BJ135" i="5"/>
  <c r="BK135" i="5"/>
  <c r="E138" i="5"/>
  <c r="F138" i="5"/>
  <c r="F141" i="5" s="1"/>
  <c r="G138" i="5"/>
  <c r="G141" i="5" s="1"/>
  <c r="H138" i="5"/>
  <c r="I138" i="5"/>
  <c r="J138" i="5"/>
  <c r="K138" i="5"/>
  <c r="K141" i="5" s="1"/>
  <c r="L138" i="5"/>
  <c r="L141" i="5" s="1"/>
  <c r="M138" i="5"/>
  <c r="M141" i="5" s="1"/>
  <c r="N138" i="5"/>
  <c r="O138" i="5"/>
  <c r="O141" i="5" s="1"/>
  <c r="P138" i="5"/>
  <c r="Q138" i="5"/>
  <c r="R138" i="5"/>
  <c r="S138" i="5"/>
  <c r="T138" i="5"/>
  <c r="T141" i="5" s="1"/>
  <c r="U138" i="5"/>
  <c r="U141" i="5" s="1"/>
  <c r="V138" i="5"/>
  <c r="X138" i="5"/>
  <c r="Y138" i="5"/>
  <c r="Y141" i="5" s="1"/>
  <c r="Z138" i="5"/>
  <c r="AA138" i="5"/>
  <c r="AB138" i="5"/>
  <c r="AB141" i="5" s="1"/>
  <c r="AC138" i="5"/>
  <c r="AD138" i="5"/>
  <c r="AD141" i="5" s="1"/>
  <c r="AE138" i="5"/>
  <c r="AF138" i="5"/>
  <c r="AG138" i="5"/>
  <c r="AH138" i="5"/>
  <c r="AI138" i="5"/>
  <c r="AI141" i="5" s="1"/>
  <c r="AJ138" i="5"/>
  <c r="AJ141" i="5" s="1"/>
  <c r="AK138" i="5"/>
  <c r="AL138" i="5"/>
  <c r="AM138" i="5"/>
  <c r="AN138" i="5"/>
  <c r="AN141" i="5" s="1"/>
  <c r="AO138" i="5"/>
  <c r="AO141" i="5" s="1"/>
  <c r="AP138" i="5"/>
  <c r="AR138" i="5"/>
  <c r="AS138" i="5"/>
  <c r="AS141" i="5" s="1"/>
  <c r="AT138" i="5"/>
  <c r="AT141" i="5" s="1"/>
  <c r="AU138" i="5"/>
  <c r="J141" i="5"/>
  <c r="P141" i="5"/>
  <c r="P142" i="5" s="1"/>
  <c r="R141" i="5"/>
  <c r="AE141" i="5"/>
  <c r="E149" i="5"/>
  <c r="F149" i="5"/>
  <c r="G149" i="5"/>
  <c r="H149" i="5"/>
  <c r="I149" i="5"/>
  <c r="J149" i="5"/>
  <c r="K149" i="5"/>
  <c r="L149" i="5"/>
  <c r="M149" i="5"/>
  <c r="N149" i="5"/>
  <c r="O149" i="5"/>
  <c r="P149" i="5"/>
  <c r="Q149" i="5"/>
  <c r="R149" i="5"/>
  <c r="S149" i="5"/>
  <c r="T149" i="5"/>
  <c r="U149" i="5"/>
  <c r="V149" i="5"/>
  <c r="W149" i="5"/>
  <c r="X149" i="5"/>
  <c r="Y149" i="5"/>
  <c r="Z149" i="5"/>
  <c r="AA149" i="5"/>
  <c r="AB149" i="5"/>
  <c r="AC149" i="5"/>
  <c r="AD149" i="5"/>
  <c r="AE149" i="5"/>
  <c r="AF149" i="5"/>
  <c r="AG149" i="5"/>
  <c r="AH149" i="5"/>
  <c r="AI149" i="5"/>
  <c r="AJ149" i="5"/>
  <c r="AK149" i="5"/>
  <c r="AM149" i="5"/>
  <c r="AN149" i="5"/>
  <c r="AO149" i="5"/>
  <c r="AT150" i="5" s="1"/>
  <c r="AP149" i="5"/>
  <c r="AU150" i="5" s="1"/>
  <c r="AR149" i="5"/>
  <c r="AW150" i="5" s="1"/>
  <c r="AW69" i="5" s="1"/>
  <c r="AW35" i="2" s="1"/>
  <c r="AX150" i="5"/>
  <c r="AY150" i="5"/>
  <c r="AZ150" i="5"/>
  <c r="BA150" i="5"/>
  <c r="BC150" i="5"/>
  <c r="BD150" i="5"/>
  <c r="BE150" i="5"/>
  <c r="BF150" i="5"/>
  <c r="BH150" i="5"/>
  <c r="BI150" i="5"/>
  <c r="BJ150" i="5"/>
  <c r="BK150" i="5"/>
  <c r="E152" i="5"/>
  <c r="F152" i="5"/>
  <c r="G152" i="5"/>
  <c r="H152" i="5"/>
  <c r="I152" i="5"/>
  <c r="J152" i="5"/>
  <c r="K152" i="5"/>
  <c r="K153" i="5" s="1"/>
  <c r="K70" i="5" s="1"/>
  <c r="L152" i="5"/>
  <c r="M152" i="5"/>
  <c r="N152" i="5"/>
  <c r="O152" i="5"/>
  <c r="P152" i="5"/>
  <c r="Q152" i="5"/>
  <c r="R152" i="5"/>
  <c r="S152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AJ152" i="5"/>
  <c r="AK152" i="5"/>
  <c r="AL152" i="5"/>
  <c r="AM152" i="5"/>
  <c r="AN152" i="5"/>
  <c r="AO152" i="5"/>
  <c r="AT153" i="5" s="1"/>
  <c r="AP152" i="5"/>
  <c r="AQ152" i="5"/>
  <c r="AV153" i="5" s="1"/>
  <c r="AV70" i="5" s="1"/>
  <c r="AR152" i="5"/>
  <c r="AW153" i="5" s="1"/>
  <c r="AW70" i="5" s="1"/>
  <c r="AT70" i="5"/>
  <c r="AX153" i="5"/>
  <c r="AX152" i="5" s="1"/>
  <c r="AY153" i="5"/>
  <c r="AY152" i="5" s="1"/>
  <c r="AZ153" i="5"/>
  <c r="BA153" i="5"/>
  <c r="BC153" i="5"/>
  <c r="BD153" i="5"/>
  <c r="BE153" i="5"/>
  <c r="BF153" i="5"/>
  <c r="BK153" i="5"/>
  <c r="E155" i="5"/>
  <c r="F155" i="5"/>
  <c r="G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AS156" i="5" s="1"/>
  <c r="AO155" i="5"/>
  <c r="AT156" i="5" s="1"/>
  <c r="AP155" i="5"/>
  <c r="AU156" i="5" s="1"/>
  <c r="AQ155" i="5"/>
  <c r="AV156" i="5" s="1"/>
  <c r="AV71" i="5" s="1"/>
  <c r="AR155" i="5"/>
  <c r="AW156" i="5" s="1"/>
  <c r="AW71" i="5" s="1"/>
  <c r="BA156" i="5"/>
  <c r="BH156" i="5"/>
  <c r="BI156" i="5"/>
  <c r="BJ156" i="5"/>
  <c r="BK156" i="5"/>
  <c r="E161" i="5"/>
  <c r="E163" i="5" s="1"/>
  <c r="F161" i="5"/>
  <c r="F163" i="5" s="1"/>
  <c r="G161" i="5"/>
  <c r="I161" i="5"/>
  <c r="H161" i="5" s="1"/>
  <c r="J161" i="5"/>
  <c r="J163" i="5" s="1"/>
  <c r="K161" i="5"/>
  <c r="K163" i="5" s="1"/>
  <c r="L161" i="5"/>
  <c r="N161" i="5"/>
  <c r="M161" i="5" s="1"/>
  <c r="O161" i="5"/>
  <c r="O163" i="5" s="1"/>
  <c r="P161" i="5"/>
  <c r="Q161" i="5"/>
  <c r="S161" i="5"/>
  <c r="R161" i="5" s="1"/>
  <c r="T161" i="5"/>
  <c r="T163" i="5" s="1"/>
  <c r="U161" i="5"/>
  <c r="U163" i="5" s="1"/>
  <c r="V161" i="5"/>
  <c r="X161" i="5"/>
  <c r="W161" i="5" s="1"/>
  <c r="Y161" i="5"/>
  <c r="Y163" i="5" s="1"/>
  <c r="Z161" i="5"/>
  <c r="Z163" i="5" s="1"/>
  <c r="AA161" i="5"/>
  <c r="AA163" i="5" s="1"/>
  <c r="AC161" i="5"/>
  <c r="AB161" i="5" s="1"/>
  <c r="AD161" i="5"/>
  <c r="AD163" i="5" s="1"/>
  <c r="AE161" i="5"/>
  <c r="AF161" i="5"/>
  <c r="AH161" i="5"/>
  <c r="AG161" i="5" s="1"/>
  <c r="AI161" i="5"/>
  <c r="AI163" i="5" s="1"/>
  <c r="AJ161" i="5"/>
  <c r="AJ163" i="5" s="1"/>
  <c r="AK161" i="5"/>
  <c r="AK163" i="5" s="1"/>
  <c r="AM161" i="5"/>
  <c r="AL161" i="5" s="1"/>
  <c r="AN161" i="5"/>
  <c r="AO161" i="5"/>
  <c r="AO163" i="5" s="1"/>
  <c r="AP161" i="5"/>
  <c r="AP163" i="5" s="1"/>
  <c r="AR161" i="5"/>
  <c r="AR163" i="5" s="1"/>
  <c r="AS161" i="5"/>
  <c r="AS163" i="5" s="1"/>
  <c r="AT161" i="5"/>
  <c r="AT163" i="5" s="1"/>
  <c r="AU161" i="5"/>
  <c r="H162" i="5"/>
  <c r="M162" i="5"/>
  <c r="R162" i="5"/>
  <c r="X162" i="5"/>
  <c r="W162" i="5" s="1"/>
  <c r="AB162" i="5"/>
  <c r="AG162" i="5"/>
  <c r="AL162" i="5"/>
  <c r="AQ162" i="5"/>
  <c r="G163" i="5"/>
  <c r="L163" i="5"/>
  <c r="P163" i="5"/>
  <c r="Q163" i="5"/>
  <c r="V163" i="5"/>
  <c r="X163" i="5"/>
  <c r="AE163" i="5"/>
  <c r="AF163" i="5"/>
  <c r="AN163" i="5"/>
  <c r="AU163" i="5"/>
  <c r="AV169" i="5" s="1"/>
  <c r="H165" i="5"/>
  <c r="M165" i="5"/>
  <c r="R165" i="5"/>
  <c r="W165" i="5"/>
  <c r="AB165" i="5"/>
  <c r="AG165" i="5"/>
  <c r="AL165" i="5"/>
  <c r="AQ165" i="5"/>
  <c r="AY169" i="5"/>
  <c r="AZ169" i="5" s="1"/>
  <c r="BA169" i="5" s="1"/>
  <c r="AY170" i="5"/>
  <c r="S172" i="5"/>
  <c r="AX172" i="5"/>
  <c r="AY172" i="5" s="1"/>
  <c r="AX173" i="5"/>
  <c r="AX174" i="5"/>
  <c r="AY174" i="5" s="1"/>
  <c r="AX175" i="5"/>
  <c r="AY175" i="5" s="1"/>
  <c r="AZ175" i="5" s="1"/>
  <c r="AX176" i="5"/>
  <c r="AY176" i="5" s="1"/>
  <c r="AZ176" i="5" s="1"/>
  <c r="AX177" i="5"/>
  <c r="AX178" i="5"/>
  <c r="AY178" i="5" s="1"/>
  <c r="BC172" i="5"/>
  <c r="BD172" i="5" s="1"/>
  <c r="BE172" i="5" s="1"/>
  <c r="BC173" i="5"/>
  <c r="BD173" i="5" s="1"/>
  <c r="BE173" i="5" s="1"/>
  <c r="BC174" i="5"/>
  <c r="BD174" i="5" s="1"/>
  <c r="BC175" i="5"/>
  <c r="BD175" i="5" s="1"/>
  <c r="BC176" i="5"/>
  <c r="BD176" i="5" s="1"/>
  <c r="BE176" i="5" s="1"/>
  <c r="BC177" i="5"/>
  <c r="BD177" i="5" s="1"/>
  <c r="BC178" i="5"/>
  <c r="BD178" i="5" s="1"/>
  <c r="BH172" i="5"/>
  <c r="BI172" i="5" s="1"/>
  <c r="BH173" i="5"/>
  <c r="BI173" i="5" s="1"/>
  <c r="BJ173" i="5" s="1"/>
  <c r="BH174" i="5"/>
  <c r="BI174" i="5" s="1"/>
  <c r="BH175" i="5"/>
  <c r="BI175" i="5" s="1"/>
  <c r="BH176" i="5"/>
  <c r="BI176" i="5" s="1"/>
  <c r="BH177" i="5"/>
  <c r="BI177" i="5" s="1"/>
  <c r="BJ177" i="5" s="1"/>
  <c r="BH178" i="5"/>
  <c r="BI178" i="5"/>
  <c r="BJ178" i="5" s="1"/>
  <c r="AS170" i="5"/>
  <c r="BB179" i="5"/>
  <c r="AX165" i="5" s="1"/>
  <c r="BG179" i="5"/>
  <c r="BL179" i="5"/>
  <c r="E183" i="5"/>
  <c r="F183" i="5"/>
  <c r="F184" i="5" s="1"/>
  <c r="G183" i="5"/>
  <c r="G184" i="5" s="1"/>
  <c r="H183" i="5"/>
  <c r="H184" i="5" s="1"/>
  <c r="I183" i="5"/>
  <c r="I184" i="5" s="1"/>
  <c r="J183" i="5"/>
  <c r="J184" i="5" s="1"/>
  <c r="K183" i="5"/>
  <c r="K184" i="5" s="1"/>
  <c r="L183" i="5"/>
  <c r="L184" i="5" s="1"/>
  <c r="M183" i="5"/>
  <c r="N183" i="5"/>
  <c r="N184" i="5" s="1"/>
  <c r="O183" i="5"/>
  <c r="O184" i="5" s="1"/>
  <c r="P183" i="5"/>
  <c r="Q183" i="5"/>
  <c r="Q184" i="5" s="1"/>
  <c r="R183" i="5"/>
  <c r="S183" i="5"/>
  <c r="S184" i="5" s="1"/>
  <c r="T183" i="5"/>
  <c r="T184" i="5" s="1"/>
  <c r="U183" i="5"/>
  <c r="U184" i="5" s="1"/>
  <c r="V183" i="5"/>
  <c r="V184" i="5" s="1"/>
  <c r="W183" i="5"/>
  <c r="W184" i="5" s="1"/>
  <c r="X183" i="5"/>
  <c r="X184" i="5" s="1"/>
  <c r="Y183" i="5"/>
  <c r="Y184" i="5" s="1"/>
  <c r="Z183" i="5"/>
  <c r="Z184" i="5" s="1"/>
  <c r="AA183" i="5"/>
  <c r="AA184" i="5" s="1"/>
  <c r="AB183" i="5"/>
  <c r="AB184" i="5" s="1"/>
  <c r="AC183" i="5"/>
  <c r="AC184" i="5" s="1"/>
  <c r="AD183" i="5"/>
  <c r="AD184" i="5" s="1"/>
  <c r="AE183" i="5"/>
  <c r="AE184" i="5" s="1"/>
  <c r="AF183" i="5"/>
  <c r="AF184" i="5" s="1"/>
  <c r="AG183" i="5"/>
  <c r="AG184" i="5" s="1"/>
  <c r="AH183" i="5"/>
  <c r="AH184" i="5" s="1"/>
  <c r="AI183" i="5"/>
  <c r="AI184" i="5" s="1"/>
  <c r="AJ183" i="5"/>
  <c r="AJ184" i="5" s="1"/>
  <c r="AK183" i="5"/>
  <c r="AK184" i="5" s="1"/>
  <c r="AL183" i="5"/>
  <c r="AM183" i="5"/>
  <c r="AM184" i="5" s="1"/>
  <c r="AN183" i="5"/>
  <c r="AN184" i="5" s="1"/>
  <c r="AO183" i="5"/>
  <c r="AO184" i="5" s="1"/>
  <c r="AP183" i="5"/>
  <c r="AP184" i="5" s="1"/>
  <c r="AQ183" i="5"/>
  <c r="AQ184" i="5" s="1"/>
  <c r="AR183" i="5"/>
  <c r="AR184" i="5" s="1"/>
  <c r="AY184" i="5"/>
  <c r="AZ184" i="5" s="1"/>
  <c r="BA184" i="5" s="1"/>
  <c r="BC184" i="5" s="1"/>
  <c r="BD184" i="5" s="1"/>
  <c r="BE184" i="5" s="1"/>
  <c r="BF184" i="5" s="1"/>
  <c r="BH184" i="5" s="1"/>
  <c r="BI184" i="5" s="1"/>
  <c r="BJ184" i="5" s="1"/>
  <c r="BK184" i="5" s="1"/>
  <c r="BM184" i="5" s="1"/>
  <c r="BN184" i="5" s="1"/>
  <c r="BO184" i="5" s="1"/>
  <c r="BP184" i="5" s="1"/>
  <c r="E184" i="5"/>
  <c r="M184" i="5"/>
  <c r="P184" i="5"/>
  <c r="E186" i="5"/>
  <c r="F186" i="5"/>
  <c r="F187" i="5" s="1"/>
  <c r="G186" i="5"/>
  <c r="G187" i="5" s="1"/>
  <c r="H186" i="5"/>
  <c r="H187" i="5" s="1"/>
  <c r="I186" i="5"/>
  <c r="J186" i="5"/>
  <c r="J187" i="5" s="1"/>
  <c r="K186" i="5"/>
  <c r="K187" i="5" s="1"/>
  <c r="L186" i="5"/>
  <c r="L187" i="5" s="1"/>
  <c r="N186" i="5"/>
  <c r="N187" i="5" s="1"/>
  <c r="O186" i="5"/>
  <c r="O187" i="5" s="1"/>
  <c r="P186" i="5"/>
  <c r="P187" i="5" s="1"/>
  <c r="Q186" i="5"/>
  <c r="Q187" i="5" s="1"/>
  <c r="R186" i="5"/>
  <c r="S186" i="5"/>
  <c r="S187" i="5" s="1"/>
  <c r="T186" i="5"/>
  <c r="T187" i="5" s="1"/>
  <c r="U186" i="5"/>
  <c r="U187" i="5" s="1"/>
  <c r="V186" i="5"/>
  <c r="V187" i="5" s="1"/>
  <c r="W186" i="5"/>
  <c r="W187" i="5" s="1"/>
  <c r="X186" i="5"/>
  <c r="X187" i="5" s="1"/>
  <c r="Y186" i="5"/>
  <c r="Y187" i="5" s="1"/>
  <c r="Z186" i="5"/>
  <c r="AA186" i="5"/>
  <c r="AA187" i="5" s="1"/>
  <c r="AB186" i="5"/>
  <c r="AB187" i="5" s="1"/>
  <c r="AC186" i="5"/>
  <c r="AC187" i="5" s="1"/>
  <c r="AD186" i="5"/>
  <c r="AD187" i="5" s="1"/>
  <c r="AE186" i="5"/>
  <c r="AE187" i="5" s="1"/>
  <c r="AF186" i="5"/>
  <c r="AF187" i="5" s="1"/>
  <c r="AH186" i="5"/>
  <c r="AH187" i="5" s="1"/>
  <c r="AI186" i="5"/>
  <c r="AI187" i="5" s="1"/>
  <c r="AJ186" i="5"/>
  <c r="AJ187" i="5" s="1"/>
  <c r="AK186" i="5"/>
  <c r="AK187" i="5" s="1"/>
  <c r="AL186" i="5"/>
  <c r="AM186" i="5"/>
  <c r="AM187" i="5" s="1"/>
  <c r="AN186" i="5"/>
  <c r="AN187" i="5" s="1"/>
  <c r="AO186" i="5"/>
  <c r="AO187" i="5" s="1"/>
  <c r="AP186" i="5"/>
  <c r="AP187" i="5" s="1"/>
  <c r="AQ186" i="5"/>
  <c r="AQ187" i="5" s="1"/>
  <c r="AR186" i="5"/>
  <c r="AR187" i="5" s="1"/>
  <c r="AY187" i="5"/>
  <c r="AZ187" i="5" s="1"/>
  <c r="BA187" i="5" s="1"/>
  <c r="BC187" i="5" s="1"/>
  <c r="BD187" i="5" s="1"/>
  <c r="BE187" i="5" s="1"/>
  <c r="BF187" i="5" s="1"/>
  <c r="BH187" i="5" s="1"/>
  <c r="BI187" i="5" s="1"/>
  <c r="BJ187" i="5" s="1"/>
  <c r="BK187" i="5" s="1"/>
  <c r="BM187" i="5" s="1"/>
  <c r="BN187" i="5" s="1"/>
  <c r="BO187" i="5" s="1"/>
  <c r="BP187" i="5" s="1"/>
  <c r="E187" i="5"/>
  <c r="I187" i="5"/>
  <c r="R187" i="5"/>
  <c r="Z187" i="5"/>
  <c r="AG187" i="5"/>
  <c r="E205" i="5"/>
  <c r="F205" i="5"/>
  <c r="G205" i="5"/>
  <c r="H205" i="5"/>
  <c r="I205" i="5"/>
  <c r="J205" i="5"/>
  <c r="K205" i="5"/>
  <c r="L205" i="5"/>
  <c r="M205" i="5"/>
  <c r="N205" i="5"/>
  <c r="O205" i="5"/>
  <c r="P205" i="5"/>
  <c r="Q205" i="5"/>
  <c r="R205" i="5"/>
  <c r="S205" i="5"/>
  <c r="T205" i="5"/>
  <c r="U205" i="5"/>
  <c r="V205" i="5"/>
  <c r="W205" i="5"/>
  <c r="X205" i="5"/>
  <c r="Y205" i="5"/>
  <c r="Z205" i="5"/>
  <c r="AA205" i="5"/>
  <c r="AB205" i="5"/>
  <c r="AC205" i="5"/>
  <c r="AD205" i="5"/>
  <c r="AE205" i="5"/>
  <c r="AF205" i="5"/>
  <c r="AG205" i="5"/>
  <c r="AH205" i="5"/>
  <c r="AI205" i="5"/>
  <c r="AJ205" i="5"/>
  <c r="AK205" i="5"/>
  <c r="AL205" i="5"/>
  <c r="AM205" i="5"/>
  <c r="AN205" i="5"/>
  <c r="AO205" i="5"/>
  <c r="AP205" i="5"/>
  <c r="AQ205" i="5"/>
  <c r="AR205" i="5"/>
  <c r="E206" i="5"/>
  <c r="E167" i="5" s="1"/>
  <c r="E169" i="5" s="1"/>
  <c r="F206" i="5"/>
  <c r="F167" i="5" s="1"/>
  <c r="G206" i="5"/>
  <c r="G167" i="5" s="1"/>
  <c r="H206" i="5"/>
  <c r="H167" i="5" s="1"/>
  <c r="I206" i="5"/>
  <c r="I167" i="5" s="1"/>
  <c r="J206" i="5"/>
  <c r="J167" i="5" s="1"/>
  <c r="K206" i="5"/>
  <c r="K167" i="5" s="1"/>
  <c r="L206" i="5"/>
  <c r="L167" i="5" s="1"/>
  <c r="M206" i="5"/>
  <c r="M167" i="5" s="1"/>
  <c r="N206" i="5"/>
  <c r="N167" i="5" s="1"/>
  <c r="O206" i="5"/>
  <c r="O167" i="5" s="1"/>
  <c r="P206" i="5"/>
  <c r="P167" i="5" s="1"/>
  <c r="Q206" i="5"/>
  <c r="Q167" i="5" s="1"/>
  <c r="Q169" i="5" s="1"/>
  <c r="R206" i="5"/>
  <c r="R167" i="5" s="1"/>
  <c r="S206" i="5"/>
  <c r="T206" i="5"/>
  <c r="T167" i="5" s="1"/>
  <c r="U206" i="5"/>
  <c r="U167" i="5" s="1"/>
  <c r="V206" i="5"/>
  <c r="V167" i="5" s="1"/>
  <c r="W206" i="5"/>
  <c r="W167" i="5" s="1"/>
  <c r="X206" i="5"/>
  <c r="Y206" i="5"/>
  <c r="Y167" i="5" s="1"/>
  <c r="Z206" i="5"/>
  <c r="Z167" i="5" s="1"/>
  <c r="AA206" i="5"/>
  <c r="AA167" i="5" s="1"/>
  <c r="AB206" i="5"/>
  <c r="AB167" i="5" s="1"/>
  <c r="AC206" i="5"/>
  <c r="AD206" i="5"/>
  <c r="AD167" i="5" s="1"/>
  <c r="AE206" i="5"/>
  <c r="AE167" i="5" s="1"/>
  <c r="AF206" i="5"/>
  <c r="AF167" i="5" s="1"/>
  <c r="AG206" i="5"/>
  <c r="AG167" i="5" s="1"/>
  <c r="AH206" i="5"/>
  <c r="AI206" i="5"/>
  <c r="AI167" i="5" s="1"/>
  <c r="AJ206" i="5"/>
  <c r="AJ167" i="5" s="1"/>
  <c r="AK206" i="5"/>
  <c r="AK167" i="5" s="1"/>
  <c r="AK169" i="5" s="1"/>
  <c r="AL206" i="5"/>
  <c r="AL167" i="5" s="1"/>
  <c r="AM206" i="5"/>
  <c r="AN206" i="5"/>
  <c r="AN167" i="5" s="1"/>
  <c r="AO206" i="5"/>
  <c r="AO167" i="5" s="1"/>
  <c r="AP206" i="5"/>
  <c r="AP167" i="5" s="1"/>
  <c r="AQ206" i="5"/>
  <c r="AQ167" i="5" s="1"/>
  <c r="AR206" i="5"/>
  <c r="AS167" i="5"/>
  <c r="AT167" i="5"/>
  <c r="AU167" i="5"/>
  <c r="E207" i="5"/>
  <c r="F207" i="5"/>
  <c r="G207" i="5"/>
  <c r="H207" i="5"/>
  <c r="I207" i="5"/>
  <c r="J207" i="5"/>
  <c r="K207" i="5"/>
  <c r="L207" i="5"/>
  <c r="M207" i="5"/>
  <c r="N207" i="5"/>
  <c r="O207" i="5"/>
  <c r="P207" i="5"/>
  <c r="Q207" i="5"/>
  <c r="R207" i="5"/>
  <c r="S207" i="5"/>
  <c r="T207" i="5"/>
  <c r="U207" i="5"/>
  <c r="V207" i="5"/>
  <c r="W207" i="5"/>
  <c r="X207" i="5"/>
  <c r="Y207" i="5"/>
  <c r="Z207" i="5"/>
  <c r="AA207" i="5"/>
  <c r="AB207" i="5"/>
  <c r="AC207" i="5"/>
  <c r="AD207" i="5"/>
  <c r="AE207" i="5"/>
  <c r="AF207" i="5"/>
  <c r="AG207" i="5"/>
  <c r="AH207" i="5"/>
  <c r="AI207" i="5"/>
  <c r="AJ207" i="5"/>
  <c r="AK207" i="5"/>
  <c r="AL207" i="5"/>
  <c r="AM207" i="5"/>
  <c r="AN207" i="5"/>
  <c r="AO207" i="5"/>
  <c r="AP207" i="5"/>
  <c r="AQ207" i="5"/>
  <c r="AR207" i="5"/>
  <c r="E208" i="5"/>
  <c r="F208" i="5"/>
  <c r="G208" i="5"/>
  <c r="G271" i="5" s="1"/>
  <c r="H208" i="5"/>
  <c r="I208" i="5"/>
  <c r="J208" i="5"/>
  <c r="K208" i="5"/>
  <c r="L208" i="5"/>
  <c r="M208" i="5"/>
  <c r="N208" i="5"/>
  <c r="O208" i="5"/>
  <c r="O271" i="5" s="1"/>
  <c r="P208" i="5"/>
  <c r="Q208" i="5"/>
  <c r="R208" i="5"/>
  <c r="S208" i="5"/>
  <c r="T208" i="5"/>
  <c r="U208" i="5"/>
  <c r="V208" i="5"/>
  <c r="W208" i="5"/>
  <c r="W271" i="5" s="1"/>
  <c r="X208" i="5"/>
  <c r="Y208" i="5"/>
  <c r="Z208" i="5"/>
  <c r="AA208" i="5"/>
  <c r="AA271" i="5" s="1"/>
  <c r="AB208" i="5"/>
  <c r="AC208" i="5"/>
  <c r="AD208" i="5"/>
  <c r="AE208" i="5"/>
  <c r="AF208" i="5"/>
  <c r="AG208" i="5"/>
  <c r="AH208" i="5"/>
  <c r="AI208" i="5"/>
  <c r="AI271" i="5" s="1"/>
  <c r="AJ208" i="5"/>
  <c r="AK208" i="5"/>
  <c r="AL208" i="5"/>
  <c r="AM208" i="5"/>
  <c r="AN208" i="5"/>
  <c r="AO208" i="5"/>
  <c r="AP208" i="5"/>
  <c r="AQ208" i="5"/>
  <c r="AQ271" i="5" s="1"/>
  <c r="AR208" i="5"/>
  <c r="CO205" i="5"/>
  <c r="CO206" i="5"/>
  <c r="CO207" i="5"/>
  <c r="CO208" i="5"/>
  <c r="CT205" i="5"/>
  <c r="CT206" i="5"/>
  <c r="CT207" i="5"/>
  <c r="CT208" i="5"/>
  <c r="CY205" i="5"/>
  <c r="CY206" i="5"/>
  <c r="CY207" i="5"/>
  <c r="CY208" i="5"/>
  <c r="DD205" i="5"/>
  <c r="DD206" i="5"/>
  <c r="DD207" i="5"/>
  <c r="DD208" i="5"/>
  <c r="DI205" i="5"/>
  <c r="DI206" i="5"/>
  <c r="DI207" i="5"/>
  <c r="DI208" i="5"/>
  <c r="DN205" i="5"/>
  <c r="DN206" i="5"/>
  <c r="DN207" i="5"/>
  <c r="DN208" i="5"/>
  <c r="DS205" i="5"/>
  <c r="DS206" i="5"/>
  <c r="DS207" i="5"/>
  <c r="DS208" i="5"/>
  <c r="DX205" i="5"/>
  <c r="DX206" i="5"/>
  <c r="DX207" i="5"/>
  <c r="DX208" i="5"/>
  <c r="AX209" i="5"/>
  <c r="AY209" i="5" s="1"/>
  <c r="AX210" i="5"/>
  <c r="AY210" i="5" s="1"/>
  <c r="BC209" i="5"/>
  <c r="BD209" i="5" s="1"/>
  <c r="BC210" i="5"/>
  <c r="BD210" i="5" s="1"/>
  <c r="BH209" i="5"/>
  <c r="BI209" i="5" s="1"/>
  <c r="BH210" i="5"/>
  <c r="BI210" i="5" s="1"/>
  <c r="CL209" i="5"/>
  <c r="E209" i="5" s="1"/>
  <c r="CM209" i="5"/>
  <c r="CN209" i="5"/>
  <c r="CP209" i="5"/>
  <c r="I209" i="5" s="1"/>
  <c r="CQ209" i="5"/>
  <c r="J209" i="5" s="1"/>
  <c r="CR209" i="5"/>
  <c r="CS209" i="5"/>
  <c r="CU209" i="5"/>
  <c r="CU211" i="5" s="1"/>
  <c r="N211" i="5" s="1"/>
  <c r="CV209" i="5"/>
  <c r="O209" i="5" s="1"/>
  <c r="CW209" i="5"/>
  <c r="CX209" i="5"/>
  <c r="CZ209" i="5"/>
  <c r="S209" i="5" s="1"/>
  <c r="DA209" i="5"/>
  <c r="DB209" i="5"/>
  <c r="DC209" i="5"/>
  <c r="DE209" i="5"/>
  <c r="X209" i="5" s="1"/>
  <c r="DF209" i="5"/>
  <c r="Y209" i="5" s="1"/>
  <c r="DG209" i="5"/>
  <c r="DH209" i="5"/>
  <c r="DJ209" i="5"/>
  <c r="AC209" i="5" s="1"/>
  <c r="DK209" i="5"/>
  <c r="AD209" i="5" s="1"/>
  <c r="DL209" i="5"/>
  <c r="DM209" i="5"/>
  <c r="DO209" i="5"/>
  <c r="AH209" i="5" s="1"/>
  <c r="DP209" i="5"/>
  <c r="AI209" i="5" s="1"/>
  <c r="DQ209" i="5"/>
  <c r="DR209" i="5"/>
  <c r="DT209" i="5"/>
  <c r="DU209" i="5"/>
  <c r="AN209" i="5" s="1"/>
  <c r="DV209" i="5"/>
  <c r="DW209" i="5"/>
  <c r="DY209" i="5"/>
  <c r="DZ209" i="5"/>
  <c r="AS209" i="5" s="1"/>
  <c r="EA209" i="5"/>
  <c r="EB209" i="5"/>
  <c r="CL210" i="5"/>
  <c r="CL211" i="5" s="1"/>
  <c r="CM210" i="5"/>
  <c r="CN210" i="5"/>
  <c r="CP210" i="5"/>
  <c r="CQ210" i="5"/>
  <c r="J210" i="5" s="1"/>
  <c r="CR210" i="5"/>
  <c r="CS210" i="5"/>
  <c r="CU210" i="5"/>
  <c r="N210" i="5" s="1"/>
  <c r="CV210" i="5"/>
  <c r="O210" i="5" s="1"/>
  <c r="CW210" i="5"/>
  <c r="CX210" i="5"/>
  <c r="CX211" i="5" s="1"/>
  <c r="CZ210" i="5"/>
  <c r="DA210" i="5"/>
  <c r="T210" i="5" s="1"/>
  <c r="DB210" i="5"/>
  <c r="DC210" i="5"/>
  <c r="DC211" i="5" s="1"/>
  <c r="DE210" i="5"/>
  <c r="DF210" i="5"/>
  <c r="DG210" i="5"/>
  <c r="DH210" i="5"/>
  <c r="DJ210" i="5"/>
  <c r="DK210" i="5"/>
  <c r="AD210" i="5" s="1"/>
  <c r="DL210" i="5"/>
  <c r="AE210" i="5" s="1"/>
  <c r="DM210" i="5"/>
  <c r="DO210" i="5"/>
  <c r="AH210" i="5" s="1"/>
  <c r="DP210" i="5"/>
  <c r="AI210" i="5" s="1"/>
  <c r="DQ210" i="5"/>
  <c r="AJ210" i="5" s="1"/>
  <c r="DR210" i="5"/>
  <c r="DR211" i="5" s="1"/>
  <c r="DT210" i="5"/>
  <c r="DU210" i="5"/>
  <c r="AN210" i="5" s="1"/>
  <c r="DV210" i="5"/>
  <c r="DW210" i="5"/>
  <c r="DY210" i="5"/>
  <c r="DZ210" i="5"/>
  <c r="AS210" i="5" s="1"/>
  <c r="EA210" i="5"/>
  <c r="AT210" i="5" s="1"/>
  <c r="EB210" i="5"/>
  <c r="DW211" i="5"/>
  <c r="E213" i="5"/>
  <c r="E179" i="5" s="1"/>
  <c r="F213" i="5"/>
  <c r="F179" i="5" s="1"/>
  <c r="G213" i="5"/>
  <c r="H213" i="5"/>
  <c r="H179" i="5" s="1"/>
  <c r="H269" i="5" s="1"/>
  <c r="I213" i="5"/>
  <c r="I179" i="5" s="1"/>
  <c r="J213" i="5"/>
  <c r="J179" i="5" s="1"/>
  <c r="K213" i="5"/>
  <c r="K179" i="5" s="1"/>
  <c r="L213" i="5"/>
  <c r="M213" i="5"/>
  <c r="M179" i="5" s="1"/>
  <c r="N213" i="5"/>
  <c r="N179" i="5" s="1"/>
  <c r="O213" i="5"/>
  <c r="P213" i="5"/>
  <c r="P179" i="5" s="1"/>
  <c r="P269" i="5" s="1"/>
  <c r="Q213" i="5"/>
  <c r="Q179" i="5" s="1"/>
  <c r="T213" i="5"/>
  <c r="T179" i="5" s="1"/>
  <c r="U213" i="5"/>
  <c r="U179" i="5" s="1"/>
  <c r="V213" i="5"/>
  <c r="V179" i="5" s="1"/>
  <c r="V269" i="5" s="1"/>
  <c r="W213" i="5"/>
  <c r="X213" i="5"/>
  <c r="X179" i="5" s="1"/>
  <c r="Y213" i="5"/>
  <c r="Y179" i="5" s="1"/>
  <c r="Z213" i="5"/>
  <c r="Z179" i="5" s="1"/>
  <c r="Z269" i="5" s="1"/>
  <c r="AA213" i="5"/>
  <c r="AA179" i="5" s="1"/>
  <c r="AB213" i="5"/>
  <c r="AB179" i="5" s="1"/>
  <c r="AC213" i="5"/>
  <c r="AC179" i="5" s="1"/>
  <c r="AD213" i="5"/>
  <c r="AD179" i="5" s="1"/>
  <c r="AD269" i="5" s="1"/>
  <c r="AE213" i="5"/>
  <c r="AF213" i="5"/>
  <c r="AF179" i="5" s="1"/>
  <c r="AG213" i="5"/>
  <c r="AG179" i="5" s="1"/>
  <c r="AH213" i="5"/>
  <c r="AH179" i="5" s="1"/>
  <c r="AI213" i="5"/>
  <c r="AJ213" i="5"/>
  <c r="AJ179" i="5" s="1"/>
  <c r="AK213" i="5"/>
  <c r="AK179" i="5" s="1"/>
  <c r="AL213" i="5"/>
  <c r="AL179" i="5" s="1"/>
  <c r="AL269" i="5" s="1"/>
  <c r="AM213" i="5"/>
  <c r="AM179" i="5" s="1"/>
  <c r="AN213" i="5"/>
  <c r="AN179" i="5" s="1"/>
  <c r="AO213" i="5"/>
  <c r="AO179" i="5" s="1"/>
  <c r="AP213" i="5"/>
  <c r="AP179" i="5" s="1"/>
  <c r="AP269" i="5" s="1"/>
  <c r="AQ213" i="5"/>
  <c r="AQ179" i="5" s="1"/>
  <c r="AR213" i="5"/>
  <c r="AR179" i="5" s="1"/>
  <c r="AS93" i="4"/>
  <c r="E214" i="5"/>
  <c r="F214" i="5"/>
  <c r="G214" i="5"/>
  <c r="H214" i="5"/>
  <c r="I214" i="5"/>
  <c r="J214" i="5"/>
  <c r="K214" i="5"/>
  <c r="L214" i="5"/>
  <c r="M214" i="5"/>
  <c r="N214" i="5"/>
  <c r="O214" i="5"/>
  <c r="P214" i="5"/>
  <c r="Q214" i="5"/>
  <c r="R214" i="5"/>
  <c r="S214" i="5"/>
  <c r="T214" i="5"/>
  <c r="U214" i="5"/>
  <c r="V214" i="5"/>
  <c r="W214" i="5"/>
  <c r="X214" i="5"/>
  <c r="Y214" i="5"/>
  <c r="Z214" i="5"/>
  <c r="AA214" i="5"/>
  <c r="AB214" i="5"/>
  <c r="AC214" i="5"/>
  <c r="AD214" i="5"/>
  <c r="AE214" i="5"/>
  <c r="AF214" i="5"/>
  <c r="AG214" i="5"/>
  <c r="AH214" i="5"/>
  <c r="AI214" i="5"/>
  <c r="AJ214" i="5"/>
  <c r="AK214" i="5"/>
  <c r="AL214" i="5"/>
  <c r="AM214" i="5"/>
  <c r="AN214" i="5"/>
  <c r="AO214" i="5"/>
  <c r="AP214" i="5"/>
  <c r="AQ214" i="5"/>
  <c r="AR214" i="5"/>
  <c r="CZ213" i="5"/>
  <c r="CY214" i="5"/>
  <c r="DD213" i="5"/>
  <c r="DD214" i="5"/>
  <c r="DI213" i="5"/>
  <c r="DI214" i="5"/>
  <c r="DN213" i="5"/>
  <c r="DN214" i="5"/>
  <c r="DS213" i="5"/>
  <c r="DS214" i="5"/>
  <c r="DX213" i="5"/>
  <c r="DX214" i="5"/>
  <c r="E215" i="5"/>
  <c r="F215" i="5"/>
  <c r="G215" i="5"/>
  <c r="H215" i="5"/>
  <c r="I215" i="5"/>
  <c r="J215" i="5"/>
  <c r="K215" i="5"/>
  <c r="L215" i="5"/>
  <c r="M215" i="5"/>
  <c r="N215" i="5"/>
  <c r="O215" i="5"/>
  <c r="P215" i="5"/>
  <c r="AX215" i="5"/>
  <c r="AY215" i="5" s="1"/>
  <c r="BC215" i="5"/>
  <c r="BD215" i="5" s="1"/>
  <c r="BH215" i="5"/>
  <c r="BI215" i="5" s="1"/>
  <c r="CO213" i="5"/>
  <c r="CO214" i="5"/>
  <c r="CO215" i="5"/>
  <c r="CT213" i="5"/>
  <c r="CT214" i="5"/>
  <c r="CT215" i="5"/>
  <c r="CX215" i="5"/>
  <c r="Q215" i="5" s="1"/>
  <c r="CZ215" i="5"/>
  <c r="DA215" i="5"/>
  <c r="T215" i="5" s="1"/>
  <c r="DB215" i="5"/>
  <c r="DB216" i="5" s="1"/>
  <c r="DC215" i="5"/>
  <c r="DE215" i="5"/>
  <c r="X215" i="5" s="1"/>
  <c r="DF215" i="5"/>
  <c r="Y215" i="5" s="1"/>
  <c r="DG215" i="5"/>
  <c r="Z215" i="5" s="1"/>
  <c r="DH215" i="5"/>
  <c r="DH216" i="5" s="1"/>
  <c r="DJ215" i="5"/>
  <c r="AC215" i="5" s="1"/>
  <c r="DK215" i="5"/>
  <c r="AD215" i="5" s="1"/>
  <c r="DL215" i="5"/>
  <c r="DL216" i="5" s="1"/>
  <c r="DM215" i="5"/>
  <c r="DO215" i="5"/>
  <c r="DP215" i="5"/>
  <c r="DP216" i="5" s="1"/>
  <c r="DQ215" i="5"/>
  <c r="AJ215" i="5" s="1"/>
  <c r="AJ216" i="5" s="1"/>
  <c r="DR215" i="5"/>
  <c r="DT215" i="5"/>
  <c r="DU215" i="5"/>
  <c r="AN215" i="5" s="1"/>
  <c r="DV215" i="5"/>
  <c r="DV216" i="5" s="1"/>
  <c r="DW215" i="5"/>
  <c r="DW216" i="5" s="1"/>
  <c r="DY215" i="5"/>
  <c r="AR215" i="5" s="1"/>
  <c r="DZ215" i="5"/>
  <c r="AS215" i="5" s="1"/>
  <c r="AS216" i="5" s="1"/>
  <c r="EA215" i="5"/>
  <c r="AT215" i="5" s="1"/>
  <c r="AT216" i="5" s="1"/>
  <c r="EB215" i="5"/>
  <c r="M216" i="5"/>
  <c r="CL216" i="5"/>
  <c r="CM216" i="5"/>
  <c r="CN216" i="5"/>
  <c r="CP216" i="5"/>
  <c r="I216" i="5" s="1"/>
  <c r="CQ216" i="5"/>
  <c r="CR216" i="5"/>
  <c r="CS216" i="5"/>
  <c r="CU216" i="5"/>
  <c r="N216" i="5" s="1"/>
  <c r="CV216" i="5"/>
  <c r="CW216" i="5"/>
  <c r="CX216" i="5"/>
  <c r="DF216" i="5"/>
  <c r="DR216" i="5"/>
  <c r="E218" i="5"/>
  <c r="E192" i="5" s="1"/>
  <c r="F218" i="5"/>
  <c r="F192" i="5" s="1"/>
  <c r="G218" i="5"/>
  <c r="G192" i="5" s="1"/>
  <c r="H218" i="5"/>
  <c r="H192" i="5" s="1"/>
  <c r="E219" i="5"/>
  <c r="E193" i="5" s="1"/>
  <c r="F219" i="5"/>
  <c r="F193" i="5" s="1"/>
  <c r="G219" i="5"/>
  <c r="G193" i="5" s="1"/>
  <c r="H219" i="5"/>
  <c r="H193" i="5" s="1"/>
  <c r="E220" i="5"/>
  <c r="F220" i="5"/>
  <c r="G220" i="5"/>
  <c r="H220" i="5"/>
  <c r="E222" i="5"/>
  <c r="F222" i="5"/>
  <c r="G222" i="5"/>
  <c r="H222" i="5"/>
  <c r="J218" i="5"/>
  <c r="J192" i="5" s="1"/>
  <c r="K218" i="5"/>
  <c r="K192" i="5" s="1"/>
  <c r="L218" i="5"/>
  <c r="L192" i="5" s="1"/>
  <c r="M218" i="5"/>
  <c r="M192" i="5" s="1"/>
  <c r="J219" i="5"/>
  <c r="J193" i="5" s="1"/>
  <c r="K219" i="5"/>
  <c r="K193" i="5" s="1"/>
  <c r="L219" i="5"/>
  <c r="L193" i="5" s="1"/>
  <c r="M219" i="5"/>
  <c r="M193" i="5" s="1"/>
  <c r="J220" i="5"/>
  <c r="K220" i="5"/>
  <c r="L220" i="5"/>
  <c r="M220" i="5"/>
  <c r="J222" i="5"/>
  <c r="K222" i="5"/>
  <c r="L222" i="5"/>
  <c r="M222" i="5"/>
  <c r="O218" i="5"/>
  <c r="O192" i="5" s="1"/>
  <c r="P218" i="5"/>
  <c r="P192" i="5" s="1"/>
  <c r="Q218" i="5"/>
  <c r="Q192" i="5" s="1"/>
  <c r="R218" i="5"/>
  <c r="R192" i="5" s="1"/>
  <c r="O219" i="5"/>
  <c r="O193" i="5" s="1"/>
  <c r="P219" i="5"/>
  <c r="P193" i="5" s="1"/>
  <c r="Q219" i="5"/>
  <c r="Q193" i="5" s="1"/>
  <c r="R219" i="5"/>
  <c r="R193" i="5" s="1"/>
  <c r="O220" i="5"/>
  <c r="P220" i="5"/>
  <c r="Q220" i="5"/>
  <c r="O222" i="5"/>
  <c r="P222" i="5"/>
  <c r="T218" i="5"/>
  <c r="T192" i="5" s="1"/>
  <c r="U218" i="5"/>
  <c r="U192" i="5" s="1"/>
  <c r="V218" i="5"/>
  <c r="V192" i="5" s="1"/>
  <c r="W218" i="5"/>
  <c r="W192" i="5" s="1"/>
  <c r="T219" i="5"/>
  <c r="T193" i="5" s="1"/>
  <c r="U219" i="5"/>
  <c r="U193" i="5" s="1"/>
  <c r="V219" i="5"/>
  <c r="V193" i="5" s="1"/>
  <c r="W219" i="5"/>
  <c r="W193" i="5" s="1"/>
  <c r="V220" i="5"/>
  <c r="T222" i="5"/>
  <c r="Y218" i="5"/>
  <c r="Y192" i="5" s="1"/>
  <c r="Z218" i="5"/>
  <c r="Z192" i="5" s="1"/>
  <c r="AA218" i="5"/>
  <c r="AA192" i="5" s="1"/>
  <c r="AB218" i="5"/>
  <c r="AB192" i="5" s="1"/>
  <c r="Y219" i="5"/>
  <c r="Y193" i="5" s="1"/>
  <c r="Z219" i="5"/>
  <c r="Z193" i="5" s="1"/>
  <c r="AA219" i="5"/>
  <c r="AA193" i="5" s="1"/>
  <c r="AB219" i="5"/>
  <c r="AB193" i="5" s="1"/>
  <c r="AA220" i="5"/>
  <c r="Y222" i="5"/>
  <c r="AD218" i="5"/>
  <c r="AD192" i="5" s="1"/>
  <c r="AE218" i="5"/>
  <c r="AE192" i="5" s="1"/>
  <c r="AF218" i="5"/>
  <c r="AF192" i="5" s="1"/>
  <c r="AG218" i="5"/>
  <c r="AG192" i="5" s="1"/>
  <c r="AD219" i="5"/>
  <c r="AD193" i="5" s="1"/>
  <c r="AE219" i="5"/>
  <c r="AE193" i="5" s="1"/>
  <c r="AF219" i="5"/>
  <c r="AF193" i="5" s="1"/>
  <c r="AG219" i="5"/>
  <c r="AG193" i="5" s="1"/>
  <c r="AF220" i="5"/>
  <c r="AD222" i="5"/>
  <c r="AI218" i="5"/>
  <c r="AI192" i="5" s="1"/>
  <c r="AJ218" i="5"/>
  <c r="AJ192" i="5" s="1"/>
  <c r="AK218" i="5"/>
  <c r="AK192" i="5" s="1"/>
  <c r="AL218" i="5"/>
  <c r="AL192" i="5" s="1"/>
  <c r="AI219" i="5"/>
  <c r="AI193" i="5" s="1"/>
  <c r="AJ219" i="5"/>
  <c r="AJ193" i="5" s="1"/>
  <c r="AK219" i="5"/>
  <c r="AK193" i="5" s="1"/>
  <c r="AL219" i="5"/>
  <c r="AL193" i="5" s="1"/>
  <c r="AI222" i="5"/>
  <c r="AJ222" i="5"/>
  <c r="AN218" i="5"/>
  <c r="AN192" i="5" s="1"/>
  <c r="AO218" i="5"/>
  <c r="AO192" i="5" s="1"/>
  <c r="AP218" i="5"/>
  <c r="AP192" i="5" s="1"/>
  <c r="AQ218" i="5"/>
  <c r="AQ192" i="5" s="1"/>
  <c r="AN219" i="5"/>
  <c r="AN193" i="5" s="1"/>
  <c r="AO219" i="5"/>
  <c r="AO193" i="5" s="1"/>
  <c r="AP219" i="5"/>
  <c r="AP193" i="5" s="1"/>
  <c r="AQ219" i="5"/>
  <c r="AQ193" i="5" s="1"/>
  <c r="AN222" i="5"/>
  <c r="AO222" i="5"/>
  <c r="AP222" i="5"/>
  <c r="AQ222" i="5"/>
  <c r="CY218" i="5"/>
  <c r="CY219" i="5"/>
  <c r="DD218" i="5"/>
  <c r="DD219" i="5"/>
  <c r="DI218" i="5"/>
  <c r="DI219" i="5"/>
  <c r="DN218" i="5"/>
  <c r="DN219" i="5"/>
  <c r="DS218" i="5"/>
  <c r="DS219" i="5"/>
  <c r="BB220" i="5"/>
  <c r="BG220" i="5"/>
  <c r="BL220" i="5"/>
  <c r="CZ220" i="5"/>
  <c r="DA220" i="5"/>
  <c r="T220" i="5" s="1"/>
  <c r="DE220" i="5"/>
  <c r="W220" i="5" s="1"/>
  <c r="DF220" i="5"/>
  <c r="Y220" i="5" s="1"/>
  <c r="DJ220" i="5"/>
  <c r="DK220" i="5"/>
  <c r="AD220" i="5" s="1"/>
  <c r="DO220" i="5"/>
  <c r="AG220" i="5" s="1"/>
  <c r="DP220" i="5"/>
  <c r="DQ220" i="5"/>
  <c r="DT220" i="5"/>
  <c r="AL220" i="5" s="1"/>
  <c r="DU220" i="5"/>
  <c r="AN220" i="5" s="1"/>
  <c r="DV220" i="5"/>
  <c r="DW220" i="5"/>
  <c r="DY220" i="5"/>
  <c r="DZ220" i="5"/>
  <c r="AS220" i="5" s="1"/>
  <c r="EA220" i="5"/>
  <c r="EB220" i="5"/>
  <c r="DY221" i="5"/>
  <c r="DZ221" i="5"/>
  <c r="AS221" i="5" s="1"/>
  <c r="AS121" i="4" s="1"/>
  <c r="EA221" i="5"/>
  <c r="EB221" i="5"/>
  <c r="AX221" i="5"/>
  <c r="AY221" i="5" s="1"/>
  <c r="AX222" i="5"/>
  <c r="AY222" i="5" s="1"/>
  <c r="BC221" i="5"/>
  <c r="BC222" i="5"/>
  <c r="BH221" i="5"/>
  <c r="BI221" i="5" s="1"/>
  <c r="BH222" i="5"/>
  <c r="BI222" i="5" s="1"/>
  <c r="CL221" i="5"/>
  <c r="E221" i="5" s="1"/>
  <c r="CM221" i="5"/>
  <c r="CN221" i="5"/>
  <c r="G221" i="5" s="1"/>
  <c r="CP221" i="5"/>
  <c r="CQ221" i="5"/>
  <c r="J221" i="5" s="1"/>
  <c r="CR221" i="5"/>
  <c r="CR223" i="5" s="1"/>
  <c r="CS221" i="5"/>
  <c r="L221" i="5" s="1"/>
  <c r="CU221" i="5"/>
  <c r="CV221" i="5"/>
  <c r="O221" i="5" s="1"/>
  <c r="CW221" i="5"/>
  <c r="CX221" i="5"/>
  <c r="CZ221" i="5"/>
  <c r="DA221" i="5"/>
  <c r="T221" i="5" s="1"/>
  <c r="DB221" i="5"/>
  <c r="DC221" i="5"/>
  <c r="V221" i="5" s="1"/>
  <c r="DE221" i="5"/>
  <c r="DF221" i="5"/>
  <c r="DG221" i="5"/>
  <c r="DH221" i="5"/>
  <c r="AA221" i="5" s="1"/>
  <c r="DJ221" i="5"/>
  <c r="DK221" i="5"/>
  <c r="AD221" i="5" s="1"/>
  <c r="DL221" i="5"/>
  <c r="DM221" i="5"/>
  <c r="AF221" i="5" s="1"/>
  <c r="DO221" i="5"/>
  <c r="DP221" i="5"/>
  <c r="AI221" i="5" s="1"/>
  <c r="DQ221" i="5"/>
  <c r="AJ221" i="5" s="1"/>
  <c r="DR221" i="5"/>
  <c r="DT221" i="5"/>
  <c r="DU221" i="5"/>
  <c r="AN221" i="5" s="1"/>
  <c r="DV221" i="5"/>
  <c r="AO221" i="5" s="1"/>
  <c r="DW221" i="5"/>
  <c r="CO218" i="5"/>
  <c r="CO219" i="5"/>
  <c r="CO220" i="5"/>
  <c r="CO222" i="5"/>
  <c r="CT218" i="5"/>
  <c r="CT219" i="5"/>
  <c r="CT220" i="5"/>
  <c r="CT222" i="5"/>
  <c r="CX222" i="5"/>
  <c r="DB222" i="5"/>
  <c r="U222" i="5" s="1"/>
  <c r="DC222" i="5"/>
  <c r="DG222" i="5"/>
  <c r="DH222" i="5"/>
  <c r="AB222" i="5" s="1"/>
  <c r="DL222" i="5"/>
  <c r="AE222" i="5" s="1"/>
  <c r="DM222" i="5"/>
  <c r="AG222" i="5" s="1"/>
  <c r="DR222" i="5"/>
  <c r="AL222" i="5" s="1"/>
  <c r="DX218" i="5"/>
  <c r="DX219" i="5"/>
  <c r="DX222" i="5"/>
  <c r="CL223" i="5"/>
  <c r="CM223" i="5"/>
  <c r="CN223" i="5"/>
  <c r="CV223" i="5"/>
  <c r="DC223" i="5"/>
  <c r="DY223" i="5"/>
  <c r="AR223" i="5" s="1"/>
  <c r="I218" i="5"/>
  <c r="I192" i="5" s="1"/>
  <c r="I219" i="5"/>
  <c r="I193" i="5" s="1"/>
  <c r="I220" i="5"/>
  <c r="I222" i="5"/>
  <c r="I224" i="5"/>
  <c r="N218" i="5"/>
  <c r="N192" i="5" s="1"/>
  <c r="N219" i="5"/>
  <c r="N193" i="5" s="1"/>
  <c r="N220" i="5"/>
  <c r="N222" i="5"/>
  <c r="N224" i="5"/>
  <c r="S218" i="5"/>
  <c r="S192" i="5" s="1"/>
  <c r="S219" i="5"/>
  <c r="S193" i="5" s="1"/>
  <c r="S220" i="5"/>
  <c r="S222" i="5"/>
  <c r="S224" i="5"/>
  <c r="X218" i="5"/>
  <c r="X192" i="5" s="1"/>
  <c r="X219" i="5"/>
  <c r="X193" i="5" s="1"/>
  <c r="X222" i="5"/>
  <c r="X224" i="5"/>
  <c r="AC218" i="5"/>
  <c r="AC192" i="5" s="1"/>
  <c r="AC219" i="5"/>
  <c r="AC193" i="5" s="1"/>
  <c r="AC222" i="5"/>
  <c r="AC224" i="5"/>
  <c r="AH218" i="5"/>
  <c r="AH192" i="5" s="1"/>
  <c r="AH219" i="5"/>
  <c r="AH193" i="5" s="1"/>
  <c r="AH220" i="5"/>
  <c r="AH221" i="5"/>
  <c r="AH222" i="5"/>
  <c r="AH224" i="5"/>
  <c r="AM218" i="5"/>
  <c r="AM192" i="5" s="1"/>
  <c r="AM219" i="5"/>
  <c r="AM193" i="5" s="1"/>
  <c r="AM220" i="5"/>
  <c r="AM222" i="5"/>
  <c r="AM224" i="5"/>
  <c r="AR218" i="5"/>
  <c r="AR192" i="5" s="1"/>
  <c r="AR219" i="5"/>
  <c r="AR193" i="5" s="1"/>
  <c r="AR220" i="5"/>
  <c r="AR221" i="5"/>
  <c r="AR222" i="5"/>
  <c r="AR224" i="5"/>
  <c r="E226" i="5"/>
  <c r="CM226" i="5"/>
  <c r="CN226" i="5" s="1"/>
  <c r="CP226" i="5"/>
  <c r="H232" i="5"/>
  <c r="M232" i="5"/>
  <c r="R232" i="5"/>
  <c r="W232" i="5"/>
  <c r="AB232" i="5"/>
  <c r="AG232" i="5"/>
  <c r="AL232" i="5"/>
  <c r="AQ232" i="5"/>
  <c r="H234" i="5"/>
  <c r="M234" i="5"/>
  <c r="S234" i="5"/>
  <c r="R234" i="5" s="1"/>
  <c r="T234" i="5"/>
  <c r="W234" i="5"/>
  <c r="Y234" i="5"/>
  <c r="Z234" i="5"/>
  <c r="AA234" i="5"/>
  <c r="AA236" i="5" s="1"/>
  <c r="AC234" i="5"/>
  <c r="AD234" i="5"/>
  <c r="AG234" i="5"/>
  <c r="AL234" i="5"/>
  <c r="AQ234" i="5"/>
  <c r="E235" i="5"/>
  <c r="E236" i="5" s="1"/>
  <c r="F235" i="5"/>
  <c r="F236" i="5" s="1"/>
  <c r="F245" i="5" s="1"/>
  <c r="G235" i="5"/>
  <c r="G236" i="5" s="1"/>
  <c r="I235" i="5"/>
  <c r="H235" i="5" s="1"/>
  <c r="J235" i="5"/>
  <c r="J236" i="5" s="1"/>
  <c r="J245" i="5" s="1"/>
  <c r="J237" i="5" s="1"/>
  <c r="K235" i="5"/>
  <c r="L235" i="5"/>
  <c r="N235" i="5"/>
  <c r="O235" i="5"/>
  <c r="O236" i="5" s="1"/>
  <c r="O245" i="5" s="1"/>
  <c r="P235" i="5"/>
  <c r="P236" i="5" s="1"/>
  <c r="Q235" i="5"/>
  <c r="S235" i="5"/>
  <c r="T235" i="5"/>
  <c r="U235" i="5"/>
  <c r="U236" i="5" s="1"/>
  <c r="V235" i="5"/>
  <c r="V236" i="5" s="1"/>
  <c r="X235" i="5"/>
  <c r="Y235" i="5"/>
  <c r="Z235" i="5"/>
  <c r="AA235" i="5"/>
  <c r="AC235" i="5"/>
  <c r="AB235" i="5" s="1"/>
  <c r="AD235" i="5"/>
  <c r="AE235" i="5"/>
  <c r="AE236" i="5" s="1"/>
  <c r="AF235" i="5"/>
  <c r="AH235" i="5"/>
  <c r="AG235" i="5" s="1"/>
  <c r="AI235" i="5"/>
  <c r="AI236" i="5" s="1"/>
  <c r="AJ235" i="5"/>
  <c r="AJ236" i="5" s="1"/>
  <c r="AJ245" i="5" s="1"/>
  <c r="AK235" i="5"/>
  <c r="AM235" i="5"/>
  <c r="AL235" i="5" s="1"/>
  <c r="AN235" i="5"/>
  <c r="AN236" i="5" s="1"/>
  <c r="AN245" i="5" s="1"/>
  <c r="AO235" i="5"/>
  <c r="AO236" i="5" s="1"/>
  <c r="AO245" i="5" s="1"/>
  <c r="AO243" i="5" s="1"/>
  <c r="AO280" i="5" s="1"/>
  <c r="AP235" i="5"/>
  <c r="AP236" i="5" s="1"/>
  <c r="AR235" i="5"/>
  <c r="AR236" i="5" s="1"/>
  <c r="AR245" i="5" s="1"/>
  <c r="AS235" i="5"/>
  <c r="AT235" i="5"/>
  <c r="AT236" i="5" s="1"/>
  <c r="AU235" i="5"/>
  <c r="K236" i="5"/>
  <c r="K245" i="5" s="1"/>
  <c r="L236" i="5"/>
  <c r="L245" i="5" s="1"/>
  <c r="L237" i="5" s="1"/>
  <c r="Q236" i="5"/>
  <c r="AF236" i="5"/>
  <c r="AF245" i="5" s="1"/>
  <c r="AK236" i="5"/>
  <c r="AK245" i="5" s="1"/>
  <c r="AK243" i="5" s="1"/>
  <c r="AK280" i="5" s="1"/>
  <c r="AS236" i="5"/>
  <c r="H239" i="5"/>
  <c r="M239" i="5"/>
  <c r="R239" i="5"/>
  <c r="W239" i="5"/>
  <c r="AB239" i="5"/>
  <c r="AG239" i="5"/>
  <c r="AL239" i="5"/>
  <c r="AQ239" i="5"/>
  <c r="H242" i="5"/>
  <c r="M242" i="5"/>
  <c r="R242" i="5"/>
  <c r="W242" i="5"/>
  <c r="AA242" i="5"/>
  <c r="AB242" i="5"/>
  <c r="AG242" i="5"/>
  <c r="AL242" i="5"/>
  <c r="AQ242" i="5"/>
  <c r="AC251" i="5"/>
  <c r="H253" i="5"/>
  <c r="I253" i="5"/>
  <c r="J253" i="5"/>
  <c r="K253" i="5"/>
  <c r="L253" i="5"/>
  <c r="M253" i="5"/>
  <c r="N253" i="5"/>
  <c r="O253" i="5"/>
  <c r="P253" i="5"/>
  <c r="Q253" i="5"/>
  <c r="R253" i="5"/>
  <c r="S253" i="5"/>
  <c r="T253" i="5"/>
  <c r="U253" i="5"/>
  <c r="V253" i="5"/>
  <c r="W253" i="5"/>
  <c r="X253" i="5"/>
  <c r="Y253" i="5"/>
  <c r="Z253" i="5"/>
  <c r="AA253" i="5"/>
  <c r="AB253" i="5"/>
  <c r="AC253" i="5"/>
  <c r="AD253" i="5"/>
  <c r="AE253" i="5"/>
  <c r="AF253" i="5"/>
  <c r="AG253" i="5"/>
  <c r="AH253" i="5"/>
  <c r="AI253" i="5"/>
  <c r="AJ253" i="5"/>
  <c r="AK253" i="5"/>
  <c r="AL253" i="5"/>
  <c r="AM253" i="5"/>
  <c r="AN253" i="5"/>
  <c r="AO253" i="5"/>
  <c r="AP253" i="5"/>
  <c r="AQ253" i="5"/>
  <c r="AR253" i="5"/>
  <c r="AS253" i="5"/>
  <c r="AT253" i="5"/>
  <c r="AU253" i="5"/>
  <c r="J269" i="5"/>
  <c r="K269" i="5"/>
  <c r="M269" i="5"/>
  <c r="J270" i="5"/>
  <c r="K270" i="5"/>
  <c r="L270" i="5"/>
  <c r="J271" i="5"/>
  <c r="K271" i="5"/>
  <c r="L271" i="5"/>
  <c r="M271" i="5"/>
  <c r="Q269" i="5"/>
  <c r="T269" i="5"/>
  <c r="U269" i="5"/>
  <c r="Y269" i="5"/>
  <c r="AA269" i="5"/>
  <c r="AB269" i="5"/>
  <c r="AF269" i="5"/>
  <c r="AG269" i="5"/>
  <c r="O270" i="5"/>
  <c r="P270" i="5"/>
  <c r="Q270" i="5"/>
  <c r="T270" i="5"/>
  <c r="U270" i="5"/>
  <c r="V270" i="5"/>
  <c r="Y270" i="5"/>
  <c r="Z270" i="5"/>
  <c r="AA270" i="5"/>
  <c r="AD270" i="5"/>
  <c r="AE270" i="5"/>
  <c r="AF270" i="5"/>
  <c r="P271" i="5"/>
  <c r="Q271" i="5"/>
  <c r="R271" i="5"/>
  <c r="T271" i="5"/>
  <c r="U271" i="5"/>
  <c r="V271" i="5"/>
  <c r="Y271" i="5"/>
  <c r="Z271" i="5"/>
  <c r="AB271" i="5"/>
  <c r="AD271" i="5"/>
  <c r="AE271" i="5"/>
  <c r="AF271" i="5"/>
  <c r="AG271" i="5"/>
  <c r="AJ269" i="5"/>
  <c r="AK269" i="5"/>
  <c r="AN269" i="5"/>
  <c r="AO269" i="5"/>
  <c r="AQ269" i="5"/>
  <c r="AI270" i="5"/>
  <c r="AJ270" i="5"/>
  <c r="AK270" i="5"/>
  <c r="AL270" i="5"/>
  <c r="AN270" i="5"/>
  <c r="AO270" i="5"/>
  <c r="AP270" i="5"/>
  <c r="AQ270" i="5"/>
  <c r="AJ271" i="5"/>
  <c r="AK271" i="5"/>
  <c r="AL271" i="5"/>
  <c r="AN271" i="5"/>
  <c r="AO271" i="5"/>
  <c r="AP271" i="5"/>
  <c r="E269" i="5"/>
  <c r="F269" i="5"/>
  <c r="E270" i="5"/>
  <c r="F270" i="5"/>
  <c r="G270" i="5"/>
  <c r="E271" i="5"/>
  <c r="F271" i="5"/>
  <c r="H271" i="5"/>
  <c r="I268" i="5"/>
  <c r="I272" i="5"/>
  <c r="N272" i="5"/>
  <c r="S272" i="5"/>
  <c r="W272" i="5"/>
  <c r="V272" i="5" s="1"/>
  <c r="U272" i="5" s="1"/>
  <c r="T272" i="5" s="1"/>
  <c r="AN272" i="5"/>
  <c r="AO272" i="5"/>
  <c r="AP272" i="5"/>
  <c r="AQ272" i="5"/>
  <c r="AS272" i="5"/>
  <c r="AT272" i="5"/>
  <c r="AU272" i="5"/>
  <c r="AV272" i="5"/>
  <c r="AX272" i="5"/>
  <c r="AY272" i="5"/>
  <c r="AZ272" i="5"/>
  <c r="BA272" i="5"/>
  <c r="BC272" i="5"/>
  <c r="BD272" i="5"/>
  <c r="BE272" i="5"/>
  <c r="BF272" i="5"/>
  <c r="BH272" i="5"/>
  <c r="BI272" i="5"/>
  <c r="BJ272" i="5"/>
  <c r="BK272" i="5"/>
  <c r="BU292" i="5"/>
  <c r="BV292" i="5"/>
  <c r="X295" i="5"/>
  <c r="AC295" i="5"/>
  <c r="AD295" i="5"/>
  <c r="AE295" i="5"/>
  <c r="AF295" i="5"/>
  <c r="AG295" i="5"/>
  <c r="AH295" i="5"/>
  <c r="AM295" i="5"/>
  <c r="AN291" i="5" s="1"/>
  <c r="AR295" i="5"/>
  <c r="B2" i="4"/>
  <c r="H8" i="4"/>
  <c r="H9" i="4"/>
  <c r="H11" i="4" s="1"/>
  <c r="H10" i="4"/>
  <c r="M8" i="4"/>
  <c r="M9" i="4"/>
  <c r="M10" i="4"/>
  <c r="R8" i="4"/>
  <c r="R9" i="4"/>
  <c r="R10" i="4"/>
  <c r="W8" i="4"/>
  <c r="W9" i="4"/>
  <c r="W10" i="4"/>
  <c r="AB8" i="4"/>
  <c r="AB9" i="4"/>
  <c r="AB11" i="4" s="1"/>
  <c r="AB10" i="4"/>
  <c r="AG8" i="4"/>
  <c r="AG9" i="4"/>
  <c r="AG10" i="4"/>
  <c r="AL8" i="4"/>
  <c r="AL9" i="4"/>
  <c r="AL10" i="4"/>
  <c r="AQ8" i="4"/>
  <c r="AQ9" i="4"/>
  <c r="AQ10" i="4"/>
  <c r="E11" i="4"/>
  <c r="F11" i="4"/>
  <c r="G11" i="4"/>
  <c r="I11" i="4"/>
  <c r="I8" i="9" s="1"/>
  <c r="J11" i="4"/>
  <c r="K11" i="4"/>
  <c r="L11" i="4"/>
  <c r="N11" i="4"/>
  <c r="N8" i="9" s="1"/>
  <c r="O11" i="4"/>
  <c r="O8" i="9" s="1"/>
  <c r="P11" i="4"/>
  <c r="Q11" i="4"/>
  <c r="R11" i="4"/>
  <c r="S11" i="4"/>
  <c r="S8" i="9" s="1"/>
  <c r="T11" i="4"/>
  <c r="T8" i="9" s="1"/>
  <c r="U11" i="4"/>
  <c r="V11" i="4"/>
  <c r="V8" i="9" s="1"/>
  <c r="X11" i="4"/>
  <c r="X8" i="9" s="1"/>
  <c r="Y11" i="4"/>
  <c r="Z11" i="4"/>
  <c r="AA11" i="4"/>
  <c r="AC11" i="4"/>
  <c r="AC8" i="9" s="1"/>
  <c r="AD11" i="4"/>
  <c r="AE11" i="4"/>
  <c r="AE8" i="9" s="1"/>
  <c r="AF11" i="4"/>
  <c r="AF8" i="9" s="1"/>
  <c r="AH11" i="4"/>
  <c r="AH8" i="9" s="1"/>
  <c r="AI11" i="4"/>
  <c r="AJ11" i="4"/>
  <c r="AK11" i="4"/>
  <c r="AK8" i="9" s="1"/>
  <c r="AL11" i="4"/>
  <c r="AM11" i="4"/>
  <c r="AM8" i="9" s="1"/>
  <c r="AN11" i="4"/>
  <c r="AO11" i="4"/>
  <c r="AP11" i="4"/>
  <c r="AR11" i="4"/>
  <c r="AR8" i="9" s="1"/>
  <c r="AS11" i="4"/>
  <c r="AT11" i="4"/>
  <c r="AU11" i="4"/>
  <c r="H13" i="4"/>
  <c r="H14" i="4"/>
  <c r="H15" i="4"/>
  <c r="M13" i="4"/>
  <c r="M14" i="4"/>
  <c r="M15" i="4"/>
  <c r="R13" i="4"/>
  <c r="R16" i="4" s="1"/>
  <c r="R14" i="4"/>
  <c r="R15" i="4"/>
  <c r="W13" i="4"/>
  <c r="W14" i="4"/>
  <c r="W16" i="4" s="1"/>
  <c r="W15" i="4"/>
  <c r="AB13" i="4"/>
  <c r="AB14" i="4"/>
  <c r="AB15" i="4"/>
  <c r="AG13" i="4"/>
  <c r="AG14" i="4"/>
  <c r="AG15" i="4"/>
  <c r="AL13" i="4"/>
  <c r="AL16" i="4" s="1"/>
  <c r="AL14" i="4"/>
  <c r="AL15" i="4"/>
  <c r="AQ13" i="4"/>
  <c r="AQ14" i="4"/>
  <c r="AQ16" i="4" s="1"/>
  <c r="AQ15" i="4"/>
  <c r="E16" i="4"/>
  <c r="E9" i="9" s="1"/>
  <c r="F16" i="4"/>
  <c r="F9" i="9" s="1"/>
  <c r="G16" i="4"/>
  <c r="I16" i="4"/>
  <c r="I9" i="9" s="1"/>
  <c r="J16" i="4"/>
  <c r="J9" i="9" s="1"/>
  <c r="K16" i="4"/>
  <c r="K9" i="9" s="1"/>
  <c r="L16" i="4"/>
  <c r="M16" i="4"/>
  <c r="N16" i="4"/>
  <c r="N9" i="9" s="1"/>
  <c r="O16" i="4"/>
  <c r="P16" i="4"/>
  <c r="P9" i="9" s="1"/>
  <c r="Q16" i="4"/>
  <c r="S16" i="4"/>
  <c r="S9" i="9" s="1"/>
  <c r="T16" i="4"/>
  <c r="T9" i="9" s="1"/>
  <c r="U16" i="4"/>
  <c r="U9" i="9" s="1"/>
  <c r="V16" i="4"/>
  <c r="X16" i="4"/>
  <c r="Y16" i="4"/>
  <c r="Z16" i="4"/>
  <c r="Z9" i="9" s="1"/>
  <c r="AA16" i="4"/>
  <c r="AA9" i="9" s="1"/>
  <c r="AC16" i="4"/>
  <c r="AC9" i="9" s="1"/>
  <c r="AD16" i="4"/>
  <c r="AE16" i="4"/>
  <c r="AE9" i="9" s="1"/>
  <c r="AF16" i="4"/>
  <c r="AF9" i="9" s="1"/>
  <c r="AG16" i="4"/>
  <c r="AH16" i="4"/>
  <c r="AI16" i="4"/>
  <c r="AI9" i="9" s="1"/>
  <c r="AJ16" i="4"/>
  <c r="AJ9" i="9" s="1"/>
  <c r="AK16" i="4"/>
  <c r="AK9" i="9" s="1"/>
  <c r="AM16" i="4"/>
  <c r="AN16" i="4"/>
  <c r="AN9" i="9" s="1"/>
  <c r="AO16" i="4"/>
  <c r="AO9" i="9" s="1"/>
  <c r="AP16" i="4"/>
  <c r="AP9" i="9" s="1"/>
  <c r="AR16" i="4"/>
  <c r="AS16" i="4"/>
  <c r="AS9" i="9" s="1"/>
  <c r="AT16" i="4"/>
  <c r="AT18" i="4" s="1"/>
  <c r="AU16" i="4"/>
  <c r="AU9" i="9" s="1"/>
  <c r="F18" i="4"/>
  <c r="J18" i="4"/>
  <c r="L18" i="4"/>
  <c r="N18" i="4"/>
  <c r="O18" i="4"/>
  <c r="P18" i="4"/>
  <c r="Q18" i="4"/>
  <c r="S18" i="4"/>
  <c r="U18" i="4"/>
  <c r="V18" i="4"/>
  <c r="X18" i="4"/>
  <c r="AC18" i="4"/>
  <c r="AI18" i="4"/>
  <c r="AK18" i="4"/>
  <c r="AN18" i="4"/>
  <c r="AR18" i="4"/>
  <c r="BS20" i="4"/>
  <c r="BS21" i="4"/>
  <c r="BS22" i="4"/>
  <c r="H20" i="4"/>
  <c r="H12" i="9" s="1"/>
  <c r="H21" i="4"/>
  <c r="H22" i="4"/>
  <c r="H14" i="9" s="1"/>
  <c r="H23" i="4"/>
  <c r="H15" i="9" s="1"/>
  <c r="M20" i="4"/>
  <c r="M12" i="9" s="1"/>
  <c r="M21" i="4"/>
  <c r="M22" i="4"/>
  <c r="M14" i="9" s="1"/>
  <c r="M23" i="4"/>
  <c r="R20" i="4"/>
  <c r="R12" i="9" s="1"/>
  <c r="R21" i="4"/>
  <c r="R22" i="4"/>
  <c r="R14" i="9" s="1"/>
  <c r="R23" i="4"/>
  <c r="R15" i="9" s="1"/>
  <c r="W20" i="4"/>
  <c r="W12" i="9" s="1"/>
  <c r="W21" i="4"/>
  <c r="W22" i="4"/>
  <c r="W14" i="9" s="1"/>
  <c r="W23" i="4"/>
  <c r="W15" i="9" s="1"/>
  <c r="AB20" i="4"/>
  <c r="AB12" i="9" s="1"/>
  <c r="AB21" i="4"/>
  <c r="AB22" i="4"/>
  <c r="AB14" i="9" s="1"/>
  <c r="AB23" i="4"/>
  <c r="AB15" i="9" s="1"/>
  <c r="AG20" i="4"/>
  <c r="AG12" i="9" s="1"/>
  <c r="AG21" i="4"/>
  <c r="AG22" i="4"/>
  <c r="AG14" i="9" s="1"/>
  <c r="AG23" i="4"/>
  <c r="AI23" i="4"/>
  <c r="AI15" i="9" s="1"/>
  <c r="AL20" i="4"/>
  <c r="AL21" i="4"/>
  <c r="AL13" i="9" s="1"/>
  <c r="AL22" i="4"/>
  <c r="AL14" i="9" s="1"/>
  <c r="AL23" i="4"/>
  <c r="AL15" i="9" s="1"/>
  <c r="AQ20" i="4"/>
  <c r="AQ21" i="4"/>
  <c r="AQ13" i="9" s="1"/>
  <c r="AQ22" i="4"/>
  <c r="AQ14" i="9" s="1"/>
  <c r="AQ23" i="4"/>
  <c r="AQ15" i="9" s="1"/>
  <c r="F24" i="4"/>
  <c r="I24" i="4"/>
  <c r="J24" i="4"/>
  <c r="K24" i="4"/>
  <c r="K31" i="4" s="1"/>
  <c r="L24" i="4"/>
  <c r="L31" i="4" s="1"/>
  <c r="O24" i="4"/>
  <c r="O31" i="4" s="1"/>
  <c r="Q24" i="4"/>
  <c r="T24" i="4"/>
  <c r="U24" i="4"/>
  <c r="V24" i="4"/>
  <c r="X24" i="4"/>
  <c r="Y24" i="4"/>
  <c r="Z24" i="4"/>
  <c r="AC24" i="4"/>
  <c r="AD24" i="4"/>
  <c r="AF24" i="4"/>
  <c r="AF31" i="4" s="1"/>
  <c r="AH24" i="4"/>
  <c r="AI24" i="4"/>
  <c r="AI31" i="4" s="1"/>
  <c r="AJ24" i="4"/>
  <c r="AK24" i="4"/>
  <c r="AM24" i="4"/>
  <c r="AN24" i="4"/>
  <c r="AN31" i="4" s="1"/>
  <c r="AO24" i="4"/>
  <c r="AP24" i="4"/>
  <c r="AP31" i="4" s="1"/>
  <c r="AR24" i="4"/>
  <c r="AS24" i="4"/>
  <c r="AS31" i="4" s="1"/>
  <c r="AT24" i="4"/>
  <c r="AU24" i="4"/>
  <c r="AU31" i="4" s="1"/>
  <c r="E26" i="4"/>
  <c r="I26" i="4"/>
  <c r="J26" i="4"/>
  <c r="S26" i="4"/>
  <c r="X26" i="4"/>
  <c r="AC26" i="4"/>
  <c r="AF26" i="4"/>
  <c r="AH26" i="4"/>
  <c r="AK26" i="4"/>
  <c r="AM26" i="4"/>
  <c r="AP26" i="4"/>
  <c r="AR26" i="4"/>
  <c r="F27" i="4"/>
  <c r="J27" i="4"/>
  <c r="K27" i="4"/>
  <c r="K26" i="3" s="1"/>
  <c r="N27" i="4"/>
  <c r="P27" i="4"/>
  <c r="T27" i="4"/>
  <c r="T26" i="3" s="1"/>
  <c r="U27" i="4"/>
  <c r="U26" i="3" s="1"/>
  <c r="AF27" i="4"/>
  <c r="AF26" i="3" s="1"/>
  <c r="AN27" i="4"/>
  <c r="AN26" i="3" s="1"/>
  <c r="AR27" i="4"/>
  <c r="AS27" i="4"/>
  <c r="AS26" i="3" s="1"/>
  <c r="AT27" i="4"/>
  <c r="AT26" i="3" s="1"/>
  <c r="E28" i="4"/>
  <c r="F28" i="4"/>
  <c r="G28" i="4"/>
  <c r="I28" i="4"/>
  <c r="J28" i="4"/>
  <c r="K28" i="4"/>
  <c r="L28" i="4"/>
  <c r="N28" i="4"/>
  <c r="O28" i="4"/>
  <c r="P28" i="4"/>
  <c r="Q28" i="4"/>
  <c r="S28" i="4"/>
  <c r="T28" i="4"/>
  <c r="U28" i="4"/>
  <c r="V28" i="4"/>
  <c r="V27" i="3" s="1"/>
  <c r="X28" i="4"/>
  <c r="Y28" i="4"/>
  <c r="Z28" i="4"/>
  <c r="AA28" i="4"/>
  <c r="AC28" i="4"/>
  <c r="AE28" i="4"/>
  <c r="AF28" i="4"/>
  <c r="AH28" i="4"/>
  <c r="AI28" i="4"/>
  <c r="AI27" i="3" s="1"/>
  <c r="AJ28" i="4"/>
  <c r="AK28" i="4"/>
  <c r="AK27" i="3" s="1"/>
  <c r="AM28" i="4"/>
  <c r="AN28" i="4"/>
  <c r="AO28" i="4"/>
  <c r="AP28" i="4"/>
  <c r="AR28" i="4"/>
  <c r="AS28" i="4"/>
  <c r="AS27" i="3" s="1"/>
  <c r="AT28" i="4"/>
  <c r="AU28" i="4"/>
  <c r="AU27" i="3" s="1"/>
  <c r="AE29" i="4"/>
  <c r="AE28" i="3" s="1"/>
  <c r="AN29" i="4"/>
  <c r="AN28" i="3" s="1"/>
  <c r="AT29" i="4"/>
  <c r="AT28" i="3" s="1"/>
  <c r="F31" i="4"/>
  <c r="I31" i="4"/>
  <c r="J31" i="4"/>
  <c r="Q31" i="4"/>
  <c r="T31" i="4"/>
  <c r="U31" i="4"/>
  <c r="V31" i="4"/>
  <c r="X31" i="4"/>
  <c r="Y31" i="4"/>
  <c r="Z31" i="4"/>
  <c r="AC31" i="4"/>
  <c r="AD31" i="4"/>
  <c r="AH31" i="4"/>
  <c r="AJ31" i="4"/>
  <c r="AK31" i="4"/>
  <c r="AO31" i="4"/>
  <c r="AR31" i="4"/>
  <c r="AT31" i="4"/>
  <c r="AX36" i="4"/>
  <c r="AY36" i="4"/>
  <c r="AZ36" i="4"/>
  <c r="BC36" i="4"/>
  <c r="BD36" i="4"/>
  <c r="BE36" i="4"/>
  <c r="BJ36" i="4"/>
  <c r="BS34" i="4"/>
  <c r="AL34" i="4"/>
  <c r="AL35" i="4"/>
  <c r="H34" i="4"/>
  <c r="H35" i="4"/>
  <c r="H36" i="4"/>
  <c r="M34" i="4"/>
  <c r="M35" i="4"/>
  <c r="M36" i="4"/>
  <c r="R34" i="4"/>
  <c r="R35" i="4"/>
  <c r="R36" i="4"/>
  <c r="W34" i="4"/>
  <c r="W35" i="4"/>
  <c r="W36" i="4"/>
  <c r="AB34" i="4"/>
  <c r="AB35" i="4"/>
  <c r="AB36" i="4"/>
  <c r="AG34" i="4"/>
  <c r="AG35" i="4"/>
  <c r="AG36" i="4"/>
  <c r="AI36" i="4"/>
  <c r="AM36" i="4"/>
  <c r="AQ34" i="4"/>
  <c r="AQ35" i="4"/>
  <c r="AQ36" i="4"/>
  <c r="E37" i="4"/>
  <c r="F37" i="4"/>
  <c r="F20" i="9" s="1"/>
  <c r="G37" i="4"/>
  <c r="G20" i="9" s="1"/>
  <c r="I37" i="4"/>
  <c r="J37" i="4"/>
  <c r="J20" i="9" s="1"/>
  <c r="K37" i="4"/>
  <c r="K20" i="9" s="1"/>
  <c r="L37" i="4"/>
  <c r="N37" i="4"/>
  <c r="N20" i="9" s="1"/>
  <c r="O37" i="4"/>
  <c r="O20" i="9" s="1"/>
  <c r="P37" i="4"/>
  <c r="P20" i="9" s="1"/>
  <c r="Q37" i="4"/>
  <c r="S37" i="4"/>
  <c r="S20" i="9" s="1"/>
  <c r="T37" i="4"/>
  <c r="T20" i="9" s="1"/>
  <c r="U37" i="4"/>
  <c r="U20" i="9" s="1"/>
  <c r="V37" i="4"/>
  <c r="X37" i="4"/>
  <c r="Y37" i="4"/>
  <c r="Y39" i="4" s="1"/>
  <c r="Y40" i="4" s="1"/>
  <c r="Z37" i="4"/>
  <c r="Z20" i="9" s="1"/>
  <c r="AA37" i="4"/>
  <c r="AC37" i="4"/>
  <c r="AD37" i="4"/>
  <c r="AD20" i="9" s="1"/>
  <c r="AE37" i="4"/>
  <c r="AF37" i="4"/>
  <c r="AH37" i="4"/>
  <c r="AH20" i="9" s="1"/>
  <c r="AI37" i="4"/>
  <c r="AI20" i="9" s="1"/>
  <c r="AJ37" i="4"/>
  <c r="AK37" i="4"/>
  <c r="AN37" i="4"/>
  <c r="AO37" i="4"/>
  <c r="AP37" i="4"/>
  <c r="AR37" i="4"/>
  <c r="AR20" i="9" s="1"/>
  <c r="AS37" i="4"/>
  <c r="AS20" i="9" s="1"/>
  <c r="AT37" i="4"/>
  <c r="AT20" i="9" s="1"/>
  <c r="AU37" i="4"/>
  <c r="T39" i="4"/>
  <c r="T40" i="4" s="1"/>
  <c r="AC39" i="4"/>
  <c r="AC40" i="4" s="1"/>
  <c r="AC235" i="4" s="1"/>
  <c r="BS42" i="4"/>
  <c r="H42" i="4"/>
  <c r="H44" i="4" s="1"/>
  <c r="H43" i="4"/>
  <c r="M42" i="4"/>
  <c r="M43" i="4"/>
  <c r="R42" i="4"/>
  <c r="R44" i="4" s="1"/>
  <c r="R43" i="4"/>
  <c r="W42" i="4"/>
  <c r="W43" i="4"/>
  <c r="AB42" i="4"/>
  <c r="AB44" i="4" s="1"/>
  <c r="AB43" i="4"/>
  <c r="AG42" i="4"/>
  <c r="AG44" i="4" s="1"/>
  <c r="AG43" i="4"/>
  <c r="AL42" i="4"/>
  <c r="AL44" i="4" s="1"/>
  <c r="AL43" i="4"/>
  <c r="AQ42" i="4"/>
  <c r="AQ43" i="4"/>
  <c r="E44" i="4"/>
  <c r="E25" i="9" s="1"/>
  <c r="F44" i="4"/>
  <c r="F25" i="9" s="1"/>
  <c r="G44" i="4"/>
  <c r="G25" i="9" s="1"/>
  <c r="I44" i="4"/>
  <c r="I25" i="9" s="1"/>
  <c r="J44" i="4"/>
  <c r="K44" i="4"/>
  <c r="K25" i="9" s="1"/>
  <c r="L44" i="4"/>
  <c r="L25" i="9" s="1"/>
  <c r="N44" i="4"/>
  <c r="O44" i="4"/>
  <c r="O25" i="9" s="1"/>
  <c r="P44" i="4"/>
  <c r="Q44" i="4"/>
  <c r="Q25" i="9" s="1"/>
  <c r="S44" i="4"/>
  <c r="T44" i="4"/>
  <c r="T25" i="9" s="1"/>
  <c r="U44" i="4"/>
  <c r="V44" i="4"/>
  <c r="V25" i="9" s="1"/>
  <c r="X44" i="4"/>
  <c r="Y44" i="4"/>
  <c r="Y25" i="9" s="1"/>
  <c r="Z44" i="4"/>
  <c r="AA44" i="4"/>
  <c r="AA25" i="9" s="1"/>
  <c r="AC44" i="4"/>
  <c r="AD44" i="4"/>
  <c r="AD25" i="9" s="1"/>
  <c r="AE44" i="4"/>
  <c r="AE25" i="9" s="1"/>
  <c r="AF44" i="4"/>
  <c r="AF25" i="9" s="1"/>
  <c r="AH44" i="4"/>
  <c r="AH25" i="9" s="1"/>
  <c r="AI44" i="4"/>
  <c r="AJ44" i="4"/>
  <c r="AJ25" i="9" s="1"/>
  <c r="AK44" i="4"/>
  <c r="AM44" i="4"/>
  <c r="AM25" i="9" s="1"/>
  <c r="AN44" i="4"/>
  <c r="AO44" i="4"/>
  <c r="AO25" i="9" s="1"/>
  <c r="AP44" i="4"/>
  <c r="AP25" i="9" s="1"/>
  <c r="AR44" i="4"/>
  <c r="AR25" i="9" s="1"/>
  <c r="AS44" i="4"/>
  <c r="AS25" i="9" s="1"/>
  <c r="AT44" i="4"/>
  <c r="AT25" i="9" s="1"/>
  <c r="AU44" i="4"/>
  <c r="AU25" i="9" s="1"/>
  <c r="H48" i="4"/>
  <c r="M48" i="4"/>
  <c r="M29" i="9" s="1"/>
  <c r="R48" i="4"/>
  <c r="R29" i="9" s="1"/>
  <c r="W48" i="4"/>
  <c r="W29" i="9" s="1"/>
  <c r="AB48" i="4"/>
  <c r="AG48" i="4"/>
  <c r="AG29" i="9" s="1"/>
  <c r="AL48" i="4"/>
  <c r="AL29" i="9" s="1"/>
  <c r="AQ48" i="4"/>
  <c r="AQ29" i="9" s="1"/>
  <c r="AX51" i="4"/>
  <c r="AY51" i="4"/>
  <c r="AZ51" i="4"/>
  <c r="BA51" i="4"/>
  <c r="BC51" i="4"/>
  <c r="BD51" i="4"/>
  <c r="BE51" i="4"/>
  <c r="BF51" i="4"/>
  <c r="BH51" i="4"/>
  <c r="BI51" i="4"/>
  <c r="BJ51" i="4"/>
  <c r="BK51" i="4"/>
  <c r="Q51" i="4"/>
  <c r="H51" i="4"/>
  <c r="H32" i="9" s="1"/>
  <c r="H52" i="4"/>
  <c r="H33" i="9" s="1"/>
  <c r="M51" i="4"/>
  <c r="M32" i="9" s="1"/>
  <c r="M52" i="4"/>
  <c r="M33" i="9" s="1"/>
  <c r="Q52" i="4"/>
  <c r="Q33" i="9" s="1"/>
  <c r="S52" i="4"/>
  <c r="W51" i="4"/>
  <c r="W52" i="4"/>
  <c r="AB51" i="4"/>
  <c r="AB52" i="4"/>
  <c r="AG51" i="4"/>
  <c r="AG52" i="4"/>
  <c r="AL51" i="4"/>
  <c r="AL52" i="4"/>
  <c r="AQ51" i="4"/>
  <c r="AQ52" i="4"/>
  <c r="BB52" i="4"/>
  <c r="BG52" i="4"/>
  <c r="BL52" i="4"/>
  <c r="AX55" i="4"/>
  <c r="AX257" i="4" s="1"/>
  <c r="AY55" i="4"/>
  <c r="AY257" i="4" s="1"/>
  <c r="AZ55" i="4"/>
  <c r="AZ257" i="4" s="1"/>
  <c r="BA55" i="4"/>
  <c r="BA257" i="4" s="1"/>
  <c r="BC55" i="4"/>
  <c r="BC257" i="4" s="1"/>
  <c r="BD55" i="4"/>
  <c r="BD257" i="4" s="1"/>
  <c r="BE55" i="4"/>
  <c r="BF55" i="4"/>
  <c r="BF257" i="4" s="1"/>
  <c r="BH55" i="4"/>
  <c r="BH257" i="4" s="1"/>
  <c r="BI55" i="4"/>
  <c r="BJ55" i="4"/>
  <c r="BJ257" i="4" s="1"/>
  <c r="BK55" i="4"/>
  <c r="BK257" i="4" s="1"/>
  <c r="E55" i="4"/>
  <c r="E36" i="9" s="1"/>
  <c r="F55" i="4"/>
  <c r="F36" i="9" s="1"/>
  <c r="G55" i="4"/>
  <c r="I55" i="4"/>
  <c r="I36" i="9" s="1"/>
  <c r="J55" i="4"/>
  <c r="J36" i="9" s="1"/>
  <c r="K55" i="4"/>
  <c r="K36" i="9" s="1"/>
  <c r="L55" i="4"/>
  <c r="N55" i="4"/>
  <c r="N36" i="9" s="1"/>
  <c r="O55" i="4"/>
  <c r="O36" i="9" s="1"/>
  <c r="P55" i="4"/>
  <c r="P36" i="9" s="1"/>
  <c r="S55" i="4"/>
  <c r="U55" i="4"/>
  <c r="U36" i="9" s="1"/>
  <c r="V55" i="4"/>
  <c r="V36" i="9" s="1"/>
  <c r="X55" i="4"/>
  <c r="X36" i="9" s="1"/>
  <c r="Y55" i="4"/>
  <c r="Z55" i="4"/>
  <c r="Z36" i="9" s="1"/>
  <c r="AA55" i="4"/>
  <c r="AA36" i="9" s="1"/>
  <c r="AG55" i="4"/>
  <c r="AG36" i="9" s="1"/>
  <c r="AL55" i="4"/>
  <c r="AL36" i="9" s="1"/>
  <c r="AQ55" i="4"/>
  <c r="AQ36" i="9" s="1"/>
  <c r="H58" i="4"/>
  <c r="M58" i="4"/>
  <c r="R58" i="4"/>
  <c r="W58" i="4"/>
  <c r="AB58" i="4"/>
  <c r="AG58" i="4"/>
  <c r="AL58" i="4"/>
  <c r="AQ58" i="4"/>
  <c r="BG66" i="4"/>
  <c r="BL66" i="4" s="1"/>
  <c r="BQ66" i="4" s="1"/>
  <c r="BG67" i="4"/>
  <c r="BL67" i="4" s="1"/>
  <c r="BQ67" i="4" s="1"/>
  <c r="I71" i="4"/>
  <c r="N71" i="4"/>
  <c r="S72" i="4" s="1"/>
  <c r="S71" i="4"/>
  <c r="X71" i="4"/>
  <c r="AC71" i="4"/>
  <c r="AH71" i="4"/>
  <c r="AH72" i="4" s="1"/>
  <c r="AM71" i="4"/>
  <c r="AR71" i="4"/>
  <c r="AW72" i="4" s="1"/>
  <c r="J72" i="4"/>
  <c r="K72" i="4"/>
  <c r="L72" i="4"/>
  <c r="M72" i="4"/>
  <c r="O72" i="4"/>
  <c r="P72" i="4"/>
  <c r="Q72" i="4"/>
  <c r="R72" i="4"/>
  <c r="T72" i="4"/>
  <c r="U72" i="4"/>
  <c r="V72" i="4"/>
  <c r="W72" i="4"/>
  <c r="Y72" i="4"/>
  <c r="Z72" i="4"/>
  <c r="AA72" i="4"/>
  <c r="AB72" i="4"/>
  <c r="AD72" i="4"/>
  <c r="AE72" i="4"/>
  <c r="AF72" i="4"/>
  <c r="AG72" i="4"/>
  <c r="AI72" i="4"/>
  <c r="AJ72" i="4"/>
  <c r="AK72" i="4"/>
  <c r="AL72" i="4"/>
  <c r="AN72" i="4"/>
  <c r="AO72" i="4"/>
  <c r="AP72" i="4"/>
  <c r="AQ72" i="4"/>
  <c r="AS72" i="4"/>
  <c r="AT72" i="4"/>
  <c r="AU72" i="4"/>
  <c r="BV91" i="4"/>
  <c r="BW91" i="4" s="1"/>
  <c r="BX91" i="4" s="1"/>
  <c r="BU92" i="4"/>
  <c r="BV92" i="4"/>
  <c r="BW92" i="4"/>
  <c r="BX92" i="4"/>
  <c r="BU93" i="4"/>
  <c r="BV93" i="4"/>
  <c r="BW93" i="4"/>
  <c r="BX93" i="4"/>
  <c r="E93" i="4"/>
  <c r="F93" i="4"/>
  <c r="H93" i="4"/>
  <c r="I93" i="4"/>
  <c r="J93" i="4"/>
  <c r="K93" i="4"/>
  <c r="M93" i="4"/>
  <c r="N93" i="4"/>
  <c r="P93" i="4"/>
  <c r="Q93" i="4"/>
  <c r="T93" i="4"/>
  <c r="U93" i="4"/>
  <c r="V93" i="4"/>
  <c r="X93" i="4"/>
  <c r="Y93" i="4"/>
  <c r="Z93" i="4"/>
  <c r="AA93" i="4"/>
  <c r="AB93" i="4"/>
  <c r="AC93" i="4"/>
  <c r="AD93" i="4"/>
  <c r="AF93" i="4"/>
  <c r="AG93" i="4"/>
  <c r="AH93" i="4"/>
  <c r="AJ93" i="4"/>
  <c r="AK93" i="4"/>
  <c r="AL93" i="4"/>
  <c r="AM93" i="4"/>
  <c r="AN93" i="4"/>
  <c r="AO93" i="4"/>
  <c r="AP93" i="4"/>
  <c r="AQ93" i="4"/>
  <c r="AR93" i="4"/>
  <c r="BB93" i="4"/>
  <c r="BG93" i="4"/>
  <c r="BL93" i="4"/>
  <c r="H94" i="4"/>
  <c r="J94" i="4"/>
  <c r="K94" i="4"/>
  <c r="L94" i="4"/>
  <c r="O94" i="4"/>
  <c r="R94" i="4"/>
  <c r="S94" i="4"/>
  <c r="T94" i="4"/>
  <c r="W94" i="4"/>
  <c r="Z94" i="4"/>
  <c r="AA94" i="4"/>
  <c r="AB94" i="4"/>
  <c r="AD94" i="4"/>
  <c r="AF94" i="4"/>
  <c r="AL94" i="4"/>
  <c r="AN94" i="4"/>
  <c r="BB94" i="4"/>
  <c r="F95" i="4"/>
  <c r="H95" i="4"/>
  <c r="J95" i="4"/>
  <c r="K95" i="4"/>
  <c r="L95" i="4"/>
  <c r="N95" i="4"/>
  <c r="P95" i="4"/>
  <c r="R95" i="4"/>
  <c r="S95" i="4"/>
  <c r="T95" i="4"/>
  <c r="V95" i="4"/>
  <c r="W95" i="4"/>
  <c r="X95" i="4"/>
  <c r="Z95" i="4"/>
  <c r="AA95" i="4"/>
  <c r="AB95" i="4"/>
  <c r="AD95" i="4"/>
  <c r="AF95" i="4"/>
  <c r="AH95" i="4"/>
  <c r="AI95" i="4"/>
  <c r="AJ95" i="4"/>
  <c r="AL95" i="4"/>
  <c r="AM95" i="4"/>
  <c r="AN95" i="4"/>
  <c r="AP95" i="4"/>
  <c r="AR95" i="4"/>
  <c r="BB95" i="4"/>
  <c r="BG95" i="4"/>
  <c r="BL95" i="4"/>
  <c r="E96" i="4"/>
  <c r="F96" i="4"/>
  <c r="G96" i="4"/>
  <c r="H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BB96" i="4"/>
  <c r="BG96" i="4"/>
  <c r="BL96" i="4"/>
  <c r="AX97" i="4"/>
  <c r="BA97" i="4"/>
  <c r="BB97" i="4"/>
  <c r="BC97" i="4"/>
  <c r="BD97" i="4"/>
  <c r="BE97" i="4"/>
  <c r="BF97" i="4"/>
  <c r="BG97" i="4"/>
  <c r="BH97" i="4"/>
  <c r="BJ97" i="4"/>
  <c r="BK97" i="4"/>
  <c r="BL97" i="4"/>
  <c r="BU94" i="4"/>
  <c r="BV94" i="4"/>
  <c r="BW94" i="4"/>
  <c r="BX94" i="4"/>
  <c r="BV95" i="4"/>
  <c r="BW95" i="4"/>
  <c r="BX95" i="4"/>
  <c r="BU96" i="4"/>
  <c r="BV96" i="4"/>
  <c r="BW96" i="4"/>
  <c r="BX96" i="4"/>
  <c r="BU97" i="4"/>
  <c r="BV97" i="4"/>
  <c r="BW97" i="4"/>
  <c r="BX97" i="4"/>
  <c r="BG109" i="4"/>
  <c r="BL109" i="4"/>
  <c r="BG110" i="4"/>
  <c r="BL110" i="4"/>
  <c r="BA113" i="4"/>
  <c r="BF113" i="4"/>
  <c r="BK113" i="4"/>
  <c r="BK194" i="7" s="1"/>
  <c r="BA116" i="4"/>
  <c r="BF116" i="4"/>
  <c r="BK116" i="4"/>
  <c r="AA121" i="4"/>
  <c r="AD121" i="4"/>
  <c r="AF121" i="4"/>
  <c r="AH121" i="4"/>
  <c r="AI121" i="4"/>
  <c r="AJ121" i="4"/>
  <c r="AN121" i="4"/>
  <c r="AO121" i="4"/>
  <c r="AR121" i="4"/>
  <c r="AX121" i="4"/>
  <c r="AY121" i="4"/>
  <c r="BB121" i="4"/>
  <c r="BG121" i="4"/>
  <c r="BH121" i="4"/>
  <c r="BI121" i="4"/>
  <c r="BL121" i="4"/>
  <c r="Y122" i="4"/>
  <c r="Z122" i="4"/>
  <c r="AD122" i="4"/>
  <c r="AE122" i="4"/>
  <c r="AH122" i="4"/>
  <c r="AI122" i="4"/>
  <c r="AJ122" i="4"/>
  <c r="AN122" i="4"/>
  <c r="AO122" i="4"/>
  <c r="AX122" i="4"/>
  <c r="BB122" i="4"/>
  <c r="BC122" i="4"/>
  <c r="BG122" i="4"/>
  <c r="BH122" i="4"/>
  <c r="BL122" i="4"/>
  <c r="AI123" i="4"/>
  <c r="AM123" i="4"/>
  <c r="AN123" i="4"/>
  <c r="AO123" i="4"/>
  <c r="AR123" i="4"/>
  <c r="AX123" i="4"/>
  <c r="AY123" i="4"/>
  <c r="BB123" i="4"/>
  <c r="BC123" i="4"/>
  <c r="BD123" i="4"/>
  <c r="BE123" i="4"/>
  <c r="BG123" i="4"/>
  <c r="BH123" i="4"/>
  <c r="BI123" i="4"/>
  <c r="BJ123" i="4"/>
  <c r="BL123" i="4"/>
  <c r="Y124" i="4"/>
  <c r="Z124" i="4"/>
  <c r="AC124" i="4"/>
  <c r="AD124" i="4"/>
  <c r="AE124" i="4"/>
  <c r="AI124" i="4"/>
  <c r="AJ124" i="4"/>
  <c r="AK124" i="4"/>
  <c r="AN124" i="4"/>
  <c r="AQ124" i="4"/>
  <c r="BB124" i="4"/>
  <c r="BC124" i="4"/>
  <c r="BD124" i="4"/>
  <c r="BG124" i="4"/>
  <c r="BH124" i="4"/>
  <c r="BI124" i="4"/>
  <c r="BL124" i="4"/>
  <c r="S122" i="4"/>
  <c r="S124" i="4"/>
  <c r="E134" i="4"/>
  <c r="E54" i="9" s="1"/>
  <c r="F134" i="4"/>
  <c r="F54" i="9" s="1"/>
  <c r="G134" i="4"/>
  <c r="G54" i="9" s="1"/>
  <c r="I134" i="4"/>
  <c r="J134" i="4"/>
  <c r="J54" i="9" s="1"/>
  <c r="K134" i="4"/>
  <c r="K54" i="9" s="1"/>
  <c r="L134" i="4"/>
  <c r="L54" i="9" s="1"/>
  <c r="N134" i="4"/>
  <c r="N54" i="9" s="1"/>
  <c r="O134" i="4"/>
  <c r="O54" i="9" s="1"/>
  <c r="P134" i="4"/>
  <c r="P54" i="9" s="1"/>
  <c r="Q134" i="4"/>
  <c r="Q54" i="9" s="1"/>
  <c r="S134" i="4"/>
  <c r="S54" i="9" s="1"/>
  <c r="T134" i="4"/>
  <c r="T54" i="9" s="1"/>
  <c r="U134" i="4"/>
  <c r="U54" i="9" s="1"/>
  <c r="V134" i="4"/>
  <c r="V54" i="9" s="1"/>
  <c r="X134" i="4"/>
  <c r="Y134" i="4"/>
  <c r="Y54" i="9" s="1"/>
  <c r="Z134" i="4"/>
  <c r="Z54" i="9" s="1"/>
  <c r="AA134" i="4"/>
  <c r="AA54" i="9" s="1"/>
  <c r="AC134" i="4"/>
  <c r="AD134" i="4"/>
  <c r="AD54" i="9" s="1"/>
  <c r="AE134" i="4"/>
  <c r="AE54" i="9" s="1"/>
  <c r="E135" i="4"/>
  <c r="E55" i="9" s="1"/>
  <c r="F135" i="4"/>
  <c r="F55" i="9" s="1"/>
  <c r="G135" i="4"/>
  <c r="G55" i="9" s="1"/>
  <c r="I135" i="4"/>
  <c r="J135" i="4"/>
  <c r="J55" i="9" s="1"/>
  <c r="K135" i="4"/>
  <c r="K55" i="9" s="1"/>
  <c r="L135" i="4"/>
  <c r="L55" i="9" s="1"/>
  <c r="N135" i="4"/>
  <c r="N55" i="9" s="1"/>
  <c r="O135" i="4"/>
  <c r="O55" i="9" s="1"/>
  <c r="P135" i="4"/>
  <c r="P55" i="9" s="1"/>
  <c r="Q135" i="4"/>
  <c r="Q55" i="9" s="1"/>
  <c r="S135" i="4"/>
  <c r="T135" i="4"/>
  <c r="T55" i="9" s="1"/>
  <c r="U135" i="4"/>
  <c r="U55" i="9" s="1"/>
  <c r="V135" i="4"/>
  <c r="V55" i="9" s="1"/>
  <c r="X135" i="4"/>
  <c r="Y135" i="4"/>
  <c r="Y55" i="9" s="1"/>
  <c r="Z135" i="4"/>
  <c r="Z55" i="9" s="1"/>
  <c r="AA135" i="4"/>
  <c r="AA55" i="9" s="1"/>
  <c r="AC135" i="4"/>
  <c r="AD135" i="4"/>
  <c r="AD55" i="9" s="1"/>
  <c r="AE135" i="4"/>
  <c r="AE55" i="9" s="1"/>
  <c r="E136" i="4"/>
  <c r="F136" i="4"/>
  <c r="G136" i="4"/>
  <c r="I136" i="4"/>
  <c r="H136" i="4" s="1"/>
  <c r="J136" i="4"/>
  <c r="K136" i="4"/>
  <c r="L136" i="4"/>
  <c r="N136" i="4"/>
  <c r="M136" i="4" s="1"/>
  <c r="O136" i="4"/>
  <c r="P136" i="4"/>
  <c r="Q136" i="4"/>
  <c r="S136" i="4"/>
  <c r="R136" i="4" s="1"/>
  <c r="T136" i="4"/>
  <c r="U136" i="4"/>
  <c r="V136" i="4"/>
  <c r="X136" i="4"/>
  <c r="W136" i="4" s="1"/>
  <c r="Y136" i="4"/>
  <c r="Z136" i="4"/>
  <c r="AA136" i="4"/>
  <c r="AC136" i="4"/>
  <c r="AB136" i="4" s="1"/>
  <c r="AD136" i="4"/>
  <c r="AE136" i="4"/>
  <c r="E137" i="4"/>
  <c r="E56" i="9" s="1"/>
  <c r="F137" i="4"/>
  <c r="F56" i="9" s="1"/>
  <c r="G137" i="4"/>
  <c r="G56" i="9" s="1"/>
  <c r="I137" i="4"/>
  <c r="J137" i="4"/>
  <c r="J56" i="9" s="1"/>
  <c r="N137" i="4"/>
  <c r="N56" i="9" s="1"/>
  <c r="O137" i="4"/>
  <c r="O56" i="9" s="1"/>
  <c r="P137" i="4"/>
  <c r="P56" i="9" s="1"/>
  <c r="Q137" i="4"/>
  <c r="Q56" i="9" s="1"/>
  <c r="S137" i="4"/>
  <c r="T137" i="4"/>
  <c r="T56" i="9" s="1"/>
  <c r="U137" i="4"/>
  <c r="U56" i="9" s="1"/>
  <c r="V137" i="4"/>
  <c r="V56" i="9" s="1"/>
  <c r="X137" i="4"/>
  <c r="Y137" i="4"/>
  <c r="Y56" i="9" s="1"/>
  <c r="Z137" i="4"/>
  <c r="Z56" i="9" s="1"/>
  <c r="AA137" i="4"/>
  <c r="AA56" i="9" s="1"/>
  <c r="AC137" i="4"/>
  <c r="AD137" i="4"/>
  <c r="AD56" i="9" s="1"/>
  <c r="AE137" i="4"/>
  <c r="AE56" i="9" s="1"/>
  <c r="AH134" i="4"/>
  <c r="AI134" i="4"/>
  <c r="AI54" i="9" s="1"/>
  <c r="AJ134" i="4"/>
  <c r="AJ54" i="9" s="1"/>
  <c r="AK134" i="4"/>
  <c r="AK54" i="9" s="1"/>
  <c r="AM134" i="4"/>
  <c r="AN134" i="4"/>
  <c r="AN54" i="9" s="1"/>
  <c r="AO134" i="4"/>
  <c r="AO54" i="9" s="1"/>
  <c r="AP134" i="4"/>
  <c r="AP54" i="9" s="1"/>
  <c r="AR134" i="4"/>
  <c r="AH135" i="4"/>
  <c r="AI135" i="4"/>
  <c r="AI55" i="9" s="1"/>
  <c r="AJ135" i="4"/>
  <c r="AJ55" i="9" s="1"/>
  <c r="AK135" i="4"/>
  <c r="AK55" i="9" s="1"/>
  <c r="AM135" i="4"/>
  <c r="AN135" i="4"/>
  <c r="AN55" i="9" s="1"/>
  <c r="AO135" i="4"/>
  <c r="AO55" i="9" s="1"/>
  <c r="AP135" i="4"/>
  <c r="AP55" i="9" s="1"/>
  <c r="AR135" i="4"/>
  <c r="AH136" i="4"/>
  <c r="AG136" i="4" s="1"/>
  <c r="AI136" i="4"/>
  <c r="AJ136" i="4"/>
  <c r="AK136" i="4"/>
  <c r="AM136" i="4"/>
  <c r="AL136" i="4" s="1"/>
  <c r="AN136" i="4"/>
  <c r="AO136" i="4"/>
  <c r="AP136" i="4"/>
  <c r="AR136" i="4"/>
  <c r="AQ136" i="4" s="1"/>
  <c r="AH137" i="4"/>
  <c r="AI137" i="4"/>
  <c r="AI56" i="9" s="1"/>
  <c r="AJ137" i="4"/>
  <c r="AJ56" i="9" s="1"/>
  <c r="AK137" i="4"/>
  <c r="AK56" i="9" s="1"/>
  <c r="AM137" i="4"/>
  <c r="AN137" i="4"/>
  <c r="AN56" i="9" s="1"/>
  <c r="AO137" i="4"/>
  <c r="AO56" i="9" s="1"/>
  <c r="AP137" i="4"/>
  <c r="AP56" i="9" s="1"/>
  <c r="AR137" i="4"/>
  <c r="AX138" i="4"/>
  <c r="BC138" i="4"/>
  <c r="BH138" i="4"/>
  <c r="AX139" i="4"/>
  <c r="BC139" i="4"/>
  <c r="BH139" i="4"/>
  <c r="CT134" i="4"/>
  <c r="CT135" i="4"/>
  <c r="CT136" i="4"/>
  <c r="CO134" i="4"/>
  <c r="CO135" i="4"/>
  <c r="CO136" i="4"/>
  <c r="CO137" i="4"/>
  <c r="CR137" i="4"/>
  <c r="CS137" i="4"/>
  <c r="CY134" i="4"/>
  <c r="CY135" i="4"/>
  <c r="CY136" i="4"/>
  <c r="CY137" i="4"/>
  <c r="DD134" i="4"/>
  <c r="DD135" i="4"/>
  <c r="DD136" i="4"/>
  <c r="DD137" i="4"/>
  <c r="DI134" i="4"/>
  <c r="DI135" i="4"/>
  <c r="DI136" i="4"/>
  <c r="DI137" i="4"/>
  <c r="DN134" i="4"/>
  <c r="DN135" i="4"/>
  <c r="DN136" i="4"/>
  <c r="DN137" i="4"/>
  <c r="DS134" i="4"/>
  <c r="DS135" i="4"/>
  <c r="DS136" i="4"/>
  <c r="DS137" i="4"/>
  <c r="DX134" i="4"/>
  <c r="DX135" i="4"/>
  <c r="DX136" i="4"/>
  <c r="DX137" i="4"/>
  <c r="CL138" i="4"/>
  <c r="E138" i="4" s="1"/>
  <c r="CM138" i="4"/>
  <c r="CN138" i="4"/>
  <c r="CP138" i="4"/>
  <c r="I138" i="4" s="1"/>
  <c r="CQ138" i="4"/>
  <c r="J138" i="4" s="1"/>
  <c r="CR138" i="4"/>
  <c r="CS138" i="4"/>
  <c r="CU138" i="4"/>
  <c r="N138" i="4" s="1"/>
  <c r="CV138" i="4"/>
  <c r="O138" i="4" s="1"/>
  <c r="CW138" i="4"/>
  <c r="CX138" i="4"/>
  <c r="CZ138" i="4"/>
  <c r="S138" i="4" s="1"/>
  <c r="DA138" i="4"/>
  <c r="T138" i="4" s="1"/>
  <c r="DB138" i="4"/>
  <c r="DC138" i="4"/>
  <c r="DE138" i="4"/>
  <c r="X138" i="4" s="1"/>
  <c r="DF138" i="4"/>
  <c r="Y138" i="4" s="1"/>
  <c r="DG138" i="4"/>
  <c r="DH138" i="4"/>
  <c r="DJ138" i="4"/>
  <c r="AC138" i="4" s="1"/>
  <c r="DK138" i="4"/>
  <c r="AD138" i="4" s="1"/>
  <c r="DL138" i="4"/>
  <c r="DM138" i="4"/>
  <c r="DO138" i="4"/>
  <c r="AH138" i="4" s="1"/>
  <c r="DP138" i="4"/>
  <c r="DQ138" i="4"/>
  <c r="DR138" i="4"/>
  <c r="DT138" i="4"/>
  <c r="DU138" i="4"/>
  <c r="AN138" i="4" s="1"/>
  <c r="DV138" i="4"/>
  <c r="DW138" i="4"/>
  <c r="DY138" i="4"/>
  <c r="AR138" i="4" s="1"/>
  <c r="DZ138" i="4"/>
  <c r="AS138" i="4" s="1"/>
  <c r="EA138" i="4"/>
  <c r="EB138" i="4"/>
  <c r="CL139" i="4"/>
  <c r="CM139" i="4"/>
  <c r="CN139" i="4"/>
  <c r="CQ139" i="4"/>
  <c r="J139" i="4" s="1"/>
  <c r="CR139" i="4"/>
  <c r="CS139" i="4"/>
  <c r="CU139" i="4"/>
  <c r="N139" i="4" s="1"/>
  <c r="CV139" i="4"/>
  <c r="O139" i="4" s="1"/>
  <c r="CW139" i="4"/>
  <c r="CX139" i="4"/>
  <c r="CZ139" i="4"/>
  <c r="S139" i="4" s="1"/>
  <c r="DA139" i="4"/>
  <c r="T139" i="4" s="1"/>
  <c r="DB139" i="4"/>
  <c r="DC139" i="4"/>
  <c r="DE139" i="4"/>
  <c r="X139" i="4" s="1"/>
  <c r="DF139" i="4"/>
  <c r="Y139" i="4" s="1"/>
  <c r="DG139" i="4"/>
  <c r="DH139" i="4"/>
  <c r="DJ139" i="4"/>
  <c r="AC139" i="4" s="1"/>
  <c r="DK139" i="4"/>
  <c r="AD139" i="4" s="1"/>
  <c r="DL139" i="4"/>
  <c r="DM139" i="4"/>
  <c r="DO139" i="4"/>
  <c r="AH139" i="4" s="1"/>
  <c r="DP139" i="4"/>
  <c r="AI139" i="4" s="1"/>
  <c r="DQ139" i="4"/>
  <c r="DQ140" i="4" s="1"/>
  <c r="DR139" i="4"/>
  <c r="DR140" i="4" s="1"/>
  <c r="DT139" i="4"/>
  <c r="DU139" i="4"/>
  <c r="AN139" i="4" s="1"/>
  <c r="DV139" i="4"/>
  <c r="DV140" i="4" s="1"/>
  <c r="DW139" i="4"/>
  <c r="DY139" i="4"/>
  <c r="DZ139" i="4"/>
  <c r="AS139" i="4" s="1"/>
  <c r="EA139" i="4"/>
  <c r="AT139" i="4" s="1"/>
  <c r="EB139" i="4"/>
  <c r="DB140" i="4"/>
  <c r="DJ140" i="4"/>
  <c r="AC140" i="4" s="1"/>
  <c r="AF134" i="4"/>
  <c r="AF54" i="9" s="1"/>
  <c r="AF135" i="4"/>
  <c r="AF55" i="9" s="1"/>
  <c r="AF136" i="4"/>
  <c r="AF137" i="4"/>
  <c r="AF56" i="9" s="1"/>
  <c r="E142" i="4"/>
  <c r="E60" i="9" s="1"/>
  <c r="E97" i="4" s="1"/>
  <c r="F142" i="4"/>
  <c r="F60" i="9" s="1"/>
  <c r="F97" i="4" s="1"/>
  <c r="G142" i="4"/>
  <c r="G60" i="9" s="1"/>
  <c r="G97" i="4" s="1"/>
  <c r="I142" i="4"/>
  <c r="J142" i="4"/>
  <c r="J60" i="9" s="1"/>
  <c r="J97" i="4" s="1"/>
  <c r="K142" i="4"/>
  <c r="K60" i="9" s="1"/>
  <c r="K97" i="4" s="1"/>
  <c r="L142" i="4"/>
  <c r="L60" i="9" s="1"/>
  <c r="L97" i="4" s="1"/>
  <c r="N142" i="4"/>
  <c r="O142" i="4"/>
  <c r="O60" i="9" s="1"/>
  <c r="O97" i="4" s="1"/>
  <c r="P142" i="4"/>
  <c r="P60" i="9" s="1"/>
  <c r="P97" i="4" s="1"/>
  <c r="Q142" i="4"/>
  <c r="Q60" i="9" s="1"/>
  <c r="Q97" i="4" s="1"/>
  <c r="T142" i="4"/>
  <c r="T60" i="9" s="1"/>
  <c r="T97" i="4" s="1"/>
  <c r="U142" i="4"/>
  <c r="U60" i="9" s="1"/>
  <c r="U97" i="4" s="1"/>
  <c r="V142" i="4"/>
  <c r="V60" i="9" s="1"/>
  <c r="V97" i="4" s="1"/>
  <c r="X142" i="4"/>
  <c r="Y142" i="4"/>
  <c r="Y60" i="9" s="1"/>
  <c r="Y97" i="4" s="1"/>
  <c r="Z142" i="4"/>
  <c r="Z60" i="9" s="1"/>
  <c r="Z97" i="4" s="1"/>
  <c r="AA142" i="4"/>
  <c r="AA60" i="9" s="1"/>
  <c r="AA97" i="4" s="1"/>
  <c r="AC142" i="4"/>
  <c r="AD142" i="4"/>
  <c r="AD60" i="9" s="1"/>
  <c r="AD97" i="4" s="1"/>
  <c r="AE142" i="4"/>
  <c r="AE60" i="9" s="1"/>
  <c r="AE97" i="4" s="1"/>
  <c r="AF142" i="4"/>
  <c r="AH142" i="4"/>
  <c r="AI142" i="4"/>
  <c r="AI60" i="9" s="1"/>
  <c r="AI97" i="4" s="1"/>
  <c r="AJ142" i="4"/>
  <c r="AJ60" i="9" s="1"/>
  <c r="AJ97" i="4" s="1"/>
  <c r="AK142" i="4"/>
  <c r="AK60" i="9" s="1"/>
  <c r="AK97" i="4" s="1"/>
  <c r="AM142" i="4"/>
  <c r="AN142" i="4"/>
  <c r="AN60" i="9" s="1"/>
  <c r="AN97" i="4" s="1"/>
  <c r="AO142" i="4"/>
  <c r="AO60" i="9" s="1"/>
  <c r="AO97" i="4" s="1"/>
  <c r="AP142" i="4"/>
  <c r="AP60" i="9" s="1"/>
  <c r="AP97" i="4" s="1"/>
  <c r="AR142" i="4"/>
  <c r="AS97" i="4"/>
  <c r="AT97" i="4"/>
  <c r="AU97" i="4"/>
  <c r="E143" i="4"/>
  <c r="F143" i="4"/>
  <c r="G143" i="4"/>
  <c r="I143" i="4"/>
  <c r="H143" i="4" s="1"/>
  <c r="J143" i="4"/>
  <c r="K143" i="4"/>
  <c r="L143" i="4"/>
  <c r="N143" i="4"/>
  <c r="M143" i="4" s="1"/>
  <c r="O143" i="4"/>
  <c r="P143" i="4"/>
  <c r="Q143" i="4"/>
  <c r="S143" i="4"/>
  <c r="R143" i="4" s="1"/>
  <c r="T143" i="4"/>
  <c r="U143" i="4"/>
  <c r="V143" i="4"/>
  <c r="X143" i="4"/>
  <c r="W143" i="4" s="1"/>
  <c r="Y143" i="4"/>
  <c r="Z143" i="4"/>
  <c r="AA143" i="4"/>
  <c r="AC143" i="4"/>
  <c r="AB143" i="4" s="1"/>
  <c r="AD143" i="4"/>
  <c r="AE143" i="4"/>
  <c r="AF143" i="4"/>
  <c r="AH143" i="4"/>
  <c r="AG143" i="4" s="1"/>
  <c r="AI143" i="4"/>
  <c r="AJ143" i="4"/>
  <c r="AK143" i="4"/>
  <c r="AM143" i="4"/>
  <c r="AL143" i="4" s="1"/>
  <c r="AN143" i="4"/>
  <c r="AO143" i="4"/>
  <c r="AP143" i="4"/>
  <c r="AR143" i="4"/>
  <c r="AQ143" i="4" s="1"/>
  <c r="AX144" i="4"/>
  <c r="BC144" i="4"/>
  <c r="BH144" i="4"/>
  <c r="CZ142" i="4"/>
  <c r="S142" i="4" s="1"/>
  <c r="CO142" i="4"/>
  <c r="CO143" i="4"/>
  <c r="CT142" i="4"/>
  <c r="CT143" i="4"/>
  <c r="CY143" i="4"/>
  <c r="DD142" i="4"/>
  <c r="DD143" i="4"/>
  <c r="DI142" i="4"/>
  <c r="DI143" i="4"/>
  <c r="DN142" i="4"/>
  <c r="DN143" i="4"/>
  <c r="DS142" i="4"/>
  <c r="DS143" i="4"/>
  <c r="DX142" i="4"/>
  <c r="DX143" i="4"/>
  <c r="CL144" i="4"/>
  <c r="CM144" i="4"/>
  <c r="CN144" i="4"/>
  <c r="CN145" i="4" s="1"/>
  <c r="CP144" i="4"/>
  <c r="CQ144" i="4"/>
  <c r="J144" i="4" s="1"/>
  <c r="CR144" i="4"/>
  <c r="CR145" i="4" s="1"/>
  <c r="CS144" i="4"/>
  <c r="CS145" i="4" s="1"/>
  <c r="CU144" i="4"/>
  <c r="N144" i="4" s="1"/>
  <c r="CV144" i="4"/>
  <c r="O144" i="4" s="1"/>
  <c r="CW144" i="4"/>
  <c r="CW145" i="4" s="1"/>
  <c r="CX144" i="4"/>
  <c r="CZ144" i="4"/>
  <c r="DA144" i="4"/>
  <c r="DA145" i="4" s="1"/>
  <c r="DB144" i="4"/>
  <c r="DC144" i="4"/>
  <c r="DC145" i="4" s="1"/>
  <c r="DE144" i="4"/>
  <c r="DF144" i="4"/>
  <c r="DG144" i="4"/>
  <c r="DH144" i="4"/>
  <c r="DJ144" i="4"/>
  <c r="DK144" i="4"/>
  <c r="AD144" i="4" s="1"/>
  <c r="AD145" i="4" s="1"/>
  <c r="DL144" i="4"/>
  <c r="DM144" i="4"/>
  <c r="DM145" i="4" s="1"/>
  <c r="DO144" i="4"/>
  <c r="AH144" i="4" s="1"/>
  <c r="DP144" i="4"/>
  <c r="AI144" i="4" s="1"/>
  <c r="AI145" i="4" s="1"/>
  <c r="DQ144" i="4"/>
  <c r="DQ145" i="4" s="1"/>
  <c r="DR144" i="4"/>
  <c r="DT144" i="4"/>
  <c r="AM144" i="4" s="1"/>
  <c r="DU144" i="4"/>
  <c r="DU145" i="4" s="1"/>
  <c r="DV144" i="4"/>
  <c r="DW144" i="4"/>
  <c r="DY144" i="4"/>
  <c r="DZ144" i="4"/>
  <c r="AS144" i="4" s="1"/>
  <c r="AS145" i="4" s="1"/>
  <c r="EA144" i="4"/>
  <c r="EB144" i="4"/>
  <c r="CM145" i="4"/>
  <c r="CU145" i="4"/>
  <c r="N145" i="4" s="1"/>
  <c r="DG145" i="4"/>
  <c r="DL145" i="4"/>
  <c r="EA145" i="4"/>
  <c r="E147" i="4"/>
  <c r="F147" i="4"/>
  <c r="G147" i="4"/>
  <c r="I147" i="4"/>
  <c r="J147" i="4"/>
  <c r="K147" i="4"/>
  <c r="L147" i="4"/>
  <c r="N147" i="4"/>
  <c r="O147" i="4"/>
  <c r="P147" i="4"/>
  <c r="Q147" i="4"/>
  <c r="S147" i="4"/>
  <c r="S64" i="9" s="1"/>
  <c r="S49" i="9" s="1"/>
  <c r="T147" i="4"/>
  <c r="U147" i="4"/>
  <c r="V147" i="4"/>
  <c r="X147" i="4"/>
  <c r="W147" i="4" s="1"/>
  <c r="Y147" i="4"/>
  <c r="Z147" i="4"/>
  <c r="AA147" i="4"/>
  <c r="AB147" i="4"/>
  <c r="AC147" i="4"/>
  <c r="AD147" i="4"/>
  <c r="AE147" i="4"/>
  <c r="AF147" i="4"/>
  <c r="AH147" i="4"/>
  <c r="AI147" i="4"/>
  <c r="AJ147" i="4"/>
  <c r="AK147" i="4"/>
  <c r="AM147" i="4"/>
  <c r="AM64" i="9" s="1"/>
  <c r="AM49" i="9" s="1"/>
  <c r="AN147" i="4"/>
  <c r="AO147" i="4"/>
  <c r="AP147" i="4"/>
  <c r="AR147" i="4"/>
  <c r="E148" i="4"/>
  <c r="F148" i="4"/>
  <c r="G148" i="4"/>
  <c r="I148" i="4"/>
  <c r="I65" i="9" s="1"/>
  <c r="I50" i="9" s="1"/>
  <c r="J148" i="4"/>
  <c r="K148" i="4"/>
  <c r="L148" i="4"/>
  <c r="N148" i="4"/>
  <c r="O148" i="4"/>
  <c r="P148" i="4"/>
  <c r="Q148" i="4"/>
  <c r="S148" i="4"/>
  <c r="S65" i="9" s="1"/>
  <c r="S50" i="9" s="1"/>
  <c r="T148" i="4"/>
  <c r="U148" i="4"/>
  <c r="V148" i="4"/>
  <c r="X148" i="4"/>
  <c r="Y148" i="4"/>
  <c r="Z148" i="4"/>
  <c r="AA148" i="4"/>
  <c r="AC148" i="4"/>
  <c r="AD148" i="4"/>
  <c r="AE148" i="4"/>
  <c r="AF148" i="4"/>
  <c r="AH148" i="4"/>
  <c r="AI148" i="4"/>
  <c r="AJ148" i="4"/>
  <c r="AK148" i="4"/>
  <c r="AM148" i="4"/>
  <c r="AM65" i="9" s="1"/>
  <c r="AM50" i="9" s="1"/>
  <c r="AN148" i="4"/>
  <c r="AO148" i="4"/>
  <c r="AP148" i="4"/>
  <c r="AR148" i="4"/>
  <c r="E149" i="4"/>
  <c r="F149" i="4"/>
  <c r="G149" i="4"/>
  <c r="I149" i="4"/>
  <c r="H149" i="4" s="1"/>
  <c r="J149" i="4"/>
  <c r="K149" i="4"/>
  <c r="L149" i="4"/>
  <c r="N149" i="4"/>
  <c r="M149" i="4" s="1"/>
  <c r="O149" i="4"/>
  <c r="P149" i="4"/>
  <c r="Q149" i="4"/>
  <c r="R149" i="4"/>
  <c r="S149" i="4"/>
  <c r="T149" i="4"/>
  <c r="U149" i="4"/>
  <c r="V149" i="4"/>
  <c r="X149" i="4"/>
  <c r="W149" i="4" s="1"/>
  <c r="Y149" i="4"/>
  <c r="Z149" i="4"/>
  <c r="AA149" i="4"/>
  <c r="AC149" i="4"/>
  <c r="AB149" i="4" s="1"/>
  <c r="AD149" i="4"/>
  <c r="AE149" i="4"/>
  <c r="AF149" i="4"/>
  <c r="AH149" i="4"/>
  <c r="AG149" i="4" s="1"/>
  <c r="AI149" i="4"/>
  <c r="AJ149" i="4"/>
  <c r="AK149" i="4"/>
  <c r="AM149" i="4"/>
  <c r="AL149" i="4" s="1"/>
  <c r="AN149" i="4"/>
  <c r="AO149" i="4"/>
  <c r="AP149" i="4"/>
  <c r="AR149" i="4"/>
  <c r="AQ149" i="4" s="1"/>
  <c r="E150" i="4"/>
  <c r="F150" i="4"/>
  <c r="G150" i="4"/>
  <c r="I150" i="4"/>
  <c r="H150" i="4" s="1"/>
  <c r="J150" i="4"/>
  <c r="K150" i="4"/>
  <c r="L150" i="4"/>
  <c r="N150" i="4"/>
  <c r="M150" i="4" s="1"/>
  <c r="O150" i="4"/>
  <c r="P150" i="4"/>
  <c r="Q150" i="4"/>
  <c r="S150" i="4"/>
  <c r="R150" i="4" s="1"/>
  <c r="T150" i="4"/>
  <c r="U150" i="4"/>
  <c r="V150" i="4"/>
  <c r="X150" i="4"/>
  <c r="W150" i="4" s="1"/>
  <c r="Y150" i="4"/>
  <c r="Z150" i="4"/>
  <c r="AA150" i="4"/>
  <c r="AC150" i="4"/>
  <c r="AB150" i="4" s="1"/>
  <c r="AD150" i="4"/>
  <c r="AE150" i="4"/>
  <c r="AF150" i="4"/>
  <c r="AH150" i="4"/>
  <c r="AG150" i="4" s="1"/>
  <c r="AI150" i="4"/>
  <c r="AJ150" i="4"/>
  <c r="AK150" i="4"/>
  <c r="AM150" i="4"/>
  <c r="AL150" i="4" s="1"/>
  <c r="AN150" i="4"/>
  <c r="AO150" i="4"/>
  <c r="AP150" i="4"/>
  <c r="AR150" i="4"/>
  <c r="AQ150" i="4" s="1"/>
  <c r="BB149" i="4"/>
  <c r="BB150" i="4"/>
  <c r="BG149" i="4"/>
  <c r="BG150" i="4"/>
  <c r="BL149" i="4"/>
  <c r="BL150" i="4"/>
  <c r="E151" i="4"/>
  <c r="E74" i="4" s="1"/>
  <c r="F151" i="4"/>
  <c r="F74" i="4" s="1"/>
  <c r="G151" i="4"/>
  <c r="I151" i="4"/>
  <c r="I74" i="4" s="1"/>
  <c r="J151" i="4"/>
  <c r="J74" i="4" s="1"/>
  <c r="K151" i="4"/>
  <c r="L151" i="4"/>
  <c r="L74" i="4" s="1"/>
  <c r="N151" i="4"/>
  <c r="O151" i="4"/>
  <c r="O74" i="4" s="1"/>
  <c r="P151" i="4"/>
  <c r="Q151" i="4"/>
  <c r="Q74" i="4" s="1"/>
  <c r="S151" i="4"/>
  <c r="T151" i="4"/>
  <c r="T74" i="4" s="1"/>
  <c r="U151" i="4"/>
  <c r="U74" i="4" s="1"/>
  <c r="V151" i="4"/>
  <c r="V74" i="4" s="1"/>
  <c r="X151" i="4"/>
  <c r="Y151" i="4"/>
  <c r="Z151" i="4"/>
  <c r="Z253" i="4" s="1"/>
  <c r="AA151" i="4"/>
  <c r="AC151" i="4"/>
  <c r="AB151" i="4" s="1"/>
  <c r="AD151" i="4"/>
  <c r="AE151" i="4"/>
  <c r="AE253" i="4" s="1"/>
  <c r="AF151" i="4"/>
  <c r="AH151" i="4"/>
  <c r="AG151" i="4" s="1"/>
  <c r="AI151" i="4"/>
  <c r="AJ151" i="4"/>
  <c r="AJ253" i="4" s="1"/>
  <c r="AK151" i="4"/>
  <c r="AM151" i="4"/>
  <c r="AN151" i="4"/>
  <c r="AN74" i="4" s="1"/>
  <c r="AR151" i="4"/>
  <c r="E152" i="4"/>
  <c r="E80" i="4" s="1"/>
  <c r="F152" i="4"/>
  <c r="F80" i="4" s="1"/>
  <c r="G152" i="4"/>
  <c r="G80" i="4" s="1"/>
  <c r="I152" i="4"/>
  <c r="I80" i="4" s="1"/>
  <c r="J152" i="4"/>
  <c r="J80" i="4" s="1"/>
  <c r="K152" i="4"/>
  <c r="K80" i="4" s="1"/>
  <c r="L152" i="4"/>
  <c r="N152" i="4"/>
  <c r="O152" i="4"/>
  <c r="O80" i="4" s="1"/>
  <c r="P152" i="4"/>
  <c r="P80" i="4" s="1"/>
  <c r="Q152" i="4"/>
  <c r="S152" i="4"/>
  <c r="Y152" i="4"/>
  <c r="Z152" i="4"/>
  <c r="AA152" i="4"/>
  <c r="AA252" i="4" s="1"/>
  <c r="AC152" i="4"/>
  <c r="AB152" i="4" s="1"/>
  <c r="AB252" i="4" s="1"/>
  <c r="AD152" i="4"/>
  <c r="AE152" i="4"/>
  <c r="AE252" i="4" s="1"/>
  <c r="AF152" i="4"/>
  <c r="AH152" i="4"/>
  <c r="AG152" i="4" s="1"/>
  <c r="AI152" i="4"/>
  <c r="AJ152" i="4"/>
  <c r="AJ252" i="4" s="1"/>
  <c r="AK152" i="4"/>
  <c r="AM152" i="4"/>
  <c r="AN152" i="4"/>
  <c r="AO152" i="4"/>
  <c r="AO252" i="4" s="1"/>
  <c r="AP152" i="4"/>
  <c r="AR152" i="4"/>
  <c r="E153" i="4"/>
  <c r="F153" i="4"/>
  <c r="G153" i="4"/>
  <c r="H153" i="4"/>
  <c r="I153" i="4"/>
  <c r="J153" i="4"/>
  <c r="K153" i="4"/>
  <c r="L153" i="4"/>
  <c r="N153" i="4"/>
  <c r="M153" i="4" s="1"/>
  <c r="O153" i="4"/>
  <c r="P153" i="4"/>
  <c r="Q153" i="4"/>
  <c r="S153" i="4"/>
  <c r="R153" i="4" s="1"/>
  <c r="T153" i="4"/>
  <c r="U153" i="4"/>
  <c r="V153" i="4"/>
  <c r="X153" i="4"/>
  <c r="W153" i="4" s="1"/>
  <c r="Y153" i="4"/>
  <c r="Z153" i="4"/>
  <c r="AA153" i="4"/>
  <c r="AC153" i="4"/>
  <c r="AB153" i="4" s="1"/>
  <c r="AD153" i="4"/>
  <c r="AE153" i="4"/>
  <c r="AF153" i="4"/>
  <c r="AH153" i="4"/>
  <c r="AG153" i="4" s="1"/>
  <c r="AI153" i="4"/>
  <c r="AJ153" i="4"/>
  <c r="AK153" i="4"/>
  <c r="AM153" i="4"/>
  <c r="AL153" i="4" s="1"/>
  <c r="AN153" i="4"/>
  <c r="AO153" i="4"/>
  <c r="AP153" i="4"/>
  <c r="AR153" i="4"/>
  <c r="AQ153" i="4" s="1"/>
  <c r="AX153" i="4"/>
  <c r="DP67" i="3" s="1"/>
  <c r="BC153" i="4"/>
  <c r="BH153" i="4"/>
  <c r="AK154" i="4"/>
  <c r="DV151" i="4"/>
  <c r="AO151" i="4" s="1"/>
  <c r="AO74" i="4" s="1"/>
  <c r="DW151" i="4"/>
  <c r="EA151" i="4"/>
  <c r="AT151" i="4" s="1"/>
  <c r="EB151" i="4"/>
  <c r="DA152" i="4"/>
  <c r="T152" i="4" s="1"/>
  <c r="T80" i="4" s="1"/>
  <c r="DB152" i="4"/>
  <c r="DC152" i="4"/>
  <c r="DC154" i="4" s="1"/>
  <c r="DE152" i="4"/>
  <c r="DE154" i="4" s="1"/>
  <c r="X154" i="4" s="1"/>
  <c r="CO147" i="4"/>
  <c r="CO148" i="4"/>
  <c r="CO149" i="4"/>
  <c r="CO150" i="4"/>
  <c r="CO151" i="4"/>
  <c r="CO152" i="4"/>
  <c r="CO153" i="4"/>
  <c r="CT147" i="4"/>
  <c r="CT148" i="4"/>
  <c r="CT149" i="4"/>
  <c r="CT150" i="4"/>
  <c r="CT151" i="4"/>
  <c r="CT152" i="4"/>
  <c r="CT153" i="4"/>
  <c r="CY147" i="4"/>
  <c r="CY148" i="4"/>
  <c r="CY149" i="4"/>
  <c r="CY150" i="4"/>
  <c r="CY151" i="4"/>
  <c r="CY152" i="4"/>
  <c r="CY153" i="4"/>
  <c r="DD147" i="4"/>
  <c r="DD148" i="4"/>
  <c r="DD149" i="4"/>
  <c r="DD150" i="4"/>
  <c r="DD151" i="4"/>
  <c r="DD153" i="4"/>
  <c r="DI147" i="4"/>
  <c r="DI148" i="4"/>
  <c r="DI149" i="4"/>
  <c r="DI150" i="4"/>
  <c r="DI151" i="4"/>
  <c r="DI152" i="4"/>
  <c r="DI153" i="4"/>
  <c r="DN147" i="4"/>
  <c r="DN148" i="4"/>
  <c r="DN149" i="4"/>
  <c r="DN150" i="4"/>
  <c r="DN151" i="4"/>
  <c r="DN152" i="4"/>
  <c r="DN153" i="4"/>
  <c r="DS147" i="4"/>
  <c r="DS148" i="4"/>
  <c r="DS149" i="4"/>
  <c r="DS150" i="4"/>
  <c r="DS151" i="4"/>
  <c r="DS152" i="4"/>
  <c r="DS153" i="4"/>
  <c r="DX147" i="4"/>
  <c r="DX148" i="4"/>
  <c r="DX149" i="4"/>
  <c r="DX150" i="4"/>
  <c r="DX152" i="4"/>
  <c r="DX153" i="4"/>
  <c r="DZ153" i="4"/>
  <c r="CL154" i="4"/>
  <c r="CM154" i="4"/>
  <c r="CN154" i="4"/>
  <c r="CP154" i="4"/>
  <c r="I154" i="4" s="1"/>
  <c r="CQ154" i="4"/>
  <c r="CR154" i="4"/>
  <c r="CS154" i="4"/>
  <c r="CU154" i="4"/>
  <c r="N154" i="4" s="1"/>
  <c r="CV154" i="4"/>
  <c r="CW154" i="4"/>
  <c r="CX154" i="4"/>
  <c r="CY154" i="4"/>
  <c r="CZ154" i="4"/>
  <c r="S154" i="4" s="1"/>
  <c r="DF154" i="4"/>
  <c r="DG154" i="4"/>
  <c r="DH154" i="4"/>
  <c r="DJ154" i="4"/>
  <c r="AC154" i="4" s="1"/>
  <c r="DK154" i="4"/>
  <c r="DL154" i="4"/>
  <c r="DM154" i="4"/>
  <c r="DO154" i="4"/>
  <c r="AH154" i="4" s="1"/>
  <c r="DP154" i="4"/>
  <c r="DQ154" i="4"/>
  <c r="DQ158" i="4" s="1"/>
  <c r="DR154" i="4"/>
  <c r="DT154" i="4"/>
  <c r="AM154" i="4" s="1"/>
  <c r="DU154" i="4"/>
  <c r="DW154" i="4"/>
  <c r="DY154" i="4"/>
  <c r="AR154" i="4" s="1"/>
  <c r="EA154" i="4"/>
  <c r="I156" i="4"/>
  <c r="N156" i="4"/>
  <c r="O156" i="4"/>
  <c r="P156" i="4"/>
  <c r="Q156" i="4"/>
  <c r="S156" i="4"/>
  <c r="R156" i="4" s="1"/>
  <c r="T156" i="4"/>
  <c r="U156" i="4"/>
  <c r="V156" i="4"/>
  <c r="X156" i="4"/>
  <c r="W156" i="4" s="1"/>
  <c r="Y156" i="4"/>
  <c r="Z156" i="4"/>
  <c r="AA156" i="4"/>
  <c r="AC156" i="4"/>
  <c r="AB156" i="4" s="1"/>
  <c r="AD156" i="4"/>
  <c r="AE156" i="4"/>
  <c r="AF156" i="4"/>
  <c r="AH156" i="4"/>
  <c r="AG156" i="4" s="1"/>
  <c r="AI156" i="4"/>
  <c r="AJ156" i="4"/>
  <c r="AK156" i="4"/>
  <c r="AM156" i="4"/>
  <c r="AL156" i="4" s="1"/>
  <c r="AN156" i="4"/>
  <c r="AO156" i="4"/>
  <c r="AP156" i="4"/>
  <c r="AR156" i="4"/>
  <c r="AQ156" i="4" s="1"/>
  <c r="BB156" i="4"/>
  <c r="BG156" i="4"/>
  <c r="BL156" i="4"/>
  <c r="CL156" i="4"/>
  <c r="E156" i="4" s="1"/>
  <c r="CM156" i="4"/>
  <c r="CN156" i="4"/>
  <c r="CQ156" i="4"/>
  <c r="J156" i="4" s="1"/>
  <c r="CR156" i="4"/>
  <c r="CS156" i="4"/>
  <c r="CY156" i="4"/>
  <c r="DD156" i="4"/>
  <c r="DI156" i="4"/>
  <c r="DN156" i="4"/>
  <c r="DS156" i="4"/>
  <c r="DX156" i="4"/>
  <c r="E159" i="4"/>
  <c r="J160" i="4"/>
  <c r="K160" i="4"/>
  <c r="L160" i="4"/>
  <c r="N160" i="4"/>
  <c r="M160" i="4" s="1"/>
  <c r="O160" i="4"/>
  <c r="P160" i="4"/>
  <c r="Q160" i="4"/>
  <c r="S160" i="4"/>
  <c r="R160" i="4" s="1"/>
  <c r="T160" i="4"/>
  <c r="U160" i="4"/>
  <c r="V160" i="4"/>
  <c r="X160" i="4"/>
  <c r="W160" i="4" s="1"/>
  <c r="Y160" i="4"/>
  <c r="Z160" i="4"/>
  <c r="AA160" i="4"/>
  <c r="AC160" i="4"/>
  <c r="AD160" i="4"/>
  <c r="AE160" i="4"/>
  <c r="AF160" i="4"/>
  <c r="AH160" i="4"/>
  <c r="AG160" i="4" s="1"/>
  <c r="AI160" i="4"/>
  <c r="AJ160" i="4"/>
  <c r="AK160" i="4"/>
  <c r="AM160" i="4"/>
  <c r="AL160" i="4" s="1"/>
  <c r="AN160" i="4"/>
  <c r="AO160" i="4"/>
  <c r="AP160" i="4"/>
  <c r="AR160" i="4"/>
  <c r="AQ160" i="4" s="1"/>
  <c r="CM159" i="4"/>
  <c r="CN159" i="4"/>
  <c r="CP159" i="4"/>
  <c r="DK159" i="4"/>
  <c r="DL159" i="4" s="1"/>
  <c r="E160" i="4"/>
  <c r="F160" i="4"/>
  <c r="G160" i="4"/>
  <c r="H160" i="4"/>
  <c r="CO160" i="4"/>
  <c r="CT160" i="4"/>
  <c r="CY160" i="4"/>
  <c r="DD160" i="4"/>
  <c r="DI160" i="4"/>
  <c r="DN160" i="4"/>
  <c r="DS160" i="4"/>
  <c r="DX160" i="4"/>
  <c r="AX167" i="4"/>
  <c r="AY167" i="4" s="1"/>
  <c r="AZ167" i="4" s="1"/>
  <c r="BA167" i="4" s="1"/>
  <c r="BB167" i="4" s="1"/>
  <c r="BC167" i="4" s="1"/>
  <c r="BD167" i="4" s="1"/>
  <c r="BE167" i="4" s="1"/>
  <c r="BF167" i="4" s="1"/>
  <c r="BG167" i="4" s="1"/>
  <c r="BH167" i="4" s="1"/>
  <c r="BI167" i="4" s="1"/>
  <c r="BJ167" i="4" s="1"/>
  <c r="BK167" i="4" s="1"/>
  <c r="BL167" i="4" s="1"/>
  <c r="BM167" i="4" s="1"/>
  <c r="BN167" i="4" s="1"/>
  <c r="BO167" i="4" s="1"/>
  <c r="BP167" i="4" s="1"/>
  <c r="BQ167" i="4" s="1"/>
  <c r="AX168" i="4"/>
  <c r="AY168" i="4" s="1"/>
  <c r="AZ168" i="4" s="1"/>
  <c r="BA168" i="4" s="1"/>
  <c r="BB168" i="4" s="1"/>
  <c r="BC168" i="4" s="1"/>
  <c r="BD168" i="4" s="1"/>
  <c r="BE168" i="4" s="1"/>
  <c r="BF168" i="4" s="1"/>
  <c r="BG168" i="4" s="1"/>
  <c r="BH168" i="4" s="1"/>
  <c r="BI168" i="4" s="1"/>
  <c r="BJ168" i="4" s="1"/>
  <c r="BK168" i="4" s="1"/>
  <c r="BL168" i="4" s="1"/>
  <c r="BM168" i="4" s="1"/>
  <c r="BN168" i="4" s="1"/>
  <c r="BO168" i="4" s="1"/>
  <c r="BP168" i="4" s="1"/>
  <c r="BQ168" i="4" s="1"/>
  <c r="H166" i="4"/>
  <c r="H167" i="4"/>
  <c r="H168" i="4"/>
  <c r="M166" i="4"/>
  <c r="M167" i="4"/>
  <c r="M168" i="4"/>
  <c r="R166" i="4"/>
  <c r="R215" i="4" s="1"/>
  <c r="R167" i="4"/>
  <c r="R168" i="4"/>
  <c r="W166" i="4"/>
  <c r="W167" i="4"/>
  <c r="W168" i="4"/>
  <c r="AB166" i="4"/>
  <c r="AB167" i="4"/>
  <c r="AB168" i="4"/>
  <c r="AG166" i="4"/>
  <c r="AG167" i="4"/>
  <c r="AG168" i="4"/>
  <c r="AL166" i="4"/>
  <c r="AL215" i="4" s="1"/>
  <c r="AL167" i="4"/>
  <c r="AL168" i="4"/>
  <c r="AQ166" i="4"/>
  <c r="AQ167" i="4"/>
  <c r="AQ168" i="4"/>
  <c r="E169" i="4"/>
  <c r="F169" i="4"/>
  <c r="F170" i="4" s="1"/>
  <c r="G169" i="4"/>
  <c r="G170" i="4" s="1"/>
  <c r="I169" i="4"/>
  <c r="H169" i="4" s="1"/>
  <c r="J169" i="4"/>
  <c r="J170" i="4" s="1"/>
  <c r="K169" i="4"/>
  <c r="K170" i="4" s="1"/>
  <c r="L169" i="4"/>
  <c r="N169" i="4"/>
  <c r="M169" i="4" s="1"/>
  <c r="O169" i="4"/>
  <c r="O170" i="4" s="1"/>
  <c r="P169" i="4"/>
  <c r="P170" i="4" s="1"/>
  <c r="Q169" i="4"/>
  <c r="Q170" i="4" s="1"/>
  <c r="S169" i="4"/>
  <c r="R169" i="4" s="1"/>
  <c r="T169" i="4"/>
  <c r="T170" i="4" s="1"/>
  <c r="U169" i="4"/>
  <c r="U170" i="4" s="1"/>
  <c r="V169" i="4"/>
  <c r="V170" i="4" s="1"/>
  <c r="X169" i="4"/>
  <c r="W169" i="4" s="1"/>
  <c r="Y169" i="4"/>
  <c r="Y170" i="4" s="1"/>
  <c r="Z169" i="4"/>
  <c r="Z170" i="4" s="1"/>
  <c r="AA169" i="4"/>
  <c r="AA170" i="4" s="1"/>
  <c r="AC169" i="4"/>
  <c r="AC170" i="4" s="1"/>
  <c r="AD169" i="4"/>
  <c r="AE169" i="4"/>
  <c r="AE170" i="4" s="1"/>
  <c r="AF169" i="4"/>
  <c r="AH169" i="4"/>
  <c r="AI169" i="4"/>
  <c r="AI170" i="4" s="1"/>
  <c r="AJ169" i="4"/>
  <c r="AJ170" i="4" s="1"/>
  <c r="AK169" i="4"/>
  <c r="AK170" i="4" s="1"/>
  <c r="AM169" i="4"/>
  <c r="AL169" i="4" s="1"/>
  <c r="AN169" i="4"/>
  <c r="AO169" i="4"/>
  <c r="AO170" i="4" s="1"/>
  <c r="AP169" i="4"/>
  <c r="AP170" i="4" s="1"/>
  <c r="AR169" i="4"/>
  <c r="AQ169" i="4" s="1"/>
  <c r="AS169" i="4"/>
  <c r="AT169" i="4"/>
  <c r="AT170" i="4" s="1"/>
  <c r="AU169" i="4"/>
  <c r="AX169" i="4" s="1"/>
  <c r="AY169" i="4" s="1"/>
  <c r="AZ169" i="4" s="1"/>
  <c r="BA169" i="4" s="1"/>
  <c r="BB169" i="4" s="1"/>
  <c r="BC169" i="4" s="1"/>
  <c r="BD169" i="4" s="1"/>
  <c r="BE169" i="4" s="1"/>
  <c r="BF169" i="4" s="1"/>
  <c r="BG169" i="4" s="1"/>
  <c r="BH169" i="4" s="1"/>
  <c r="BI169" i="4" s="1"/>
  <c r="BJ169" i="4" s="1"/>
  <c r="BK169" i="4" s="1"/>
  <c r="BL169" i="4" s="1"/>
  <c r="BM169" i="4" s="1"/>
  <c r="BN169" i="4" s="1"/>
  <c r="BO169" i="4" s="1"/>
  <c r="BP169" i="4" s="1"/>
  <c r="BQ169" i="4" s="1"/>
  <c r="E170" i="4"/>
  <c r="L170" i="4"/>
  <c r="AD170" i="4"/>
  <c r="AF170" i="4"/>
  <c r="AN170" i="4"/>
  <c r="AS170" i="4"/>
  <c r="AU170" i="4"/>
  <c r="Q172" i="4"/>
  <c r="S172" i="4"/>
  <c r="R172" i="4" s="1"/>
  <c r="T172" i="4"/>
  <c r="U172" i="4"/>
  <c r="V172" i="4"/>
  <c r="X172" i="4"/>
  <c r="Y172" i="4"/>
  <c r="Z172" i="4"/>
  <c r="AA172" i="4"/>
  <c r="AC172" i="4"/>
  <c r="AD172" i="4"/>
  <c r="AE172" i="4"/>
  <c r="AF172" i="4"/>
  <c r="AH172" i="4"/>
  <c r="AI172" i="4"/>
  <c r="AJ172" i="4"/>
  <c r="AK172" i="4"/>
  <c r="AM172" i="4"/>
  <c r="AL172" i="4" s="1"/>
  <c r="AN172" i="4"/>
  <c r="AO172" i="4"/>
  <c r="AP172" i="4"/>
  <c r="AP176" i="4" s="1"/>
  <c r="AR172" i="4"/>
  <c r="AS172" i="4"/>
  <c r="AT172" i="4"/>
  <c r="AU172" i="4"/>
  <c r="AX175" i="4"/>
  <c r="AY175" i="4" s="1"/>
  <c r="AZ175" i="4" s="1"/>
  <c r="BA175" i="4" s="1"/>
  <c r="BB175" i="4" s="1"/>
  <c r="BC175" i="4" s="1"/>
  <c r="BD175" i="4" s="1"/>
  <c r="BE175" i="4" s="1"/>
  <c r="BF175" i="4" s="1"/>
  <c r="BG175" i="4" s="1"/>
  <c r="BH175" i="4" s="1"/>
  <c r="BI175" i="4" s="1"/>
  <c r="BJ175" i="4" s="1"/>
  <c r="BK175" i="4" s="1"/>
  <c r="BL175" i="4" s="1"/>
  <c r="BM175" i="4" s="1"/>
  <c r="BN175" i="4" s="1"/>
  <c r="BO175" i="4" s="1"/>
  <c r="BP175" i="4" s="1"/>
  <c r="BQ175" i="4" s="1"/>
  <c r="H172" i="4"/>
  <c r="H173" i="4"/>
  <c r="E174" i="4"/>
  <c r="F174" i="4"/>
  <c r="F176" i="4" s="1"/>
  <c r="G174" i="4"/>
  <c r="G176" i="4" s="1"/>
  <c r="I174" i="4"/>
  <c r="H174" i="4" s="1"/>
  <c r="J174" i="4"/>
  <c r="K174" i="4"/>
  <c r="K176" i="4" s="1"/>
  <c r="L174" i="4"/>
  <c r="N174" i="4"/>
  <c r="N176" i="4" s="1"/>
  <c r="O174" i="4"/>
  <c r="O176" i="4" s="1"/>
  <c r="P174" i="4"/>
  <c r="P176" i="4" s="1"/>
  <c r="Q174" i="4"/>
  <c r="S174" i="4"/>
  <c r="R174" i="4" s="1"/>
  <c r="T174" i="4"/>
  <c r="U174" i="4"/>
  <c r="U176" i="4" s="1"/>
  <c r="V174" i="4"/>
  <c r="X174" i="4"/>
  <c r="W174" i="4" s="1"/>
  <c r="Y174" i="4"/>
  <c r="Z174" i="4"/>
  <c r="Z176" i="4" s="1"/>
  <c r="AA174" i="4"/>
  <c r="AC174" i="4"/>
  <c r="AB174" i="4" s="1"/>
  <c r="AD174" i="4"/>
  <c r="AE174" i="4"/>
  <c r="AF174" i="4"/>
  <c r="AH174" i="4"/>
  <c r="AI174" i="4"/>
  <c r="AJ174" i="4"/>
  <c r="AJ176" i="4" s="1"/>
  <c r="AK174" i="4"/>
  <c r="AM174" i="4"/>
  <c r="AL174" i="4" s="1"/>
  <c r="AN174" i="4"/>
  <c r="AO174" i="4"/>
  <c r="AO176" i="4" s="1"/>
  <c r="AP174" i="4"/>
  <c r="AR174" i="4"/>
  <c r="AQ174" i="4" s="1"/>
  <c r="AS174" i="4"/>
  <c r="AT174" i="4"/>
  <c r="AT176" i="4" s="1"/>
  <c r="AU174" i="4"/>
  <c r="AX174" i="4" s="1"/>
  <c r="AY174" i="4" s="1"/>
  <c r="AZ174" i="4" s="1"/>
  <c r="BA174" i="4" s="1"/>
  <c r="BB174" i="4" s="1"/>
  <c r="BC174" i="4" s="1"/>
  <c r="BD174" i="4" s="1"/>
  <c r="BE174" i="4" s="1"/>
  <c r="BF174" i="4" s="1"/>
  <c r="BG174" i="4" s="1"/>
  <c r="BH174" i="4" s="1"/>
  <c r="BI174" i="4" s="1"/>
  <c r="BJ174" i="4" s="1"/>
  <c r="BK174" i="4" s="1"/>
  <c r="BL174" i="4" s="1"/>
  <c r="BM174" i="4" s="1"/>
  <c r="BN174" i="4" s="1"/>
  <c r="BO174" i="4" s="1"/>
  <c r="BP174" i="4" s="1"/>
  <c r="BQ174" i="4" s="1"/>
  <c r="M172" i="4"/>
  <c r="M173" i="4"/>
  <c r="M174" i="4"/>
  <c r="M176" i="4" s="1"/>
  <c r="M175" i="4"/>
  <c r="R173" i="4"/>
  <c r="R175" i="4"/>
  <c r="W173" i="4"/>
  <c r="W175" i="4"/>
  <c r="AB173" i="4"/>
  <c r="AB175" i="4"/>
  <c r="AG173" i="4"/>
  <c r="AG174" i="4"/>
  <c r="AG175" i="4"/>
  <c r="AL173" i="4"/>
  <c r="AL175" i="4"/>
  <c r="AQ173" i="4"/>
  <c r="AQ175" i="4"/>
  <c r="E176" i="4"/>
  <c r="J176" i="4"/>
  <c r="L176" i="4"/>
  <c r="T176" i="4"/>
  <c r="Y176" i="4"/>
  <c r="AI176" i="4"/>
  <c r="AK176" i="4"/>
  <c r="AS176" i="4"/>
  <c r="AX178" i="4"/>
  <c r="AY178" i="4" s="1"/>
  <c r="AZ178" i="4" s="1"/>
  <c r="AX179" i="4"/>
  <c r="AY179" i="4" s="1"/>
  <c r="AX181" i="4"/>
  <c r="AY181" i="4" s="1"/>
  <c r="AZ181" i="4" s="1"/>
  <c r="BA181" i="4" s="1"/>
  <c r="BB181" i="4" s="1"/>
  <c r="BC181" i="4" s="1"/>
  <c r="BD181" i="4" s="1"/>
  <c r="BE181" i="4" s="1"/>
  <c r="BF181" i="4" s="1"/>
  <c r="BG181" i="4" s="1"/>
  <c r="BH181" i="4" s="1"/>
  <c r="BI181" i="4" s="1"/>
  <c r="BJ181" i="4" s="1"/>
  <c r="BK181" i="4" s="1"/>
  <c r="BL181" i="4" s="1"/>
  <c r="BM181" i="4" s="1"/>
  <c r="BN181" i="4" s="1"/>
  <c r="BO181" i="4" s="1"/>
  <c r="BP181" i="4" s="1"/>
  <c r="BQ181" i="4" s="1"/>
  <c r="H178" i="4"/>
  <c r="H179" i="4"/>
  <c r="H180" i="4"/>
  <c r="H181" i="4"/>
  <c r="M178" i="4"/>
  <c r="M179" i="4"/>
  <c r="M180" i="4"/>
  <c r="M181" i="4"/>
  <c r="R178" i="4"/>
  <c r="R179" i="4"/>
  <c r="R180" i="4"/>
  <c r="R181" i="4"/>
  <c r="W178" i="4"/>
  <c r="W179" i="4"/>
  <c r="W180" i="4"/>
  <c r="W181" i="4"/>
  <c r="AB178" i="4"/>
  <c r="AB179" i="4"/>
  <c r="AB180" i="4"/>
  <c r="AB181" i="4"/>
  <c r="AG178" i="4"/>
  <c r="AG179" i="4"/>
  <c r="AG180" i="4"/>
  <c r="AG181" i="4"/>
  <c r="AL178" i="4"/>
  <c r="AL179" i="4"/>
  <c r="AL180" i="4"/>
  <c r="AL181" i="4"/>
  <c r="AQ178" i="4"/>
  <c r="AQ179" i="4"/>
  <c r="AQ180" i="4"/>
  <c r="AQ181" i="4"/>
  <c r="E182" i="4"/>
  <c r="E183" i="4" s="1"/>
  <c r="F182" i="4"/>
  <c r="F183" i="4" s="1"/>
  <c r="G182" i="4"/>
  <c r="I182" i="4"/>
  <c r="H182" i="4" s="1"/>
  <c r="J182" i="4"/>
  <c r="J183" i="4" s="1"/>
  <c r="K182" i="4"/>
  <c r="K183" i="4" s="1"/>
  <c r="L182" i="4"/>
  <c r="N182" i="4"/>
  <c r="M182" i="4" s="1"/>
  <c r="O182" i="4"/>
  <c r="O183" i="4" s="1"/>
  <c r="P182" i="4"/>
  <c r="P183" i="4" s="1"/>
  <c r="Q182" i="4"/>
  <c r="Q183" i="4" s="1"/>
  <c r="S182" i="4"/>
  <c r="R182" i="4" s="1"/>
  <c r="T182" i="4"/>
  <c r="T183" i="4" s="1"/>
  <c r="U182" i="4"/>
  <c r="U183" i="4" s="1"/>
  <c r="V182" i="4"/>
  <c r="X182" i="4"/>
  <c r="W182" i="4" s="1"/>
  <c r="Y182" i="4"/>
  <c r="Y183" i="4" s="1"/>
  <c r="Z182" i="4"/>
  <c r="Z183" i="4" s="1"/>
  <c r="AA182" i="4"/>
  <c r="AC182" i="4"/>
  <c r="AB182" i="4" s="1"/>
  <c r="AD182" i="4"/>
  <c r="AD183" i="4" s="1"/>
  <c r="AE182" i="4"/>
  <c r="AE183" i="4" s="1"/>
  <c r="AF182" i="4"/>
  <c r="AH182" i="4"/>
  <c r="AI182" i="4"/>
  <c r="AI183" i="4" s="1"/>
  <c r="AI185" i="4" s="1"/>
  <c r="AJ182" i="4"/>
  <c r="AK182" i="4"/>
  <c r="AK183" i="4" s="1"/>
  <c r="AM182" i="4"/>
  <c r="AL182" i="4" s="1"/>
  <c r="AN182" i="4"/>
  <c r="AN183" i="4" s="1"/>
  <c r="AO182" i="4"/>
  <c r="AO183" i="4" s="1"/>
  <c r="AP182" i="4"/>
  <c r="AP183" i="4" s="1"/>
  <c r="AR182" i="4"/>
  <c r="AR183" i="4" s="1"/>
  <c r="AS182" i="4"/>
  <c r="AS183" i="4" s="1"/>
  <c r="AS185" i="4" s="1"/>
  <c r="AT182" i="4"/>
  <c r="AT183" i="4" s="1"/>
  <c r="AU182" i="4"/>
  <c r="AX182" i="4" s="1"/>
  <c r="AY182" i="4" s="1"/>
  <c r="AZ182" i="4" s="1"/>
  <c r="BA182" i="4" s="1"/>
  <c r="BB182" i="4" s="1"/>
  <c r="BC182" i="4" s="1"/>
  <c r="BD182" i="4" s="1"/>
  <c r="BE182" i="4" s="1"/>
  <c r="BF182" i="4" s="1"/>
  <c r="BG182" i="4" s="1"/>
  <c r="BH182" i="4" s="1"/>
  <c r="BI182" i="4" s="1"/>
  <c r="BJ182" i="4" s="1"/>
  <c r="BK182" i="4" s="1"/>
  <c r="BL182" i="4" s="1"/>
  <c r="BM182" i="4" s="1"/>
  <c r="BN182" i="4" s="1"/>
  <c r="BO182" i="4" s="1"/>
  <c r="BP182" i="4" s="1"/>
  <c r="BQ182" i="4" s="1"/>
  <c r="G183" i="4"/>
  <c r="L183" i="4"/>
  <c r="V183" i="4"/>
  <c r="AA183" i="4"/>
  <c r="AF183" i="4"/>
  <c r="AJ183" i="4"/>
  <c r="H187" i="4"/>
  <c r="H188" i="4"/>
  <c r="H189" i="4"/>
  <c r="M187" i="4"/>
  <c r="M188" i="4"/>
  <c r="M189" i="4"/>
  <c r="R187" i="4"/>
  <c r="R188" i="4"/>
  <c r="R189" i="4"/>
  <c r="W187" i="4"/>
  <c r="W188" i="4"/>
  <c r="W189" i="4"/>
  <c r="AB187" i="4"/>
  <c r="AB188" i="4"/>
  <c r="AB189" i="4"/>
  <c r="AG187" i="4"/>
  <c r="AG188" i="4"/>
  <c r="AG189" i="4"/>
  <c r="AL187" i="4"/>
  <c r="AL188" i="4"/>
  <c r="AL189" i="4"/>
  <c r="AQ187" i="4"/>
  <c r="AQ188" i="4"/>
  <c r="AQ189" i="4"/>
  <c r="AX189" i="4"/>
  <c r="AY189" i="4" s="1"/>
  <c r="AZ189" i="4" s="1"/>
  <c r="BA189" i="4" s="1"/>
  <c r="BB189" i="4" s="1"/>
  <c r="BC189" i="4" s="1"/>
  <c r="BD189" i="4" s="1"/>
  <c r="BE189" i="4" s="1"/>
  <c r="BF189" i="4" s="1"/>
  <c r="BG189" i="4" s="1"/>
  <c r="BH189" i="4" s="1"/>
  <c r="BI189" i="4" s="1"/>
  <c r="BJ189" i="4" s="1"/>
  <c r="BK189" i="4" s="1"/>
  <c r="BL189" i="4" s="1"/>
  <c r="BM189" i="4" s="1"/>
  <c r="BN189" i="4" s="1"/>
  <c r="BO189" i="4" s="1"/>
  <c r="BP189" i="4" s="1"/>
  <c r="BQ189" i="4" s="1"/>
  <c r="E190" i="4"/>
  <c r="E191" i="4" s="1"/>
  <c r="F190" i="4"/>
  <c r="F191" i="4" s="1"/>
  <c r="G190" i="4"/>
  <c r="G191" i="4" s="1"/>
  <c r="I190" i="4"/>
  <c r="H190" i="4" s="1"/>
  <c r="J190" i="4"/>
  <c r="K190" i="4"/>
  <c r="K191" i="4" s="1"/>
  <c r="L190" i="4"/>
  <c r="N190" i="4"/>
  <c r="M190" i="4" s="1"/>
  <c r="O190" i="4"/>
  <c r="O191" i="4" s="1"/>
  <c r="P190" i="4"/>
  <c r="P191" i="4" s="1"/>
  <c r="Q190" i="4"/>
  <c r="Q191" i="4" s="1"/>
  <c r="S190" i="4"/>
  <c r="R190" i="4" s="1"/>
  <c r="T190" i="4"/>
  <c r="T191" i="4" s="1"/>
  <c r="U190" i="4"/>
  <c r="U191" i="4" s="1"/>
  <c r="V190" i="4"/>
  <c r="X190" i="4"/>
  <c r="W190" i="4" s="1"/>
  <c r="Y190" i="4"/>
  <c r="Y191" i="4" s="1"/>
  <c r="Z190" i="4"/>
  <c r="Z191" i="4" s="1"/>
  <c r="AA190" i="4"/>
  <c r="AA191" i="4" s="1"/>
  <c r="AC190" i="4"/>
  <c r="AB190" i="4" s="1"/>
  <c r="AD190" i="4"/>
  <c r="AE190" i="4"/>
  <c r="AE191" i="4" s="1"/>
  <c r="AF190" i="4"/>
  <c r="AH190" i="4"/>
  <c r="AG190" i="4" s="1"/>
  <c r="AI190" i="4"/>
  <c r="AI191" i="4" s="1"/>
  <c r="AJ190" i="4"/>
  <c r="AJ191" i="4" s="1"/>
  <c r="AK190" i="4"/>
  <c r="AK191" i="4" s="1"/>
  <c r="AM190" i="4"/>
  <c r="AL190" i="4" s="1"/>
  <c r="AN190" i="4"/>
  <c r="AN191" i="4" s="1"/>
  <c r="AO190" i="4"/>
  <c r="AO191" i="4" s="1"/>
  <c r="AP190" i="4"/>
  <c r="AR190" i="4"/>
  <c r="AQ190" i="4" s="1"/>
  <c r="AS190" i="4"/>
  <c r="AT190" i="4"/>
  <c r="AT191" i="4" s="1"/>
  <c r="AU190" i="4"/>
  <c r="AX190" i="4" s="1"/>
  <c r="AY190" i="4" s="1"/>
  <c r="AZ190" i="4" s="1"/>
  <c r="BA190" i="4" s="1"/>
  <c r="BB190" i="4" s="1"/>
  <c r="BC190" i="4" s="1"/>
  <c r="BD190" i="4" s="1"/>
  <c r="BE190" i="4" s="1"/>
  <c r="BF190" i="4" s="1"/>
  <c r="BG190" i="4" s="1"/>
  <c r="BH190" i="4" s="1"/>
  <c r="BI190" i="4" s="1"/>
  <c r="BJ190" i="4" s="1"/>
  <c r="BK190" i="4" s="1"/>
  <c r="BL190" i="4" s="1"/>
  <c r="BM190" i="4" s="1"/>
  <c r="BN190" i="4" s="1"/>
  <c r="BO190" i="4" s="1"/>
  <c r="BP190" i="4" s="1"/>
  <c r="BQ190" i="4" s="1"/>
  <c r="J191" i="4"/>
  <c r="L191" i="4"/>
  <c r="V191" i="4"/>
  <c r="AD191" i="4"/>
  <c r="AF191" i="4"/>
  <c r="AP191" i="4"/>
  <c r="AR191" i="4"/>
  <c r="H193" i="4"/>
  <c r="H218" i="4" s="1"/>
  <c r="M193" i="4"/>
  <c r="R193" i="4"/>
  <c r="W193" i="4"/>
  <c r="AB193" i="4"/>
  <c r="AB218" i="4" s="1"/>
  <c r="AG193" i="4"/>
  <c r="AL193" i="4"/>
  <c r="AQ193" i="4"/>
  <c r="AX196" i="4"/>
  <c r="AY196" i="4" s="1"/>
  <c r="AZ196" i="4" s="1"/>
  <c r="BA196" i="4" s="1"/>
  <c r="BB196" i="4" s="1"/>
  <c r="BC196" i="4" s="1"/>
  <c r="BD196" i="4" s="1"/>
  <c r="BE196" i="4" s="1"/>
  <c r="BF196" i="4" s="1"/>
  <c r="BG196" i="4" s="1"/>
  <c r="BH196" i="4" s="1"/>
  <c r="BI196" i="4" s="1"/>
  <c r="BJ196" i="4" s="1"/>
  <c r="BK196" i="4" s="1"/>
  <c r="BL196" i="4" s="1"/>
  <c r="BM196" i="4" s="1"/>
  <c r="BN196" i="4" s="1"/>
  <c r="BO196" i="4" s="1"/>
  <c r="BP196" i="4" s="1"/>
  <c r="BQ196" i="4" s="1"/>
  <c r="AX197" i="4"/>
  <c r="AY197" i="4" s="1"/>
  <c r="AZ197" i="4" s="1"/>
  <c r="BA197" i="4" s="1"/>
  <c r="BB197" i="4" s="1"/>
  <c r="BC197" i="4" s="1"/>
  <c r="BD197" i="4" s="1"/>
  <c r="BE197" i="4" s="1"/>
  <c r="BF197" i="4" s="1"/>
  <c r="BG197" i="4" s="1"/>
  <c r="BH197" i="4" s="1"/>
  <c r="BI197" i="4" s="1"/>
  <c r="BJ197" i="4" s="1"/>
  <c r="BK197" i="4" s="1"/>
  <c r="BL197" i="4" s="1"/>
  <c r="BM197" i="4" s="1"/>
  <c r="BN197" i="4" s="1"/>
  <c r="BO197" i="4" s="1"/>
  <c r="BP197" i="4" s="1"/>
  <c r="BQ197" i="4" s="1"/>
  <c r="AX198" i="4"/>
  <c r="AY198" i="4" s="1"/>
  <c r="AZ198" i="4" s="1"/>
  <c r="BA198" i="4" s="1"/>
  <c r="BB198" i="4" s="1"/>
  <c r="BC198" i="4" s="1"/>
  <c r="BD198" i="4" s="1"/>
  <c r="BE198" i="4" s="1"/>
  <c r="BF198" i="4" s="1"/>
  <c r="BG198" i="4" s="1"/>
  <c r="BH198" i="4" s="1"/>
  <c r="BI198" i="4" s="1"/>
  <c r="BJ198" i="4" s="1"/>
  <c r="BK198" i="4" s="1"/>
  <c r="BL198" i="4" s="1"/>
  <c r="BM198" i="4" s="1"/>
  <c r="BN198" i="4" s="1"/>
  <c r="BO198" i="4" s="1"/>
  <c r="BP198" i="4" s="1"/>
  <c r="BQ198" i="4" s="1"/>
  <c r="H195" i="4"/>
  <c r="H196" i="4"/>
  <c r="H197" i="4"/>
  <c r="H198" i="4"/>
  <c r="M195" i="4"/>
  <c r="M196" i="4"/>
  <c r="M197" i="4"/>
  <c r="M198" i="4"/>
  <c r="R195" i="4"/>
  <c r="R196" i="4"/>
  <c r="R197" i="4"/>
  <c r="R198" i="4"/>
  <c r="W195" i="4"/>
  <c r="W196" i="4"/>
  <c r="W197" i="4"/>
  <c r="W198" i="4"/>
  <c r="AB195" i="4"/>
  <c r="AB196" i="4"/>
  <c r="AB197" i="4"/>
  <c r="AB198" i="4"/>
  <c r="AG195" i="4"/>
  <c r="AG196" i="4"/>
  <c r="AG197" i="4"/>
  <c r="AG198" i="4"/>
  <c r="AL195" i="4"/>
  <c r="AL196" i="4"/>
  <c r="AL197" i="4"/>
  <c r="AL198" i="4"/>
  <c r="AQ195" i="4"/>
  <c r="AQ196" i="4"/>
  <c r="AQ197" i="4"/>
  <c r="AQ198" i="4"/>
  <c r="E199" i="4"/>
  <c r="E200" i="4" s="1"/>
  <c r="F199" i="4"/>
  <c r="G199" i="4"/>
  <c r="G200" i="4" s="1"/>
  <c r="I199" i="4"/>
  <c r="H199" i="4" s="1"/>
  <c r="J199" i="4"/>
  <c r="J200" i="4" s="1"/>
  <c r="K199" i="4"/>
  <c r="L199" i="4"/>
  <c r="L200" i="4" s="1"/>
  <c r="N199" i="4"/>
  <c r="M199" i="4" s="1"/>
  <c r="O199" i="4"/>
  <c r="P199" i="4"/>
  <c r="P200" i="4" s="1"/>
  <c r="Q199" i="4"/>
  <c r="Q200" i="4" s="1"/>
  <c r="S199" i="4"/>
  <c r="R199" i="4" s="1"/>
  <c r="T199" i="4"/>
  <c r="T200" i="4" s="1"/>
  <c r="U199" i="4"/>
  <c r="U200" i="4" s="1"/>
  <c r="V199" i="4"/>
  <c r="V200" i="4" s="1"/>
  <c r="X199" i="4"/>
  <c r="W199" i="4" s="1"/>
  <c r="Y199" i="4"/>
  <c r="Z199" i="4"/>
  <c r="Z200" i="4" s="1"/>
  <c r="AA199" i="4"/>
  <c r="AA200" i="4" s="1"/>
  <c r="AC199" i="4"/>
  <c r="AB199" i="4" s="1"/>
  <c r="AD199" i="4"/>
  <c r="AD200" i="4" s="1"/>
  <c r="AE199" i="4"/>
  <c r="AE200" i="4" s="1"/>
  <c r="AF199" i="4"/>
  <c r="AF200" i="4" s="1"/>
  <c r="AH199" i="4"/>
  <c r="AG199" i="4" s="1"/>
  <c r="AI199" i="4"/>
  <c r="AI200" i="4" s="1"/>
  <c r="AJ199" i="4"/>
  <c r="AJ200" i="4" s="1"/>
  <c r="AK199" i="4"/>
  <c r="AM199" i="4"/>
  <c r="AL199" i="4" s="1"/>
  <c r="AN199" i="4"/>
  <c r="AN200" i="4" s="1"/>
  <c r="AO199" i="4"/>
  <c r="AO200" i="4" s="1"/>
  <c r="AP199" i="4"/>
  <c r="AP200" i="4" s="1"/>
  <c r="AR199" i="4"/>
  <c r="AQ199" i="4" s="1"/>
  <c r="AS199" i="4"/>
  <c r="AS200" i="4" s="1"/>
  <c r="AT199" i="4"/>
  <c r="AT200" i="4" s="1"/>
  <c r="AU199" i="4"/>
  <c r="F200" i="4"/>
  <c r="K200" i="4"/>
  <c r="O200" i="4"/>
  <c r="Y200" i="4"/>
  <c r="AK200" i="4"/>
  <c r="AU200" i="4"/>
  <c r="H202" i="4"/>
  <c r="M202" i="4"/>
  <c r="R202" i="4"/>
  <c r="W202" i="4"/>
  <c r="W222" i="4" s="1"/>
  <c r="AB202" i="4"/>
  <c r="AG202" i="4"/>
  <c r="AL202" i="4"/>
  <c r="AQ202" i="4"/>
  <c r="AQ222" i="4" s="1"/>
  <c r="AX202" i="4"/>
  <c r="AY202" i="4" s="1"/>
  <c r="AZ202" i="4" s="1"/>
  <c r="BA202" i="4" s="1"/>
  <c r="BB202" i="4" s="1"/>
  <c r="BC202" i="4" s="1"/>
  <c r="BD202" i="4" s="1"/>
  <c r="BE202" i="4" s="1"/>
  <c r="BF202" i="4" s="1"/>
  <c r="BG202" i="4" s="1"/>
  <c r="BH202" i="4" s="1"/>
  <c r="BI202" i="4" s="1"/>
  <c r="BJ202" i="4" s="1"/>
  <c r="BK202" i="4" s="1"/>
  <c r="BL202" i="4" s="1"/>
  <c r="BM202" i="4" s="1"/>
  <c r="R204" i="4"/>
  <c r="AX206" i="4"/>
  <c r="AY206" i="4" s="1"/>
  <c r="AZ206" i="4" s="1"/>
  <c r="BA206" i="4" s="1"/>
  <c r="BB206" i="4" s="1"/>
  <c r="BC206" i="4" s="1"/>
  <c r="BD206" i="4" s="1"/>
  <c r="BE206" i="4" s="1"/>
  <c r="BF206" i="4" s="1"/>
  <c r="BG206" i="4" s="1"/>
  <c r="BH206" i="4" s="1"/>
  <c r="BI206" i="4" s="1"/>
  <c r="BJ206" i="4" s="1"/>
  <c r="BK206" i="4" s="1"/>
  <c r="BL206" i="4" s="1"/>
  <c r="BM206" i="4" s="1"/>
  <c r="BN206" i="4" s="1"/>
  <c r="BO206" i="4" s="1"/>
  <c r="BP206" i="4" s="1"/>
  <c r="BQ206" i="4" s="1"/>
  <c r="E205" i="4"/>
  <c r="F205" i="4"/>
  <c r="F207" i="4" s="1"/>
  <c r="G205" i="4"/>
  <c r="G207" i="4" s="1"/>
  <c r="G225" i="4" s="1"/>
  <c r="I205" i="4"/>
  <c r="H205" i="4" s="1"/>
  <c r="J205" i="4"/>
  <c r="J207" i="4" s="1"/>
  <c r="K205" i="4"/>
  <c r="L205" i="4"/>
  <c r="N205" i="4"/>
  <c r="N207" i="4" s="1"/>
  <c r="O205" i="4"/>
  <c r="O207" i="4" s="1"/>
  <c r="O225" i="4" s="1"/>
  <c r="P205" i="4"/>
  <c r="P207" i="4" s="1"/>
  <c r="P225" i="4" s="1"/>
  <c r="S205" i="4"/>
  <c r="T205" i="4"/>
  <c r="T207" i="4" s="1"/>
  <c r="U205" i="4"/>
  <c r="U207" i="4" s="1"/>
  <c r="V205" i="4"/>
  <c r="V207" i="4" s="1"/>
  <c r="X205" i="4"/>
  <c r="Y205" i="4"/>
  <c r="Y207" i="4" s="1"/>
  <c r="Z205" i="4"/>
  <c r="Z207" i="4" s="1"/>
  <c r="Z225" i="4" s="1"/>
  <c r="AA205" i="4"/>
  <c r="AC205" i="4"/>
  <c r="AB205" i="4" s="1"/>
  <c r="AD205" i="4"/>
  <c r="AD207" i="4" s="1"/>
  <c r="AE205" i="4"/>
  <c r="AE207" i="4" s="1"/>
  <c r="AE225" i="4" s="1"/>
  <c r="AF205" i="4"/>
  <c r="AF207" i="4" s="1"/>
  <c r="AF225" i="4" s="1"/>
  <c r="AH205" i="4"/>
  <c r="AH207" i="4" s="1"/>
  <c r="AI205" i="4"/>
  <c r="AI207" i="4" s="1"/>
  <c r="AI225" i="4" s="1"/>
  <c r="AJ205" i="4"/>
  <c r="AJ207" i="4" s="1"/>
  <c r="AK205" i="4"/>
  <c r="AK207" i="4" s="1"/>
  <c r="AK225" i="4" s="1"/>
  <c r="AM205" i="4"/>
  <c r="AN205" i="4"/>
  <c r="AN207" i="4" s="1"/>
  <c r="AO205" i="4"/>
  <c r="AO207" i="4" s="1"/>
  <c r="AO225" i="4" s="1"/>
  <c r="AP205" i="4"/>
  <c r="AP207" i="4" s="1"/>
  <c r="AR205" i="4"/>
  <c r="AS205" i="4"/>
  <c r="AS207" i="4" s="1"/>
  <c r="AT205" i="4"/>
  <c r="AT207" i="4" s="1"/>
  <c r="AT225" i="4" s="1"/>
  <c r="AU205" i="4"/>
  <c r="AU207" i="4" s="1"/>
  <c r="AU225" i="4" s="1"/>
  <c r="H204" i="4"/>
  <c r="H206" i="4"/>
  <c r="M204" i="4"/>
  <c r="M206" i="4"/>
  <c r="P206" i="4"/>
  <c r="Q206" i="4"/>
  <c r="Q207" i="4" s="1"/>
  <c r="R206" i="4"/>
  <c r="W204" i="4"/>
  <c r="W206" i="4"/>
  <c r="AB204" i="4"/>
  <c r="AB206" i="4"/>
  <c r="AG204" i="4"/>
  <c r="AG205" i="4"/>
  <c r="AG206" i="4"/>
  <c r="AL204" i="4"/>
  <c r="AL206" i="4"/>
  <c r="AQ204" i="4"/>
  <c r="AQ206" i="4"/>
  <c r="E207" i="4"/>
  <c r="K207" i="4"/>
  <c r="K225" i="4" s="1"/>
  <c r="L207" i="4"/>
  <c r="L225" i="4" s="1"/>
  <c r="AA207" i="4"/>
  <c r="AA225" i="4" s="1"/>
  <c r="AC207" i="4"/>
  <c r="AC225" i="4" s="1"/>
  <c r="E215" i="4"/>
  <c r="F215" i="4"/>
  <c r="G215" i="4"/>
  <c r="H215" i="4"/>
  <c r="I215" i="4"/>
  <c r="CA9" i="3" s="1"/>
  <c r="J215" i="4"/>
  <c r="K215" i="4"/>
  <c r="L215" i="4"/>
  <c r="M215" i="4"/>
  <c r="N215" i="4"/>
  <c r="O215" i="4"/>
  <c r="P215" i="4"/>
  <c r="Q215" i="4"/>
  <c r="S215" i="4"/>
  <c r="T215" i="4"/>
  <c r="U215" i="4"/>
  <c r="V215" i="4"/>
  <c r="W215" i="4"/>
  <c r="X215" i="4"/>
  <c r="Y215" i="4"/>
  <c r="Z215" i="4"/>
  <c r="AA215" i="4"/>
  <c r="AB215" i="4"/>
  <c r="AC215" i="4"/>
  <c r="CU9" i="3" s="1"/>
  <c r="AD215" i="4"/>
  <c r="AE215" i="4"/>
  <c r="AF215" i="4"/>
  <c r="AG215" i="4"/>
  <c r="AH215" i="4"/>
  <c r="AI215" i="4"/>
  <c r="AJ215" i="4"/>
  <c r="AK215" i="4"/>
  <c r="AM215" i="4"/>
  <c r="AN215" i="4"/>
  <c r="AO215" i="4"/>
  <c r="AP215" i="4"/>
  <c r="AQ215" i="4"/>
  <c r="AR215" i="4"/>
  <c r="E217" i="4"/>
  <c r="F217" i="4"/>
  <c r="G217" i="4"/>
  <c r="H217" i="4"/>
  <c r="I217" i="4"/>
  <c r="J217" i="4"/>
  <c r="K217" i="4"/>
  <c r="L217" i="4"/>
  <c r="M217" i="4"/>
  <c r="N217" i="4"/>
  <c r="CF11" i="3" s="1"/>
  <c r="O217" i="4"/>
  <c r="P217" i="4"/>
  <c r="Q217" i="4"/>
  <c r="R217" i="4"/>
  <c r="S217" i="4"/>
  <c r="T217" i="4"/>
  <c r="U217" i="4"/>
  <c r="V217" i="4"/>
  <c r="W217" i="4"/>
  <c r="X217" i="4"/>
  <c r="Y217" i="4"/>
  <c r="Z217" i="4"/>
  <c r="AA217" i="4"/>
  <c r="AB217" i="4"/>
  <c r="AC217" i="4"/>
  <c r="AD217" i="4"/>
  <c r="AE217" i="4"/>
  <c r="AF217" i="4"/>
  <c r="AG217" i="4"/>
  <c r="AH217" i="4"/>
  <c r="CZ11" i="3" s="1"/>
  <c r="AI217" i="4"/>
  <c r="AJ217" i="4"/>
  <c r="AK217" i="4"/>
  <c r="AL217" i="4"/>
  <c r="AL219" i="4" s="1"/>
  <c r="AM217" i="4"/>
  <c r="AN217" i="4"/>
  <c r="AO217" i="4"/>
  <c r="AP217" i="4"/>
  <c r="AQ217" i="4"/>
  <c r="AR217" i="4"/>
  <c r="E218" i="4"/>
  <c r="F218" i="4"/>
  <c r="G218" i="4"/>
  <c r="I218" i="4"/>
  <c r="J218" i="4"/>
  <c r="K218" i="4"/>
  <c r="L218" i="4"/>
  <c r="M218" i="4"/>
  <c r="N218" i="4"/>
  <c r="O218" i="4"/>
  <c r="O219" i="4" s="1"/>
  <c r="P218" i="4"/>
  <c r="Q218" i="4"/>
  <c r="R218" i="4"/>
  <c r="S218" i="4"/>
  <c r="S219" i="4" s="1"/>
  <c r="T218" i="4"/>
  <c r="U218" i="4"/>
  <c r="V218" i="4"/>
  <c r="X218" i="4"/>
  <c r="Y218" i="4"/>
  <c r="Z218" i="4"/>
  <c r="AA218" i="4"/>
  <c r="AA219" i="4" s="1"/>
  <c r="AC218" i="4"/>
  <c r="CU12" i="3" s="1"/>
  <c r="AD218" i="4"/>
  <c r="AE218" i="4"/>
  <c r="AF218" i="4"/>
  <c r="AF219" i="4" s="1"/>
  <c r="AG218" i="4"/>
  <c r="AG219" i="4" s="1"/>
  <c r="AH218" i="4"/>
  <c r="AI218" i="4"/>
  <c r="AJ218" i="4"/>
  <c r="AJ219" i="4" s="1"/>
  <c r="AK218" i="4"/>
  <c r="AL218" i="4"/>
  <c r="AM218" i="4"/>
  <c r="AN218" i="4"/>
  <c r="AN219" i="4" s="1"/>
  <c r="AO218" i="4"/>
  <c r="AP218" i="4"/>
  <c r="AR218" i="4"/>
  <c r="AR219" i="4" s="1"/>
  <c r="K219" i="4"/>
  <c r="Q219" i="4"/>
  <c r="AE219" i="4"/>
  <c r="AI219" i="4"/>
  <c r="E222" i="4"/>
  <c r="F222" i="4"/>
  <c r="G222" i="4"/>
  <c r="H222" i="4"/>
  <c r="I222" i="4"/>
  <c r="J222" i="4"/>
  <c r="K222" i="4"/>
  <c r="L222" i="4"/>
  <c r="M222" i="4"/>
  <c r="N222" i="4"/>
  <c r="O222" i="4"/>
  <c r="P222" i="4"/>
  <c r="Q222" i="4"/>
  <c r="R222" i="4"/>
  <c r="S222" i="4"/>
  <c r="T222" i="4"/>
  <c r="U222" i="4"/>
  <c r="V222" i="4"/>
  <c r="X222" i="4"/>
  <c r="Y222" i="4"/>
  <c r="Z222" i="4"/>
  <c r="AA222" i="4"/>
  <c r="AB222" i="4"/>
  <c r="AC222" i="4"/>
  <c r="CU16" i="3" s="1"/>
  <c r="AD222" i="4"/>
  <c r="AE222" i="4"/>
  <c r="AF222" i="4"/>
  <c r="AG222" i="4"/>
  <c r="AH222" i="4"/>
  <c r="AI222" i="4"/>
  <c r="AJ222" i="4"/>
  <c r="AK222" i="4"/>
  <c r="AL222" i="4"/>
  <c r="AM222" i="4"/>
  <c r="AN222" i="4"/>
  <c r="AO222" i="4"/>
  <c r="AP222" i="4"/>
  <c r="AR222" i="4"/>
  <c r="BA222" i="4"/>
  <c r="BG222" i="4"/>
  <c r="DY16" i="3" s="1"/>
  <c r="BL222" i="4"/>
  <c r="ED16" i="3" s="1"/>
  <c r="AC234" i="4"/>
  <c r="H236" i="4"/>
  <c r="I236" i="4"/>
  <c r="J236" i="4"/>
  <c r="K236" i="4"/>
  <c r="L236" i="4"/>
  <c r="M236" i="4"/>
  <c r="N236" i="4"/>
  <c r="O236" i="4"/>
  <c r="P236" i="4"/>
  <c r="Q236" i="4"/>
  <c r="R236" i="4"/>
  <c r="S236" i="4"/>
  <c r="T236" i="4"/>
  <c r="U236" i="4"/>
  <c r="V236" i="4"/>
  <c r="W236" i="4"/>
  <c r="X236" i="4"/>
  <c r="Y236" i="4"/>
  <c r="Z236" i="4"/>
  <c r="AA236" i="4"/>
  <c r="AB236" i="4"/>
  <c r="AC236" i="4"/>
  <c r="AD236" i="4"/>
  <c r="AE236" i="4"/>
  <c r="AF236" i="4"/>
  <c r="AG236" i="4"/>
  <c r="AH236" i="4"/>
  <c r="AI236" i="4"/>
  <c r="AJ236" i="4"/>
  <c r="AK236" i="4"/>
  <c r="AL236" i="4"/>
  <c r="AM236" i="4"/>
  <c r="AN236" i="4"/>
  <c r="AO236" i="4"/>
  <c r="AP236" i="4"/>
  <c r="AQ236" i="4"/>
  <c r="AR236" i="4"/>
  <c r="E252" i="4"/>
  <c r="F252" i="4"/>
  <c r="G252" i="4"/>
  <c r="E253" i="4"/>
  <c r="F253" i="4"/>
  <c r="E257" i="4"/>
  <c r="F257" i="4"/>
  <c r="J252" i="4"/>
  <c r="K252" i="4"/>
  <c r="J253" i="4"/>
  <c r="L253" i="4"/>
  <c r="J257" i="4"/>
  <c r="K257" i="4"/>
  <c r="O252" i="4"/>
  <c r="P252" i="4"/>
  <c r="O253" i="4"/>
  <c r="Q253" i="4"/>
  <c r="O257" i="4"/>
  <c r="P257" i="4"/>
  <c r="T252" i="4"/>
  <c r="T253" i="4"/>
  <c r="V253" i="4"/>
  <c r="T257" i="4"/>
  <c r="U257" i="4"/>
  <c r="V257" i="4"/>
  <c r="Y252" i="4"/>
  <c r="Z252" i="4"/>
  <c r="Y253" i="4"/>
  <c r="AA253" i="4"/>
  <c r="AB253" i="4"/>
  <c r="Z257" i="4"/>
  <c r="AA257" i="4"/>
  <c r="AD252" i="4"/>
  <c r="AF252" i="4"/>
  <c r="AG252" i="4"/>
  <c r="AD253" i="4"/>
  <c r="AF253" i="4"/>
  <c r="AG253" i="4"/>
  <c r="AD257" i="4"/>
  <c r="AE257" i="4"/>
  <c r="AF257" i="4"/>
  <c r="AG257" i="4"/>
  <c r="AI252" i="4"/>
  <c r="AK252" i="4"/>
  <c r="AI253" i="4"/>
  <c r="AK253" i="4"/>
  <c r="AI257" i="4"/>
  <c r="AJ257" i="4"/>
  <c r="AK257" i="4"/>
  <c r="AL257" i="4"/>
  <c r="AN252" i="4"/>
  <c r="AP252" i="4"/>
  <c r="AN253" i="4"/>
  <c r="AO253" i="4"/>
  <c r="AN257" i="4"/>
  <c r="AO257" i="4"/>
  <c r="AP257" i="4"/>
  <c r="AQ257" i="4"/>
  <c r="BA256" i="4"/>
  <c r="BF256" i="4"/>
  <c r="BK256" i="4"/>
  <c r="BI257" i="4"/>
  <c r="I252" i="4"/>
  <c r="I253" i="4"/>
  <c r="I256" i="4"/>
  <c r="H256" i="4" s="1"/>
  <c r="I257" i="4"/>
  <c r="N252" i="4"/>
  <c r="N253" i="4"/>
  <c r="N256" i="4"/>
  <c r="K256" i="4" s="1"/>
  <c r="N257" i="4"/>
  <c r="S252" i="4"/>
  <c r="S253" i="4"/>
  <c r="X253" i="4"/>
  <c r="X257" i="4"/>
  <c r="AC252" i="4"/>
  <c r="AC253" i="4"/>
  <c r="AC257" i="4"/>
  <c r="AH252" i="4"/>
  <c r="AH253" i="4"/>
  <c r="AH257" i="4"/>
  <c r="AM252" i="4"/>
  <c r="AM253" i="4"/>
  <c r="AM257" i="4"/>
  <c r="AR252" i="4"/>
  <c r="AR257" i="4"/>
  <c r="BB256" i="4"/>
  <c r="BG256" i="4"/>
  <c r="BL256" i="4"/>
  <c r="B2" i="3"/>
  <c r="N5" i="3"/>
  <c r="S5" i="3" s="1"/>
  <c r="X5" i="3" s="1"/>
  <c r="AC5" i="3" s="1"/>
  <c r="AH5" i="3" s="1"/>
  <c r="AM5" i="3" s="1"/>
  <c r="AR5" i="3" s="1"/>
  <c r="AW5" i="3" s="1"/>
  <c r="BB5" i="3" s="1"/>
  <c r="BG5" i="3" s="1"/>
  <c r="BL5" i="3" s="1"/>
  <c r="CF5" i="3"/>
  <c r="CK5" i="3" s="1"/>
  <c r="CP5" i="3" s="1"/>
  <c r="CU5" i="3" s="1"/>
  <c r="CZ5" i="3" s="1"/>
  <c r="DE5" i="3" s="1"/>
  <c r="DJ5" i="3" s="1"/>
  <c r="DO5" i="3" s="1"/>
  <c r="DT5" i="3" s="1"/>
  <c r="DY5" i="3" s="1"/>
  <c r="ED5" i="3" s="1"/>
  <c r="CF9" i="3"/>
  <c r="CK9" i="3"/>
  <c r="CP9" i="3"/>
  <c r="CZ9" i="3"/>
  <c r="DE9" i="3"/>
  <c r="DJ9" i="3"/>
  <c r="CA11" i="3"/>
  <c r="CA12" i="3"/>
  <c r="CF12" i="3"/>
  <c r="CK11" i="3"/>
  <c r="CK12" i="3"/>
  <c r="CP11" i="3"/>
  <c r="CU11" i="3"/>
  <c r="CZ12" i="3"/>
  <c r="DE11" i="3"/>
  <c r="DE12" i="3"/>
  <c r="DJ11" i="3"/>
  <c r="DJ12" i="3"/>
  <c r="J15" i="3"/>
  <c r="K15" i="3"/>
  <c r="K20" i="3" s="1"/>
  <c r="L15" i="3"/>
  <c r="M15" i="3"/>
  <c r="T15" i="3"/>
  <c r="U15" i="3"/>
  <c r="U20" i="3" s="1"/>
  <c r="V15" i="3"/>
  <c r="W15" i="3"/>
  <c r="Y15" i="3"/>
  <c r="Z15" i="3"/>
  <c r="Z20" i="3" s="1"/>
  <c r="AA15" i="3"/>
  <c r="AB15" i="3"/>
  <c r="AD15" i="3"/>
  <c r="AE15" i="3"/>
  <c r="AE20" i="3" s="1"/>
  <c r="AF15" i="3"/>
  <c r="AG15" i="3"/>
  <c r="AI15" i="3"/>
  <c r="AJ15" i="3"/>
  <c r="AJ20" i="3" s="1"/>
  <c r="AK15" i="3"/>
  <c r="AL15" i="3"/>
  <c r="AL20" i="3" s="1"/>
  <c r="AN15" i="3"/>
  <c r="AO15" i="3"/>
  <c r="AO20" i="3" s="1"/>
  <c r="AP15" i="3"/>
  <c r="AQ15" i="3"/>
  <c r="AS15" i="3"/>
  <c r="AT15" i="3"/>
  <c r="AT20" i="3" s="1"/>
  <c r="AU15" i="3"/>
  <c r="AV15" i="3"/>
  <c r="AV20" i="3" s="1"/>
  <c r="AX15" i="3"/>
  <c r="AY15" i="3"/>
  <c r="AY20" i="3" s="1"/>
  <c r="AZ15" i="3"/>
  <c r="BA15" i="3"/>
  <c r="CA16" i="3"/>
  <c r="CF16" i="3"/>
  <c r="CK16" i="3"/>
  <c r="CP16" i="3"/>
  <c r="CU17" i="3"/>
  <c r="CZ16" i="3"/>
  <c r="DE16" i="3"/>
  <c r="DJ16" i="3"/>
  <c r="J20" i="3"/>
  <c r="L20" i="3"/>
  <c r="M20" i="3"/>
  <c r="T20" i="3"/>
  <c r="V20" i="3"/>
  <c r="W20" i="3"/>
  <c r="Y20" i="3"/>
  <c r="AA20" i="3"/>
  <c r="AB20" i="3"/>
  <c r="AD20" i="3"/>
  <c r="AF20" i="3"/>
  <c r="AG20" i="3"/>
  <c r="AI20" i="3"/>
  <c r="AK20" i="3"/>
  <c r="AN20" i="3"/>
  <c r="AP20" i="3"/>
  <c r="AQ20" i="3"/>
  <c r="AS20" i="3"/>
  <c r="AU20" i="3"/>
  <c r="AX20" i="3"/>
  <c r="AZ20" i="3"/>
  <c r="BA20" i="3"/>
  <c r="J25" i="3"/>
  <c r="J26" i="3"/>
  <c r="I27" i="3"/>
  <c r="J27" i="3"/>
  <c r="K27" i="3"/>
  <c r="L27" i="3"/>
  <c r="N27" i="3"/>
  <c r="AF25" i="3"/>
  <c r="AK25" i="3"/>
  <c r="AP25" i="3"/>
  <c r="T27" i="3"/>
  <c r="U27" i="3"/>
  <c r="Y27" i="3"/>
  <c r="Z27" i="3"/>
  <c r="AA27" i="3"/>
  <c r="AD27" i="3"/>
  <c r="AE27" i="3"/>
  <c r="AF27" i="3"/>
  <c r="AJ27" i="3"/>
  <c r="AN27" i="3"/>
  <c r="AO27" i="3"/>
  <c r="AP27" i="3"/>
  <c r="AT27" i="3"/>
  <c r="AD28" i="3"/>
  <c r="AU28" i="3"/>
  <c r="E40" i="3"/>
  <c r="F40" i="3"/>
  <c r="G40" i="3"/>
  <c r="H40" i="3"/>
  <c r="J40" i="3"/>
  <c r="K40" i="3"/>
  <c r="L40" i="3"/>
  <c r="M40" i="3"/>
  <c r="T40" i="3"/>
  <c r="U40" i="3"/>
  <c r="V40" i="3"/>
  <c r="W40" i="3"/>
  <c r="Y40" i="3"/>
  <c r="Z40" i="3"/>
  <c r="AA40" i="3"/>
  <c r="AB40" i="3"/>
  <c r="AD40" i="3"/>
  <c r="AE40" i="3"/>
  <c r="AF40" i="3"/>
  <c r="AG40" i="3"/>
  <c r="AI40" i="3"/>
  <c r="AJ40" i="3"/>
  <c r="AK40" i="3"/>
  <c r="AL40" i="3"/>
  <c r="AN40" i="3"/>
  <c r="AO40" i="3"/>
  <c r="AP40" i="3"/>
  <c r="AQ40" i="3"/>
  <c r="AS40" i="3"/>
  <c r="AT40" i="3"/>
  <c r="AU40" i="3"/>
  <c r="AV40" i="3"/>
  <c r="I40" i="3"/>
  <c r="N40" i="3"/>
  <c r="S40" i="3"/>
  <c r="X40" i="3"/>
  <c r="AC40" i="3"/>
  <c r="AH40" i="3"/>
  <c r="AM40" i="3"/>
  <c r="AR40" i="3"/>
  <c r="CU44" i="3"/>
  <c r="CU41" i="3" s="1"/>
  <c r="I45" i="3"/>
  <c r="I46" i="3"/>
  <c r="I47" i="3"/>
  <c r="N45" i="3"/>
  <c r="N46" i="3"/>
  <c r="N47" i="3"/>
  <c r="S45" i="3"/>
  <c r="S46" i="3"/>
  <c r="S47" i="3"/>
  <c r="X45" i="3"/>
  <c r="X46" i="3"/>
  <c r="X47" i="3"/>
  <c r="AC45" i="3"/>
  <c r="AC46" i="3"/>
  <c r="AC47" i="3"/>
  <c r="AH45" i="3"/>
  <c r="AH46" i="3"/>
  <c r="AH47" i="3"/>
  <c r="AM45" i="3"/>
  <c r="AM46" i="3"/>
  <c r="AM47" i="3"/>
  <c r="AR45" i="3"/>
  <c r="AR46" i="3"/>
  <c r="AR47" i="3"/>
  <c r="CA50" i="3"/>
  <c r="CA47" i="3" s="1"/>
  <c r="CF50" i="3"/>
  <c r="CF47" i="3" s="1"/>
  <c r="CK50" i="3"/>
  <c r="CK47" i="3" s="1"/>
  <c r="CP50" i="3"/>
  <c r="CP47" i="3" s="1"/>
  <c r="CU50" i="3"/>
  <c r="CU47" i="3" s="1"/>
  <c r="CZ50" i="3"/>
  <c r="CZ47" i="3" s="1"/>
  <c r="DE50" i="3"/>
  <c r="DE47" i="3" s="1"/>
  <c r="DJ50" i="3"/>
  <c r="DJ47" i="3" s="1"/>
  <c r="T55" i="3"/>
  <c r="U55" i="3"/>
  <c r="V55" i="3"/>
  <c r="W55" i="3"/>
  <c r="Y55" i="3"/>
  <c r="Z55" i="3"/>
  <c r="AA55" i="3"/>
  <c r="AB55" i="3"/>
  <c r="AD55" i="3"/>
  <c r="AE55" i="3"/>
  <c r="AF55" i="3"/>
  <c r="AG55" i="3"/>
  <c r="AI55" i="3"/>
  <c r="AJ55" i="3"/>
  <c r="AK55" i="3"/>
  <c r="AL55" i="3"/>
  <c r="AN55" i="3"/>
  <c r="AO55" i="3"/>
  <c r="AP55" i="3"/>
  <c r="AQ55" i="3"/>
  <c r="AS55" i="3"/>
  <c r="AT55" i="3"/>
  <c r="AU55" i="3"/>
  <c r="AV55" i="3"/>
  <c r="AX55" i="3"/>
  <c r="AY55" i="3"/>
  <c r="AZ55" i="3"/>
  <c r="BA55" i="3"/>
  <c r="T57" i="3"/>
  <c r="U57" i="3"/>
  <c r="V57" i="3"/>
  <c r="W57" i="3"/>
  <c r="Y57" i="3"/>
  <c r="Z57" i="3"/>
  <c r="AA57" i="3"/>
  <c r="AB57" i="3"/>
  <c r="AD57" i="3"/>
  <c r="AE57" i="3"/>
  <c r="AF57" i="3"/>
  <c r="AG57" i="3"/>
  <c r="AI57" i="3"/>
  <c r="AJ57" i="3"/>
  <c r="AK57" i="3"/>
  <c r="AL57" i="3"/>
  <c r="AN57" i="3"/>
  <c r="AO57" i="3"/>
  <c r="AP57" i="3"/>
  <c r="AQ57" i="3"/>
  <c r="AS57" i="3"/>
  <c r="AT57" i="3"/>
  <c r="AU57" i="3"/>
  <c r="AV57" i="3"/>
  <c r="AX57" i="3"/>
  <c r="AY57" i="3"/>
  <c r="AZ57" i="3"/>
  <c r="BA57" i="3"/>
  <c r="T58" i="3"/>
  <c r="U58" i="3"/>
  <c r="V58" i="3"/>
  <c r="W58" i="3"/>
  <c r="Y58" i="3"/>
  <c r="Z58" i="3"/>
  <c r="AA58" i="3"/>
  <c r="AB58" i="3"/>
  <c r="AD58" i="3"/>
  <c r="AE58" i="3"/>
  <c r="AF58" i="3"/>
  <c r="AG58" i="3"/>
  <c r="AI58" i="3"/>
  <c r="AJ58" i="3"/>
  <c r="AK58" i="3"/>
  <c r="AL58" i="3"/>
  <c r="AN58" i="3"/>
  <c r="AO58" i="3"/>
  <c r="AP58" i="3"/>
  <c r="AQ58" i="3"/>
  <c r="AS58" i="3"/>
  <c r="AT58" i="3"/>
  <c r="AU58" i="3"/>
  <c r="AV58" i="3"/>
  <c r="AX58" i="3"/>
  <c r="AY58" i="3"/>
  <c r="AZ58" i="3"/>
  <c r="BA58" i="3"/>
  <c r="CA54" i="3"/>
  <c r="CA55" i="3"/>
  <c r="CF54" i="3"/>
  <c r="CF55" i="3"/>
  <c r="CK54" i="3"/>
  <c r="CK55" i="3"/>
  <c r="CP54" i="3"/>
  <c r="CP55" i="3"/>
  <c r="CU54" i="3"/>
  <c r="CU55" i="3"/>
  <c r="CZ54" i="3"/>
  <c r="CZ55" i="3"/>
  <c r="DE54" i="3"/>
  <c r="DE55" i="3"/>
  <c r="DJ54" i="3"/>
  <c r="DJ55" i="3"/>
  <c r="DO54" i="3"/>
  <c r="DO55" i="3"/>
  <c r="DT54" i="3"/>
  <c r="DT55" i="3"/>
  <c r="CB56" i="3"/>
  <c r="CC56" i="3"/>
  <c r="CD56" i="3"/>
  <c r="CE56" i="3"/>
  <c r="CG56" i="3"/>
  <c r="CH56" i="3"/>
  <c r="CI56" i="3"/>
  <c r="CJ56" i="3"/>
  <c r="CL56" i="3"/>
  <c r="CM56" i="3"/>
  <c r="CN56" i="3"/>
  <c r="CO56" i="3"/>
  <c r="CQ56" i="3"/>
  <c r="CR56" i="3"/>
  <c r="CS56" i="3"/>
  <c r="CT56" i="3"/>
  <c r="CV56" i="3"/>
  <c r="CW56" i="3"/>
  <c r="CX56" i="3"/>
  <c r="CY56" i="3"/>
  <c r="DA56" i="3"/>
  <c r="DB56" i="3"/>
  <c r="DC56" i="3"/>
  <c r="DD56" i="3"/>
  <c r="DF56" i="3"/>
  <c r="DG56" i="3"/>
  <c r="DH56" i="3"/>
  <c r="DI56" i="3"/>
  <c r="DK56" i="3"/>
  <c r="DL56" i="3"/>
  <c r="DM56" i="3"/>
  <c r="DN56" i="3"/>
  <c r="DP56" i="3"/>
  <c r="DQ56" i="3"/>
  <c r="DR56" i="3"/>
  <c r="DS56" i="3"/>
  <c r="DY54" i="3"/>
  <c r="DY55" i="3"/>
  <c r="ED54" i="3"/>
  <c r="ED55" i="3"/>
  <c r="CF58" i="3"/>
  <c r="CZ58" i="3"/>
  <c r="DE58" i="3"/>
  <c r="AI59" i="3"/>
  <c r="AJ59" i="3"/>
  <c r="AK59" i="3"/>
  <c r="AN59" i="3"/>
  <c r="AO59" i="3"/>
  <c r="AP59" i="3"/>
  <c r="AS59" i="3"/>
  <c r="AT59" i="3"/>
  <c r="AU59" i="3"/>
  <c r="AX59" i="3"/>
  <c r="AY59" i="3"/>
  <c r="AZ59" i="3"/>
  <c r="CA59" i="3"/>
  <c r="CB59" i="3"/>
  <c r="CC59" i="3"/>
  <c r="CC60" i="3" s="1"/>
  <c r="CD59" i="3"/>
  <c r="CD60" i="3" s="1"/>
  <c r="CF59" i="3"/>
  <c r="CG59" i="3"/>
  <c r="CH59" i="3"/>
  <c r="CI59" i="3"/>
  <c r="CI60" i="3" s="1"/>
  <c r="CK59" i="3"/>
  <c r="CL59" i="3"/>
  <c r="CM59" i="3"/>
  <c r="CM60" i="3" s="1"/>
  <c r="CN59" i="3"/>
  <c r="CN60" i="3" s="1"/>
  <c r="CP59" i="3"/>
  <c r="CQ59" i="3"/>
  <c r="CR59" i="3"/>
  <c r="CR60" i="3" s="1"/>
  <c r="CS59" i="3"/>
  <c r="CS60" i="3" s="1"/>
  <c r="CT59" i="3"/>
  <c r="CT60" i="3" s="1"/>
  <c r="CU59" i="3"/>
  <c r="CV59" i="3"/>
  <c r="CW59" i="3"/>
  <c r="CW60" i="3" s="1"/>
  <c r="CX59" i="3"/>
  <c r="CX60" i="3" s="1"/>
  <c r="CY59" i="3"/>
  <c r="CY60" i="3" s="1"/>
  <c r="CZ59" i="3"/>
  <c r="DA59" i="3"/>
  <c r="DB59" i="3"/>
  <c r="DB60" i="3" s="1"/>
  <c r="DC59" i="3"/>
  <c r="DC60" i="3" s="1"/>
  <c r="DE59" i="3"/>
  <c r="DF59" i="3"/>
  <c r="DG59" i="3"/>
  <c r="DG60" i="3" s="1"/>
  <c r="DJ59" i="3"/>
  <c r="DK59" i="3"/>
  <c r="DL59" i="3"/>
  <c r="DL60" i="3" s="1"/>
  <c r="T60" i="3"/>
  <c r="U60" i="3"/>
  <c r="V60" i="3"/>
  <c r="W60" i="3"/>
  <c r="Y60" i="3"/>
  <c r="Z60" i="3"/>
  <c r="AA60" i="3"/>
  <c r="AB60" i="3"/>
  <c r="AD60" i="3"/>
  <c r="AE60" i="3"/>
  <c r="AF60" i="3"/>
  <c r="AG60" i="3"/>
  <c r="AI60" i="3"/>
  <c r="AJ60" i="3"/>
  <c r="AK60" i="3"/>
  <c r="AL60" i="3"/>
  <c r="AN60" i="3"/>
  <c r="AO60" i="3"/>
  <c r="AP60" i="3"/>
  <c r="AQ60" i="3"/>
  <c r="AS60" i="3"/>
  <c r="AT60" i="3"/>
  <c r="AU60" i="3"/>
  <c r="AV60" i="3"/>
  <c r="AX60" i="3"/>
  <c r="AY60" i="3"/>
  <c r="AZ60" i="3"/>
  <c r="BA60" i="3"/>
  <c r="BW60" i="3"/>
  <c r="BX60" i="3"/>
  <c r="BY60" i="3"/>
  <c r="BZ60" i="3"/>
  <c r="CH60" i="3"/>
  <c r="CB63" i="3"/>
  <c r="CC63" i="3"/>
  <c r="CD63" i="3"/>
  <c r="CB64" i="3"/>
  <c r="CC64" i="3"/>
  <c r="CD64" i="3"/>
  <c r="CB65" i="3"/>
  <c r="CC65" i="3"/>
  <c r="CD65" i="3"/>
  <c r="CB66" i="3"/>
  <c r="CC66" i="3"/>
  <c r="CD66" i="3"/>
  <c r="CE66" i="3"/>
  <c r="CB67" i="3"/>
  <c r="CC67" i="3"/>
  <c r="CD67" i="3"/>
  <c r="CE67" i="3"/>
  <c r="CG63" i="3"/>
  <c r="CH63" i="3"/>
  <c r="CI63" i="3"/>
  <c r="CG64" i="3"/>
  <c r="CH64" i="3"/>
  <c r="CI64" i="3"/>
  <c r="CG65" i="3"/>
  <c r="CH65" i="3"/>
  <c r="CI65" i="3"/>
  <c r="CG66" i="3"/>
  <c r="CH66" i="3"/>
  <c r="CI66" i="3"/>
  <c r="CJ66" i="3"/>
  <c r="CG67" i="3"/>
  <c r="CH67" i="3"/>
  <c r="CI67" i="3"/>
  <c r="CJ67" i="3"/>
  <c r="CL63" i="3"/>
  <c r="CL64" i="3"/>
  <c r="CM64" i="3"/>
  <c r="CN64" i="3"/>
  <c r="CL65" i="3"/>
  <c r="CM65" i="3"/>
  <c r="CN65" i="3"/>
  <c r="CL66" i="3"/>
  <c r="CM66" i="3"/>
  <c r="CN66" i="3"/>
  <c r="CO66" i="3"/>
  <c r="CL67" i="3"/>
  <c r="CM67" i="3"/>
  <c r="CN67" i="3"/>
  <c r="CO67" i="3"/>
  <c r="CQ63" i="3"/>
  <c r="CR63" i="3"/>
  <c r="CS63" i="3"/>
  <c r="CT63" i="3"/>
  <c r="CQ64" i="3"/>
  <c r="CR64" i="3"/>
  <c r="CS64" i="3"/>
  <c r="CT64" i="3"/>
  <c r="CQ65" i="3"/>
  <c r="CR65" i="3"/>
  <c r="CS65" i="3"/>
  <c r="CQ66" i="3"/>
  <c r="CR66" i="3"/>
  <c r="CS66" i="3"/>
  <c r="CT66" i="3"/>
  <c r="CQ67" i="3"/>
  <c r="CR67" i="3"/>
  <c r="CS67" i="3"/>
  <c r="CT67" i="3"/>
  <c r="CV63" i="3"/>
  <c r="CX63" i="3"/>
  <c r="CY63" i="3"/>
  <c r="CV64" i="3"/>
  <c r="CW64" i="3"/>
  <c r="CX64" i="3"/>
  <c r="CV65" i="3"/>
  <c r="CW65" i="3"/>
  <c r="CX65" i="3"/>
  <c r="CV66" i="3"/>
  <c r="CW66" i="3"/>
  <c r="CX66" i="3"/>
  <c r="CY66" i="3"/>
  <c r="CV67" i="3"/>
  <c r="CW67" i="3"/>
  <c r="CX67" i="3"/>
  <c r="CY67" i="3"/>
  <c r="DA63" i="3"/>
  <c r="DC63" i="3"/>
  <c r="DA64" i="3"/>
  <c r="DB64" i="3"/>
  <c r="DC64" i="3"/>
  <c r="DA65" i="3"/>
  <c r="DB65" i="3"/>
  <c r="DC65" i="3"/>
  <c r="DA66" i="3"/>
  <c r="DB66" i="3"/>
  <c r="DC66" i="3"/>
  <c r="DD66" i="3"/>
  <c r="DA67" i="3"/>
  <c r="DB67" i="3"/>
  <c r="DC67" i="3"/>
  <c r="DD67" i="3"/>
  <c r="DF63" i="3"/>
  <c r="DH63" i="3"/>
  <c r="DF64" i="3"/>
  <c r="DG64" i="3"/>
  <c r="DH64" i="3"/>
  <c r="DF65" i="3"/>
  <c r="DG65" i="3"/>
  <c r="DH65" i="3"/>
  <c r="DF66" i="3"/>
  <c r="DG66" i="3"/>
  <c r="DH66" i="3"/>
  <c r="DI66" i="3"/>
  <c r="DF67" i="3"/>
  <c r="DG67" i="3"/>
  <c r="DH67" i="3"/>
  <c r="DI67" i="3"/>
  <c r="DK63" i="3"/>
  <c r="DM63" i="3"/>
  <c r="DK64" i="3"/>
  <c r="DL64" i="3"/>
  <c r="DM64" i="3"/>
  <c r="DK65" i="3"/>
  <c r="DL65" i="3"/>
  <c r="DM65" i="3"/>
  <c r="DK66" i="3"/>
  <c r="DL66" i="3"/>
  <c r="DM66" i="3"/>
  <c r="DN66" i="3"/>
  <c r="DM67" i="3"/>
  <c r="DP66" i="3"/>
  <c r="DQ66" i="3"/>
  <c r="DR66" i="3"/>
  <c r="DS66" i="3"/>
  <c r="N65" i="3"/>
  <c r="CA63" i="3"/>
  <c r="CA64" i="3"/>
  <c r="CA65" i="3"/>
  <c r="CA66" i="3"/>
  <c r="CA67" i="3"/>
  <c r="CF63" i="3"/>
  <c r="CF64" i="3"/>
  <c r="CF65" i="3"/>
  <c r="CF66" i="3"/>
  <c r="CF67" i="3"/>
  <c r="CK63" i="3"/>
  <c r="CK64" i="3"/>
  <c r="CK65" i="3"/>
  <c r="CK66" i="3"/>
  <c r="CK67" i="3"/>
  <c r="CP64" i="3"/>
  <c r="CP65" i="3"/>
  <c r="CP66" i="3"/>
  <c r="CP67" i="3"/>
  <c r="CU63" i="3"/>
  <c r="CU64" i="3"/>
  <c r="CU65" i="3"/>
  <c r="CU66" i="3"/>
  <c r="CU67" i="3"/>
  <c r="CZ63" i="3"/>
  <c r="CZ64" i="3"/>
  <c r="CZ65" i="3"/>
  <c r="CZ66" i="3"/>
  <c r="CZ67" i="3"/>
  <c r="DE63" i="3"/>
  <c r="DE64" i="3"/>
  <c r="DE65" i="3"/>
  <c r="DE66" i="3"/>
  <c r="DE67" i="3"/>
  <c r="DJ63" i="3"/>
  <c r="DJ64" i="3"/>
  <c r="DJ65" i="3"/>
  <c r="DJ66" i="3"/>
  <c r="DJ67" i="3"/>
  <c r="BL64" i="3"/>
  <c r="AU228" i="4" l="1"/>
  <c r="AU229" i="4"/>
  <c r="V219" i="4"/>
  <c r="F219" i="4"/>
  <c r="AU139" i="4"/>
  <c r="AV139" i="4"/>
  <c r="EC139" i="4"/>
  <c r="AS140" i="4"/>
  <c r="E219" i="4"/>
  <c r="BN202" i="4"/>
  <c r="BM222" i="4"/>
  <c r="AC200" i="4"/>
  <c r="AA185" i="4"/>
  <c r="AM176" i="4"/>
  <c r="AA176" i="4"/>
  <c r="V176" i="4"/>
  <c r="EB154" i="4"/>
  <c r="AU151" i="4"/>
  <c r="AV151" i="4"/>
  <c r="EC151" i="4"/>
  <c r="EC154" i="4" s="1"/>
  <c r="M134" i="4"/>
  <c r="M54" i="9" s="1"/>
  <c r="AS236" i="4"/>
  <c r="AT236" i="4"/>
  <c r="AU236" i="4"/>
  <c r="M44" i="4"/>
  <c r="AT228" i="4"/>
  <c r="AT229" i="4" s="1"/>
  <c r="L156" i="4"/>
  <c r="DL67" i="3"/>
  <c r="AT153" i="4"/>
  <c r="AS153" i="4"/>
  <c r="AS154" i="4" s="1"/>
  <c r="AT253" i="4"/>
  <c r="AT129" i="4"/>
  <c r="AT74" i="4"/>
  <c r="AT154" i="4"/>
  <c r="AR253" i="4"/>
  <c r="AR74" i="4"/>
  <c r="EB145" i="4"/>
  <c r="AU144" i="4"/>
  <c r="AU145" i="4" s="1"/>
  <c r="AV144" i="4"/>
  <c r="AV145" i="4" s="1"/>
  <c r="EC144" i="4"/>
  <c r="EC145" i="4" s="1"/>
  <c r="AU138" i="4"/>
  <c r="EC138" i="4"/>
  <c r="EC140" i="4" s="1"/>
  <c r="AV138" i="4"/>
  <c r="AV140" i="4" s="1"/>
  <c r="M135" i="4"/>
  <c r="M55" i="9" s="1"/>
  <c r="N72" i="4"/>
  <c r="AQ11" i="4"/>
  <c r="AG11" i="4"/>
  <c r="AG18" i="4" s="1"/>
  <c r="W11" i="4"/>
  <c r="M11" i="4"/>
  <c r="M18" i="4" s="1"/>
  <c r="AT62" i="9"/>
  <c r="AT61" i="9" s="1"/>
  <c r="T219" i="4"/>
  <c r="P219" i="4"/>
  <c r="L219" i="4"/>
  <c r="AM219" i="4"/>
  <c r="AS209" i="4"/>
  <c r="AS225" i="4"/>
  <c r="AM200" i="4"/>
  <c r="X200" i="4"/>
  <c r="P154" i="4"/>
  <c r="AT144" i="4"/>
  <c r="AT145" i="4" s="1"/>
  <c r="AT138" i="4"/>
  <c r="AT140" i="4" s="1"/>
  <c r="AT158" i="4" s="1"/>
  <c r="AB37" i="4"/>
  <c r="F39" i="4"/>
  <c r="AS62" i="9"/>
  <c r="AS61" i="9" s="1"/>
  <c r="AY124" i="4"/>
  <c r="AX124" i="4"/>
  <c r="BL93" i="8"/>
  <c r="BL102" i="6"/>
  <c r="I261" i="6"/>
  <c r="E98" i="5"/>
  <c r="E102" i="5"/>
  <c r="AK258" i="5"/>
  <c r="DT223" i="5"/>
  <c r="AM223" i="5" s="1"/>
  <c r="DN221" i="5"/>
  <c r="AT221" i="5"/>
  <c r="AT121" i="4" s="1"/>
  <c r="AT220" i="5"/>
  <c r="AT223" i="5" s="1"/>
  <c r="AL215" i="5"/>
  <c r="CT216" i="5"/>
  <c r="EC210" i="5"/>
  <c r="AU210" i="5"/>
  <c r="AV210" i="5"/>
  <c r="AT209" i="5"/>
  <c r="AT211" i="5" s="1"/>
  <c r="AR139" i="5"/>
  <c r="AJ108" i="5"/>
  <c r="AZ97" i="5"/>
  <c r="AV97" i="5"/>
  <c r="BA97" i="5" s="1"/>
  <c r="AV87" i="5"/>
  <c r="AS11" i="5"/>
  <c r="AV8" i="5"/>
  <c r="AV11" i="5" s="1"/>
  <c r="AL25" i="9"/>
  <c r="AB25" i="9"/>
  <c r="AS8" i="9"/>
  <c r="AX8" i="9" s="1"/>
  <c r="AS223" i="5"/>
  <c r="AS67" i="9" s="1"/>
  <c r="AS66" i="9" s="1"/>
  <c r="EB216" i="5"/>
  <c r="AU215" i="5"/>
  <c r="AU216" i="5" s="1"/>
  <c r="AU62" i="9" s="1"/>
  <c r="AU61" i="9" s="1"/>
  <c r="EC215" i="5"/>
  <c r="EC216" i="5" s="1"/>
  <c r="AV215" i="5"/>
  <c r="AV216" i="5" s="1"/>
  <c r="AV62" i="9" s="1"/>
  <c r="AV61" i="9" s="1"/>
  <c r="AS211" i="5"/>
  <c r="AI150" i="5"/>
  <c r="AI69" i="5" s="1"/>
  <c r="S150" i="5"/>
  <c r="S69" i="5" s="1"/>
  <c r="K150" i="5"/>
  <c r="K69" i="5" s="1"/>
  <c r="E141" i="5"/>
  <c r="AO96" i="5"/>
  <c r="AO102" i="5" s="1"/>
  <c r="M187" i="5"/>
  <c r="BM36" i="4"/>
  <c r="AC271" i="5"/>
  <c r="AK246" i="5"/>
  <c r="AU95" i="5"/>
  <c r="AV95" i="5"/>
  <c r="AV96" i="5" s="1"/>
  <c r="AV98" i="5" s="1"/>
  <c r="AV108" i="5" s="1"/>
  <c r="AB30" i="5"/>
  <c r="AM221" i="5"/>
  <c r="AM121" i="4" s="1"/>
  <c r="X220" i="5"/>
  <c r="DS222" i="5"/>
  <c r="DI222" i="5"/>
  <c r="J223" i="5"/>
  <c r="E223" i="5"/>
  <c r="AU221" i="5"/>
  <c r="AU121" i="4" s="1"/>
  <c r="EC221" i="5"/>
  <c r="AV221" i="5"/>
  <c r="AV121" i="4" s="1"/>
  <c r="AU220" i="5"/>
  <c r="EC220" i="5"/>
  <c r="EC223" i="5" s="1"/>
  <c r="EC225" i="5" s="1"/>
  <c r="AV220" i="5"/>
  <c r="DX220" i="5"/>
  <c r="DG216" i="5"/>
  <c r="AN216" i="5"/>
  <c r="T216" i="5"/>
  <c r="EC209" i="5"/>
  <c r="EC211" i="5" s="1"/>
  <c r="AU209" i="5"/>
  <c r="AU211" i="5" s="1"/>
  <c r="AV209" i="5"/>
  <c r="AV211" i="5" s="1"/>
  <c r="AL153" i="5"/>
  <c r="AL70" i="5" s="1"/>
  <c r="J153" i="5"/>
  <c r="J70" i="5" s="1"/>
  <c r="AF150" i="5"/>
  <c r="AF69" i="5" s="1"/>
  <c r="X150" i="5"/>
  <c r="X69" i="5" s="1"/>
  <c r="X35" i="2" s="1"/>
  <c r="P150" i="5"/>
  <c r="P69" i="5" s="1"/>
  <c r="N133" i="5"/>
  <c r="AG87" i="5"/>
  <c r="M87" i="5"/>
  <c r="N32" i="5"/>
  <c r="N251" i="5" s="1"/>
  <c r="N264" i="5" s="1"/>
  <c r="AZ97" i="4"/>
  <c r="BI97" i="4"/>
  <c r="AS16" i="9"/>
  <c r="AX9" i="9"/>
  <c r="AX15" i="4" s="1"/>
  <c r="AY97" i="4"/>
  <c r="AU16" i="9"/>
  <c r="AZ9" i="9"/>
  <c r="AW43" i="9"/>
  <c r="CC35" i="2"/>
  <c r="BN138" i="8"/>
  <c r="BM137" i="8"/>
  <c r="BN177" i="7"/>
  <c r="BM176" i="7"/>
  <c r="BQ152" i="4"/>
  <c r="BM252" i="4"/>
  <c r="BM125" i="4"/>
  <c r="BN32" i="10"/>
  <c r="BL32" i="10"/>
  <c r="BK32" i="10"/>
  <c r="BM32" i="10"/>
  <c r="BO32" i="10"/>
  <c r="AF17" i="6"/>
  <c r="T17" i="6"/>
  <c r="AD141" i="6"/>
  <c r="AD66" i="6" s="1"/>
  <c r="K100" i="6"/>
  <c r="F100" i="6"/>
  <c r="I96" i="4"/>
  <c r="AU17" i="6"/>
  <c r="BA147" i="6"/>
  <c r="AB135" i="6"/>
  <c r="AB146" i="5" s="1"/>
  <c r="P135" i="6"/>
  <c r="H135" i="6"/>
  <c r="F135" i="6"/>
  <c r="X125" i="6"/>
  <c r="X60" i="6" s="1"/>
  <c r="AE135" i="6"/>
  <c r="AC135" i="6"/>
  <c r="Y135" i="6"/>
  <c r="Y146" i="5" s="1"/>
  <c r="W135" i="6"/>
  <c r="S135" i="6"/>
  <c r="S136" i="6" s="1"/>
  <c r="Q135" i="6"/>
  <c r="O135" i="6"/>
  <c r="K135" i="6"/>
  <c r="I135" i="6"/>
  <c r="T100" i="6"/>
  <c r="AO100" i="6"/>
  <c r="K87" i="6"/>
  <c r="S31" i="6"/>
  <c r="S29" i="4"/>
  <c r="X96" i="4"/>
  <c r="E31" i="6"/>
  <c r="E32" i="6" s="1"/>
  <c r="AK17" i="6"/>
  <c r="J17" i="6"/>
  <c r="BF141" i="6"/>
  <c r="AJ108" i="6"/>
  <c r="AS23" i="6"/>
  <c r="AS25" i="6" s="1"/>
  <c r="AE31" i="6"/>
  <c r="AE38" i="6" s="1"/>
  <c r="T25" i="6"/>
  <c r="T29" i="4" s="1"/>
  <c r="T28" i="3" s="1"/>
  <c r="Q23" i="6"/>
  <c r="Q25" i="6" s="1"/>
  <c r="Q29" i="4" s="1"/>
  <c r="G23" i="6"/>
  <c r="G25" i="6" s="1"/>
  <c r="G29" i="4" s="1"/>
  <c r="AH86" i="6"/>
  <c r="AH87" i="6" s="1"/>
  <c r="AH108" i="6" s="1"/>
  <c r="AH100" i="6"/>
  <c r="AC86" i="6"/>
  <c r="AC87" i="6" s="1"/>
  <c r="AC108" i="6" s="1"/>
  <c r="BJ66" i="6"/>
  <c r="BI66" i="6" s="1"/>
  <c r="BK141" i="6"/>
  <c r="AY68" i="6"/>
  <c r="AZ147" i="6"/>
  <c r="AZ146" i="6" s="1"/>
  <c r="AZ22" i="6" s="1"/>
  <c r="AZ66" i="6"/>
  <c r="AZ141" i="6" s="1"/>
  <c r="AZ140" i="6" s="1"/>
  <c r="BA141" i="6"/>
  <c r="AS31" i="6"/>
  <c r="AS38" i="6" s="1"/>
  <c r="AS29" i="4"/>
  <c r="AS28" i="3" s="1"/>
  <c r="U17" i="6"/>
  <c r="U23" i="6"/>
  <c r="U25" i="6" s="1"/>
  <c r="L17" i="6"/>
  <c r="L23" i="6"/>
  <c r="L25" i="6" s="1"/>
  <c r="L29" i="4" s="1"/>
  <c r="L28" i="3" s="1"/>
  <c r="E17" i="6"/>
  <c r="P96" i="6"/>
  <c r="P106" i="6" s="1"/>
  <c r="P98" i="6"/>
  <c r="P59" i="6" s="1"/>
  <c r="P100" i="6"/>
  <c r="K96" i="6"/>
  <c r="K98" i="6"/>
  <c r="K59" i="6" s="1"/>
  <c r="AU20" i="9"/>
  <c r="AZ20" i="9" s="1"/>
  <c r="AN20" i="9"/>
  <c r="AF16" i="9"/>
  <c r="AD9" i="9"/>
  <c r="AD16" i="9" s="1"/>
  <c r="Y9" i="9"/>
  <c r="Y16" i="9" s="1"/>
  <c r="O9" i="9"/>
  <c r="O10" i="9" s="1"/>
  <c r="AU8" i="9"/>
  <c r="AP8" i="9"/>
  <c r="AP10" i="9" s="1"/>
  <c r="Q8" i="9"/>
  <c r="L8" i="9"/>
  <c r="J8" i="9"/>
  <c r="G8" i="9"/>
  <c r="E8" i="9"/>
  <c r="E10" i="9" s="1"/>
  <c r="AT160" i="6"/>
  <c r="Z160" i="6"/>
  <c r="F160" i="6"/>
  <c r="AL141" i="6"/>
  <c r="AL66" i="6" s="1"/>
  <c r="AH141" i="6"/>
  <c r="AH66" i="6" s="1"/>
  <c r="AB141" i="6"/>
  <c r="AB66" i="6" s="1"/>
  <c r="R141" i="6"/>
  <c r="R66" i="6" s="1"/>
  <c r="AA135" i="6"/>
  <c r="AA146" i="5" s="1"/>
  <c r="I106" i="6"/>
  <c r="X100" i="6"/>
  <c r="AF25" i="6"/>
  <c r="AF29" i="4" s="1"/>
  <c r="AF28" i="3" s="1"/>
  <c r="AP17" i="6"/>
  <c r="V25" i="6"/>
  <c r="V29" i="4" s="1"/>
  <c r="V28" i="3" s="1"/>
  <c r="AK31" i="6"/>
  <c r="AK32" i="6" s="1"/>
  <c r="AK29" i="4"/>
  <c r="AK28" i="3" s="1"/>
  <c r="AL174" i="6"/>
  <c r="AD147" i="6"/>
  <c r="AD68" i="6" s="1"/>
  <c r="N147" i="6"/>
  <c r="N68" i="6" s="1"/>
  <c r="P144" i="6"/>
  <c r="P67" i="6" s="1"/>
  <c r="AA115" i="6"/>
  <c r="AX86" i="6"/>
  <c r="BC86" i="6" s="1"/>
  <c r="BH86" i="6" s="1"/>
  <c r="AO87" i="6"/>
  <c r="AO108" i="6" s="1"/>
  <c r="J31" i="6"/>
  <c r="J38" i="6" s="1"/>
  <c r="T31" i="6"/>
  <c r="T32" i="6" s="1"/>
  <c r="O31" i="6"/>
  <c r="AU31" i="6"/>
  <c r="AU32" i="6" s="1"/>
  <c r="AN17" i="6"/>
  <c r="O17" i="6"/>
  <c r="V147" i="6"/>
  <c r="V68" i="6" s="1"/>
  <c r="AO144" i="6"/>
  <c r="AO67" i="6" s="1"/>
  <c r="AT144" i="6"/>
  <c r="AT67" i="6" s="1"/>
  <c r="AR144" i="6"/>
  <c r="AR67" i="6" s="1"/>
  <c r="AN141" i="6"/>
  <c r="AN66" i="6" s="1"/>
  <c r="AS141" i="6"/>
  <c r="AS66" i="6" s="1"/>
  <c r="N141" i="6"/>
  <c r="N66" i="6" s="1"/>
  <c r="L141" i="6"/>
  <c r="L66" i="6" s="1"/>
  <c r="N136" i="6"/>
  <c r="J136" i="6"/>
  <c r="Z115" i="6"/>
  <c r="AR96" i="6"/>
  <c r="AR106" i="6" s="1"/>
  <c r="AW98" i="6"/>
  <c r="AW59" i="6" s="1"/>
  <c r="AF98" i="6"/>
  <c r="AF59" i="6" s="1"/>
  <c r="AS87" i="6"/>
  <c r="AS108" i="6" s="1"/>
  <c r="AF108" i="6"/>
  <c r="N100" i="6"/>
  <c r="P31" i="6"/>
  <c r="P38" i="6" s="1"/>
  <c r="F31" i="6"/>
  <c r="F32" i="6" s="1"/>
  <c r="K25" i="6"/>
  <c r="F17" i="6"/>
  <c r="AW250" i="6"/>
  <c r="AW253" i="6"/>
  <c r="AL108" i="8"/>
  <c r="AL59" i="8" s="1"/>
  <c r="AV205" i="8"/>
  <c r="AV218" i="8" s="1"/>
  <c r="Y24" i="8"/>
  <c r="Y25" i="8" s="1"/>
  <c r="E24" i="8"/>
  <c r="E25" i="8" s="1"/>
  <c r="U111" i="8"/>
  <c r="U60" i="8" s="1"/>
  <c r="AQ108" i="8"/>
  <c r="AQ59" i="8" s="1"/>
  <c r="AV108" i="8"/>
  <c r="AV59" i="8" s="1"/>
  <c r="W108" i="8"/>
  <c r="W59" i="8" s="1"/>
  <c r="AO105" i="8"/>
  <c r="AO58" i="8" s="1"/>
  <c r="AT105" i="8"/>
  <c r="AT58" i="8" s="1"/>
  <c r="AE97" i="8"/>
  <c r="I31" i="8"/>
  <c r="I63" i="8" s="1"/>
  <c r="AC24" i="8"/>
  <c r="AC31" i="8" s="1"/>
  <c r="AC62" i="8" s="1"/>
  <c r="AW214" i="8"/>
  <c r="AW217" i="8"/>
  <c r="L144" i="7"/>
  <c r="L70" i="7" s="1"/>
  <c r="N32" i="7"/>
  <c r="I32" i="7"/>
  <c r="I244" i="7" s="1"/>
  <c r="I27" i="4"/>
  <c r="AG137" i="7"/>
  <c r="Q137" i="7"/>
  <c r="J111" i="7"/>
  <c r="U32" i="7"/>
  <c r="AJ18" i="7"/>
  <c r="AH26" i="7"/>
  <c r="AE18" i="7"/>
  <c r="AC26" i="7"/>
  <c r="AC27" i="4" s="1"/>
  <c r="X26" i="7"/>
  <c r="X27" i="4" s="1"/>
  <c r="O26" i="7"/>
  <c r="O27" i="4" s="1"/>
  <c r="AP144" i="7"/>
  <c r="AP70" i="7" s="1"/>
  <c r="Z144" i="7"/>
  <c r="Z70" i="7" s="1"/>
  <c r="R144" i="7"/>
  <c r="R70" i="7" s="1"/>
  <c r="N144" i="7"/>
  <c r="N70" i="7" s="1"/>
  <c r="X103" i="7"/>
  <c r="AC109" i="7"/>
  <c r="E103" i="7"/>
  <c r="F32" i="7"/>
  <c r="N33" i="7"/>
  <c r="N39" i="7"/>
  <c r="N75" i="7" s="1"/>
  <c r="N244" i="7"/>
  <c r="Q26" i="7"/>
  <c r="Q27" i="4" s="1"/>
  <c r="AQ94" i="4"/>
  <c r="AI94" i="4"/>
  <c r="AE94" i="4"/>
  <c r="L109" i="7"/>
  <c r="K32" i="7"/>
  <c r="K33" i="7" s="1"/>
  <c r="AM26" i="7"/>
  <c r="X32" i="7"/>
  <c r="X244" i="7" s="1"/>
  <c r="X257" i="7" s="1"/>
  <c r="V26" i="7"/>
  <c r="L26" i="7"/>
  <c r="L27" i="4" s="1"/>
  <c r="L26" i="3" s="1"/>
  <c r="BF150" i="7"/>
  <c r="L150" i="7"/>
  <c r="L72" i="7" s="1"/>
  <c r="AK147" i="7"/>
  <c r="AK71" i="7" s="1"/>
  <c r="AI147" i="7"/>
  <c r="AI71" i="7" s="1"/>
  <c r="AG147" i="7"/>
  <c r="AG71" i="7" s="1"/>
  <c r="AC147" i="7"/>
  <c r="AC71" i="7" s="1"/>
  <c r="Y147" i="7"/>
  <c r="Y71" i="7" s="1"/>
  <c r="U147" i="7"/>
  <c r="U71" i="7" s="1"/>
  <c r="S147" i="7"/>
  <c r="S71" i="7" s="1"/>
  <c r="E109" i="7"/>
  <c r="AD103" i="7"/>
  <c r="Q103" i="7"/>
  <c r="K109" i="7"/>
  <c r="AN90" i="7"/>
  <c r="AN111" i="7" s="1"/>
  <c r="K111" i="7"/>
  <c r="AO90" i="7"/>
  <c r="AO111" i="7" s="1"/>
  <c r="Z103" i="7"/>
  <c r="F90" i="7"/>
  <c r="F111" i="7" s="1"/>
  <c r="K112" i="7" s="1"/>
  <c r="P39" i="7"/>
  <c r="J32" i="7"/>
  <c r="AE26" i="7"/>
  <c r="AK24" i="7"/>
  <c r="AK26" i="7" s="1"/>
  <c r="AK27" i="4" s="1"/>
  <c r="AK26" i="3" s="1"/>
  <c r="AI24" i="7"/>
  <c r="AI26" i="7" s="1"/>
  <c r="AI27" i="4" s="1"/>
  <c r="AI26" i="3" s="1"/>
  <c r="AA24" i="7"/>
  <c r="AA26" i="7" s="1"/>
  <c r="AA27" i="4" s="1"/>
  <c r="AA26" i="3" s="1"/>
  <c r="Y24" i="7"/>
  <c r="Y26" i="7" s="1"/>
  <c r="Y27" i="4" s="1"/>
  <c r="Y26" i="3" s="1"/>
  <c r="AF18" i="7"/>
  <c r="G32" i="7"/>
  <c r="G33" i="7" s="1"/>
  <c r="G27" i="4"/>
  <c r="AM32" i="7"/>
  <c r="AM39" i="7" s="1"/>
  <c r="AM27" i="4"/>
  <c r="AH32" i="7"/>
  <c r="AH27" i="4"/>
  <c r="V32" i="7"/>
  <c r="V27" i="4"/>
  <c r="V26" i="3" s="1"/>
  <c r="AR89" i="7"/>
  <c r="AR90" i="7" s="1"/>
  <c r="AR103" i="7"/>
  <c r="AJ89" i="7"/>
  <c r="AJ90" i="7" s="1"/>
  <c r="AJ103" i="7"/>
  <c r="P90" i="7"/>
  <c r="BI70" i="7"/>
  <c r="BJ144" i="7"/>
  <c r="BD70" i="7"/>
  <c r="BE144" i="7"/>
  <c r="N43" i="7"/>
  <c r="N47" i="7" s="1"/>
  <c r="N74" i="7"/>
  <c r="AA32" i="7"/>
  <c r="AA33" i="7" s="1"/>
  <c r="L32" i="7"/>
  <c r="L33" i="7" s="1"/>
  <c r="Q32" i="7"/>
  <c r="O32" i="7"/>
  <c r="AF32" i="7"/>
  <c r="AD18" i="7"/>
  <c r="AD24" i="7"/>
  <c r="AD26" i="7" s="1"/>
  <c r="AD27" i="4" s="1"/>
  <c r="AD26" i="3" s="1"/>
  <c r="Z18" i="7"/>
  <c r="Z26" i="7"/>
  <c r="E26" i="7"/>
  <c r="E27" i="4" s="1"/>
  <c r="AA98" i="4"/>
  <c r="K98" i="4"/>
  <c r="F94" i="4"/>
  <c r="F98" i="4" s="1"/>
  <c r="AA163" i="7"/>
  <c r="BE150" i="7"/>
  <c r="AK150" i="7"/>
  <c r="AK72" i="7" s="1"/>
  <c r="AG150" i="7"/>
  <c r="AG72" i="7" s="1"/>
  <c r="AJ150" i="7"/>
  <c r="AJ72" i="7" s="1"/>
  <c r="AC150" i="7"/>
  <c r="AC72" i="7" s="1"/>
  <c r="Y150" i="7"/>
  <c r="Y72" i="7" s="1"/>
  <c r="AB150" i="7"/>
  <c r="AB72" i="7" s="1"/>
  <c r="U150" i="7"/>
  <c r="U72" i="7" s="1"/>
  <c r="Q150" i="7"/>
  <c r="Q72" i="7" s="1"/>
  <c r="M150" i="7"/>
  <c r="M72" i="7" s="1"/>
  <c r="J150" i="7"/>
  <c r="J72" i="7" s="1"/>
  <c r="BA147" i="7"/>
  <c r="BK144" i="7"/>
  <c r="BF144" i="7"/>
  <c r="AK137" i="7"/>
  <c r="AC137" i="7"/>
  <c r="Y118" i="7"/>
  <c r="U137" i="7"/>
  <c r="U138" i="7" s="1"/>
  <c r="O137" i="7"/>
  <c r="AT103" i="7"/>
  <c r="AO99" i="7"/>
  <c r="AO109" i="7" s="1"/>
  <c r="AT101" i="7"/>
  <c r="AT60" i="7" s="1"/>
  <c r="N99" i="7"/>
  <c r="N101" i="7"/>
  <c r="N60" i="7" s="1"/>
  <c r="I103" i="7"/>
  <c r="AC90" i="7"/>
  <c r="S90" i="7"/>
  <c r="S111" i="7" s="1"/>
  <c r="AN39" i="7"/>
  <c r="AN74" i="7" s="1"/>
  <c r="I33" i="7"/>
  <c r="I39" i="7"/>
  <c r="AR32" i="7"/>
  <c r="AR244" i="7" s="1"/>
  <c r="AR257" i="7" s="1"/>
  <c r="R24" i="7"/>
  <c r="M147" i="7"/>
  <c r="M71" i="7" s="1"/>
  <c r="K147" i="7"/>
  <c r="K71" i="7" s="1"/>
  <c r="Z101" i="7"/>
  <c r="Z60" i="7" s="1"/>
  <c r="AK32" i="7"/>
  <c r="AI32" i="7"/>
  <c r="AI33" i="7" s="1"/>
  <c r="AC32" i="7"/>
  <c r="AC39" i="7" s="1"/>
  <c r="AC74" i="7" s="1"/>
  <c r="AU26" i="7"/>
  <c r="AD98" i="4"/>
  <c r="AP94" i="4"/>
  <c r="AP98" i="4" s="1"/>
  <c r="P94" i="4"/>
  <c r="E94" i="4"/>
  <c r="AB180" i="7"/>
  <c r="H180" i="7"/>
  <c r="AO150" i="7"/>
  <c r="AO72" i="7" s="1"/>
  <c r="AT150" i="7"/>
  <c r="AT72" i="7" s="1"/>
  <c r="AO147" i="7"/>
  <c r="AO71" i="7" s="1"/>
  <c r="AT147" i="7"/>
  <c r="AT71" i="7" s="1"/>
  <c r="M138" i="7"/>
  <c r="AM137" i="7"/>
  <c r="AM138" i="7" s="1"/>
  <c r="AI137" i="7"/>
  <c r="AI138" i="7" s="1"/>
  <c r="AA137" i="7"/>
  <c r="AA138" i="7" s="1"/>
  <c r="S137" i="7"/>
  <c r="S138" i="7" s="1"/>
  <c r="AA109" i="7"/>
  <c r="AX89" i="7"/>
  <c r="BC89" i="7" s="1"/>
  <c r="BH89" i="7" s="1"/>
  <c r="AV89" i="7"/>
  <c r="AV90" i="7" s="1"/>
  <c r="AV111" i="7" s="1"/>
  <c r="X39" i="7"/>
  <c r="X74" i="7" s="1"/>
  <c r="T150" i="7"/>
  <c r="T72" i="7" s="1"/>
  <c r="AL144" i="7"/>
  <c r="AL70" i="7" s="1"/>
  <c r="AD144" i="7"/>
  <c r="AD70" i="7" s="1"/>
  <c r="AB144" i="7"/>
  <c r="AB70" i="7" s="1"/>
  <c r="V144" i="7"/>
  <c r="V70" i="7" s="1"/>
  <c r="J144" i="7"/>
  <c r="J70" i="7" s="1"/>
  <c r="AR125" i="7"/>
  <c r="AR129" i="7" s="1"/>
  <c r="AW127" i="7"/>
  <c r="AW61" i="7" s="1"/>
  <c r="X127" i="7"/>
  <c r="X61" i="7" s="1"/>
  <c r="Z118" i="7"/>
  <c r="AR99" i="7"/>
  <c r="AW101" i="7"/>
  <c r="AW60" i="7" s="1"/>
  <c r="O111" i="7"/>
  <c r="O112" i="7" s="1"/>
  <c r="AY97" i="7"/>
  <c r="AY101" i="7" s="1"/>
  <c r="E32" i="7"/>
  <c r="E33" i="7" s="1"/>
  <c r="AD32" i="7"/>
  <c r="T32" i="7"/>
  <c r="T33" i="7" s="1"/>
  <c r="AW253" i="7"/>
  <c r="AW256" i="7"/>
  <c r="AO153" i="5"/>
  <c r="AO70" i="5" s="1"/>
  <c r="AH153" i="5"/>
  <c r="AH70" i="5" s="1"/>
  <c r="AK153" i="5"/>
  <c r="AK70" i="5" s="1"/>
  <c r="AD153" i="5"/>
  <c r="AD70" i="5" s="1"/>
  <c r="AG153" i="5"/>
  <c r="AG70" i="5" s="1"/>
  <c r="Z153" i="5"/>
  <c r="Z70" i="5" s="1"/>
  <c r="AC153" i="5"/>
  <c r="AC70" i="5" s="1"/>
  <c r="V153" i="5"/>
  <c r="V70" i="5" s="1"/>
  <c r="Y153" i="5"/>
  <c r="Y70" i="5" s="1"/>
  <c r="R153" i="5"/>
  <c r="R70" i="5" s="1"/>
  <c r="N153" i="5"/>
  <c r="N70" i="5" s="1"/>
  <c r="L153" i="5"/>
  <c r="L70" i="5" s="1"/>
  <c r="M153" i="5"/>
  <c r="M70" i="5" s="1"/>
  <c r="AP108" i="5"/>
  <c r="BB98" i="4"/>
  <c r="Z156" i="5"/>
  <c r="Z71" i="5" s="1"/>
  <c r="AJ156" i="5"/>
  <c r="AJ71" i="5" s="1"/>
  <c r="AF156" i="5"/>
  <c r="AF71" i="5" s="1"/>
  <c r="T156" i="5"/>
  <c r="T71" i="5" s="1"/>
  <c r="P156" i="5"/>
  <c r="P71" i="5" s="1"/>
  <c r="AM153" i="5"/>
  <c r="AM70" i="5" s="1"/>
  <c r="AI153" i="5"/>
  <c r="AI70" i="5" s="1"/>
  <c r="W153" i="5"/>
  <c r="W70" i="5" s="1"/>
  <c r="AN150" i="5"/>
  <c r="AN69" i="5" s="1"/>
  <c r="AS150" i="5"/>
  <c r="U142" i="5"/>
  <c r="L121" i="5"/>
  <c r="L127" i="5" s="1"/>
  <c r="AR100" i="5"/>
  <c r="AR60" i="5" s="1"/>
  <c r="AR29" i="2" s="1"/>
  <c r="AW100" i="5"/>
  <c r="AW60" i="5" s="1"/>
  <c r="AW29" i="2" s="1"/>
  <c r="P110" i="5"/>
  <c r="AA110" i="5"/>
  <c r="AT102" i="5"/>
  <c r="F102" i="5"/>
  <c r="AL187" i="5"/>
  <c r="AP153" i="5"/>
  <c r="AP70" i="5" s="1"/>
  <c r="AU153" i="5"/>
  <c r="AS153" i="5"/>
  <c r="AS70" i="5" s="1"/>
  <c r="X139" i="5"/>
  <c r="AP141" i="5"/>
  <c r="AP146" i="5" s="1"/>
  <c r="AA141" i="5"/>
  <c r="Q141" i="5"/>
  <c r="I141" i="5"/>
  <c r="K108" i="5"/>
  <c r="F108" i="5"/>
  <c r="G110" i="5"/>
  <c r="AF110" i="5"/>
  <c r="AS102" i="5"/>
  <c r="AD102" i="5"/>
  <c r="U18" i="5"/>
  <c r="K18" i="5"/>
  <c r="H141" i="5"/>
  <c r="DJ14" i="3"/>
  <c r="AR67" i="3" s="1"/>
  <c r="DE14" i="3"/>
  <c r="CA14" i="3"/>
  <c r="AJ18" i="4"/>
  <c r="AF18" i="4"/>
  <c r="AO146" i="5"/>
  <c r="U39" i="4"/>
  <c r="U40" i="4" s="1"/>
  <c r="AS39" i="4"/>
  <c r="AN39" i="4"/>
  <c r="AN40" i="4" s="1"/>
  <c r="AO18" i="4"/>
  <c r="AD18" i="4"/>
  <c r="Y18" i="4"/>
  <c r="K18" i="4"/>
  <c r="T46" i="4"/>
  <c r="AR39" i="4"/>
  <c r="AR234" i="4" s="1"/>
  <c r="AR247" i="4" s="1"/>
  <c r="DJ29" i="3" s="1"/>
  <c r="Z98" i="4"/>
  <c r="J98" i="4"/>
  <c r="T117" i="4"/>
  <c r="K39" i="4"/>
  <c r="AM31" i="4"/>
  <c r="AE24" i="4"/>
  <c r="AE31" i="4" s="1"/>
  <c r="P24" i="4"/>
  <c r="P31" i="4" s="1"/>
  <c r="N24" i="4"/>
  <c r="N31" i="4" s="1"/>
  <c r="E24" i="4"/>
  <c r="E31" i="4" s="1"/>
  <c r="AS18" i="4"/>
  <c r="AM18" i="4"/>
  <c r="T18" i="4"/>
  <c r="I18" i="4"/>
  <c r="E18" i="4"/>
  <c r="AN46" i="4"/>
  <c r="AN50" i="4" s="1"/>
  <c r="AN54" i="4" s="1"/>
  <c r="AM128" i="4"/>
  <c r="BG98" i="4"/>
  <c r="AS40" i="4"/>
  <c r="AH39" i="4"/>
  <c r="AD39" i="4"/>
  <c r="AD46" i="4" s="1"/>
  <c r="AI39" i="4"/>
  <c r="S128" i="4"/>
  <c r="BL98" i="4"/>
  <c r="V98" i="4"/>
  <c r="AT9" i="9"/>
  <c r="AU18" i="9"/>
  <c r="AS18" i="9"/>
  <c r="AS22" i="9" s="1"/>
  <c r="AS10" i="9"/>
  <c r="AL18" i="4"/>
  <c r="J10" i="9"/>
  <c r="AV254" i="4"/>
  <c r="AV255" i="4" s="1"/>
  <c r="AW246" i="4"/>
  <c r="AW243" i="4"/>
  <c r="CK14" i="3"/>
  <c r="S67" i="3" s="1"/>
  <c r="DF60" i="3"/>
  <c r="DA60" i="3"/>
  <c r="CV60" i="3"/>
  <c r="CQ60" i="3"/>
  <c r="CL60" i="3"/>
  <c r="CG60" i="3"/>
  <c r="CB60" i="3"/>
  <c r="CU14" i="3"/>
  <c r="CU19" i="3" s="1"/>
  <c r="CZ14" i="3"/>
  <c r="AH67" i="3" s="1"/>
  <c r="CF14" i="3"/>
  <c r="N67" i="3" s="1"/>
  <c r="CX91" i="10"/>
  <c r="CW91" i="10"/>
  <c r="DA91" i="10"/>
  <c r="CV91" i="10"/>
  <c r="L40" i="10"/>
  <c r="F128" i="10"/>
  <c r="AZ98" i="10"/>
  <c r="AV98" i="10" s="1"/>
  <c r="L103" i="10"/>
  <c r="CX103" i="10"/>
  <c r="CV103" i="10"/>
  <c r="CS103" i="10"/>
  <c r="CQ103" i="10"/>
  <c r="CN103" i="10"/>
  <c r="CL103" i="10"/>
  <c r="CI103" i="10"/>
  <c r="CG103" i="10"/>
  <c r="CD103" i="10"/>
  <c r="CB103" i="10"/>
  <c r="BY103" i="10"/>
  <c r="BW103" i="10"/>
  <c r="BT103" i="10"/>
  <c r="BR103" i="10"/>
  <c r="AU103" i="10"/>
  <c r="AG98" i="10"/>
  <c r="AK103" i="10"/>
  <c r="W98" i="10"/>
  <c r="AA103" i="10"/>
  <c r="M98" i="10"/>
  <c r="Q103" i="10"/>
  <c r="CY103" i="10"/>
  <c r="CW103" i="10"/>
  <c r="CT103" i="10"/>
  <c r="CR103" i="10"/>
  <c r="CO103" i="10"/>
  <c r="CM103" i="10"/>
  <c r="CJ103" i="10"/>
  <c r="CH103" i="10"/>
  <c r="CE103" i="10"/>
  <c r="CC103" i="10"/>
  <c r="BZ103" i="10"/>
  <c r="BX103" i="10"/>
  <c r="BU103" i="10"/>
  <c r="BS103" i="10"/>
  <c r="BV98" i="10"/>
  <c r="BQ103" i="10"/>
  <c r="BA98" i="10"/>
  <c r="BE103" i="10"/>
  <c r="AP103" i="10"/>
  <c r="AF103" i="10"/>
  <c r="T98" i="10"/>
  <c r="V103" i="10"/>
  <c r="L75" i="10"/>
  <c r="AN128" i="10"/>
  <c r="Y23" i="10"/>
  <c r="CG180" i="10"/>
  <c r="BY175" i="10"/>
  <c r="AF175" i="10"/>
  <c r="X117" i="10"/>
  <c r="AJ99" i="10"/>
  <c r="AR90" i="10"/>
  <c r="AX86" i="10"/>
  <c r="AH86" i="10"/>
  <c r="DF180" i="10"/>
  <c r="DC180" i="10"/>
  <c r="CX180" i="10"/>
  <c r="CI180" i="10"/>
  <c r="AV179" i="10"/>
  <c r="BI178" i="10"/>
  <c r="AR178" i="10"/>
  <c r="T69" i="10"/>
  <c r="O69" i="10"/>
  <c r="BA60" i="10"/>
  <c r="DL175" i="10"/>
  <c r="CW175" i="10"/>
  <c r="CC175" i="10"/>
  <c r="BX175" i="10"/>
  <c r="AX151" i="10"/>
  <c r="AI135" i="10"/>
  <c r="AM122" i="10"/>
  <c r="AN121" i="10"/>
  <c r="AI117" i="10"/>
  <c r="X115" i="10"/>
  <c r="U100" i="10"/>
  <c r="AT92" i="10"/>
  <c r="AM84" i="10"/>
  <c r="AY37" i="10"/>
  <c r="AW37" i="10"/>
  <c r="BH154" i="10"/>
  <c r="AT154" i="10"/>
  <c r="V156" i="10"/>
  <c r="AM125" i="10"/>
  <c r="AO162" i="10"/>
  <c r="AC162" i="10"/>
  <c r="AJ161" i="10"/>
  <c r="U161" i="10"/>
  <c r="AT135" i="10"/>
  <c r="BG133" i="10"/>
  <c r="O133" i="10"/>
  <c r="DO100" i="10"/>
  <c r="T100" i="10"/>
  <c r="AI99" i="10"/>
  <c r="AD99" i="10"/>
  <c r="O99" i="10"/>
  <c r="Y70" i="10"/>
  <c r="BD69" i="10"/>
  <c r="AQ69" i="10"/>
  <c r="AN69" i="10"/>
  <c r="O63" i="10"/>
  <c r="AJ62" i="10"/>
  <c r="BB56" i="10"/>
  <c r="BX40" i="10"/>
  <c r="AX37" i="10"/>
  <c r="AC37" i="10"/>
  <c r="AS35" i="10"/>
  <c r="AN162" i="10"/>
  <c r="DJ99" i="10"/>
  <c r="DO99" i="10" s="1"/>
  <c r="DT99" i="10" s="1"/>
  <c r="CD75" i="10"/>
  <c r="BC69" i="10"/>
  <c r="BC30" i="10"/>
  <c r="BJ180" i="10"/>
  <c r="BI179" i="10"/>
  <c r="P178" i="10"/>
  <c r="DI175" i="10"/>
  <c r="DD175" i="10"/>
  <c r="CO175" i="10"/>
  <c r="CJ175" i="10"/>
  <c r="BU175" i="10"/>
  <c r="U153" i="10"/>
  <c r="AT152" i="10"/>
  <c r="AW151" i="10"/>
  <c r="BH148" i="10"/>
  <c r="AX123" i="10"/>
  <c r="AM121" i="10"/>
  <c r="X119" i="10"/>
  <c r="AH117" i="10"/>
  <c r="AW116" i="10"/>
  <c r="U91" i="10"/>
  <c r="X90" i="10"/>
  <c r="T90" i="10"/>
  <c r="O90" i="10"/>
  <c r="CD94" i="10"/>
  <c r="BC87" i="10"/>
  <c r="AM87" i="10"/>
  <c r="AI87" i="10"/>
  <c r="BI85" i="10"/>
  <c r="AS85" i="10"/>
  <c r="AC85" i="10"/>
  <c r="AJ59" i="10"/>
  <c r="AX57" i="10"/>
  <c r="AI54" i="10"/>
  <c r="T54" i="10"/>
  <c r="BI51" i="10"/>
  <c r="AC51" i="10"/>
  <c r="AI50" i="10"/>
  <c r="AH30" i="10"/>
  <c r="AQ25" i="10"/>
  <c r="BH22" i="10"/>
  <c r="AQ22" i="10"/>
  <c r="S22" i="10"/>
  <c r="S153" i="10"/>
  <c r="AW123" i="10"/>
  <c r="CH94" i="10"/>
  <c r="AI62" i="10"/>
  <c r="AE62" i="10"/>
  <c r="AY61" i="10"/>
  <c r="BG51" i="10"/>
  <c r="BV98" i="4"/>
  <c r="CD40" i="10"/>
  <c r="CB40" i="10"/>
  <c r="AS124" i="8"/>
  <c r="AW122" i="8"/>
  <c r="AW124" i="8" s="1"/>
  <c r="AW161" i="7"/>
  <c r="AW163" i="7" s="1"/>
  <c r="AW167" i="5"/>
  <c r="AW169" i="5" s="1"/>
  <c r="AT93" i="4"/>
  <c r="AS96" i="4"/>
  <c r="AW54" i="5"/>
  <c r="AW49" i="5"/>
  <c r="AW55" i="5" s="1"/>
  <c r="DK60" i="3"/>
  <c r="BK222" i="4"/>
  <c r="BE222" i="4"/>
  <c r="AZ222" i="4"/>
  <c r="AQ18" i="4"/>
  <c r="AQ24" i="4"/>
  <c r="AQ31" i="4" s="1"/>
  <c r="AH40" i="4"/>
  <c r="AH235" i="4" s="1"/>
  <c r="AH234" i="4"/>
  <c r="AH46" i="4"/>
  <c r="AR88" i="5"/>
  <c r="AR89" i="5" s="1"/>
  <c r="AR110" i="5" s="1"/>
  <c r="AM88" i="5"/>
  <c r="AM89" i="5" s="1"/>
  <c r="AM110" i="5" s="1"/>
  <c r="AM102" i="5"/>
  <c r="AY78" i="4"/>
  <c r="AY79" i="4" s="1"/>
  <c r="BC78" i="4"/>
  <c r="BC79" i="4" s="1"/>
  <c r="BG78" i="4"/>
  <c r="BK78" i="4"/>
  <c r="BK79" i="4" s="1"/>
  <c r="AZ78" i="4"/>
  <c r="BD78" i="4"/>
  <c r="BD79" i="4" s="1"/>
  <c r="BD80" i="4" s="1"/>
  <c r="BD152" i="4" s="1"/>
  <c r="BD252" i="4" s="1"/>
  <c r="BH78" i="4"/>
  <c r="BH79" i="4" s="1"/>
  <c r="BH80" i="4" s="1"/>
  <c r="BH152" i="4" s="1"/>
  <c r="BH252" i="4" s="1"/>
  <c r="BL78" i="4"/>
  <c r="BA78" i="4"/>
  <c r="BE78" i="4"/>
  <c r="BE79" i="4" s="1"/>
  <c r="BI78" i="4"/>
  <c r="BI79" i="4" s="1"/>
  <c r="AX78" i="4"/>
  <c r="AX79" i="4" s="1"/>
  <c r="BB78" i="4"/>
  <c r="BJ78" i="4"/>
  <c r="BJ79" i="4" s="1"/>
  <c r="BB64" i="3"/>
  <c r="AW64" i="3" s="1"/>
  <c r="AR64" i="3" s="1"/>
  <c r="DL63" i="3"/>
  <c r="DG63" i="3"/>
  <c r="DB63" i="3"/>
  <c r="CW63" i="3"/>
  <c r="AH183" i="4"/>
  <c r="AG182" i="4"/>
  <c r="Q80" i="4"/>
  <c r="Q252" i="4"/>
  <c r="L80" i="4"/>
  <c r="L252" i="4"/>
  <c r="P74" i="4"/>
  <c r="P253" i="4"/>
  <c r="K74" i="4"/>
  <c r="K253" i="4"/>
  <c r="AN104" i="4"/>
  <c r="AN65" i="9"/>
  <c r="AN50" i="9" s="1"/>
  <c r="AI104" i="4"/>
  <c r="AI65" i="9"/>
  <c r="AI50" i="9" s="1"/>
  <c r="AD104" i="4"/>
  <c r="AD65" i="9"/>
  <c r="AD50" i="9" s="1"/>
  <c r="Y104" i="4"/>
  <c r="Y65" i="9"/>
  <c r="Y50" i="9" s="1"/>
  <c r="Y154" i="4"/>
  <c r="T104" i="4"/>
  <c r="T65" i="9"/>
  <c r="T50" i="9" s="1"/>
  <c r="O104" i="4"/>
  <c r="O65" i="9"/>
  <c r="O50" i="9" s="1"/>
  <c r="J104" i="4"/>
  <c r="J65" i="9"/>
  <c r="J50" i="9" s="1"/>
  <c r="E104" i="4"/>
  <c r="E65" i="9"/>
  <c r="E50" i="9" s="1"/>
  <c r="E154" i="4"/>
  <c r="AQ137" i="4"/>
  <c r="AQ56" i="9" s="1"/>
  <c r="AR56" i="9"/>
  <c r="AL137" i="4"/>
  <c r="AL56" i="9" s="1"/>
  <c r="AM56" i="9"/>
  <c r="AH56" i="9"/>
  <c r="AG137" i="4"/>
  <c r="AG56" i="9" s="1"/>
  <c r="AZ113" i="4"/>
  <c r="BA191" i="6"/>
  <c r="BA155" i="8"/>
  <c r="BA194" i="7"/>
  <c r="AB55" i="4"/>
  <c r="Y36" i="9"/>
  <c r="Y257" i="4"/>
  <c r="S36" i="9"/>
  <c r="S257" i="4"/>
  <c r="L36" i="9"/>
  <c r="L257" i="4"/>
  <c r="G36" i="9"/>
  <c r="G257" i="4"/>
  <c r="BG55" i="4"/>
  <c r="BE257" i="4"/>
  <c r="O39" i="4"/>
  <c r="W208" i="7"/>
  <c r="W209" i="7" s="1"/>
  <c r="DE209" i="7"/>
  <c r="X209" i="7" s="1"/>
  <c r="AN43" i="7"/>
  <c r="AN47" i="7" s="1"/>
  <c r="AN49" i="7" s="1"/>
  <c r="AN55" i="7" s="1"/>
  <c r="AN86" i="4" s="1"/>
  <c r="AN75" i="7"/>
  <c r="U33" i="7"/>
  <c r="U39" i="7"/>
  <c r="F33" i="7"/>
  <c r="F39" i="7"/>
  <c r="J39" i="7"/>
  <c r="J33" i="7"/>
  <c r="AO32" i="7"/>
  <c r="AO27" i="4"/>
  <c r="AO26" i="3" s="1"/>
  <c r="AJ27" i="4"/>
  <c r="AJ26" i="3" s="1"/>
  <c r="AJ32" i="7"/>
  <c r="W103" i="4"/>
  <c r="W64" i="9"/>
  <c r="W49" i="9" s="1"/>
  <c r="H134" i="4"/>
  <c r="H54" i="9" s="1"/>
  <c r="I54" i="9"/>
  <c r="Z39" i="4"/>
  <c r="AX88" i="5"/>
  <c r="BC88" i="5" s="1"/>
  <c r="AS89" i="5"/>
  <c r="AS110" i="5" s="1"/>
  <c r="BG64" i="3"/>
  <c r="CO64" i="3"/>
  <c r="U253" i="4"/>
  <c r="L209" i="4"/>
  <c r="AQ218" i="4"/>
  <c r="AQ219" i="4" s="1"/>
  <c r="W218" i="4"/>
  <c r="V103" i="4"/>
  <c r="V64" i="9"/>
  <c r="V49" i="9" s="1"/>
  <c r="Q103" i="4"/>
  <c r="Q64" i="9"/>
  <c r="Q49" i="9" s="1"/>
  <c r="Q154" i="4"/>
  <c r="L103" i="4"/>
  <c r="L64" i="9"/>
  <c r="L49" i="9" s="1"/>
  <c r="G103" i="4"/>
  <c r="G64" i="9"/>
  <c r="G49" i="9" s="1"/>
  <c r="H135" i="4"/>
  <c r="H55" i="9" s="1"/>
  <c r="I55" i="9"/>
  <c r="P98" i="4"/>
  <c r="G9" i="9"/>
  <c r="G16" i="9" s="1"/>
  <c r="G18" i="4"/>
  <c r="G24" i="4"/>
  <c r="G31" i="4" s="1"/>
  <c r="G39" i="4" s="1"/>
  <c r="R18" i="4"/>
  <c r="BD221" i="5"/>
  <c r="BD121" i="4" s="1"/>
  <c r="BC121" i="4"/>
  <c r="X219" i="4"/>
  <c r="CP12" i="3"/>
  <c r="CP14" i="3" s="1"/>
  <c r="DS154" i="4"/>
  <c r="G74" i="4"/>
  <c r="G253" i="4"/>
  <c r="AN103" i="4"/>
  <c r="AN64" i="9"/>
  <c r="AI103" i="4"/>
  <c r="AI64" i="9"/>
  <c r="AD103" i="4"/>
  <c r="AD64" i="9"/>
  <c r="Z103" i="4"/>
  <c r="Z64" i="9"/>
  <c r="AA144" i="4"/>
  <c r="AA145" i="4" s="1"/>
  <c r="DH145" i="4"/>
  <c r="T98" i="4"/>
  <c r="AN98" i="4"/>
  <c r="AJ98" i="4"/>
  <c r="BF78" i="4"/>
  <c r="BF79" i="4" s="1"/>
  <c r="AL24" i="4"/>
  <c r="AL31" i="4" s="1"/>
  <c r="R24" i="4"/>
  <c r="R31" i="4" s="1"/>
  <c r="W18" i="4"/>
  <c r="AU18" i="4"/>
  <c r="AP219" i="4"/>
  <c r="AH219" i="4"/>
  <c r="AD219" i="4"/>
  <c r="W219" i="4"/>
  <c r="G219" i="4"/>
  <c r="AF228" i="4"/>
  <c r="AB219" i="4"/>
  <c r="H219" i="4"/>
  <c r="L185" i="4"/>
  <c r="P185" i="4"/>
  <c r="F185" i="4"/>
  <c r="AB169" i="4"/>
  <c r="R170" i="4"/>
  <c r="AF154" i="4"/>
  <c r="H151" i="4"/>
  <c r="AO104" i="4"/>
  <c r="AO65" i="9"/>
  <c r="AO50" i="9" s="1"/>
  <c r="AJ104" i="4"/>
  <c r="AJ65" i="9"/>
  <c r="AJ50" i="9" s="1"/>
  <c r="AE104" i="4"/>
  <c r="AE65" i="9"/>
  <c r="AE50" i="9" s="1"/>
  <c r="Z104" i="4"/>
  <c r="Z65" i="9"/>
  <c r="Z50" i="9" s="1"/>
  <c r="U104" i="4"/>
  <c r="U65" i="9"/>
  <c r="U50" i="9" s="1"/>
  <c r="P104" i="4"/>
  <c r="P65" i="9"/>
  <c r="P50" i="9" s="1"/>
  <c r="K104" i="4"/>
  <c r="K65" i="9"/>
  <c r="K50" i="9" s="1"/>
  <c r="F104" i="4"/>
  <c r="F65" i="9"/>
  <c r="F50" i="9" s="1"/>
  <c r="AO103" i="4"/>
  <c r="AO64" i="9"/>
  <c r="AJ103" i="4"/>
  <c r="AJ64" i="9"/>
  <c r="AE103" i="4"/>
  <c r="AE64" i="9"/>
  <c r="AA103" i="4"/>
  <c r="AA64" i="9"/>
  <c r="N103" i="4"/>
  <c r="N64" i="9"/>
  <c r="N49" i="9" s="1"/>
  <c r="I103" i="4"/>
  <c r="I64" i="9"/>
  <c r="I49" i="9" s="1"/>
  <c r="DX144" i="4"/>
  <c r="AG144" i="4"/>
  <c r="DD144" i="4"/>
  <c r="CY144" i="4"/>
  <c r="M144" i="4"/>
  <c r="AF141" i="4"/>
  <c r="AF60" i="9"/>
  <c r="AF97" i="4" s="1"/>
  <c r="AF98" i="4" s="1"/>
  <c r="AO138" i="4"/>
  <c r="AJ138" i="4"/>
  <c r="AE138" i="4"/>
  <c r="Z138" i="4"/>
  <c r="U138" i="4"/>
  <c r="K138" i="4"/>
  <c r="F138" i="4"/>
  <c r="H137" i="4"/>
  <c r="H56" i="9" s="1"/>
  <c r="I56" i="9"/>
  <c r="AB135" i="4"/>
  <c r="AB55" i="9" s="1"/>
  <c r="AC55" i="9"/>
  <c r="W135" i="4"/>
  <c r="W55" i="9" s="1"/>
  <c r="X55" i="9"/>
  <c r="R135" i="4"/>
  <c r="R55" i="9" s="1"/>
  <c r="S55" i="9"/>
  <c r="R134" i="4"/>
  <c r="R54" i="9" s="1"/>
  <c r="BE113" i="4"/>
  <c r="BF191" i="6"/>
  <c r="BF155" i="8"/>
  <c r="BF194" i="7"/>
  <c r="J39" i="4"/>
  <c r="AI46" i="4"/>
  <c r="AI40" i="4"/>
  <c r="L179" i="5"/>
  <c r="L216" i="5"/>
  <c r="AH251" i="5"/>
  <c r="AH264" i="5" s="1"/>
  <c r="AH33" i="5"/>
  <c r="V18" i="5"/>
  <c r="V24" i="5"/>
  <c r="V26" i="5" s="1"/>
  <c r="V26" i="4" s="1"/>
  <c r="Q24" i="5"/>
  <c r="Q26" i="5" s="1"/>
  <c r="Q18" i="5"/>
  <c r="L32" i="5"/>
  <c r="L26" i="4"/>
  <c r="G24" i="5"/>
  <c r="G26" i="5" s="1"/>
  <c r="G18" i="5"/>
  <c r="AQ16" i="5"/>
  <c r="AQ138" i="5"/>
  <c r="AQ141" i="5" s="1"/>
  <c r="W16" i="5"/>
  <c r="W9" i="9" s="1"/>
  <c r="W138" i="5"/>
  <c r="W141" i="5" s="1"/>
  <c r="W146" i="5" s="1"/>
  <c r="BH15" i="5"/>
  <c r="BM15" i="5" s="1"/>
  <c r="AU26" i="5"/>
  <c r="AU26" i="4" s="1"/>
  <c r="AU25" i="3" s="1"/>
  <c r="I223" i="8"/>
  <c r="I226" i="8" s="1"/>
  <c r="I95" i="4"/>
  <c r="AO219" i="4"/>
  <c r="AK219" i="4"/>
  <c r="AC219" i="4"/>
  <c r="Y219" i="4"/>
  <c r="U219" i="4"/>
  <c r="M219" i="4"/>
  <c r="I219" i="4"/>
  <c r="I242" i="4" s="1"/>
  <c r="CA24" i="3" s="1"/>
  <c r="Q209" i="4"/>
  <c r="AI228" i="4"/>
  <c r="AR200" i="4"/>
  <c r="AH200" i="4"/>
  <c r="AP185" i="4"/>
  <c r="W183" i="4"/>
  <c r="AR104" i="4"/>
  <c r="AR65" i="9"/>
  <c r="AR50" i="9" s="1"/>
  <c r="AH104" i="4"/>
  <c r="AH65" i="9"/>
  <c r="AH50" i="9" s="1"/>
  <c r="AC104" i="4"/>
  <c r="AC65" i="9"/>
  <c r="AC50" i="9" s="1"/>
  <c r="X104" i="4"/>
  <c r="X65" i="9"/>
  <c r="X50" i="9" s="1"/>
  <c r="N104" i="4"/>
  <c r="N65" i="9"/>
  <c r="N50" i="9" s="1"/>
  <c r="AR103" i="4"/>
  <c r="AR64" i="9"/>
  <c r="AH103" i="4"/>
  <c r="AH64" i="9"/>
  <c r="AC103" i="4"/>
  <c r="AC64" i="9"/>
  <c r="Y103" i="4"/>
  <c r="Y64" i="9"/>
  <c r="U103" i="4"/>
  <c r="U64" i="9"/>
  <c r="U49" i="9" s="1"/>
  <c r="P103" i="4"/>
  <c r="P64" i="9"/>
  <c r="P49" i="9" s="1"/>
  <c r="K103" i="4"/>
  <c r="K64" i="9"/>
  <c r="K49" i="9" s="1"/>
  <c r="F103" i="4"/>
  <c r="F64" i="9"/>
  <c r="F49" i="9" s="1"/>
  <c r="N62" i="9"/>
  <c r="G144" i="4"/>
  <c r="M142" i="4"/>
  <c r="M60" i="9" s="1"/>
  <c r="M97" i="4" s="1"/>
  <c r="N60" i="9"/>
  <c r="N97" i="4" s="1"/>
  <c r="N98" i="4" s="1"/>
  <c r="H142" i="4"/>
  <c r="H60" i="9" s="1"/>
  <c r="H97" i="4" s="1"/>
  <c r="H98" i="4" s="1"/>
  <c r="I60" i="9"/>
  <c r="I97" i="4" s="1"/>
  <c r="CL140" i="4"/>
  <c r="AB137" i="4"/>
  <c r="AB56" i="9" s="1"/>
  <c r="AC56" i="9"/>
  <c r="W137" i="4"/>
  <c r="W56" i="9" s="1"/>
  <c r="X56" i="9"/>
  <c r="R137" i="4"/>
  <c r="R56" i="9" s="1"/>
  <c r="S56" i="9"/>
  <c r="E39" i="4"/>
  <c r="E20" i="9"/>
  <c r="AM37" i="4"/>
  <c r="AL36" i="4"/>
  <c r="N39" i="4"/>
  <c r="F40" i="4"/>
  <c r="F46" i="4"/>
  <c r="AA24" i="4"/>
  <c r="AA31" i="4" s="1"/>
  <c r="W24" i="4"/>
  <c r="W31" i="4" s="1"/>
  <c r="S24" i="4"/>
  <c r="S31" i="4" s="1"/>
  <c r="S39" i="4" s="1"/>
  <c r="AA18" i="4"/>
  <c r="O214" i="7"/>
  <c r="CV216" i="7"/>
  <c r="Z219" i="4"/>
  <c r="R219" i="4"/>
  <c r="N219" i="4"/>
  <c r="J219" i="4"/>
  <c r="AL191" i="4"/>
  <c r="AJ185" i="4"/>
  <c r="AN176" i="4"/>
  <c r="AD176" i="4"/>
  <c r="AL170" i="4"/>
  <c r="AP104" i="4"/>
  <c r="AP65" i="9"/>
  <c r="AP50" i="9" s="1"/>
  <c r="AK104" i="4"/>
  <c r="AK65" i="9"/>
  <c r="AK50" i="9" s="1"/>
  <c r="AF104" i="4"/>
  <c r="AF65" i="9"/>
  <c r="AF50" i="9" s="1"/>
  <c r="AA104" i="4"/>
  <c r="AA65" i="9"/>
  <c r="AA50" i="9" s="1"/>
  <c r="V104" i="4"/>
  <c r="V65" i="9"/>
  <c r="V50" i="9" s="1"/>
  <c r="Q104" i="4"/>
  <c r="Q65" i="9"/>
  <c r="Q50" i="9" s="1"/>
  <c r="L104" i="4"/>
  <c r="L65" i="9"/>
  <c r="L50" i="9" s="1"/>
  <c r="G104" i="4"/>
  <c r="G65" i="9"/>
  <c r="G50" i="9" s="1"/>
  <c r="AP103" i="4"/>
  <c r="AP64" i="9"/>
  <c r="AK103" i="4"/>
  <c r="AK64" i="9"/>
  <c r="AF103" i="4"/>
  <c r="AF64" i="9"/>
  <c r="AB103" i="4"/>
  <c r="AB64" i="9"/>
  <c r="X103" i="4"/>
  <c r="X64" i="9"/>
  <c r="T103" i="4"/>
  <c r="T64" i="9"/>
  <c r="T49" i="9" s="1"/>
  <c r="O103" i="4"/>
  <c r="O64" i="9"/>
  <c r="O49" i="9" s="1"/>
  <c r="J103" i="4"/>
  <c r="J64" i="9"/>
  <c r="J49" i="9" s="1"/>
  <c r="E103" i="4"/>
  <c r="E64" i="9"/>
  <c r="E49" i="9" s="1"/>
  <c r="J145" i="4"/>
  <c r="AQ142" i="4"/>
  <c r="AQ60" i="9" s="1"/>
  <c r="AQ97" i="4" s="1"/>
  <c r="AR60" i="9"/>
  <c r="AR97" i="4" s="1"/>
  <c r="AR98" i="4" s="1"/>
  <c r="AL142" i="4"/>
  <c r="AL60" i="9" s="1"/>
  <c r="AL97" i="4" s="1"/>
  <c r="AL98" i="4" s="1"/>
  <c r="AM60" i="9"/>
  <c r="AM97" i="4" s="1"/>
  <c r="AM98" i="4" s="1"/>
  <c r="AG142" i="4"/>
  <c r="AG60" i="9" s="1"/>
  <c r="AG97" i="4" s="1"/>
  <c r="AH60" i="9"/>
  <c r="AH97" i="4" s="1"/>
  <c r="AH98" i="4" s="1"/>
  <c r="AB142" i="4"/>
  <c r="AB60" i="9" s="1"/>
  <c r="AB97" i="4" s="1"/>
  <c r="AB98" i="4" s="1"/>
  <c r="AC60" i="9"/>
  <c r="AC97" i="4" s="1"/>
  <c r="AC98" i="4" s="1"/>
  <c r="W142" i="4"/>
  <c r="W60" i="9" s="1"/>
  <c r="W97" i="4" s="1"/>
  <c r="X60" i="9"/>
  <c r="X97" i="4" s="1"/>
  <c r="AQ135" i="4"/>
  <c r="AR55" i="9"/>
  <c r="AL135" i="4"/>
  <c r="AL55" i="9" s="1"/>
  <c r="AM55" i="9"/>
  <c r="AG135" i="4"/>
  <c r="AG55" i="9" s="1"/>
  <c r="AH55" i="9"/>
  <c r="AQ134" i="4"/>
  <c r="AQ54" i="9" s="1"/>
  <c r="AR54" i="9"/>
  <c r="AL134" i="4"/>
  <c r="AL54" i="9" s="1"/>
  <c r="AM54" i="9"/>
  <c r="AG134" i="4"/>
  <c r="AG54" i="9" s="1"/>
  <c r="AH54" i="9"/>
  <c r="AB134" i="4"/>
  <c r="AB54" i="9" s="1"/>
  <c r="AC54" i="9"/>
  <c r="W134" i="4"/>
  <c r="W54" i="9" s="1"/>
  <c r="X54" i="9"/>
  <c r="BJ113" i="4"/>
  <c r="BK191" i="6"/>
  <c r="BK155" i="8"/>
  <c r="AW45" i="3"/>
  <c r="AB29" i="9"/>
  <c r="H29" i="9"/>
  <c r="AR40" i="4"/>
  <c r="AR235" i="4" s="1"/>
  <c r="AR46" i="4"/>
  <c r="AK20" i="9"/>
  <c r="AK39" i="4"/>
  <c r="AF20" i="9"/>
  <c r="AF39" i="4"/>
  <c r="X39" i="4"/>
  <c r="D16" i="20"/>
  <c r="X20" i="9"/>
  <c r="I39" i="4"/>
  <c r="I20" i="9"/>
  <c r="H37" i="4"/>
  <c r="AG15" i="9"/>
  <c r="AG24" i="4"/>
  <c r="AG31" i="4" s="1"/>
  <c r="M15" i="9"/>
  <c r="M24" i="4"/>
  <c r="M31" i="4" s="1"/>
  <c r="AE18" i="4"/>
  <c r="AB16" i="4"/>
  <c r="H16" i="4"/>
  <c r="H24" i="4" s="1"/>
  <c r="H31" i="4" s="1"/>
  <c r="Z18" i="4"/>
  <c r="AK141" i="5"/>
  <c r="AL150" i="5"/>
  <c r="AL69" i="5" s="1"/>
  <c r="F26" i="5"/>
  <c r="F18" i="5"/>
  <c r="BD10" i="5"/>
  <c r="AN88" i="5"/>
  <c r="AN89" i="5" s="1"/>
  <c r="AN110" i="5" s="1"/>
  <c r="AN11" i="5"/>
  <c r="AN26" i="5" s="1"/>
  <c r="AN26" i="4" s="1"/>
  <c r="AI11" i="5"/>
  <c r="AI18" i="5" s="1"/>
  <c r="AI88" i="5"/>
  <c r="AI89" i="5" s="1"/>
  <c r="AD11" i="5"/>
  <c r="AD88" i="5"/>
  <c r="AD89" i="5" s="1"/>
  <c r="AD110" i="5" s="1"/>
  <c r="F238" i="7"/>
  <c r="W228" i="7"/>
  <c r="X229" i="7"/>
  <c r="R228" i="7"/>
  <c r="S229" i="7"/>
  <c r="H228" i="7"/>
  <c r="I229" i="7"/>
  <c r="H229" i="7" s="1"/>
  <c r="AR111" i="7"/>
  <c r="AW112" i="7" s="1"/>
  <c r="AR109" i="7"/>
  <c r="AN109" i="7"/>
  <c r="P111" i="7"/>
  <c r="P112" i="7" s="1"/>
  <c r="AX97" i="7"/>
  <c r="BC97" i="7" s="1"/>
  <c r="AS99" i="7"/>
  <c r="AS109" i="7" s="1"/>
  <c r="AX109" i="7" s="1"/>
  <c r="BC109" i="7" s="1"/>
  <c r="AS101" i="7"/>
  <c r="AS60" i="7" s="1"/>
  <c r="AS103" i="7"/>
  <c r="X111" i="7"/>
  <c r="P43" i="7"/>
  <c r="P47" i="7" s="1"/>
  <c r="P49" i="7" s="1"/>
  <c r="P55" i="7" s="1"/>
  <c r="P86" i="4" s="1"/>
  <c r="P75" i="7"/>
  <c r="P74" i="7"/>
  <c r="AT33" i="7"/>
  <c r="AT39" i="7"/>
  <c r="AS77" i="8"/>
  <c r="AS78" i="8" s="1"/>
  <c r="AS99" i="8" s="1"/>
  <c r="W33" i="9"/>
  <c r="AS46" i="4"/>
  <c r="AN25" i="9"/>
  <c r="AI25" i="9"/>
  <c r="Z46" i="4"/>
  <c r="Z25" i="9"/>
  <c r="U46" i="4"/>
  <c r="U25" i="9"/>
  <c r="P25" i="9"/>
  <c r="P39" i="4"/>
  <c r="P40" i="4" s="1"/>
  <c r="AU39" i="4"/>
  <c r="AP39" i="4"/>
  <c r="AP20" i="9"/>
  <c r="AJ39" i="4"/>
  <c r="AJ20" i="9"/>
  <c r="AE39" i="4"/>
  <c r="AE20" i="9"/>
  <c r="AA39" i="4"/>
  <c r="AA20" i="9"/>
  <c r="V39" i="4"/>
  <c r="V20" i="9"/>
  <c r="Q39" i="4"/>
  <c r="Q40" i="4" s="1"/>
  <c r="Q20" i="9"/>
  <c r="L39" i="4"/>
  <c r="L20" i="9"/>
  <c r="AQ37" i="4"/>
  <c r="AG37" i="4"/>
  <c r="W37" i="4"/>
  <c r="AP18" i="4"/>
  <c r="AH18" i="4"/>
  <c r="V9" i="9"/>
  <c r="V10" i="9" s="1"/>
  <c r="AD8" i="9"/>
  <c r="F8" i="9"/>
  <c r="F10" i="9" s="1"/>
  <c r="L223" i="5"/>
  <c r="G223" i="5"/>
  <c r="BJ222" i="5"/>
  <c r="AH215" i="5"/>
  <c r="DO216" i="5"/>
  <c r="AH216" i="5" s="1"/>
  <c r="P153" i="5"/>
  <c r="P70" i="5" s="1"/>
  <c r="U153" i="5"/>
  <c r="U70" i="5" s="1"/>
  <c r="AI96" i="5"/>
  <c r="AL95" i="5"/>
  <c r="U96" i="5"/>
  <c r="W95" i="5"/>
  <c r="O98" i="5"/>
  <c r="O100" i="5"/>
  <c r="O60" i="5" s="1"/>
  <c r="AA26" i="5"/>
  <c r="AA26" i="4" s="1"/>
  <c r="AA18" i="5"/>
  <c r="AQ202" i="7"/>
  <c r="DY204" i="7"/>
  <c r="AR204" i="7" s="1"/>
  <c r="AL202" i="7"/>
  <c r="DT204" i="7"/>
  <c r="AM204" i="7" s="1"/>
  <c r="DE204" i="7"/>
  <c r="X204" i="7" s="1"/>
  <c r="I203" i="7"/>
  <c r="CP204" i="7"/>
  <c r="I204" i="7" s="1"/>
  <c r="AK138" i="7"/>
  <c r="AR135" i="7"/>
  <c r="AR137" i="7"/>
  <c r="AB138" i="7"/>
  <c r="X135" i="7"/>
  <c r="X137" i="7"/>
  <c r="X138" i="7" s="1"/>
  <c r="T138" i="7"/>
  <c r="L138" i="7"/>
  <c r="Q138" i="7"/>
  <c r="K103" i="7"/>
  <c r="AX70" i="7"/>
  <c r="AX144" i="7" s="1"/>
  <c r="AY144" i="7"/>
  <c r="AY143" i="7" s="1"/>
  <c r="AY20" i="7" s="1"/>
  <c r="W45" i="7"/>
  <c r="V33" i="9"/>
  <c r="AC43" i="7"/>
  <c r="AC47" i="7" s="1"/>
  <c r="AC49" i="7" s="1"/>
  <c r="AC75" i="7"/>
  <c r="AK33" i="7"/>
  <c r="AK39" i="7"/>
  <c r="AC33" i="7"/>
  <c r="AC244" i="7"/>
  <c r="AC257" i="7" s="1"/>
  <c r="AD39" i="7"/>
  <c r="AD33" i="7"/>
  <c r="AE175" i="8"/>
  <c r="AE123" i="4" s="1"/>
  <c r="DL177" i="8"/>
  <c r="O175" i="8"/>
  <c r="CV177" i="8"/>
  <c r="AJ227" i="6"/>
  <c r="AJ230" i="6"/>
  <c r="AJ247" i="6"/>
  <c r="Q211" i="6"/>
  <c r="CW213" i="6"/>
  <c r="Q55" i="4"/>
  <c r="Q32" i="9"/>
  <c r="BB51" i="4"/>
  <c r="J46" i="4"/>
  <c r="J25" i="9"/>
  <c r="AT39" i="4"/>
  <c r="AV234" i="4" s="1"/>
  <c r="AV247" i="4" s="1"/>
  <c r="AY20" i="9"/>
  <c r="AO39" i="4"/>
  <c r="AO20" i="9"/>
  <c r="AQ12" i="9"/>
  <c r="AL12" i="9"/>
  <c r="AG13" i="9"/>
  <c r="AB13" i="9"/>
  <c r="W13" i="9"/>
  <c r="R13" i="9"/>
  <c r="M13" i="9"/>
  <c r="H13" i="9"/>
  <c r="Q9" i="9"/>
  <c r="Q16" i="9" s="1"/>
  <c r="S270" i="5"/>
  <c r="W235" i="5"/>
  <c r="X236" i="5"/>
  <c r="R235" i="5"/>
  <c r="S236" i="5"/>
  <c r="M235" i="5"/>
  <c r="W222" i="5"/>
  <c r="DD222" i="5"/>
  <c r="EB223" i="5"/>
  <c r="AB220" i="5"/>
  <c r="AC220" i="5"/>
  <c r="F209" i="5"/>
  <c r="CM211" i="5"/>
  <c r="CM225" i="5" s="1"/>
  <c r="CM228" i="5" s="1"/>
  <c r="AO169" i="5"/>
  <c r="AO98" i="5"/>
  <c r="AO100" i="5"/>
  <c r="AO60" i="5" s="1"/>
  <c r="AH100" i="5"/>
  <c r="AH60" i="5" s="1"/>
  <c r="AH29" i="2" s="1"/>
  <c r="AH98" i="5"/>
  <c r="Z100" i="5"/>
  <c r="Z60" i="5" s="1"/>
  <c r="Z98" i="5"/>
  <c r="Z108" i="5" s="1"/>
  <c r="K89" i="5"/>
  <c r="K110" i="5" s="1"/>
  <c r="K102" i="5"/>
  <c r="F89" i="5"/>
  <c r="AS26" i="5"/>
  <c r="AS26" i="4" s="1"/>
  <c r="I264" i="7"/>
  <c r="AE99" i="7"/>
  <c r="AE109" i="7" s="1"/>
  <c r="AE101" i="7"/>
  <c r="AE60" i="7" s="1"/>
  <c r="AJ101" i="7"/>
  <c r="AJ60" i="7" s="1"/>
  <c r="AE103" i="7"/>
  <c r="Y99" i="7"/>
  <c r="Y101" i="7"/>
  <c r="Y60" i="7" s="1"/>
  <c r="Y103" i="7"/>
  <c r="P99" i="7"/>
  <c r="P109" i="7" s="1"/>
  <c r="P103" i="7"/>
  <c r="G99" i="7"/>
  <c r="L101" i="7"/>
  <c r="L60" i="7" s="1"/>
  <c r="AQ246" i="7"/>
  <c r="AG37" i="7"/>
  <c r="AI246" i="7"/>
  <c r="AJ246" i="7"/>
  <c r="Z246" i="7"/>
  <c r="W246" i="7"/>
  <c r="AA246" i="7"/>
  <c r="M37" i="7"/>
  <c r="O246" i="7"/>
  <c r="P246" i="7"/>
  <c r="X43" i="7"/>
  <c r="X47" i="7" s="1"/>
  <c r="X75" i="7"/>
  <c r="L39" i="7"/>
  <c r="AQ30" i="7"/>
  <c r="AR72" i="4"/>
  <c r="S33" i="9"/>
  <c r="AK46" i="4"/>
  <c r="AK25" i="9"/>
  <c r="AC46" i="4"/>
  <c r="AC25" i="9"/>
  <c r="D26" i="20"/>
  <c r="X25" i="9"/>
  <c r="S46" i="4"/>
  <c r="D15" i="20"/>
  <c r="S25" i="9"/>
  <c r="N46" i="4"/>
  <c r="N25" i="9"/>
  <c r="AX20" i="9"/>
  <c r="D27" i="20"/>
  <c r="AC20" i="9"/>
  <c r="Y20" i="9"/>
  <c r="AB24" i="4"/>
  <c r="AB31" i="4" s="1"/>
  <c r="AB39" i="4" s="1"/>
  <c r="X9" i="9"/>
  <c r="X16" i="9" s="1"/>
  <c r="X18" i="9" s="1"/>
  <c r="L9" i="9"/>
  <c r="N10" i="9"/>
  <c r="X270" i="5"/>
  <c r="N236" i="5"/>
  <c r="E121" i="5"/>
  <c r="Y88" i="5"/>
  <c r="Y89" i="5" s="1"/>
  <c r="Y102" i="5"/>
  <c r="T88" i="5"/>
  <c r="BE71" i="5"/>
  <c r="BF156" i="5"/>
  <c r="AY71" i="5"/>
  <c r="AZ156" i="5"/>
  <c r="BH45" i="5"/>
  <c r="BM45" i="5" s="1"/>
  <c r="BC33" i="9"/>
  <c r="AR264" i="7"/>
  <c r="W213" i="7"/>
  <c r="DE216" i="7"/>
  <c r="X216" i="7" s="1"/>
  <c r="J185" i="7"/>
  <c r="J216" i="7"/>
  <c r="AQ118" i="7"/>
  <c r="AQ137" i="7"/>
  <c r="K118" i="7"/>
  <c r="K121" i="7" s="1"/>
  <c r="K137" i="7"/>
  <c r="P138" i="7" s="1"/>
  <c r="AD101" i="7"/>
  <c r="AD60" i="7" s="1"/>
  <c r="T103" i="7"/>
  <c r="T101" i="7"/>
  <c r="T60" i="7" s="1"/>
  <c r="T99" i="7"/>
  <c r="T109" i="7" s="1"/>
  <c r="AK90" i="7"/>
  <c r="AK111" i="7" s="1"/>
  <c r="AF89" i="7"/>
  <c r="AF90" i="7" s="1"/>
  <c r="AF111" i="7" s="1"/>
  <c r="AA89" i="7"/>
  <c r="AA90" i="7" s="1"/>
  <c r="AA111" i="7" s="1"/>
  <c r="AA103" i="7"/>
  <c r="L89" i="7"/>
  <c r="L103" i="7"/>
  <c r="G89" i="7"/>
  <c r="G103" i="7"/>
  <c r="BJ71" i="7"/>
  <c r="BJ147" i="7" s="1"/>
  <c r="BK147" i="7"/>
  <c r="AZ72" i="7"/>
  <c r="AY72" i="7" s="1"/>
  <c r="BA150" i="7"/>
  <c r="P54" i="7"/>
  <c r="AS39" i="7"/>
  <c r="BE10" i="7"/>
  <c r="AH191" i="8"/>
  <c r="AH212" i="8"/>
  <c r="AH211" i="8"/>
  <c r="AC190" i="8"/>
  <c r="AB188" i="8"/>
  <c r="AP24" i="8"/>
  <c r="AP86" i="6"/>
  <c r="AP100" i="6"/>
  <c r="AK86" i="6"/>
  <c r="AK87" i="6" s="1"/>
  <c r="AK108" i="6" s="1"/>
  <c r="Y8" i="9"/>
  <c r="Y10" i="9" s="1"/>
  <c r="U8" i="9"/>
  <c r="AR269" i="5"/>
  <c r="EA211" i="5"/>
  <c r="DV211" i="5"/>
  <c r="DB211" i="5"/>
  <c r="P210" i="5"/>
  <c r="K210" i="5"/>
  <c r="F210" i="5"/>
  <c r="AJ169" i="5"/>
  <c r="AF169" i="5"/>
  <c r="L169" i="5"/>
  <c r="AP156" i="5"/>
  <c r="AP71" i="5" s="1"/>
  <c r="AH156" i="5"/>
  <c r="AH71" i="5" s="1"/>
  <c r="R156" i="5"/>
  <c r="R71" i="5" s="1"/>
  <c r="J156" i="5"/>
  <c r="J71" i="5" s="1"/>
  <c r="AF141" i="5"/>
  <c r="AH139" i="5"/>
  <c r="AR120" i="5"/>
  <c r="AR141" i="5" s="1"/>
  <c r="AM120" i="5"/>
  <c r="Z141" i="5"/>
  <c r="S120" i="5"/>
  <c r="T108" i="5"/>
  <c r="AU87" i="5"/>
  <c r="AQ87" i="5"/>
  <c r="AL87" i="5"/>
  <c r="BE45" i="5"/>
  <c r="AZ33" i="9"/>
  <c r="AG30" i="5"/>
  <c r="W30" i="5"/>
  <c r="M30" i="5"/>
  <c r="P26" i="5"/>
  <c r="P26" i="4" s="1"/>
  <c r="K26" i="5"/>
  <c r="K26" i="4" s="1"/>
  <c r="AQ24" i="5"/>
  <c r="AI26" i="5"/>
  <c r="AI26" i="4" s="1"/>
  <c r="U26" i="5"/>
  <c r="U26" i="4" s="1"/>
  <c r="U25" i="3" s="1"/>
  <c r="AC286" i="7"/>
  <c r="AC245" i="8"/>
  <c r="AC246" i="8" s="1"/>
  <c r="O277" i="7"/>
  <c r="O77" i="7" s="1"/>
  <c r="AE163" i="7"/>
  <c r="K163" i="7"/>
  <c r="AR150" i="7"/>
  <c r="AR72" i="7" s="1"/>
  <c r="AN150" i="7"/>
  <c r="AN72" i="7" s="1"/>
  <c r="AF150" i="7"/>
  <c r="AF72" i="7" s="1"/>
  <c r="X150" i="7"/>
  <c r="X72" i="7" s="1"/>
  <c r="P150" i="7"/>
  <c r="P72" i="7" s="1"/>
  <c r="AX146" i="7"/>
  <c r="AX22" i="7" s="1"/>
  <c r="AP147" i="7"/>
  <c r="AP71" i="7" s="1"/>
  <c r="AL147" i="7"/>
  <c r="AL71" i="7" s="1"/>
  <c r="AH147" i="7"/>
  <c r="AH71" i="7" s="1"/>
  <c r="AD147" i="7"/>
  <c r="AD71" i="7" s="1"/>
  <c r="Z147" i="7"/>
  <c r="Z71" i="7" s="1"/>
  <c r="V147" i="7"/>
  <c r="V71" i="7" s="1"/>
  <c r="R147" i="7"/>
  <c r="R71" i="7" s="1"/>
  <c r="N147" i="7"/>
  <c r="N71" i="7" s="1"/>
  <c r="J147" i="7"/>
  <c r="J71" i="7" s="1"/>
  <c r="AQ144" i="7"/>
  <c r="AQ70" i="7" s="1"/>
  <c r="AM144" i="7"/>
  <c r="AM70" i="7" s="1"/>
  <c r="AD118" i="7"/>
  <c r="AJ111" i="7"/>
  <c r="T111" i="7"/>
  <c r="Y112" i="7" s="1"/>
  <c r="AH39" i="7"/>
  <c r="X33" i="7"/>
  <c r="AL24" i="7"/>
  <c r="AL26" i="7" s="1"/>
  <c r="X18" i="7"/>
  <c r="AU18" i="7"/>
  <c r="AH18" i="7"/>
  <c r="AC18" i="7"/>
  <c r="O18" i="7"/>
  <c r="E18" i="7"/>
  <c r="O199" i="8"/>
  <c r="DF170" i="8"/>
  <c r="Y169" i="8"/>
  <c r="J170" i="8"/>
  <c r="AZ58" i="8"/>
  <c r="BA105" i="8"/>
  <c r="AT24" i="8"/>
  <c r="AT96" i="4"/>
  <c r="P32" i="6"/>
  <c r="AJ23" i="6"/>
  <c r="AJ25" i="6" s="1"/>
  <c r="AJ17" i="6"/>
  <c r="AO17" i="6"/>
  <c r="AO23" i="6"/>
  <c r="AO25" i="6" s="1"/>
  <c r="AN8" i="9"/>
  <c r="P8" i="9"/>
  <c r="P10" i="9" s="1"/>
  <c r="AZ222" i="5"/>
  <c r="AE169" i="5"/>
  <c r="G169" i="5"/>
  <c r="AL184" i="5"/>
  <c r="R184" i="5"/>
  <c r="AL163" i="5"/>
  <c r="AG163" i="5"/>
  <c r="R163" i="5"/>
  <c r="AY149" i="5"/>
  <c r="AU141" i="5"/>
  <c r="BL135" i="5"/>
  <c r="BD45" i="5"/>
  <c r="AY33" i="9"/>
  <c r="AU18" i="5"/>
  <c r="AH18" i="5"/>
  <c r="AL16" i="5"/>
  <c r="AT163" i="7"/>
  <c r="Z163" i="7"/>
  <c r="N163" i="7"/>
  <c r="J163" i="7"/>
  <c r="F137" i="7"/>
  <c r="AY109" i="7"/>
  <c r="BD109" i="7" s="1"/>
  <c r="AS90" i="7"/>
  <c r="AS111" i="7" s="1"/>
  <c r="AP18" i="7"/>
  <c r="AP24" i="7"/>
  <c r="AP26" i="7" s="1"/>
  <c r="S18" i="7"/>
  <c r="S24" i="7"/>
  <c r="S26" i="7" s="1"/>
  <c r="BJ59" i="8"/>
  <c r="BI59" i="8" s="1"/>
  <c r="BK108" i="8"/>
  <c r="BD58" i="8"/>
  <c r="BE105" i="8"/>
  <c r="AQ140" i="8"/>
  <c r="AQ141" i="8" s="1"/>
  <c r="AQ29" i="8"/>
  <c r="W29" i="8"/>
  <c r="W140" i="8"/>
  <c r="W141" i="8" s="1"/>
  <c r="AG22" i="8"/>
  <c r="AG137" i="8"/>
  <c r="M22" i="8"/>
  <c r="M137" i="8"/>
  <c r="M138" i="8" s="1"/>
  <c r="AQ105" i="8"/>
  <c r="AQ58" i="8" s="1"/>
  <c r="W105" i="8"/>
  <c r="W58" i="8" s="1"/>
  <c r="F230" i="6"/>
  <c r="F247" i="6"/>
  <c r="AI200" i="6"/>
  <c r="DP201" i="6"/>
  <c r="O200" i="6"/>
  <c r="O201" i="6" s="1"/>
  <c r="CV201" i="6"/>
  <c r="AM199" i="6"/>
  <c r="DT201" i="6"/>
  <c r="AM201" i="6" s="1"/>
  <c r="AQ29" i="6"/>
  <c r="AQ173" i="6"/>
  <c r="AQ174" i="6" s="1"/>
  <c r="AU38" i="6"/>
  <c r="AI8" i="9"/>
  <c r="AI10" i="9" s="1"/>
  <c r="AE10" i="9"/>
  <c r="AA8" i="9"/>
  <c r="AA10" i="9" s="1"/>
  <c r="S10" i="9"/>
  <c r="K8" i="9"/>
  <c r="K10" i="9" s="1"/>
  <c r="AR271" i="5"/>
  <c r="N270" i="5"/>
  <c r="AD236" i="5"/>
  <c r="CQ223" i="5"/>
  <c r="AP221" i="5"/>
  <c r="AP121" i="4" s="1"/>
  <c r="AB221" i="5"/>
  <c r="AB121" i="4" s="1"/>
  <c r="W221" i="5"/>
  <c r="R221" i="5"/>
  <c r="AQ220" i="5"/>
  <c r="Y216" i="5"/>
  <c r="H216" i="5"/>
  <c r="CO209" i="5"/>
  <c r="AL169" i="5"/>
  <c r="V169" i="5"/>
  <c r="R169" i="5"/>
  <c r="F169" i="5"/>
  <c r="BE177" i="5"/>
  <c r="AR156" i="5"/>
  <c r="AR71" i="5" s="1"/>
  <c r="AN156" i="5"/>
  <c r="AN71" i="5" s="1"/>
  <c r="AB156" i="5"/>
  <c r="AB71" i="5" s="1"/>
  <c r="X156" i="5"/>
  <c r="X71" i="5" s="1"/>
  <c r="L156" i="5"/>
  <c r="L71" i="5" s="1"/>
  <c r="V150" i="5"/>
  <c r="V69" i="5" s="1"/>
  <c r="V141" i="5"/>
  <c r="K142" i="5"/>
  <c r="AL141" i="5"/>
  <c r="N141" i="5"/>
  <c r="N142" i="5" s="1"/>
  <c r="J121" i="5"/>
  <c r="J124" i="5" s="1"/>
  <c r="AY108" i="5"/>
  <c r="BD108" i="5" s="1"/>
  <c r="AH108" i="5"/>
  <c r="V110" i="5"/>
  <c r="AA111" i="5" s="1"/>
  <c r="F110" i="5"/>
  <c r="AQ96" i="5"/>
  <c r="W96" i="5"/>
  <c r="AX33" i="9"/>
  <c r="AU32" i="5"/>
  <c r="AU33" i="5" s="1"/>
  <c r="R30" i="5"/>
  <c r="H30" i="5"/>
  <c r="H11" i="5"/>
  <c r="AF229" i="7"/>
  <c r="CM218" i="7"/>
  <c r="CM221" i="7" s="1"/>
  <c r="Q214" i="7"/>
  <c r="Q215" i="7"/>
  <c r="CT209" i="7"/>
  <c r="I163" i="7"/>
  <c r="R150" i="7"/>
  <c r="R72" i="7" s="1"/>
  <c r="AO144" i="7"/>
  <c r="AO70" i="7" s="1"/>
  <c r="AK144" i="7"/>
  <c r="AK70" i="7" s="1"/>
  <c r="AG144" i="7"/>
  <c r="AG70" i="7" s="1"/>
  <c r="AC144" i="7"/>
  <c r="AC70" i="7" s="1"/>
  <c r="Y144" i="7"/>
  <c r="Y70" i="7" s="1"/>
  <c r="U144" i="7"/>
  <c r="U70" i="7" s="1"/>
  <c r="Q144" i="7"/>
  <c r="Q70" i="7" s="1"/>
  <c r="M144" i="7"/>
  <c r="M70" i="7" s="1"/>
  <c r="AC111" i="7"/>
  <c r="Y109" i="7"/>
  <c r="U111" i="7"/>
  <c r="I109" i="7"/>
  <c r="AH111" i="7"/>
  <c r="AH112" i="7" s="1"/>
  <c r="AC55" i="7"/>
  <c r="AC86" i="4" s="1"/>
  <c r="AC11" i="3" s="1"/>
  <c r="R30" i="7"/>
  <c r="J18" i="7"/>
  <c r="X245" i="8"/>
  <c r="X246" i="8" s="1"/>
  <c r="AI199" i="8"/>
  <c r="AI212" i="8"/>
  <c r="AA212" i="8"/>
  <c r="AA211" i="8"/>
  <c r="V97" i="8"/>
  <c r="AL77" i="8"/>
  <c r="AL78" i="8" s="1"/>
  <c r="AL99" i="8" s="1"/>
  <c r="AE91" i="8"/>
  <c r="AE77" i="8"/>
  <c r="AE78" i="8" s="1"/>
  <c r="AE99" i="8" s="1"/>
  <c r="U77" i="8"/>
  <c r="U78" i="8" s="1"/>
  <c r="U99" i="8" s="1"/>
  <c r="U91" i="8"/>
  <c r="P77" i="8"/>
  <c r="P78" i="8" s="1"/>
  <c r="P99" i="8" s="1"/>
  <c r="P91" i="8"/>
  <c r="Z35" i="8"/>
  <c r="Z39" i="8" s="1"/>
  <c r="Z41" i="8" s="1"/>
  <c r="Z47" i="8" s="1"/>
  <c r="Z62" i="8"/>
  <c r="AD24" i="8"/>
  <c r="AD25" i="8" s="1"/>
  <c r="L226" i="6"/>
  <c r="AT226" i="6"/>
  <c r="AA226" i="6"/>
  <c r="AA235" i="6" s="1"/>
  <c r="V226" i="6"/>
  <c r="Z175" i="8"/>
  <c r="Z123" i="4" s="1"/>
  <c r="AK164" i="8"/>
  <c r="AQ124" i="8"/>
  <c r="AA124" i="8"/>
  <c r="W124" i="8"/>
  <c r="AM108" i="8"/>
  <c r="AM59" i="8" s="1"/>
  <c r="AI108" i="8"/>
  <c r="AI59" i="8" s="1"/>
  <c r="AE108" i="8"/>
  <c r="AE59" i="8" s="1"/>
  <c r="AA108" i="8"/>
  <c r="AA59" i="8" s="1"/>
  <c r="S108" i="8"/>
  <c r="S59" i="8" s="1"/>
  <c r="K108" i="8"/>
  <c r="K59" i="8" s="1"/>
  <c r="N105" i="8"/>
  <c r="N58" i="8" s="1"/>
  <c r="AO78" i="8"/>
  <c r="AO24" i="8"/>
  <c r="AO25" i="8" s="1"/>
  <c r="F24" i="8"/>
  <c r="AB22" i="8"/>
  <c r="H22" i="8"/>
  <c r="AB10" i="8"/>
  <c r="H10" i="8"/>
  <c r="U226" i="6"/>
  <c r="U235" i="6" s="1"/>
  <c r="AJ213" i="6"/>
  <c r="DS200" i="6"/>
  <c r="DN199" i="6"/>
  <c r="DH201" i="6"/>
  <c r="U136" i="6"/>
  <c r="AM114" i="6"/>
  <c r="AK135" i="6"/>
  <c r="AK146" i="5" s="1"/>
  <c r="AF135" i="6"/>
  <c r="AF136" i="6" s="1"/>
  <c r="X135" i="6"/>
  <c r="AC136" i="6" s="1"/>
  <c r="X127" i="6"/>
  <c r="T115" i="6"/>
  <c r="T135" i="6"/>
  <c r="AU85" i="6"/>
  <c r="AQ85" i="6"/>
  <c r="BJ68" i="6"/>
  <c r="BK147" i="6"/>
  <c r="BD67" i="6"/>
  <c r="BE144" i="6"/>
  <c r="AQ44" i="6"/>
  <c r="BA44" i="6" s="1"/>
  <c r="BF44" i="6" s="1"/>
  <c r="BK44" i="6" s="1"/>
  <c r="BP44" i="6" s="1"/>
  <c r="AP33" i="9"/>
  <c r="J32" i="6"/>
  <c r="G31" i="6"/>
  <c r="G32" i="6" s="1"/>
  <c r="AB147" i="6"/>
  <c r="AB68" i="6" s="1"/>
  <c r="R23" i="6"/>
  <c r="R146" i="6"/>
  <c r="AD31" i="6"/>
  <c r="AQ174" i="8"/>
  <c r="DS174" i="8"/>
  <c r="AE174" i="8"/>
  <c r="V24" i="8"/>
  <c r="J24" i="8"/>
  <c r="AK24" i="8"/>
  <c r="AK25" i="8" s="1"/>
  <c r="AF24" i="8"/>
  <c r="AF31" i="8" s="1"/>
  <c r="Q24" i="8"/>
  <c r="Q25" i="8" s="1"/>
  <c r="L24" i="8"/>
  <c r="L25" i="8" s="1"/>
  <c r="DP215" i="6"/>
  <c r="F213" i="6"/>
  <c r="AM96" i="6"/>
  <c r="AM106" i="6" s="1"/>
  <c r="AM100" i="6"/>
  <c r="L96" i="6"/>
  <c r="L100" i="6"/>
  <c r="G96" i="6"/>
  <c r="G100" i="6"/>
  <c r="BD66" i="6"/>
  <c r="BE141" i="6"/>
  <c r="Y31" i="6"/>
  <c r="AN31" i="6"/>
  <c r="AN32" i="6" s="1"/>
  <c r="AM18" i="7"/>
  <c r="T18" i="7"/>
  <c r="AG16" i="7"/>
  <c r="AG18" i="7" s="1"/>
  <c r="AB16" i="7"/>
  <c r="M16" i="7"/>
  <c r="M18" i="7" s="1"/>
  <c r="H16" i="7"/>
  <c r="AA175" i="8"/>
  <c r="AA123" i="4" s="1"/>
  <c r="DC177" i="8"/>
  <c r="P175" i="8"/>
  <c r="AL174" i="8"/>
  <c r="DX164" i="8"/>
  <c r="AL164" i="8"/>
  <c r="AP163" i="8"/>
  <c r="AK163" i="8"/>
  <c r="AF163" i="8"/>
  <c r="V163" i="8"/>
  <c r="CY163" i="8"/>
  <c r="H163" i="8"/>
  <c r="Q124" i="8"/>
  <c r="M124" i="8"/>
  <c r="I124" i="8"/>
  <c r="AL141" i="8"/>
  <c r="R141" i="8"/>
  <c r="AR108" i="8"/>
  <c r="AR59" i="8" s="1"/>
  <c r="AN108" i="8"/>
  <c r="AN59" i="8" s="1"/>
  <c r="AJ108" i="8"/>
  <c r="AJ59" i="8" s="1"/>
  <c r="AF108" i="8"/>
  <c r="AF59" i="8" s="1"/>
  <c r="AB108" i="8"/>
  <c r="AB59" i="8" s="1"/>
  <c r="X108" i="8"/>
  <c r="X59" i="8" s="1"/>
  <c r="T108" i="8"/>
  <c r="T59" i="8" s="1"/>
  <c r="P108" i="8"/>
  <c r="P59" i="8" s="1"/>
  <c r="L108" i="8"/>
  <c r="L59" i="8" s="1"/>
  <c r="AM105" i="8"/>
  <c r="AM58" i="8" s="1"/>
  <c r="AI105" i="8"/>
  <c r="AI58" i="8" s="1"/>
  <c r="AE105" i="8"/>
  <c r="AE58" i="8" s="1"/>
  <c r="AA105" i="8"/>
  <c r="AA58" i="8" s="1"/>
  <c r="S105" i="8"/>
  <c r="S58" i="8" s="1"/>
  <c r="O105" i="8"/>
  <c r="O58" i="8" s="1"/>
  <c r="K105" i="8"/>
  <c r="K58" i="8" s="1"/>
  <c r="AA99" i="8"/>
  <c r="AS31" i="8"/>
  <c r="E31" i="8"/>
  <c r="E62" i="8" s="1"/>
  <c r="H29" i="8"/>
  <c r="AQ10" i="8"/>
  <c r="AG10" i="8"/>
  <c r="AJ200" i="6"/>
  <c r="DL201" i="6"/>
  <c r="U200" i="6"/>
  <c r="P200" i="6"/>
  <c r="CR201" i="6"/>
  <c r="BF144" i="6"/>
  <c r="U115" i="6"/>
  <c r="AQ93" i="6"/>
  <c r="AE100" i="6"/>
  <c r="AE98" i="6"/>
  <c r="AE59" i="6" s="1"/>
  <c r="AE96" i="6"/>
  <c r="AE106" i="6" s="1"/>
  <c r="AA17" i="6"/>
  <c r="AA23" i="6"/>
  <c r="AA25" i="6" s="1"/>
  <c r="AP160" i="6"/>
  <c r="AR147" i="6"/>
  <c r="AR68" i="6" s="1"/>
  <c r="L147" i="6"/>
  <c r="L68" i="6" s="1"/>
  <c r="AI141" i="6"/>
  <c r="AI66" i="6" s="1"/>
  <c r="AE141" i="6"/>
  <c r="AE66" i="6" s="1"/>
  <c r="W141" i="6"/>
  <c r="W66" i="6" s="1"/>
  <c r="O141" i="6"/>
  <c r="O66" i="6" s="1"/>
  <c r="M136" i="6"/>
  <c r="AB115" i="6"/>
  <c r="AH106" i="6"/>
  <c r="S87" i="6"/>
  <c r="AL85" i="6"/>
  <c r="AG85" i="6"/>
  <c r="AB85" i="6"/>
  <c r="W85" i="6"/>
  <c r="M85" i="6"/>
  <c r="H85" i="6"/>
  <c r="Q53" i="6"/>
  <c r="AT38" i="6"/>
  <c r="AT42" i="6" s="1"/>
  <c r="AT46" i="6" s="1"/>
  <c r="S38" i="6"/>
  <c r="S70" i="6" s="1"/>
  <c r="AQ36" i="6"/>
  <c r="V31" i="6"/>
  <c r="V32" i="6" s="1"/>
  <c r="AG29" i="6"/>
  <c r="Z25" i="6"/>
  <c r="Z29" i="4" s="1"/>
  <c r="Z28" i="3" s="1"/>
  <c r="AI23" i="6"/>
  <c r="AI25" i="6" s="1"/>
  <c r="V17" i="6"/>
  <c r="AN16" i="9"/>
  <c r="AJ160" i="6"/>
  <c r="AF160" i="6"/>
  <c r="L160" i="6"/>
  <c r="AL177" i="6"/>
  <c r="R177" i="6"/>
  <c r="S144" i="6"/>
  <c r="S67" i="6" s="1"/>
  <c r="K144" i="6"/>
  <c r="K67" i="6" s="1"/>
  <c r="AQ141" i="6"/>
  <c r="AQ66" i="6" s="1"/>
  <c r="V141" i="6"/>
  <c r="V66" i="6" s="1"/>
  <c r="W115" i="6"/>
  <c r="P115" i="6"/>
  <c r="P119" i="6" s="1"/>
  <c r="U119" i="6" s="1"/>
  <c r="Z119" i="6" s="1"/>
  <c r="AE119" i="6" s="1"/>
  <c r="AJ119" i="6" s="1"/>
  <c r="AO119" i="6" s="1"/>
  <c r="AT119" i="6" s="1"/>
  <c r="AY119" i="6" s="1"/>
  <c r="BD119" i="6" s="1"/>
  <c r="BI119" i="6" s="1"/>
  <c r="BN119" i="6" s="1"/>
  <c r="O115" i="6"/>
  <c r="O122" i="6" s="1"/>
  <c r="T122" i="6" s="1"/>
  <c r="Y122" i="6" s="1"/>
  <c r="AD122" i="6" s="1"/>
  <c r="AI122" i="6" s="1"/>
  <c r="AN122" i="6" s="1"/>
  <c r="AS122" i="6" s="1"/>
  <c r="AX122" i="6" s="1"/>
  <c r="BC122" i="6" s="1"/>
  <c r="Z106" i="6"/>
  <c r="AA100" i="6"/>
  <c r="AQ43" i="6"/>
  <c r="AP32" i="9"/>
  <c r="F38" i="6"/>
  <c r="F71" i="6" s="1"/>
  <c r="AE17" i="6"/>
  <c r="W179" i="10"/>
  <c r="Y179" i="10"/>
  <c r="AQ162" i="10"/>
  <c r="AS162" i="10"/>
  <c r="AT162" i="10"/>
  <c r="CT199" i="6"/>
  <c r="AI160" i="6"/>
  <c r="AE160" i="6"/>
  <c r="BG129" i="6"/>
  <c r="V115" i="6"/>
  <c r="L115" i="6"/>
  <c r="L121" i="6" s="1"/>
  <c r="L106" i="6"/>
  <c r="W93" i="6"/>
  <c r="L87" i="6"/>
  <c r="L108" i="6" s="1"/>
  <c r="AN87" i="6"/>
  <c r="AN108" i="6" s="1"/>
  <c r="E38" i="6"/>
  <c r="E70" i="6" s="1"/>
  <c r="AB29" i="6"/>
  <c r="AB20" i="9" s="1"/>
  <c r="H29" i="6"/>
  <c r="AP23" i="6"/>
  <c r="AP25" i="6" s="1"/>
  <c r="Q31" i="6"/>
  <c r="Q32" i="6" s="1"/>
  <c r="Y17" i="6"/>
  <c r="AB11" i="6"/>
  <c r="M11" i="6"/>
  <c r="H11" i="6"/>
  <c r="P16" i="9"/>
  <c r="CO156" i="10"/>
  <c r="AI149" i="10"/>
  <c r="AJ149" i="10"/>
  <c r="BT127" i="10"/>
  <c r="BT130" i="10" s="1"/>
  <c r="CQ127" i="10"/>
  <c r="BX127" i="10"/>
  <c r="BX130" i="10" s="1"/>
  <c r="DK127" i="10"/>
  <c r="L127" i="10"/>
  <c r="L130" i="10" s="1"/>
  <c r="CN127" i="10"/>
  <c r="CN130" i="10" s="1"/>
  <c r="DL127" i="10"/>
  <c r="BA90" i="10"/>
  <c r="BC90" i="10"/>
  <c r="Y37" i="10"/>
  <c r="AA40" i="10"/>
  <c r="AE35" i="10"/>
  <c r="AC35" i="10"/>
  <c r="AF40" i="10"/>
  <c r="T16" i="9"/>
  <c r="T18" i="9" s="1"/>
  <c r="BU165" i="10"/>
  <c r="Y152" i="10"/>
  <c r="Z152" i="10"/>
  <c r="M136" i="10"/>
  <c r="N136" i="10"/>
  <c r="P136" i="10"/>
  <c r="BA133" i="10"/>
  <c r="BB133" i="10"/>
  <c r="BD133" i="10"/>
  <c r="CE127" i="10"/>
  <c r="CE130" i="10" s="1"/>
  <c r="E128" i="10"/>
  <c r="AV120" i="10"/>
  <c r="AW120" i="10"/>
  <c r="AX120" i="10"/>
  <c r="AL117" i="10"/>
  <c r="AM117" i="10"/>
  <c r="AN117" i="10"/>
  <c r="AV115" i="10"/>
  <c r="AW115" i="10"/>
  <c r="AG113" i="10"/>
  <c r="AH113" i="10"/>
  <c r="AI113" i="10"/>
  <c r="AW100" i="10"/>
  <c r="AV100" i="10"/>
  <c r="AE98" i="10"/>
  <c r="AC98" i="10"/>
  <c r="H15" i="6"/>
  <c r="H23" i="6" s="1"/>
  <c r="AQ13" i="6"/>
  <c r="AL13" i="6"/>
  <c r="AG13" i="6"/>
  <c r="W11" i="6"/>
  <c r="CD180" i="10"/>
  <c r="BB178" i="10"/>
  <c r="BD178" i="10"/>
  <c r="BD180" i="10" s="1"/>
  <c r="AG173" i="10"/>
  <c r="AI173" i="10"/>
  <c r="AK175" i="10"/>
  <c r="AI154" i="10"/>
  <c r="AH154" i="10"/>
  <c r="W149" i="10"/>
  <c r="Y149" i="10"/>
  <c r="AG147" i="10"/>
  <c r="AI147" i="10"/>
  <c r="R118" i="10"/>
  <c r="S118" i="10"/>
  <c r="R114" i="10"/>
  <c r="T114" i="10"/>
  <c r="U114" i="10"/>
  <c r="S114" i="10"/>
  <c r="BF63" i="10"/>
  <c r="BI63" i="10"/>
  <c r="AL63" i="10"/>
  <c r="AO63" i="10"/>
  <c r="R63" i="10"/>
  <c r="U63" i="10"/>
  <c r="AI60" i="10"/>
  <c r="AG60" i="10"/>
  <c r="U52" i="10"/>
  <c r="V66" i="10"/>
  <c r="AL50" i="10"/>
  <c r="AM50" i="10"/>
  <c r="AP66" i="10"/>
  <c r="AJ16" i="9"/>
  <c r="L16" i="9"/>
  <c r="N174" i="10"/>
  <c r="O174" i="10"/>
  <c r="Q175" i="10"/>
  <c r="BI160" i="10"/>
  <c r="BG160" i="10"/>
  <c r="CE139" i="10"/>
  <c r="BH134" i="10"/>
  <c r="BI134" i="10"/>
  <c r="R125" i="10"/>
  <c r="S125" i="10"/>
  <c r="AO120" i="10"/>
  <c r="AM120" i="10"/>
  <c r="Z113" i="10"/>
  <c r="X113" i="10"/>
  <c r="AN98" i="10"/>
  <c r="W92" i="10"/>
  <c r="Y92" i="10"/>
  <c r="Z92" i="10"/>
  <c r="AL85" i="10"/>
  <c r="AN85" i="10"/>
  <c r="BF69" i="10"/>
  <c r="BG69" i="10"/>
  <c r="BZ180" i="10"/>
  <c r="BU180" i="10"/>
  <c r="DK180" i="10"/>
  <c r="CQ180" i="10"/>
  <c r="AR179" i="10"/>
  <c r="AC179" i="10"/>
  <c r="T179" i="10"/>
  <c r="DM175" i="10"/>
  <c r="CS175" i="10"/>
  <c r="CN175" i="10"/>
  <c r="BT175" i="10"/>
  <c r="BH174" i="10"/>
  <c r="U162" i="10"/>
  <c r="BB160" i="10"/>
  <c r="AI160" i="10"/>
  <c r="T159" i="10"/>
  <c r="AN154" i="10"/>
  <c r="AD154" i="10"/>
  <c r="P154" i="10"/>
  <c r="BG153" i="10"/>
  <c r="T149" i="10"/>
  <c r="AK139" i="10"/>
  <c r="AM136" i="10"/>
  <c r="O124" i="10"/>
  <c r="AS123" i="10"/>
  <c r="BB120" i="10"/>
  <c r="AX116" i="10"/>
  <c r="AM116" i="10"/>
  <c r="Y115" i="10"/>
  <c r="AR114" i="10"/>
  <c r="AM113" i="10"/>
  <c r="N112" i="10"/>
  <c r="BA100" i="10"/>
  <c r="AE99" i="10"/>
  <c r="Y98" i="10"/>
  <c r="DN94" i="10"/>
  <c r="BK189" i="6" s="1"/>
  <c r="Z84" i="10"/>
  <c r="X84" i="10"/>
  <c r="M71" i="10"/>
  <c r="O71" i="10"/>
  <c r="AV53" i="10"/>
  <c r="AY53" i="10"/>
  <c r="O35" i="10"/>
  <c r="Q40" i="10"/>
  <c r="BT180" i="10"/>
  <c r="DA175" i="10"/>
  <c r="DJ161" i="10"/>
  <c r="DF161" i="10" s="1"/>
  <c r="BX156" i="10"/>
  <c r="DI156" i="10"/>
  <c r="BF153" i="8" s="1"/>
  <c r="CJ156" i="10"/>
  <c r="BZ156" i="10"/>
  <c r="AQ86" i="10"/>
  <c r="AS86" i="10"/>
  <c r="AG84" i="10"/>
  <c r="AH84" i="10"/>
  <c r="AI84" i="10"/>
  <c r="M72" i="10"/>
  <c r="O72" i="10"/>
  <c r="P72" i="10"/>
  <c r="T64" i="10"/>
  <c r="U64" i="10"/>
  <c r="AT59" i="10"/>
  <c r="AS59" i="10"/>
  <c r="W51" i="10"/>
  <c r="Y51" i="10"/>
  <c r="AB49" i="10"/>
  <c r="AE49" i="10"/>
  <c r="CJ40" i="10"/>
  <c r="CE40" i="10"/>
  <c r="AG37" i="10"/>
  <c r="AH37" i="10"/>
  <c r="DG180" i="10"/>
  <c r="DB180" i="10"/>
  <c r="CW180" i="10"/>
  <c r="CM180" i="10"/>
  <c r="CH180" i="10"/>
  <c r="CC180" i="10"/>
  <c r="BS180" i="10"/>
  <c r="AP180" i="10"/>
  <c r="BA179" i="10"/>
  <c r="AT179" i="10"/>
  <c r="AN178" i="10"/>
  <c r="DE160" i="10"/>
  <c r="DD160" i="10" s="1"/>
  <c r="AO161" i="10"/>
  <c r="P161" i="10"/>
  <c r="AO154" i="10"/>
  <c r="BI153" i="10"/>
  <c r="O148" i="10"/>
  <c r="O147" i="10"/>
  <c r="DE134" i="10"/>
  <c r="DD134" i="10" s="1"/>
  <c r="AN136" i="10"/>
  <c r="AY135" i="10"/>
  <c r="AD135" i="10"/>
  <c r="O135" i="10"/>
  <c r="P124" i="10"/>
  <c r="BC120" i="10"/>
  <c r="AN113" i="10"/>
  <c r="O112" i="10"/>
  <c r="BF91" i="10"/>
  <c r="BH91" i="10"/>
  <c r="AX63" i="10"/>
  <c r="AY63" i="10"/>
  <c r="AD63" i="10"/>
  <c r="AE63" i="10"/>
  <c r="BG60" i="10"/>
  <c r="BF60" i="10"/>
  <c r="BH60" i="10"/>
  <c r="AG53" i="10"/>
  <c r="AI53" i="10"/>
  <c r="AJ51" i="10"/>
  <c r="AG51" i="10"/>
  <c r="AV49" i="10"/>
  <c r="AX49" i="10"/>
  <c r="BS40" i="10"/>
  <c r="BF35" i="10"/>
  <c r="BH35" i="10"/>
  <c r="D12" i="20"/>
  <c r="AM69" i="10"/>
  <c r="Z64" i="10"/>
  <c r="BD63" i="10"/>
  <c r="AS63" i="10"/>
  <c r="AJ63" i="10"/>
  <c r="Y63" i="10"/>
  <c r="P63" i="10"/>
  <c r="Y59" i="10"/>
  <c r="BC58" i="10"/>
  <c r="AM51" i="10"/>
  <c r="AX30" i="10"/>
  <c r="L94" i="10"/>
  <c r="BB69" i="10"/>
  <c r="AB20" i="10"/>
  <c r="AD20" i="10"/>
  <c r="R19" i="10"/>
  <c r="U19" i="10"/>
  <c r="BG84" i="10"/>
  <c r="AN84" i="10"/>
  <c r="CH75" i="10"/>
  <c r="BI64" i="10"/>
  <c r="AT64" i="10"/>
  <c r="N60" i="10"/>
  <c r="BD59" i="10"/>
  <c r="P59" i="10"/>
  <c r="BD58" i="10"/>
  <c r="Y56" i="10"/>
  <c r="O53" i="10"/>
  <c r="AO51" i="10"/>
  <c r="BG49" i="10"/>
  <c r="AD36" i="10"/>
  <c r="N36" i="10"/>
  <c r="AN35" i="10"/>
  <c r="AY30" i="10"/>
  <c r="AL24" i="10"/>
  <c r="AO24" i="10"/>
  <c r="BF19" i="10"/>
  <c r="BH19" i="10"/>
  <c r="X23" i="10"/>
  <c r="E180" i="10"/>
  <c r="DN180" i="10"/>
  <c r="DI180" i="10"/>
  <c r="CY180" i="10"/>
  <c r="CT180" i="10"/>
  <c r="CO180" i="10"/>
  <c r="BW180" i="10"/>
  <c r="BR180" i="10"/>
  <c r="V180" i="10"/>
  <c r="AO179" i="10"/>
  <c r="BH178" i="10"/>
  <c r="BC178" i="10"/>
  <c r="AI178" i="10"/>
  <c r="U178" i="10"/>
  <c r="DH175" i="10"/>
  <c r="BR175" i="10"/>
  <c r="BC174" i="10"/>
  <c r="DO162" i="10"/>
  <c r="BQ180" i="10"/>
  <c r="CL180" i="10"/>
  <c r="Q180" i="10"/>
  <c r="AK180" i="10"/>
  <c r="BG178" i="10"/>
  <c r="BG180" i="10" s="1"/>
  <c r="S178" i="10"/>
  <c r="S180" i="10" s="1"/>
  <c r="CR175" i="10"/>
  <c r="BY180" i="10"/>
  <c r="DF175" i="10"/>
  <c r="CV175" i="10"/>
  <c r="CQ175" i="10"/>
  <c r="CL175" i="10"/>
  <c r="CG175" i="10"/>
  <c r="CB175" i="10"/>
  <c r="CG165" i="10"/>
  <c r="BY156" i="10"/>
  <c r="AH152" i="10"/>
  <c r="CG156" i="10"/>
  <c r="CB156" i="10"/>
  <c r="AH148" i="10"/>
  <c r="AW147" i="10"/>
  <c r="DO136" i="10"/>
  <c r="BT139" i="10"/>
  <c r="X134" i="10"/>
  <c r="AH133" i="10"/>
  <c r="AZ127" i="10"/>
  <c r="AY127" i="10" s="1"/>
  <c r="AN125" i="10"/>
  <c r="AI125" i="10"/>
  <c r="BB124" i="10"/>
  <c r="AH124" i="10"/>
  <c r="AY123" i="10"/>
  <c r="AT123" i="10"/>
  <c r="AH123" i="10"/>
  <c r="S122" i="10"/>
  <c r="AH121" i="10"/>
  <c r="AW119" i="10"/>
  <c r="Y119" i="10"/>
  <c r="BG118" i="10"/>
  <c r="AR118" i="10"/>
  <c r="T118" i="10"/>
  <c r="N116" i="10"/>
  <c r="Z115" i="10"/>
  <c r="CT94" i="10"/>
  <c r="CQ94" i="10"/>
  <c r="CL94" i="10"/>
  <c r="CG94" i="10"/>
  <c r="BI91" i="10"/>
  <c r="AM91" i="10"/>
  <c r="X91" i="10"/>
  <c r="S91" i="10"/>
  <c r="BH90" i="10"/>
  <c r="AM90" i="10"/>
  <c r="CC165" i="10"/>
  <c r="BR156" i="10"/>
  <c r="CZ147" i="10"/>
  <c r="DL156" i="10"/>
  <c r="BI153" i="8" s="1"/>
  <c r="CC156" i="10"/>
  <c r="BT156" i="10"/>
  <c r="DJ135" i="10"/>
  <c r="DF135" i="10" s="1"/>
  <c r="BW139" i="10"/>
  <c r="AW162" i="10"/>
  <c r="AR162" i="10"/>
  <c r="Z162" i="10"/>
  <c r="AM161" i="10"/>
  <c r="T161" i="10"/>
  <c r="O161" i="10"/>
  <c r="AD160" i="10"/>
  <c r="BD154" i="10"/>
  <c r="AR154" i="10"/>
  <c r="AN153" i="10"/>
  <c r="AJ152" i="10"/>
  <c r="AD152" i="10"/>
  <c r="AS151" i="10"/>
  <c r="AD151" i="10"/>
  <c r="AP156" i="10"/>
  <c r="DH156" i="10"/>
  <c r="BE153" i="8" s="1"/>
  <c r="CN156" i="10"/>
  <c r="AO149" i="10"/>
  <c r="X149" i="10"/>
  <c r="AJ148" i="10"/>
  <c r="AE148" i="10"/>
  <c r="T148" i="10"/>
  <c r="AY147" i="10"/>
  <c r="N147" i="10"/>
  <c r="CM139" i="10"/>
  <c r="AI136" i="10"/>
  <c r="S136" i="10"/>
  <c r="AX135" i="10"/>
  <c r="AH135" i="10"/>
  <c r="Z134" i="10"/>
  <c r="U134" i="10"/>
  <c r="AY133" i="10"/>
  <c r="AJ133" i="10"/>
  <c r="AE133" i="10"/>
  <c r="S133" i="10"/>
  <c r="DH127" i="10"/>
  <c r="CJ127" i="10"/>
  <c r="CJ130" i="10" s="1"/>
  <c r="BW127" i="10"/>
  <c r="BW130" i="10" s="1"/>
  <c r="BI128" i="10"/>
  <c r="BG125" i="10"/>
  <c r="BD124" i="10"/>
  <c r="AY124" i="10"/>
  <c r="AM124" i="10"/>
  <c r="AC123" i="10"/>
  <c r="U122" i="10"/>
  <c r="O120" i="10"/>
  <c r="AR119" i="10"/>
  <c r="BI118" i="10"/>
  <c r="AM118" i="10"/>
  <c r="BC116" i="10"/>
  <c r="BC112" i="10"/>
  <c r="AM112" i="10"/>
  <c r="BY94" i="10"/>
  <c r="T174" i="10"/>
  <c r="AD173" i="10"/>
  <c r="CO165" i="10"/>
  <c r="X162" i="10"/>
  <c r="AR161" i="10"/>
  <c r="X161" i="10"/>
  <c r="S161" i="10"/>
  <c r="BD160" i="10"/>
  <c r="BH159" i="10"/>
  <c r="Y159" i="10"/>
  <c r="AI152" i="10"/>
  <c r="AM149" i="10"/>
  <c r="AI148" i="10"/>
  <c r="S148" i="10"/>
  <c r="AX147" i="10"/>
  <c r="BS139" i="10"/>
  <c r="AW135" i="10"/>
  <c r="Y134" i="10"/>
  <c r="AI133" i="10"/>
  <c r="CR127" i="10"/>
  <c r="CI127" i="10"/>
  <c r="CI130" i="10" s="1"/>
  <c r="BH128" i="10"/>
  <c r="AS128" i="10"/>
  <c r="AO125" i="10"/>
  <c r="AJ125" i="10"/>
  <c r="X125" i="10"/>
  <c r="BC124" i="10"/>
  <c r="AX124" i="10"/>
  <c r="N124" i="10"/>
  <c r="AR122" i="10"/>
  <c r="T122" i="10"/>
  <c r="AI121" i="10"/>
  <c r="X121" i="10"/>
  <c r="N120" i="10"/>
  <c r="Z119" i="10"/>
  <c r="BH118" i="10"/>
  <c r="U118" i="10"/>
  <c r="BB116" i="10"/>
  <c r="O116" i="10"/>
  <c r="AR115" i="10"/>
  <c r="AM114" i="10"/>
  <c r="BB112" i="10"/>
  <c r="AM99" i="10"/>
  <c r="AH99" i="10"/>
  <c r="BQ94" i="10"/>
  <c r="AR92" i="10"/>
  <c r="AC92" i="10"/>
  <c r="X92" i="10"/>
  <c r="AO91" i="10"/>
  <c r="T91" i="10"/>
  <c r="AN90" i="10"/>
  <c r="CX94" i="10"/>
  <c r="CN94" i="10"/>
  <c r="BZ94" i="10"/>
  <c r="BR94" i="10"/>
  <c r="CO94" i="10"/>
  <c r="BU94" i="10"/>
  <c r="U87" i="10"/>
  <c r="S87" i="10"/>
  <c r="DO72" i="10"/>
  <c r="CO75" i="10"/>
  <c r="AP75" i="10"/>
  <c r="CS66" i="10"/>
  <c r="BY66" i="10"/>
  <c r="DF66" i="10"/>
  <c r="BC199" i="5" s="1"/>
  <c r="CQ66" i="10"/>
  <c r="CL66" i="10"/>
  <c r="CG66" i="10"/>
  <c r="AE54" i="10"/>
  <c r="AE53" i="10"/>
  <c r="W53" i="10"/>
  <c r="X52" i="10"/>
  <c r="AN51" i="10"/>
  <c r="X51" i="10"/>
  <c r="AR50" i="10"/>
  <c r="X50" i="10"/>
  <c r="BC49" i="10"/>
  <c r="Z49" i="10"/>
  <c r="AK40" i="10"/>
  <c r="DO20" i="10"/>
  <c r="DL20" i="10" s="1"/>
  <c r="T26" i="10"/>
  <c r="BF25" i="10"/>
  <c r="AG25" i="10"/>
  <c r="W25" i="10"/>
  <c r="S23" i="10"/>
  <c r="AH87" i="10"/>
  <c r="AW86" i="10"/>
  <c r="AR86" i="10"/>
  <c r="AR85" i="10"/>
  <c r="AM85" i="10"/>
  <c r="BD72" i="10"/>
  <c r="AT70" i="10"/>
  <c r="AD70" i="10"/>
  <c r="S69" i="10"/>
  <c r="N69" i="10"/>
  <c r="AD64" i="10"/>
  <c r="Y64" i="10"/>
  <c r="BH63" i="10"/>
  <c r="BC63" i="10"/>
  <c r="AW63" i="10"/>
  <c r="AR63" i="10"/>
  <c r="AN63" i="10"/>
  <c r="AI63" i="10"/>
  <c r="AC63" i="10"/>
  <c r="X63" i="10"/>
  <c r="T63" i="10"/>
  <c r="BH62" i="10"/>
  <c r="AT62" i="10"/>
  <c r="AE61" i="10"/>
  <c r="AN60" i="10"/>
  <c r="P58" i="10"/>
  <c r="AW57" i="10"/>
  <c r="AT56" i="10"/>
  <c r="AN56" i="10"/>
  <c r="AC56" i="10"/>
  <c r="N56" i="10"/>
  <c r="BI55" i="10"/>
  <c r="BD55" i="10"/>
  <c r="AY55" i="10"/>
  <c r="AS55" i="10"/>
  <c r="AO55" i="10"/>
  <c r="AJ55" i="10"/>
  <c r="AE55" i="10"/>
  <c r="Y55" i="10"/>
  <c r="U55" i="10"/>
  <c r="P55" i="10"/>
  <c r="AJ54" i="10"/>
  <c r="AD53" i="10"/>
  <c r="Y49" i="10"/>
  <c r="BR40" i="10"/>
  <c r="CM40" i="10"/>
  <c r="CH40" i="10"/>
  <c r="Z24" i="10"/>
  <c r="AY22" i="10"/>
  <c r="BG19" i="10"/>
  <c r="BG87" i="10"/>
  <c r="AY87" i="10"/>
  <c r="BU75" i="10"/>
  <c r="CL75" i="10"/>
  <c r="CG75" i="10"/>
  <c r="BZ75" i="10"/>
  <c r="BR75" i="10"/>
  <c r="AJ72" i="10"/>
  <c r="N72" i="10"/>
  <c r="AY71" i="10"/>
  <c r="AI71" i="10"/>
  <c r="AO64" i="10"/>
  <c r="AC64" i="10"/>
  <c r="X64" i="10"/>
  <c r="BG63" i="10"/>
  <c r="BA63" i="10"/>
  <c r="AV63" i="10"/>
  <c r="AQ63" i="10"/>
  <c r="AM63" i="10"/>
  <c r="AG63" i="10"/>
  <c r="AB63" i="10"/>
  <c r="W63" i="10"/>
  <c r="S63" i="10"/>
  <c r="M63" i="10"/>
  <c r="T62" i="10"/>
  <c r="AD61" i="10"/>
  <c r="AC60" i="10"/>
  <c r="BI59" i="10"/>
  <c r="AY59" i="10"/>
  <c r="AO59" i="10"/>
  <c r="AE59" i="10"/>
  <c r="U59" i="10"/>
  <c r="AN58" i="10"/>
  <c r="Z58" i="10"/>
  <c r="O58" i="10"/>
  <c r="AW56" i="10"/>
  <c r="AS56" i="10"/>
  <c r="AL56" i="10"/>
  <c r="T56" i="10"/>
  <c r="M56" i="10"/>
  <c r="BH55" i="10"/>
  <c r="BC55" i="10"/>
  <c r="AW55" i="10"/>
  <c r="AR55" i="10"/>
  <c r="AN55" i="10"/>
  <c r="AI55" i="10"/>
  <c r="AC55" i="10"/>
  <c r="X55" i="10"/>
  <c r="T55" i="10"/>
  <c r="O55" i="10"/>
  <c r="BH54" i="10"/>
  <c r="AT54" i="10"/>
  <c r="AH53" i="10"/>
  <c r="AC53" i="10"/>
  <c r="AT52" i="10"/>
  <c r="AC52" i="10"/>
  <c r="T51" i="10"/>
  <c r="AN50" i="10"/>
  <c r="T50" i="10"/>
  <c r="X49" i="10"/>
  <c r="BT40" i="10"/>
  <c r="BI26" i="10"/>
  <c r="Y26" i="10"/>
  <c r="AC25" i="10"/>
  <c r="S25" i="10"/>
  <c r="BF24" i="10"/>
  <c r="AT24" i="10"/>
  <c r="AG24" i="10"/>
  <c r="AC23" i="10"/>
  <c r="BD22" i="10"/>
  <c r="N22" i="10"/>
  <c r="Y20" i="10"/>
  <c r="AN19" i="10"/>
  <c r="P19" i="10"/>
  <c r="AX87" i="10"/>
  <c r="O87" i="10"/>
  <c r="AT86" i="10"/>
  <c r="Z86" i="10"/>
  <c r="AO85" i="10"/>
  <c r="U85" i="10"/>
  <c r="BH84" i="10"/>
  <c r="AJ84" i="10"/>
  <c r="P84" i="10"/>
  <c r="BY75" i="10"/>
  <c r="AI72" i="10"/>
  <c r="AH71" i="10"/>
  <c r="Z70" i="10"/>
  <c r="BH69" i="10"/>
  <c r="P69" i="10"/>
  <c r="BB60" i="10"/>
  <c r="AT60" i="10"/>
  <c r="AH60" i="10"/>
  <c r="AB60" i="10"/>
  <c r="AY58" i="10"/>
  <c r="AY57" i="10"/>
  <c r="AV56" i="10"/>
  <c r="AR56" i="10"/>
  <c r="Z56" i="10"/>
  <c r="R56" i="10"/>
  <c r="BG55" i="10"/>
  <c r="BA55" i="10"/>
  <c r="AV55" i="10"/>
  <c r="AQ55" i="10"/>
  <c r="AM55" i="10"/>
  <c r="AG55" i="10"/>
  <c r="AB55" i="10"/>
  <c r="W55" i="10"/>
  <c r="S55" i="10"/>
  <c r="M55" i="10"/>
  <c r="DO37" i="10"/>
  <c r="CG40" i="10"/>
  <c r="AX36" i="10"/>
  <c r="AH36" i="10"/>
  <c r="Y36" i="10"/>
  <c r="AT30" i="10"/>
  <c r="O30" i="10"/>
  <c r="AY25" i="10"/>
  <c r="BG23" i="10"/>
  <c r="T23" i="10"/>
  <c r="BC22" i="10"/>
  <c r="AJ22" i="10"/>
  <c r="T22" i="10"/>
  <c r="BI19" i="10"/>
  <c r="BD19" i="10"/>
  <c r="AM19" i="10"/>
  <c r="AV97" i="4"/>
  <c r="P227" i="6"/>
  <c r="P230" i="6"/>
  <c r="P247" i="6"/>
  <c r="AE227" i="6"/>
  <c r="AE247" i="6"/>
  <c r="G227" i="6"/>
  <c r="G248" i="6"/>
  <c r="G236" i="6"/>
  <c r="AV273" i="6"/>
  <c r="AU269" i="6"/>
  <c r="P248" i="6"/>
  <c r="J248" i="6"/>
  <c r="O247" i="6"/>
  <c r="O236" i="6"/>
  <c r="AM226" i="6"/>
  <c r="AN226" i="6"/>
  <c r="Z226" i="6"/>
  <c r="AR211" i="6"/>
  <c r="AR124" i="4" s="1"/>
  <c r="CX213" i="6"/>
  <c r="AL211" i="6"/>
  <c r="AF211" i="6"/>
  <c r="AA211" i="6"/>
  <c r="V211" i="6"/>
  <c r="V213" i="6" s="1"/>
  <c r="L211" i="6"/>
  <c r="R210" i="6"/>
  <c r="E213" i="6"/>
  <c r="AO200" i="6"/>
  <c r="AK200" i="6"/>
  <c r="DC201" i="6"/>
  <c r="CY200" i="6"/>
  <c r="CT200" i="6"/>
  <c r="AP199" i="6"/>
  <c r="DR201" i="6"/>
  <c r="AJ147" i="6"/>
  <c r="AJ68" i="6" s="1"/>
  <c r="AX94" i="6"/>
  <c r="BC94" i="6" s="1"/>
  <c r="BC96" i="6" s="1"/>
  <c r="AS100" i="6"/>
  <c r="AK96" i="6"/>
  <c r="AK106" i="6" s="1"/>
  <c r="AP98" i="6"/>
  <c r="AP59" i="6" s="1"/>
  <c r="AK100" i="6"/>
  <c r="BI67" i="6"/>
  <c r="BJ144" i="6"/>
  <c r="F42" i="6"/>
  <c r="F46" i="6" s="1"/>
  <c r="F53" i="6" s="1"/>
  <c r="AS32" i="6"/>
  <c r="Y226" i="6"/>
  <c r="Y235" i="6" s="1"/>
  <c r="DC215" i="6"/>
  <c r="Q38" i="6"/>
  <c r="BB273" i="6"/>
  <c r="BB73" i="6" s="1"/>
  <c r="E263" i="6"/>
  <c r="F258" i="6" s="1"/>
  <c r="F263" i="6" s="1"/>
  <c r="G258" i="6" s="1"/>
  <c r="G263" i="6" s="1"/>
  <c r="H258" i="6" s="1"/>
  <c r="H263" i="6" s="1"/>
  <c r="J258" i="6" s="1"/>
  <c r="AI226" i="6"/>
  <c r="DL213" i="6"/>
  <c r="DB213" i="6"/>
  <c r="CR213" i="6"/>
  <c r="DX211" i="6"/>
  <c r="CR215" i="6"/>
  <c r="BC169" i="6"/>
  <c r="BC96" i="4" s="1"/>
  <c r="AP147" i="6"/>
  <c r="AP68" i="6" s="1"/>
  <c r="AH147" i="6"/>
  <c r="AH68" i="6" s="1"/>
  <c r="AL15" i="6"/>
  <c r="AL23" i="6" s="1"/>
  <c r="AL105" i="6"/>
  <c r="AC17" i="6"/>
  <c r="AC23" i="6"/>
  <c r="AC25" i="6" s="1"/>
  <c r="X261" i="6"/>
  <c r="S261" i="6"/>
  <c r="N261" i="6"/>
  <c r="AT235" i="6"/>
  <c r="I226" i="6"/>
  <c r="AF226" i="6"/>
  <c r="I212" i="6"/>
  <c r="DR213" i="6"/>
  <c r="DR215" i="6" s="1"/>
  <c r="DX213" i="6"/>
  <c r="DS211" i="6"/>
  <c r="DD211" i="6"/>
  <c r="CY210" i="6"/>
  <c r="CY213" i="6" s="1"/>
  <c r="U213" i="6"/>
  <c r="AN213" i="6"/>
  <c r="DN200" i="6"/>
  <c r="AB200" i="6"/>
  <c r="R200" i="6"/>
  <c r="K199" i="6"/>
  <c r="F199" i="6"/>
  <c r="M199" i="6"/>
  <c r="AK147" i="6"/>
  <c r="AK68" i="6" s="1"/>
  <c r="AG147" i="6"/>
  <c r="AG68" i="6" s="1"/>
  <c r="AC147" i="6"/>
  <c r="AC68" i="6" s="1"/>
  <c r="U147" i="6"/>
  <c r="U68" i="6" s="1"/>
  <c r="M147" i="6"/>
  <c r="M68" i="6" s="1"/>
  <c r="AI144" i="6"/>
  <c r="AI67" i="6" s="1"/>
  <c r="AY67" i="6"/>
  <c r="AZ144" i="6"/>
  <c r="AZ143" i="6" s="1"/>
  <c r="AN38" i="6"/>
  <c r="G38" i="6"/>
  <c r="S125" i="6"/>
  <c r="S60" i="6" s="1"/>
  <c r="K115" i="6"/>
  <c r="K121" i="6" s="1"/>
  <c r="P108" i="6"/>
  <c r="AR87" i="6"/>
  <c r="AR108" i="6" s="1"/>
  <c r="AW109" i="6" s="1"/>
  <c r="T108" i="6"/>
  <c r="F87" i="6"/>
  <c r="F108" i="6" s="1"/>
  <c r="AD135" i="6"/>
  <c r="R135" i="6"/>
  <c r="R146" i="5" s="1"/>
  <c r="J115" i="6"/>
  <c r="J119" i="6" s="1"/>
  <c r="O106" i="6"/>
  <c r="AJ98" i="6"/>
  <c r="AJ59" i="6" s="1"/>
  <c r="R93" i="6"/>
  <c r="M93" i="6"/>
  <c r="M29" i="6"/>
  <c r="AB13" i="6"/>
  <c r="AG11" i="6"/>
  <c r="AR141" i="6"/>
  <c r="AR66" i="6" s="1"/>
  <c r="AF141" i="6"/>
  <c r="AF66" i="6" s="1"/>
  <c r="X141" i="6"/>
  <c r="X66" i="6" s="1"/>
  <c r="P141" i="6"/>
  <c r="P66" i="6" s="1"/>
  <c r="AO136" i="6"/>
  <c r="E122" i="6"/>
  <c r="Q115" i="6"/>
  <c r="Q122" i="6" s="1"/>
  <c r="V122" i="6" s="1"/>
  <c r="AA122" i="6" s="1"/>
  <c r="AA106" i="6"/>
  <c r="K106" i="6"/>
  <c r="BA95" i="6"/>
  <c r="BF95" i="6" s="1"/>
  <c r="BK95" i="6" s="1"/>
  <c r="AA108" i="6"/>
  <c r="AR15" i="6"/>
  <c r="AR9" i="9" s="1"/>
  <c r="AR16" i="9" s="1"/>
  <c r="AR18" i="9" s="1"/>
  <c r="AM15" i="6"/>
  <c r="AM9" i="9" s="1"/>
  <c r="AM16" i="9" s="1"/>
  <c r="AM18" i="9" s="1"/>
  <c r="M15" i="6"/>
  <c r="M23" i="6" s="1"/>
  <c r="M25" i="6" s="1"/>
  <c r="S147" i="6"/>
  <c r="S68" i="6" s="1"/>
  <c r="K147" i="6"/>
  <c r="K68" i="6" s="1"/>
  <c r="AN144" i="6"/>
  <c r="AN67" i="6" s="1"/>
  <c r="T144" i="6"/>
  <c r="T67" i="6" s="1"/>
  <c r="L144" i="6"/>
  <c r="L67" i="6" s="1"/>
  <c r="AP141" i="6"/>
  <c r="AP66" i="6" s="1"/>
  <c r="Z141" i="6"/>
  <c r="Z66" i="6" s="1"/>
  <c r="J141" i="6"/>
  <c r="J66" i="6" s="1"/>
  <c r="AO96" i="6"/>
  <c r="AO106" i="6" s="1"/>
  <c r="X86" i="6"/>
  <c r="X87" i="6" s="1"/>
  <c r="X108" i="6" s="1"/>
  <c r="AL28" i="6"/>
  <c r="AL29" i="6" s="1"/>
  <c r="N23" i="6"/>
  <c r="N25" i="6" s="1"/>
  <c r="I23" i="6"/>
  <c r="I25" i="6" s="1"/>
  <c r="AH15" i="6"/>
  <c r="AH9" i="9" s="1"/>
  <c r="X15" i="6"/>
  <c r="AH224" i="8"/>
  <c r="X224" i="8"/>
  <c r="S225" i="8"/>
  <c r="J222" i="8"/>
  <c r="F191" i="8"/>
  <c r="F200" i="8"/>
  <c r="AF25" i="8"/>
  <c r="I218" i="8"/>
  <c r="BI60" i="8"/>
  <c r="BJ111" i="8"/>
  <c r="N224" i="8"/>
  <c r="BJ108" i="8"/>
  <c r="DQ177" i="8"/>
  <c r="DQ179" i="8" s="1"/>
  <c r="BK175" i="8"/>
  <c r="BK123" i="4" s="1"/>
  <c r="AJ174" i="8"/>
  <c r="DI169" i="8"/>
  <c r="DK165" i="8"/>
  <c r="Y105" i="8"/>
  <c r="Y58" i="8" s="1"/>
  <c r="U105" i="8"/>
  <c r="U58" i="8" s="1"/>
  <c r="Q105" i="8"/>
  <c r="Q58" i="8" s="1"/>
  <c r="M105" i="8"/>
  <c r="M58" i="8" s="1"/>
  <c r="AP97" i="8"/>
  <c r="AB85" i="8"/>
  <c r="H85" i="8"/>
  <c r="H87" i="8" s="1"/>
  <c r="H97" i="8" s="1"/>
  <c r="T99" i="8"/>
  <c r="Q78" i="8"/>
  <c r="Q99" i="8" s="1"/>
  <c r="L78" i="8"/>
  <c r="L99" i="8" s="1"/>
  <c r="G78" i="8"/>
  <c r="G99" i="8" s="1"/>
  <c r="AR24" i="8"/>
  <c r="AR25" i="8" s="1"/>
  <c r="X24" i="8"/>
  <c r="CY176" i="8"/>
  <c r="BF175" i="8"/>
  <c r="BF123" i="4" s="1"/>
  <c r="AJ175" i="8"/>
  <c r="AJ123" i="4" s="1"/>
  <c r="DI170" i="8"/>
  <c r="AN170" i="8"/>
  <c r="T170" i="8"/>
  <c r="P170" i="8"/>
  <c r="AB138" i="8"/>
  <c r="AO111" i="8"/>
  <c r="AO60" i="8" s="1"/>
  <c r="AK111" i="8"/>
  <c r="AK60" i="8" s="1"/>
  <c r="AG111" i="8"/>
  <c r="AG60" i="8" s="1"/>
  <c r="AC111" i="8"/>
  <c r="AC60" i="8" s="1"/>
  <c r="Y111" i="8"/>
  <c r="Y60" i="8" s="1"/>
  <c r="Q111" i="8"/>
  <c r="Q60" i="8" s="1"/>
  <c r="M111" i="8"/>
  <c r="M60" i="8" s="1"/>
  <c r="AF100" i="8"/>
  <c r="AN97" i="8"/>
  <c r="Y99" i="8"/>
  <c r="AN78" i="8"/>
  <c r="AN99" i="8" s="1"/>
  <c r="AJ78" i="8"/>
  <c r="AJ99" i="8" s="1"/>
  <c r="Z78" i="8"/>
  <c r="Z99" i="8" s="1"/>
  <c r="AO31" i="8"/>
  <c r="AJ24" i="8"/>
  <c r="P24" i="8"/>
  <c r="G24" i="8"/>
  <c r="AL16" i="8"/>
  <c r="AL18" i="8" s="1"/>
  <c r="AB16" i="8"/>
  <c r="AB18" i="8" s="1"/>
  <c r="R16" i="8"/>
  <c r="R18" i="8" s="1"/>
  <c r="R28" i="4" s="1"/>
  <c r="H16" i="8"/>
  <c r="H18" i="8" s="1"/>
  <c r="H28" i="4" s="1"/>
  <c r="F175" i="8"/>
  <c r="F177" i="8" s="1"/>
  <c r="DU177" i="8"/>
  <c r="AO99" i="8"/>
  <c r="AT100" i="8" s="1"/>
  <c r="V99" i="8"/>
  <c r="AD99" i="8"/>
  <c r="AD100" i="8" s="1"/>
  <c r="K99" i="8"/>
  <c r="F99" i="8"/>
  <c r="AI91" i="8"/>
  <c r="AD91" i="8"/>
  <c r="AU76" i="8"/>
  <c r="AQ76" i="8"/>
  <c r="W76" i="8"/>
  <c r="R76" i="8"/>
  <c r="K24" i="8"/>
  <c r="K25" i="8" s="1"/>
  <c r="CU177" i="8"/>
  <c r="N177" i="8" s="1"/>
  <c r="V176" i="8"/>
  <c r="AL175" i="8"/>
  <c r="AL123" i="4" s="1"/>
  <c r="AD170" i="8"/>
  <c r="Q164" i="8"/>
  <c r="EA165" i="8"/>
  <c r="EA179" i="8" s="1"/>
  <c r="AO163" i="8"/>
  <c r="AO165" i="8" s="1"/>
  <c r="R163" i="8"/>
  <c r="AB118" i="8"/>
  <c r="AB124" i="8" s="1"/>
  <c r="H118" i="8"/>
  <c r="H124" i="8" s="1"/>
  <c r="AQ111" i="8"/>
  <c r="AQ60" i="8" s="1"/>
  <c r="AM111" i="8"/>
  <c r="AM60" i="8" s="1"/>
  <c r="AI111" i="8"/>
  <c r="AI60" i="8" s="1"/>
  <c r="AE111" i="8"/>
  <c r="AE60" i="8" s="1"/>
  <c r="AA111" i="8"/>
  <c r="AA60" i="8" s="1"/>
  <c r="W111" i="8"/>
  <c r="W60" i="8" s="1"/>
  <c r="X111" i="8"/>
  <c r="X60" i="8" s="1"/>
  <c r="O111" i="8"/>
  <c r="O60" i="8" s="1"/>
  <c r="K111" i="8"/>
  <c r="K60" i="8" s="1"/>
  <c r="L111" i="8"/>
  <c r="L60" i="8" s="1"/>
  <c r="AD97" i="8"/>
  <c r="AY97" i="8"/>
  <c r="AI99" i="8"/>
  <c r="AN24" i="8"/>
  <c r="T24" i="8"/>
  <c r="AI24" i="8"/>
  <c r="AI25" i="8" s="1"/>
  <c r="AJ239" i="7"/>
  <c r="AJ238" i="7"/>
  <c r="AJ251" i="7" s="1"/>
  <c r="T230" i="7"/>
  <c r="T250" i="7"/>
  <c r="T239" i="7"/>
  <c r="T251" i="7"/>
  <c r="AF238" i="7"/>
  <c r="AF251" i="7" s="1"/>
  <c r="S263" i="7"/>
  <c r="AP214" i="7"/>
  <c r="AP122" i="4" s="1"/>
  <c r="DI214" i="7"/>
  <c r="V214" i="7"/>
  <c r="AO208" i="7"/>
  <c r="AJ208" i="7"/>
  <c r="AE208" i="7"/>
  <c r="DD203" i="7"/>
  <c r="AQ204" i="7"/>
  <c r="AN138" i="7"/>
  <c r="AY89" i="7"/>
  <c r="BD89" i="7" s="1"/>
  <c r="BI89" i="7" s="1"/>
  <c r="AT90" i="7"/>
  <c r="AT111" i="7" s="1"/>
  <c r="BI71" i="7"/>
  <c r="AZ150" i="7"/>
  <c r="AZ149" i="7" s="1"/>
  <c r="AP239" i="7"/>
  <c r="DB216" i="7"/>
  <c r="AP202" i="7"/>
  <c r="AK202" i="7"/>
  <c r="CT203" i="7"/>
  <c r="T112" i="7"/>
  <c r="L229" i="7"/>
  <c r="L238" i="7" s="1"/>
  <c r="L250" i="7" s="1"/>
  <c r="AQ228" i="7"/>
  <c r="AF214" i="7"/>
  <c r="AF122" i="4" s="1"/>
  <c r="CT216" i="7"/>
  <c r="AC214" i="7"/>
  <c r="AC122" i="4" s="1"/>
  <c r="DQ218" i="7"/>
  <c r="P209" i="7"/>
  <c r="L209" i="7"/>
  <c r="AE202" i="7"/>
  <c r="AE204" i="7" s="1"/>
  <c r="Z202" i="7"/>
  <c r="U202" i="7"/>
  <c r="K203" i="7"/>
  <c r="BD71" i="7"/>
  <c r="BE147" i="7"/>
  <c r="E266" i="7"/>
  <c r="F261" i="7" s="1"/>
  <c r="F266" i="7" s="1"/>
  <c r="G261" i="7" s="1"/>
  <c r="G266" i="7" s="1"/>
  <c r="H261" i="7" s="1"/>
  <c r="H266" i="7" s="1"/>
  <c r="I266" i="7" s="1"/>
  <c r="AM264" i="7"/>
  <c r="I257" i="7"/>
  <c r="AR238" i="7"/>
  <c r="DK216" i="7"/>
  <c r="CP216" i="7"/>
  <c r="I216" i="7" s="1"/>
  <c r="EA216" i="7"/>
  <c r="EA218" i="7" s="1"/>
  <c r="DS213" i="7"/>
  <c r="DY209" i="7"/>
  <c r="AR209" i="7" s="1"/>
  <c r="DP209" i="7"/>
  <c r="AF208" i="7"/>
  <c r="AA208" i="7"/>
  <c r="V208" i="7"/>
  <c r="BJ208" i="7"/>
  <c r="BK208" i="7" s="1"/>
  <c r="AI204" i="7"/>
  <c r="T204" i="7"/>
  <c r="AI144" i="7"/>
  <c r="AI70" i="7" s="1"/>
  <c r="AE144" i="7"/>
  <c r="AE70" i="7" s="1"/>
  <c r="AA144" i="7"/>
  <c r="AA70" i="7" s="1"/>
  <c r="W144" i="7"/>
  <c r="W70" i="7" s="1"/>
  <c r="S144" i="7"/>
  <c r="S70" i="7" s="1"/>
  <c r="O144" i="7"/>
  <c r="O70" i="7" s="1"/>
  <c r="K144" i="7"/>
  <c r="K70" i="7" s="1"/>
  <c r="Y138" i="7"/>
  <c r="P118" i="7"/>
  <c r="P121" i="7" s="1"/>
  <c r="AB96" i="7"/>
  <c r="AB97" i="7" s="1"/>
  <c r="AB99" i="7" s="1"/>
  <c r="AB109" i="7" s="1"/>
  <c r="N150" i="7"/>
  <c r="N72" i="7" s="1"/>
  <c r="AM129" i="7"/>
  <c r="O118" i="7"/>
  <c r="I117" i="7"/>
  <c r="I137" i="7" s="1"/>
  <c r="N138" i="7" s="1"/>
  <c r="W177" i="7"/>
  <c r="AQ155" i="7"/>
  <c r="AG155" i="7"/>
  <c r="AG157" i="7" s="1"/>
  <c r="AG163" i="7" s="1"/>
  <c r="AQ147" i="7"/>
  <c r="AQ71" i="7" s="1"/>
  <c r="AA147" i="7"/>
  <c r="AA71" i="7" s="1"/>
  <c r="AR127" i="7"/>
  <c r="AR61" i="7" s="1"/>
  <c r="X125" i="7"/>
  <c r="X129" i="7" s="1"/>
  <c r="Q111" i="7"/>
  <c r="AQ89" i="7"/>
  <c r="BA89" i="7" s="1"/>
  <c r="BF89" i="7" s="1"/>
  <c r="BK89" i="7" s="1"/>
  <c r="R89" i="7"/>
  <c r="R37" i="7"/>
  <c r="R25" i="9" s="1"/>
  <c r="H37" i="7"/>
  <c r="AB177" i="7"/>
  <c r="H177" i="7"/>
  <c r="AL157" i="7"/>
  <c r="AL163" i="7" s="1"/>
  <c r="AB157" i="7"/>
  <c r="AB163" i="7" s="1"/>
  <c r="R157" i="7"/>
  <c r="R163" i="7" s="1"/>
  <c r="H157" i="7"/>
  <c r="AM150" i="7"/>
  <c r="AM72" i="7" s="1"/>
  <c r="AI150" i="7"/>
  <c r="AI72" i="7" s="1"/>
  <c r="AE150" i="7"/>
  <c r="AE72" i="7" s="1"/>
  <c r="AA150" i="7"/>
  <c r="AA72" i="7" s="1"/>
  <c r="W150" i="7"/>
  <c r="W72" i="7" s="1"/>
  <c r="S150" i="7"/>
  <c r="S72" i="7" s="1"/>
  <c r="O150" i="7"/>
  <c r="O72" i="7" s="1"/>
  <c r="K150" i="7"/>
  <c r="K72" i="7" s="1"/>
  <c r="AM147" i="7"/>
  <c r="AM71" i="7" s="1"/>
  <c r="AE147" i="7"/>
  <c r="AE71" i="7" s="1"/>
  <c r="W147" i="7"/>
  <c r="W71" i="7" s="1"/>
  <c r="O147" i="7"/>
  <c r="O71" i="7" s="1"/>
  <c r="T144" i="7"/>
  <c r="T70" i="7" s="1"/>
  <c r="AG138" i="7"/>
  <c r="AK109" i="7"/>
  <c r="J109" i="7"/>
  <c r="AQ96" i="7"/>
  <c r="W96" i="7"/>
  <c r="W97" i="7" s="1"/>
  <c r="R96" i="7"/>
  <c r="R97" i="7" s="1"/>
  <c r="R103" i="7" s="1"/>
  <c r="J101" i="7"/>
  <c r="J60" i="7" s="1"/>
  <c r="M96" i="7"/>
  <c r="AP90" i="7"/>
  <c r="AP111" i="7" s="1"/>
  <c r="BB63" i="7"/>
  <c r="BB38" i="2" s="1"/>
  <c r="AQ37" i="7"/>
  <c r="W37" i="7"/>
  <c r="P245" i="5"/>
  <c r="P237" i="5" s="1"/>
  <c r="AO258" i="5"/>
  <c r="AO246" i="5"/>
  <c r="AS245" i="5"/>
  <c r="Q245" i="5"/>
  <c r="Z236" i="5"/>
  <c r="AC236" i="5"/>
  <c r="AC221" i="5"/>
  <c r="AC121" i="4" s="1"/>
  <c r="DH223" i="5"/>
  <c r="DO223" i="5"/>
  <c r="AH223" i="5" s="1"/>
  <c r="DF223" i="5"/>
  <c r="T223" i="5"/>
  <c r="DJ216" i="5"/>
  <c r="AC216" i="5" s="1"/>
  <c r="P216" i="5"/>
  <c r="AP215" i="5"/>
  <c r="V215" i="5"/>
  <c r="Q216" i="5"/>
  <c r="J216" i="5"/>
  <c r="F216" i="5"/>
  <c r="AP210" i="5"/>
  <c r="AF210" i="5"/>
  <c r="AA210" i="5"/>
  <c r="L246" i="5"/>
  <c r="Z210" i="5"/>
  <c r="DG211" i="5"/>
  <c r="AJ142" i="5"/>
  <c r="AJ146" i="5"/>
  <c r="AO142" i="5"/>
  <c r="T142" i="5"/>
  <c r="Y142" i="5"/>
  <c r="L142" i="5"/>
  <c r="Q142" i="5"/>
  <c r="AH271" i="5"/>
  <c r="J258" i="5"/>
  <c r="J257" i="5"/>
  <c r="J246" i="5"/>
  <c r="E245" i="5"/>
  <c r="AQ235" i="5"/>
  <c r="DW223" i="5"/>
  <c r="DW225" i="5" s="1"/>
  <c r="AN223" i="5"/>
  <c r="R213" i="5"/>
  <c r="R179" i="5" s="1"/>
  <c r="CY213" i="5"/>
  <c r="AC131" i="5"/>
  <c r="AC61" i="5" s="1"/>
  <c r="AC139" i="5"/>
  <c r="I133" i="5"/>
  <c r="I139" i="5"/>
  <c r="BI70" i="5"/>
  <c r="BJ153" i="5"/>
  <c r="E258" i="5"/>
  <c r="AC264" i="5"/>
  <c r="I264" i="5"/>
  <c r="Y236" i="5"/>
  <c r="DZ216" i="5"/>
  <c r="DK216" i="5"/>
  <c r="AD142" i="5"/>
  <c r="N139" i="5"/>
  <c r="AM131" i="5"/>
  <c r="AM61" i="5" s="1"/>
  <c r="G98" i="5"/>
  <c r="G102" i="5"/>
  <c r="DX210" i="5"/>
  <c r="AL210" i="5"/>
  <c r="DI210" i="5"/>
  <c r="DD210" i="5"/>
  <c r="R210" i="5"/>
  <c r="AP209" i="5"/>
  <c r="AA209" i="5"/>
  <c r="AA211" i="5" s="1"/>
  <c r="V209" i="5"/>
  <c r="BJ174" i="5"/>
  <c r="AZ172" i="5"/>
  <c r="S163" i="5"/>
  <c r="AH110" i="5"/>
  <c r="L210" i="5"/>
  <c r="G210" i="5"/>
  <c r="AE209" i="5"/>
  <c r="Z209" i="5"/>
  <c r="AU169" i="5"/>
  <c r="S153" i="5"/>
  <c r="S70" i="5" s="1"/>
  <c r="AZ152" i="5"/>
  <c r="AR153" i="5"/>
  <c r="AR70" i="5" s="1"/>
  <c r="AA150" i="5"/>
  <c r="AA69" i="5" s="1"/>
  <c r="AS69" i="5"/>
  <c r="AO150" i="5"/>
  <c r="AO69" i="5" s="1"/>
  <c r="AK150" i="5"/>
  <c r="AK69" i="5" s="1"/>
  <c r="AG150" i="5"/>
  <c r="AG69" i="5" s="1"/>
  <c r="AC150" i="5"/>
  <c r="AC69" i="5" s="1"/>
  <c r="AC35" i="2" s="1"/>
  <c r="Y150" i="5"/>
  <c r="Y69" i="5" s="1"/>
  <c r="U150" i="5"/>
  <c r="U69" i="5" s="1"/>
  <c r="Q150" i="5"/>
  <c r="Q69" i="5" s="1"/>
  <c r="M150" i="5"/>
  <c r="M69" i="5" s="1"/>
  <c r="AM139" i="5"/>
  <c r="S139" i="5"/>
  <c r="AR131" i="5"/>
  <c r="AR61" i="5" s="1"/>
  <c r="X131" i="5"/>
  <c r="X61" i="5" s="1"/>
  <c r="M121" i="5"/>
  <c r="F121" i="5"/>
  <c r="P111" i="5"/>
  <c r="N39" i="5"/>
  <c r="AR32" i="5"/>
  <c r="AR251" i="5" s="1"/>
  <c r="AR264" i="5" s="1"/>
  <c r="R11" i="5"/>
  <c r="F211" i="5"/>
  <c r="AT169" i="5"/>
  <c r="Z169" i="5"/>
  <c r="AI142" i="5"/>
  <c r="S131" i="5"/>
  <c r="S61" i="5" s="1"/>
  <c r="L100" i="5"/>
  <c r="L60" i="5" s="1"/>
  <c r="AP110" i="5"/>
  <c r="AB87" i="5"/>
  <c r="W87" i="5"/>
  <c r="W102" i="5" s="1"/>
  <c r="R87" i="5"/>
  <c r="H87" i="5"/>
  <c r="AU39" i="5"/>
  <c r="K32" i="5"/>
  <c r="W24" i="5"/>
  <c r="E216" i="5"/>
  <c r="DK211" i="5"/>
  <c r="CQ211" i="5"/>
  <c r="CQ225" i="5" s="1"/>
  <c r="DZ211" i="5"/>
  <c r="DF211" i="5"/>
  <c r="DS209" i="5"/>
  <c r="N163" i="5"/>
  <c r="AQ161" i="5"/>
  <c r="AS71" i="5"/>
  <c r="AO156" i="5"/>
  <c r="AO71" i="5" s="1"/>
  <c r="AK156" i="5"/>
  <c r="AK71" i="5" s="1"/>
  <c r="AG156" i="5"/>
  <c r="AG71" i="5" s="1"/>
  <c r="AC156" i="5"/>
  <c r="AC71" i="5" s="1"/>
  <c r="Y156" i="5"/>
  <c r="Y71" i="5" s="1"/>
  <c r="U156" i="5"/>
  <c r="U71" i="5" s="1"/>
  <c r="Q156" i="5"/>
  <c r="Q71" i="5" s="1"/>
  <c r="M156" i="5"/>
  <c r="M71" i="5" s="1"/>
  <c r="N156" i="5"/>
  <c r="N71" i="5" s="1"/>
  <c r="AZ149" i="5"/>
  <c r="AZ20" i="5" s="1"/>
  <c r="AQ150" i="5"/>
  <c r="AQ69" i="5" s="1"/>
  <c r="AM150" i="5"/>
  <c r="AM69" i="5" s="1"/>
  <c r="AM35" i="2" s="1"/>
  <c r="AE150" i="5"/>
  <c r="AE69" i="5" s="1"/>
  <c r="AG141" i="5"/>
  <c r="AD108" i="5"/>
  <c r="AX96" i="5"/>
  <c r="AX98" i="5" s="1"/>
  <c r="N110" i="5"/>
  <c r="I39" i="5"/>
  <c r="AG16" i="5"/>
  <c r="AG24" i="5" s="1"/>
  <c r="AB16" i="5"/>
  <c r="AB24" i="5" s="1"/>
  <c r="H16" i="5"/>
  <c r="H24" i="5" s="1"/>
  <c r="H26" i="5" s="1"/>
  <c r="AS211" i="4"/>
  <c r="Y209" i="4"/>
  <c r="Y225" i="4"/>
  <c r="AK185" i="4"/>
  <c r="AP62" i="3" s="1"/>
  <c r="AO185" i="4"/>
  <c r="E209" i="4"/>
  <c r="AE228" i="4"/>
  <c r="O228" i="4"/>
  <c r="N183" i="4"/>
  <c r="AQ182" i="4"/>
  <c r="AD185" i="4"/>
  <c r="AI62" i="3" s="1"/>
  <c r="Y185" i="4"/>
  <c r="T185" i="4"/>
  <c r="O185" i="4"/>
  <c r="T62" i="3" s="1"/>
  <c r="E185" i="4"/>
  <c r="AQ183" i="4"/>
  <c r="S176" i="4"/>
  <c r="I176" i="4"/>
  <c r="AF176" i="4"/>
  <c r="AF185" i="4" s="1"/>
  <c r="Q176" i="4"/>
  <c r="Q185" i="4" s="1"/>
  <c r="H176" i="4"/>
  <c r="AR170" i="4"/>
  <c r="AM170" i="4"/>
  <c r="N170" i="4"/>
  <c r="AG169" i="4"/>
  <c r="AH170" i="4"/>
  <c r="AU46" i="4"/>
  <c r="AH247" i="4"/>
  <c r="CZ29" i="3" s="1"/>
  <c r="AN185" i="4"/>
  <c r="V185" i="4"/>
  <c r="AA62" i="3" s="1"/>
  <c r="AD50" i="4"/>
  <c r="AD54" i="4" s="1"/>
  <c r="AD117" i="4"/>
  <c r="AD116" i="4"/>
  <c r="AD256" i="4" s="1"/>
  <c r="AI240" i="4"/>
  <c r="AG207" i="4"/>
  <c r="S183" i="4"/>
  <c r="I183" i="4"/>
  <c r="AE176" i="4"/>
  <c r="AE185" i="4" s="1"/>
  <c r="AJ62" i="3" s="1"/>
  <c r="N116" i="4"/>
  <c r="M256" i="4"/>
  <c r="AH242" i="4"/>
  <c r="CZ24" i="3" s="1"/>
  <c r="AI229" i="4"/>
  <c r="AF229" i="4"/>
  <c r="AK228" i="4"/>
  <c r="K228" i="4"/>
  <c r="AB200" i="4"/>
  <c r="H200" i="4"/>
  <c r="U185" i="4"/>
  <c r="K185" i="4"/>
  <c r="AQ170" i="4"/>
  <c r="X40" i="4"/>
  <c r="X235" i="4" s="1"/>
  <c r="X46" i="4"/>
  <c r="D19" i="20" s="1"/>
  <c r="AP151" i="4"/>
  <c r="AP74" i="4" s="1"/>
  <c r="S144" i="4"/>
  <c r="CK58" i="3" s="1"/>
  <c r="AE139" i="4"/>
  <c r="Z139" i="4"/>
  <c r="P139" i="4"/>
  <c r="K139" i="4"/>
  <c r="AQ138" i="4"/>
  <c r="AG138" i="4"/>
  <c r="AB138" i="4"/>
  <c r="AM72" i="4"/>
  <c r="X72" i="4"/>
  <c r="CY142" i="4"/>
  <c r="V138" i="4"/>
  <c r="Q138" i="4"/>
  <c r="G138" i="4"/>
  <c r="BX98" i="4"/>
  <c r="BL51" i="4"/>
  <c r="BG51" i="4"/>
  <c r="AD40" i="4"/>
  <c r="DD152" i="4"/>
  <c r="H152" i="4"/>
  <c r="AB148" i="4"/>
  <c r="AJ144" i="4"/>
  <c r="AJ145" i="4" s="1"/>
  <c r="AP46" i="4"/>
  <c r="E46" i="4"/>
  <c r="DV154" i="4"/>
  <c r="DA154" i="4"/>
  <c r="L154" i="4"/>
  <c r="W148" i="4"/>
  <c r="DP145" i="4"/>
  <c r="AP144" i="4"/>
  <c r="AP145" i="4" s="1"/>
  <c r="AA139" i="4"/>
  <c r="V139" i="4"/>
  <c r="Q139" i="4"/>
  <c r="L139" i="4"/>
  <c r="F139" i="4"/>
  <c r="I46" i="4"/>
  <c r="D23" i="20"/>
  <c r="DB133" i="10"/>
  <c r="CX133" i="10"/>
  <c r="AB116" i="10"/>
  <c r="AC116" i="10"/>
  <c r="AD116" i="10"/>
  <c r="AE116" i="10"/>
  <c r="AY114" i="10"/>
  <c r="AW114" i="10"/>
  <c r="DI66" i="10"/>
  <c r="BF199" i="5" s="1"/>
  <c r="CO66" i="10"/>
  <c r="BZ66" i="10"/>
  <c r="DG66" i="10"/>
  <c r="BD199" i="5" s="1"/>
  <c r="CC66" i="10"/>
  <c r="AS58" i="10"/>
  <c r="AT58" i="10"/>
  <c r="AV24" i="10"/>
  <c r="AW24" i="10"/>
  <c r="AX24" i="10"/>
  <c r="AG23" i="10"/>
  <c r="AJ23" i="10"/>
  <c r="AQ20" i="10"/>
  <c r="AR20" i="10"/>
  <c r="AS20" i="10"/>
  <c r="AT20" i="10"/>
  <c r="DA180" i="10"/>
  <c r="BE180" i="10"/>
  <c r="BH179" i="10"/>
  <c r="AS179" i="10"/>
  <c r="AN179" i="10"/>
  <c r="X179" i="10"/>
  <c r="AM178" i="10"/>
  <c r="AM180" i="10" s="1"/>
  <c r="AB180" i="10"/>
  <c r="T178" i="10"/>
  <c r="O178" i="10"/>
  <c r="DN175" i="10"/>
  <c r="CY175" i="10"/>
  <c r="CT175" i="10"/>
  <c r="BS175" i="10"/>
  <c r="BE175" i="10"/>
  <c r="BG174" i="10"/>
  <c r="AO174" i="10"/>
  <c r="AO175" i="10" s="1"/>
  <c r="AJ174" i="10"/>
  <c r="X174" i="10"/>
  <c r="S174" i="10"/>
  <c r="L175" i="10"/>
  <c r="BD173" i="10"/>
  <c r="AY173" i="10"/>
  <c r="AM173" i="10"/>
  <c r="AH173" i="10"/>
  <c r="AH175" i="10" s="1"/>
  <c r="P173" i="10"/>
  <c r="BQ165" i="10"/>
  <c r="BZ165" i="10"/>
  <c r="BR165" i="10"/>
  <c r="BY165" i="10"/>
  <c r="Y162" i="10"/>
  <c r="T162" i="10"/>
  <c r="BI161" i="10"/>
  <c r="AN161" i="10"/>
  <c r="AI161" i="10"/>
  <c r="BC160" i="10"/>
  <c r="AM160" i="10"/>
  <c r="AH160" i="10"/>
  <c r="P160" i="10"/>
  <c r="AT159" i="10"/>
  <c r="AO159" i="10"/>
  <c r="AC159" i="10"/>
  <c r="X159" i="10"/>
  <c r="DG156" i="10"/>
  <c r="BD153" i="8" s="1"/>
  <c r="CH156" i="10"/>
  <c r="AX154" i="10"/>
  <c r="AS154" i="10"/>
  <c r="Z154" i="10"/>
  <c r="U154" i="10"/>
  <c r="N154" i="10"/>
  <c r="BH153" i="10"/>
  <c r="AM153" i="10"/>
  <c r="BD152" i="10"/>
  <c r="AN152" i="10"/>
  <c r="O152" i="10"/>
  <c r="BI151" i="10"/>
  <c r="AR151" i="10"/>
  <c r="Z151" i="10"/>
  <c r="U151" i="10"/>
  <c r="BU156" i="10"/>
  <c r="BI149" i="10"/>
  <c r="BD149" i="10"/>
  <c r="AS149" i="10"/>
  <c r="AN149" i="10"/>
  <c r="S149" i="10"/>
  <c r="BD148" i="10"/>
  <c r="AY148" i="10"/>
  <c r="AN148" i="10"/>
  <c r="N148" i="10"/>
  <c r="BC147" i="10"/>
  <c r="AE147" i="10"/>
  <c r="Z147" i="10"/>
  <c r="BX139" i="10"/>
  <c r="CI139" i="10"/>
  <c r="BD136" i="10"/>
  <c r="AY136" i="10"/>
  <c r="AH136" i="10"/>
  <c r="AC135" i="10"/>
  <c r="AT134" i="10"/>
  <c r="AO134" i="10"/>
  <c r="AD134" i="10"/>
  <c r="L139" i="10"/>
  <c r="AN133" i="10"/>
  <c r="N133" i="10"/>
  <c r="AW128" i="10"/>
  <c r="AR128" i="10"/>
  <c r="Z128" i="10"/>
  <c r="U128" i="10"/>
  <c r="W122" i="10"/>
  <c r="X122" i="10"/>
  <c r="Y122" i="10"/>
  <c r="BA121" i="10"/>
  <c r="BB121" i="10"/>
  <c r="BC121" i="10"/>
  <c r="BD121" i="10"/>
  <c r="P115" i="10"/>
  <c r="N115" i="10"/>
  <c r="AB112" i="10"/>
  <c r="AC112" i="10"/>
  <c r="AD112" i="10"/>
  <c r="AE112" i="10"/>
  <c r="AQ100" i="10"/>
  <c r="AS100" i="10"/>
  <c r="AR100" i="10"/>
  <c r="AT100" i="10"/>
  <c r="AW70" i="10"/>
  <c r="AZ75" i="10"/>
  <c r="BV70" i="10"/>
  <c r="BQ75" i="10"/>
  <c r="Q75" i="10"/>
  <c r="CI156" i="10"/>
  <c r="BY139" i="10"/>
  <c r="P119" i="10"/>
  <c r="N119" i="10"/>
  <c r="BD115" i="10"/>
  <c r="BB115" i="10"/>
  <c r="BW66" i="10"/>
  <c r="CH66" i="10"/>
  <c r="W60" i="10"/>
  <c r="X60" i="10"/>
  <c r="Y60" i="10"/>
  <c r="Z60" i="10"/>
  <c r="AW54" i="10"/>
  <c r="AY54" i="10"/>
  <c r="CE180" i="10"/>
  <c r="CA180" i="10"/>
  <c r="BQ175" i="10"/>
  <c r="DC175" i="10"/>
  <c r="CX175" i="10"/>
  <c r="CD175" i="10"/>
  <c r="BZ175" i="10"/>
  <c r="AN174" i="10"/>
  <c r="AI174" i="10"/>
  <c r="BC173" i="10"/>
  <c r="AX173" i="10"/>
  <c r="O173" i="10"/>
  <c r="CD165" i="10"/>
  <c r="BH161" i="10"/>
  <c r="O160" i="10"/>
  <c r="AS159" i="10"/>
  <c r="AN159" i="10"/>
  <c r="L165" i="10"/>
  <c r="BJ156" i="10"/>
  <c r="BL147" i="8" s="1"/>
  <c r="DK156" i="10"/>
  <c r="BH153" i="8" s="1"/>
  <c r="DF156" i="10"/>
  <c r="BC153" i="8" s="1"/>
  <c r="CL156" i="10"/>
  <c r="DM156" i="10"/>
  <c r="BJ153" i="8" s="1"/>
  <c r="AW154" i="10"/>
  <c r="Y154" i="10"/>
  <c r="T154" i="10"/>
  <c r="L156" i="10"/>
  <c r="BC152" i="10"/>
  <c r="N152" i="10"/>
  <c r="Y151" i="10"/>
  <c r="BH149" i="10"/>
  <c r="AR149" i="10"/>
  <c r="BC148" i="10"/>
  <c r="AM148" i="10"/>
  <c r="BB147" i="10"/>
  <c r="AD147" i="10"/>
  <c r="CJ139" i="10"/>
  <c r="CB139" i="10"/>
  <c r="BC136" i="10"/>
  <c r="AS134" i="10"/>
  <c r="AC134" i="10"/>
  <c r="AM133" i="10"/>
  <c r="Y128" i="10"/>
  <c r="T128" i="10"/>
  <c r="DE112" i="10"/>
  <c r="AY122" i="10"/>
  <c r="AW122" i="10"/>
  <c r="M121" i="10"/>
  <c r="N121" i="10"/>
  <c r="O121" i="10"/>
  <c r="P121" i="10"/>
  <c r="AB119" i="10"/>
  <c r="AC119" i="10"/>
  <c r="AD119" i="10"/>
  <c r="W118" i="10"/>
  <c r="X118" i="10"/>
  <c r="Y118" i="10"/>
  <c r="BA117" i="10"/>
  <c r="BB117" i="10"/>
  <c r="BC117" i="10"/>
  <c r="BD117" i="10"/>
  <c r="W100" i="10"/>
  <c r="X100" i="10"/>
  <c r="Y100" i="10"/>
  <c r="Z100" i="10"/>
  <c r="CL165" i="10"/>
  <c r="CL139" i="10"/>
  <c r="BG122" i="10"/>
  <c r="BH122" i="10"/>
  <c r="BI122" i="10"/>
  <c r="AW99" i="10"/>
  <c r="AX99" i="10"/>
  <c r="AY99" i="10"/>
  <c r="CT66" i="10"/>
  <c r="CE66" i="10"/>
  <c r="BR66" i="10"/>
  <c r="CM66" i="10"/>
  <c r="Y62" i="10"/>
  <c r="Z62" i="10"/>
  <c r="AC58" i="10"/>
  <c r="AE58" i="10"/>
  <c r="M54" i="10"/>
  <c r="N54" i="10"/>
  <c r="O54" i="10"/>
  <c r="P54" i="10"/>
  <c r="Q66" i="10"/>
  <c r="AB26" i="10"/>
  <c r="AC26" i="10"/>
  <c r="DM180" i="10"/>
  <c r="CS180" i="10"/>
  <c r="BV180" i="10"/>
  <c r="Z179" i="10"/>
  <c r="U179" i="10"/>
  <c r="AO178" i="10"/>
  <c r="AJ178" i="10"/>
  <c r="DG175" i="10"/>
  <c r="DB175" i="10"/>
  <c r="CM175" i="10"/>
  <c r="CH175" i="10"/>
  <c r="AZ175" i="10"/>
  <c r="BI174" i="10"/>
  <c r="BI175" i="10" s="1"/>
  <c r="BD174" i="10"/>
  <c r="AR174" i="10"/>
  <c r="AM174" i="10"/>
  <c r="U174" i="10"/>
  <c r="U175" i="10" s="1"/>
  <c r="P174" i="10"/>
  <c r="BG173" i="10"/>
  <c r="BB173" i="10"/>
  <c r="BB175" i="10" s="1"/>
  <c r="AJ173" i="10"/>
  <c r="AE173" i="10"/>
  <c r="S173" i="10"/>
  <c r="N173" i="10"/>
  <c r="AA165" i="10"/>
  <c r="CH165" i="10"/>
  <c r="BG161" i="10"/>
  <c r="AJ160" i="10"/>
  <c r="AE160" i="10"/>
  <c r="S160" i="10"/>
  <c r="N160" i="10"/>
  <c r="BI159" i="10"/>
  <c r="AW159" i="10"/>
  <c r="AR159" i="10"/>
  <c r="Z159" i="10"/>
  <c r="U159" i="10"/>
  <c r="DN156" i="10"/>
  <c r="BK153" i="8" s="1"/>
  <c r="CM156" i="10"/>
  <c r="CE156" i="10"/>
  <c r="BW156" i="10"/>
  <c r="BS156" i="10"/>
  <c r="BI154" i="10"/>
  <c r="BB154" i="10"/>
  <c r="AJ154" i="10"/>
  <c r="AC154" i="10"/>
  <c r="X154" i="10"/>
  <c r="AO153" i="10"/>
  <c r="T153" i="10"/>
  <c r="BB152" i="10"/>
  <c r="AR152" i="10"/>
  <c r="AT151" i="10"/>
  <c r="AO151" i="10"/>
  <c r="AC151" i="10"/>
  <c r="X151" i="10"/>
  <c r="AU156" i="10"/>
  <c r="CD156" i="10"/>
  <c r="BG149" i="10"/>
  <c r="U149" i="10"/>
  <c r="P149" i="10"/>
  <c r="BG148" i="10"/>
  <c r="BB148" i="10"/>
  <c r="P148" i="10"/>
  <c r="AH147" i="10"/>
  <c r="AC147" i="10"/>
  <c r="BE139" i="10"/>
  <c r="CN139" i="10"/>
  <c r="CH139" i="10"/>
  <c r="BU139" i="10"/>
  <c r="BB136" i="10"/>
  <c r="AJ136" i="10"/>
  <c r="AE136" i="10"/>
  <c r="T136" i="10"/>
  <c r="O136" i="10"/>
  <c r="AE135" i="10"/>
  <c r="Z135" i="10"/>
  <c r="N135" i="10"/>
  <c r="AR134" i="10"/>
  <c r="BH133" i="10"/>
  <c r="BC133" i="10"/>
  <c r="P133" i="10"/>
  <c r="V139" i="10"/>
  <c r="V127" i="10"/>
  <c r="T127" i="10" s="1"/>
  <c r="AF127" i="10"/>
  <c r="AC127" i="10" s="1"/>
  <c r="DG127" i="10"/>
  <c r="CM127" i="10"/>
  <c r="CM130" i="10" s="1"/>
  <c r="CB127" i="10"/>
  <c r="CB130" i="10" s="1"/>
  <c r="BS127" i="10"/>
  <c r="BS130" i="10" s="1"/>
  <c r="AT128" i="10"/>
  <c r="AO128" i="10"/>
  <c r="AC128" i="10"/>
  <c r="X128" i="10"/>
  <c r="AB120" i="10"/>
  <c r="AC120" i="10"/>
  <c r="AD120" i="10"/>
  <c r="AE120" i="10"/>
  <c r="BD119" i="10"/>
  <c r="BB119" i="10"/>
  <c r="AY118" i="10"/>
  <c r="AW118" i="10"/>
  <c r="M117" i="10"/>
  <c r="N117" i="10"/>
  <c r="O117" i="10"/>
  <c r="P117" i="10"/>
  <c r="AB115" i="10"/>
  <c r="AC115" i="10"/>
  <c r="AD115" i="10"/>
  <c r="W114" i="10"/>
  <c r="X114" i="10"/>
  <c r="Y114" i="10"/>
  <c r="M113" i="10"/>
  <c r="N113" i="10"/>
  <c r="O113" i="10"/>
  <c r="P113" i="10"/>
  <c r="W99" i="10"/>
  <c r="AQ98" i="10"/>
  <c r="AR98" i="10"/>
  <c r="AT98" i="10"/>
  <c r="AV92" i="10"/>
  <c r="AW92" i="10"/>
  <c r="AX92" i="10"/>
  <c r="CW94" i="10"/>
  <c r="CC94" i="10"/>
  <c r="BA70" i="10"/>
  <c r="BB70" i="10"/>
  <c r="AG70" i="10"/>
  <c r="AH70" i="10"/>
  <c r="V75" i="10"/>
  <c r="CJ66" i="10"/>
  <c r="AY60" i="10"/>
  <c r="AV60" i="10"/>
  <c r="AW60" i="10"/>
  <c r="S60" i="10"/>
  <c r="R60" i="10"/>
  <c r="T60" i="10"/>
  <c r="AB57" i="10"/>
  <c r="AC57" i="10"/>
  <c r="AD57" i="10"/>
  <c r="AF66" i="10"/>
  <c r="AE57" i="10"/>
  <c r="Y54" i="10"/>
  <c r="AA66" i="10"/>
  <c r="Z54" i="10"/>
  <c r="L66" i="10"/>
  <c r="L77" i="10" s="1"/>
  <c r="DE35" i="10"/>
  <c r="DF35" i="10" s="1"/>
  <c r="DO114" i="10"/>
  <c r="DL114" i="10" s="1"/>
  <c r="BI125" i="10"/>
  <c r="BD125" i="10"/>
  <c r="AR125" i="10"/>
  <c r="U125" i="10"/>
  <c r="P125" i="10"/>
  <c r="BG124" i="10"/>
  <c r="AJ124" i="10"/>
  <c r="AE124" i="10"/>
  <c r="S124" i="10"/>
  <c r="BB123" i="10"/>
  <c r="AE123" i="10"/>
  <c r="Z123" i="10"/>
  <c r="N123" i="10"/>
  <c r="AO122" i="10"/>
  <c r="BH121" i="10"/>
  <c r="AR121" i="10"/>
  <c r="T121" i="10"/>
  <c r="BG120" i="10"/>
  <c r="AI120" i="10"/>
  <c r="S120" i="10"/>
  <c r="AT119" i="10"/>
  <c r="AO118" i="10"/>
  <c r="BH117" i="10"/>
  <c r="AR117" i="10"/>
  <c r="T117" i="10"/>
  <c r="BG116" i="10"/>
  <c r="AI116" i="10"/>
  <c r="S116" i="10"/>
  <c r="AT115" i="10"/>
  <c r="AO114" i="10"/>
  <c r="BH113" i="10"/>
  <c r="AR113" i="10"/>
  <c r="T113" i="10"/>
  <c r="BG112" i="10"/>
  <c r="AI112" i="10"/>
  <c r="S112" i="10"/>
  <c r="S99" i="10"/>
  <c r="BG98" i="10"/>
  <c r="BI98" i="10"/>
  <c r="AS98" i="10"/>
  <c r="AJ92" i="10"/>
  <c r="AH92" i="10"/>
  <c r="AQ91" i="10"/>
  <c r="AR91" i="10"/>
  <c r="AS91" i="10"/>
  <c r="AG90" i="10"/>
  <c r="AH90" i="10"/>
  <c r="AI90" i="10"/>
  <c r="AJ90" i="10"/>
  <c r="DM94" i="10"/>
  <c r="BJ189" i="6" s="1"/>
  <c r="CS94" i="10"/>
  <c r="AB86" i="10"/>
  <c r="AC86" i="10"/>
  <c r="AF94" i="10"/>
  <c r="AD86" i="10"/>
  <c r="P86" i="10"/>
  <c r="N86" i="10"/>
  <c r="W85" i="10"/>
  <c r="AA94" i="10"/>
  <c r="X85" i="10"/>
  <c r="Y85" i="10"/>
  <c r="BA84" i="10"/>
  <c r="BB84" i="10"/>
  <c r="BC84" i="10"/>
  <c r="BD84" i="10"/>
  <c r="R84" i="10"/>
  <c r="S84" i="10"/>
  <c r="T84" i="10"/>
  <c r="BI72" i="10"/>
  <c r="CC75" i="10"/>
  <c r="AB71" i="10"/>
  <c r="AC71" i="10"/>
  <c r="AD71" i="10"/>
  <c r="AE71" i="10"/>
  <c r="AG69" i="10"/>
  <c r="AH69" i="10"/>
  <c r="AK75" i="10"/>
  <c r="AI69" i="10"/>
  <c r="AJ69" i="10"/>
  <c r="AU49" i="10"/>
  <c r="AS49" i="10" s="1"/>
  <c r="E66" i="10"/>
  <c r="BS66" i="10"/>
  <c r="CI66" i="10"/>
  <c r="CD66" i="10"/>
  <c r="BU66" i="10"/>
  <c r="BV49" i="10"/>
  <c r="CA49" i="10" s="1"/>
  <c r="CF49" i="10" s="1"/>
  <c r="BQ66" i="10"/>
  <c r="AV64" i="10"/>
  <c r="AW64" i="10"/>
  <c r="AX64" i="10"/>
  <c r="BA62" i="10"/>
  <c r="BB62" i="10"/>
  <c r="BC62" i="10"/>
  <c r="BD62" i="10"/>
  <c r="AO62" i="10"/>
  <c r="AN62" i="10"/>
  <c r="BI58" i="10"/>
  <c r="BH58" i="10"/>
  <c r="BG56" i="10"/>
  <c r="BF56" i="10"/>
  <c r="BH56" i="10"/>
  <c r="AV50" i="10"/>
  <c r="AZ66" i="10"/>
  <c r="BB193" i="5" s="1"/>
  <c r="DJ113" i="10"/>
  <c r="DF113" i="10" s="1"/>
  <c r="BH125" i="10"/>
  <c r="BC125" i="10"/>
  <c r="T125" i="10"/>
  <c r="O125" i="10"/>
  <c r="AI124" i="10"/>
  <c r="AD124" i="10"/>
  <c r="AD123" i="10"/>
  <c r="Y123" i="10"/>
  <c r="AS122" i="10"/>
  <c r="AN122" i="10"/>
  <c r="AC122" i="10"/>
  <c r="BG121" i="10"/>
  <c r="AJ121" i="10"/>
  <c r="S121" i="10"/>
  <c r="AY120" i="10"/>
  <c r="AH120" i="10"/>
  <c r="AX119" i="10"/>
  <c r="AS119" i="10"/>
  <c r="AH119" i="10"/>
  <c r="AS118" i="10"/>
  <c r="AN118" i="10"/>
  <c r="AC118" i="10"/>
  <c r="BG117" i="10"/>
  <c r="AJ117" i="10"/>
  <c r="S117" i="10"/>
  <c r="AY116" i="10"/>
  <c r="AH116" i="10"/>
  <c r="AX115" i="10"/>
  <c r="AS115" i="10"/>
  <c r="AH115" i="10"/>
  <c r="AS114" i="10"/>
  <c r="AN114" i="10"/>
  <c r="AC114" i="10"/>
  <c r="BG113" i="10"/>
  <c r="AJ113" i="10"/>
  <c r="S113" i="10"/>
  <c r="AH112" i="10"/>
  <c r="AM100" i="10"/>
  <c r="AN100" i="10"/>
  <c r="AC100" i="10"/>
  <c r="M99" i="10"/>
  <c r="P99" i="10"/>
  <c r="BH98" i="10"/>
  <c r="AM98" i="10"/>
  <c r="AO98" i="10"/>
  <c r="AO103" i="10" s="1"/>
  <c r="S98" i="10"/>
  <c r="U98" i="10"/>
  <c r="AE91" i="10"/>
  <c r="AC91" i="10"/>
  <c r="AB87" i="10"/>
  <c r="AC87" i="10"/>
  <c r="AD87" i="10"/>
  <c r="AE87" i="10"/>
  <c r="BD86" i="10"/>
  <c r="BB86" i="10"/>
  <c r="AY85" i="10"/>
  <c r="AW85" i="10"/>
  <c r="AT84" i="10"/>
  <c r="AR84" i="10"/>
  <c r="AU94" i="10"/>
  <c r="AF75" i="10"/>
  <c r="Z71" i="10"/>
  <c r="W71" i="10"/>
  <c r="AA75" i="10"/>
  <c r="AW62" i="10"/>
  <c r="AY62" i="10"/>
  <c r="M62" i="10"/>
  <c r="N62" i="10"/>
  <c r="O62" i="10"/>
  <c r="P62" i="10"/>
  <c r="AG58" i="10"/>
  <c r="AH58" i="10"/>
  <c r="AI58" i="10"/>
  <c r="AJ58" i="10"/>
  <c r="U58" i="10"/>
  <c r="T58" i="10"/>
  <c r="AI56" i="10"/>
  <c r="AG56" i="10"/>
  <c r="AH56" i="10"/>
  <c r="AK66" i="10"/>
  <c r="BA54" i="10"/>
  <c r="BB54" i="10"/>
  <c r="BC54" i="10"/>
  <c r="BE66" i="10"/>
  <c r="BG193" i="5" s="1"/>
  <c r="BD54" i="10"/>
  <c r="AO54" i="10"/>
  <c r="AN54" i="10"/>
  <c r="X98" i="10"/>
  <c r="CY94" i="10"/>
  <c r="AS92" i="10"/>
  <c r="AN91" i="10"/>
  <c r="BG90" i="10"/>
  <c r="BB90" i="10"/>
  <c r="S90" i="10"/>
  <c r="N90" i="10"/>
  <c r="DL94" i="10"/>
  <c r="BI189" i="6" s="1"/>
  <c r="CR94" i="10"/>
  <c r="BB87" i="10"/>
  <c r="AW87" i="10"/>
  <c r="N87" i="10"/>
  <c r="Y86" i="10"/>
  <c r="BH85" i="10"/>
  <c r="T85" i="10"/>
  <c r="O84" i="10"/>
  <c r="CJ75" i="10"/>
  <c r="CB75" i="10"/>
  <c r="BX75" i="10"/>
  <c r="BT75" i="10"/>
  <c r="CE75" i="10"/>
  <c r="BW75" i="10"/>
  <c r="BW77" i="10" s="1"/>
  <c r="BS75" i="10"/>
  <c r="CI75" i="10"/>
  <c r="BC72" i="10"/>
  <c r="AH72" i="10"/>
  <c r="AX71" i="10"/>
  <c r="N71" i="10"/>
  <c r="AS70" i="10"/>
  <c r="AC70" i="10"/>
  <c r="X70" i="10"/>
  <c r="DH66" i="10"/>
  <c r="BE199" i="5" s="1"/>
  <c r="CN66" i="10"/>
  <c r="BT66" i="10"/>
  <c r="AS64" i="10"/>
  <c r="AH62" i="10"/>
  <c r="AX61" i="10"/>
  <c r="AC61" i="10"/>
  <c r="AS60" i="10"/>
  <c r="AL60" i="10"/>
  <c r="M60" i="10"/>
  <c r="BH59" i="10"/>
  <c r="BC59" i="10"/>
  <c r="AW59" i="10"/>
  <c r="AR59" i="10"/>
  <c r="AN59" i="10"/>
  <c r="AI59" i="10"/>
  <c r="AC59" i="10"/>
  <c r="X59" i="10"/>
  <c r="T59" i="10"/>
  <c r="O59" i="10"/>
  <c r="BB58" i="10"/>
  <c r="N58" i="10"/>
  <c r="BA56" i="10"/>
  <c r="AB56" i="10"/>
  <c r="X56" i="10"/>
  <c r="AH54" i="10"/>
  <c r="AX53" i="10"/>
  <c r="M50" i="10"/>
  <c r="N50" i="10"/>
  <c r="O50" i="10"/>
  <c r="P50" i="10"/>
  <c r="CN40" i="10"/>
  <c r="CI40" i="10"/>
  <c r="BA37" i="10"/>
  <c r="BB37" i="10"/>
  <c r="BE40" i="10"/>
  <c r="BC37" i="10"/>
  <c r="AQ26" i="10"/>
  <c r="AR26" i="10"/>
  <c r="AS26" i="10"/>
  <c r="AT26" i="10"/>
  <c r="AL22" i="10"/>
  <c r="AM22" i="10"/>
  <c r="AN22" i="10"/>
  <c r="AN20" i="10"/>
  <c r="AO20" i="10"/>
  <c r="CI94" i="10"/>
  <c r="CE94" i="10"/>
  <c r="BW94" i="10"/>
  <c r="BS94" i="10"/>
  <c r="CV94" i="10"/>
  <c r="DK94" i="10"/>
  <c r="BH189" i="6" s="1"/>
  <c r="X86" i="10"/>
  <c r="BG85" i="10"/>
  <c r="S85" i="10"/>
  <c r="N84" i="10"/>
  <c r="CN75" i="10"/>
  <c r="CM75" i="10"/>
  <c r="BB72" i="10"/>
  <c r="AW71" i="10"/>
  <c r="AR70" i="10"/>
  <c r="CR66" i="10"/>
  <c r="BX66" i="10"/>
  <c r="AR64" i="10"/>
  <c r="AW61" i="10"/>
  <c r="AR60" i="10"/>
  <c r="BG59" i="10"/>
  <c r="BA59" i="10"/>
  <c r="AV59" i="10"/>
  <c r="AQ59" i="10"/>
  <c r="AM59" i="10"/>
  <c r="AG59" i="10"/>
  <c r="AB59" i="10"/>
  <c r="W59" i="10"/>
  <c r="S59" i="10"/>
  <c r="M59" i="10"/>
  <c r="AW53" i="10"/>
  <c r="AV52" i="10"/>
  <c r="AW52" i="10"/>
  <c r="AX52" i="10"/>
  <c r="AG49" i="10"/>
  <c r="AH49" i="10"/>
  <c r="AI49" i="10"/>
  <c r="BW40" i="10"/>
  <c r="M37" i="10"/>
  <c r="N37" i="10"/>
  <c r="O37" i="10"/>
  <c r="R35" i="10"/>
  <c r="S35" i="10"/>
  <c r="T35" i="10"/>
  <c r="U35" i="10"/>
  <c r="AP40" i="10"/>
  <c r="AB30" i="10"/>
  <c r="AC30" i="10"/>
  <c r="AD30" i="10"/>
  <c r="AE30" i="10"/>
  <c r="AL26" i="10"/>
  <c r="AN26" i="10"/>
  <c r="AO26" i="10"/>
  <c r="W19" i="10"/>
  <c r="X19" i="10"/>
  <c r="Y19" i="10"/>
  <c r="CM94" i="10"/>
  <c r="BB92" i="10"/>
  <c r="AD92" i="10"/>
  <c r="N92" i="10"/>
  <c r="AW91" i="10"/>
  <c r="Y91" i="10"/>
  <c r="BD90" i="10"/>
  <c r="P90" i="10"/>
  <c r="CJ94" i="10"/>
  <c r="CB94" i="10"/>
  <c r="BX94" i="10"/>
  <c r="BT94" i="10"/>
  <c r="CB66" i="10"/>
  <c r="AQ51" i="10"/>
  <c r="AR51" i="10"/>
  <c r="AS51" i="10"/>
  <c r="BA50" i="10"/>
  <c r="BB50" i="10"/>
  <c r="BC50" i="10"/>
  <c r="BD50" i="10"/>
  <c r="AO37" i="10"/>
  <c r="AM37" i="10"/>
  <c r="AQ36" i="10"/>
  <c r="AR36" i="10"/>
  <c r="AS36" i="10"/>
  <c r="AT36" i="10"/>
  <c r="V40" i="10"/>
  <c r="Y30" i="10"/>
  <c r="Z30" i="10"/>
  <c r="AB24" i="10"/>
  <c r="AC24" i="10"/>
  <c r="AD24" i="10"/>
  <c r="AL23" i="10"/>
  <c r="AM23" i="10"/>
  <c r="AN23" i="10"/>
  <c r="AO23" i="10"/>
  <c r="N53" i="10"/>
  <c r="AS52" i="10"/>
  <c r="S51" i="10"/>
  <c r="AH50" i="10"/>
  <c r="BB49" i="10"/>
  <c r="AW49" i="10"/>
  <c r="AD49" i="10"/>
  <c r="CO40" i="10"/>
  <c r="BU40" i="10"/>
  <c r="BQ40" i="10"/>
  <c r="AC36" i="10"/>
  <c r="X36" i="10"/>
  <c r="BG35" i="10"/>
  <c r="AR35" i="10"/>
  <c r="AM35" i="10"/>
  <c r="BB30" i="10"/>
  <c r="AW30" i="10"/>
  <c r="N30" i="10"/>
  <c r="X26" i="10"/>
  <c r="AX25" i="10"/>
  <c r="R25" i="10"/>
  <c r="AS24" i="10"/>
  <c r="Y24" i="10"/>
  <c r="BG22" i="10"/>
  <c r="BB22" i="10"/>
  <c r="AI22" i="10"/>
  <c r="AC20" i="10"/>
  <c r="X20" i="10"/>
  <c r="T19" i="10"/>
  <c r="BB52" i="10"/>
  <c r="AR52" i="10"/>
  <c r="Z52" i="10"/>
  <c r="R52" i="10"/>
  <c r="AC49" i="10"/>
  <c r="CL40" i="10"/>
  <c r="BY40" i="10"/>
  <c r="AE37" i="10"/>
  <c r="Y35" i="10"/>
  <c r="AI30" i="10"/>
  <c r="CZ19" i="10"/>
  <c r="DD19" i="10" s="1"/>
  <c r="BA25" i="10"/>
  <c r="AW25" i="10"/>
  <c r="AL25" i="10"/>
  <c r="AE25" i="10"/>
  <c r="AR24" i="10"/>
  <c r="X24" i="10"/>
  <c r="N24" i="10"/>
  <c r="BI23" i="10"/>
  <c r="BD23" i="10"/>
  <c r="AS23" i="10"/>
  <c r="U23" i="10"/>
  <c r="AH22" i="10"/>
  <c r="P22" i="10"/>
  <c r="AX20" i="10"/>
  <c r="AO19" i="10"/>
  <c r="AJ19" i="10"/>
  <c r="S19" i="10"/>
  <c r="AD52" i="10"/>
  <c r="Y52" i="10"/>
  <c r="BH51" i="10"/>
  <c r="U51" i="10"/>
  <c r="AJ50" i="10"/>
  <c r="S50" i="10"/>
  <c r="AY49" i="10"/>
  <c r="AM49" i="10"/>
  <c r="BZ40" i="10"/>
  <c r="CC40" i="10"/>
  <c r="AI37" i="10"/>
  <c r="AD37" i="10"/>
  <c r="S37" i="10"/>
  <c r="AW36" i="10"/>
  <c r="Z36" i="10"/>
  <c r="BI35" i="10"/>
  <c r="AO35" i="10"/>
  <c r="X35" i="10"/>
  <c r="AW26" i="10"/>
  <c r="Z26" i="10"/>
  <c r="U26" i="10"/>
  <c r="AD25" i="10"/>
  <c r="N25" i="10"/>
  <c r="BH23" i="10"/>
  <c r="AR23" i="10"/>
  <c r="O22" i="10"/>
  <c r="AW20" i="10"/>
  <c r="Z20" i="10"/>
  <c r="U20" i="10"/>
  <c r="AI16" i="9"/>
  <c r="AE16" i="9"/>
  <c r="AE18" i="9" s="1"/>
  <c r="AA16" i="9"/>
  <c r="S16" i="9"/>
  <c r="S18" i="9" s="1"/>
  <c r="K16" i="9"/>
  <c r="AP16" i="9"/>
  <c r="AP18" i="9" s="1"/>
  <c r="Z16" i="9"/>
  <c r="V16" i="9"/>
  <c r="V18" i="9" s="1"/>
  <c r="N16" i="9"/>
  <c r="N18" i="9" s="1"/>
  <c r="J16" i="9"/>
  <c r="J18" i="9" s="1"/>
  <c r="F16" i="9"/>
  <c r="T10" i="9"/>
  <c r="AA227" i="6"/>
  <c r="AA236" i="6"/>
  <c r="AA247" i="6"/>
  <c r="AA248" i="6"/>
  <c r="T235" i="6"/>
  <c r="T236" i="6" s="1"/>
  <c r="AP235" i="6"/>
  <c r="AE248" i="6"/>
  <c r="J247" i="6"/>
  <c r="AU226" i="6"/>
  <c r="F236" i="6"/>
  <c r="AE236" i="6"/>
  <c r="P236" i="6"/>
  <c r="J236" i="6"/>
  <c r="AT236" i="6"/>
  <c r="AH226" i="6"/>
  <c r="AG224" i="6"/>
  <c r="AD226" i="6"/>
  <c r="CS213" i="6"/>
  <c r="P212" i="6"/>
  <c r="G211" i="6"/>
  <c r="G213" i="6" s="1"/>
  <c r="J212" i="6"/>
  <c r="AQ200" i="6"/>
  <c r="AL200" i="6"/>
  <c r="AE200" i="6"/>
  <c r="AA200" i="6"/>
  <c r="L200" i="6"/>
  <c r="CO200" i="6"/>
  <c r="DX199" i="6"/>
  <c r="DF201" i="6"/>
  <c r="DF215" i="6" s="1"/>
  <c r="DB201" i="6"/>
  <c r="DB215" i="6" s="1"/>
  <c r="P199" i="6"/>
  <c r="L199" i="6"/>
  <c r="G199" i="6"/>
  <c r="W199" i="6"/>
  <c r="AU160" i="6"/>
  <c r="AA160" i="6"/>
  <c r="G160" i="6"/>
  <c r="S154" i="6"/>
  <c r="AG152" i="6"/>
  <c r="AG154" i="6" s="1"/>
  <c r="Y147" i="6"/>
  <c r="Y68" i="6" s="1"/>
  <c r="Q147" i="6"/>
  <c r="Q68" i="6" s="1"/>
  <c r="AP144" i="6"/>
  <c r="AP67" i="6" s="1"/>
  <c r="AL144" i="6"/>
  <c r="AL67" i="6" s="1"/>
  <c r="AH144" i="6"/>
  <c r="AH67" i="6" s="1"/>
  <c r="AD144" i="6"/>
  <c r="AD67" i="6" s="1"/>
  <c r="Z144" i="6"/>
  <c r="Z67" i="6" s="1"/>
  <c r="V144" i="6"/>
  <c r="V67" i="6" s="1"/>
  <c r="AA144" i="6"/>
  <c r="AA67" i="6" s="1"/>
  <c r="R144" i="6"/>
  <c r="R67" i="6" s="1"/>
  <c r="N144" i="6"/>
  <c r="N67" i="6" s="1"/>
  <c r="J144" i="6"/>
  <c r="J67" i="6" s="1"/>
  <c r="AA141" i="6"/>
  <c r="AA66" i="6" s="1"/>
  <c r="S141" i="6"/>
  <c r="S66" i="6" s="1"/>
  <c r="S133" i="6"/>
  <c r="O121" i="6"/>
  <c r="T121" i="6" s="1"/>
  <c r="Y121" i="6" s="1"/>
  <c r="AD121" i="6" s="1"/>
  <c r="AI121" i="6" s="1"/>
  <c r="AN121" i="6" s="1"/>
  <c r="AS121" i="6" s="1"/>
  <c r="I133" i="6"/>
  <c r="AL135" i="6"/>
  <c r="AL136" i="6" s="1"/>
  <c r="Y115" i="6"/>
  <c r="M115" i="6"/>
  <c r="H115" i="6"/>
  <c r="G115" i="6"/>
  <c r="EB215" i="6"/>
  <c r="DJ201" i="6"/>
  <c r="S200" i="6"/>
  <c r="V160" i="6"/>
  <c r="AO147" i="6"/>
  <c r="AO68" i="6" s="1"/>
  <c r="O147" i="6"/>
  <c r="O68" i="6" s="1"/>
  <c r="T147" i="6"/>
  <c r="T68" i="6" s="1"/>
  <c r="AM141" i="6"/>
  <c r="AM66" i="6" s="1"/>
  <c r="K141" i="6"/>
  <c r="K66" i="6" s="1"/>
  <c r="O136" i="6"/>
  <c r="AR123" i="6"/>
  <c r="AR133" i="6"/>
  <c r="DZ213" i="6"/>
  <c r="DH213" i="6"/>
  <c r="DH215" i="6" s="1"/>
  <c r="CN215" i="6"/>
  <c r="CN218" i="6" s="1"/>
  <c r="CO216" i="6" s="1"/>
  <c r="DI211" i="6"/>
  <c r="DI213" i="6" s="1"/>
  <c r="T210" i="6"/>
  <c r="AF200" i="6"/>
  <c r="DI200" i="6"/>
  <c r="W200" i="6"/>
  <c r="K200" i="6"/>
  <c r="G200" i="6"/>
  <c r="DZ201" i="6"/>
  <c r="DZ215" i="6" s="1"/>
  <c r="DV201" i="6"/>
  <c r="AJ199" i="6"/>
  <c r="AF199" i="6"/>
  <c r="AA199" i="6"/>
  <c r="DD199" i="6"/>
  <c r="CL201" i="6"/>
  <c r="CL215" i="6" s="1"/>
  <c r="CL218" i="6" s="1"/>
  <c r="AC200" i="6"/>
  <c r="AQ199" i="6"/>
  <c r="AK160" i="6"/>
  <c r="AG160" i="6"/>
  <c r="Q160" i="6"/>
  <c r="AQ154" i="6"/>
  <c r="AQ160" i="6" s="1"/>
  <c r="AL154" i="6"/>
  <c r="AL160" i="6" s="1"/>
  <c r="W154" i="6"/>
  <c r="W160" i="6" s="1"/>
  <c r="R154" i="6"/>
  <c r="R160" i="6" s="1"/>
  <c r="N154" i="6"/>
  <c r="O160" i="6" s="1"/>
  <c r="M152" i="6"/>
  <c r="M154" i="6" s="1"/>
  <c r="M160" i="6" s="1"/>
  <c r="AL147" i="6"/>
  <c r="AL68" i="6" s="1"/>
  <c r="Z147" i="6"/>
  <c r="Z68" i="6" s="1"/>
  <c r="AJ141" i="6"/>
  <c r="AJ66" i="6" s="1"/>
  <c r="T141" i="6"/>
  <c r="T66" i="6" s="1"/>
  <c r="AJ136" i="6"/>
  <c r="Z135" i="6"/>
  <c r="Z136" i="6" s="1"/>
  <c r="V135" i="6"/>
  <c r="V136" i="6" s="1"/>
  <c r="AM123" i="6"/>
  <c r="AM125" i="6" s="1"/>
  <c r="AM60" i="6" s="1"/>
  <c r="AM133" i="6"/>
  <c r="E106" i="6"/>
  <c r="AR226" i="6"/>
  <c r="S226" i="6"/>
  <c r="N226" i="6"/>
  <c r="AM211" i="6"/>
  <c r="AM124" i="4" s="1"/>
  <c r="DY213" i="6"/>
  <c r="AR213" i="6" s="1"/>
  <c r="DT213" i="6"/>
  <c r="AM213" i="6" s="1"/>
  <c r="DM213" i="6"/>
  <c r="DG213" i="6"/>
  <c r="DA213" i="6"/>
  <c r="CV213" i="6"/>
  <c r="CV215" i="6" s="1"/>
  <c r="CM213" i="6"/>
  <c r="Q212" i="6"/>
  <c r="L212" i="6"/>
  <c r="AP211" i="6"/>
  <c r="AB211" i="6"/>
  <c r="AB124" i="4" s="1"/>
  <c r="AI213" i="6"/>
  <c r="DX206" i="6"/>
  <c r="DS206" i="6"/>
  <c r="DN206" i="6"/>
  <c r="DD206" i="6"/>
  <c r="CY206" i="6"/>
  <c r="CT206" i="6"/>
  <c r="H200" i="6"/>
  <c r="AI201" i="6"/>
  <c r="AE201" i="6"/>
  <c r="AE215" i="6" s="1"/>
  <c r="CX201" i="6"/>
  <c r="CX215" i="6" s="1"/>
  <c r="CP201" i="6"/>
  <c r="AM200" i="6"/>
  <c r="AG199" i="6"/>
  <c r="AY66" i="6"/>
  <c r="BJ141" i="6"/>
  <c r="AO141" i="6"/>
  <c r="AO66" i="6" s="1"/>
  <c r="AK141" i="6"/>
  <c r="AK66" i="6" s="1"/>
  <c r="AG141" i="6"/>
  <c r="AG66" i="6" s="1"/>
  <c r="AC141" i="6"/>
  <c r="AC66" i="6" s="1"/>
  <c r="Y141" i="6"/>
  <c r="Y66" i="6" s="1"/>
  <c r="U141" i="6"/>
  <c r="U66" i="6" s="1"/>
  <c r="Q141" i="6"/>
  <c r="Q66" i="6" s="1"/>
  <c r="M141" i="6"/>
  <c r="M66" i="6" s="1"/>
  <c r="AB136" i="6"/>
  <c r="X136" i="6"/>
  <c r="L136" i="6"/>
  <c r="BL129" i="6"/>
  <c r="N127" i="6"/>
  <c r="Y106" i="6"/>
  <c r="T106" i="6"/>
  <c r="AX96" i="6"/>
  <c r="W94" i="6"/>
  <c r="S42" i="6"/>
  <c r="S46" i="6" s="1"/>
  <c r="K136" i="6"/>
  <c r="AQ135" i="6"/>
  <c r="AC133" i="6"/>
  <c r="AH114" i="6"/>
  <c r="AH127" i="6" s="1"/>
  <c r="AS96" i="6"/>
  <c r="AS106" i="6" s="1"/>
  <c r="AX106" i="6" s="1"/>
  <c r="F115" i="6"/>
  <c r="F119" i="6" s="1"/>
  <c r="BH94" i="6"/>
  <c r="AQ105" i="6"/>
  <c r="AQ15" i="6"/>
  <c r="AQ23" i="6" s="1"/>
  <c r="W105" i="6"/>
  <c r="W15" i="6"/>
  <c r="W23" i="6" s="1"/>
  <c r="G106" i="6"/>
  <c r="R86" i="6"/>
  <c r="AD87" i="6"/>
  <c r="AD108" i="6" s="1"/>
  <c r="Y100" i="6"/>
  <c r="AQ11" i="6"/>
  <c r="T98" i="6"/>
  <c r="T59" i="6" s="1"/>
  <c r="J98" i="6"/>
  <c r="J59" i="6" s="1"/>
  <c r="M94" i="6"/>
  <c r="S108" i="6"/>
  <c r="K108" i="6"/>
  <c r="E100" i="6"/>
  <c r="Q54" i="6"/>
  <c r="Q88" i="4" s="1"/>
  <c r="BA43" i="6"/>
  <c r="BF43" i="6" s="1"/>
  <c r="BK43" i="6" s="1"/>
  <c r="BP43" i="6" s="1"/>
  <c r="G108" i="6"/>
  <c r="AP87" i="6"/>
  <c r="AP108" i="6" s="1"/>
  <c r="AL11" i="6"/>
  <c r="R11" i="6"/>
  <c r="R17" i="6" s="1"/>
  <c r="O100" i="6"/>
  <c r="J100" i="6"/>
  <c r="Y98" i="6"/>
  <c r="Y59" i="6" s="1"/>
  <c r="N96" i="6"/>
  <c r="N106" i="6" s="1"/>
  <c r="AU93" i="6"/>
  <c r="AU94" i="6" s="1"/>
  <c r="AB93" i="6"/>
  <c r="AB94" i="6" s="1"/>
  <c r="O87" i="6"/>
  <c r="O108" i="6" s="1"/>
  <c r="O109" i="6" s="1"/>
  <c r="AQ86" i="6"/>
  <c r="Q87" i="6"/>
  <c r="Q108" i="6" s="1"/>
  <c r="AG36" i="6"/>
  <c r="M36" i="6"/>
  <c r="I35" i="8"/>
  <c r="I62" i="8"/>
  <c r="W10" i="8"/>
  <c r="W96" i="8"/>
  <c r="X96" i="8" s="1"/>
  <c r="AW233" i="8"/>
  <c r="AT233" i="8" s="1"/>
  <c r="AR225" i="8"/>
  <c r="AM225" i="8"/>
  <c r="AR224" i="8"/>
  <c r="AM224" i="8"/>
  <c r="X225" i="8"/>
  <c r="J191" i="8"/>
  <c r="J211" i="8"/>
  <c r="AT191" i="8"/>
  <c r="AT200" i="8"/>
  <c r="Q199" i="8"/>
  <c r="Q200" i="8" s="1"/>
  <c r="Z199" i="8"/>
  <c r="Z212" i="8" s="1"/>
  <c r="DM177" i="8"/>
  <c r="AF175" i="8"/>
  <c r="AF123" i="4" s="1"/>
  <c r="K175" i="8"/>
  <c r="K177" i="8" s="1"/>
  <c r="CR177" i="8"/>
  <c r="BK176" i="8"/>
  <c r="DZ177" i="8"/>
  <c r="AG174" i="8"/>
  <c r="DO177" i="8"/>
  <c r="AH177" i="8" s="1"/>
  <c r="W174" i="8"/>
  <c r="X174" i="8"/>
  <c r="DD174" i="8"/>
  <c r="DS169" i="8"/>
  <c r="L169" i="8"/>
  <c r="L170" i="8" s="1"/>
  <c r="CS170" i="8"/>
  <c r="CS179" i="8" s="1"/>
  <c r="G169" i="8"/>
  <c r="CN170" i="8"/>
  <c r="DN164" i="8"/>
  <c r="AH164" i="8"/>
  <c r="AB164" i="8"/>
  <c r="AC164" i="8"/>
  <c r="X164" i="8"/>
  <c r="DD164" i="8"/>
  <c r="AY15" i="8"/>
  <c r="BD110" i="8"/>
  <c r="BD15" i="8" s="1"/>
  <c r="AC225" i="8"/>
  <c r="AC224" i="8"/>
  <c r="S224" i="8"/>
  <c r="AI211" i="8"/>
  <c r="AI194" i="8"/>
  <c r="AE194" i="8"/>
  <c r="AE211" i="8"/>
  <c r="AK169" i="8"/>
  <c r="DR170" i="8"/>
  <c r="Z169" i="8"/>
  <c r="Z170" i="8" s="1"/>
  <c r="DG170" i="8"/>
  <c r="AF170" i="8"/>
  <c r="AQ133" i="8"/>
  <c r="AE133" i="8"/>
  <c r="AE170" i="8"/>
  <c r="O133" i="8"/>
  <c r="O170" i="8"/>
  <c r="G133" i="8"/>
  <c r="G95" i="4" s="1"/>
  <c r="G170" i="8"/>
  <c r="DY165" i="8"/>
  <c r="Y165" i="8"/>
  <c r="E165" i="8"/>
  <c r="AX110" i="8"/>
  <c r="AX15" i="8" s="1"/>
  <c r="AK100" i="8"/>
  <c r="BD59" i="8"/>
  <c r="BE108" i="8"/>
  <c r="AZ59" i="8"/>
  <c r="BA108" i="8"/>
  <c r="AM163" i="8"/>
  <c r="AL163" i="8"/>
  <c r="DS163" i="8"/>
  <c r="K31" i="8"/>
  <c r="AO233" i="8"/>
  <c r="N225" i="8"/>
  <c r="N222" i="8"/>
  <c r="N229" i="8" s="1"/>
  <c r="Y212" i="8"/>
  <c r="Y200" i="8"/>
  <c r="G199" i="8"/>
  <c r="G194" i="8" s="1"/>
  <c r="DM170" i="8"/>
  <c r="AI170" i="8"/>
  <c r="U164" i="8"/>
  <c r="F164" i="8"/>
  <c r="DK179" i="8"/>
  <c r="T163" i="8"/>
  <c r="DA165" i="8"/>
  <c r="P163" i="8"/>
  <c r="CW165" i="8"/>
  <c r="BC110" i="8"/>
  <c r="BC15" i="8" s="1"/>
  <c r="AQ96" i="8"/>
  <c r="AG96" i="8"/>
  <c r="I199" i="8"/>
  <c r="DS176" i="8"/>
  <c r="AE177" i="8"/>
  <c r="DD176" i="8"/>
  <c r="V175" i="8"/>
  <c r="V177" i="8" s="1"/>
  <c r="O177" i="8"/>
  <c r="AZ175" i="8"/>
  <c r="AZ123" i="4" s="1"/>
  <c r="AD175" i="8"/>
  <c r="Z174" i="8"/>
  <c r="Z177" i="8" s="1"/>
  <c r="T174" i="8"/>
  <c r="CQ170" i="8"/>
  <c r="AP169" i="8"/>
  <c r="AP170" i="8" s="1"/>
  <c r="K169" i="8"/>
  <c r="K170" i="8" s="1"/>
  <c r="AO169" i="8"/>
  <c r="DU165" i="8"/>
  <c r="DU179" i="8" s="1"/>
  <c r="AF164" i="8"/>
  <c r="CT164" i="8"/>
  <c r="H164" i="8"/>
  <c r="AB163" i="8"/>
  <c r="CQ165" i="8"/>
  <c r="J163" i="8"/>
  <c r="AP124" i="8"/>
  <c r="V124" i="8"/>
  <c r="R124" i="8"/>
  <c r="N124" i="8"/>
  <c r="J124" i="8"/>
  <c r="F124" i="8"/>
  <c r="R138" i="8"/>
  <c r="S111" i="8"/>
  <c r="S60" i="8" s="1"/>
  <c r="V108" i="8"/>
  <c r="V59" i="8" s="1"/>
  <c r="AC89" i="8"/>
  <c r="AC52" i="8" s="1"/>
  <c r="O78" i="8"/>
  <c r="O99" i="8" s="1"/>
  <c r="T100" i="8" s="1"/>
  <c r="J78" i="8"/>
  <c r="J99" i="8" s="1"/>
  <c r="E78" i="8"/>
  <c r="E99" i="8" s="1"/>
  <c r="E91" i="8"/>
  <c r="BI58" i="8"/>
  <c r="BJ105" i="8"/>
  <c r="S31" i="8"/>
  <c r="S25" i="8"/>
  <c r="AI31" i="8"/>
  <c r="F197" i="8"/>
  <c r="F234" i="8" s="1"/>
  <c r="AG175" i="8"/>
  <c r="AG123" i="4" s="1"/>
  <c r="W176" i="8"/>
  <c r="AH175" i="8"/>
  <c r="AH123" i="4" s="1"/>
  <c r="H175" i="8"/>
  <c r="AQ169" i="8"/>
  <c r="AQ170" i="8" s="1"/>
  <c r="R164" i="8"/>
  <c r="AO124" i="8"/>
  <c r="AK124" i="8"/>
  <c r="AG124" i="8"/>
  <c r="E124" i="8"/>
  <c r="H125" i="8"/>
  <c r="AR96" i="8"/>
  <c r="AR87" i="8"/>
  <c r="AR91" i="8"/>
  <c r="AR89" i="8"/>
  <c r="AR52" i="8" s="1"/>
  <c r="AM91" i="8"/>
  <c r="AM87" i="8"/>
  <c r="AM89" i="8"/>
  <c r="AM52" i="8" s="1"/>
  <c r="AH87" i="8"/>
  <c r="AH89" i="8"/>
  <c r="AH52" i="8" s="1"/>
  <c r="X89" i="8"/>
  <c r="X52" i="8" s="1"/>
  <c r="X87" i="8"/>
  <c r="S89" i="8"/>
  <c r="S52" i="8" s="1"/>
  <c r="S87" i="8"/>
  <c r="N89" i="8"/>
  <c r="N52" i="8" s="1"/>
  <c r="N87" i="8"/>
  <c r="N97" i="8" s="1"/>
  <c r="N91" i="8"/>
  <c r="I87" i="8"/>
  <c r="I97" i="8" s="1"/>
  <c r="I91" i="8"/>
  <c r="AP91" i="8"/>
  <c r="AH91" i="8"/>
  <c r="AC91" i="8"/>
  <c r="X91" i="8"/>
  <c r="S91" i="8"/>
  <c r="AA31" i="8"/>
  <c r="AA25" i="8"/>
  <c r="X25" i="8"/>
  <c r="I200" i="8"/>
  <c r="V197" i="8"/>
  <c r="V234" i="8" s="1"/>
  <c r="F194" i="8"/>
  <c r="AO190" i="8"/>
  <c r="EB177" i="8"/>
  <c r="DT177" i="8"/>
  <c r="AM177" i="8" s="1"/>
  <c r="G177" i="8"/>
  <c r="CO175" i="8"/>
  <c r="CO177" i="8" s="1"/>
  <c r="AP175" i="8"/>
  <c r="AP123" i="4" s="1"/>
  <c r="DS175" i="8"/>
  <c r="DN175" i="8"/>
  <c r="DI175" i="8"/>
  <c r="DD175" i="8"/>
  <c r="DD177" i="8" s="1"/>
  <c r="Q175" i="8"/>
  <c r="X175" i="8"/>
  <c r="X123" i="4" s="1"/>
  <c r="AO174" i="8"/>
  <c r="AI177" i="8"/>
  <c r="DP170" i="8"/>
  <c r="DX169" i="8"/>
  <c r="DX170" i="8" s="1"/>
  <c r="AA169" i="8"/>
  <c r="AA170" i="8" s="1"/>
  <c r="V169" i="8"/>
  <c r="V170" i="8" s="1"/>
  <c r="CT169" i="8"/>
  <c r="AB169" i="8"/>
  <c r="AB170" i="8" s="1"/>
  <c r="DM165" i="8"/>
  <c r="P164" i="8"/>
  <c r="AJ163" i="8"/>
  <c r="AE163" i="8"/>
  <c r="DG165" i="8"/>
  <c r="U163" i="8"/>
  <c r="U165" i="8" s="1"/>
  <c r="Q163" i="8"/>
  <c r="Q165" i="8" s="1"/>
  <c r="L163" i="8"/>
  <c r="G163" i="8"/>
  <c r="AJ124" i="8"/>
  <c r="AF124" i="8"/>
  <c r="AL118" i="8"/>
  <c r="AL124" i="8" s="1"/>
  <c r="AN111" i="8"/>
  <c r="AN60" i="8" s="1"/>
  <c r="AP111" i="8"/>
  <c r="AP60" i="8" s="1"/>
  <c r="AL111" i="8"/>
  <c r="AL60" i="8" s="1"/>
  <c r="AH111" i="8"/>
  <c r="AH60" i="8" s="1"/>
  <c r="AD111" i="8"/>
  <c r="AD60" i="8" s="1"/>
  <c r="Z111" i="8"/>
  <c r="Z60" i="8" s="1"/>
  <c r="V111" i="8"/>
  <c r="V60" i="8" s="1"/>
  <c r="R111" i="8"/>
  <c r="R60" i="8" s="1"/>
  <c r="N111" i="8"/>
  <c r="N60" i="8" s="1"/>
  <c r="J111" i="8"/>
  <c r="J60" i="8" s="1"/>
  <c r="AO108" i="8"/>
  <c r="AO59" i="8" s="1"/>
  <c r="AK108" i="8"/>
  <c r="AK59" i="8" s="1"/>
  <c r="AG108" i="8"/>
  <c r="AG59" i="8" s="1"/>
  <c r="AC108" i="8"/>
  <c r="AC59" i="8" s="1"/>
  <c r="Y108" i="8"/>
  <c r="Y59" i="8" s="1"/>
  <c r="U108" i="8"/>
  <c r="U59" i="8" s="1"/>
  <c r="Q108" i="8"/>
  <c r="Q59" i="8" s="1"/>
  <c r="M108" i="8"/>
  <c r="M59" i="8" s="1"/>
  <c r="N108" i="8"/>
  <c r="N59" i="8" s="1"/>
  <c r="O97" i="8"/>
  <c r="AP77" i="8"/>
  <c r="AH77" i="8"/>
  <c r="AG77" i="8" s="1"/>
  <c r="AC77" i="8"/>
  <c r="AB77" i="8" s="1"/>
  <c r="X77" i="8"/>
  <c r="W77" i="8" s="1"/>
  <c r="W78" i="8" s="1"/>
  <c r="W99" i="8" s="1"/>
  <c r="S77" i="8"/>
  <c r="AP31" i="8"/>
  <c r="AH25" i="8"/>
  <c r="AH31" i="8"/>
  <c r="AD31" i="8"/>
  <c r="AJ31" i="8"/>
  <c r="AJ25" i="8"/>
  <c r="G31" i="8"/>
  <c r="G25" i="8"/>
  <c r="AQ16" i="8"/>
  <c r="AQ18" i="8" s="1"/>
  <c r="W16" i="8"/>
  <c r="W18" i="8" s="1"/>
  <c r="AS91" i="8"/>
  <c r="AN91" i="8"/>
  <c r="U89" i="8"/>
  <c r="U52" i="8" s="1"/>
  <c r="AQ85" i="8"/>
  <c r="AV89" i="8" s="1"/>
  <c r="AV52" i="8" s="1"/>
  <c r="W85" i="8"/>
  <c r="W87" i="8" s="1"/>
  <c r="W97" i="8" s="1"/>
  <c r="AX85" i="8"/>
  <c r="AX87" i="8" s="1"/>
  <c r="M77" i="8"/>
  <c r="H77" i="8"/>
  <c r="Z63" i="8"/>
  <c r="AO62" i="8"/>
  <c r="U41" i="8"/>
  <c r="U47" i="8" s="1"/>
  <c r="U87" i="4" s="1"/>
  <c r="U46" i="8"/>
  <c r="AM96" i="8"/>
  <c r="AH96" i="8"/>
  <c r="AC96" i="8"/>
  <c r="AL85" i="8"/>
  <c r="R85" i="8"/>
  <c r="AO97" i="8"/>
  <c r="Z97" i="8"/>
  <c r="U97" i="8"/>
  <c r="F97" i="8"/>
  <c r="N31" i="8"/>
  <c r="AE31" i="8"/>
  <c r="AE25" i="8"/>
  <c r="O31" i="8"/>
  <c r="O25" i="8"/>
  <c r="AR105" i="8"/>
  <c r="AR58" i="8" s="1"/>
  <c r="AN105" i="8"/>
  <c r="AN58" i="8" s="1"/>
  <c r="AJ105" i="8"/>
  <c r="AJ58" i="8" s="1"/>
  <c r="AF105" i="8"/>
  <c r="AF58" i="8" s="1"/>
  <c r="AB105" i="8"/>
  <c r="AB58" i="8" s="1"/>
  <c r="X105" i="8"/>
  <c r="X58" i="8" s="1"/>
  <c r="T105" i="8"/>
  <c r="T58" i="8" s="1"/>
  <c r="P105" i="8"/>
  <c r="P58" i="8" s="1"/>
  <c r="L105" i="8"/>
  <c r="L58" i="8" s="1"/>
  <c r="S96" i="8"/>
  <c r="N96" i="8"/>
  <c r="I96" i="8"/>
  <c r="AG85" i="8"/>
  <c r="AG89" i="8" s="1"/>
  <c r="AG52" i="8" s="1"/>
  <c r="M85" i="8"/>
  <c r="AX97" i="8"/>
  <c r="BC97" i="8" s="1"/>
  <c r="Y97" i="8"/>
  <c r="E97" i="8"/>
  <c r="AU85" i="8"/>
  <c r="AG76" i="8"/>
  <c r="AG78" i="8" s="1"/>
  <c r="AG99" i="8" s="1"/>
  <c r="AB76" i="8"/>
  <c r="M76" i="8"/>
  <c r="M78" i="8" s="1"/>
  <c r="M99" i="8" s="1"/>
  <c r="H76" i="8"/>
  <c r="Z46" i="8"/>
  <c r="AU31" i="8"/>
  <c r="AU25" i="8"/>
  <c r="AM31" i="8"/>
  <c r="AM25" i="8"/>
  <c r="AG16" i="8"/>
  <c r="AG18" i="8" s="1"/>
  <c r="M16" i="8"/>
  <c r="M18" i="8" s="1"/>
  <c r="AN238" i="7"/>
  <c r="AN251" i="7" s="1"/>
  <c r="AD238" i="7"/>
  <c r="AD233" i="7" s="1"/>
  <c r="AD239" i="7"/>
  <c r="Y238" i="7"/>
  <c r="Y251" i="7" s="1"/>
  <c r="L230" i="7"/>
  <c r="L239" i="7"/>
  <c r="AN204" i="7"/>
  <c r="L277" i="7"/>
  <c r="L77" i="7" s="1"/>
  <c r="N264" i="7"/>
  <c r="N263" i="7"/>
  <c r="X238" i="7"/>
  <c r="X251" i="7" s="1"/>
  <c r="DV216" i="7"/>
  <c r="DL216" i="7"/>
  <c r="DL218" i="7" s="1"/>
  <c r="CO214" i="7"/>
  <c r="CL218" i="7"/>
  <c r="CL221" i="7" s="1"/>
  <c r="AG214" i="7"/>
  <c r="AG122" i="4" s="1"/>
  <c r="DR216" i="7"/>
  <c r="AK213" i="7"/>
  <c r="DO209" i="7"/>
  <c r="AH209" i="7" s="1"/>
  <c r="DA209" i="7"/>
  <c r="DA218" i="7" s="1"/>
  <c r="AE209" i="7"/>
  <c r="O209" i="7"/>
  <c r="AJ209" i="7"/>
  <c r="AF209" i="7"/>
  <c r="CO209" i="7"/>
  <c r="J209" i="7"/>
  <c r="M209" i="7"/>
  <c r="CW204" i="7"/>
  <c r="DP204" i="7"/>
  <c r="DG204" i="7"/>
  <c r="CZ204" i="7"/>
  <c r="Z203" i="7"/>
  <c r="V203" i="7"/>
  <c r="W202" i="7"/>
  <c r="X202" i="7"/>
  <c r="DD202" i="7"/>
  <c r="DD204" i="7" s="1"/>
  <c r="AR202" i="7"/>
  <c r="AO138" i="7"/>
  <c r="AW277" i="7"/>
  <c r="P277" i="7"/>
  <c r="P77" i="7" s="1"/>
  <c r="K277" i="7"/>
  <c r="K77" i="7" s="1"/>
  <c r="N257" i="7"/>
  <c r="P239" i="7"/>
  <c r="AJ230" i="7"/>
  <c r="AQ229" i="7"/>
  <c r="AH229" i="7"/>
  <c r="F230" i="7"/>
  <c r="DU216" i="7"/>
  <c r="DC216" i="7"/>
  <c r="CN216" i="7"/>
  <c r="H214" i="7"/>
  <c r="H216" i="7" s="1"/>
  <c r="N214" i="7"/>
  <c r="AP213" i="7"/>
  <c r="AP216" i="7" s="1"/>
  <c r="AG213" i="7"/>
  <c r="DT209" i="7"/>
  <c r="AM209" i="7" s="1"/>
  <c r="AA209" i="7"/>
  <c r="AN209" i="7"/>
  <c r="Z208" i="7"/>
  <c r="Z209" i="7" s="1"/>
  <c r="U208" i="7"/>
  <c r="U209" i="7" s="1"/>
  <c r="AQ208" i="7"/>
  <c r="AQ209" i="7" s="1"/>
  <c r="DU204" i="7"/>
  <c r="DM204" i="7"/>
  <c r="DX203" i="7"/>
  <c r="AH203" i="7"/>
  <c r="DN203" i="7"/>
  <c r="DN204" i="7" s="1"/>
  <c r="V202" i="7"/>
  <c r="V204" i="7" s="1"/>
  <c r="DC204" i="7"/>
  <c r="Q203" i="7"/>
  <c r="Q204" i="7" s="1"/>
  <c r="Q202" i="7"/>
  <c r="L202" i="7"/>
  <c r="CO202" i="7"/>
  <c r="AR203" i="7"/>
  <c r="I262" i="7"/>
  <c r="S264" i="7"/>
  <c r="AP230" i="7"/>
  <c r="M214" i="7"/>
  <c r="AC213" i="7"/>
  <c r="T218" i="7"/>
  <c r="AM208" i="7"/>
  <c r="AA203" i="7"/>
  <c r="DH204" i="7"/>
  <c r="AO277" i="7"/>
  <c r="AO77" i="7" s="1"/>
  <c r="M277" i="7"/>
  <c r="M77" i="7" s="1"/>
  <c r="AC264" i="7"/>
  <c r="AR263" i="7"/>
  <c r="AC263" i="7"/>
  <c r="L251" i="7"/>
  <c r="AD250" i="7"/>
  <c r="X239" i="7"/>
  <c r="AT230" i="7"/>
  <c r="DE218" i="7"/>
  <c r="X218" i="7" s="1"/>
  <c r="CP218" i="7"/>
  <c r="DW216" i="7"/>
  <c r="DW218" i="7" s="1"/>
  <c r="DO216" i="7"/>
  <c r="DG216" i="7"/>
  <c r="DG218" i="7" s="1"/>
  <c r="CZ216" i="7"/>
  <c r="S216" i="7" s="1"/>
  <c r="DN214" i="7"/>
  <c r="W214" i="7"/>
  <c r="CS218" i="7"/>
  <c r="DI213" i="7"/>
  <c r="CY213" i="7"/>
  <c r="DK209" i="7"/>
  <c r="AI209" i="7"/>
  <c r="AP208" i="7"/>
  <c r="AP209" i="7" s="1"/>
  <c r="AK208" i="7"/>
  <c r="AK209" i="7" s="1"/>
  <c r="DN208" i="7"/>
  <c r="DN209" i="7" s="1"/>
  <c r="DD208" i="7"/>
  <c r="DD209" i="7" s="1"/>
  <c r="R208" i="7"/>
  <c r="R209" i="7" s="1"/>
  <c r="S208" i="7"/>
  <c r="DX202" i="7"/>
  <c r="DX204" i="7" s="1"/>
  <c r="AH202" i="7"/>
  <c r="DO204" i="7"/>
  <c r="AH204" i="7" s="1"/>
  <c r="AD204" i="7"/>
  <c r="J204" i="7"/>
  <c r="H202" i="7"/>
  <c r="AP163" i="7"/>
  <c r="V163" i="7"/>
  <c r="F163" i="7"/>
  <c r="AP203" i="7"/>
  <c r="AP204" i="7" s="1"/>
  <c r="DR204" i="7"/>
  <c r="DJ204" i="7"/>
  <c r="AC204" i="7" s="1"/>
  <c r="W203" i="7"/>
  <c r="AO202" i="7"/>
  <c r="AA202" i="7"/>
  <c r="R202" i="7"/>
  <c r="R204" i="7" s="1"/>
  <c r="M203" i="7"/>
  <c r="F203" i="7"/>
  <c r="F204" i="7" s="1"/>
  <c r="N203" i="7"/>
  <c r="AJ163" i="7"/>
  <c r="AF163" i="7"/>
  <c r="P163" i="7"/>
  <c r="L163" i="7"/>
  <c r="H163" i="7"/>
  <c r="AQ157" i="7"/>
  <c r="AQ163" i="7" s="1"/>
  <c r="W157" i="7"/>
  <c r="W163" i="7" s="1"/>
  <c r="M157" i="7"/>
  <c r="M163" i="7" s="1"/>
  <c r="BD150" i="7"/>
  <c r="AP150" i="7"/>
  <c r="AP72" i="7" s="1"/>
  <c r="V150" i="7"/>
  <c r="V72" i="7" s="1"/>
  <c r="AY147" i="7"/>
  <c r="AR147" i="7"/>
  <c r="AR71" i="7" s="1"/>
  <c r="AN147" i="7"/>
  <c r="AN71" i="7" s="1"/>
  <c r="AJ147" i="7"/>
  <c r="AJ71" i="7" s="1"/>
  <c r="AF147" i="7"/>
  <c r="AF71" i="7" s="1"/>
  <c r="AB147" i="7"/>
  <c r="AB71" i="7" s="1"/>
  <c r="X147" i="7"/>
  <c r="X71" i="7" s="1"/>
  <c r="T147" i="7"/>
  <c r="T71" i="7" s="1"/>
  <c r="P147" i="7"/>
  <c r="P71" i="7" s="1"/>
  <c r="L147" i="7"/>
  <c r="L71" i="7" s="1"/>
  <c r="AN144" i="7"/>
  <c r="AN70" i="7" s="1"/>
  <c r="AF144" i="7"/>
  <c r="AF70" i="7" s="1"/>
  <c r="X144" i="7"/>
  <c r="X70" i="7" s="1"/>
  <c r="P144" i="7"/>
  <c r="P70" i="7" s="1"/>
  <c r="AE137" i="7"/>
  <c r="O138" i="7"/>
  <c r="AJ118" i="7"/>
  <c r="AI118" i="7"/>
  <c r="S129" i="7"/>
  <c r="E118" i="7"/>
  <c r="E124" i="7" s="1"/>
  <c r="I129" i="7"/>
  <c r="BH172" i="7"/>
  <c r="BH94" i="4" s="1"/>
  <c r="Z150" i="7"/>
  <c r="Z72" i="7" s="1"/>
  <c r="AZ146" i="7"/>
  <c r="AZ22" i="7" s="1"/>
  <c r="AY146" i="7"/>
  <c r="AY22" i="7" s="1"/>
  <c r="AR144" i="7"/>
  <c r="AR70" i="7" s="1"/>
  <c r="AJ144" i="7"/>
  <c r="AJ70" i="7" s="1"/>
  <c r="AP138" i="7"/>
  <c r="AL138" i="7"/>
  <c r="AH138" i="7"/>
  <c r="AD138" i="7"/>
  <c r="Z138" i="7"/>
  <c r="V138" i="7"/>
  <c r="R138" i="7"/>
  <c r="J138" i="7"/>
  <c r="AO163" i="7"/>
  <c r="AK163" i="7"/>
  <c r="U163" i="7"/>
  <c r="Q163" i="7"/>
  <c r="E163" i="7"/>
  <c r="AH150" i="7"/>
  <c r="AH72" i="7" s="1"/>
  <c r="AX143" i="7"/>
  <c r="AC125" i="7"/>
  <c r="AC129" i="7" s="1"/>
  <c r="AC127" i="7"/>
  <c r="AC61" i="7" s="1"/>
  <c r="F99" i="7"/>
  <c r="F109" i="7" s="1"/>
  <c r="K101" i="7"/>
  <c r="K60" i="7" s="1"/>
  <c r="F103" i="7"/>
  <c r="AH127" i="7"/>
  <c r="AH61" i="7" s="1"/>
  <c r="N135" i="7"/>
  <c r="I111" i="7"/>
  <c r="Q109" i="7"/>
  <c r="Z99" i="7"/>
  <c r="Z109" i="7" s="1"/>
  <c r="AE90" i="7"/>
  <c r="AE111" i="7" s="1"/>
  <c r="Z90" i="7"/>
  <c r="Z111" i="7" s="1"/>
  <c r="BI68" i="7"/>
  <c r="BI131" i="7" s="1"/>
  <c r="BD68" i="7"/>
  <c r="BD131" i="7" s="1"/>
  <c r="AZ68" i="7"/>
  <c r="AZ131" i="7" s="1"/>
  <c r="BL63" i="7"/>
  <c r="BL38" i="2" s="1"/>
  <c r="AB24" i="7"/>
  <c r="H24" i="7"/>
  <c r="H26" i="7" s="1"/>
  <c r="S109" i="7"/>
  <c r="AD109" i="7"/>
  <c r="O109" i="7"/>
  <c r="G109" i="7"/>
  <c r="AU97" i="7"/>
  <c r="BH68" i="7"/>
  <c r="BH131" i="7" s="1"/>
  <c r="BC68" i="7"/>
  <c r="BC131" i="7" s="1"/>
  <c r="AY68" i="7"/>
  <c r="AY131" i="7" s="1"/>
  <c r="AI39" i="7"/>
  <c r="AL118" i="7"/>
  <c r="R118" i="7"/>
  <c r="R121" i="7" s="1"/>
  <c r="E111" i="7"/>
  <c r="J112" i="7" s="1"/>
  <c r="U109" i="7"/>
  <c r="AH109" i="7"/>
  <c r="N109" i="7"/>
  <c r="AY99" i="7"/>
  <c r="N90" i="7"/>
  <c r="N111" i="7" s="1"/>
  <c r="N112" i="7" s="1"/>
  <c r="AA45" i="7"/>
  <c r="AA33" i="9" s="1"/>
  <c r="F118" i="7"/>
  <c r="F121" i="7" s="1"/>
  <c r="AK118" i="7"/>
  <c r="AG118" i="7"/>
  <c r="Q118" i="7"/>
  <c r="M118" i="7"/>
  <c r="M122" i="7" s="1"/>
  <c r="AR101" i="7"/>
  <c r="AR60" i="7" s="1"/>
  <c r="W89" i="7"/>
  <c r="V90" i="7"/>
  <c r="V111" i="7" s="1"/>
  <c r="BK68" i="7"/>
  <c r="BK131" i="7" s="1"/>
  <c r="BE68" i="7"/>
  <c r="BE131" i="7" s="1"/>
  <c r="BA68" i="7"/>
  <c r="BA131" i="7" s="1"/>
  <c r="BG63" i="7"/>
  <c r="BG38" i="2" s="1"/>
  <c r="AA39" i="7"/>
  <c r="R11" i="7"/>
  <c r="R26" i="7" s="1"/>
  <c r="AN237" i="5"/>
  <c r="AN257" i="5"/>
  <c r="AI245" i="5"/>
  <c r="AI240" i="5" s="1"/>
  <c r="AD245" i="5"/>
  <c r="AD246" i="5" s="1"/>
  <c r="U245" i="5"/>
  <c r="U246" i="5" s="1"/>
  <c r="AR237" i="5"/>
  <c r="AR257" i="5"/>
  <c r="AJ237" i="5"/>
  <c r="AJ240" i="5"/>
  <c r="AJ257" i="5"/>
  <c r="AT245" i="5"/>
  <c r="AT258" i="5" s="1"/>
  <c r="AP245" i="5"/>
  <c r="AP246" i="5" s="1"/>
  <c r="Y245" i="5"/>
  <c r="Y246" i="5" s="1"/>
  <c r="AF237" i="5"/>
  <c r="AF243" i="5"/>
  <c r="AF280" i="5" s="1"/>
  <c r="AF257" i="5"/>
  <c r="AE245" i="5"/>
  <c r="AE246" i="5" s="1"/>
  <c r="Z245" i="5"/>
  <c r="Z258" i="5" s="1"/>
  <c r="V245" i="5"/>
  <c r="V246" i="5" s="1"/>
  <c r="AB236" i="5"/>
  <c r="AC245" i="5"/>
  <c r="AC258" i="5" s="1"/>
  <c r="AC246" i="5"/>
  <c r="M221" i="5"/>
  <c r="M223" i="5" s="1"/>
  <c r="CU223" i="5"/>
  <c r="H221" i="5"/>
  <c r="H223" i="5" s="1"/>
  <c r="I221" i="5"/>
  <c r="AI220" i="5"/>
  <c r="AI223" i="5" s="1"/>
  <c r="DP223" i="5"/>
  <c r="BJ210" i="5"/>
  <c r="AM270" i="5"/>
  <c r="AN258" i="5"/>
  <c r="AJ258" i="5"/>
  <c r="AF258" i="5"/>
  <c r="AI257" i="5"/>
  <c r="Z257" i="5"/>
  <c r="AN246" i="5"/>
  <c r="AJ246" i="5"/>
  <c r="AF246" i="5"/>
  <c r="AA245" i="5"/>
  <c r="AA237" i="5" s="1"/>
  <c r="P243" i="5"/>
  <c r="P280" i="5" s="1"/>
  <c r="AU236" i="5"/>
  <c r="AQ236" i="5"/>
  <c r="AM236" i="5"/>
  <c r="AB234" i="5"/>
  <c r="N221" i="5"/>
  <c r="DX221" i="5"/>
  <c r="DX223" i="5" s="1"/>
  <c r="BD222" i="5"/>
  <c r="DZ223" i="5"/>
  <c r="BJ209" i="5"/>
  <c r="BI179" i="5"/>
  <c r="BI93" i="4" s="1"/>
  <c r="I271" i="5"/>
  <c r="I270" i="5"/>
  <c r="AR258" i="5"/>
  <c r="AR246" i="5"/>
  <c r="J243" i="5"/>
  <c r="J280" i="5" s="1"/>
  <c r="AH236" i="5"/>
  <c r="T236" i="5"/>
  <c r="CZ223" i="5"/>
  <c r="S223" i="5" s="1"/>
  <c r="S67" i="9" s="1"/>
  <c r="S66" i="9" s="1"/>
  <c r="AE221" i="5"/>
  <c r="AE121" i="4" s="1"/>
  <c r="AZ221" i="5"/>
  <c r="AM271" i="5"/>
  <c r="X271" i="5"/>
  <c r="S271" i="5"/>
  <c r="AH270" i="5"/>
  <c r="N271" i="5"/>
  <c r="L258" i="5"/>
  <c r="AO257" i="5"/>
  <c r="AK257" i="5"/>
  <c r="L257" i="5"/>
  <c r="AS237" i="5"/>
  <c r="AO237" i="5"/>
  <c r="AK237" i="5"/>
  <c r="I236" i="5"/>
  <c r="S221" i="5"/>
  <c r="S121" i="4" s="1"/>
  <c r="DL223" i="5"/>
  <c r="DG223" i="5"/>
  <c r="DG225" i="5" s="1"/>
  <c r="Z222" i="5"/>
  <c r="AG221" i="5"/>
  <c r="AG121" i="4" s="1"/>
  <c r="BK221" i="5"/>
  <c r="BK121" i="4" s="1"/>
  <c r="BJ221" i="5"/>
  <c r="R220" i="5"/>
  <c r="CY220" i="5"/>
  <c r="AX22" i="5"/>
  <c r="BC152" i="5"/>
  <c r="DN67" i="3"/>
  <c r="AJ220" i="5"/>
  <c r="AJ223" i="5" s="1"/>
  <c r="Z220" i="5"/>
  <c r="EA216" i="5"/>
  <c r="AF215" i="5"/>
  <c r="AF216" i="5" s="1"/>
  <c r="DI215" i="5"/>
  <c r="DI216" i="5" s="1"/>
  <c r="CY215" i="5"/>
  <c r="R215" i="5"/>
  <c r="DO211" i="5"/>
  <c r="V210" i="5"/>
  <c r="V211" i="5" s="1"/>
  <c r="CT210" i="5"/>
  <c r="CO210" i="5"/>
  <c r="DM211" i="5"/>
  <c r="DI209" i="5"/>
  <c r="CT209" i="5"/>
  <c r="AM210" i="5"/>
  <c r="S210" i="5"/>
  <c r="P169" i="5"/>
  <c r="BC179" i="5"/>
  <c r="BC93" i="4" s="1"/>
  <c r="AY165" i="5"/>
  <c r="AY183" i="5" s="1"/>
  <c r="AY28" i="5" s="1"/>
  <c r="AH163" i="5"/>
  <c r="AQ163" i="5"/>
  <c r="AQ169" i="5" s="1"/>
  <c r="AN153" i="5"/>
  <c r="AN70" i="5" s="1"/>
  <c r="AJ153" i="5"/>
  <c r="AJ70" i="5" s="1"/>
  <c r="AF153" i="5"/>
  <c r="AF70" i="5" s="1"/>
  <c r="AB153" i="5"/>
  <c r="AB70" i="5" s="1"/>
  <c r="X153" i="5"/>
  <c r="X70" i="5" s="1"/>
  <c r="O153" i="5"/>
  <c r="O70" i="5" s="1"/>
  <c r="AX149" i="5"/>
  <c r="AK142" i="5"/>
  <c r="M142" i="5"/>
  <c r="AB142" i="5"/>
  <c r="U220" i="5"/>
  <c r="AP216" i="5"/>
  <c r="AL216" i="5"/>
  <c r="AD216" i="5"/>
  <c r="Z216" i="5"/>
  <c r="V216" i="5"/>
  <c r="R216" i="5"/>
  <c r="S213" i="5"/>
  <c r="O216" i="5"/>
  <c r="G216" i="5"/>
  <c r="Z211" i="5"/>
  <c r="DQ211" i="5"/>
  <c r="AE211" i="5"/>
  <c r="DH211" i="5"/>
  <c r="DH225" i="5" s="1"/>
  <c r="CS211" i="5"/>
  <c r="CO211" i="5"/>
  <c r="AA169" i="5"/>
  <c r="K169" i="5"/>
  <c r="BD179" i="5"/>
  <c r="BD93" i="4" s="1"/>
  <c r="AB163" i="5"/>
  <c r="AB169" i="5" s="1"/>
  <c r="W150" i="5"/>
  <c r="W69" i="5" s="1"/>
  <c r="O150" i="5"/>
  <c r="O69" i="5" s="1"/>
  <c r="L150" i="5"/>
  <c r="L69" i="5" s="1"/>
  <c r="AT142" i="5"/>
  <c r="AT146" i="5"/>
  <c r="M124" i="5"/>
  <c r="M127" i="5"/>
  <c r="M125" i="5"/>
  <c r="M128" i="5"/>
  <c r="CX223" i="5"/>
  <c r="BK222" i="5"/>
  <c r="BE221" i="5"/>
  <c r="BE121" i="4" s="1"/>
  <c r="BA222" i="5"/>
  <c r="AQ221" i="5"/>
  <c r="AQ121" i="4" s="1"/>
  <c r="DC216" i="5"/>
  <c r="DC225" i="5" s="1"/>
  <c r="CO216" i="5"/>
  <c r="AN211" i="5"/>
  <c r="AN225" i="5" s="1"/>
  <c r="AI211" i="5"/>
  <c r="CW211" i="5"/>
  <c r="CR211" i="5"/>
  <c r="CR225" i="5" s="1"/>
  <c r="H209" i="5"/>
  <c r="BE210" i="5"/>
  <c r="BE209" i="5"/>
  <c r="AZ210" i="5"/>
  <c r="AZ209" i="5"/>
  <c r="AR210" i="5"/>
  <c r="X210" i="5"/>
  <c r="AP169" i="5"/>
  <c r="BK177" i="5"/>
  <c r="BJ175" i="5"/>
  <c r="BK173" i="5"/>
  <c r="BE178" i="5"/>
  <c r="BF176" i="5"/>
  <c r="BE174" i="5"/>
  <c r="BF172" i="5"/>
  <c r="BA175" i="5"/>
  <c r="AM163" i="5"/>
  <c r="W163" i="5"/>
  <c r="W169" i="5" s="1"/>
  <c r="M163" i="5"/>
  <c r="M169" i="5" s="1"/>
  <c r="H163" i="5"/>
  <c r="H169" i="5" s="1"/>
  <c r="AQ153" i="5"/>
  <c r="AQ70" i="5" s="1"/>
  <c r="AA153" i="5"/>
  <c r="AA70" i="5" s="1"/>
  <c r="AN142" i="5"/>
  <c r="AN146" i="5"/>
  <c r="AP121" i="5"/>
  <c r="AQ121" i="5"/>
  <c r="R121" i="5"/>
  <c r="S133" i="5"/>
  <c r="S141" i="5"/>
  <c r="S142" i="5" s="1"/>
  <c r="Q121" i="5"/>
  <c r="Q127" i="5" s="1"/>
  <c r="V127" i="5" s="1"/>
  <c r="AA127" i="5" s="1"/>
  <c r="AF127" i="5" s="1"/>
  <c r="AK127" i="5" s="1"/>
  <c r="AP127" i="5" s="1"/>
  <c r="AU127" i="5" s="1"/>
  <c r="AZ127" i="5" s="1"/>
  <c r="BE127" i="5" s="1"/>
  <c r="BJ127" i="5" s="1"/>
  <c r="BO127" i="5" s="1"/>
  <c r="AE98" i="5"/>
  <c r="AE108" i="5" s="1"/>
  <c r="AE100" i="5"/>
  <c r="AE60" i="5" s="1"/>
  <c r="AE102" i="5"/>
  <c r="AU73" i="5"/>
  <c r="AU74" i="5"/>
  <c r="AU43" i="5"/>
  <c r="AU47" i="5" s="1"/>
  <c r="J33" i="5"/>
  <c r="J39" i="5"/>
  <c r="K33" i="5"/>
  <c r="K39" i="5"/>
  <c r="DB223" i="5"/>
  <c r="DB225" i="5" s="1"/>
  <c r="P221" i="5"/>
  <c r="P223" i="5" s="1"/>
  <c r="K221" i="5"/>
  <c r="K223" i="5" s="1"/>
  <c r="F221" i="5"/>
  <c r="F223" i="5" s="1"/>
  <c r="AP220" i="5"/>
  <c r="DS220" i="5"/>
  <c r="DN220" i="5"/>
  <c r="O223" i="5"/>
  <c r="DS215" i="5"/>
  <c r="AB215" i="5"/>
  <c r="AB216" i="5" s="1"/>
  <c r="AP211" i="5"/>
  <c r="DN210" i="5"/>
  <c r="J211" i="5"/>
  <c r="CL225" i="5"/>
  <c r="CL228" i="5" s="1"/>
  <c r="DY211" i="5"/>
  <c r="DA211" i="5"/>
  <c r="O211" i="5"/>
  <c r="AL209" i="5"/>
  <c r="AL211" i="5" s="1"/>
  <c r="K209" i="5"/>
  <c r="K211" i="5" s="1"/>
  <c r="AG169" i="5"/>
  <c r="U169" i="5"/>
  <c r="AX179" i="5"/>
  <c r="AX93" i="4" s="1"/>
  <c r="BJ176" i="5"/>
  <c r="BK176" i="5" s="1"/>
  <c r="BJ172" i="5"/>
  <c r="BK172" i="5" s="1"/>
  <c r="BE175" i="5"/>
  <c r="BF175" i="5" s="1"/>
  <c r="AZ178" i="5"/>
  <c r="BA178" i="5" s="1"/>
  <c r="AY177" i="5"/>
  <c r="AZ177" i="5" s="1"/>
  <c r="BA176" i="5"/>
  <c r="AZ174" i="5"/>
  <c r="BA174" i="5" s="1"/>
  <c r="AY173" i="5"/>
  <c r="BA172" i="5"/>
  <c r="AU170" i="5"/>
  <c r="AT71" i="5"/>
  <c r="AL156" i="5"/>
  <c r="AL71" i="5" s="1"/>
  <c r="AD156" i="5"/>
  <c r="AD71" i="5" s="1"/>
  <c r="V156" i="5"/>
  <c r="V71" i="5" s="1"/>
  <c r="AZ155" i="5"/>
  <c r="AZ23" i="5" s="1"/>
  <c r="AM156" i="5"/>
  <c r="AM71" i="5" s="1"/>
  <c r="AI156" i="5"/>
  <c r="AI71" i="5" s="1"/>
  <c r="AE156" i="5"/>
  <c r="AE71" i="5" s="1"/>
  <c r="AA156" i="5"/>
  <c r="AA71" i="5" s="1"/>
  <c r="W156" i="5"/>
  <c r="W71" i="5" s="1"/>
  <c r="S156" i="5"/>
  <c r="S71" i="5" s="1"/>
  <c r="O156" i="5"/>
  <c r="O71" i="5" s="1"/>
  <c r="K156" i="5"/>
  <c r="K71" i="5" s="1"/>
  <c r="AU70" i="5"/>
  <c r="AE153" i="5"/>
  <c r="AE70" i="5" s="1"/>
  <c r="N150" i="5"/>
  <c r="N69" i="5" s="1"/>
  <c r="J150" i="5"/>
  <c r="J69" i="5" s="1"/>
  <c r="Z142" i="5"/>
  <c r="I43" i="5"/>
  <c r="I47" i="5" s="1"/>
  <c r="I49" i="5" s="1"/>
  <c r="I73" i="5"/>
  <c r="I74" i="5"/>
  <c r="AC33" i="5"/>
  <c r="AC39" i="5"/>
  <c r="R142" i="5"/>
  <c r="J142" i="5"/>
  <c r="BG135" i="5"/>
  <c r="E127" i="5"/>
  <c r="F124" i="5"/>
  <c r="AC120" i="5"/>
  <c r="AJ110" i="5"/>
  <c r="AJ115" i="5" s="1"/>
  <c r="X108" i="5"/>
  <c r="BC96" i="5"/>
  <c r="BC100" i="5" s="1"/>
  <c r="AJ100" i="5"/>
  <c r="AJ60" i="5" s="1"/>
  <c r="Q108" i="5"/>
  <c r="G108" i="5"/>
  <c r="AI110" i="5"/>
  <c r="O110" i="5"/>
  <c r="O111" i="5" s="1"/>
  <c r="Y110" i="5"/>
  <c r="AQ37" i="5"/>
  <c r="AG37" i="5"/>
  <c r="W37" i="5"/>
  <c r="M37" i="5"/>
  <c r="I33" i="5"/>
  <c r="P32" i="5"/>
  <c r="AM32" i="5"/>
  <c r="AM251" i="5" s="1"/>
  <c r="AM264" i="5" s="1"/>
  <c r="AA32" i="5"/>
  <c r="U32" i="5"/>
  <c r="L18" i="5"/>
  <c r="W11" i="5"/>
  <c r="M11" i="5"/>
  <c r="M8" i="9" s="1"/>
  <c r="AF108" i="5"/>
  <c r="AO108" i="5"/>
  <c r="AC108" i="5"/>
  <c r="E108" i="5"/>
  <c r="AU96" i="5"/>
  <c r="E110" i="5"/>
  <c r="J111" i="5" s="1"/>
  <c r="O32" i="5"/>
  <c r="AI32" i="5"/>
  <c r="W26" i="5"/>
  <c r="E32" i="5"/>
  <c r="R16" i="5"/>
  <c r="M16" i="5"/>
  <c r="AN18" i="5"/>
  <c r="P18" i="5"/>
  <c r="J125" i="5"/>
  <c r="J126" i="5" s="1"/>
  <c r="AN121" i="5"/>
  <c r="H121" i="5"/>
  <c r="X111" i="5"/>
  <c r="AN108" i="5"/>
  <c r="AL96" i="5"/>
  <c r="AL98" i="5" s="1"/>
  <c r="AL108" i="5" s="1"/>
  <c r="R96" i="5"/>
  <c r="R98" i="5" s="1"/>
  <c r="R108" i="5" s="1"/>
  <c r="AX108" i="5"/>
  <c r="BC108" i="5" s="1"/>
  <c r="BH108" i="5" s="1"/>
  <c r="BM108" i="5" s="1"/>
  <c r="O108" i="5"/>
  <c r="J100" i="5"/>
  <c r="J60" i="5" s="1"/>
  <c r="AK110" i="5"/>
  <c r="M88" i="5"/>
  <c r="M89" i="5" s="1"/>
  <c r="M110" i="5" s="1"/>
  <c r="H88" i="5"/>
  <c r="Q89" i="5"/>
  <c r="Q110" i="5" s="1"/>
  <c r="I89" i="5"/>
  <c r="I110" i="5" s="1"/>
  <c r="N111" i="5" s="1"/>
  <c r="BA45" i="5"/>
  <c r="X32" i="5"/>
  <c r="X251" i="5" s="1"/>
  <c r="X264" i="5" s="1"/>
  <c r="V32" i="5"/>
  <c r="AK32" i="5"/>
  <c r="AF18" i="5"/>
  <c r="BB135" i="5"/>
  <c r="AH131" i="5"/>
  <c r="AH61" i="5" s="1"/>
  <c r="N131" i="5"/>
  <c r="N61" i="5" s="1"/>
  <c r="F127" i="5"/>
  <c r="E125" i="5"/>
  <c r="O121" i="5"/>
  <c r="K121" i="5"/>
  <c r="G121" i="5"/>
  <c r="P108" i="5"/>
  <c r="J108" i="5"/>
  <c r="AG96" i="5"/>
  <c r="AG102" i="5" s="1"/>
  <c r="M96" i="5"/>
  <c r="M102" i="5" s="1"/>
  <c r="AM108" i="5"/>
  <c r="S108" i="5"/>
  <c r="U110" i="5"/>
  <c r="AG88" i="5"/>
  <c r="AG89" i="5" s="1"/>
  <c r="AG110" i="5" s="1"/>
  <c r="I54" i="5"/>
  <c r="S32" i="5"/>
  <c r="S251" i="5" s="1"/>
  <c r="S264" i="5" s="1"/>
  <c r="AS32" i="5"/>
  <c r="AR18" i="5"/>
  <c r="X18" i="5"/>
  <c r="Q256" i="4"/>
  <c r="P228" i="4"/>
  <c r="P229" i="4" s="1"/>
  <c r="L228" i="4"/>
  <c r="AE229" i="4"/>
  <c r="O229" i="4"/>
  <c r="AA228" i="4"/>
  <c r="AA229" i="4" s="1"/>
  <c r="AG225" i="4"/>
  <c r="G228" i="4"/>
  <c r="G229" i="4" s="1"/>
  <c r="P209" i="4"/>
  <c r="P211" i="4" s="1"/>
  <c r="AF241" i="4"/>
  <c r="L241" i="4"/>
  <c r="L229" i="4"/>
  <c r="AK220" i="4"/>
  <c r="AK240" i="4"/>
  <c r="K220" i="4"/>
  <c r="K240" i="4"/>
  <c r="K241" i="4"/>
  <c r="AG200" i="4"/>
  <c r="F256" i="4"/>
  <c r="G256" i="4"/>
  <c r="G241" i="4"/>
  <c r="AF220" i="4"/>
  <c r="AF240" i="4"/>
  <c r="AO228" i="4"/>
  <c r="AJ209" i="4"/>
  <c r="AJ211" i="4" s="1"/>
  <c r="AJ225" i="4"/>
  <c r="AJ228" i="4" s="1"/>
  <c r="AE220" i="4"/>
  <c r="AE240" i="4"/>
  <c r="AE241" i="4"/>
  <c r="Z228" i="4"/>
  <c r="Z229" i="4" s="1"/>
  <c r="U209" i="4"/>
  <c r="U211" i="4" s="1"/>
  <c r="U225" i="4"/>
  <c r="J209" i="4"/>
  <c r="J225" i="4"/>
  <c r="J228" i="4" s="1"/>
  <c r="M200" i="4"/>
  <c r="Q211" i="4"/>
  <c r="L256" i="4"/>
  <c r="AK229" i="4"/>
  <c r="K229" i="4"/>
  <c r="AN225" i="4"/>
  <c r="AN228" i="4" s="1"/>
  <c r="AN209" i="4"/>
  <c r="AN211" i="4" s="1"/>
  <c r="AD209" i="4"/>
  <c r="AD211" i="4" s="1"/>
  <c r="AD225" i="4"/>
  <c r="AD228" i="4" s="1"/>
  <c r="T209" i="4"/>
  <c r="T211" i="4" s="1"/>
  <c r="T225" i="4"/>
  <c r="T228" i="4" s="1"/>
  <c r="T241" i="4" s="1"/>
  <c r="L211" i="4"/>
  <c r="BH125" i="4"/>
  <c r="AC247" i="4"/>
  <c r="CU29" i="3" s="1"/>
  <c r="Q225" i="4"/>
  <c r="E225" i="4"/>
  <c r="BH222" i="4"/>
  <c r="BC222" i="4"/>
  <c r="DO16" i="3"/>
  <c r="AF209" i="4"/>
  <c r="AF211" i="4" s="1"/>
  <c r="AP209" i="4"/>
  <c r="AP211" i="4" s="1"/>
  <c r="V209" i="4"/>
  <c r="V211" i="4" s="1"/>
  <c r="F209" i="4"/>
  <c r="F211" i="4" s="1"/>
  <c r="AH191" i="4"/>
  <c r="AH209" i="4" s="1"/>
  <c r="X191" i="4"/>
  <c r="N191" i="4"/>
  <c r="AI209" i="4"/>
  <c r="AI211" i="4" s="1"/>
  <c r="AE209" i="4"/>
  <c r="AE211" i="4" s="1"/>
  <c r="AG191" i="4"/>
  <c r="AB191" i="4"/>
  <c r="W191" i="4"/>
  <c r="M191" i="4"/>
  <c r="AU183" i="4"/>
  <c r="AM183" i="4"/>
  <c r="AM185" i="4" s="1"/>
  <c r="AL185" i="4" s="1"/>
  <c r="AC183" i="4"/>
  <c r="X183" i="4"/>
  <c r="AU176" i="4"/>
  <c r="X170" i="4"/>
  <c r="S170" i="4"/>
  <c r="S185" i="4" s="1"/>
  <c r="R185" i="4" s="1"/>
  <c r="I170" i="4"/>
  <c r="I185" i="4" s="1"/>
  <c r="Z185" i="4"/>
  <c r="AE62" i="3" s="1"/>
  <c r="G156" i="4"/>
  <c r="DZ154" i="4"/>
  <c r="DX151" i="4"/>
  <c r="DX154" i="4" s="1"/>
  <c r="DN154" i="4"/>
  <c r="DD154" i="4"/>
  <c r="CT154" i="4"/>
  <c r="U152" i="4"/>
  <c r="AJ154" i="4"/>
  <c r="G145" i="4"/>
  <c r="G62" i="9" s="1"/>
  <c r="G61" i="9" s="1"/>
  <c r="AT209" i="4"/>
  <c r="Z209" i="4"/>
  <c r="AQ200" i="4"/>
  <c r="W200" i="4"/>
  <c r="G209" i="4"/>
  <c r="AG183" i="4"/>
  <c r="M183" i="4"/>
  <c r="G185" i="4"/>
  <c r="X152" i="4"/>
  <c r="CP63" i="3" s="1"/>
  <c r="N74" i="4"/>
  <c r="M151" i="4"/>
  <c r="CE59" i="3" s="1"/>
  <c r="CE60" i="3" s="1"/>
  <c r="O145" i="4"/>
  <c r="O62" i="9" s="1"/>
  <c r="O61" i="9" s="1"/>
  <c r="AR242" i="4"/>
  <c r="DJ24" i="3" s="1"/>
  <c r="X242" i="4"/>
  <c r="CP24" i="3" s="1"/>
  <c r="Y228" i="4"/>
  <c r="AK209" i="4"/>
  <c r="AK211" i="4" s="1"/>
  <c r="Y211" i="4"/>
  <c r="S200" i="4"/>
  <c r="N200" i="4"/>
  <c r="O209" i="4"/>
  <c r="O211" i="4" s="1"/>
  <c r="K209" i="4"/>
  <c r="K211" i="4" s="1"/>
  <c r="AT185" i="4"/>
  <c r="J185" i="4"/>
  <c r="AB170" i="4"/>
  <c r="H170" i="4"/>
  <c r="AD154" i="4"/>
  <c r="BL79" i="4"/>
  <c r="BI222" i="4"/>
  <c r="BD222" i="4"/>
  <c r="AY222" i="4"/>
  <c r="AO241" i="4"/>
  <c r="AK241" i="4"/>
  <c r="Y241" i="4"/>
  <c r="I207" i="4"/>
  <c r="I225" i="4" s="1"/>
  <c r="CA17" i="3" s="1"/>
  <c r="CA19" i="3" s="1"/>
  <c r="I200" i="4"/>
  <c r="AO209" i="4"/>
  <c r="AO211" i="4" s="1"/>
  <c r="AA209" i="4"/>
  <c r="AA211" i="4" s="1"/>
  <c r="R191" i="4"/>
  <c r="AL183" i="4"/>
  <c r="AB183" i="4"/>
  <c r="H183" i="4"/>
  <c r="N80" i="4"/>
  <c r="M152" i="4"/>
  <c r="CE63" i="3" s="1"/>
  <c r="K154" i="4"/>
  <c r="AP154" i="4"/>
  <c r="I104" i="4"/>
  <c r="H148" i="4"/>
  <c r="AE154" i="4"/>
  <c r="AA154" i="4"/>
  <c r="Z154" i="4"/>
  <c r="DT145" i="4"/>
  <c r="AM145" i="4" s="1"/>
  <c r="DK145" i="4"/>
  <c r="CV145" i="4"/>
  <c r="Z144" i="4"/>
  <c r="Z145" i="4" s="1"/>
  <c r="AN144" i="4"/>
  <c r="AN145" i="4" s="1"/>
  <c r="AN62" i="9" s="1"/>
  <c r="AN61" i="9" s="1"/>
  <c r="AF144" i="4"/>
  <c r="AF145" i="4" s="1"/>
  <c r="T144" i="4"/>
  <c r="T145" i="4" s="1"/>
  <c r="T62" i="9" s="1"/>
  <c r="T61" i="9" s="1"/>
  <c r="L144" i="4"/>
  <c r="L145" i="4" s="1"/>
  <c r="L62" i="9" s="1"/>
  <c r="L61" i="9" s="1"/>
  <c r="DZ140" i="4"/>
  <c r="DF140" i="4"/>
  <c r="AP139" i="4"/>
  <c r="AF139" i="4"/>
  <c r="DI139" i="4"/>
  <c r="W139" i="4"/>
  <c r="R139" i="4"/>
  <c r="M139" i="4"/>
  <c r="G139" i="4"/>
  <c r="G140" i="4" s="1"/>
  <c r="AP138" i="4"/>
  <c r="AP140" i="4" s="1"/>
  <c r="AP158" i="4" s="1"/>
  <c r="AK138" i="4"/>
  <c r="AA138" i="4"/>
  <c r="AA140" i="4" s="1"/>
  <c r="DD138" i="4"/>
  <c r="R138" i="4"/>
  <c r="R140" i="4" s="1"/>
  <c r="M138" i="4"/>
  <c r="H138" i="4"/>
  <c r="AX71" i="4"/>
  <c r="AX40" i="3" s="1"/>
  <c r="AD56" i="4"/>
  <c r="R55" i="4"/>
  <c r="R36" i="9" s="1"/>
  <c r="H55" i="4"/>
  <c r="AE144" i="4"/>
  <c r="AE145" i="4" s="1"/>
  <c r="K144" i="4"/>
  <c r="K145" i="4" s="1"/>
  <c r="AE140" i="4"/>
  <c r="CR140" i="4"/>
  <c r="CR158" i="4" s="1"/>
  <c r="E139" i="4"/>
  <c r="BJ80" i="4"/>
  <c r="BJ152" i="4" s="1"/>
  <c r="F154" i="4"/>
  <c r="DO145" i="4"/>
  <c r="AH145" i="4" s="1"/>
  <c r="DN144" i="4"/>
  <c r="DN145" i="4" s="1"/>
  <c r="CY145" i="4"/>
  <c r="P144" i="4"/>
  <c r="P145" i="4" s="1"/>
  <c r="P62" i="9" s="1"/>
  <c r="P61" i="9" s="1"/>
  <c r="CX140" i="4"/>
  <c r="AN140" i="4"/>
  <c r="DP140" i="4"/>
  <c r="DP158" i="4" s="1"/>
  <c r="F140" i="4"/>
  <c r="AD140" i="4"/>
  <c r="Z140" i="4"/>
  <c r="V140" i="4"/>
  <c r="AT46" i="4"/>
  <c r="AT40" i="4"/>
  <c r="AJ46" i="4"/>
  <c r="AJ40" i="4"/>
  <c r="AE46" i="4"/>
  <c r="AE40" i="4"/>
  <c r="AA46" i="4"/>
  <c r="AA40" i="4"/>
  <c r="V46" i="4"/>
  <c r="V40" i="4"/>
  <c r="L46" i="4"/>
  <c r="L40" i="4"/>
  <c r="DO63" i="3"/>
  <c r="AN154" i="4"/>
  <c r="J154" i="4"/>
  <c r="AQ148" i="4"/>
  <c r="AQ147" i="4"/>
  <c r="DW145" i="4"/>
  <c r="CQ145" i="4"/>
  <c r="CT144" i="4"/>
  <c r="CT145" i="4" s="1"/>
  <c r="DX145" i="4"/>
  <c r="AR144" i="4"/>
  <c r="X144" i="4"/>
  <c r="DX139" i="4"/>
  <c r="DS139" i="4"/>
  <c r="AB139" i="4"/>
  <c r="EB140" i="4"/>
  <c r="EB158" i="4" s="1"/>
  <c r="DX138" i="4"/>
  <c r="DX140" i="4" s="1"/>
  <c r="DT140" i="4"/>
  <c r="W138" i="4"/>
  <c r="O140" i="4"/>
  <c r="J140" i="4"/>
  <c r="AC72" i="4"/>
  <c r="M55" i="4"/>
  <c r="BL55" i="4"/>
  <c r="BL257" i="4" s="1"/>
  <c r="AO46" i="4"/>
  <c r="Q46" i="4"/>
  <c r="AQ44" i="4"/>
  <c r="W44" i="4"/>
  <c r="M37" i="4"/>
  <c r="AL37" i="4"/>
  <c r="BB55" i="4"/>
  <c r="BB257" i="4" s="1"/>
  <c r="Y46" i="4"/>
  <c r="R37" i="4"/>
  <c r="AC67" i="3"/>
  <c r="DM162" i="10"/>
  <c r="CJ180" i="10"/>
  <c r="CF178" i="10"/>
  <c r="CB180" i="10"/>
  <c r="BX180" i="10"/>
  <c r="BC179" i="10"/>
  <c r="BC180" i="10" s="1"/>
  <c r="BB179" i="10"/>
  <c r="AE179" i="10"/>
  <c r="AD179" i="10"/>
  <c r="AT178" i="10"/>
  <c r="AT180" i="10" s="1"/>
  <c r="AS178" i="10"/>
  <c r="AU180" i="10"/>
  <c r="CI175" i="10"/>
  <c r="BV175" i="10"/>
  <c r="BB161" i="10"/>
  <c r="BC161" i="10"/>
  <c r="BD161" i="10"/>
  <c r="BA161" i="10"/>
  <c r="CJ165" i="10"/>
  <c r="CB165" i="10"/>
  <c r="CM165" i="10"/>
  <c r="CK148" i="10"/>
  <c r="CP148" i="10" s="1"/>
  <c r="CU148" i="10" s="1"/>
  <c r="CZ148" i="10" s="1"/>
  <c r="DE148" i="10" s="1"/>
  <c r="DJ148" i="10" s="1"/>
  <c r="DO148" i="10" s="1"/>
  <c r="CF156" i="10"/>
  <c r="CN180" i="10"/>
  <c r="AI179" i="10"/>
  <c r="AH179" i="10"/>
  <c r="AH180" i="10" s="1"/>
  <c r="AX178" i="10"/>
  <c r="AZ180" i="10"/>
  <c r="AW178" i="10"/>
  <c r="AW180" i="10" s="1"/>
  <c r="Z178" i="10"/>
  <c r="Y178" i="10"/>
  <c r="AA180" i="10"/>
  <c r="AW160" i="10"/>
  <c r="AX160" i="10"/>
  <c r="AY160" i="10"/>
  <c r="AV160" i="10"/>
  <c r="CN165" i="10"/>
  <c r="CA159" i="10"/>
  <c r="CF159" i="10" s="1"/>
  <c r="CK159" i="10" s="1"/>
  <c r="CP159" i="10" s="1"/>
  <c r="CU159" i="10" s="1"/>
  <c r="CZ159" i="10" s="1"/>
  <c r="BV165" i="10"/>
  <c r="AI162" i="10"/>
  <c r="AJ162" i="10"/>
  <c r="AH162" i="10"/>
  <c r="DB147" i="10"/>
  <c r="DB156" i="10" s="1"/>
  <c r="AY153" i="8" s="1"/>
  <c r="DD147" i="10"/>
  <c r="DD156" i="10" s="1"/>
  <c r="BA153" i="8" s="1"/>
  <c r="DA147" i="10"/>
  <c r="DA156" i="10" s="1"/>
  <c r="AX153" i="8" s="1"/>
  <c r="CY147" i="10"/>
  <c r="DH180" i="10"/>
  <c r="DD180" i="10"/>
  <c r="CV180" i="10"/>
  <c r="CR180" i="10"/>
  <c r="AJ179" i="10"/>
  <c r="O179" i="10"/>
  <c r="N179" i="10"/>
  <c r="N180" i="10" s="1"/>
  <c r="AY178" i="10"/>
  <c r="AQ180" i="10"/>
  <c r="AD178" i="10"/>
  <c r="AF180" i="10"/>
  <c r="AC178" i="10"/>
  <c r="X178" i="10"/>
  <c r="AD174" i="10"/>
  <c r="AE174" i="10"/>
  <c r="AC174" i="10"/>
  <c r="AC175" i="10" s="1"/>
  <c r="Y173" i="10"/>
  <c r="AA175" i="10"/>
  <c r="Z173" i="10"/>
  <c r="Z175" i="10" s="1"/>
  <c r="X173" i="10"/>
  <c r="BT165" i="10"/>
  <c r="CE165" i="10"/>
  <c r="BW165" i="10"/>
  <c r="BS165" i="10"/>
  <c r="BC162" i="10"/>
  <c r="BD162" i="10"/>
  <c r="BB162" i="10"/>
  <c r="AG162" i="10"/>
  <c r="DL180" i="10"/>
  <c r="DL182" i="10" s="1"/>
  <c r="AY179" i="10"/>
  <c r="AX179" i="10"/>
  <c r="AG179" i="10"/>
  <c r="P179" i="10"/>
  <c r="AV178" i="10"/>
  <c r="AE178" i="10"/>
  <c r="W178" i="10"/>
  <c r="L180" i="10"/>
  <c r="E175" i="10"/>
  <c r="DK175" i="10"/>
  <c r="CE175" i="10"/>
  <c r="CE182" i="10" s="1"/>
  <c r="CA175" i="10"/>
  <c r="CF173" i="10"/>
  <c r="BW175" i="10"/>
  <c r="AX174" i="10"/>
  <c r="AY174" i="10"/>
  <c r="AW174" i="10"/>
  <c r="AW175" i="10" s="1"/>
  <c r="AB174" i="10"/>
  <c r="AS173" i="10"/>
  <c r="AU175" i="10"/>
  <c r="AT173" i="10"/>
  <c r="AT175" i="10" s="1"/>
  <c r="AR173" i="10"/>
  <c r="W173" i="10"/>
  <c r="BG162" i="10"/>
  <c r="BH162" i="10"/>
  <c r="BF162" i="10"/>
  <c r="BX165" i="10"/>
  <c r="CI165" i="10"/>
  <c r="BA162" i="10"/>
  <c r="BF179" i="10"/>
  <c r="BF180" i="10" s="1"/>
  <c r="AL179" i="10"/>
  <c r="AL180" i="10" s="1"/>
  <c r="R179" i="10"/>
  <c r="R180" i="10" s="1"/>
  <c r="BA178" i="10"/>
  <c r="BA180" i="10" s="1"/>
  <c r="AG178" i="10"/>
  <c r="M178" i="10"/>
  <c r="M180" i="10" s="1"/>
  <c r="BJ175" i="10"/>
  <c r="AP175" i="10"/>
  <c r="V175" i="10"/>
  <c r="BA174" i="10"/>
  <c r="BA175" i="10" s="1"/>
  <c r="AS174" i="10"/>
  <c r="AG174" i="10"/>
  <c r="AG175" i="10" s="1"/>
  <c r="Y174" i="10"/>
  <c r="M174" i="10"/>
  <c r="M175" i="10" s="1"/>
  <c r="BH173" i="10"/>
  <c r="AV173" i="10"/>
  <c r="AV175" i="10" s="1"/>
  <c r="AN173" i="10"/>
  <c r="AB173" i="10"/>
  <c r="T173" i="10"/>
  <c r="AZ165" i="10"/>
  <c r="AF165" i="10"/>
  <c r="AX162" i="10"/>
  <c r="AL162" i="10"/>
  <c r="AD162" i="10"/>
  <c r="R162" i="10"/>
  <c r="N162" i="10"/>
  <c r="AW161" i="10"/>
  <c r="AS161" i="10"/>
  <c r="AG161" i="10"/>
  <c r="AC161" i="10"/>
  <c r="Y161" i="10"/>
  <c r="M161" i="10"/>
  <c r="BH160" i="10"/>
  <c r="AR160" i="10"/>
  <c r="AN160" i="10"/>
  <c r="AB160" i="10"/>
  <c r="X160" i="10"/>
  <c r="T160" i="10"/>
  <c r="BF159" i="10"/>
  <c r="BB159" i="10"/>
  <c r="AX159" i="10"/>
  <c r="AL159" i="10"/>
  <c r="AH159" i="10"/>
  <c r="AD159" i="10"/>
  <c r="R159" i="10"/>
  <c r="N159" i="10"/>
  <c r="BQ156" i="10"/>
  <c r="AA156" i="10"/>
  <c r="BA153" i="10"/>
  <c r="AV153" i="10"/>
  <c r="AQ153" i="10"/>
  <c r="AG153" i="10"/>
  <c r="AB153" i="10"/>
  <c r="W153" i="10"/>
  <c r="M153" i="10"/>
  <c r="P151" i="10"/>
  <c r="N151" i="10"/>
  <c r="O151" i="10"/>
  <c r="AY149" i="10"/>
  <c r="AW149" i="10"/>
  <c r="AX149" i="10"/>
  <c r="AT148" i="10"/>
  <c r="AR148" i="10"/>
  <c r="AS148" i="10"/>
  <c r="CD139" i="10"/>
  <c r="CO139" i="10"/>
  <c r="CG139" i="10"/>
  <c r="Z136" i="10"/>
  <c r="X136" i="10"/>
  <c r="Y136" i="10"/>
  <c r="AA139" i="10"/>
  <c r="AF139" i="10"/>
  <c r="M162" i="10"/>
  <c r="AV161" i="10"/>
  <c r="AB161" i="10"/>
  <c r="AQ160" i="10"/>
  <c r="W160" i="10"/>
  <c r="BA159" i="10"/>
  <c r="AG159" i="10"/>
  <c r="M159" i="10"/>
  <c r="AW152" i="10"/>
  <c r="AY152" i="10"/>
  <c r="AJ151" i="10"/>
  <c r="AH151" i="10"/>
  <c r="AI151" i="10"/>
  <c r="AS147" i="10"/>
  <c r="AQ147" i="10"/>
  <c r="AR147" i="10"/>
  <c r="BI147" i="10"/>
  <c r="BG147" i="10"/>
  <c r="BH147" i="10"/>
  <c r="BF136" i="10"/>
  <c r="BH136" i="10"/>
  <c r="BI136" i="10"/>
  <c r="BQ139" i="10"/>
  <c r="AT136" i="10"/>
  <c r="AR136" i="10"/>
  <c r="AS136" i="10"/>
  <c r="AQ174" i="10"/>
  <c r="AQ175" i="10" s="1"/>
  <c r="W174" i="10"/>
  <c r="BF173" i="10"/>
  <c r="BF175" i="10" s="1"/>
  <c r="AL173" i="10"/>
  <c r="AL175" i="10" s="1"/>
  <c r="R173" i="10"/>
  <c r="R175" i="10" s="1"/>
  <c r="AP165" i="10"/>
  <c r="V165" i="10"/>
  <c r="AV162" i="10"/>
  <c r="AB162" i="10"/>
  <c r="P162" i="10"/>
  <c r="AY161" i="10"/>
  <c r="AQ161" i="10"/>
  <c r="AE161" i="10"/>
  <c r="W161" i="10"/>
  <c r="BF160" i="10"/>
  <c r="AT160" i="10"/>
  <c r="AL160" i="10"/>
  <c r="Z160" i="10"/>
  <c r="R160" i="10"/>
  <c r="BD159" i="10"/>
  <c r="AV159" i="10"/>
  <c r="AJ159" i="10"/>
  <c r="AB159" i="10"/>
  <c r="P159" i="10"/>
  <c r="CA156" i="10"/>
  <c r="BE156" i="10"/>
  <c r="BG147" i="8" s="1"/>
  <c r="AK156" i="10"/>
  <c r="Q156" i="10"/>
  <c r="E156" i="10"/>
  <c r="BD153" i="10"/>
  <c r="AY153" i="10"/>
  <c r="AS153" i="10"/>
  <c r="AJ153" i="10"/>
  <c r="AE153" i="10"/>
  <c r="Y153" i="10"/>
  <c r="P153" i="10"/>
  <c r="BI152" i="10"/>
  <c r="BG152" i="10"/>
  <c r="AX152" i="10"/>
  <c r="U152" i="10"/>
  <c r="S152" i="10"/>
  <c r="T152" i="10"/>
  <c r="BD151" i="10"/>
  <c r="BB151" i="10"/>
  <c r="BC151" i="10"/>
  <c r="AG151" i="10"/>
  <c r="BF147" i="10"/>
  <c r="AT147" i="10"/>
  <c r="U147" i="10"/>
  <c r="S147" i="10"/>
  <c r="T147" i="10"/>
  <c r="BA135" i="10"/>
  <c r="BC135" i="10"/>
  <c r="BD135" i="10"/>
  <c r="CW133" i="10"/>
  <c r="DA133" i="10"/>
  <c r="DE133" i="10"/>
  <c r="DJ133" i="10" s="1"/>
  <c r="DO133" i="10" s="1"/>
  <c r="DT133" i="10" s="1"/>
  <c r="CY133" i="10"/>
  <c r="DC133" i="10"/>
  <c r="CV133" i="10"/>
  <c r="DD133" i="10"/>
  <c r="BG136" i="10"/>
  <c r="AQ136" i="10"/>
  <c r="BI135" i="10"/>
  <c r="BG135" i="10"/>
  <c r="BH135" i="10"/>
  <c r="U135" i="10"/>
  <c r="S135" i="10"/>
  <c r="T135" i="10"/>
  <c r="BD134" i="10"/>
  <c r="BB134" i="10"/>
  <c r="BC134" i="10"/>
  <c r="P134" i="10"/>
  <c r="N134" i="10"/>
  <c r="O134" i="10"/>
  <c r="BE165" i="10"/>
  <c r="AK165" i="10"/>
  <c r="Q165" i="10"/>
  <c r="BV156" i="10"/>
  <c r="AZ156" i="10"/>
  <c r="BB147" i="8" s="1"/>
  <c r="AF156" i="10"/>
  <c r="BF154" i="10"/>
  <c r="BA154" i="10"/>
  <c r="AV154" i="10"/>
  <c r="AL154" i="10"/>
  <c r="AG154" i="10"/>
  <c r="AB154" i="10"/>
  <c r="R154" i="10"/>
  <c r="M154" i="10"/>
  <c r="BC153" i="10"/>
  <c r="AW153" i="10"/>
  <c r="AR153" i="10"/>
  <c r="AI153" i="10"/>
  <c r="AC153" i="10"/>
  <c r="X153" i="10"/>
  <c r="O153" i="10"/>
  <c r="BH152" i="10"/>
  <c r="AV152" i="10"/>
  <c r="AO152" i="10"/>
  <c r="AM152" i="10"/>
  <c r="R152" i="10"/>
  <c r="BA151" i="10"/>
  <c r="AE149" i="10"/>
  <c r="AC149" i="10"/>
  <c r="AD149" i="10"/>
  <c r="Z148" i="10"/>
  <c r="X148" i="10"/>
  <c r="Y148" i="10"/>
  <c r="AO147" i="10"/>
  <c r="AM147" i="10"/>
  <c r="AN147" i="10"/>
  <c r="R147" i="10"/>
  <c r="Q139" i="10"/>
  <c r="AV134" i="10"/>
  <c r="AX134" i="10"/>
  <c r="AY134" i="10"/>
  <c r="BZ139" i="10"/>
  <c r="BR139" i="10"/>
  <c r="CC139" i="10"/>
  <c r="BF135" i="10"/>
  <c r="AO135" i="10"/>
  <c r="AM135" i="10"/>
  <c r="AP139" i="10"/>
  <c r="AN135" i="10"/>
  <c r="R135" i="10"/>
  <c r="BA134" i="10"/>
  <c r="AJ134" i="10"/>
  <c r="AH134" i="10"/>
  <c r="AI134" i="10"/>
  <c r="M134" i="10"/>
  <c r="AZ139" i="10"/>
  <c r="AB152" i="10"/>
  <c r="X152" i="10"/>
  <c r="P152" i="10"/>
  <c r="BG151" i="10"/>
  <c r="AY151" i="10"/>
  <c r="AM151" i="10"/>
  <c r="AE151" i="10"/>
  <c r="S151" i="10"/>
  <c r="BB149" i="10"/>
  <c r="AT149" i="10"/>
  <c r="AH149" i="10"/>
  <c r="Z149" i="10"/>
  <c r="N149" i="10"/>
  <c r="BI148" i="10"/>
  <c r="AW148" i="10"/>
  <c r="AO148" i="10"/>
  <c r="AC148" i="10"/>
  <c r="U148" i="10"/>
  <c r="BD147" i="10"/>
  <c r="AJ147" i="10"/>
  <c r="X147" i="10"/>
  <c r="P147" i="10"/>
  <c r="AW136" i="10"/>
  <c r="AO136" i="10"/>
  <c r="AC136" i="10"/>
  <c r="U136" i="10"/>
  <c r="AR135" i="10"/>
  <c r="AJ135" i="10"/>
  <c r="X135" i="10"/>
  <c r="P135" i="10"/>
  <c r="BG134" i="10"/>
  <c r="AM134" i="10"/>
  <c r="AE134" i="10"/>
  <c r="S134" i="10"/>
  <c r="BI133" i="10"/>
  <c r="AW133" i="10"/>
  <c r="AS133" i="10"/>
  <c r="AO133" i="10"/>
  <c r="AB133" i="10"/>
  <c r="U133" i="10"/>
  <c r="T133" i="10"/>
  <c r="F130" i="10"/>
  <c r="F12" i="10" s="1"/>
  <c r="BC128" i="10"/>
  <c r="BD128" i="10"/>
  <c r="BB128" i="10"/>
  <c r="BB113" i="10"/>
  <c r="BC113" i="10"/>
  <c r="BD113" i="10"/>
  <c r="BA113" i="10"/>
  <c r="DK113" i="10"/>
  <c r="AQ152" i="10"/>
  <c r="AE152" i="10"/>
  <c r="W152" i="10"/>
  <c r="BF151" i="10"/>
  <c r="AL151" i="10"/>
  <c r="R151" i="10"/>
  <c r="BA149" i="10"/>
  <c r="AG149" i="10"/>
  <c r="M149" i="10"/>
  <c r="AV148" i="10"/>
  <c r="AB148" i="10"/>
  <c r="W147" i="10"/>
  <c r="AV136" i="10"/>
  <c r="AB136" i="10"/>
  <c r="AQ135" i="10"/>
  <c r="W135" i="10"/>
  <c r="BF134" i="10"/>
  <c r="AL134" i="10"/>
  <c r="R134" i="10"/>
  <c r="AG139" i="10"/>
  <c r="AV133" i="10"/>
  <c r="AR133" i="10"/>
  <c r="Y133" i="10"/>
  <c r="X133" i="10"/>
  <c r="AW112" i="10"/>
  <c r="AX112" i="10"/>
  <c r="AY112" i="10"/>
  <c r="AV112" i="10"/>
  <c r="DA112" i="10"/>
  <c r="DI112" i="10"/>
  <c r="DB112" i="10"/>
  <c r="DF112" i="10"/>
  <c r="DJ112" i="10"/>
  <c r="DO112" i="10" s="1"/>
  <c r="DT112" i="10" s="1"/>
  <c r="DC112" i="10"/>
  <c r="DG112" i="10"/>
  <c r="DD112" i="10"/>
  <c r="DH112" i="10"/>
  <c r="AQ133" i="10"/>
  <c r="AD133" i="10"/>
  <c r="W133" i="10"/>
  <c r="BG114" i="10"/>
  <c r="BH114" i="10"/>
  <c r="BI114" i="10"/>
  <c r="BF114" i="10"/>
  <c r="DK114" i="10"/>
  <c r="DM114" i="10"/>
  <c r="DM127" i="10"/>
  <c r="DI127" i="10"/>
  <c r="CS127" i="10"/>
  <c r="CO127" i="10"/>
  <c r="CO130" i="10" s="1"/>
  <c r="CG127" i="10"/>
  <c r="CG130" i="10" s="1"/>
  <c r="CC127" i="10"/>
  <c r="CC130" i="10" s="1"/>
  <c r="BY127" i="10"/>
  <c r="BY130" i="10" s="1"/>
  <c r="BU127" i="10"/>
  <c r="BU130" i="10" s="1"/>
  <c r="BQ127" i="10"/>
  <c r="BF128" i="10"/>
  <c r="AX128" i="10"/>
  <c r="AL128" i="10"/>
  <c r="AH128" i="10"/>
  <c r="AD128" i="10"/>
  <c r="R128" i="10"/>
  <c r="N128" i="10"/>
  <c r="BE127" i="10"/>
  <c r="AK127" i="10"/>
  <c r="Q127" i="10"/>
  <c r="BA125" i="10"/>
  <c r="AW125" i="10"/>
  <c r="AS125" i="10"/>
  <c r="AG125" i="10"/>
  <c r="AC125" i="10"/>
  <c r="Y125" i="10"/>
  <c r="M125" i="10"/>
  <c r="BH124" i="10"/>
  <c r="AV124" i="10"/>
  <c r="AR124" i="10"/>
  <c r="AN124" i="10"/>
  <c r="AB124" i="10"/>
  <c r="X124" i="10"/>
  <c r="T124" i="10"/>
  <c r="BG123" i="10"/>
  <c r="BC123" i="10"/>
  <c r="AQ123" i="10"/>
  <c r="AM123" i="10"/>
  <c r="AI123" i="10"/>
  <c r="W123" i="10"/>
  <c r="S123" i="10"/>
  <c r="O123" i="10"/>
  <c r="BF122" i="10"/>
  <c r="BB122" i="10"/>
  <c r="AX122" i="10"/>
  <c r="AT122" i="10"/>
  <c r="AH122" i="10"/>
  <c r="AD122" i="10"/>
  <c r="Z122" i="10"/>
  <c r="N122" i="10"/>
  <c r="BI121" i="10"/>
  <c r="AW121" i="10"/>
  <c r="AS121" i="10"/>
  <c r="AO121" i="10"/>
  <c r="AC121" i="10"/>
  <c r="Y121" i="10"/>
  <c r="U121" i="10"/>
  <c r="BH120" i="10"/>
  <c r="BD120" i="10"/>
  <c r="AR120" i="10"/>
  <c r="AN120" i="10"/>
  <c r="AJ120" i="10"/>
  <c r="X120" i="10"/>
  <c r="T120" i="10"/>
  <c r="P120" i="10"/>
  <c r="BG119" i="10"/>
  <c r="BC119" i="10"/>
  <c r="AY119" i="10"/>
  <c r="AM119" i="10"/>
  <c r="AI119" i="10"/>
  <c r="AE119" i="10"/>
  <c r="S119" i="10"/>
  <c r="O119" i="10"/>
  <c r="BB118" i="10"/>
  <c r="AX118" i="10"/>
  <c r="AT118" i="10"/>
  <c r="AH118" i="10"/>
  <c r="AD118" i="10"/>
  <c r="Z118" i="10"/>
  <c r="N118" i="10"/>
  <c r="BI117" i="10"/>
  <c r="AW117" i="10"/>
  <c r="AS117" i="10"/>
  <c r="AO117" i="10"/>
  <c r="AC117" i="10"/>
  <c r="Y117" i="10"/>
  <c r="U117" i="10"/>
  <c r="BH116" i="10"/>
  <c r="BD116" i="10"/>
  <c r="AR116" i="10"/>
  <c r="AN116" i="10"/>
  <c r="AJ116" i="10"/>
  <c r="X116" i="10"/>
  <c r="T116" i="10"/>
  <c r="P116" i="10"/>
  <c r="BG115" i="10"/>
  <c r="BC115" i="10"/>
  <c r="AY115" i="10"/>
  <c r="AM115" i="10"/>
  <c r="AI115" i="10"/>
  <c r="AE115" i="10"/>
  <c r="S115" i="10"/>
  <c r="O115" i="10"/>
  <c r="BB114" i="10"/>
  <c r="AX114" i="10"/>
  <c r="AT114" i="10"/>
  <c r="AH114" i="10"/>
  <c r="AD114" i="10"/>
  <c r="Z114" i="10"/>
  <c r="N114" i="10"/>
  <c r="BI113" i="10"/>
  <c r="AW113" i="10"/>
  <c r="AS113" i="10"/>
  <c r="AO113" i="10"/>
  <c r="AC113" i="10"/>
  <c r="Y113" i="10"/>
  <c r="U113" i="10"/>
  <c r="BH112" i="10"/>
  <c r="BD112" i="10"/>
  <c r="AR112" i="10"/>
  <c r="AN112" i="10"/>
  <c r="AJ112" i="10"/>
  <c r="X112" i="10"/>
  <c r="T112" i="10"/>
  <c r="P112" i="10"/>
  <c r="BC100" i="10"/>
  <c r="BB100" i="10"/>
  <c r="AE100" i="10"/>
  <c r="AD100" i="10"/>
  <c r="BC99" i="10"/>
  <c r="Y99" i="10"/>
  <c r="Z99" i="10"/>
  <c r="X99" i="10"/>
  <c r="AX84" i="10"/>
  <c r="AY84" i="10"/>
  <c r="AV84" i="10"/>
  <c r="AZ94" i="10"/>
  <c r="BB183" i="6" s="1"/>
  <c r="AW84" i="10"/>
  <c r="AG128" i="10"/>
  <c r="M128" i="10"/>
  <c r="AV125" i="10"/>
  <c r="AB125" i="10"/>
  <c r="AQ124" i="10"/>
  <c r="W124" i="10"/>
  <c r="BF123" i="10"/>
  <c r="AL123" i="10"/>
  <c r="R123" i="10"/>
  <c r="BA122" i="10"/>
  <c r="AG122" i="10"/>
  <c r="M122" i="10"/>
  <c r="AV121" i="10"/>
  <c r="AB121" i="10"/>
  <c r="AQ120" i="10"/>
  <c r="W120" i="10"/>
  <c r="BF119" i="10"/>
  <c r="AL119" i="10"/>
  <c r="R119" i="10"/>
  <c r="BA118" i="10"/>
  <c r="AG118" i="10"/>
  <c r="M118" i="10"/>
  <c r="AV117" i="10"/>
  <c r="AB117" i="10"/>
  <c r="AQ116" i="10"/>
  <c r="W116" i="10"/>
  <c r="BF115" i="10"/>
  <c r="AL115" i="10"/>
  <c r="R115" i="10"/>
  <c r="BA114" i="10"/>
  <c r="AG114" i="10"/>
  <c r="M114" i="10"/>
  <c r="AV113" i="10"/>
  <c r="AB113" i="10"/>
  <c r="AQ112" i="10"/>
  <c r="W112" i="10"/>
  <c r="BG100" i="10"/>
  <c r="BF100" i="10"/>
  <c r="AI100" i="10"/>
  <c r="AH100" i="10"/>
  <c r="BI99" i="10"/>
  <c r="BH99" i="10"/>
  <c r="AS99" i="10"/>
  <c r="AT99" i="10"/>
  <c r="AR99" i="10"/>
  <c r="AI98" i="10"/>
  <c r="AJ98" i="10"/>
  <c r="AH98" i="10"/>
  <c r="AV128" i="10"/>
  <c r="AJ128" i="10"/>
  <c r="AB128" i="10"/>
  <c r="P128" i="10"/>
  <c r="AU127" i="10"/>
  <c r="AA127" i="10"/>
  <c r="AY125" i="10"/>
  <c r="AQ125" i="10"/>
  <c r="AE125" i="10"/>
  <c r="W125" i="10"/>
  <c r="BF124" i="10"/>
  <c r="AT124" i="10"/>
  <c r="AL124" i="10"/>
  <c r="Z124" i="10"/>
  <c r="R124" i="10"/>
  <c r="BI123" i="10"/>
  <c r="BA123" i="10"/>
  <c r="AO123" i="10"/>
  <c r="AG123" i="10"/>
  <c r="U123" i="10"/>
  <c r="M123" i="10"/>
  <c r="BD122" i="10"/>
  <c r="AV122" i="10"/>
  <c r="AJ122" i="10"/>
  <c r="AB122" i="10"/>
  <c r="P122" i="10"/>
  <c r="AY121" i="10"/>
  <c r="AQ121" i="10"/>
  <c r="AE121" i="10"/>
  <c r="W121" i="10"/>
  <c r="BF120" i="10"/>
  <c r="AT120" i="10"/>
  <c r="AL120" i="10"/>
  <c r="Z120" i="10"/>
  <c r="R120" i="10"/>
  <c r="BI119" i="10"/>
  <c r="BA119" i="10"/>
  <c r="AO119" i="10"/>
  <c r="AG119" i="10"/>
  <c r="U119" i="10"/>
  <c r="M119" i="10"/>
  <c r="BD118" i="10"/>
  <c r="AV118" i="10"/>
  <c r="AJ118" i="10"/>
  <c r="AB118" i="10"/>
  <c r="P118" i="10"/>
  <c r="AY117" i="10"/>
  <c r="AQ117" i="10"/>
  <c r="AE117" i="10"/>
  <c r="W117" i="10"/>
  <c r="BF116" i="10"/>
  <c r="AT116" i="10"/>
  <c r="AL116" i="10"/>
  <c r="Z116" i="10"/>
  <c r="R116" i="10"/>
  <c r="BI115" i="10"/>
  <c r="BA115" i="10"/>
  <c r="AO115" i="10"/>
  <c r="AG115" i="10"/>
  <c r="U115" i="10"/>
  <c r="M115" i="10"/>
  <c r="BD114" i="10"/>
  <c r="AV114" i="10"/>
  <c r="AJ114" i="10"/>
  <c r="AB114" i="10"/>
  <c r="P114" i="10"/>
  <c r="AY113" i="10"/>
  <c r="AQ113" i="10"/>
  <c r="AE113" i="10"/>
  <c r="W113" i="10"/>
  <c r="BF112" i="10"/>
  <c r="AT112" i="10"/>
  <c r="AL112" i="10"/>
  <c r="Z112" i="10"/>
  <c r="R112" i="10"/>
  <c r="BA99" i="10"/>
  <c r="BD99" i="10"/>
  <c r="BI100" i="10"/>
  <c r="AJ100" i="10"/>
  <c r="O100" i="10"/>
  <c r="N100" i="10"/>
  <c r="BG99" i="10"/>
  <c r="AQ99" i="10"/>
  <c r="CF84" i="10"/>
  <c r="CA94" i="10"/>
  <c r="CA71" i="10"/>
  <c r="CF71" i="10" s="1"/>
  <c r="CK71" i="10" s="1"/>
  <c r="CP71" i="10" s="1"/>
  <c r="CU71" i="10" s="1"/>
  <c r="CZ71" i="10" s="1"/>
  <c r="DE71" i="10" s="1"/>
  <c r="DJ71" i="10" s="1"/>
  <c r="CF69" i="10"/>
  <c r="DN127" i="10"/>
  <c r="DF127" i="10"/>
  <c r="CT127" i="10"/>
  <c r="CL127" i="10"/>
  <c r="CL130" i="10" s="1"/>
  <c r="CH127" i="10"/>
  <c r="CH130" i="10" s="1"/>
  <c r="CD127" i="10"/>
  <c r="CD130" i="10" s="1"/>
  <c r="BZ127" i="10"/>
  <c r="BZ130" i="10" s="1"/>
  <c r="BR127" i="10"/>
  <c r="BR130" i="10" s="1"/>
  <c r="BJ127" i="10"/>
  <c r="BJ130" i="10" s="1"/>
  <c r="BL186" i="7" s="1"/>
  <c r="AP127" i="10"/>
  <c r="BH100" i="10"/>
  <c r="AY100" i="10"/>
  <c r="AX100" i="10"/>
  <c r="AG100" i="10"/>
  <c r="P100" i="10"/>
  <c r="BF99" i="10"/>
  <c r="BC98" i="10"/>
  <c r="BD98" i="10"/>
  <c r="BB98" i="10"/>
  <c r="O98" i="10"/>
  <c r="P98" i="10"/>
  <c r="N98" i="10"/>
  <c r="BV94" i="10"/>
  <c r="AL100" i="10"/>
  <c r="R100" i="10"/>
  <c r="AV99" i="10"/>
  <c r="AN99" i="10"/>
  <c r="AB99" i="10"/>
  <c r="T99" i="10"/>
  <c r="BF98" i="10"/>
  <c r="AL98" i="10"/>
  <c r="AD98" i="10"/>
  <c r="Z98" i="10"/>
  <c r="R98" i="10"/>
  <c r="BE94" i="10"/>
  <c r="AK94" i="10"/>
  <c r="Q94" i="10"/>
  <c r="E94" i="10"/>
  <c r="BG92" i="10"/>
  <c r="BC92" i="10"/>
  <c r="AY92" i="10"/>
  <c r="AM92" i="10"/>
  <c r="AI92" i="10"/>
  <c r="AE92" i="10"/>
  <c r="S92" i="10"/>
  <c r="O92" i="10"/>
  <c r="BB91" i="10"/>
  <c r="AX91" i="10"/>
  <c r="AT91" i="10"/>
  <c r="AH91" i="10"/>
  <c r="AD91" i="10"/>
  <c r="Z91" i="10"/>
  <c r="N91" i="10"/>
  <c r="BI90" i="10"/>
  <c r="AW90" i="10"/>
  <c r="AS90" i="10"/>
  <c r="AO90" i="10"/>
  <c r="AC90" i="10"/>
  <c r="Y90" i="10"/>
  <c r="U90" i="10"/>
  <c r="BH87" i="10"/>
  <c r="BD87" i="10"/>
  <c r="AR87" i="10"/>
  <c r="AN87" i="10"/>
  <c r="AJ87" i="10"/>
  <c r="X87" i="10"/>
  <c r="T87" i="10"/>
  <c r="P87" i="10"/>
  <c r="BG86" i="10"/>
  <c r="BC86" i="10"/>
  <c r="AY86" i="10"/>
  <c r="AM86" i="10"/>
  <c r="AI86" i="10"/>
  <c r="AE86" i="10"/>
  <c r="S86" i="10"/>
  <c r="O86" i="10"/>
  <c r="BB85" i="10"/>
  <c r="AX85" i="10"/>
  <c r="AT85" i="10"/>
  <c r="AH85" i="10"/>
  <c r="AD85" i="10"/>
  <c r="Z85" i="10"/>
  <c r="N85" i="10"/>
  <c r="BI84" i="10"/>
  <c r="AS84" i="10"/>
  <c r="AO84" i="10"/>
  <c r="AC84" i="10"/>
  <c r="Y84" i="10"/>
  <c r="U84" i="10"/>
  <c r="BE75" i="10"/>
  <c r="BF72" i="10"/>
  <c r="AV72" i="10"/>
  <c r="AQ72" i="10"/>
  <c r="AL72" i="10"/>
  <c r="AB72" i="10"/>
  <c r="W72" i="10"/>
  <c r="BD70" i="10"/>
  <c r="BC70" i="10"/>
  <c r="AJ70" i="10"/>
  <c r="AI70" i="10"/>
  <c r="AT69" i="10"/>
  <c r="AS69" i="10"/>
  <c r="CK49" i="10"/>
  <c r="BF92" i="10"/>
  <c r="AL92" i="10"/>
  <c r="R92" i="10"/>
  <c r="BA91" i="10"/>
  <c r="AG91" i="10"/>
  <c r="M91" i="10"/>
  <c r="AV90" i="10"/>
  <c r="AB90" i="10"/>
  <c r="AQ87" i="10"/>
  <c r="W87" i="10"/>
  <c r="BF86" i="10"/>
  <c r="AL86" i="10"/>
  <c r="R86" i="10"/>
  <c r="BA85" i="10"/>
  <c r="AG85" i="10"/>
  <c r="M85" i="10"/>
  <c r="AB84" i="10"/>
  <c r="BA71" i="10"/>
  <c r="BD71" i="10"/>
  <c r="R72" i="10"/>
  <c r="R75" i="10" s="1"/>
  <c r="U72" i="10"/>
  <c r="BI71" i="10"/>
  <c r="BH71" i="10"/>
  <c r="BB71" i="10"/>
  <c r="AO71" i="10"/>
  <c r="AN71" i="10"/>
  <c r="BH70" i="10"/>
  <c r="BG70" i="10"/>
  <c r="AN70" i="10"/>
  <c r="AM70" i="10"/>
  <c r="P70" i="10"/>
  <c r="O70" i="10"/>
  <c r="AX69" i="10"/>
  <c r="AW69" i="10"/>
  <c r="Z69" i="10"/>
  <c r="Y69" i="10"/>
  <c r="AL99" i="10"/>
  <c r="R99" i="10"/>
  <c r="AB98" i="10"/>
  <c r="BI92" i="10"/>
  <c r="BA92" i="10"/>
  <c r="AO92" i="10"/>
  <c r="AG92" i="10"/>
  <c r="U92" i="10"/>
  <c r="M92" i="10"/>
  <c r="BD91" i="10"/>
  <c r="AV91" i="10"/>
  <c r="AJ91" i="10"/>
  <c r="AB91" i="10"/>
  <c r="P91" i="10"/>
  <c r="AY90" i="10"/>
  <c r="AQ90" i="10"/>
  <c r="AE90" i="10"/>
  <c r="W90" i="10"/>
  <c r="BF87" i="10"/>
  <c r="AT87" i="10"/>
  <c r="AL87" i="10"/>
  <c r="Z87" i="10"/>
  <c r="R87" i="10"/>
  <c r="BI86" i="10"/>
  <c r="BA86" i="10"/>
  <c r="AO86" i="10"/>
  <c r="AG86" i="10"/>
  <c r="U86" i="10"/>
  <c r="M86" i="10"/>
  <c r="BD85" i="10"/>
  <c r="AV85" i="10"/>
  <c r="AJ85" i="10"/>
  <c r="AB85" i="10"/>
  <c r="P85" i="10"/>
  <c r="AQ84" i="10"/>
  <c r="AE84" i="10"/>
  <c r="W84" i="10"/>
  <c r="AV70" i="10"/>
  <c r="AY70" i="10"/>
  <c r="BH72" i="10"/>
  <c r="AY72" i="10"/>
  <c r="AT72" i="10"/>
  <c r="AN72" i="10"/>
  <c r="AE72" i="10"/>
  <c r="Z72" i="10"/>
  <c r="T72" i="10"/>
  <c r="BG71" i="10"/>
  <c r="AS71" i="10"/>
  <c r="AR71" i="10"/>
  <c r="AM71" i="10"/>
  <c r="U71" i="10"/>
  <c r="T71" i="10"/>
  <c r="BI70" i="10"/>
  <c r="AO70" i="10"/>
  <c r="T70" i="10"/>
  <c r="S70" i="10"/>
  <c r="N70" i="10"/>
  <c r="AY69" i="10"/>
  <c r="AD69" i="10"/>
  <c r="AC69" i="10"/>
  <c r="X69" i="10"/>
  <c r="AR49" i="10"/>
  <c r="BJ94" i="10"/>
  <c r="AP94" i="10"/>
  <c r="V94" i="10"/>
  <c r="BG72" i="10"/>
  <c r="AX72" i="10"/>
  <c r="AR72" i="10"/>
  <c r="AM72" i="10"/>
  <c r="AD72" i="10"/>
  <c r="X72" i="10"/>
  <c r="S72" i="10"/>
  <c r="BF71" i="10"/>
  <c r="AT71" i="10"/>
  <c r="AL71" i="10"/>
  <c r="Y71" i="10"/>
  <c r="X71" i="10"/>
  <c r="S71" i="10"/>
  <c r="BF70" i="10"/>
  <c r="AX70" i="10"/>
  <c r="AL70" i="10"/>
  <c r="U70" i="10"/>
  <c r="M70" i="10"/>
  <c r="AV69" i="10"/>
  <c r="AE69" i="10"/>
  <c r="W69" i="10"/>
  <c r="CA50" i="10"/>
  <c r="BV66" i="10"/>
  <c r="AJ71" i="10"/>
  <c r="P71" i="10"/>
  <c r="AE70" i="10"/>
  <c r="BI69" i="10"/>
  <c r="AO69" i="10"/>
  <c r="U69" i="10"/>
  <c r="BJ66" i="10"/>
  <c r="BL193" i="5" s="1"/>
  <c r="BG64" i="10"/>
  <c r="BC64" i="10"/>
  <c r="AY64" i="10"/>
  <c r="AM64" i="10"/>
  <c r="AI64" i="10"/>
  <c r="AE64" i="10"/>
  <c r="S64" i="10"/>
  <c r="O64" i="10"/>
  <c r="BF62" i="10"/>
  <c r="AV62" i="10"/>
  <c r="AQ62" i="10"/>
  <c r="AL62" i="10"/>
  <c r="AB62" i="10"/>
  <c r="W62" i="10"/>
  <c r="R62" i="10"/>
  <c r="BG61" i="10"/>
  <c r="BB61" i="10"/>
  <c r="AS61" i="10"/>
  <c r="AM61" i="10"/>
  <c r="AH61" i="10"/>
  <c r="Y61" i="10"/>
  <c r="S61" i="10"/>
  <c r="N61" i="10"/>
  <c r="BI60" i="10"/>
  <c r="BD60" i="10"/>
  <c r="AX60" i="10"/>
  <c r="AO60" i="10"/>
  <c r="AJ60" i="10"/>
  <c r="AD60" i="10"/>
  <c r="U60" i="10"/>
  <c r="P60" i="10"/>
  <c r="BF58" i="10"/>
  <c r="AV58" i="10"/>
  <c r="AQ58" i="10"/>
  <c r="AL58" i="10"/>
  <c r="AB58" i="10"/>
  <c r="W58" i="10"/>
  <c r="R58" i="10"/>
  <c r="BG57" i="10"/>
  <c r="BB57" i="10"/>
  <c r="AS57" i="10"/>
  <c r="AM57" i="10"/>
  <c r="AH57" i="10"/>
  <c r="Y57" i="10"/>
  <c r="S57" i="10"/>
  <c r="N57" i="10"/>
  <c r="BI56" i="10"/>
  <c r="BD56" i="10"/>
  <c r="AX56" i="10"/>
  <c r="AO56" i="10"/>
  <c r="AJ56" i="10"/>
  <c r="AD56" i="10"/>
  <c r="U56" i="10"/>
  <c r="P56" i="10"/>
  <c r="BF54" i="10"/>
  <c r="AV54" i="10"/>
  <c r="AQ54" i="10"/>
  <c r="AL54" i="10"/>
  <c r="AB54" i="10"/>
  <c r="W54" i="10"/>
  <c r="R54" i="10"/>
  <c r="BG53" i="10"/>
  <c r="BB53" i="10"/>
  <c r="BD52" i="10"/>
  <c r="BC52" i="10"/>
  <c r="BF64" i="10"/>
  <c r="BB64" i="10"/>
  <c r="AL64" i="10"/>
  <c r="AH64" i="10"/>
  <c r="R64" i="10"/>
  <c r="N64" i="10"/>
  <c r="BF61" i="10"/>
  <c r="BA61" i="10"/>
  <c r="AQ61" i="10"/>
  <c r="AL61" i="10"/>
  <c r="AG61" i="10"/>
  <c r="W61" i="10"/>
  <c r="R61" i="10"/>
  <c r="M61" i="10"/>
  <c r="BF57" i="10"/>
  <c r="BA57" i="10"/>
  <c r="AQ57" i="10"/>
  <c r="AL57" i="10"/>
  <c r="AG57" i="10"/>
  <c r="W57" i="10"/>
  <c r="R57" i="10"/>
  <c r="M57" i="10"/>
  <c r="BF53" i="10"/>
  <c r="BA53" i="10"/>
  <c r="AO53" i="10"/>
  <c r="AN53" i="10"/>
  <c r="BH52" i="10"/>
  <c r="BG52" i="10"/>
  <c r="AJ52" i="10"/>
  <c r="AI52" i="10"/>
  <c r="AY51" i="10"/>
  <c r="AX51" i="10"/>
  <c r="BA64" i="10"/>
  <c r="AG64" i="10"/>
  <c r="M64" i="10"/>
  <c r="AS53" i="10"/>
  <c r="AR53" i="10"/>
  <c r="U53" i="10"/>
  <c r="T53" i="10"/>
  <c r="AN52" i="10"/>
  <c r="AM52" i="10"/>
  <c r="P52" i="10"/>
  <c r="O52" i="10"/>
  <c r="BC51" i="10"/>
  <c r="BB51" i="10"/>
  <c r="AD50" i="10"/>
  <c r="AE50" i="10"/>
  <c r="AC50" i="10"/>
  <c r="S49" i="10"/>
  <c r="T49" i="10"/>
  <c r="U49" i="10"/>
  <c r="R49" i="10"/>
  <c r="BF50" i="10"/>
  <c r="BG50" i="10"/>
  <c r="BI50" i="10"/>
  <c r="BG62" i="10"/>
  <c r="AX62" i="10"/>
  <c r="AR62" i="10"/>
  <c r="AM62" i="10"/>
  <c r="AD62" i="10"/>
  <c r="X62" i="10"/>
  <c r="S62" i="10"/>
  <c r="BI61" i="10"/>
  <c r="BC61" i="10"/>
  <c r="AT61" i="10"/>
  <c r="AO61" i="10"/>
  <c r="AI61" i="10"/>
  <c r="Z61" i="10"/>
  <c r="U61" i="10"/>
  <c r="O61" i="10"/>
  <c r="BG58" i="10"/>
  <c r="AX58" i="10"/>
  <c r="AR58" i="10"/>
  <c r="AM58" i="10"/>
  <c r="AD58" i="10"/>
  <c r="X58" i="10"/>
  <c r="S58" i="10"/>
  <c r="BI57" i="10"/>
  <c r="BC57" i="10"/>
  <c r="AT57" i="10"/>
  <c r="AO57" i="10"/>
  <c r="AI57" i="10"/>
  <c r="Z57" i="10"/>
  <c r="U57" i="10"/>
  <c r="O57" i="10"/>
  <c r="BG54" i="10"/>
  <c r="AX54" i="10"/>
  <c r="AR54" i="10"/>
  <c r="AM54" i="10"/>
  <c r="AD54" i="10"/>
  <c r="X54" i="10"/>
  <c r="S54" i="10"/>
  <c r="BI53" i="10"/>
  <c r="BC53" i="10"/>
  <c r="AT53" i="10"/>
  <c r="AL53" i="10"/>
  <c r="Y53" i="10"/>
  <c r="X53" i="10"/>
  <c r="S53" i="10"/>
  <c r="BF52" i="10"/>
  <c r="AO52" i="10"/>
  <c r="AG52" i="10"/>
  <c r="T52" i="10"/>
  <c r="S52" i="10"/>
  <c r="N52" i="10"/>
  <c r="BD51" i="10"/>
  <c r="AV51" i="10"/>
  <c r="AI51" i="10"/>
  <c r="AH51" i="10"/>
  <c r="O51" i="10"/>
  <c r="P51" i="10"/>
  <c r="N51" i="10"/>
  <c r="AX50" i="10"/>
  <c r="AY50" i="10"/>
  <c r="AW50" i="10"/>
  <c r="AB50" i="10"/>
  <c r="O49" i="10"/>
  <c r="N49" i="10"/>
  <c r="M49" i="10"/>
  <c r="P49" i="10"/>
  <c r="AJ53" i="10"/>
  <c r="P53" i="10"/>
  <c r="AY52" i="10"/>
  <c r="AE52" i="10"/>
  <c r="AT51" i="10"/>
  <c r="AD51" i="10"/>
  <c r="Z51" i="10"/>
  <c r="AS50" i="10"/>
  <c r="AO50" i="10"/>
  <c r="Y50" i="10"/>
  <c r="U50" i="10"/>
  <c r="BH49" i="10"/>
  <c r="BD49" i="10"/>
  <c r="AN49" i="10"/>
  <c r="AJ49" i="10"/>
  <c r="BD36" i="10"/>
  <c r="BA36" i="10"/>
  <c r="BB36" i="10"/>
  <c r="BC36" i="10"/>
  <c r="AB51" i="10"/>
  <c r="AQ50" i="10"/>
  <c r="W50" i="10"/>
  <c r="BF49" i="10"/>
  <c r="AL49" i="10"/>
  <c r="BI37" i="10"/>
  <c r="BF37" i="10"/>
  <c r="BG37" i="10"/>
  <c r="BH37" i="10"/>
  <c r="BV36" i="10"/>
  <c r="BD37" i="10"/>
  <c r="AR37" i="10"/>
  <c r="AN37" i="10"/>
  <c r="AJ37" i="10"/>
  <c r="X37" i="10"/>
  <c r="T37" i="10"/>
  <c r="P37" i="10"/>
  <c r="BG36" i="10"/>
  <c r="AY36" i="10"/>
  <c r="AM36" i="10"/>
  <c r="AI36" i="10"/>
  <c r="AE36" i="10"/>
  <c r="S36" i="10"/>
  <c r="O36" i="10"/>
  <c r="BB35" i="10"/>
  <c r="AT35" i="10"/>
  <c r="AH35" i="10"/>
  <c r="AD35" i="10"/>
  <c r="Z35" i="10"/>
  <c r="N35" i="10"/>
  <c r="E32" i="10"/>
  <c r="DN29" i="10"/>
  <c r="DF29" i="10"/>
  <c r="DF32" i="10" s="1"/>
  <c r="AQ37" i="10"/>
  <c r="W37" i="10"/>
  <c r="BF36" i="10"/>
  <c r="AL36" i="10"/>
  <c r="R36" i="10"/>
  <c r="BA35" i="10"/>
  <c r="AG35" i="10"/>
  <c r="M35" i="10"/>
  <c r="CV19" i="10"/>
  <c r="CW19" i="10"/>
  <c r="DE19" i="10"/>
  <c r="DJ19" i="10" s="1"/>
  <c r="DO19" i="10" s="1"/>
  <c r="DB19" i="10"/>
  <c r="DC19" i="10"/>
  <c r="AT37" i="10"/>
  <c r="AL37" i="10"/>
  <c r="Z37" i="10"/>
  <c r="R37" i="10"/>
  <c r="BI36" i="10"/>
  <c r="AO36" i="10"/>
  <c r="AG36" i="10"/>
  <c r="U36" i="10"/>
  <c r="M36" i="10"/>
  <c r="BD35" i="10"/>
  <c r="AZ35" i="10"/>
  <c r="AJ35" i="10"/>
  <c r="AB35" i="10"/>
  <c r="P35" i="10"/>
  <c r="L29" i="10"/>
  <c r="L32" i="10" s="1"/>
  <c r="AF29" i="10"/>
  <c r="AZ29" i="10"/>
  <c r="BT29" i="10"/>
  <c r="BT32" i="10" s="1"/>
  <c r="BX29" i="10"/>
  <c r="BX32" i="10" s="1"/>
  <c r="CB29" i="10"/>
  <c r="CB32" i="10" s="1"/>
  <c r="CJ29" i="10"/>
  <c r="CJ32" i="10" s="1"/>
  <c r="CN29" i="10"/>
  <c r="CN32" i="10" s="1"/>
  <c r="CR29" i="10"/>
  <c r="DH29" i="10"/>
  <c r="DH32" i="10" s="1"/>
  <c r="DL29" i="10"/>
  <c r="Q29" i="10"/>
  <c r="AK29" i="10"/>
  <c r="BE29" i="10"/>
  <c r="BQ29" i="10"/>
  <c r="BU29" i="10"/>
  <c r="BU32" i="10" s="1"/>
  <c r="BY29" i="10"/>
  <c r="BY32" i="10" s="1"/>
  <c r="CC29" i="10"/>
  <c r="CC32" i="10" s="1"/>
  <c r="CG29" i="10"/>
  <c r="CG32" i="10" s="1"/>
  <c r="CO29" i="10"/>
  <c r="CO32" i="10" s="1"/>
  <c r="CS29" i="10"/>
  <c r="V29" i="10"/>
  <c r="AP29" i="10"/>
  <c r="BJ29" i="10"/>
  <c r="BR29" i="10"/>
  <c r="BR32" i="10" s="1"/>
  <c r="BZ29" i="10"/>
  <c r="BZ32" i="10" s="1"/>
  <c r="CD29" i="10"/>
  <c r="CD32" i="10" s="1"/>
  <c r="CH29" i="10"/>
  <c r="CH32" i="10" s="1"/>
  <c r="CL29" i="10"/>
  <c r="CL32" i="10" s="1"/>
  <c r="CT29" i="10"/>
  <c r="AA29" i="10"/>
  <c r="AU29" i="10"/>
  <c r="BS29" i="10"/>
  <c r="BS32" i="10" s="1"/>
  <c r="BW29" i="10"/>
  <c r="BW32" i="10" s="1"/>
  <c r="CE29" i="10"/>
  <c r="CE32" i="10" s="1"/>
  <c r="CI29" i="10"/>
  <c r="CI32" i="10" s="1"/>
  <c r="CM29" i="10"/>
  <c r="CM32" i="10" s="1"/>
  <c r="CQ29" i="10"/>
  <c r="DG29" i="10"/>
  <c r="DG32" i="10" s="1"/>
  <c r="DK29" i="10"/>
  <c r="DI29" i="10"/>
  <c r="DI32" i="10" s="1"/>
  <c r="BH30" i="10"/>
  <c r="BD30" i="10"/>
  <c r="AR30" i="10"/>
  <c r="AN30" i="10"/>
  <c r="AJ30" i="10"/>
  <c r="X30" i="10"/>
  <c r="T30" i="10"/>
  <c r="P30" i="10"/>
  <c r="AQ19" i="10"/>
  <c r="AR19" i="10"/>
  <c r="AS19" i="10"/>
  <c r="AT19" i="10"/>
  <c r="BG26" i="10"/>
  <c r="BC26" i="10"/>
  <c r="AY26" i="10"/>
  <c r="AM26" i="10"/>
  <c r="AI26" i="10"/>
  <c r="AE26" i="10"/>
  <c r="S26" i="10"/>
  <c r="O26" i="10"/>
  <c r="BI25" i="10"/>
  <c r="BC25" i="10"/>
  <c r="AT25" i="10"/>
  <c r="AO25" i="10"/>
  <c r="AI25" i="10"/>
  <c r="Z25" i="10"/>
  <c r="U25" i="10"/>
  <c r="AN24" i="10"/>
  <c r="AM24" i="10"/>
  <c r="P24" i="10"/>
  <c r="O24" i="10"/>
  <c r="BC23" i="10"/>
  <c r="BB23" i="10"/>
  <c r="AW23" i="10"/>
  <c r="AE23" i="10"/>
  <c r="AD23" i="10"/>
  <c r="AT22" i="10"/>
  <c r="AS22" i="10"/>
  <c r="BG30" i="10"/>
  <c r="AQ30" i="10"/>
  <c r="AM30" i="10"/>
  <c r="W30" i="10"/>
  <c r="S30" i="10"/>
  <c r="BF26" i="10"/>
  <c r="BB26" i="10"/>
  <c r="AX26" i="10"/>
  <c r="AH26" i="10"/>
  <c r="AD26" i="10"/>
  <c r="N26" i="10"/>
  <c r="BG25" i="10"/>
  <c r="BB25" i="10"/>
  <c r="AS25" i="10"/>
  <c r="AM25" i="10"/>
  <c r="AH25" i="10"/>
  <c r="Y25" i="10"/>
  <c r="T24" i="10"/>
  <c r="S24" i="10"/>
  <c r="AI23" i="10"/>
  <c r="AH23" i="10"/>
  <c r="AX22" i="10"/>
  <c r="AW22" i="10"/>
  <c r="Z22" i="10"/>
  <c r="Y22" i="10"/>
  <c r="BF30" i="10"/>
  <c r="AL30" i="10"/>
  <c r="R30" i="10"/>
  <c r="BA26" i="10"/>
  <c r="AG26" i="10"/>
  <c r="BD24" i="10"/>
  <c r="BC24" i="10"/>
  <c r="O23" i="10"/>
  <c r="N23" i="10"/>
  <c r="AD22" i="10"/>
  <c r="AC22" i="10"/>
  <c r="BH20" i="10"/>
  <c r="BI20" i="10"/>
  <c r="BF20" i="10"/>
  <c r="BG20" i="10"/>
  <c r="P26" i="10"/>
  <c r="M25" i="10"/>
  <c r="P25" i="10"/>
  <c r="BH24" i="10"/>
  <c r="BG24" i="10"/>
  <c r="BB24" i="10"/>
  <c r="AJ24" i="10"/>
  <c r="AI24" i="10"/>
  <c r="R24" i="10"/>
  <c r="AY23" i="10"/>
  <c r="AX23" i="10"/>
  <c r="P23" i="10"/>
  <c r="AE22" i="10"/>
  <c r="W22" i="10"/>
  <c r="AY24" i="10"/>
  <c r="AE24" i="10"/>
  <c r="AT23" i="10"/>
  <c r="Z23" i="10"/>
  <c r="BI22" i="10"/>
  <c r="AO22" i="10"/>
  <c r="U22" i="10"/>
  <c r="BC20" i="10"/>
  <c r="AY20" i="10"/>
  <c r="AM20" i="10"/>
  <c r="AI20" i="10"/>
  <c r="AE20" i="10"/>
  <c r="S20" i="10"/>
  <c r="O20" i="10"/>
  <c r="BB19" i="10"/>
  <c r="AX19" i="10"/>
  <c r="AH19" i="10"/>
  <c r="AD19" i="10"/>
  <c r="Z19" i="10"/>
  <c r="N19" i="10"/>
  <c r="BB20" i="10"/>
  <c r="AL20" i="10"/>
  <c r="AH20" i="10"/>
  <c r="R20" i="10"/>
  <c r="N20" i="10"/>
  <c r="BA19" i="10"/>
  <c r="AW19" i="10"/>
  <c r="AG19" i="10"/>
  <c r="AC19" i="10"/>
  <c r="M19" i="10"/>
  <c r="BA20" i="10"/>
  <c r="AG20" i="10"/>
  <c r="M20" i="10"/>
  <c r="AV19" i="10"/>
  <c r="AB19" i="10"/>
  <c r="AK10" i="9"/>
  <c r="AK16" i="9"/>
  <c r="AK18" i="9" s="1"/>
  <c r="E16" i="9"/>
  <c r="AN10" i="9"/>
  <c r="AO16" i="9"/>
  <c r="AC10" i="9"/>
  <c r="AC16" i="9"/>
  <c r="AC18" i="9" s="1"/>
  <c r="U10" i="9"/>
  <c r="U16" i="9"/>
  <c r="I10" i="9"/>
  <c r="I16" i="9"/>
  <c r="I18" i="9" s="1"/>
  <c r="AF10" i="9"/>
  <c r="AF18" i="9"/>
  <c r="BC14" i="9"/>
  <c r="BJ12" i="9"/>
  <c r="BO12" i="9" s="1"/>
  <c r="BC13" i="9"/>
  <c r="BF20" i="9"/>
  <c r="BA14" i="9"/>
  <c r="BF14" i="9" s="1"/>
  <c r="BK14" i="9" s="1"/>
  <c r="BP14" i="9" s="1"/>
  <c r="AZ14" i="9"/>
  <c r="BE14" i="9" s="1"/>
  <c r="BJ14" i="9" s="1"/>
  <c r="BO14" i="9" s="1"/>
  <c r="I263" i="6"/>
  <c r="BG273" i="6"/>
  <c r="AY273" i="6"/>
  <c r="AY73" i="6" s="1"/>
  <c r="AU273" i="6"/>
  <c r="AT269" i="6"/>
  <c r="BB269" i="6"/>
  <c r="AX229" i="6"/>
  <c r="AS233" i="6"/>
  <c r="AS227" i="6"/>
  <c r="AS230" i="6"/>
  <c r="AO233" i="6"/>
  <c r="AO270" i="6" s="1"/>
  <c r="AO247" i="6"/>
  <c r="AO248" i="6"/>
  <c r="AO227" i="6"/>
  <c r="AO230" i="6"/>
  <c r="AX273" i="6"/>
  <c r="AX73" i="6" s="1"/>
  <c r="Y233" i="6"/>
  <c r="Y270" i="6" s="1"/>
  <c r="Y247" i="6"/>
  <c r="Y248" i="6"/>
  <c r="Y227" i="6"/>
  <c r="Y230" i="6"/>
  <c r="E233" i="6"/>
  <c r="E270" i="6" s="1"/>
  <c r="E248" i="6"/>
  <c r="E247" i="6"/>
  <c r="E227" i="6"/>
  <c r="E230" i="6"/>
  <c r="BA273" i="6"/>
  <c r="BA73" i="6" s="1"/>
  <c r="AS273" i="6"/>
  <c r="Q233" i="6"/>
  <c r="Q270" i="6" s="1"/>
  <c r="Q247" i="6"/>
  <c r="Q248" i="6"/>
  <c r="Q227" i="6"/>
  <c r="Q230" i="6"/>
  <c r="AI235" i="6"/>
  <c r="AI236" i="6" s="1"/>
  <c r="AD235" i="6"/>
  <c r="AD236" i="6" s="1"/>
  <c r="Z235" i="6"/>
  <c r="Z236" i="6" s="1"/>
  <c r="AZ273" i="6"/>
  <c r="AZ73" i="6" s="1"/>
  <c r="AK233" i="6"/>
  <c r="AK270" i="6" s="1"/>
  <c r="AK247" i="6"/>
  <c r="AK248" i="6"/>
  <c r="AK227" i="6"/>
  <c r="AK230" i="6"/>
  <c r="AC233" i="6"/>
  <c r="AC270" i="6" s="1"/>
  <c r="AC247" i="6"/>
  <c r="AC248" i="6"/>
  <c r="AC227" i="6"/>
  <c r="AC230" i="6"/>
  <c r="AB235" i="6"/>
  <c r="U233" i="6"/>
  <c r="U270" i="6" s="1"/>
  <c r="U247" i="6"/>
  <c r="U248" i="6"/>
  <c r="U227" i="6"/>
  <c r="U230" i="6"/>
  <c r="AH235" i="6"/>
  <c r="AH236" i="6" s="1"/>
  <c r="AG226" i="6"/>
  <c r="G247" i="6"/>
  <c r="AJ233" i="6"/>
  <c r="AJ270" i="6" s="1"/>
  <c r="T233" i="6"/>
  <c r="T270" i="6" s="1"/>
  <c r="P233" i="6"/>
  <c r="P270" i="6" s="1"/>
  <c r="AT227" i="6"/>
  <c r="AP227" i="6"/>
  <c r="J227" i="6"/>
  <c r="F227" i="6"/>
  <c r="CZ215" i="6"/>
  <c r="W161" i="6"/>
  <c r="T161" i="6"/>
  <c r="X161" i="6"/>
  <c r="U161" i="6"/>
  <c r="V161" i="6"/>
  <c r="K161" i="6"/>
  <c r="L161" i="6"/>
  <c r="M161" i="6"/>
  <c r="J161" i="6"/>
  <c r="N161" i="6"/>
  <c r="N212" i="6"/>
  <c r="M212" i="6"/>
  <c r="CT212" i="6"/>
  <c r="BK212" i="6"/>
  <c r="BF212" i="6"/>
  <c r="BA212" i="6"/>
  <c r="Q213" i="6"/>
  <c r="J213" i="6"/>
  <c r="AJ201" i="6"/>
  <c r="AJ215" i="6" s="1"/>
  <c r="AF201" i="6"/>
  <c r="AA201" i="6"/>
  <c r="AE233" i="6"/>
  <c r="AE270" i="6" s="1"/>
  <c r="AA233" i="6"/>
  <c r="AA270" i="6" s="1"/>
  <c r="O233" i="6"/>
  <c r="O270" i="6" s="1"/>
  <c r="K233" i="6"/>
  <c r="K270" i="6" s="1"/>
  <c r="G233" i="6"/>
  <c r="G270" i="6" s="1"/>
  <c r="AI161" i="6"/>
  <c r="AM161" i="6"/>
  <c r="AJ161" i="6"/>
  <c r="AK161" i="6"/>
  <c r="AM164" i="6"/>
  <c r="AL161" i="6"/>
  <c r="CP213" i="6"/>
  <c r="I213" i="6" s="1"/>
  <c r="H211" i="6"/>
  <c r="CO211" i="6"/>
  <c r="CO213" i="6" s="1"/>
  <c r="I211" i="6"/>
  <c r="W210" i="6"/>
  <c r="DD210" i="6"/>
  <c r="DD213" i="6" s="1"/>
  <c r="DE213" i="6"/>
  <c r="X213" i="6" s="1"/>
  <c r="AN201" i="6"/>
  <c r="AN215" i="6" s="1"/>
  <c r="AI215" i="6"/>
  <c r="I201" i="6"/>
  <c r="AT233" i="6"/>
  <c r="AP233" i="6"/>
  <c r="AP270" i="6" s="1"/>
  <c r="J233" i="6"/>
  <c r="J270" i="6" s="1"/>
  <c r="F233" i="6"/>
  <c r="F270" i="6" s="1"/>
  <c r="AE230" i="6"/>
  <c r="AA230" i="6"/>
  <c r="O230" i="6"/>
  <c r="K230" i="6"/>
  <c r="G230" i="6"/>
  <c r="AB226" i="6"/>
  <c r="X226" i="6"/>
  <c r="H226" i="6"/>
  <c r="DT215" i="6"/>
  <c r="AQ161" i="6"/>
  <c r="AN161" i="6"/>
  <c r="AR161" i="6"/>
  <c r="AO161" i="6"/>
  <c r="AP161" i="6"/>
  <c r="AR167" i="6"/>
  <c r="AA161" i="6"/>
  <c r="AB161" i="6"/>
  <c r="Y161" i="6"/>
  <c r="AC161" i="6"/>
  <c r="Z161" i="6"/>
  <c r="G161" i="6"/>
  <c r="H161" i="6"/>
  <c r="E161" i="6"/>
  <c r="I161" i="6"/>
  <c r="F161" i="6"/>
  <c r="DS213" i="6"/>
  <c r="K212" i="6"/>
  <c r="K213" i="6" s="1"/>
  <c r="EA213" i="6"/>
  <c r="DV213" i="6"/>
  <c r="DV215" i="6" s="1"/>
  <c r="AO211" i="6"/>
  <c r="DN211" i="6"/>
  <c r="DN213" i="6" s="1"/>
  <c r="AG211" i="6"/>
  <c r="DO213" i="6"/>
  <c r="AH213" i="6" s="1"/>
  <c r="AH211" i="6"/>
  <c r="AH124" i="4" s="1"/>
  <c r="DJ213" i="6"/>
  <c r="AC213" i="6" s="1"/>
  <c r="AB210" i="6"/>
  <c r="AB213" i="6" s="1"/>
  <c r="W211" i="6"/>
  <c r="X211" i="6"/>
  <c r="X124" i="4" s="1"/>
  <c r="M211" i="6"/>
  <c r="CT211" i="6"/>
  <c r="CT213" i="6" s="1"/>
  <c r="CU213" i="6"/>
  <c r="N213" i="6" s="1"/>
  <c r="N211" i="6"/>
  <c r="BA211" i="6"/>
  <c r="T213" i="6"/>
  <c r="O213" i="6"/>
  <c r="O215" i="6" s="1"/>
  <c r="P201" i="6"/>
  <c r="L201" i="6"/>
  <c r="AX161" i="6"/>
  <c r="AS236" i="6"/>
  <c r="AO236" i="6"/>
  <c r="AK236" i="6"/>
  <c r="AC236" i="6"/>
  <c r="Y236" i="6"/>
  <c r="U236" i="6"/>
  <c r="Q236" i="6"/>
  <c r="E236" i="6"/>
  <c r="AE161" i="6"/>
  <c r="AF161" i="6"/>
  <c r="AG161" i="6"/>
  <c r="AD161" i="6"/>
  <c r="AH161" i="6"/>
  <c r="O161" i="6"/>
  <c r="S161" i="6"/>
  <c r="P161" i="6"/>
  <c r="Q161" i="6"/>
  <c r="R161" i="6"/>
  <c r="L213" i="6"/>
  <c r="BJ211" i="6"/>
  <c r="BE211" i="6"/>
  <c r="AC201" i="6"/>
  <c r="T201" i="6"/>
  <c r="T215" i="6" s="1"/>
  <c r="DN201" i="6"/>
  <c r="CT201" i="6"/>
  <c r="P211" i="6"/>
  <c r="P213" i="6" s="1"/>
  <c r="DY201" i="6"/>
  <c r="DU201" i="6"/>
  <c r="DU215" i="6" s="1"/>
  <c r="DQ201" i="6"/>
  <c r="DQ215" i="6" s="1"/>
  <c r="DM201" i="6"/>
  <c r="DM215" i="6" s="1"/>
  <c r="DE201" i="6"/>
  <c r="DA201" i="6"/>
  <c r="DA215" i="6" s="1"/>
  <c r="CW201" i="6"/>
  <c r="CW215" i="6" s="1"/>
  <c r="CS201" i="6"/>
  <c r="CS215" i="6" s="1"/>
  <c r="DX200" i="6"/>
  <c r="DX201" i="6" s="1"/>
  <c r="DX215" i="6" s="1"/>
  <c r="DD200" i="6"/>
  <c r="DD201" i="6" s="1"/>
  <c r="DD215" i="6" s="1"/>
  <c r="DS199" i="6"/>
  <c r="DS201" i="6" s="1"/>
  <c r="CY199" i="6"/>
  <c r="CY201" i="6" s="1"/>
  <c r="CY215" i="6" s="1"/>
  <c r="BI200" i="6"/>
  <c r="BI199" i="6"/>
  <c r="BD200" i="6"/>
  <c r="BD199" i="6"/>
  <c r="AY200" i="6"/>
  <c r="AY199" i="6"/>
  <c r="AP200" i="6"/>
  <c r="AP201" i="6" s="1"/>
  <c r="AH200" i="6"/>
  <c r="AD200" i="6"/>
  <c r="AD201" i="6" s="1"/>
  <c r="AD215" i="6" s="1"/>
  <c r="Z200" i="6"/>
  <c r="Z201" i="6" s="1"/>
  <c r="Z215" i="6" s="1"/>
  <c r="V200" i="6"/>
  <c r="V201" i="6" s="1"/>
  <c r="V215" i="6" s="1"/>
  <c r="N200" i="6"/>
  <c r="J200" i="6"/>
  <c r="J201" i="6" s="1"/>
  <c r="J215" i="6" s="1"/>
  <c r="F200" i="6"/>
  <c r="F201" i="6" s="1"/>
  <c r="F215" i="6" s="1"/>
  <c r="AL199" i="6"/>
  <c r="AL201" i="6" s="1"/>
  <c r="R199" i="6"/>
  <c r="R201" i="6" s="1"/>
  <c r="BH169" i="6"/>
  <c r="BH96" i="4" s="1"/>
  <c r="BI167" i="6"/>
  <c r="BJ167" i="6" s="1"/>
  <c r="BK167" i="6" s="1"/>
  <c r="BI166" i="6"/>
  <c r="BJ166" i="6" s="1"/>
  <c r="BK166" i="6" s="1"/>
  <c r="BI165" i="6"/>
  <c r="BJ165" i="6" s="1"/>
  <c r="BK165" i="6" s="1"/>
  <c r="BI164" i="6"/>
  <c r="BJ164" i="6" s="1"/>
  <c r="BK164" i="6" s="1"/>
  <c r="BI163" i="6"/>
  <c r="BD167" i="6"/>
  <c r="BE167" i="6" s="1"/>
  <c r="BF167" i="6" s="1"/>
  <c r="BD166" i="6"/>
  <c r="BE166" i="6" s="1"/>
  <c r="BF166" i="6" s="1"/>
  <c r="BD165" i="6"/>
  <c r="BE165" i="6" s="1"/>
  <c r="BF165" i="6" s="1"/>
  <c r="BD164" i="6"/>
  <c r="BE164" i="6" s="1"/>
  <c r="BD163" i="6"/>
  <c r="AY167" i="6"/>
  <c r="AZ167" i="6" s="1"/>
  <c r="BA167" i="6" s="1"/>
  <c r="AY166" i="6"/>
  <c r="AZ166" i="6" s="1"/>
  <c r="BA166" i="6" s="1"/>
  <c r="AY165" i="6"/>
  <c r="AZ165" i="6" s="1"/>
  <c r="AY164" i="6"/>
  <c r="AZ164" i="6" s="1"/>
  <c r="BA164" i="6" s="1"/>
  <c r="AY163" i="6"/>
  <c r="AZ163" i="6" s="1"/>
  <c r="AT161" i="6"/>
  <c r="AB152" i="6"/>
  <c r="AB154" i="6" s="1"/>
  <c r="AB160" i="6" s="1"/>
  <c r="AC154" i="6"/>
  <c r="AH160" i="6" s="1"/>
  <c r="H152" i="6"/>
  <c r="H154" i="6" s="1"/>
  <c r="H160" i="6" s="1"/>
  <c r="I154" i="6"/>
  <c r="J160" i="6" s="1"/>
  <c r="AN147" i="6"/>
  <c r="AN68" i="6" s="1"/>
  <c r="X147" i="6"/>
  <c r="X68" i="6" s="1"/>
  <c r="AE144" i="6"/>
  <c r="AE67" i="6" s="1"/>
  <c r="O144" i="6"/>
  <c r="O67" i="6" s="1"/>
  <c r="AG200" i="6"/>
  <c r="AG201" i="6" s="1"/>
  <c r="M200" i="6"/>
  <c r="M201" i="6" s="1"/>
  <c r="AO199" i="6"/>
  <c r="AO201" i="6" s="1"/>
  <c r="AK199" i="6"/>
  <c r="AK201" i="6" s="1"/>
  <c r="AK215" i="6" s="1"/>
  <c r="AC199" i="6"/>
  <c r="Y199" i="6"/>
  <c r="Y201" i="6" s="1"/>
  <c r="Y215" i="6" s="1"/>
  <c r="U199" i="6"/>
  <c r="U201" i="6" s="1"/>
  <c r="U215" i="6" s="1"/>
  <c r="Q199" i="6"/>
  <c r="Q201" i="6" s="1"/>
  <c r="Q215" i="6" s="1"/>
  <c r="I199" i="6"/>
  <c r="E199" i="6"/>
  <c r="E201" i="6" s="1"/>
  <c r="E215" i="6" s="1"/>
  <c r="E218" i="6" s="1"/>
  <c r="F216" i="6" s="1"/>
  <c r="F218" i="6" s="1"/>
  <c r="G216" i="6" s="1"/>
  <c r="U160" i="6"/>
  <c r="AS161" i="6"/>
  <c r="BE146" i="6"/>
  <c r="R212" i="6"/>
  <c r="R213" i="6" s="1"/>
  <c r="H212" i="6"/>
  <c r="EA201" i="6"/>
  <c r="DO201" i="6"/>
  <c r="DK201" i="6"/>
  <c r="DK215" i="6" s="1"/>
  <c r="DG201" i="6"/>
  <c r="DG215" i="6" s="1"/>
  <c r="CU201" i="6"/>
  <c r="CQ201" i="6"/>
  <c r="CQ215" i="6" s="1"/>
  <c r="CM201" i="6"/>
  <c r="CM215" i="6" s="1"/>
  <c r="CM218" i="6" s="1"/>
  <c r="DI199" i="6"/>
  <c r="DI201" i="6" s="1"/>
  <c r="CO199" i="6"/>
  <c r="CO201" i="6" s="1"/>
  <c r="AR200" i="6"/>
  <c r="X200" i="6"/>
  <c r="AB199" i="6"/>
  <c r="AB201" i="6" s="1"/>
  <c r="H199" i="6"/>
  <c r="H201" i="6" s="1"/>
  <c r="T160" i="6"/>
  <c r="P160" i="6"/>
  <c r="AT177" i="6"/>
  <c r="AX169" i="6"/>
  <c r="AX96" i="4" s="1"/>
  <c r="AZ160" i="6"/>
  <c r="AS160" i="6"/>
  <c r="AM154" i="6"/>
  <c r="AM160" i="6" s="1"/>
  <c r="X154" i="6"/>
  <c r="Y160" i="6" s="1"/>
  <c r="AF147" i="6"/>
  <c r="AF68" i="6" s="1"/>
  <c r="P147" i="6"/>
  <c r="P68" i="6" s="1"/>
  <c r="AM144" i="6"/>
  <c r="AM67" i="6" s="1"/>
  <c r="W144" i="6"/>
  <c r="W67" i="6" s="1"/>
  <c r="AU174" i="6"/>
  <c r="AQ147" i="6"/>
  <c r="AQ68" i="6" s="1"/>
  <c r="AQ144" i="6"/>
  <c r="AQ67" i="6" s="1"/>
  <c r="AD115" i="6"/>
  <c r="AF115" i="6"/>
  <c r="P118" i="6"/>
  <c r="W96" i="6"/>
  <c r="M96" i="6"/>
  <c r="M106" i="6" s="1"/>
  <c r="L118" i="6"/>
  <c r="F118" i="6"/>
  <c r="F122" i="6"/>
  <c r="R136" i="6"/>
  <c r="AI135" i="6"/>
  <c r="AR125" i="6"/>
  <c r="AR60" i="6" s="1"/>
  <c r="AC123" i="6"/>
  <c r="I123" i="6"/>
  <c r="BH96" i="6"/>
  <c r="AU96" i="6"/>
  <c r="AU106" i="6" s="1"/>
  <c r="AZ106" i="6" s="1"/>
  <c r="AZ94" i="6"/>
  <c r="AU98" i="6"/>
  <c r="AU59" i="6" s="1"/>
  <c r="AG136" i="6"/>
  <c r="Q136" i="6"/>
  <c r="AM127" i="6"/>
  <c r="S127" i="6"/>
  <c r="K122" i="6"/>
  <c r="Z100" i="6"/>
  <c r="S100" i="6"/>
  <c r="Z98" i="6"/>
  <c r="Z59" i="6" s="1"/>
  <c r="L98" i="6"/>
  <c r="L59" i="6" s="1"/>
  <c r="AC96" i="6"/>
  <c r="AC106" i="6" s="1"/>
  <c r="J96" i="6"/>
  <c r="J106" i="6" s="1"/>
  <c r="BG95" i="6"/>
  <c r="AT94" i="6"/>
  <c r="AO98" i="6"/>
  <c r="AO59" i="6" s="1"/>
  <c r="AH98" i="6"/>
  <c r="AH59" i="6" s="1"/>
  <c r="V94" i="6"/>
  <c r="V100" i="6" s="1"/>
  <c r="AI94" i="6"/>
  <c r="AN98" i="6" s="1"/>
  <c r="AN59" i="6" s="1"/>
  <c r="AL93" i="6"/>
  <c r="AL94" i="6" s="1"/>
  <c r="H93" i="6"/>
  <c r="H94" i="6" s="1"/>
  <c r="M98" i="6" s="1"/>
  <c r="M59" i="6" s="1"/>
  <c r="AU86" i="6"/>
  <c r="AZ86" i="6" s="1"/>
  <c r="BE86" i="6" s="1"/>
  <c r="BJ86" i="6" s="1"/>
  <c r="AM86" i="6"/>
  <c r="AM87" i="6" s="1"/>
  <c r="AM108" i="6" s="1"/>
  <c r="M100" i="6"/>
  <c r="E118" i="6"/>
  <c r="E119" i="6"/>
  <c r="R94" i="6"/>
  <c r="AM98" i="6"/>
  <c r="AM59" i="6" s="1"/>
  <c r="AR98" i="6"/>
  <c r="AR59" i="6" s="1"/>
  <c r="AF96" i="6"/>
  <c r="AF106" i="6" s="1"/>
  <c r="AF100" i="6"/>
  <c r="U98" i="6"/>
  <c r="U59" i="6" s="1"/>
  <c r="U96" i="6"/>
  <c r="U106" i="6" s="1"/>
  <c r="AN96" i="6"/>
  <c r="AN106" i="6" s="1"/>
  <c r="AS98" i="6"/>
  <c r="AS59" i="6" s="1"/>
  <c r="AN100" i="6"/>
  <c r="Q98" i="6"/>
  <c r="Q59" i="6" s="1"/>
  <c r="Q96" i="6"/>
  <c r="Q106" i="6" s="1"/>
  <c r="AT87" i="6"/>
  <c r="AT108" i="6" s="1"/>
  <c r="R87" i="6"/>
  <c r="R108" i="6" s="1"/>
  <c r="I87" i="6"/>
  <c r="I108" i="6" s="1"/>
  <c r="J118" i="6"/>
  <c r="AL115" i="6"/>
  <c r="R115" i="6"/>
  <c r="S96" i="6"/>
  <c r="S106" i="6" s="1"/>
  <c r="F96" i="6"/>
  <c r="F106" i="6" s="1"/>
  <c r="AQ94" i="6"/>
  <c r="AV98" i="6" s="1"/>
  <c r="AV59" i="6" s="1"/>
  <c r="U87" i="6"/>
  <c r="U108" i="6" s="1"/>
  <c r="U109" i="6" s="1"/>
  <c r="O119" i="6"/>
  <c r="T119" i="6" s="1"/>
  <c r="AR114" i="6"/>
  <c r="AG115" i="6"/>
  <c r="BL95" i="6"/>
  <c r="AJ96" i="6"/>
  <c r="AJ106" i="6" s="1"/>
  <c r="AJ100" i="6"/>
  <c r="X96" i="6"/>
  <c r="X106" i="6" s="1"/>
  <c r="X98" i="6"/>
  <c r="X59" i="6" s="1"/>
  <c r="AD94" i="6"/>
  <c r="AG93" i="6"/>
  <c r="AG94" i="6" s="1"/>
  <c r="BD86" i="6"/>
  <c r="AK98" i="6"/>
  <c r="AK59" i="6" s="1"/>
  <c r="Y87" i="6"/>
  <c r="Y108" i="6" s="1"/>
  <c r="AI86" i="6"/>
  <c r="AI87" i="6" s="1"/>
  <c r="AI108" i="6" s="1"/>
  <c r="AE86" i="6"/>
  <c r="AE87" i="6" s="1"/>
  <c r="AE108" i="6" s="1"/>
  <c r="Z86" i="6"/>
  <c r="Z87" i="6" s="1"/>
  <c r="Z108" i="6" s="1"/>
  <c r="V86" i="6"/>
  <c r="V87" i="6" s="1"/>
  <c r="V108" i="6" s="1"/>
  <c r="N86" i="6"/>
  <c r="M86" i="6" s="1"/>
  <c r="E86" i="6"/>
  <c r="E87" i="6" s="1"/>
  <c r="E108" i="6" s="1"/>
  <c r="J109" i="6" s="1"/>
  <c r="BI70" i="6"/>
  <c r="AY70" i="6"/>
  <c r="U100" i="6"/>
  <c r="Q100" i="6"/>
  <c r="I100" i="6"/>
  <c r="BD70" i="6"/>
  <c r="AC100" i="6"/>
  <c r="BA62" i="6"/>
  <c r="BA102" i="6" s="1"/>
  <c r="AZ62" i="6"/>
  <c r="AZ102" i="6" s="1"/>
  <c r="AX62" i="6"/>
  <c r="AX102" i="6" s="1"/>
  <c r="AZ64" i="6"/>
  <c r="AZ129" i="6" s="1"/>
  <c r="AX64" i="6"/>
  <c r="AX129" i="6" s="1"/>
  <c r="BA64" i="6"/>
  <c r="BA129" i="6" s="1"/>
  <c r="AY64" i="6"/>
  <c r="AY129" i="6" s="1"/>
  <c r="BH43" i="6"/>
  <c r="BM43" i="6" s="1"/>
  <c r="BQ43" i="6" s="1"/>
  <c r="M17" i="6"/>
  <c r="BA10" i="6"/>
  <c r="BA28" i="6"/>
  <c r="BF28" i="6" s="1"/>
  <c r="BK28" i="6" s="1"/>
  <c r="BI28" i="6"/>
  <c r="AR65" i="8"/>
  <c r="AP237" i="8"/>
  <c r="AP65" i="8" s="1"/>
  <c r="AQ237" i="8"/>
  <c r="AQ65" i="8" s="1"/>
  <c r="AO237" i="8"/>
  <c r="AO65" i="8" s="1"/>
  <c r="AW237" i="8"/>
  <c r="AD197" i="8"/>
  <c r="AD234" i="8" s="1"/>
  <c r="AD211" i="8"/>
  <c r="AD194" i="8"/>
  <c r="AD212" i="8"/>
  <c r="T199" i="8"/>
  <c r="T200" i="8" s="1"/>
  <c r="BB233" i="8"/>
  <c r="AP233" i="8"/>
  <c r="S222" i="8"/>
  <c r="O222" i="8"/>
  <c r="G211" i="8"/>
  <c r="AH200" i="8"/>
  <c r="Z200" i="8"/>
  <c r="J200" i="8"/>
  <c r="AH197" i="8"/>
  <c r="AH234" i="8" s="1"/>
  <c r="Z197" i="8"/>
  <c r="Z234" i="8" s="1"/>
  <c r="J197" i="8"/>
  <c r="J234" i="8" s="1"/>
  <c r="AU191" i="8"/>
  <c r="AU197" i="8"/>
  <c r="AU234" i="8" s="1"/>
  <c r="AN199" i="8"/>
  <c r="AN200" i="8" s="1"/>
  <c r="X199" i="8"/>
  <c r="X200" i="8" s="1"/>
  <c r="W190" i="8"/>
  <c r="L199" i="8"/>
  <c r="L200" i="8" s="1"/>
  <c r="AL189" i="8"/>
  <c r="AM190" i="8"/>
  <c r="AL177" i="8"/>
  <c r="AS233" i="8"/>
  <c r="AS194" i="8"/>
  <c r="AS191" i="8"/>
  <c r="AK194" i="8"/>
  <c r="AK191" i="8"/>
  <c r="U194" i="8"/>
  <c r="U191" i="8"/>
  <c r="E194" i="8"/>
  <c r="E191" i="8"/>
  <c r="AA191" i="8"/>
  <c r="AA197" i="8"/>
  <c r="AA234" i="8" s="1"/>
  <c r="K191" i="8"/>
  <c r="K197" i="8"/>
  <c r="K234" i="8" s="1"/>
  <c r="G191" i="8"/>
  <c r="G197" i="8"/>
  <c r="G234" i="8" s="1"/>
  <c r="AD191" i="8"/>
  <c r="AV233" i="8"/>
  <c r="AN233" i="8"/>
  <c r="AK212" i="8"/>
  <c r="U212" i="8"/>
  <c r="E211" i="8"/>
  <c r="AD200" i="8"/>
  <c r="AP199" i="8"/>
  <c r="AP200" i="8" s="1"/>
  <c r="AA194" i="8"/>
  <c r="K194" i="8"/>
  <c r="AJ199" i="8"/>
  <c r="AJ200" i="8" s="1"/>
  <c r="AF199" i="8"/>
  <c r="AF191" i="8" s="1"/>
  <c r="P199" i="8"/>
  <c r="P200" i="8" s="1"/>
  <c r="AU233" i="8"/>
  <c r="AK211" i="8"/>
  <c r="U211" i="8"/>
  <c r="E212" i="8"/>
  <c r="AS200" i="8"/>
  <c r="AK200" i="8"/>
  <c r="U200" i="8"/>
  <c r="E200" i="8"/>
  <c r="AG199" i="8"/>
  <c r="Y194" i="8"/>
  <c r="Y191" i="8"/>
  <c r="Q194" i="8"/>
  <c r="Q191" i="8"/>
  <c r="I194" i="8"/>
  <c r="H199" i="8"/>
  <c r="I191" i="8"/>
  <c r="AS197" i="8"/>
  <c r="AS234" i="8" s="1"/>
  <c r="AK197" i="8"/>
  <c r="AK234" i="8" s="1"/>
  <c r="U197" i="8"/>
  <c r="U234" i="8" s="1"/>
  <c r="E197" i="8"/>
  <c r="E234" i="8" s="1"/>
  <c r="AH194" i="8"/>
  <c r="Z194" i="8"/>
  <c r="J194" i="8"/>
  <c r="AX193" i="8"/>
  <c r="AR199" i="8"/>
  <c r="AR200" i="8"/>
  <c r="AQ190" i="8"/>
  <c r="AI191" i="8"/>
  <c r="AI197" i="8"/>
  <c r="AI234" i="8" s="1"/>
  <c r="AE191" i="8"/>
  <c r="AE197" i="8"/>
  <c r="AE234" i="8" s="1"/>
  <c r="O191" i="8"/>
  <c r="O197" i="8"/>
  <c r="O234" i="8" s="1"/>
  <c r="N190" i="8"/>
  <c r="M189" i="8"/>
  <c r="AU200" i="8"/>
  <c r="AI200" i="8"/>
  <c r="AE200" i="8"/>
  <c r="AA200" i="8"/>
  <c r="O200" i="8"/>
  <c r="K200" i="8"/>
  <c r="G200" i="8"/>
  <c r="S199" i="8"/>
  <c r="DE177" i="8"/>
  <c r="DA177" i="8"/>
  <c r="DA179" i="8" s="1"/>
  <c r="CW177" i="8"/>
  <c r="CW179" i="8" s="1"/>
  <c r="AN177" i="8"/>
  <c r="AJ177" i="8"/>
  <c r="AF177" i="8"/>
  <c r="T177" i="8"/>
  <c r="P177" i="8"/>
  <c r="H177" i="8"/>
  <c r="DN176" i="8"/>
  <c r="CT175" i="8"/>
  <c r="CT177" i="8" s="1"/>
  <c r="AK176" i="8"/>
  <c r="AG176" i="8"/>
  <c r="AG177" i="8" s="1"/>
  <c r="Q176" i="8"/>
  <c r="Q177" i="8" s="1"/>
  <c r="AK175" i="8"/>
  <c r="AK123" i="4" s="1"/>
  <c r="AC175" i="8"/>
  <c r="AC123" i="4" s="1"/>
  <c r="Y175" i="8"/>
  <c r="Y123" i="4" s="1"/>
  <c r="U175" i="8"/>
  <c r="U177" i="8" s="1"/>
  <c r="M175" i="8"/>
  <c r="I175" i="8"/>
  <c r="DN174" i="8"/>
  <c r="CY174" i="8"/>
  <c r="AP174" i="8"/>
  <c r="AP177" i="8" s="1"/>
  <c r="AM169" i="8"/>
  <c r="AL169" i="8"/>
  <c r="AL170" i="8" s="1"/>
  <c r="W169" i="8"/>
  <c r="W170" i="8" s="1"/>
  <c r="DD169" i="8"/>
  <c r="DD170" i="8" s="1"/>
  <c r="X169" i="8"/>
  <c r="F169" i="8"/>
  <c r="F170" i="8" s="1"/>
  <c r="AR169" i="8"/>
  <c r="AJ169" i="8"/>
  <c r="AJ170" i="8" s="1"/>
  <c r="M169" i="8"/>
  <c r="M170" i="8" s="1"/>
  <c r="AS95" i="4"/>
  <c r="AO133" i="8"/>
  <c r="AO170" i="8"/>
  <c r="AK133" i="8"/>
  <c r="AK170" i="8"/>
  <c r="AG133" i="8"/>
  <c r="Z125" i="8"/>
  <c r="Y125" i="8"/>
  <c r="AC125" i="8"/>
  <c r="AC132" i="8"/>
  <c r="AA125" i="8"/>
  <c r="Y133" i="8"/>
  <c r="Y170" i="8"/>
  <c r="U133" i="8"/>
  <c r="Q133" i="8"/>
  <c r="Q170" i="8"/>
  <c r="M133" i="8"/>
  <c r="F125" i="8"/>
  <c r="E125" i="8"/>
  <c r="I125" i="8"/>
  <c r="G125" i="8"/>
  <c r="E133" i="8"/>
  <c r="E95" i="4" s="1"/>
  <c r="AJ164" i="8"/>
  <c r="DL165" i="8"/>
  <c r="DL179" i="8" s="1"/>
  <c r="AE164" i="8"/>
  <c r="AE165" i="8" s="1"/>
  <c r="AE179" i="8" s="1"/>
  <c r="L164" i="8"/>
  <c r="CN165" i="8"/>
  <c r="CN179" i="8" s="1"/>
  <c r="CN182" i="8" s="1"/>
  <c r="CO180" i="8" s="1"/>
  <c r="G164" i="8"/>
  <c r="G165" i="8" s="1"/>
  <c r="G179" i="8" s="1"/>
  <c r="CO164" i="8"/>
  <c r="AF165" i="8"/>
  <c r="AA163" i="8"/>
  <c r="DC165" i="8"/>
  <c r="DC179" i="8" s="1"/>
  <c r="DD163" i="8"/>
  <c r="DD165" i="8" s="1"/>
  <c r="DD179" i="8" s="1"/>
  <c r="CU165" i="8"/>
  <c r="M163" i="8"/>
  <c r="CT163" i="8"/>
  <c r="H165" i="8"/>
  <c r="AD163" i="8"/>
  <c r="AD165" i="8" s="1"/>
  <c r="N163" i="8"/>
  <c r="CT165" i="8"/>
  <c r="AP165" i="8"/>
  <c r="AP179" i="8" s="1"/>
  <c r="AL165" i="8"/>
  <c r="V165" i="8"/>
  <c r="V179" i="8" s="1"/>
  <c r="R165" i="8"/>
  <c r="J165" i="8"/>
  <c r="J179" i="8" s="1"/>
  <c r="AB175" i="8"/>
  <c r="AB123" i="4" s="1"/>
  <c r="L175" i="8"/>
  <c r="L177" i="8" s="1"/>
  <c r="DN169" i="8"/>
  <c r="DO170" i="8"/>
  <c r="AH170" i="8" s="1"/>
  <c r="AH169" i="8"/>
  <c r="H169" i="8"/>
  <c r="H170" i="8" s="1"/>
  <c r="CP170" i="8"/>
  <c r="I170" i="8" s="1"/>
  <c r="BD169" i="8"/>
  <c r="AG169" i="8"/>
  <c r="AG170" i="8" s="1"/>
  <c r="I169" i="8"/>
  <c r="DP165" i="8"/>
  <c r="DP179" i="8" s="1"/>
  <c r="AI164" i="8"/>
  <c r="AI165" i="8" s="1"/>
  <c r="AI179" i="8" s="1"/>
  <c r="CR165" i="8"/>
  <c r="CR179" i="8" s="1"/>
  <c r="K164" i="8"/>
  <c r="K165" i="8" s="1"/>
  <c r="AN165" i="8"/>
  <c r="AJ165" i="8"/>
  <c r="AJ179" i="8" s="1"/>
  <c r="L165" i="8"/>
  <c r="Z163" i="8"/>
  <c r="Z165" i="8" s="1"/>
  <c r="Z179" i="8" s="1"/>
  <c r="DW177" i="8"/>
  <c r="DG177" i="8"/>
  <c r="DG179" i="8" s="1"/>
  <c r="DX174" i="8"/>
  <c r="DX177" i="8" s="1"/>
  <c r="AA176" i="8"/>
  <c r="AA177" i="8" s="1"/>
  <c r="AQ175" i="8"/>
  <c r="W175" i="8"/>
  <c r="W177" i="8" s="1"/>
  <c r="S175" i="8"/>
  <c r="S123" i="4" s="1"/>
  <c r="CO169" i="8"/>
  <c r="CO170" i="8" s="1"/>
  <c r="E169" i="8"/>
  <c r="E170" i="8" s="1"/>
  <c r="DS170" i="8"/>
  <c r="EB165" i="8"/>
  <c r="EB179" i="8" s="1"/>
  <c r="DS164" i="8"/>
  <c r="DS165" i="8" s="1"/>
  <c r="DT165" i="8"/>
  <c r="AM164" i="8"/>
  <c r="CV165" i="8"/>
  <c r="CV179" i="8" s="1"/>
  <c r="O164" i="8"/>
  <c r="O165" i="8" s="1"/>
  <c r="O179" i="8" s="1"/>
  <c r="T165" i="8"/>
  <c r="T179" i="8" s="1"/>
  <c r="P165" i="8"/>
  <c r="P179" i="8" s="1"/>
  <c r="CM165" i="8"/>
  <c r="CM179" i="8" s="1"/>
  <c r="CM182" i="8" s="1"/>
  <c r="F163" i="8"/>
  <c r="F165" i="8" s="1"/>
  <c r="F179" i="8" s="1"/>
  <c r="AC122" i="8"/>
  <c r="AC124" i="8" s="1"/>
  <c r="Y124" i="8"/>
  <c r="AY133" i="8"/>
  <c r="AY95" i="4" s="1"/>
  <c r="BA124" i="8"/>
  <c r="X122" i="8"/>
  <c r="X124" i="8" s="1"/>
  <c r="DV177" i="8"/>
  <c r="DR177" i="8"/>
  <c r="DJ177" i="8"/>
  <c r="AC177" i="8" s="1"/>
  <c r="DF177" i="8"/>
  <c r="DB177" i="8"/>
  <c r="CX177" i="8"/>
  <c r="AO177" i="8"/>
  <c r="AK177" i="8"/>
  <c r="M177" i="8"/>
  <c r="E177" i="8"/>
  <c r="CY175" i="8"/>
  <c r="DI174" i="8"/>
  <c r="DI177" i="8" s="1"/>
  <c r="AH174" i="8"/>
  <c r="AB174" i="8"/>
  <c r="AB177" i="8" s="1"/>
  <c r="R174" i="8"/>
  <c r="R177" i="8" s="1"/>
  <c r="S169" i="8"/>
  <c r="CY169" i="8"/>
  <c r="CY170" i="8" s="1"/>
  <c r="R169" i="8"/>
  <c r="R170" i="8" s="1"/>
  <c r="BI169" i="8"/>
  <c r="BI144" i="4" s="1"/>
  <c r="AY169" i="8"/>
  <c r="U169" i="8"/>
  <c r="U170" i="8" s="1"/>
  <c r="DN170" i="8"/>
  <c r="CT170" i="8"/>
  <c r="AD125" i="8"/>
  <c r="AH125" i="8"/>
  <c r="AH132" i="8"/>
  <c r="AE125" i="8"/>
  <c r="AF125" i="8"/>
  <c r="J125" i="8"/>
  <c r="N125" i="8"/>
  <c r="K125" i="8"/>
  <c r="L125" i="8"/>
  <c r="DH165" i="8"/>
  <c r="DH179" i="8" s="1"/>
  <c r="AA164" i="8"/>
  <c r="DI164" i="8"/>
  <c r="CY164" i="8"/>
  <c r="CY165" i="8" s="1"/>
  <c r="CZ165" i="8"/>
  <c r="S164" i="8"/>
  <c r="DW165" i="8"/>
  <c r="DW179" i="8" s="1"/>
  <c r="DX163" i="8"/>
  <c r="DX165" i="8" s="1"/>
  <c r="DO165" i="8"/>
  <c r="AG163" i="8"/>
  <c r="DN163" i="8"/>
  <c r="DN165" i="8" s="1"/>
  <c r="AB165" i="8"/>
  <c r="AH163" i="8"/>
  <c r="AR122" i="8"/>
  <c r="AR124" i="8" s="1"/>
  <c r="AN124" i="8"/>
  <c r="BI133" i="8"/>
  <c r="BI95" i="4" s="1"/>
  <c r="DZ165" i="8"/>
  <c r="DZ179" i="8" s="1"/>
  <c r="DV165" i="8"/>
  <c r="DR165" i="8"/>
  <c r="DJ165" i="8"/>
  <c r="DF165" i="8"/>
  <c r="DF179" i="8" s="1"/>
  <c r="DB165" i="8"/>
  <c r="CX165" i="8"/>
  <c r="CP165" i="8"/>
  <c r="CL165" i="8"/>
  <c r="CL179" i="8" s="1"/>
  <c r="CL182" i="8" s="1"/>
  <c r="BJ164" i="8"/>
  <c r="BK164" i="8" s="1"/>
  <c r="BJ163" i="8"/>
  <c r="BK163" i="8" s="1"/>
  <c r="BE164" i="8"/>
  <c r="BF164" i="8" s="1"/>
  <c r="BE163" i="8"/>
  <c r="BF163" i="8" s="1"/>
  <c r="AZ164" i="8"/>
  <c r="BA164" i="8" s="1"/>
  <c r="AZ163" i="8"/>
  <c r="BA163" i="8" s="1"/>
  <c r="AQ164" i="8"/>
  <c r="W164" i="8"/>
  <c r="AQ163" i="8"/>
  <c r="W163" i="8"/>
  <c r="AM122" i="8"/>
  <c r="AM124" i="8" s="1"/>
  <c r="AI124" i="8"/>
  <c r="S122" i="8"/>
  <c r="S124" i="8" s="1"/>
  <c r="O124" i="8"/>
  <c r="H141" i="8"/>
  <c r="AR137" i="8"/>
  <c r="AR138" i="8" s="1"/>
  <c r="AO138" i="8"/>
  <c r="X125" i="8"/>
  <c r="P125" i="8"/>
  <c r="AG125" i="8"/>
  <c r="M125" i="8"/>
  <c r="AH122" i="8"/>
  <c r="AH124" i="8" s="1"/>
  <c r="AD124" i="8"/>
  <c r="X137" i="8"/>
  <c r="X138" i="8" s="1"/>
  <c r="U138" i="8"/>
  <c r="BJ132" i="8"/>
  <c r="BK132" i="8" s="1"/>
  <c r="BK130" i="8"/>
  <c r="BJ130" i="8"/>
  <c r="BH133" i="8"/>
  <c r="BH95" i="4" s="1"/>
  <c r="BJ128" i="8"/>
  <c r="BK128" i="8" s="1"/>
  <c r="BE131" i="8"/>
  <c r="BF131" i="8" s="1"/>
  <c r="BE129" i="8"/>
  <c r="BF129" i="8" s="1"/>
  <c r="AZ132" i="8"/>
  <c r="BA132" i="8" s="1"/>
  <c r="AZ130" i="8"/>
  <c r="BA130" i="8" s="1"/>
  <c r="AZ128" i="8"/>
  <c r="AM125" i="8"/>
  <c r="AP125" i="8"/>
  <c r="AR128" i="8"/>
  <c r="AO125" i="8"/>
  <c r="V125" i="8"/>
  <c r="U125" i="8"/>
  <c r="AG164" i="8"/>
  <c r="M164" i="8"/>
  <c r="AC163" i="8"/>
  <c r="I163" i="8"/>
  <c r="AX133" i="8"/>
  <c r="AX95" i="4" s="1"/>
  <c r="X132" i="8"/>
  <c r="BD133" i="8"/>
  <c r="BD95" i="4" s="1"/>
  <c r="AR125" i="8"/>
  <c r="AB125" i="8"/>
  <c r="T125" i="8"/>
  <c r="AL125" i="8"/>
  <c r="AK125" i="8"/>
  <c r="AM128" i="8"/>
  <c r="R125" i="8"/>
  <c r="Q125" i="8"/>
  <c r="DI163" i="8"/>
  <c r="CO163" i="8"/>
  <c r="AM137" i="8"/>
  <c r="AM138" i="8" s="1"/>
  <c r="AK138" i="8"/>
  <c r="AC137" i="8"/>
  <c r="AC138" i="8" s="1"/>
  <c r="S132" i="8"/>
  <c r="BJ131" i="8"/>
  <c r="BK131" i="8" s="1"/>
  <c r="BJ129" i="8"/>
  <c r="BK129" i="8" s="1"/>
  <c r="BE132" i="8"/>
  <c r="BF132" i="8" s="1"/>
  <c r="BE130" i="8"/>
  <c r="BF130" i="8" s="1"/>
  <c r="BE128" i="8"/>
  <c r="BF128" i="8" s="1"/>
  <c r="BC133" i="8"/>
  <c r="BC95" i="4" s="1"/>
  <c r="AZ131" i="8"/>
  <c r="BA131" i="8" s="1"/>
  <c r="AZ129" i="8"/>
  <c r="BA129" i="8" s="1"/>
  <c r="AQ125" i="8"/>
  <c r="AI125" i="8"/>
  <c r="S125" i="8"/>
  <c r="T124" i="8"/>
  <c r="AJ111" i="8"/>
  <c r="AJ60" i="8" s="1"/>
  <c r="T111" i="8"/>
  <c r="T60" i="8" s="1"/>
  <c r="AH108" i="8"/>
  <c r="AH59" i="8" s="1"/>
  <c r="R108" i="8"/>
  <c r="R59" i="8" s="1"/>
  <c r="AP105" i="8"/>
  <c r="AP58" i="8" s="1"/>
  <c r="Z105" i="8"/>
  <c r="Z58" i="8" s="1"/>
  <c r="Y100" i="8"/>
  <c r="AQ89" i="8"/>
  <c r="AQ52" i="8" s="1"/>
  <c r="AQ87" i="8"/>
  <c r="AQ97" i="8" s="1"/>
  <c r="AZ15" i="8"/>
  <c r="BE110" i="8"/>
  <c r="AM97" i="8"/>
  <c r="AM99" i="8"/>
  <c r="AH97" i="8"/>
  <c r="AC97" i="8"/>
  <c r="AL87" i="8"/>
  <c r="AL97" i="8" s="1"/>
  <c r="AL91" i="8"/>
  <c r="R87" i="8"/>
  <c r="R97" i="8" s="1"/>
  <c r="R91" i="8"/>
  <c r="BB86" i="8"/>
  <c r="AR111" i="8"/>
  <c r="AR60" i="8" s="1"/>
  <c r="AB111" i="8"/>
  <c r="AB60" i="8" s="1"/>
  <c r="AP108" i="8"/>
  <c r="AP59" i="8" s="1"/>
  <c r="Z108" i="8"/>
  <c r="Z59" i="8" s="1"/>
  <c r="S97" i="8"/>
  <c r="N99" i="8"/>
  <c r="I99" i="8"/>
  <c r="M89" i="8"/>
  <c r="M52" i="8" s="1"/>
  <c r="M87" i="8"/>
  <c r="M97" i="8" s="1"/>
  <c r="BG86" i="8"/>
  <c r="AZ85" i="8"/>
  <c r="AU89" i="8"/>
  <c r="AU52" i="8" s="1"/>
  <c r="AU87" i="8"/>
  <c r="AB78" i="8"/>
  <c r="AB99" i="8" s="1"/>
  <c r="AB91" i="8"/>
  <c r="M91" i="8"/>
  <c r="H78" i="8"/>
  <c r="H99" i="8" s="1"/>
  <c r="H91" i="8"/>
  <c r="AF111" i="8"/>
  <c r="AF60" i="8" s="1"/>
  <c r="P111" i="8"/>
  <c r="P60" i="8" s="1"/>
  <c r="AD108" i="8"/>
  <c r="AD59" i="8" s="1"/>
  <c r="AL105" i="8"/>
  <c r="AL58" i="8" s="1"/>
  <c r="V105" i="8"/>
  <c r="V58" i="8" s="1"/>
  <c r="BD97" i="8"/>
  <c r="AB87" i="8"/>
  <c r="AB97" i="8" s="1"/>
  <c r="AU91" i="8"/>
  <c r="AU77" i="8"/>
  <c r="AZ77" i="8" s="1"/>
  <c r="BE77" i="8" s="1"/>
  <c r="BJ77" i="8" s="1"/>
  <c r="AQ91" i="8"/>
  <c r="AT91" i="8"/>
  <c r="Z91" i="8"/>
  <c r="F91" i="8"/>
  <c r="AX89" i="8"/>
  <c r="AT89" i="8"/>
  <c r="AT52" i="8" s="1"/>
  <c r="Z89" i="8"/>
  <c r="Z52" i="8" s="1"/>
  <c r="BI86" i="8"/>
  <c r="BL86" i="8" s="1"/>
  <c r="BC85" i="8"/>
  <c r="AY85" i="8"/>
  <c r="AY77" i="8"/>
  <c r="BA36" i="8"/>
  <c r="AX62" i="8"/>
  <c r="BA21" i="8"/>
  <c r="BH21" i="8"/>
  <c r="BH36" i="4" s="1"/>
  <c r="E268" i="7"/>
  <c r="BB277" i="7"/>
  <c r="AT277" i="7"/>
  <c r="AP277" i="7"/>
  <c r="AP77" i="7" s="1"/>
  <c r="AW273" i="7"/>
  <c r="AO273" i="7"/>
  <c r="AM263" i="7"/>
  <c r="X264" i="7"/>
  <c r="AY232" i="7"/>
  <c r="Y233" i="7"/>
  <c r="Y236" i="7"/>
  <c r="Y274" i="7" s="1"/>
  <c r="Y250" i="7"/>
  <c r="O230" i="7"/>
  <c r="O251" i="7"/>
  <c r="O233" i="7"/>
  <c r="O236" i="7"/>
  <c r="O274" i="7" s="1"/>
  <c r="O250" i="7"/>
  <c r="AI238" i="7"/>
  <c r="AI251" i="7" s="1"/>
  <c r="AE238" i="7"/>
  <c r="AE251" i="7" s="1"/>
  <c r="Z238" i="7"/>
  <c r="Z239" i="7" s="1"/>
  <c r="V238" i="7"/>
  <c r="V251" i="7" s="1"/>
  <c r="AS277" i="7"/>
  <c r="AN273" i="7"/>
  <c r="G238" i="7"/>
  <c r="G230" i="7" s="1"/>
  <c r="AV277" i="7"/>
  <c r="AN277" i="7"/>
  <c r="AN77" i="7" s="1"/>
  <c r="AQ273" i="7"/>
  <c r="AK238" i="7"/>
  <c r="AK239" i="7" s="1"/>
  <c r="AU277" i="7"/>
  <c r="AQ277" i="7"/>
  <c r="AQ77" i="7" s="1"/>
  <c r="S277" i="7"/>
  <c r="N277" i="7"/>
  <c r="N77" i="7" s="1"/>
  <c r="J277" i="7"/>
  <c r="J77" i="7" s="1"/>
  <c r="AS230" i="7"/>
  <c r="AO238" i="7"/>
  <c r="AO230" i="7" s="1"/>
  <c r="J238" i="7"/>
  <c r="J230" i="7" s="1"/>
  <c r="E238" i="7"/>
  <c r="E251" i="7" s="1"/>
  <c r="I252" i="7"/>
  <c r="AP251" i="7"/>
  <c r="AD251" i="7"/>
  <c r="F250" i="7"/>
  <c r="O239" i="7"/>
  <c r="AQ238" i="7"/>
  <c r="AQ250" i="7" s="1"/>
  <c r="AA238" i="7"/>
  <c r="AA230" i="7" s="1"/>
  <c r="W238" i="7"/>
  <c r="S238" i="7"/>
  <c r="K238" i="7"/>
  <c r="K239" i="7" s="1"/>
  <c r="AR233" i="7"/>
  <c r="AN233" i="7"/>
  <c r="AJ233" i="7"/>
  <c r="X233" i="7"/>
  <c r="T233" i="7"/>
  <c r="P233" i="7"/>
  <c r="L233" i="7"/>
  <c r="Y230" i="7"/>
  <c r="AU229" i="7"/>
  <c r="AM229" i="7"/>
  <c r="N229" i="7"/>
  <c r="CU218" i="7"/>
  <c r="CO216" i="7"/>
  <c r="AM214" i="7"/>
  <c r="AM122" i="4" s="1"/>
  <c r="AL214" i="7"/>
  <c r="AL122" i="4" s="1"/>
  <c r="DT216" i="7"/>
  <c r="DN213" i="7"/>
  <c r="DN216" i="7" s="1"/>
  <c r="DM216" i="7"/>
  <c r="DM218" i="7" s="1"/>
  <c r="AF213" i="7"/>
  <c r="F214" i="7"/>
  <c r="F216" i="7" s="1"/>
  <c r="BD215" i="7"/>
  <c r="BE215" i="7" s="1"/>
  <c r="AJ213" i="7"/>
  <c r="AJ216" i="7" s="1"/>
  <c r="AO216" i="7"/>
  <c r="AN218" i="7"/>
  <c r="AO164" i="7"/>
  <c r="AP164" i="7"/>
  <c r="AR166" i="7"/>
  <c r="AN164" i="7"/>
  <c r="AR164" i="7"/>
  <c r="AQ164" i="7"/>
  <c r="U164" i="7"/>
  <c r="V164" i="7"/>
  <c r="T164" i="7"/>
  <c r="X164" i="7"/>
  <c r="W164" i="7"/>
  <c r="AA204" i="7"/>
  <c r="BI172" i="7"/>
  <c r="BI94" i="4" s="1"/>
  <c r="AT274" i="7"/>
  <c r="AP236" i="7"/>
  <c r="AP274" i="7" s="1"/>
  <c r="AD236" i="7"/>
  <c r="AD274" i="7" s="1"/>
  <c r="F236" i="7"/>
  <c r="F274" i="7" s="1"/>
  <c r="AH216" i="7"/>
  <c r="AA215" i="7"/>
  <c r="AB215" i="7"/>
  <c r="DI215" i="7"/>
  <c r="DI216" i="7" s="1"/>
  <c r="DH216" i="7"/>
  <c r="CW216" i="7"/>
  <c r="P214" i="7"/>
  <c r="P216" i="7" s="1"/>
  <c r="K214" i="7"/>
  <c r="K216" i="7" s="1"/>
  <c r="CR216" i="7"/>
  <c r="BD214" i="7"/>
  <c r="E214" i="7"/>
  <c r="AQ214" i="7"/>
  <c r="AR214" i="7"/>
  <c r="AR122" i="4" s="1"/>
  <c r="DX214" i="7"/>
  <c r="AQ213" i="7"/>
  <c r="DY216" i="7"/>
  <c r="AR213" i="7"/>
  <c r="AI213" i="7"/>
  <c r="AI216" i="7" s="1"/>
  <c r="DP216" i="7"/>
  <c r="DP218" i="7" s="1"/>
  <c r="DF216" i="7"/>
  <c r="Z213" i="7"/>
  <c r="Z216" i="7" s="1"/>
  <c r="AK164" i="7"/>
  <c r="AM166" i="7"/>
  <c r="AL164" i="7"/>
  <c r="AJ164" i="7"/>
  <c r="AI164" i="7"/>
  <c r="AM164" i="7"/>
  <c r="Q164" i="7"/>
  <c r="R164" i="7"/>
  <c r="P164" i="7"/>
  <c r="O164" i="7"/>
  <c r="S164" i="7"/>
  <c r="Y239" i="7"/>
  <c r="U238" i="7"/>
  <c r="U230" i="7" s="1"/>
  <c r="Q238" i="7"/>
  <c r="Q230" i="7" s="1"/>
  <c r="I238" i="7"/>
  <c r="AG229" i="7"/>
  <c r="AC229" i="7"/>
  <c r="AA214" i="7"/>
  <c r="AA122" i="4" s="1"/>
  <c r="BI215" i="7"/>
  <c r="AY215" i="7"/>
  <c r="U214" i="7"/>
  <c r="U216" i="7" s="1"/>
  <c r="E164" i="7"/>
  <c r="I164" i="7"/>
  <c r="F164" i="7"/>
  <c r="H164" i="7"/>
  <c r="G164" i="7"/>
  <c r="AD164" i="7"/>
  <c r="AH164" i="7"/>
  <c r="AF164" i="7"/>
  <c r="AE164" i="7"/>
  <c r="J164" i="7"/>
  <c r="N164" i="7"/>
  <c r="L164" i="7"/>
  <c r="K164" i="7"/>
  <c r="AL204" i="7"/>
  <c r="K204" i="7"/>
  <c r="G204" i="7"/>
  <c r="X236" i="7"/>
  <c r="X274" i="7" s="1"/>
  <c r="T236" i="7"/>
  <c r="T274" i="7" s="1"/>
  <c r="P236" i="7"/>
  <c r="P274" i="7" s="1"/>
  <c r="L236" i="7"/>
  <c r="L274" i="7" s="1"/>
  <c r="DX213" i="7"/>
  <c r="DS214" i="7"/>
  <c r="BI214" i="7"/>
  <c r="AY214" i="7"/>
  <c r="AY122" i="4" s="1"/>
  <c r="AK214" i="7"/>
  <c r="Y213" i="7"/>
  <c r="Y216" i="7" s="1"/>
  <c r="Q216" i="7"/>
  <c r="M216" i="7"/>
  <c r="E216" i="7"/>
  <c r="AL209" i="7"/>
  <c r="AD209" i="7"/>
  <c r="V209" i="7"/>
  <c r="AO209" i="7"/>
  <c r="AG209" i="7"/>
  <c r="Y164" i="7"/>
  <c r="AC164" i="7"/>
  <c r="Z164" i="7"/>
  <c r="AB164" i="7"/>
  <c r="AA164" i="7"/>
  <c r="Y209" i="7"/>
  <c r="Q209" i="7"/>
  <c r="O204" i="7"/>
  <c r="J218" i="7"/>
  <c r="F218" i="7"/>
  <c r="AS163" i="7"/>
  <c r="Y163" i="7"/>
  <c r="AC161" i="7"/>
  <c r="AC163" i="7" s="1"/>
  <c r="AE216" i="7"/>
  <c r="W216" i="7"/>
  <c r="O216" i="7"/>
  <c r="G216" i="7"/>
  <c r="V215" i="7"/>
  <c r="V216" i="7" s="1"/>
  <c r="R214" i="7"/>
  <c r="AL213" i="7"/>
  <c r="AL216" i="7" s="1"/>
  <c r="AD213" i="7"/>
  <c r="AD216" i="7" s="1"/>
  <c r="R213" i="7"/>
  <c r="DS208" i="7"/>
  <c r="DS209" i="7" s="1"/>
  <c r="CY208" i="7"/>
  <c r="CY209" i="7" s="1"/>
  <c r="AR208" i="7"/>
  <c r="AB208" i="7"/>
  <c r="AB209" i="7" s="1"/>
  <c r="X208" i="7"/>
  <c r="DS203" i="7"/>
  <c r="CY203" i="7"/>
  <c r="DI202" i="7"/>
  <c r="CO203" i="7"/>
  <c r="CO204" i="7" s="1"/>
  <c r="CT202" i="7"/>
  <c r="AO203" i="7"/>
  <c r="AO204" i="7" s="1"/>
  <c r="AO218" i="7" s="1"/>
  <c r="AK203" i="7"/>
  <c r="AK204" i="7" s="1"/>
  <c r="AG203" i="7"/>
  <c r="AC203" i="7"/>
  <c r="Y203" i="7"/>
  <c r="Y204" i="7" s="1"/>
  <c r="U203" i="7"/>
  <c r="U204" i="7" s="1"/>
  <c r="E203" i="7"/>
  <c r="E204" i="7" s="1"/>
  <c r="AG202" i="7"/>
  <c r="M202" i="7"/>
  <c r="M204" i="7" s="1"/>
  <c r="AS94" i="4"/>
  <c r="AO172" i="7"/>
  <c r="AK172" i="7"/>
  <c r="AG172" i="7"/>
  <c r="Y172" i="7"/>
  <c r="U172" i="7"/>
  <c r="Q172" i="7"/>
  <c r="M172" i="7"/>
  <c r="BJ167" i="7"/>
  <c r="BK167" i="7" s="1"/>
  <c r="BD168" i="7"/>
  <c r="BE168" i="7" s="1"/>
  <c r="AY169" i="7"/>
  <c r="AZ163" i="7"/>
  <c r="AB203" i="7"/>
  <c r="P203" i="7"/>
  <c r="P204" i="7" s="1"/>
  <c r="L203" i="7"/>
  <c r="L204" i="7" s="1"/>
  <c r="H203" i="7"/>
  <c r="H204" i="7" s="1"/>
  <c r="H218" i="7" s="1"/>
  <c r="AJ202" i="7"/>
  <c r="AJ204" i="7" s="1"/>
  <c r="AJ218" i="7" s="1"/>
  <c r="AF202" i="7"/>
  <c r="AF204" i="7" s="1"/>
  <c r="AB202" i="7"/>
  <c r="AR161" i="7"/>
  <c r="AR163" i="7" s="1"/>
  <c r="AN163" i="7"/>
  <c r="X161" i="7"/>
  <c r="X163" i="7" s="1"/>
  <c r="T163" i="7"/>
  <c r="BJ168" i="7"/>
  <c r="BK168" i="7" s="1"/>
  <c r="BD170" i="7"/>
  <c r="BE170" i="7" s="1"/>
  <c r="BD167" i="7"/>
  <c r="BE167" i="7" s="1"/>
  <c r="BF167" i="7" s="1"/>
  <c r="AY168" i="7"/>
  <c r="AZ168" i="7" s="1"/>
  <c r="BA168" i="7" s="1"/>
  <c r="AG164" i="7"/>
  <c r="M164" i="7"/>
  <c r="AF215" i="7"/>
  <c r="AB214" i="7"/>
  <c r="X214" i="7"/>
  <c r="X122" i="4" s="1"/>
  <c r="L214" i="7"/>
  <c r="L216" i="7" s="1"/>
  <c r="X213" i="7"/>
  <c r="DI208" i="7"/>
  <c r="DI209" i="7" s="1"/>
  <c r="AH208" i="7"/>
  <c r="CV204" i="7"/>
  <c r="CV218" i="7" s="1"/>
  <c r="CR204" i="7"/>
  <c r="CN204" i="7"/>
  <c r="CN218" i="7" s="1"/>
  <c r="CN221" i="7" s="1"/>
  <c r="CO219" i="7" s="1"/>
  <c r="DI203" i="7"/>
  <c r="DS202" i="7"/>
  <c r="DS204" i="7" s="1"/>
  <c r="CY202" i="7"/>
  <c r="AM203" i="7"/>
  <c r="S203" i="7"/>
  <c r="AM202" i="7"/>
  <c r="S202" i="7"/>
  <c r="AM161" i="7"/>
  <c r="AM163" i="7" s="1"/>
  <c r="AI163" i="7"/>
  <c r="S161" i="7"/>
  <c r="S163" i="7" s="1"/>
  <c r="O163" i="7"/>
  <c r="AG177" i="7"/>
  <c r="M177" i="7"/>
  <c r="BC172" i="7"/>
  <c r="BC94" i="4" s="1"/>
  <c r="BJ169" i="7"/>
  <c r="BK169" i="7" s="1"/>
  <c r="BD166" i="7"/>
  <c r="BE166" i="7" s="1"/>
  <c r="BF166" i="7" s="1"/>
  <c r="AY167" i="7"/>
  <c r="AZ167" i="7" s="1"/>
  <c r="AU157" i="7"/>
  <c r="AV163" i="7" s="1"/>
  <c r="AL150" i="7"/>
  <c r="AL72" i="7" s="1"/>
  <c r="AD150" i="7"/>
  <c r="AD72" i="7" s="1"/>
  <c r="DD215" i="7"/>
  <c r="DD214" i="7"/>
  <c r="CY214" i="7"/>
  <c r="CY216" i="7" s="1"/>
  <c r="DD213" i="7"/>
  <c r="DZ209" i="7"/>
  <c r="DZ218" i="7" s="1"/>
  <c r="DV209" i="7"/>
  <c r="DR209" i="7"/>
  <c r="DR218" i="7" s="1"/>
  <c r="DJ209" i="7"/>
  <c r="AC209" i="7" s="1"/>
  <c r="DF209" i="7"/>
  <c r="DB209" i="7"/>
  <c r="CX209" i="7"/>
  <c r="CX218" i="7" s="1"/>
  <c r="DF204" i="7"/>
  <c r="DB204" i="7"/>
  <c r="AH161" i="7"/>
  <c r="AH163" i="7" s="1"/>
  <c r="AD163" i="7"/>
  <c r="AX172" i="7"/>
  <c r="AX94" i="4" s="1"/>
  <c r="BJ170" i="7"/>
  <c r="BK170" i="7" s="1"/>
  <c r="BJ166" i="7"/>
  <c r="BD169" i="7"/>
  <c r="AY170" i="7"/>
  <c r="AZ170" i="7" s="1"/>
  <c r="BA170" i="7" s="1"/>
  <c r="AY166" i="7"/>
  <c r="AZ166" i="7" s="1"/>
  <c r="BA166" i="7" s="1"/>
  <c r="AQ150" i="7"/>
  <c r="AQ72" i="7" s="1"/>
  <c r="AZ143" i="7"/>
  <c r="AH135" i="7"/>
  <c r="AM127" i="7"/>
  <c r="AM61" i="7" s="1"/>
  <c r="U121" i="7"/>
  <c r="N127" i="7"/>
  <c r="N61" i="7" s="1"/>
  <c r="S127" i="7"/>
  <c r="S61" i="7" s="1"/>
  <c r="P122" i="7"/>
  <c r="U122" i="7" s="1"/>
  <c r="Z122" i="7" s="1"/>
  <c r="AE122" i="7" s="1"/>
  <c r="AJ122" i="7" s="1"/>
  <c r="AO122" i="7" s="1"/>
  <c r="AT122" i="7" s="1"/>
  <c r="AY122" i="7" s="1"/>
  <c r="BD122" i="7" s="1"/>
  <c r="BI122" i="7" s="1"/>
  <c r="BN122" i="7" s="1"/>
  <c r="F122" i="7"/>
  <c r="F123" i="7" s="1"/>
  <c r="O121" i="7"/>
  <c r="O122" i="7"/>
  <c r="T122" i="7" s="1"/>
  <c r="O124" i="7"/>
  <c r="T124" i="7" s="1"/>
  <c r="E121" i="7"/>
  <c r="AB118" i="7"/>
  <c r="AA118" i="7"/>
  <c r="H118" i="7"/>
  <c r="G118" i="7"/>
  <c r="V112" i="7"/>
  <c r="W90" i="7"/>
  <c r="W111" i="7" s="1"/>
  <c r="R90" i="7"/>
  <c r="R111" i="7" s="1"/>
  <c r="P124" i="7"/>
  <c r="U124" i="7" s="1"/>
  <c r="Z124" i="7" s="1"/>
  <c r="AE124" i="7" s="1"/>
  <c r="AJ124" i="7" s="1"/>
  <c r="AO124" i="7" s="1"/>
  <c r="AT124" i="7" s="1"/>
  <c r="AY124" i="7" s="1"/>
  <c r="BD124" i="7" s="1"/>
  <c r="BI124" i="7" s="1"/>
  <c r="BN124" i="7" s="1"/>
  <c r="J121" i="7"/>
  <c r="J122" i="7"/>
  <c r="J124" i="7"/>
  <c r="BB98" i="7"/>
  <c r="BF98" i="7"/>
  <c r="BK98" i="7" s="1"/>
  <c r="R99" i="7"/>
  <c r="R109" i="7" s="1"/>
  <c r="AU99" i="7"/>
  <c r="AZ97" i="7"/>
  <c r="AU103" i="7"/>
  <c r="AH129" i="7"/>
  <c r="R122" i="7"/>
  <c r="N129" i="7"/>
  <c r="BG89" i="7"/>
  <c r="AP118" i="7"/>
  <c r="AF118" i="7"/>
  <c r="V118" i="7"/>
  <c r="L118" i="7"/>
  <c r="AF103" i="7"/>
  <c r="AF101" i="7"/>
  <c r="AF60" i="7" s="1"/>
  <c r="AQ97" i="7"/>
  <c r="AV101" i="7" s="1"/>
  <c r="AV60" i="7" s="1"/>
  <c r="BD97" i="7"/>
  <c r="AK101" i="7"/>
  <c r="AK60" i="7" s="1"/>
  <c r="AK103" i="7"/>
  <c r="V97" i="7"/>
  <c r="AU90" i="7"/>
  <c r="AU111" i="7" s="1"/>
  <c r="AM90" i="7"/>
  <c r="AM111" i="7" s="1"/>
  <c r="AI90" i="7"/>
  <c r="AI111" i="7" s="1"/>
  <c r="AD90" i="7"/>
  <c r="AD111" i="7" s="1"/>
  <c r="AD112" i="7" s="1"/>
  <c r="G90" i="7"/>
  <c r="G111" i="7" s="1"/>
  <c r="H89" i="7"/>
  <c r="AG96" i="7"/>
  <c r="AG97" i="7" s="1"/>
  <c r="BH98" i="7"/>
  <c r="BL98" i="7" s="1"/>
  <c r="AP97" i="7"/>
  <c r="AU101" i="7" s="1"/>
  <c r="AU60" i="7" s="1"/>
  <c r="AX74" i="7"/>
  <c r="M97" i="7"/>
  <c r="R101" i="7" s="1"/>
  <c r="R60" i="7" s="1"/>
  <c r="BC74" i="7"/>
  <c r="AM103" i="7"/>
  <c r="AH103" i="7"/>
  <c r="S103" i="7"/>
  <c r="O103" i="7"/>
  <c r="J103" i="7"/>
  <c r="AM101" i="7"/>
  <c r="AM60" i="7" s="1"/>
  <c r="X101" i="7"/>
  <c r="X60" i="7" s="1"/>
  <c r="S101" i="7"/>
  <c r="S60" i="7" s="1"/>
  <c r="O101" i="7"/>
  <c r="O60" i="7" s="1"/>
  <c r="AC101" i="7"/>
  <c r="AC60" i="7" s="1"/>
  <c r="AC103" i="7"/>
  <c r="AO101" i="7"/>
  <c r="AO60" i="7" s="1"/>
  <c r="AO103" i="7"/>
  <c r="AL96" i="7"/>
  <c r="AL97" i="7" s="1"/>
  <c r="AI97" i="7"/>
  <c r="U101" i="7"/>
  <c r="U60" i="7" s="1"/>
  <c r="U103" i="7"/>
  <c r="H96" i="7"/>
  <c r="H97" i="7" s="1"/>
  <c r="H99" i="7" s="1"/>
  <c r="H109" i="7" s="1"/>
  <c r="AG88" i="7"/>
  <c r="AB88" i="7"/>
  <c r="M88" i="7"/>
  <c r="H88" i="7"/>
  <c r="BI74" i="7"/>
  <c r="N49" i="7"/>
  <c r="N54" i="7"/>
  <c r="BH44" i="7"/>
  <c r="BM44" i="7" s="1"/>
  <c r="AC54" i="7"/>
  <c r="BH45" i="7"/>
  <c r="BM45" i="7" s="1"/>
  <c r="BA45" i="7"/>
  <c r="BF45" i="7" s="1"/>
  <c r="BK45" i="7" s="1"/>
  <c r="BP45" i="7" s="1"/>
  <c r="BA44" i="7"/>
  <c r="V44" i="7"/>
  <c r="V32" i="9" s="1"/>
  <c r="AL18" i="7"/>
  <c r="AB18" i="7"/>
  <c r="AB26" i="7"/>
  <c r="R18" i="7"/>
  <c r="H18" i="7"/>
  <c r="BA29" i="7"/>
  <c r="BF29" i="7" s="1"/>
  <c r="BK29" i="7" s="1"/>
  <c r="AQ18" i="7"/>
  <c r="AQ24" i="7"/>
  <c r="AQ26" i="7" s="1"/>
  <c r="AG24" i="7"/>
  <c r="AG26" i="7" s="1"/>
  <c r="W18" i="7"/>
  <c r="W24" i="7"/>
  <c r="W26" i="7" s="1"/>
  <c r="BH15" i="7"/>
  <c r="BA10" i="7"/>
  <c r="BA15" i="7"/>
  <c r="BI29" i="7"/>
  <c r="BJ10" i="7"/>
  <c r="AN293" i="5"/>
  <c r="AC270" i="5"/>
  <c r="F240" i="5"/>
  <c r="F257" i="5"/>
  <c r="F237" i="5"/>
  <c r="F243" i="5"/>
  <c r="F280" i="5" s="1"/>
  <c r="F258" i="5"/>
  <c r="AN292" i="5"/>
  <c r="AX239" i="5"/>
  <c r="K240" i="5"/>
  <c r="K257" i="5"/>
  <c r="K258" i="5"/>
  <c r="K237" i="5"/>
  <c r="K243" i="5"/>
  <c r="K280" i="5" s="1"/>
  <c r="G245" i="5"/>
  <c r="G246" i="5" s="1"/>
  <c r="G237" i="5"/>
  <c r="AN290" i="5"/>
  <c r="AR270" i="5"/>
  <c r="AC269" i="5"/>
  <c r="O240" i="5"/>
  <c r="O257" i="5"/>
  <c r="O243" i="5"/>
  <c r="O280" i="5" s="1"/>
  <c r="O258" i="5"/>
  <c r="AN294" i="5"/>
  <c r="F246" i="5"/>
  <c r="AR243" i="5"/>
  <c r="AR280" i="5" s="1"/>
  <c r="AR33" i="2" s="1"/>
  <c r="L243" i="5"/>
  <c r="L280" i="5" s="1"/>
  <c r="AP240" i="5"/>
  <c r="AK240" i="5"/>
  <c r="AF240" i="5"/>
  <c r="Z240" i="5"/>
  <c r="U240" i="5"/>
  <c r="P240" i="5"/>
  <c r="J240" i="5"/>
  <c r="E240" i="5"/>
  <c r="AC237" i="5"/>
  <c r="I226" i="5"/>
  <c r="R222" i="5"/>
  <c r="Q222" i="5"/>
  <c r="CY222" i="5"/>
  <c r="AL221" i="5"/>
  <c r="AL121" i="4" s="1"/>
  <c r="DV223" i="5"/>
  <c r="DV225" i="5" s="1"/>
  <c r="AD223" i="5"/>
  <c r="DS216" i="5"/>
  <c r="CY216" i="5"/>
  <c r="CX225" i="5"/>
  <c r="DI211" i="5"/>
  <c r="AO240" i="5"/>
  <c r="Y240" i="5"/>
  <c r="Q237" i="5"/>
  <c r="DR223" i="5"/>
  <c r="DR225" i="5" s="1"/>
  <c r="AK221" i="5"/>
  <c r="AK121" i="4" s="1"/>
  <c r="DS221" i="5"/>
  <c r="DS223" i="5" s="1"/>
  <c r="AB223" i="5"/>
  <c r="R223" i="5"/>
  <c r="AK170" i="5"/>
  <c r="AL170" i="5"/>
  <c r="AI170" i="5"/>
  <c r="AM170" i="5"/>
  <c r="AM172" i="5"/>
  <c r="AJ170" i="5"/>
  <c r="DZ225" i="5"/>
  <c r="AB245" i="5"/>
  <c r="AB243" i="5" s="1"/>
  <c r="AB280" i="5" s="1"/>
  <c r="AJ243" i="5"/>
  <c r="AJ280" i="5" s="1"/>
  <c r="AS240" i="5"/>
  <c r="AN240" i="5"/>
  <c r="AC240" i="5"/>
  <c r="AE237" i="5"/>
  <c r="U237" i="5"/>
  <c r="O237" i="5"/>
  <c r="E237" i="5"/>
  <c r="R236" i="5"/>
  <c r="AQ223" i="5"/>
  <c r="AL223" i="5"/>
  <c r="AG223" i="5"/>
  <c r="DF225" i="5"/>
  <c r="F225" i="5"/>
  <c r="AD211" i="5"/>
  <c r="E273" i="5"/>
  <c r="F268" i="5" s="1"/>
  <c r="F273" i="5" s="1"/>
  <c r="G268" i="5" s="1"/>
  <c r="O246" i="5"/>
  <c r="K246" i="5"/>
  <c r="AQ245" i="5"/>
  <c r="S245" i="5"/>
  <c r="S237" i="5" s="1"/>
  <c r="AT243" i="5"/>
  <c r="AT280" i="5" s="1"/>
  <c r="AN243" i="5"/>
  <c r="AN280" i="5" s="1"/>
  <c r="AI243" i="5"/>
  <c r="AI280" i="5" s="1"/>
  <c r="AD243" i="5"/>
  <c r="AD280" i="5" s="1"/>
  <c r="AR240" i="5"/>
  <c r="Q240" i="5"/>
  <c r="L240" i="5"/>
  <c r="AI237" i="5"/>
  <c r="Y237" i="5"/>
  <c r="AP223" i="5"/>
  <c r="AP225" i="5" s="1"/>
  <c r="W223" i="5"/>
  <c r="J225" i="5"/>
  <c r="AR211" i="5"/>
  <c r="O225" i="5"/>
  <c r="X221" i="5"/>
  <c r="X121" i="4" s="1"/>
  <c r="DU223" i="5"/>
  <c r="DQ223" i="5"/>
  <c r="DM223" i="5"/>
  <c r="DE223" i="5"/>
  <c r="X223" i="5" s="1"/>
  <c r="DA223" i="5"/>
  <c r="CW223" i="5"/>
  <c r="CW225" i="5" s="1"/>
  <c r="CS223" i="5"/>
  <c r="CS225" i="5" s="1"/>
  <c r="CO221" i="5"/>
  <c r="CO223" i="5" s="1"/>
  <c r="CO225" i="5" s="1"/>
  <c r="CY221" i="5"/>
  <c r="AK222" i="5"/>
  <c r="AK220" i="5"/>
  <c r="AF222" i="5"/>
  <c r="AF223" i="5" s="1"/>
  <c r="AA222" i="5"/>
  <c r="AA223" i="5" s="1"/>
  <c r="V222" i="5"/>
  <c r="V223" i="5" s="1"/>
  <c r="V225" i="5" s="1"/>
  <c r="Q221" i="5"/>
  <c r="DN215" i="5"/>
  <c r="DN216" i="5" s="1"/>
  <c r="BJ215" i="5"/>
  <c r="BE215" i="5"/>
  <c r="AZ215" i="5"/>
  <c r="AQ215" i="5"/>
  <c r="AM215" i="5"/>
  <c r="AI215" i="5"/>
  <c r="AI216" i="5" s="1"/>
  <c r="AE215" i="5"/>
  <c r="AE216" i="5" s="1"/>
  <c r="AA215" i="5"/>
  <c r="W215" i="5"/>
  <c r="W216" i="5" s="1"/>
  <c r="S215" i="5"/>
  <c r="AO170" i="5"/>
  <c r="AP170" i="5"/>
  <c r="AQ170" i="5"/>
  <c r="AN170" i="5"/>
  <c r="AR170" i="5"/>
  <c r="AR172" i="5"/>
  <c r="U170" i="5"/>
  <c r="V170" i="5"/>
  <c r="W170" i="5"/>
  <c r="T170" i="5"/>
  <c r="X170" i="5"/>
  <c r="EB211" i="5"/>
  <c r="EB225" i="5" s="1"/>
  <c r="DT211" i="5"/>
  <c r="DP211" i="5"/>
  <c r="DP225" i="5" s="1"/>
  <c r="DL211" i="5"/>
  <c r="DL225" i="5" s="1"/>
  <c r="CZ211" i="5"/>
  <c r="CV211" i="5"/>
  <c r="CV225" i="5" s="1"/>
  <c r="CN211" i="5"/>
  <c r="CN225" i="5" s="1"/>
  <c r="CN228" i="5" s="1"/>
  <c r="CO226" i="5" s="1"/>
  <c r="DS210" i="5"/>
  <c r="DS211" i="5" s="1"/>
  <c r="CY210" i="5"/>
  <c r="AO209" i="5"/>
  <c r="AK209" i="5"/>
  <c r="DN209" i="5"/>
  <c r="DN211" i="5" s="1"/>
  <c r="U209" i="5"/>
  <c r="Q209" i="5"/>
  <c r="AO210" i="5"/>
  <c r="AK210" i="5"/>
  <c r="AG210" i="5"/>
  <c r="AC210" i="5"/>
  <c r="Y210" i="5"/>
  <c r="Y211" i="5" s="1"/>
  <c r="U210" i="5"/>
  <c r="Q210" i="5"/>
  <c r="M210" i="5"/>
  <c r="I210" i="5"/>
  <c r="E210" i="5"/>
  <c r="E211" i="5" s="1"/>
  <c r="E225" i="5" s="1"/>
  <c r="E228" i="5" s="1"/>
  <c r="F226" i="5" s="1"/>
  <c r="AR209" i="5"/>
  <c r="AM209" i="5"/>
  <c r="AB209" i="5"/>
  <c r="W209" i="5"/>
  <c r="R209" i="5"/>
  <c r="R211" i="5" s="1"/>
  <c r="R225" i="5" s="1"/>
  <c r="L209" i="5"/>
  <c r="L211" i="5" s="1"/>
  <c r="L225" i="5" s="1"/>
  <c r="G209" i="5"/>
  <c r="G211" i="5" s="1"/>
  <c r="G225" i="5" s="1"/>
  <c r="AR167" i="5"/>
  <c r="AR169" i="5" s="1"/>
  <c r="AN169" i="5"/>
  <c r="X167" i="5"/>
  <c r="X169" i="5" s="1"/>
  <c r="T169" i="5"/>
  <c r="W179" i="5"/>
  <c r="G179" i="5"/>
  <c r="BK175" i="5"/>
  <c r="BF178" i="5"/>
  <c r="BF174" i="5"/>
  <c r="BE179" i="5"/>
  <c r="BE93" i="4" s="1"/>
  <c r="AY186" i="5"/>
  <c r="AY36" i="5" s="1"/>
  <c r="AY22" i="5"/>
  <c r="BD152" i="5"/>
  <c r="AO220" i="5"/>
  <c r="AO223" i="5" s="1"/>
  <c r="AE220" i="5"/>
  <c r="AE223" i="5" s="1"/>
  <c r="Z221" i="5"/>
  <c r="U221" i="5"/>
  <c r="U223" i="5" s="1"/>
  <c r="AB210" i="5"/>
  <c r="H210" i="5"/>
  <c r="H211" i="5" s="1"/>
  <c r="H225" i="5" s="1"/>
  <c r="AQ209" i="5"/>
  <c r="AF209" i="5"/>
  <c r="AF211" i="5" s="1"/>
  <c r="P209" i="5"/>
  <c r="P211" i="5" s="1"/>
  <c r="P225" i="5" s="1"/>
  <c r="AM167" i="5"/>
  <c r="AM169" i="5" s="1"/>
  <c r="AI169" i="5"/>
  <c r="S167" i="5"/>
  <c r="S169" i="5" s="1"/>
  <c r="O169" i="5"/>
  <c r="AI179" i="5"/>
  <c r="AY20" i="5"/>
  <c r="BD149" i="5"/>
  <c r="EA223" i="5"/>
  <c r="EA225" i="5" s="1"/>
  <c r="DK223" i="5"/>
  <c r="DK225" i="5" s="1"/>
  <c r="DI221" i="5"/>
  <c r="DD220" i="5"/>
  <c r="Y221" i="5"/>
  <c r="DY216" i="5"/>
  <c r="AR216" i="5" s="1"/>
  <c r="DU216" i="5"/>
  <c r="DQ216" i="5"/>
  <c r="DQ225" i="5" s="1"/>
  <c r="DM216" i="5"/>
  <c r="DE216" i="5"/>
  <c r="X216" i="5" s="1"/>
  <c r="DA216" i="5"/>
  <c r="DA225" i="5" s="1"/>
  <c r="DX215" i="5"/>
  <c r="DX216" i="5" s="1"/>
  <c r="DD215" i="5"/>
  <c r="DD216" i="5" s="1"/>
  <c r="AO215" i="5"/>
  <c r="AO216" i="5" s="1"/>
  <c r="AK215" i="5"/>
  <c r="AK216" i="5" s="1"/>
  <c r="AG215" i="5"/>
  <c r="AG216" i="5" s="1"/>
  <c r="U215" i="5"/>
  <c r="U216" i="5" s="1"/>
  <c r="AG170" i="5"/>
  <c r="AD170" i="5"/>
  <c r="AH170" i="5"/>
  <c r="AE170" i="5"/>
  <c r="AF170" i="5"/>
  <c r="M170" i="5"/>
  <c r="J170" i="5"/>
  <c r="N170" i="5"/>
  <c r="K170" i="5"/>
  <c r="L170" i="5"/>
  <c r="DJ211" i="5"/>
  <c r="CP211" i="5"/>
  <c r="DX209" i="5"/>
  <c r="DX211" i="5" s="1"/>
  <c r="DX225" i="5" s="1"/>
  <c r="DD209" i="5"/>
  <c r="DD211" i="5" s="1"/>
  <c r="AQ210" i="5"/>
  <c r="W210" i="5"/>
  <c r="AJ209" i="5"/>
  <c r="AJ211" i="5" s="1"/>
  <c r="AJ225" i="5" s="1"/>
  <c r="T209" i="5"/>
  <c r="T211" i="5" s="1"/>
  <c r="T225" i="5" s="1"/>
  <c r="AH167" i="5"/>
  <c r="AX183" i="5"/>
  <c r="AX186" i="5"/>
  <c r="AU93" i="4"/>
  <c r="AU98" i="4" s="1"/>
  <c r="AE179" i="5"/>
  <c r="O179" i="5"/>
  <c r="DJ223" i="5"/>
  <c r="AC223" i="5" s="1"/>
  <c r="AC67" i="9" s="1"/>
  <c r="CP223" i="5"/>
  <c r="I223" i="5" s="1"/>
  <c r="I67" i="9" s="1"/>
  <c r="I66" i="9" s="1"/>
  <c r="DN222" i="5"/>
  <c r="DN223" i="5" s="1"/>
  <c r="CT221" i="5"/>
  <c r="CT223" i="5" s="1"/>
  <c r="DD221" i="5"/>
  <c r="DI220" i="5"/>
  <c r="DT216" i="5"/>
  <c r="AM216" i="5" s="1"/>
  <c r="CZ216" i="5"/>
  <c r="S216" i="5" s="1"/>
  <c r="AQ216" i="5"/>
  <c r="AA216" i="5"/>
  <c r="K216" i="5"/>
  <c r="K225" i="5" s="1"/>
  <c r="Y170" i="5"/>
  <c r="AC170" i="5"/>
  <c r="Z170" i="5"/>
  <c r="AA170" i="5"/>
  <c r="AB170" i="5"/>
  <c r="E170" i="5"/>
  <c r="I170" i="5"/>
  <c r="F170" i="5"/>
  <c r="G170" i="5"/>
  <c r="H170" i="5"/>
  <c r="DU211" i="5"/>
  <c r="DE211" i="5"/>
  <c r="AG209" i="5"/>
  <c r="CY209" i="5"/>
  <c r="CY211" i="5" s="1"/>
  <c r="M209" i="5"/>
  <c r="M211" i="5" s="1"/>
  <c r="M225" i="5" s="1"/>
  <c r="N209" i="5"/>
  <c r="AS169" i="5"/>
  <c r="AC167" i="5"/>
  <c r="Y169" i="5"/>
  <c r="BK178" i="5"/>
  <c r="BK174" i="5"/>
  <c r="BJ179" i="5"/>
  <c r="BJ93" i="4" s="1"/>
  <c r="BF177" i="5"/>
  <c r="BF173" i="5"/>
  <c r="BH179" i="5"/>
  <c r="BH93" i="4" s="1"/>
  <c r="AZ170" i="5"/>
  <c r="AC163" i="5"/>
  <c r="AD169" i="5" s="1"/>
  <c r="I163" i="5"/>
  <c r="J169" i="5" s="1"/>
  <c r="AU71" i="5"/>
  <c r="AQ156" i="5"/>
  <c r="AQ71" i="5" s="1"/>
  <c r="Q153" i="5"/>
  <c r="Q70" i="5" s="1"/>
  <c r="AR150" i="5"/>
  <c r="AR69" i="5" s="1"/>
  <c r="AR35" i="2" s="1"/>
  <c r="AH150" i="5"/>
  <c r="AH69" i="5" s="1"/>
  <c r="AH35" i="2" s="1"/>
  <c r="AB150" i="5"/>
  <c r="AB69" i="5" s="1"/>
  <c r="R150" i="5"/>
  <c r="R69" i="5" s="1"/>
  <c r="BE149" i="5"/>
  <c r="Z146" i="5"/>
  <c r="AS142" i="5"/>
  <c r="W142" i="5"/>
  <c r="AF142" i="5"/>
  <c r="H125" i="5"/>
  <c r="H127" i="5"/>
  <c r="H128" i="5"/>
  <c r="H124" i="5"/>
  <c r="AB121" i="5"/>
  <c r="R125" i="5"/>
  <c r="R127" i="5"/>
  <c r="R128" i="5"/>
  <c r="R124" i="5"/>
  <c r="O127" i="5"/>
  <c r="T127" i="5" s="1"/>
  <c r="O128" i="5"/>
  <c r="T128" i="5" s="1"/>
  <c r="O125" i="5"/>
  <c r="T125" i="5" s="1"/>
  <c r="O124" i="5"/>
  <c r="G124" i="5"/>
  <c r="G125" i="5"/>
  <c r="G127" i="5"/>
  <c r="G128" i="5"/>
  <c r="AT170" i="5"/>
  <c r="T153" i="5"/>
  <c r="T70" i="5" s="1"/>
  <c r="AU69" i="5"/>
  <c r="AP150" i="5"/>
  <c r="AP69" i="5" s="1"/>
  <c r="AJ150" i="5"/>
  <c r="AJ69" i="5" s="1"/>
  <c r="Z150" i="5"/>
  <c r="Z69" i="5" s="1"/>
  <c r="T150" i="5"/>
  <c r="T69" i="5" s="1"/>
  <c r="AU142" i="5"/>
  <c r="AP142" i="5"/>
  <c r="AE142" i="5"/>
  <c r="O142" i="5"/>
  <c r="Z121" i="5"/>
  <c r="AC133" i="5"/>
  <c r="Y121" i="5"/>
  <c r="AC141" i="5"/>
  <c r="AZ22" i="5"/>
  <c r="BE152" i="5"/>
  <c r="AT69" i="5"/>
  <c r="AD150" i="5"/>
  <c r="AD69" i="5" s="1"/>
  <c r="AK121" i="5"/>
  <c r="AL121" i="5"/>
  <c r="AM133" i="5"/>
  <c r="AI121" i="5"/>
  <c r="AM141" i="5"/>
  <c r="BI108" i="5"/>
  <c r="BN108" i="5" s="1"/>
  <c r="AR133" i="5"/>
  <c r="Q128" i="5"/>
  <c r="V128" i="5" s="1"/>
  <c r="AA128" i="5" s="1"/>
  <c r="AF128" i="5" s="1"/>
  <c r="AK128" i="5" s="1"/>
  <c r="AP128" i="5" s="1"/>
  <c r="AU128" i="5" s="1"/>
  <c r="AZ128" i="5" s="1"/>
  <c r="BE128" i="5" s="1"/>
  <c r="BJ128" i="5" s="1"/>
  <c r="BO128" i="5" s="1"/>
  <c r="L128" i="5"/>
  <c r="AK111" i="5"/>
  <c r="U111" i="5"/>
  <c r="L110" i="5"/>
  <c r="AG98" i="5"/>
  <c r="AG108" i="5" s="1"/>
  <c r="M98" i="5"/>
  <c r="M108" i="5" s="1"/>
  <c r="AI98" i="5"/>
  <c r="AI108" i="5" s="1"/>
  <c r="AN100" i="5"/>
  <c r="AN60" i="5" s="1"/>
  <c r="AA98" i="5"/>
  <c r="AA108" i="5" s="1"/>
  <c r="AF100" i="5"/>
  <c r="AF60" i="5" s="1"/>
  <c r="AO89" i="5"/>
  <c r="AO110" i="5" s="1"/>
  <c r="AT111" i="5" s="1"/>
  <c r="AQ88" i="5"/>
  <c r="K124" i="5"/>
  <c r="AA121" i="5"/>
  <c r="S111" i="5"/>
  <c r="AX107" i="5"/>
  <c r="AB96" i="5"/>
  <c r="H96" i="5"/>
  <c r="J128" i="5"/>
  <c r="J127" i="5"/>
  <c r="L124" i="5"/>
  <c r="L125" i="5"/>
  <c r="AO121" i="5"/>
  <c r="X120" i="5"/>
  <c r="P121" i="5"/>
  <c r="AN111" i="5"/>
  <c r="V111" i="5"/>
  <c r="W100" i="5"/>
  <c r="W60" i="5" s="1"/>
  <c r="AQ98" i="5"/>
  <c r="AQ108" i="5" s="1"/>
  <c r="W98" i="5"/>
  <c r="W108" i="5" s="1"/>
  <c r="BE97" i="5"/>
  <c r="BJ97" i="5" s="1"/>
  <c r="BH96" i="5"/>
  <c r="BM96" i="5" s="1"/>
  <c r="BC98" i="5"/>
  <c r="BC107" i="5" s="1"/>
  <c r="AK98" i="5"/>
  <c r="AK108" i="5" s="1"/>
  <c r="AP100" i="5"/>
  <c r="AP60" i="5" s="1"/>
  <c r="Y98" i="5"/>
  <c r="Y108" i="5" s="1"/>
  <c r="AD100" i="5"/>
  <c r="AD60" i="5" s="1"/>
  <c r="Q124" i="5"/>
  <c r="Q125" i="5"/>
  <c r="V125" i="5" s="1"/>
  <c r="AA125" i="5" s="1"/>
  <c r="AF125" i="5" s="1"/>
  <c r="AK125" i="5" s="1"/>
  <c r="AP125" i="5" s="1"/>
  <c r="AU125" i="5" s="1"/>
  <c r="AZ125" i="5" s="1"/>
  <c r="BE125" i="5" s="1"/>
  <c r="BJ125" i="5" s="1"/>
  <c r="BO125" i="5" s="1"/>
  <c r="AJ121" i="5"/>
  <c r="AH120" i="5"/>
  <c r="AE121" i="5" s="1"/>
  <c r="AL100" i="5"/>
  <c r="AL60" i="5" s="1"/>
  <c r="AL102" i="5"/>
  <c r="R100" i="5"/>
  <c r="R60" i="5" s="1"/>
  <c r="R102" i="5"/>
  <c r="AZ96" i="5"/>
  <c r="AU98" i="5"/>
  <c r="BH88" i="5"/>
  <c r="BM88" i="5" s="1"/>
  <c r="AH102" i="5"/>
  <c r="Z102" i="5"/>
  <c r="J102" i="5"/>
  <c r="AX100" i="5"/>
  <c r="AT100" i="5"/>
  <c r="AT60" i="5" s="1"/>
  <c r="V100" i="5"/>
  <c r="V60" i="5" s="1"/>
  <c r="AY96" i="5"/>
  <c r="AE89" i="5"/>
  <c r="AE110" i="5" s="1"/>
  <c r="AL88" i="5"/>
  <c r="AL89" i="5" s="1"/>
  <c r="AL110" i="5" s="1"/>
  <c r="AB88" i="5"/>
  <c r="AR102" i="5"/>
  <c r="AJ102" i="5"/>
  <c r="X102" i="5"/>
  <c r="L102" i="5"/>
  <c r="T100" i="5"/>
  <c r="T60" i="5" s="1"/>
  <c r="AC89" i="5"/>
  <c r="AC110" i="5" s="1"/>
  <c r="AC111" i="5" s="1"/>
  <c r="R88" i="5"/>
  <c r="R89" i="5" s="1"/>
  <c r="R110" i="5" s="1"/>
  <c r="AB89" i="5"/>
  <c r="AB110" i="5" s="1"/>
  <c r="H89" i="5"/>
  <c r="H110" i="5" s="1"/>
  <c r="AP39" i="5"/>
  <c r="AN32" i="5"/>
  <c r="AF32" i="5"/>
  <c r="V39" i="5"/>
  <c r="V33" i="5"/>
  <c r="AI33" i="5"/>
  <c r="AI39" i="5"/>
  <c r="I55" i="5"/>
  <c r="I85" i="4" s="1"/>
  <c r="P39" i="5"/>
  <c r="P33" i="5"/>
  <c r="AT11" i="5"/>
  <c r="AT8" i="9" s="1"/>
  <c r="AY8" i="9" s="1"/>
  <c r="AQ8" i="5"/>
  <c r="AQ11" i="5" s="1"/>
  <c r="AO11" i="5"/>
  <c r="AO8" i="9" s="1"/>
  <c r="AO10" i="9" s="1"/>
  <c r="AL8" i="5"/>
  <c r="AL11" i="5" s="1"/>
  <c r="AL8" i="9" s="1"/>
  <c r="AJ11" i="5"/>
  <c r="AJ8" i="9" s="1"/>
  <c r="AJ10" i="9" s="1"/>
  <c r="AE18" i="5"/>
  <c r="AE26" i="5"/>
  <c r="Z11" i="5"/>
  <c r="Z8" i="9" s="1"/>
  <c r="Z10" i="9" s="1"/>
  <c r="AB8" i="5"/>
  <c r="AB11" i="5" s="1"/>
  <c r="AB8" i="9" s="1"/>
  <c r="BA44" i="5"/>
  <c r="BF44" i="5" s="1"/>
  <c r="BK44" i="5" s="1"/>
  <c r="BP44" i="5" s="1"/>
  <c r="N33" i="5"/>
  <c r="AH39" i="5"/>
  <c r="AR33" i="5"/>
  <c r="AR39" i="5"/>
  <c r="AA33" i="5"/>
  <c r="AA39" i="5"/>
  <c r="BH44" i="5"/>
  <c r="BM44" i="5" s="1"/>
  <c r="X33" i="5"/>
  <c r="X39" i="5"/>
  <c r="AS33" i="5"/>
  <c r="AS39" i="5"/>
  <c r="BJ15" i="5"/>
  <c r="BO15" i="5" s="1"/>
  <c r="T18" i="5"/>
  <c r="T26" i="5"/>
  <c r="AG8" i="5"/>
  <c r="AG11" i="5" s="1"/>
  <c r="AG8" i="9" s="1"/>
  <c r="BB45" i="5"/>
  <c r="AM33" i="5"/>
  <c r="AM39" i="5"/>
  <c r="S33" i="5"/>
  <c r="S39" i="5"/>
  <c r="AQ30" i="5"/>
  <c r="O33" i="5"/>
  <c r="O39" i="5"/>
  <c r="Y24" i="5"/>
  <c r="Y26" i="5" s="1"/>
  <c r="Y18" i="5"/>
  <c r="U39" i="5"/>
  <c r="U33" i="5"/>
  <c r="E39" i="5"/>
  <c r="E33" i="5"/>
  <c r="BA10" i="5"/>
  <c r="AL29" i="5"/>
  <c r="AL30" i="5" s="1"/>
  <c r="AS18" i="5"/>
  <c r="AK18" i="5"/>
  <c r="E18" i="5"/>
  <c r="BA15" i="5"/>
  <c r="BA15" i="4" s="1"/>
  <c r="R18" i="5"/>
  <c r="BE10" i="5"/>
  <c r="BI10" i="5"/>
  <c r="BN10" i="5" s="1"/>
  <c r="H18" i="5"/>
  <c r="O256" i="4"/>
  <c r="J256" i="4"/>
  <c r="E256" i="4"/>
  <c r="AD226" i="4"/>
  <c r="Z226" i="4"/>
  <c r="J226" i="4"/>
  <c r="AP225" i="4"/>
  <c r="AH225" i="4"/>
  <c r="CZ17" i="3" s="1"/>
  <c r="CZ19" i="3" s="1"/>
  <c r="V225" i="4"/>
  <c r="N225" i="4"/>
  <c r="CF17" i="3" s="1"/>
  <c r="F225" i="4"/>
  <c r="AD223" i="4"/>
  <c r="Z223" i="4"/>
  <c r="J223" i="4"/>
  <c r="BJ222" i="4"/>
  <c r="BF222" i="4"/>
  <c r="BB222" i="4"/>
  <c r="DT16" i="3" s="1"/>
  <c r="AX222" i="4"/>
  <c r="AB207" i="4"/>
  <c r="AX180" i="4"/>
  <c r="AY180" i="4" s="1"/>
  <c r="AZ180" i="4" s="1"/>
  <c r="BA180" i="4" s="1"/>
  <c r="BB180" i="4" s="1"/>
  <c r="BC180" i="4" s="1"/>
  <c r="BD180" i="4" s="1"/>
  <c r="BE180" i="4" s="1"/>
  <c r="BF180" i="4" s="1"/>
  <c r="BG180" i="4" s="1"/>
  <c r="BH180" i="4" s="1"/>
  <c r="BI180" i="4" s="1"/>
  <c r="BJ180" i="4" s="1"/>
  <c r="BK180" i="4" s="1"/>
  <c r="BL180" i="4" s="1"/>
  <c r="BM180" i="4" s="1"/>
  <c r="BN180" i="4" s="1"/>
  <c r="BO180" i="4" s="1"/>
  <c r="BP180" i="4" s="1"/>
  <c r="BQ180" i="4" s="1"/>
  <c r="BA178" i="4"/>
  <c r="AT211" i="4"/>
  <c r="AO226" i="4"/>
  <c r="AK226" i="4"/>
  <c r="Y226" i="4"/>
  <c r="AO223" i="4"/>
  <c r="AK223" i="4"/>
  <c r="Y223" i="4"/>
  <c r="R183" i="4"/>
  <c r="AZ179" i="4"/>
  <c r="BA179" i="4" s="1"/>
  <c r="BB179" i="4" s="1"/>
  <c r="BC179" i="4" s="1"/>
  <c r="BD179" i="4" s="1"/>
  <c r="BE179" i="4" s="1"/>
  <c r="BF179" i="4" s="1"/>
  <c r="BG179" i="4" s="1"/>
  <c r="BH179" i="4" s="1"/>
  <c r="BI179" i="4" s="1"/>
  <c r="BJ179" i="4" s="1"/>
  <c r="BK179" i="4" s="1"/>
  <c r="BL179" i="4" s="1"/>
  <c r="BM179" i="4" s="1"/>
  <c r="BN179" i="4" s="1"/>
  <c r="BO179" i="4" s="1"/>
  <c r="BP179" i="4" s="1"/>
  <c r="BQ179" i="4" s="1"/>
  <c r="AN226" i="4"/>
  <c r="AJ226" i="4"/>
  <c r="AF226" i="4"/>
  <c r="T226" i="4"/>
  <c r="P226" i="4"/>
  <c r="L226" i="4"/>
  <c r="AN223" i="4"/>
  <c r="AJ223" i="4"/>
  <c r="AF223" i="4"/>
  <c r="T223" i="4"/>
  <c r="P223" i="4"/>
  <c r="L223" i="4"/>
  <c r="H207" i="4"/>
  <c r="AQ205" i="4"/>
  <c r="AQ207" i="4" s="1"/>
  <c r="AR207" i="4"/>
  <c r="AM207" i="4"/>
  <c r="AL205" i="4"/>
  <c r="AL207" i="4" s="1"/>
  <c r="W205" i="4"/>
  <c r="W207" i="4" s="1"/>
  <c r="X207" i="4"/>
  <c r="S207" i="4"/>
  <c r="R205" i="4"/>
  <c r="R207" i="4" s="1"/>
  <c r="H191" i="4"/>
  <c r="P256" i="4"/>
  <c r="AI226" i="4"/>
  <c r="AE226" i="4"/>
  <c r="AA226" i="4"/>
  <c r="O226" i="4"/>
  <c r="K226" i="4"/>
  <c r="G226" i="4"/>
  <c r="AI223" i="4"/>
  <c r="AE223" i="4"/>
  <c r="AA223" i="4"/>
  <c r="O223" i="4"/>
  <c r="K223" i="4"/>
  <c r="G223" i="4"/>
  <c r="M205" i="4"/>
  <c r="M207" i="4" s="1"/>
  <c r="AL200" i="4"/>
  <c r="R200" i="4"/>
  <c r="G211" i="4"/>
  <c r="AQ191" i="4"/>
  <c r="AM191" i="4"/>
  <c r="S191" i="4"/>
  <c r="AU191" i="4"/>
  <c r="AU209" i="4" s="1"/>
  <c r="AQ172" i="4"/>
  <c r="AQ176" i="4" s="1"/>
  <c r="AR176" i="4"/>
  <c r="AR185" i="4" s="1"/>
  <c r="AL176" i="4"/>
  <c r="AG172" i="4"/>
  <c r="AG176" i="4" s="1"/>
  <c r="AH176" i="4"/>
  <c r="AH185" i="4" s="1"/>
  <c r="AB172" i="4"/>
  <c r="AB176" i="4" s="1"/>
  <c r="AC176" i="4"/>
  <c r="AC185" i="4" s="1"/>
  <c r="W172" i="4"/>
  <c r="W176" i="4" s="1"/>
  <c r="X176" i="4"/>
  <c r="X185" i="4" s="1"/>
  <c r="R176" i="4"/>
  <c r="W170" i="4"/>
  <c r="AC191" i="4"/>
  <c r="AC209" i="4" s="1"/>
  <c r="I191" i="4"/>
  <c r="I209" i="4" s="1"/>
  <c r="I211" i="4" s="1"/>
  <c r="DM159" i="4"/>
  <c r="AG170" i="4"/>
  <c r="M170" i="4"/>
  <c r="D161" i="4"/>
  <c r="DO159" i="4"/>
  <c r="CT156" i="4"/>
  <c r="CO156" i="4"/>
  <c r="M156" i="4"/>
  <c r="DB154" i="4"/>
  <c r="DM59" i="3"/>
  <c r="DM60" i="3" s="1"/>
  <c r="AI154" i="4"/>
  <c r="T154" i="4"/>
  <c r="T67" i="9" s="1"/>
  <c r="O154" i="4"/>
  <c r="G154" i="4"/>
  <c r="AJ80" i="4"/>
  <c r="AJ125" i="4"/>
  <c r="AF80" i="4"/>
  <c r="AF125" i="4"/>
  <c r="AB80" i="4"/>
  <c r="AB125" i="4"/>
  <c r="X80" i="4"/>
  <c r="X125" i="4"/>
  <c r="W152" i="4"/>
  <c r="CO63" i="3" s="1"/>
  <c r="AM104" i="4"/>
  <c r="AL148" i="4"/>
  <c r="AM103" i="4"/>
  <c r="AL147" i="4"/>
  <c r="DS144" i="4"/>
  <c r="DS145" i="4" s="1"/>
  <c r="DF145" i="4"/>
  <c r="DF158" i="4" s="1"/>
  <c r="Y144" i="4"/>
  <c r="Y145" i="4" s="1"/>
  <c r="Y62" i="9" s="1"/>
  <c r="Y61" i="9" s="1"/>
  <c r="F144" i="4"/>
  <c r="F145" i="4" s="1"/>
  <c r="F62" i="9" s="1"/>
  <c r="F61" i="9" s="1"/>
  <c r="AL144" i="4"/>
  <c r="R144" i="4"/>
  <c r="H156" i="4"/>
  <c r="AN80" i="4"/>
  <c r="AN125" i="4"/>
  <c r="DR145" i="4"/>
  <c r="DR158" i="4" s="1"/>
  <c r="AK144" i="4"/>
  <c r="AK145" i="4" s="1"/>
  <c r="DI144" i="4"/>
  <c r="DJ145" i="4"/>
  <c r="AC144" i="4"/>
  <c r="CL145" i="4"/>
  <c r="CL158" i="4" s="1"/>
  <c r="CL161" i="4" s="1"/>
  <c r="E144" i="4"/>
  <c r="E145" i="4" s="1"/>
  <c r="E62" i="9" s="1"/>
  <c r="E61" i="9" s="1"/>
  <c r="DI145" i="4"/>
  <c r="AB160" i="4"/>
  <c r="I159" i="4"/>
  <c r="K156" i="4"/>
  <c r="V152" i="4"/>
  <c r="CN63" i="3" s="1"/>
  <c r="AP129" i="4"/>
  <c r="AR80" i="4"/>
  <c r="AR125" i="4"/>
  <c r="AQ152" i="4"/>
  <c r="DI63" i="3" s="1"/>
  <c r="AR129" i="4"/>
  <c r="AQ151" i="4"/>
  <c r="AJ74" i="4"/>
  <c r="AJ129" i="4"/>
  <c r="AF74" i="4"/>
  <c r="AF129" i="4"/>
  <c r="AB74" i="4"/>
  <c r="AB129" i="4"/>
  <c r="X74" i="4"/>
  <c r="X129" i="4"/>
  <c r="W151" i="4"/>
  <c r="CO59" i="3" s="1"/>
  <c r="CO60" i="3" s="1"/>
  <c r="S104" i="4"/>
  <c r="R148" i="4"/>
  <c r="S103" i="4"/>
  <c r="R147" i="4"/>
  <c r="DV145" i="4"/>
  <c r="DV158" i="4" s="1"/>
  <c r="AO144" i="4"/>
  <c r="AO145" i="4" s="1"/>
  <c r="AO62" i="9" s="1"/>
  <c r="AO61" i="9" s="1"/>
  <c r="V144" i="4"/>
  <c r="V145" i="4" s="1"/>
  <c r="V62" i="9" s="1"/>
  <c r="V61" i="9" s="1"/>
  <c r="CX145" i="4"/>
  <c r="CX158" i="4" s="1"/>
  <c r="Q144" i="4"/>
  <c r="Q145" i="4" s="1"/>
  <c r="Q62" i="9" s="1"/>
  <c r="Q61" i="9" s="1"/>
  <c r="CO144" i="4"/>
  <c r="CO145" i="4" s="1"/>
  <c r="CP145" i="4"/>
  <c r="I145" i="4" s="1"/>
  <c r="I62" i="9" s="1"/>
  <c r="I144" i="4"/>
  <c r="DD145" i="4"/>
  <c r="R142" i="4"/>
  <c r="AL145" i="4"/>
  <c r="AL62" i="9" s="1"/>
  <c r="AG145" i="4"/>
  <c r="AG62" i="9" s="1"/>
  <c r="M145" i="4"/>
  <c r="M62" i="9" s="1"/>
  <c r="F156" i="4"/>
  <c r="DI154" i="4"/>
  <c r="CO154" i="4"/>
  <c r="U80" i="4"/>
  <c r="U154" i="4"/>
  <c r="U67" i="9" s="1"/>
  <c r="AO129" i="4"/>
  <c r="AO154" i="4"/>
  <c r="AN129" i="4"/>
  <c r="DZ145" i="4"/>
  <c r="DZ158" i="4" s="1"/>
  <c r="DB145" i="4"/>
  <c r="DB158" i="4" s="1"/>
  <c r="U144" i="4"/>
  <c r="U145" i="4" s="1"/>
  <c r="U62" i="9" s="1"/>
  <c r="U61" i="9" s="1"/>
  <c r="DK67" i="3"/>
  <c r="AO80" i="4"/>
  <c r="AO125" i="4"/>
  <c r="AK80" i="4"/>
  <c r="AK125" i="4"/>
  <c r="AG80" i="4"/>
  <c r="AG125" i="4"/>
  <c r="AC80" i="4"/>
  <c r="AC125" i="4"/>
  <c r="Y80" i="4"/>
  <c r="Y125" i="4"/>
  <c r="AK74" i="4"/>
  <c r="AK129" i="4"/>
  <c r="AG74" i="4"/>
  <c r="AG129" i="4"/>
  <c r="AC74" i="4"/>
  <c r="AC129" i="4"/>
  <c r="Y74" i="4"/>
  <c r="Y129" i="4"/>
  <c r="H147" i="4"/>
  <c r="H64" i="9" s="1"/>
  <c r="H49" i="9" s="1"/>
  <c r="CZ145" i="4"/>
  <c r="S145" i="4" s="1"/>
  <c r="S62" i="9" s="1"/>
  <c r="AF138" i="4"/>
  <c r="AF140" i="4" s="1"/>
  <c r="EA140" i="4"/>
  <c r="EA158" i="4" s="1"/>
  <c r="DW140" i="4"/>
  <c r="DW158" i="4" s="1"/>
  <c r="DO140" i="4"/>
  <c r="DK140" i="4"/>
  <c r="DK158" i="4" s="1"/>
  <c r="DK161" i="4" s="1"/>
  <c r="DG140" i="4"/>
  <c r="DG158" i="4" s="1"/>
  <c r="DC140" i="4"/>
  <c r="DC158" i="4" s="1"/>
  <c r="CU140" i="4"/>
  <c r="CQ140" i="4"/>
  <c r="CQ158" i="4" s="1"/>
  <c r="CM140" i="4"/>
  <c r="CM158" i="4" s="1"/>
  <c r="CM161" i="4" s="1"/>
  <c r="AO139" i="4"/>
  <c r="AO140" i="4" s="1"/>
  <c r="AK139" i="4"/>
  <c r="DN139" i="4"/>
  <c r="CT139" i="4"/>
  <c r="CP139" i="4"/>
  <c r="DI138" i="4"/>
  <c r="DI140" i="4" s="1"/>
  <c r="CO138" i="4"/>
  <c r="CT137" i="4"/>
  <c r="L137" i="4"/>
  <c r="L56" i="9" s="1"/>
  <c r="M137" i="4"/>
  <c r="AM139" i="4"/>
  <c r="AL139" i="4" s="1"/>
  <c r="AI138" i="4"/>
  <c r="AI140" i="4" s="1"/>
  <c r="Q140" i="4"/>
  <c r="E140" i="4"/>
  <c r="AR139" i="4"/>
  <c r="AQ139" i="4" s="1"/>
  <c r="AQ140" i="4" s="1"/>
  <c r="AJ139" i="4"/>
  <c r="AJ140" i="4" s="1"/>
  <c r="U139" i="4"/>
  <c r="U140" i="4" s="1"/>
  <c r="P138" i="4"/>
  <c r="K137" i="4"/>
  <c r="Y140" i="4"/>
  <c r="T140" i="4"/>
  <c r="P140" i="4"/>
  <c r="AM80" i="4"/>
  <c r="AM125" i="4"/>
  <c r="AI80" i="4"/>
  <c r="AI125" i="4"/>
  <c r="AE80" i="4"/>
  <c r="AE125" i="4"/>
  <c r="AA80" i="4"/>
  <c r="AA125" i="4"/>
  <c r="S80" i="4"/>
  <c r="S125" i="4"/>
  <c r="AM74" i="4"/>
  <c r="AM129" i="4"/>
  <c r="AI74" i="4"/>
  <c r="AI129" i="4"/>
  <c r="AE74" i="4"/>
  <c r="AE129" i="4"/>
  <c r="AA74" i="4"/>
  <c r="AA129" i="4"/>
  <c r="S74" i="4"/>
  <c r="S129" i="4"/>
  <c r="DY140" i="4"/>
  <c r="DU140" i="4"/>
  <c r="DU158" i="4" s="1"/>
  <c r="DM140" i="4"/>
  <c r="DM158" i="4" s="1"/>
  <c r="DE140" i="4"/>
  <c r="DA140" i="4"/>
  <c r="DA158" i="4" s="1"/>
  <c r="CW140" i="4"/>
  <c r="CW158" i="4" s="1"/>
  <c r="CS140" i="4"/>
  <c r="CS158" i="4" s="1"/>
  <c r="DD139" i="4"/>
  <c r="DD140" i="4" s="1"/>
  <c r="DD158" i="4" s="1"/>
  <c r="DS138" i="4"/>
  <c r="DS140" i="4" s="1"/>
  <c r="DS158" i="4" s="1"/>
  <c r="CY138" i="4"/>
  <c r="AM138" i="4"/>
  <c r="AL138" i="4" s="1"/>
  <c r="L138" i="4"/>
  <c r="AB140" i="4"/>
  <c r="AP80" i="4"/>
  <c r="AP125" i="4"/>
  <c r="AL152" i="4"/>
  <c r="DD63" i="3" s="1"/>
  <c r="AH80" i="4"/>
  <c r="AH125" i="4"/>
  <c r="AD80" i="4"/>
  <c r="AD125" i="4"/>
  <c r="Z80" i="4"/>
  <c r="Z125" i="4"/>
  <c r="R152" i="4"/>
  <c r="CJ63" i="3" s="1"/>
  <c r="AL151" i="4"/>
  <c r="DD59" i="3" s="1"/>
  <c r="DD60" i="3" s="1"/>
  <c r="AH74" i="4"/>
  <c r="AH129" i="4"/>
  <c r="AD74" i="4"/>
  <c r="AD129" i="4"/>
  <c r="Z74" i="4"/>
  <c r="Z129" i="4"/>
  <c r="R151" i="4"/>
  <c r="CJ59" i="3" s="1"/>
  <c r="CJ60" i="3" s="1"/>
  <c r="AG148" i="4"/>
  <c r="M148" i="4"/>
  <c r="AG147" i="4"/>
  <c r="M147" i="4"/>
  <c r="DY145" i="4"/>
  <c r="AR145" i="4" s="1"/>
  <c r="AR62" i="9" s="1"/>
  <c r="DE145" i="4"/>
  <c r="X145" i="4" s="1"/>
  <c r="X62" i="9" s="1"/>
  <c r="DL140" i="4"/>
  <c r="DL158" i="4" s="1"/>
  <c r="DL161" i="4" s="1"/>
  <c r="DH140" i="4"/>
  <c r="DH158" i="4" s="1"/>
  <c r="CZ140" i="4"/>
  <c r="CV140" i="4"/>
  <c r="CV158" i="4" s="1"/>
  <c r="CN140" i="4"/>
  <c r="CN158" i="4" s="1"/>
  <c r="CN161" i="4" s="1"/>
  <c r="CO159" i="4" s="1"/>
  <c r="AG139" i="4"/>
  <c r="AG140" i="4" s="1"/>
  <c r="CY139" i="4"/>
  <c r="AK140" i="4"/>
  <c r="DN138" i="4"/>
  <c r="DN140" i="4" s="1"/>
  <c r="DN158" i="4" s="1"/>
  <c r="CT138" i="4"/>
  <c r="AL140" i="4"/>
  <c r="BW98" i="4"/>
  <c r="BJ116" i="4"/>
  <c r="BE116" i="4"/>
  <c r="AZ116" i="4"/>
  <c r="BY94" i="4"/>
  <c r="AX58" i="4"/>
  <c r="AX59" i="4" s="1"/>
  <c r="W55" i="4"/>
  <c r="R51" i="4"/>
  <c r="R52" i="4"/>
  <c r="R33" i="9" s="1"/>
  <c r="CU53" i="3"/>
  <c r="CU56" i="3" s="1"/>
  <c r="AM67" i="3"/>
  <c r="S65" i="3"/>
  <c r="AR43" i="3"/>
  <c r="AM43" i="3"/>
  <c r="AH43" i="3"/>
  <c r="AC43" i="3"/>
  <c r="X43" i="3"/>
  <c r="S43" i="3"/>
  <c r="N43" i="3"/>
  <c r="AY80" i="4" l="1"/>
  <c r="AY152" i="4" s="1"/>
  <c r="DQ63" i="3" s="1"/>
  <c r="AT67" i="9"/>
  <c r="AT66" i="9" s="1"/>
  <c r="AS228" i="4"/>
  <c r="AS226" i="4" s="1"/>
  <c r="AS229" i="4"/>
  <c r="AU140" i="4"/>
  <c r="AU158" i="4" s="1"/>
  <c r="AV74" i="4"/>
  <c r="AV253" i="4"/>
  <c r="AV154" i="4"/>
  <c r="AV158" i="4" s="1"/>
  <c r="AT241" i="4"/>
  <c r="AT223" i="4"/>
  <c r="AT220" i="4"/>
  <c r="AT240" i="4"/>
  <c r="AU253" i="4"/>
  <c r="AU129" i="4"/>
  <c r="AU74" i="4"/>
  <c r="AU154" i="4"/>
  <c r="BO202" i="4"/>
  <c r="BN222" i="4"/>
  <c r="DI59" i="3"/>
  <c r="DI60" i="3" s="1"/>
  <c r="AQ74" i="4"/>
  <c r="AU220" i="4"/>
  <c r="AU240" i="4"/>
  <c r="AU223" i="4"/>
  <c r="AU241" i="4"/>
  <c r="EC158" i="4"/>
  <c r="AT226" i="4"/>
  <c r="AS158" i="4"/>
  <c r="AU226" i="4"/>
  <c r="AK165" i="8"/>
  <c r="Q179" i="8"/>
  <c r="BF97" i="5"/>
  <c r="BK97" i="5" s="1"/>
  <c r="BP97" i="5" s="1"/>
  <c r="BB97" i="5"/>
  <c r="AV102" i="5"/>
  <c r="AV223" i="5"/>
  <c r="AV67" i="9" s="1"/>
  <c r="AV66" i="9" s="1"/>
  <c r="AS225" i="5"/>
  <c r="AS58" i="9"/>
  <c r="G126" i="5"/>
  <c r="V237" i="5"/>
  <c r="AV225" i="5"/>
  <c r="AV58" i="9"/>
  <c r="AV18" i="5"/>
  <c r="AV26" i="5"/>
  <c r="AV8" i="9"/>
  <c r="AT225" i="5"/>
  <c r="AT58" i="9"/>
  <c r="BL97" i="5"/>
  <c r="BO97" i="5"/>
  <c r="BQ97" i="5" s="1"/>
  <c r="AV100" i="5"/>
  <c r="AV60" i="5" s="1"/>
  <c r="J62" i="9"/>
  <c r="J61" i="9" s="1"/>
  <c r="AU58" i="9"/>
  <c r="AU223" i="5"/>
  <c r="AU67" i="9" s="1"/>
  <c r="AU66" i="9" s="1"/>
  <c r="BQ45" i="7"/>
  <c r="O16" i="9"/>
  <c r="O18" i="9" s="1"/>
  <c r="BC101" i="7"/>
  <c r="BH97" i="7"/>
  <c r="BC99" i="7"/>
  <c r="BC108" i="7" s="1"/>
  <c r="AT98" i="4"/>
  <c r="BM33" i="9"/>
  <c r="AU22" i="9"/>
  <c r="AT16" i="9"/>
  <c r="AT18" i="9" s="1"/>
  <c r="AT22" i="9" s="1"/>
  <c r="AY9" i="9"/>
  <c r="BQ44" i="5"/>
  <c r="BM98" i="5"/>
  <c r="BM107" i="5" s="1"/>
  <c r="BM100" i="5"/>
  <c r="BH98" i="6"/>
  <c r="BM94" i="6"/>
  <c r="AU10" i="9"/>
  <c r="AZ8" i="9"/>
  <c r="BM20" i="8"/>
  <c r="BO138" i="8"/>
  <c r="BN137" i="8"/>
  <c r="BN20" i="8" s="1"/>
  <c r="BM28" i="7"/>
  <c r="BO177" i="7"/>
  <c r="BN176" i="7"/>
  <c r="BN28" i="7" s="1"/>
  <c r="BQ125" i="4"/>
  <c r="BQ252" i="4"/>
  <c r="EI63" i="3"/>
  <c r="BJ163" i="10"/>
  <c r="DO163" i="10"/>
  <c r="BJ137" i="10"/>
  <c r="DO137" i="10"/>
  <c r="BJ73" i="10"/>
  <c r="DO73" i="10"/>
  <c r="DN114" i="10"/>
  <c r="DM136" i="10"/>
  <c r="DT136" i="10"/>
  <c r="DR136" i="10"/>
  <c r="DP136" i="10"/>
  <c r="DS136" i="10"/>
  <c r="DQ136" i="10"/>
  <c r="DK162" i="10"/>
  <c r="DS162" i="10"/>
  <c r="DQ162" i="10"/>
  <c r="DT162" i="10"/>
  <c r="DR162" i="10"/>
  <c r="DP162" i="10"/>
  <c r="DM100" i="10"/>
  <c r="DT100" i="10"/>
  <c r="DR100" i="10"/>
  <c r="DP100" i="10"/>
  <c r="DS100" i="10"/>
  <c r="DQ100" i="10"/>
  <c r="BO50" i="9"/>
  <c r="BO65" i="9" s="1"/>
  <c r="BM42" i="10"/>
  <c r="BM10" i="10"/>
  <c r="BN50" i="9"/>
  <c r="BN65" i="9" s="1"/>
  <c r="BL10" i="10"/>
  <c r="BL42" i="10"/>
  <c r="DR114" i="10"/>
  <c r="DR130" i="10" s="1"/>
  <c r="BO192" i="7" s="1"/>
  <c r="DT114" i="10"/>
  <c r="DS114" i="10" s="1"/>
  <c r="DS130" i="10" s="1"/>
  <c r="BP192" i="7" s="1"/>
  <c r="DP114" i="10"/>
  <c r="DP130" i="10" s="1"/>
  <c r="BM192" i="7" s="1"/>
  <c r="DQ114" i="10"/>
  <c r="DQ130" i="10" s="1"/>
  <c r="BN192" i="7" s="1"/>
  <c r="DK37" i="10"/>
  <c r="DT37" i="10"/>
  <c r="DR37" i="10"/>
  <c r="DP37" i="10"/>
  <c r="DS37" i="10"/>
  <c r="DQ37" i="10"/>
  <c r="DN20" i="10"/>
  <c r="DR20" i="10"/>
  <c r="DR32" i="10" s="1"/>
  <c r="DT20" i="10"/>
  <c r="DP20" i="10"/>
  <c r="DP32" i="10" s="1"/>
  <c r="DQ20" i="10"/>
  <c r="DQ32" i="10" s="1"/>
  <c r="DL72" i="10"/>
  <c r="DT72" i="10"/>
  <c r="DR72" i="10"/>
  <c r="DP72" i="10"/>
  <c r="DS72" i="10"/>
  <c r="DQ72" i="10"/>
  <c r="BO10" i="10"/>
  <c r="BO42" i="10"/>
  <c r="BQ50" i="9"/>
  <c r="BK42" i="10"/>
  <c r="BM50" i="9"/>
  <c r="BM65" i="9" s="1"/>
  <c r="BK10" i="10"/>
  <c r="BP50" i="9"/>
  <c r="BP65" i="9" s="1"/>
  <c r="BN10" i="10"/>
  <c r="BN42" i="10"/>
  <c r="CM77" i="10"/>
  <c r="BS77" i="10"/>
  <c r="AP167" i="10"/>
  <c r="CI77" i="10"/>
  <c r="CB77" i="10"/>
  <c r="BU42" i="10"/>
  <c r="BW42" i="10"/>
  <c r="CN42" i="10"/>
  <c r="DN72" i="10"/>
  <c r="DI99" i="10"/>
  <c r="DM135" i="10"/>
  <c r="CM42" i="10"/>
  <c r="BS42" i="10"/>
  <c r="CL42" i="10"/>
  <c r="CJ42" i="10"/>
  <c r="BB40" i="10"/>
  <c r="BD49" i="9" s="1"/>
  <c r="BD64" i="9" s="1"/>
  <c r="DJ35" i="10"/>
  <c r="DO35" i="10" s="1"/>
  <c r="DT35" i="10" s="1"/>
  <c r="AX98" i="10"/>
  <c r="BU141" i="10"/>
  <c r="DJ134" i="10"/>
  <c r="DO134" i="10" s="1"/>
  <c r="DT134" i="10" s="1"/>
  <c r="Y40" i="10"/>
  <c r="BR42" i="10"/>
  <c r="BY42" i="10"/>
  <c r="L42" i="10"/>
  <c r="AI40" i="10"/>
  <c r="BY141" i="10"/>
  <c r="DG99" i="10"/>
  <c r="DH135" i="10"/>
  <c r="AA77" i="10"/>
  <c r="AU100" i="6"/>
  <c r="T136" i="6"/>
  <c r="P136" i="6"/>
  <c r="AL25" i="6"/>
  <c r="H17" i="6"/>
  <c r="AS109" i="6"/>
  <c r="L10" i="9"/>
  <c r="AR61" i="9"/>
  <c r="F48" i="6"/>
  <c r="M87" i="6"/>
  <c r="M108" i="6" s="1"/>
  <c r="Z109" i="6"/>
  <c r="L122" i="6"/>
  <c r="P122" i="6"/>
  <c r="U122" i="6" s="1"/>
  <c r="Z122" i="6" s="1"/>
  <c r="AE122" i="6" s="1"/>
  <c r="AJ122" i="6" s="1"/>
  <c r="AO122" i="6" s="1"/>
  <c r="AT122" i="6" s="1"/>
  <c r="AY122" i="6" s="1"/>
  <c r="BD122" i="6" s="1"/>
  <c r="BI122" i="6" s="1"/>
  <c r="BN122" i="6" s="1"/>
  <c r="E267" i="6"/>
  <c r="AY98" i="10"/>
  <c r="AE146" i="5"/>
  <c r="S71" i="6"/>
  <c r="W136" i="6"/>
  <c r="AD136" i="6"/>
  <c r="E42" i="6"/>
  <c r="E46" i="6" s="1"/>
  <c r="F70" i="6"/>
  <c r="W100" i="6"/>
  <c r="Y136" i="6"/>
  <c r="AE32" i="6"/>
  <c r="AF31" i="6"/>
  <c r="AF32" i="6" s="1"/>
  <c r="AO109" i="6"/>
  <c r="H25" i="6"/>
  <c r="H29" i="4" s="1"/>
  <c r="AT48" i="6"/>
  <c r="AT54" i="6" s="1"/>
  <c r="AT88" i="4" s="1"/>
  <c r="AT53" i="6"/>
  <c r="AQ87" i="6"/>
  <c r="AQ108" i="6" s="1"/>
  <c r="S32" i="6"/>
  <c r="S241" i="6"/>
  <c r="S254" i="6" s="1"/>
  <c r="M61" i="9"/>
  <c r="AL61" i="9"/>
  <c r="AQ8" i="9"/>
  <c r="AF146" i="5"/>
  <c r="T146" i="5"/>
  <c r="R25" i="6"/>
  <c r="R29" i="4" s="1"/>
  <c r="AL17" i="6"/>
  <c r="BG43" i="6"/>
  <c r="O118" i="6"/>
  <c r="T118" i="6" s="1"/>
  <c r="F121" i="6"/>
  <c r="AH135" i="6"/>
  <c r="AH136" i="6" s="1"/>
  <c r="AE115" i="6"/>
  <c r="AR10" i="9"/>
  <c r="BC103" i="10"/>
  <c r="BE182" i="6" s="1"/>
  <c r="BE208" i="6" s="1"/>
  <c r="DM99" i="10"/>
  <c r="DN99" i="10"/>
  <c r="W25" i="6"/>
  <c r="W31" i="6" s="1"/>
  <c r="K18" i="9"/>
  <c r="K22" i="9" s="1"/>
  <c r="V38" i="6"/>
  <c r="V71" i="6" s="1"/>
  <c r="E71" i="6"/>
  <c r="L18" i="9"/>
  <c r="L22" i="9" s="1"/>
  <c r="T38" i="6"/>
  <c r="L109" i="6"/>
  <c r="L31" i="6"/>
  <c r="AF38" i="6"/>
  <c r="AD10" i="9"/>
  <c r="X98" i="4"/>
  <c r="G18" i="9"/>
  <c r="G30" i="4" s="1"/>
  <c r="AF122" i="6"/>
  <c r="AK122" i="6" s="1"/>
  <c r="AB122" i="6"/>
  <c r="AH109" i="6"/>
  <c r="BE143" i="6"/>
  <c r="BJ143" i="6" s="1"/>
  <c r="AZ21" i="6"/>
  <c r="AC109" i="6"/>
  <c r="AX68" i="6"/>
  <c r="AX147" i="6" s="1"/>
  <c r="AX146" i="6" s="1"/>
  <c r="AY147" i="6"/>
  <c r="AY146" i="6" s="1"/>
  <c r="BH66" i="6"/>
  <c r="BH141" i="6" s="1"/>
  <c r="BI141" i="6"/>
  <c r="BL43" i="6"/>
  <c r="BB43" i="6"/>
  <c r="BC98" i="6"/>
  <c r="AX98" i="6"/>
  <c r="AT109" i="6"/>
  <c r="W122" i="6"/>
  <c r="AG122" i="6"/>
  <c r="AI136" i="6"/>
  <c r="L119" i="6"/>
  <c r="W106" i="6"/>
  <c r="P121" i="6"/>
  <c r="U121" i="6" s="1"/>
  <c r="Z121" i="6" s="1"/>
  <c r="AE121" i="6" s="1"/>
  <c r="AJ121" i="6" s="1"/>
  <c r="AO121" i="6" s="1"/>
  <c r="AT121" i="6" s="1"/>
  <c r="AY121" i="6" s="1"/>
  <c r="BD121" i="6" s="1"/>
  <c r="BI121" i="6" s="1"/>
  <c r="BN121" i="6" s="1"/>
  <c r="E18" i="9"/>
  <c r="E30" i="4" s="1"/>
  <c r="E32" i="4" s="1"/>
  <c r="DL100" i="10"/>
  <c r="Q109" i="6"/>
  <c r="P109" i="6"/>
  <c r="F18" i="9"/>
  <c r="F22" i="9" s="1"/>
  <c r="F23" i="9" s="1"/>
  <c r="AD146" i="5"/>
  <c r="AF109" i="6"/>
  <c r="BQ105" i="10"/>
  <c r="AK38" i="6"/>
  <c r="AK109" i="6"/>
  <c r="Q18" i="9"/>
  <c r="Q22" i="9" s="1"/>
  <c r="Q27" i="9" s="1"/>
  <c r="Q31" i="9" s="1"/>
  <c r="Q35" i="9" s="1"/>
  <c r="N87" i="6"/>
  <c r="N108" i="6" s="1"/>
  <c r="S109" i="6" s="1"/>
  <c r="AP109" i="6"/>
  <c r="AQ136" i="6"/>
  <c r="AV136" i="6"/>
  <c r="V146" i="5"/>
  <c r="AV242" i="6"/>
  <c r="AV249" i="6" s="1"/>
  <c r="AT71" i="6"/>
  <c r="AT70" i="6"/>
  <c r="AU70" i="6"/>
  <c r="AU71" i="6"/>
  <c r="AS115" i="5"/>
  <c r="U31" i="6"/>
  <c r="U29" i="4"/>
  <c r="U28" i="3" s="1"/>
  <c r="AV241" i="6"/>
  <c r="AV254" i="6" s="1"/>
  <c r="AS70" i="6"/>
  <c r="AS71" i="6"/>
  <c r="H8" i="9"/>
  <c r="AQ9" i="9"/>
  <c r="K31" i="6"/>
  <c r="K29" i="4"/>
  <c r="K28" i="3" s="1"/>
  <c r="O32" i="6"/>
  <c r="O38" i="6"/>
  <c r="AV86" i="6"/>
  <c r="AV87" i="6" s="1"/>
  <c r="AV108" i="6" s="1"/>
  <c r="U100" i="8"/>
  <c r="R89" i="8"/>
  <c r="R52" i="8" s="1"/>
  <c r="Z87" i="4"/>
  <c r="Z48" i="8"/>
  <c r="W91" i="8"/>
  <c r="AG91" i="8"/>
  <c r="AX96" i="8"/>
  <c r="AX9" i="8" s="1"/>
  <c r="AG87" i="8"/>
  <c r="AG97" i="8" s="1"/>
  <c r="W89" i="8"/>
  <c r="W52" i="8" s="1"/>
  <c r="AO100" i="8"/>
  <c r="Q10" i="9"/>
  <c r="AL89" i="8"/>
  <c r="AL52" i="8" s="1"/>
  <c r="R77" i="8"/>
  <c r="BG257" i="4"/>
  <c r="H25" i="9"/>
  <c r="P100" i="8"/>
  <c r="L31" i="8"/>
  <c r="L35" i="8" s="1"/>
  <c r="L39" i="8" s="1"/>
  <c r="H24" i="8"/>
  <c r="L205" i="8" s="1"/>
  <c r="L218" i="8" s="1"/>
  <c r="Y31" i="8"/>
  <c r="Y35" i="8" s="1"/>
  <c r="Y39" i="8" s="1"/>
  <c r="AB89" i="8"/>
  <c r="AB52" i="8" s="1"/>
  <c r="DN162" i="10"/>
  <c r="R24" i="8"/>
  <c r="R78" i="8"/>
  <c r="R99" i="8" s="1"/>
  <c r="W100" i="8" s="1"/>
  <c r="Q31" i="8"/>
  <c r="V100" i="8"/>
  <c r="AK31" i="8"/>
  <c r="P18" i="9"/>
  <c r="P22" i="9" s="1"/>
  <c r="AV206" i="8"/>
  <c r="AV213" i="8" s="1"/>
  <c r="Z100" i="8"/>
  <c r="AJ100" i="8"/>
  <c r="AX77" i="8"/>
  <c r="BC77" i="8" s="1"/>
  <c r="BH77" i="8" s="1"/>
  <c r="AV77" i="8"/>
  <c r="AV78" i="8" s="1"/>
  <c r="AV99" i="8" s="1"/>
  <c r="AC25" i="8"/>
  <c r="AC205" i="8"/>
  <c r="AC218" i="8" s="1"/>
  <c r="AU97" i="8"/>
  <c r="AZ97" i="8" s="1"/>
  <c r="BE97" i="8" s="1"/>
  <c r="AU63" i="8"/>
  <c r="AU62" i="8"/>
  <c r="AP25" i="8"/>
  <c r="AA115" i="5"/>
  <c r="AS100" i="8"/>
  <c r="AN115" i="5"/>
  <c r="X112" i="7"/>
  <c r="S112" i="7"/>
  <c r="AO112" i="7"/>
  <c r="AP112" i="7"/>
  <c r="AE27" i="4"/>
  <c r="AE26" i="3" s="1"/>
  <c r="AE32" i="7"/>
  <c r="Y32" i="7"/>
  <c r="N245" i="7"/>
  <c r="N252" i="7" s="1"/>
  <c r="N26" i="3"/>
  <c r="AG61" i="9"/>
  <c r="AC66" i="9"/>
  <c r="M24" i="7"/>
  <c r="M26" i="7" s="1"/>
  <c r="M32" i="7" s="1"/>
  <c r="BB89" i="7"/>
  <c r="AM112" i="7"/>
  <c r="R124" i="7"/>
  <c r="K122" i="7"/>
  <c r="K123" i="7" s="1"/>
  <c r="K127" i="7" s="1"/>
  <c r="K61" i="7" s="1"/>
  <c r="K124" i="7"/>
  <c r="E98" i="4"/>
  <c r="X10" i="9"/>
  <c r="U18" i="9"/>
  <c r="U30" i="4" s="1"/>
  <c r="DG135" i="10"/>
  <c r="M9" i="9"/>
  <c r="M10" i="9" s="1"/>
  <c r="AA112" i="7"/>
  <c r="AL89" i="7"/>
  <c r="AL90" i="7" s="1"/>
  <c r="AL111" i="7" s="1"/>
  <c r="AB89" i="7"/>
  <c r="U146" i="5"/>
  <c r="AT112" i="7"/>
  <c r="G10" i="9"/>
  <c r="AN18" i="9"/>
  <c r="AN22" i="9" s="1"/>
  <c r="AN23" i="9" s="1"/>
  <c r="AR33" i="7"/>
  <c r="AR26" i="3" s="1"/>
  <c r="T39" i="7"/>
  <c r="T74" i="7" s="1"/>
  <c r="K39" i="7"/>
  <c r="K75" i="7" s="1"/>
  <c r="BB20" i="9"/>
  <c r="E39" i="7"/>
  <c r="E75" i="7" s="1"/>
  <c r="AR39" i="7"/>
  <c r="G39" i="7"/>
  <c r="AU32" i="7"/>
  <c r="AU27" i="4"/>
  <c r="AU26" i="3" s="1"/>
  <c r="I43" i="7"/>
  <c r="I47" i="7" s="1"/>
  <c r="I75" i="7"/>
  <c r="I74" i="7"/>
  <c r="Z32" i="7"/>
  <c r="Z27" i="4"/>
  <c r="Z26" i="3" s="1"/>
  <c r="AF39" i="7"/>
  <c r="AF33" i="7"/>
  <c r="Q33" i="7"/>
  <c r="Q39" i="7"/>
  <c r="BC70" i="7"/>
  <c r="BC144" i="7" s="1"/>
  <c r="BC143" i="7" s="1"/>
  <c r="BD144" i="7"/>
  <c r="BD143" i="7" s="1"/>
  <c r="BH70" i="7"/>
  <c r="BH144" i="7" s="1"/>
  <c r="BI144" i="7"/>
  <c r="I245" i="7"/>
  <c r="I26" i="3"/>
  <c r="O33" i="7"/>
  <c r="O39" i="7"/>
  <c r="V33" i="7"/>
  <c r="V39" i="7"/>
  <c r="AH33" i="7"/>
  <c r="AH244" i="7"/>
  <c r="AH257" i="7" s="1"/>
  <c r="AM33" i="7"/>
  <c r="AM244" i="7"/>
  <c r="AM257" i="7" s="1"/>
  <c r="AF112" i="7"/>
  <c r="AF115" i="5"/>
  <c r="AK112" i="7"/>
  <c r="AS43" i="7"/>
  <c r="AS74" i="7"/>
  <c r="AS75" i="7"/>
  <c r="AQ138" i="7"/>
  <c r="AV138" i="7"/>
  <c r="X61" i="9"/>
  <c r="U66" i="9"/>
  <c r="I61" i="9"/>
  <c r="T66" i="9"/>
  <c r="V115" i="5"/>
  <c r="AN54" i="7"/>
  <c r="AG89" i="7"/>
  <c r="AU112" i="7"/>
  <c r="AQ90" i="7"/>
  <c r="AQ111" i="7" s="1"/>
  <c r="AV112" i="7" s="1"/>
  <c r="BL89" i="7"/>
  <c r="AU109" i="7"/>
  <c r="AZ109" i="7" s="1"/>
  <c r="BE109" i="7" s="1"/>
  <c r="AX20" i="7"/>
  <c r="Y18" i="9"/>
  <c r="Y30" i="4" s="1"/>
  <c r="Y29" i="3" s="1"/>
  <c r="M139" i="10"/>
  <c r="DO135" i="10"/>
  <c r="DT135" i="10" s="1"/>
  <c r="AK115" i="5"/>
  <c r="M25" i="9"/>
  <c r="AG25" i="9"/>
  <c r="AA18" i="9"/>
  <c r="AA30" i="4" s="1"/>
  <c r="AI18" i="9"/>
  <c r="AI22" i="9" s="1"/>
  <c r="R8" i="9"/>
  <c r="AC112" i="7"/>
  <c r="AS112" i="7"/>
  <c r="AC138" i="7"/>
  <c r="W16" i="9"/>
  <c r="AQ16" i="9"/>
  <c r="AR74" i="7"/>
  <c r="AR138" i="7"/>
  <c r="AW138" i="7"/>
  <c r="U112" i="7"/>
  <c r="AF138" i="7"/>
  <c r="AF111" i="5"/>
  <c r="AD111" i="5"/>
  <c r="AD115" i="5"/>
  <c r="AR111" i="5"/>
  <c r="AW111" i="5"/>
  <c r="AS111" i="5"/>
  <c r="BL44" i="5"/>
  <c r="AU108" i="5"/>
  <c r="AZ108" i="5" s="1"/>
  <c r="BE108" i="5" s="1"/>
  <c r="M24" i="5"/>
  <c r="M26" i="5" s="1"/>
  <c r="AY108" i="7"/>
  <c r="AY13" i="7" s="1"/>
  <c r="AU88" i="5"/>
  <c r="AU102" i="5"/>
  <c r="AN116" i="4"/>
  <c r="AN256" i="4" s="1"/>
  <c r="AN251" i="4"/>
  <c r="AN62" i="4"/>
  <c r="AN56" i="4"/>
  <c r="AN117" i="4"/>
  <c r="T50" i="4"/>
  <c r="T54" i="4" s="1"/>
  <c r="T116" i="4"/>
  <c r="T256" i="4" s="1"/>
  <c r="BH98" i="4"/>
  <c r="BH142" i="4" s="1"/>
  <c r="K40" i="4"/>
  <c r="K46" i="4"/>
  <c r="AT10" i="9"/>
  <c r="AU117" i="4"/>
  <c r="AU116" i="4"/>
  <c r="AU256" i="4" s="1"/>
  <c r="P46" i="4"/>
  <c r="AT116" i="4"/>
  <c r="AT256" i="4" s="1"/>
  <c r="AT117" i="4"/>
  <c r="AS117" i="4"/>
  <c r="AS116" i="4"/>
  <c r="AS256" i="4" s="1"/>
  <c r="AS23" i="9"/>
  <c r="AS27" i="9"/>
  <c r="AS31" i="9" s="1"/>
  <c r="AS35" i="9" s="1"/>
  <c r="AU23" i="9"/>
  <c r="AU27" i="9"/>
  <c r="AU31" i="9" s="1"/>
  <c r="AU35" i="9" s="1"/>
  <c r="CF19" i="3"/>
  <c r="BI80" i="4"/>
  <c r="BG79" i="4"/>
  <c r="BD125" i="4"/>
  <c r="AX80" i="4"/>
  <c r="AX152" i="4" s="1"/>
  <c r="DP63" i="3" s="1"/>
  <c r="BE80" i="4"/>
  <c r="BE152" i="4" s="1"/>
  <c r="BE252" i="4" s="1"/>
  <c r="BC80" i="4"/>
  <c r="BC152" i="4" s="1"/>
  <c r="BF80" i="4"/>
  <c r="BF152" i="4" s="1"/>
  <c r="BF125" i="4" s="1"/>
  <c r="BK80" i="4"/>
  <c r="BK152" i="4" s="1"/>
  <c r="BK125" i="4" s="1"/>
  <c r="DM20" i="10"/>
  <c r="DM32" i="10" s="1"/>
  <c r="AD103" i="10"/>
  <c r="AH103" i="10"/>
  <c r="CE77" i="10"/>
  <c r="BZ77" i="10"/>
  <c r="DK20" i="10"/>
  <c r="CH42" i="10"/>
  <c r="AB127" i="10"/>
  <c r="DO161" i="10"/>
  <c r="DT161" i="10" s="1"/>
  <c r="DH161" i="10"/>
  <c r="O180" i="10"/>
  <c r="CD42" i="10"/>
  <c r="AH40" i="10"/>
  <c r="DL37" i="10"/>
  <c r="AE180" i="10"/>
  <c r="DI161" i="10"/>
  <c r="X180" i="10"/>
  <c r="X182" i="10" s="1"/>
  <c r="DA160" i="10"/>
  <c r="CI182" i="10"/>
  <c r="BX42" i="10"/>
  <c r="AU66" i="10"/>
  <c r="BB103" i="10"/>
  <c r="BD182" i="6" s="1"/>
  <c r="BD208" i="6" s="1"/>
  <c r="DH113" i="10"/>
  <c r="DL136" i="10"/>
  <c r="AX175" i="10"/>
  <c r="AF77" i="10"/>
  <c r="CG105" i="10"/>
  <c r="DN32" i="10"/>
  <c r="CE42" i="10"/>
  <c r="CG42" i="10"/>
  <c r="AT49" i="10"/>
  <c r="AB103" i="10"/>
  <c r="DN113" i="10"/>
  <c r="DN130" i="10" s="1"/>
  <c r="CI167" i="10"/>
  <c r="U103" i="10"/>
  <c r="DI182" i="10"/>
  <c r="AQ49" i="10"/>
  <c r="AQ66" i="10" s="1"/>
  <c r="DI113" i="10"/>
  <c r="AC180" i="10"/>
  <c r="CM105" i="10"/>
  <c r="BX77" i="10"/>
  <c r="S103" i="10"/>
  <c r="T180" i="10"/>
  <c r="AO165" i="10"/>
  <c r="AM103" i="10"/>
  <c r="CG11" i="10"/>
  <c r="CO77" i="10"/>
  <c r="P103" i="10"/>
  <c r="O103" i="10"/>
  <c r="DI35" i="10"/>
  <c r="DB35" i="10"/>
  <c r="AC66" i="10"/>
  <c r="Z103" i="10"/>
  <c r="Z165" i="10"/>
  <c r="DB134" i="10"/>
  <c r="CA165" i="10"/>
  <c r="CA167" i="10" s="1"/>
  <c r="AK77" i="10"/>
  <c r="DL32" i="10"/>
  <c r="DH35" i="10"/>
  <c r="O94" i="10"/>
  <c r="AE127" i="10"/>
  <c r="AE130" i="10" s="1"/>
  <c r="DA134" i="10"/>
  <c r="DC182" i="10"/>
  <c r="BR167" i="10"/>
  <c r="DG35" i="10"/>
  <c r="AJ94" i="10"/>
  <c r="BB75" i="10"/>
  <c r="BD192" i="5" s="1"/>
  <c r="BD218" i="5" s="1"/>
  <c r="N103" i="10"/>
  <c r="BD103" i="10"/>
  <c r="BF182" i="6" s="1"/>
  <c r="BF208" i="6" s="1"/>
  <c r="AX103" i="10"/>
  <c r="AZ182" i="6" s="1"/>
  <c r="AZ208" i="6" s="1"/>
  <c r="BR11" i="10"/>
  <c r="DC134" i="10"/>
  <c r="AH165" i="10"/>
  <c r="CB167" i="10"/>
  <c r="CT105" i="10"/>
  <c r="BY182" i="10"/>
  <c r="R103" i="10"/>
  <c r="AV103" i="10"/>
  <c r="AX182" i="6" s="1"/>
  <c r="AX208" i="6" s="1"/>
  <c r="AI103" i="10"/>
  <c r="Q167" i="10"/>
  <c r="X103" i="10"/>
  <c r="AR103" i="10"/>
  <c r="AE103" i="10"/>
  <c r="T103" i="10"/>
  <c r="BA103" i="10"/>
  <c r="BC182" i="6" s="1"/>
  <c r="BC208" i="6" s="1"/>
  <c r="CA98" i="10"/>
  <c r="BV103" i="10"/>
  <c r="BV105" i="10" s="1"/>
  <c r="M103" i="10"/>
  <c r="W103" i="10"/>
  <c r="AG103" i="10"/>
  <c r="AL103" i="10"/>
  <c r="AY103" i="10"/>
  <c r="AJ103" i="10"/>
  <c r="AS103" i="10"/>
  <c r="AT103" i="10"/>
  <c r="AQ103" i="10"/>
  <c r="Y103" i="10"/>
  <c r="AN103" i="10"/>
  <c r="AC103" i="10"/>
  <c r="AW98" i="10"/>
  <c r="AW103" i="10" s="1"/>
  <c r="AY182" i="6" s="1"/>
  <c r="AY208" i="6" s="1"/>
  <c r="AZ103" i="10"/>
  <c r="AZ105" i="10" s="1"/>
  <c r="CG77" i="10"/>
  <c r="BA40" i="10"/>
  <c r="BC49" i="9" s="1"/>
  <c r="BC64" i="9" s="1"/>
  <c r="BH66" i="10"/>
  <c r="BJ193" i="5" s="1"/>
  <c r="BJ219" i="5" s="1"/>
  <c r="AG66" i="10"/>
  <c r="DM113" i="10"/>
  <c r="DL113" i="10"/>
  <c r="DO113" i="10"/>
  <c r="DT113" i="10" s="1"/>
  <c r="DG113" i="10"/>
  <c r="DG130" i="10" s="1"/>
  <c r="BZ11" i="10"/>
  <c r="CA182" i="10"/>
  <c r="AS180" i="10"/>
  <c r="BT105" i="10"/>
  <c r="BU77" i="10"/>
  <c r="CC105" i="10"/>
  <c r="S175" i="10"/>
  <c r="S182" i="10" s="1"/>
  <c r="AJ175" i="10"/>
  <c r="BG175" i="10"/>
  <c r="CH182" i="10"/>
  <c r="U180" i="10"/>
  <c r="Q77" i="10"/>
  <c r="BR77" i="10"/>
  <c r="AM165" i="10"/>
  <c r="DN182" i="10"/>
  <c r="CO167" i="10"/>
  <c r="CQ105" i="10"/>
  <c r="BI180" i="10"/>
  <c r="BI182" i="10" s="1"/>
  <c r="S40" i="10"/>
  <c r="CL11" i="10"/>
  <c r="CL77" i="10"/>
  <c r="CJ77" i="10"/>
  <c r="AH75" i="10"/>
  <c r="BZ42" i="10"/>
  <c r="CY19" i="10"/>
  <c r="CX19" i="10"/>
  <c r="DA19" i="10"/>
  <c r="W66" i="10"/>
  <c r="DA35" i="10"/>
  <c r="DD35" i="10"/>
  <c r="DC35" i="10"/>
  <c r="AW66" i="10"/>
  <c r="AY193" i="5" s="1"/>
  <c r="AY219" i="5" s="1"/>
  <c r="AZ77" i="10"/>
  <c r="AC75" i="10"/>
  <c r="AW75" i="10"/>
  <c r="AY192" i="5" s="1"/>
  <c r="AY218" i="5" s="1"/>
  <c r="AB75" i="10"/>
  <c r="AV127" i="10"/>
  <c r="AW127" i="10"/>
  <c r="AW130" i="10" s="1"/>
  <c r="AY186" i="7" s="1"/>
  <c r="AY212" i="7" s="1"/>
  <c r="AD139" i="10"/>
  <c r="DH134" i="10"/>
  <c r="DH139" i="10" s="1"/>
  <c r="DF134" i="10"/>
  <c r="DF139" i="10" s="1"/>
  <c r="BC191" i="7" s="1"/>
  <c r="DI134" i="10"/>
  <c r="DG134" i="10"/>
  <c r="CK156" i="10"/>
  <c r="T175" i="10"/>
  <c r="T182" i="10" s="1"/>
  <c r="BH175" i="10"/>
  <c r="BJ182" i="10"/>
  <c r="DJ160" i="10"/>
  <c r="DO160" i="10" s="1"/>
  <c r="DT160" i="10" s="1"/>
  <c r="DC160" i="10"/>
  <c r="Y180" i="10"/>
  <c r="BB180" i="10"/>
  <c r="BB182" i="10" s="1"/>
  <c r="BX182" i="10"/>
  <c r="DL162" i="10"/>
  <c r="BS141" i="10"/>
  <c r="N175" i="10"/>
  <c r="N182" i="10" s="1"/>
  <c r="CM182" i="10"/>
  <c r="AO180" i="10"/>
  <c r="AO182" i="10" s="1"/>
  <c r="BU167" i="10"/>
  <c r="CY182" i="10"/>
  <c r="Q182" i="10"/>
  <c r="CW182" i="10"/>
  <c r="CH105" i="10"/>
  <c r="AJ75" i="10"/>
  <c r="CN141" i="10"/>
  <c r="E130" i="10"/>
  <c r="E12" i="10" s="1"/>
  <c r="O165" i="10"/>
  <c r="BG182" i="10"/>
  <c r="CD77" i="10"/>
  <c r="BS182" i="10"/>
  <c r="CJ11" i="10"/>
  <c r="CE11" i="10"/>
  <c r="BZ182" i="10"/>
  <c r="CE141" i="10"/>
  <c r="BT141" i="10"/>
  <c r="AR180" i="10"/>
  <c r="AC40" i="10"/>
  <c r="AD40" i="10"/>
  <c r="AP105" i="10"/>
  <c r="O75" i="10"/>
  <c r="X94" i="10"/>
  <c r="X105" i="10" s="1"/>
  <c r="AN94" i="10"/>
  <c r="AK105" i="10"/>
  <c r="L105" i="10"/>
  <c r="L11" i="10"/>
  <c r="V130" i="10"/>
  <c r="V141" i="10" s="1"/>
  <c r="M156" i="10"/>
  <c r="BX167" i="10"/>
  <c r="AR175" i="10"/>
  <c r="DK182" i="10"/>
  <c r="AV180" i="10"/>
  <c r="AI180" i="10"/>
  <c r="CJ167" i="10"/>
  <c r="AK11" i="10"/>
  <c r="V11" i="10"/>
  <c r="O175" i="10"/>
  <c r="O182" i="10" s="1"/>
  <c r="CA70" i="10"/>
  <c r="CF70" i="10" s="1"/>
  <c r="CK70" i="10" s="1"/>
  <c r="CP70" i="10" s="1"/>
  <c r="CU70" i="10" s="1"/>
  <c r="CZ70" i="10" s="1"/>
  <c r="DE70" i="10" s="1"/>
  <c r="DC70" i="10" s="1"/>
  <c r="BV75" i="10"/>
  <c r="BV77" i="10" s="1"/>
  <c r="AN180" i="10"/>
  <c r="DA182" i="10"/>
  <c r="DM37" i="10"/>
  <c r="DN37" i="10"/>
  <c r="BY11" i="10"/>
  <c r="BY77" i="10"/>
  <c r="AP77" i="10"/>
  <c r="DM72" i="10"/>
  <c r="DK72" i="10"/>
  <c r="DL135" i="10"/>
  <c r="DN135" i="10"/>
  <c r="DK135" i="10"/>
  <c r="DI135" i="10"/>
  <c r="CX147" i="10"/>
  <c r="CV147" i="10"/>
  <c r="CV156" i="10" s="1"/>
  <c r="CW147" i="10"/>
  <c r="CW156" i="10" s="1"/>
  <c r="DE147" i="10"/>
  <c r="DJ147" i="10" s="1"/>
  <c r="DO147" i="10" s="1"/>
  <c r="DC147" i="10"/>
  <c r="DC156" i="10" s="1"/>
  <c r="AZ153" i="8" s="1"/>
  <c r="CL105" i="10"/>
  <c r="AG75" i="10"/>
  <c r="M75" i="10"/>
  <c r="V105" i="10"/>
  <c r="N75" i="10"/>
  <c r="AI75" i="10"/>
  <c r="T94" i="10"/>
  <c r="T105" i="10" s="1"/>
  <c r="AR94" i="10"/>
  <c r="BH94" i="10"/>
  <c r="BJ183" i="6" s="1"/>
  <c r="BJ209" i="6" s="1"/>
  <c r="CH141" i="10"/>
  <c r="AF105" i="10"/>
  <c r="O139" i="10"/>
  <c r="AK167" i="10"/>
  <c r="P165" i="10"/>
  <c r="AA167" i="10"/>
  <c r="Y165" i="10"/>
  <c r="X165" i="10"/>
  <c r="AN165" i="10"/>
  <c r="AN175" i="10"/>
  <c r="AN182" i="10" s="1"/>
  <c r="V182" i="10"/>
  <c r="BS167" i="10"/>
  <c r="CE167" i="10"/>
  <c r="AF182" i="10"/>
  <c r="AJ180" i="10"/>
  <c r="CV182" i="10"/>
  <c r="DH182" i="10"/>
  <c r="CN167" i="10"/>
  <c r="BV182" i="10"/>
  <c r="CE105" i="10"/>
  <c r="CC77" i="10"/>
  <c r="BZ105" i="10"/>
  <c r="DG182" i="10"/>
  <c r="CS182" i="10"/>
  <c r="AI175" i="10"/>
  <c r="CX182" i="10"/>
  <c r="CO105" i="10"/>
  <c r="L141" i="10"/>
  <c r="CG182" i="10"/>
  <c r="DF182" i="10"/>
  <c r="CO182" i="10"/>
  <c r="CC182" i="10"/>
  <c r="BT182" i="10"/>
  <c r="BU182" i="10"/>
  <c r="AD165" i="10"/>
  <c r="AJ139" i="10"/>
  <c r="BH180" i="10"/>
  <c r="BH182" i="10" s="1"/>
  <c r="S139" i="10"/>
  <c r="T156" i="10"/>
  <c r="AJ165" i="10"/>
  <c r="U165" i="10"/>
  <c r="AG180" i="10"/>
  <c r="AG182" i="10" s="1"/>
  <c r="AE175" i="10"/>
  <c r="AD180" i="10"/>
  <c r="AZ182" i="10"/>
  <c r="BQ182" i="10"/>
  <c r="CN11" i="10"/>
  <c r="R127" i="10"/>
  <c r="S127" i="10"/>
  <c r="U127" i="10"/>
  <c r="U130" i="10" s="1"/>
  <c r="DK136" i="10"/>
  <c r="DN136" i="10"/>
  <c r="DB160" i="10"/>
  <c r="DH160" i="10"/>
  <c r="DI160" i="10"/>
  <c r="DG160" i="10"/>
  <c r="DF160" i="10"/>
  <c r="DF165" i="10" s="1"/>
  <c r="BC152" i="8" s="1"/>
  <c r="DM161" i="10"/>
  <c r="DN161" i="10"/>
  <c r="DL161" i="10"/>
  <c r="DK99" i="10"/>
  <c r="DF99" i="10"/>
  <c r="DH99" i="10"/>
  <c r="DL99" i="10"/>
  <c r="DK100" i="10"/>
  <c r="DN100" i="10"/>
  <c r="CL141" i="10"/>
  <c r="BC139" i="10"/>
  <c r="BE185" i="7" s="1"/>
  <c r="BE211" i="7" s="1"/>
  <c r="DH130" i="10"/>
  <c r="BE192" i="7" s="1"/>
  <c r="AN139" i="10"/>
  <c r="AB156" i="10"/>
  <c r="Z139" i="10"/>
  <c r="AE139" i="10"/>
  <c r="AD156" i="10"/>
  <c r="V167" i="10"/>
  <c r="BQ167" i="10"/>
  <c r="AC165" i="10"/>
  <c r="S165" i="10"/>
  <c r="AI165" i="10"/>
  <c r="T165" i="10"/>
  <c r="AP182" i="10"/>
  <c r="AY175" i="10"/>
  <c r="BW182" i="10"/>
  <c r="L182" i="10"/>
  <c r="W180" i="10"/>
  <c r="P180" i="10"/>
  <c r="BW167" i="10"/>
  <c r="BT167" i="10"/>
  <c r="X175" i="10"/>
  <c r="AD175" i="10"/>
  <c r="AD182" i="10" s="1"/>
  <c r="CR182" i="10"/>
  <c r="DD182" i="10"/>
  <c r="Z180" i="10"/>
  <c r="AH182" i="10"/>
  <c r="CN182" i="10"/>
  <c r="CM167" i="10"/>
  <c r="CB182" i="10"/>
  <c r="CJ182" i="10"/>
  <c r="CJ105" i="10"/>
  <c r="CR105" i="10"/>
  <c r="AA105" i="10"/>
  <c r="V77" i="10"/>
  <c r="CM141" i="10"/>
  <c r="CL167" i="10"/>
  <c r="CJ141" i="10"/>
  <c r="CD182" i="10"/>
  <c r="BY167" i="10"/>
  <c r="BZ167" i="10"/>
  <c r="CD105" i="10"/>
  <c r="M40" i="10"/>
  <c r="AN40" i="10"/>
  <c r="AH66" i="10"/>
  <c r="W94" i="10"/>
  <c r="AC94" i="10"/>
  <c r="CN77" i="10"/>
  <c r="BT77" i="10"/>
  <c r="CB11" i="10"/>
  <c r="AK182" i="10"/>
  <c r="BQ11" i="10"/>
  <c r="CD11" i="10"/>
  <c r="CB42" i="10"/>
  <c r="AP11" i="10"/>
  <c r="BT11" i="10"/>
  <c r="AE165" i="10"/>
  <c r="AY165" i="10"/>
  <c r="BA146" i="8" s="1"/>
  <c r="BA172" i="8" s="1"/>
  <c r="AS98" i="4"/>
  <c r="CC11" i="10"/>
  <c r="Q11" i="10"/>
  <c r="BL45" i="7"/>
  <c r="CH11" i="10"/>
  <c r="BD75" i="10"/>
  <c r="BF192" i="5" s="1"/>
  <c r="BF218" i="5" s="1"/>
  <c r="CH77" i="10"/>
  <c r="AA11" i="10"/>
  <c r="CM11" i="10"/>
  <c r="BS11" i="10"/>
  <c r="BU11" i="10"/>
  <c r="BW11" i="10"/>
  <c r="CO11" i="10"/>
  <c r="CI105" i="10"/>
  <c r="CI11" i="10"/>
  <c r="BB95" i="6"/>
  <c r="AW85" i="4"/>
  <c r="CI42" i="10"/>
  <c r="CO42" i="10"/>
  <c r="CC42" i="10"/>
  <c r="BT42" i="10"/>
  <c r="O40" i="10"/>
  <c r="AM40" i="10"/>
  <c r="BC40" i="10"/>
  <c r="BE49" i="9" s="1"/>
  <c r="BE64" i="9" s="1"/>
  <c r="N40" i="10"/>
  <c r="AU128" i="4"/>
  <c r="AT128" i="4"/>
  <c r="AS128" i="4"/>
  <c r="AO158" i="4"/>
  <c r="DG41" i="3"/>
  <c r="AR22" i="9"/>
  <c r="AR23" i="9" s="1"/>
  <c r="AR29" i="3" s="1"/>
  <c r="AR30" i="4"/>
  <c r="AX39" i="9"/>
  <c r="AX50" i="6"/>
  <c r="AX43" i="8"/>
  <c r="AX51" i="7"/>
  <c r="AX51" i="5"/>
  <c r="L140" i="4"/>
  <c r="DM41" i="3"/>
  <c r="Y158" i="4"/>
  <c r="Y58" i="9"/>
  <c r="CQ41" i="3"/>
  <c r="AJ158" i="4"/>
  <c r="AJ58" i="9"/>
  <c r="DB41" i="3"/>
  <c r="M140" i="4"/>
  <c r="M56" i="9"/>
  <c r="DI158" i="4"/>
  <c r="AF58" i="9"/>
  <c r="CX41" i="3"/>
  <c r="H144" i="4"/>
  <c r="H145" i="4" s="1"/>
  <c r="H62" i="9" s="1"/>
  <c r="H61" i="9" s="1"/>
  <c r="CA58" i="3"/>
  <c r="R104" i="4"/>
  <c r="R65" i="9"/>
  <c r="R50" i="9" s="1"/>
  <c r="CJ65" i="3"/>
  <c r="AB144" i="4"/>
  <c r="AB145" i="4" s="1"/>
  <c r="AB62" i="9" s="1"/>
  <c r="AB61" i="9" s="1"/>
  <c r="CU58" i="3"/>
  <c r="G158" i="4"/>
  <c r="G67" i="9"/>
  <c r="G66" i="9" s="1"/>
  <c r="BJ10" i="5"/>
  <c r="BO10" i="5" s="1"/>
  <c r="BF10" i="5"/>
  <c r="X252" i="5"/>
  <c r="X259" i="5" s="1"/>
  <c r="X25" i="3"/>
  <c r="N252" i="5"/>
  <c r="N259" i="5" s="1"/>
  <c r="N25" i="3"/>
  <c r="DU225" i="5"/>
  <c r="DI223" i="5"/>
  <c r="BK215" i="5"/>
  <c r="AD225" i="5"/>
  <c r="M27" i="4"/>
  <c r="M26" i="3" s="1"/>
  <c r="AG32" i="7"/>
  <c r="AG39" i="7" s="1"/>
  <c r="AG27" i="4"/>
  <c r="AG26" i="3" s="1"/>
  <c r="BB29" i="7"/>
  <c r="Q262" i="7"/>
  <c r="S262" i="7" s="1"/>
  <c r="Q94" i="4"/>
  <c r="AK262" i="7"/>
  <c r="AM262" i="7" s="1"/>
  <c r="AK94" i="4"/>
  <c r="BJ215" i="7"/>
  <c r="BK215" i="7" s="1"/>
  <c r="BI153" i="4"/>
  <c r="AQ216" i="7"/>
  <c r="AQ218" i="7" s="1"/>
  <c r="AQ122" i="4"/>
  <c r="N100" i="8"/>
  <c r="DB179" i="8"/>
  <c r="DV179" i="8"/>
  <c r="AZ169" i="8"/>
  <c r="AZ144" i="4" s="1"/>
  <c r="AY144" i="4"/>
  <c r="U223" i="8"/>
  <c r="X223" i="8" s="1"/>
  <c r="U95" i="4"/>
  <c r="AG223" i="8"/>
  <c r="AG95" i="4"/>
  <c r="AO223" i="8"/>
  <c r="AO95" i="4"/>
  <c r="AB215" i="6"/>
  <c r="AZ199" i="6"/>
  <c r="BA199" i="6" s="1"/>
  <c r="AY138" i="4"/>
  <c r="BJ199" i="6"/>
  <c r="BK199" i="6" s="1"/>
  <c r="BI138" i="4"/>
  <c r="BE124" i="4"/>
  <c r="AO213" i="6"/>
  <c r="AO67" i="9" s="1"/>
  <c r="AO66" i="9" s="1"/>
  <c r="AO124" i="4"/>
  <c r="AU30" i="4"/>
  <c r="AU29" i="3" s="1"/>
  <c r="AU30" i="3" s="1"/>
  <c r="AU56" i="3" s="1"/>
  <c r="X22" i="9"/>
  <c r="X23" i="9" s="1"/>
  <c r="X29" i="3" s="1"/>
  <c r="X30" i="4"/>
  <c r="AJ18" i="9"/>
  <c r="I22" i="9"/>
  <c r="I23" i="9" s="1"/>
  <c r="I29" i="3" s="1"/>
  <c r="I30" i="4"/>
  <c r="AC22" i="9"/>
  <c r="AC27" i="9" s="1"/>
  <c r="AC31" i="9" s="1"/>
  <c r="AC35" i="9" s="1"/>
  <c r="AC30" i="4"/>
  <c r="Q30" i="4"/>
  <c r="AK22" i="9"/>
  <c r="AK27" i="9" s="1"/>
  <c r="AK31" i="9" s="1"/>
  <c r="AK30" i="4"/>
  <c r="BF66" i="10"/>
  <c r="BH193" i="5" s="1"/>
  <c r="BH219" i="5" s="1"/>
  <c r="AN66" i="10"/>
  <c r="Y66" i="10"/>
  <c r="AS94" i="10"/>
  <c r="Q105" i="10"/>
  <c r="AL139" i="10"/>
  <c r="AM139" i="10"/>
  <c r="BA139" i="10"/>
  <c r="BC185" i="7" s="1"/>
  <c r="BC211" i="7" s="1"/>
  <c r="R156" i="10"/>
  <c r="AV156" i="10"/>
  <c r="AX147" i="8" s="1"/>
  <c r="AX173" i="8" s="1"/>
  <c r="AO139" i="10"/>
  <c r="N139" i="10"/>
  <c r="AX139" i="10"/>
  <c r="AZ185" i="7" s="1"/>
  <c r="AZ211" i="7" s="1"/>
  <c r="AW165" i="10"/>
  <c r="AY146" i="8" s="1"/>
  <c r="AY172" i="8" s="1"/>
  <c r="BB165" i="10"/>
  <c r="BD146" i="8" s="1"/>
  <c r="BD172" i="8" s="1"/>
  <c r="AL39" i="4"/>
  <c r="AL20" i="9"/>
  <c r="AQ25" i="9"/>
  <c r="M257" i="4"/>
  <c r="M36" i="9"/>
  <c r="J158" i="4"/>
  <c r="J58" i="9"/>
  <c r="J67" i="9"/>
  <c r="J66" i="9" s="1"/>
  <c r="V58" i="9"/>
  <c r="CN41" i="3"/>
  <c r="F58" i="9"/>
  <c r="AH62" i="9"/>
  <c r="AH61" i="9" s="1"/>
  <c r="K62" i="9"/>
  <c r="K61" i="9" s="1"/>
  <c r="DL41" i="3"/>
  <c r="H104" i="4"/>
  <c r="H65" i="9"/>
  <c r="H50" i="9" s="1"/>
  <c r="Y115" i="5"/>
  <c r="AC252" i="5"/>
  <c r="AC259" i="5" s="1"/>
  <c r="AC25" i="3"/>
  <c r="BF210" i="5"/>
  <c r="BK153" i="4"/>
  <c r="S179" i="5"/>
  <c r="S60" i="9"/>
  <c r="S97" i="4" s="1"/>
  <c r="AD62" i="9"/>
  <c r="AD61" i="9" s="1"/>
  <c r="BC98" i="4"/>
  <c r="BC142" i="4" s="1"/>
  <c r="AE223" i="8"/>
  <c r="AE95" i="4"/>
  <c r="AP253" i="4"/>
  <c r="DH59" i="3"/>
  <c r="DH60" i="3" s="1"/>
  <c r="N31" i="6"/>
  <c r="N32" i="6" s="1"/>
  <c r="N29" i="4"/>
  <c r="Q121" i="6"/>
  <c r="V121" i="6" s="1"/>
  <c r="AA121" i="6" s="1"/>
  <c r="AF121" i="6" s="1"/>
  <c r="AK121" i="6" s="1"/>
  <c r="AP121" i="6" s="1"/>
  <c r="AU121" i="6" s="1"/>
  <c r="AZ121" i="6" s="1"/>
  <c r="BE121" i="6" s="1"/>
  <c r="BJ121" i="6" s="1"/>
  <c r="BO121" i="6" s="1"/>
  <c r="Q119" i="6"/>
  <c r="V119" i="6" s="1"/>
  <c r="AA119" i="6" s="1"/>
  <c r="AF119" i="6" s="1"/>
  <c r="AK119" i="6" s="1"/>
  <c r="AP119" i="6" s="1"/>
  <c r="AU119" i="6" s="1"/>
  <c r="AZ119" i="6" s="1"/>
  <c r="BE119" i="6" s="1"/>
  <c r="BJ119" i="6" s="1"/>
  <c r="BO119" i="6" s="1"/>
  <c r="Q118" i="6"/>
  <c r="W147" i="6"/>
  <c r="W68" i="6" s="1"/>
  <c r="R147" i="6"/>
  <c r="R68" i="6" s="1"/>
  <c r="J71" i="6"/>
  <c r="J42" i="6"/>
  <c r="J46" i="6" s="1"/>
  <c r="J70" i="6"/>
  <c r="AJ115" i="6"/>
  <c r="AK115" i="6"/>
  <c r="AI115" i="6"/>
  <c r="AM135" i="6"/>
  <c r="AM136" i="6" s="1"/>
  <c r="AU146" i="5"/>
  <c r="L90" i="7"/>
  <c r="L111" i="7" s="1"/>
  <c r="Q112" i="7" s="1"/>
  <c r="M89" i="7"/>
  <c r="M90" i="7" s="1"/>
  <c r="M111" i="7" s="1"/>
  <c r="AS25" i="3"/>
  <c r="AI100" i="5"/>
  <c r="AI60" i="5" s="1"/>
  <c r="AI102" i="5"/>
  <c r="AB40" i="4"/>
  <c r="AB46" i="4"/>
  <c r="U43" i="7"/>
  <c r="U47" i="7" s="1"/>
  <c r="U75" i="7"/>
  <c r="U74" i="7"/>
  <c r="BA79" i="4"/>
  <c r="BA80" i="4" s="1"/>
  <c r="BA152" i="4" s="1"/>
  <c r="DI41" i="3"/>
  <c r="AL64" i="9"/>
  <c r="DD64" i="3"/>
  <c r="O158" i="4"/>
  <c r="O67" i="9"/>
  <c r="O66" i="9" s="1"/>
  <c r="M32" i="5"/>
  <c r="M26" i="4"/>
  <c r="S252" i="5"/>
  <c r="S259" i="5" s="1"/>
  <c r="S25" i="3"/>
  <c r="I10" i="3"/>
  <c r="G269" i="5"/>
  <c r="I269" i="5" s="1"/>
  <c r="G93" i="4"/>
  <c r="G98" i="4" s="1"/>
  <c r="R32" i="7"/>
  <c r="R33" i="7" s="1"/>
  <c r="R27" i="4"/>
  <c r="AL32" i="7"/>
  <c r="AL33" i="7" s="1"/>
  <c r="AL27" i="4"/>
  <c r="AL26" i="3" s="1"/>
  <c r="U262" i="7"/>
  <c r="X262" i="7" s="1"/>
  <c r="U94" i="4"/>
  <c r="AO262" i="7"/>
  <c r="AR262" i="7" s="1"/>
  <c r="AO94" i="4"/>
  <c r="AO98" i="4" s="1"/>
  <c r="BI122" i="4"/>
  <c r="M223" i="8"/>
  <c r="N223" i="8" s="1"/>
  <c r="N226" i="8" s="1"/>
  <c r="M226" i="8" s="1"/>
  <c r="M95" i="4"/>
  <c r="R31" i="6"/>
  <c r="R32" i="6" s="1"/>
  <c r="AZ200" i="6"/>
  <c r="BA200" i="6" s="1"/>
  <c r="AY139" i="4"/>
  <c r="BJ200" i="6"/>
  <c r="BK200" i="6" s="1"/>
  <c r="BI139" i="4"/>
  <c r="BJ124" i="4"/>
  <c r="BK20" i="9"/>
  <c r="BF35" i="4"/>
  <c r="T22" i="9"/>
  <c r="T27" i="9" s="1"/>
  <c r="T31" i="9" s="1"/>
  <c r="T35" i="9" s="1"/>
  <c r="T30" i="4"/>
  <c r="T29" i="3" s="1"/>
  <c r="BL183" i="6"/>
  <c r="M39" i="4"/>
  <c r="M20" i="9"/>
  <c r="O58" i="9"/>
  <c r="CG41" i="3"/>
  <c r="W144" i="4"/>
  <c r="W145" i="4" s="1"/>
  <c r="W62" i="9" s="1"/>
  <c r="W61" i="9" s="1"/>
  <c r="CP58" i="3"/>
  <c r="AN67" i="9"/>
  <c r="AN66" i="9" s="1"/>
  <c r="Z58" i="9"/>
  <c r="CR41" i="3"/>
  <c r="F67" i="9"/>
  <c r="F66" i="9" s="1"/>
  <c r="AE62" i="9"/>
  <c r="AE61" i="9" s="1"/>
  <c r="CS41" i="3"/>
  <c r="AF62" i="9"/>
  <c r="AF61" i="9" s="1"/>
  <c r="W32" i="5"/>
  <c r="W26" i="4"/>
  <c r="W18" i="5"/>
  <c r="W8" i="9"/>
  <c r="W10" i="9" s="1"/>
  <c r="AX98" i="4"/>
  <c r="AX142" i="4" s="1"/>
  <c r="BA209" i="5"/>
  <c r="BA138" i="4" s="1"/>
  <c r="AZ138" i="4"/>
  <c r="AZ121" i="4"/>
  <c r="BD153" i="4"/>
  <c r="BK210" i="5"/>
  <c r="BK139" i="4" s="1"/>
  <c r="BJ139" i="4"/>
  <c r="AE22" i="9"/>
  <c r="AE30" i="4"/>
  <c r="AE29" i="3" s="1"/>
  <c r="AP62" i="9"/>
  <c r="AP61" i="9" s="1"/>
  <c r="W104" i="4"/>
  <c r="W65" i="9"/>
  <c r="W50" i="9" s="1"/>
  <c r="CO65" i="3"/>
  <c r="AJ62" i="9"/>
  <c r="AJ61" i="9" s="1"/>
  <c r="AI146" i="5"/>
  <c r="Q243" i="5"/>
  <c r="Q280" i="5" s="1"/>
  <c r="Q257" i="5"/>
  <c r="Q258" i="5"/>
  <c r="Q246" i="5"/>
  <c r="X205" i="8"/>
  <c r="X218" i="8" s="1"/>
  <c r="X31" i="8"/>
  <c r="AM30" i="4"/>
  <c r="AC31" i="6"/>
  <c r="AC32" i="6" s="1"/>
  <c r="AC29" i="4"/>
  <c r="AL213" i="6"/>
  <c r="AL124" i="4"/>
  <c r="AG15" i="6"/>
  <c r="AG17" i="6" s="1"/>
  <c r="AG105" i="6"/>
  <c r="AA31" i="6"/>
  <c r="AA29" i="4"/>
  <c r="AA28" i="3" s="1"/>
  <c r="J25" i="8"/>
  <c r="J31" i="8"/>
  <c r="X245" i="7"/>
  <c r="X252" i="7" s="1"/>
  <c r="X26" i="3"/>
  <c r="T43" i="7"/>
  <c r="T75" i="7"/>
  <c r="E43" i="7"/>
  <c r="E74" i="7"/>
  <c r="AK43" i="7"/>
  <c r="AK74" i="7"/>
  <c r="AK75" i="7"/>
  <c r="AQ39" i="4"/>
  <c r="AS234" i="4" s="1"/>
  <c r="AS247" i="4" s="1"/>
  <c r="AQ20" i="9"/>
  <c r="AU40" i="4"/>
  <c r="R229" i="7"/>
  <c r="F233" i="7"/>
  <c r="F239" i="7"/>
  <c r="F251" i="7"/>
  <c r="N58" i="3"/>
  <c r="G40" i="4"/>
  <c r="G46" i="4"/>
  <c r="AL58" i="9"/>
  <c r="DD41" i="3"/>
  <c r="AK158" i="4"/>
  <c r="DC41" i="3"/>
  <c r="M104" i="4"/>
  <c r="M65" i="9"/>
  <c r="M50" i="9" s="1"/>
  <c r="CE65" i="3"/>
  <c r="K140" i="4"/>
  <c r="K56" i="9"/>
  <c r="CU60" i="3"/>
  <c r="CU68" i="3" s="1"/>
  <c r="W257" i="4"/>
  <c r="W36" i="9"/>
  <c r="AW46" i="3"/>
  <c r="CY41" i="3"/>
  <c r="M64" i="9"/>
  <c r="M49" i="9" s="1"/>
  <c r="CE64" i="3"/>
  <c r="AG104" i="4"/>
  <c r="AG65" i="9"/>
  <c r="AG50" i="9" s="1"/>
  <c r="CY65" i="3"/>
  <c r="P58" i="9"/>
  <c r="CH41" i="3"/>
  <c r="E158" i="4"/>
  <c r="E161" i="4" s="1"/>
  <c r="F159" i="4" s="1"/>
  <c r="E58" i="9"/>
  <c r="AI158" i="4"/>
  <c r="AI58" i="9"/>
  <c r="DA41" i="3"/>
  <c r="R145" i="4"/>
  <c r="R62" i="9" s="1"/>
  <c r="R60" i="9"/>
  <c r="R97" i="4" s="1"/>
  <c r="R64" i="9"/>
  <c r="R49" i="9" s="1"/>
  <c r="CJ64" i="3"/>
  <c r="AX183" i="4"/>
  <c r="T32" i="5"/>
  <c r="T26" i="4"/>
  <c r="AR252" i="5"/>
  <c r="AR259" i="5" s="1"/>
  <c r="AR25" i="3"/>
  <c r="AE32" i="5"/>
  <c r="AE26" i="4"/>
  <c r="AG211" i="5"/>
  <c r="AG225" i="5" s="1"/>
  <c r="O269" i="5"/>
  <c r="O93" i="4"/>
  <c r="W269" i="5"/>
  <c r="X269" i="5" s="1"/>
  <c r="W93" i="4"/>
  <c r="W98" i="4" s="1"/>
  <c r="F228" i="5"/>
  <c r="G226" i="5" s="1"/>
  <c r="G228" i="5" s="1"/>
  <c r="H226" i="5" s="1"/>
  <c r="AI225" i="5"/>
  <c r="AI62" i="9"/>
  <c r="AI61" i="9" s="1"/>
  <c r="BA215" i="5"/>
  <c r="W32" i="7"/>
  <c r="W244" i="7" s="1"/>
  <c r="W257" i="7" s="1"/>
  <c r="W27" i="4"/>
  <c r="W26" i="3" s="1"/>
  <c r="AQ32" i="7"/>
  <c r="AU244" i="7" s="1"/>
  <c r="AU257" i="7" s="1"/>
  <c r="AQ27" i="4"/>
  <c r="AQ26" i="3" s="1"/>
  <c r="L112" i="7"/>
  <c r="Y262" i="7"/>
  <c r="AC262" i="7" s="1"/>
  <c r="Y94" i="4"/>
  <c r="AA216" i="7"/>
  <c r="BJ169" i="8"/>
  <c r="BJ144" i="4" s="1"/>
  <c r="BE169" i="8"/>
  <c r="BD144" i="4"/>
  <c r="Y223" i="8"/>
  <c r="AC223" i="8" s="1"/>
  <c r="Y95" i="4"/>
  <c r="AK223" i="8"/>
  <c r="AM223" i="8" s="1"/>
  <c r="AK95" i="4"/>
  <c r="BI36" i="4"/>
  <c r="M31" i="6"/>
  <c r="M32" i="6" s="1"/>
  <c r="M29" i="4"/>
  <c r="M28" i="3" s="1"/>
  <c r="AG215" i="6"/>
  <c r="AL215" i="6"/>
  <c r="BE199" i="6"/>
  <c r="BD138" i="4"/>
  <c r="AG213" i="6"/>
  <c r="AG124" i="4"/>
  <c r="P30" i="4"/>
  <c r="P32" i="4" s="1"/>
  <c r="AF22" i="9"/>
  <c r="AF27" i="9" s="1"/>
  <c r="AF31" i="9" s="1"/>
  <c r="AF30" i="4"/>
  <c r="AO18" i="9"/>
  <c r="E22" i="9"/>
  <c r="E27" i="9" s="1"/>
  <c r="E31" i="9" s="1"/>
  <c r="E35" i="9" s="1"/>
  <c r="P66" i="10"/>
  <c r="AI66" i="10"/>
  <c r="R66" i="10"/>
  <c r="R77" i="10" s="1"/>
  <c r="AQ94" i="10"/>
  <c r="BC75" i="10"/>
  <c r="BE192" i="5" s="1"/>
  <c r="BE218" i="5" s="1"/>
  <c r="BE105" i="10"/>
  <c r="BG183" i="6"/>
  <c r="BD139" i="10"/>
  <c r="BF185" i="7" s="1"/>
  <c r="BF211" i="7" s="1"/>
  <c r="X139" i="10"/>
  <c r="AG156" i="10"/>
  <c r="BE167" i="10"/>
  <c r="N165" i="10"/>
  <c r="R39" i="4"/>
  <c r="R20" i="9"/>
  <c r="W140" i="4"/>
  <c r="AQ144" i="4"/>
  <c r="AQ145" i="4" s="1"/>
  <c r="AQ62" i="9" s="1"/>
  <c r="AQ61" i="9" s="1"/>
  <c r="DJ58" i="3"/>
  <c r="AQ103" i="4"/>
  <c r="AQ64" i="9"/>
  <c r="DI64" i="3"/>
  <c r="AD158" i="4"/>
  <c r="AD58" i="9"/>
  <c r="CV41" i="3"/>
  <c r="AN58" i="9"/>
  <c r="DF41" i="3"/>
  <c r="H257" i="4"/>
  <c r="H36" i="9"/>
  <c r="AM62" i="9"/>
  <c r="AM61" i="9" s="1"/>
  <c r="AJ67" i="9"/>
  <c r="AJ66" i="9" s="1"/>
  <c r="U115" i="5"/>
  <c r="R24" i="5"/>
  <c r="R26" i="5" s="1"/>
  <c r="R9" i="9"/>
  <c r="R16" i="9" s="1"/>
  <c r="P67" i="9"/>
  <c r="P66" i="9" s="1"/>
  <c r="BA210" i="5"/>
  <c r="BA153" i="4"/>
  <c r="DS67" i="3" s="1"/>
  <c r="BJ121" i="4"/>
  <c r="AA246" i="5"/>
  <c r="AP78" i="8"/>
  <c r="AP99" i="8" s="1"/>
  <c r="AQ77" i="8"/>
  <c r="X206" i="8"/>
  <c r="X213" i="8" s="1"/>
  <c r="X27" i="3"/>
  <c r="O22" i="9"/>
  <c r="O30" i="4"/>
  <c r="O32" i="4" s="1"/>
  <c r="AH67" i="9"/>
  <c r="AH66" i="9" s="1"/>
  <c r="AH10" i="9"/>
  <c r="AH16" i="9"/>
  <c r="AH18" i="9" s="1"/>
  <c r="J122" i="6"/>
  <c r="J121" i="6"/>
  <c r="DG161" i="10"/>
  <c r="DK161" i="10"/>
  <c r="AL9" i="9"/>
  <c r="AL16" i="9" s="1"/>
  <c r="AL18" i="9" s="1"/>
  <c r="AL24" i="5"/>
  <c r="BI45" i="5"/>
  <c r="BD33" i="9"/>
  <c r="AO31" i="6"/>
  <c r="AO29" i="4"/>
  <c r="AO28" i="3" s="1"/>
  <c r="P42" i="6"/>
  <c r="P70" i="6"/>
  <c r="P71" i="6"/>
  <c r="AT31" i="8"/>
  <c r="AT25" i="8"/>
  <c r="E124" i="5"/>
  <c r="E126" i="5" s="1"/>
  <c r="E128" i="5"/>
  <c r="N50" i="4"/>
  <c r="N54" i="4" s="1"/>
  <c r="N56" i="4" s="1"/>
  <c r="N63" i="4" s="1"/>
  <c r="N8" i="2" s="1"/>
  <c r="N117" i="4"/>
  <c r="AD49" i="9"/>
  <c r="AD128" i="4"/>
  <c r="AN49" i="9"/>
  <c r="AN128" i="4"/>
  <c r="AB36" i="9"/>
  <c r="AB257" i="4"/>
  <c r="AH50" i="4"/>
  <c r="AH54" i="4" s="1"/>
  <c r="AH116" i="4"/>
  <c r="AH256" i="4" s="1"/>
  <c r="AH117" i="4"/>
  <c r="AH61" i="3" s="1"/>
  <c r="R257" i="4"/>
  <c r="R32" i="9"/>
  <c r="DK41" i="3"/>
  <c r="AG64" i="9"/>
  <c r="CY64" i="3"/>
  <c r="CT41" i="3"/>
  <c r="T158" i="4"/>
  <c r="T58" i="9"/>
  <c r="CL41" i="3"/>
  <c r="U158" i="4"/>
  <c r="CM41" i="3"/>
  <c r="Q158" i="4"/>
  <c r="CI41" i="3"/>
  <c r="AK62" i="9"/>
  <c r="AK61" i="9" s="1"/>
  <c r="AL104" i="4"/>
  <c r="AL65" i="9"/>
  <c r="AL50" i="9" s="1"/>
  <c r="DD65" i="3"/>
  <c r="AI67" i="9"/>
  <c r="AI66" i="9" s="1"/>
  <c r="Y32" i="5"/>
  <c r="Y39" i="5" s="1"/>
  <c r="Y26" i="4"/>
  <c r="AM252" i="5"/>
  <c r="AM259" i="5" s="1"/>
  <c r="AM25" i="3"/>
  <c r="AE269" i="5"/>
  <c r="AH269" i="5" s="1"/>
  <c r="AE93" i="4"/>
  <c r="DM225" i="5"/>
  <c r="Y223" i="5"/>
  <c r="Y121" i="4"/>
  <c r="AI269" i="5"/>
  <c r="AM269" i="5" s="1"/>
  <c r="AI93" i="4"/>
  <c r="AI98" i="4" s="1"/>
  <c r="Z223" i="5"/>
  <c r="Z225" i="5" s="1"/>
  <c r="Z121" i="4"/>
  <c r="BT22" i="4"/>
  <c r="BF215" i="5"/>
  <c r="BE144" i="4"/>
  <c r="Q223" i="5"/>
  <c r="Q67" i="9" s="1"/>
  <c r="Q66" i="9" s="1"/>
  <c r="AK223" i="5"/>
  <c r="CY223" i="5"/>
  <c r="H32" i="7"/>
  <c r="K244" i="7" s="1"/>
  <c r="K257" i="7" s="1"/>
  <c r="H27" i="4"/>
  <c r="AB32" i="7"/>
  <c r="AB33" i="7" s="1"/>
  <c r="AB27" i="4"/>
  <c r="AB26" i="3" s="1"/>
  <c r="BB45" i="7"/>
  <c r="BG98" i="7"/>
  <c r="AB216" i="7"/>
  <c r="AB122" i="4"/>
  <c r="M262" i="7"/>
  <c r="N262" i="7" s="1"/>
  <c r="M94" i="4"/>
  <c r="M98" i="4" s="1"/>
  <c r="AG262" i="7"/>
  <c r="AG94" i="4"/>
  <c r="AG98" i="4" s="1"/>
  <c r="AK216" i="7"/>
  <c r="AK218" i="7" s="1"/>
  <c r="AK122" i="4"/>
  <c r="AZ215" i="7"/>
  <c r="AY153" i="4"/>
  <c r="BE214" i="7"/>
  <c r="BD122" i="4"/>
  <c r="M100" i="8"/>
  <c r="AG100" i="8"/>
  <c r="CO165" i="8"/>
  <c r="CX179" i="8"/>
  <c r="DR179" i="8"/>
  <c r="DX179" i="8"/>
  <c r="Y177" i="8"/>
  <c r="AQ177" i="8"/>
  <c r="AQ123" i="4"/>
  <c r="AL179" i="8"/>
  <c r="Q223" i="8"/>
  <c r="Q95" i="4"/>
  <c r="AJ191" i="8"/>
  <c r="H31" i="6"/>
  <c r="H38" i="6" s="1"/>
  <c r="AL31" i="6"/>
  <c r="AL32" i="6" s="1"/>
  <c r="AL29" i="4"/>
  <c r="AL28" i="3" s="1"/>
  <c r="F120" i="6"/>
  <c r="F123" i="6" s="1"/>
  <c r="F127" i="6" s="1"/>
  <c r="CO215" i="6"/>
  <c r="CO218" i="6" s="1"/>
  <c r="EA215" i="6"/>
  <c r="AO215" i="6"/>
  <c r="BE200" i="6"/>
  <c r="BF200" i="6" s="1"/>
  <c r="BD139" i="4"/>
  <c r="DS215" i="6"/>
  <c r="BA124" i="4"/>
  <c r="M213" i="6"/>
  <c r="M215" i="6" s="1"/>
  <c r="CP215" i="6"/>
  <c r="I215" i="6" s="1"/>
  <c r="I218" i="6" s="1"/>
  <c r="J216" i="6" s="1"/>
  <c r="AX16" i="9"/>
  <c r="AS30" i="4"/>
  <c r="AS32" i="4" s="1"/>
  <c r="DK32" i="10"/>
  <c r="AV75" i="10"/>
  <c r="AX192" i="5" s="1"/>
  <c r="AX218" i="5" s="1"/>
  <c r="BA75" i="10"/>
  <c r="BC192" i="5" s="1"/>
  <c r="BC218" i="5" s="1"/>
  <c r="P94" i="10"/>
  <c r="AF11" i="10"/>
  <c r="BC94" i="10"/>
  <c r="BX11" i="10"/>
  <c r="T130" i="10"/>
  <c r="W139" i="10"/>
  <c r="U139" i="10"/>
  <c r="T139" i="10"/>
  <c r="Y139" i="10"/>
  <c r="BB139" i="10"/>
  <c r="BD185" i="7" s="1"/>
  <c r="BD211" i="7" s="1"/>
  <c r="AC156" i="10"/>
  <c r="W165" i="10"/>
  <c r="BD165" i="10"/>
  <c r="BF146" i="8" s="1"/>
  <c r="BF172" i="8" s="1"/>
  <c r="AX165" i="10"/>
  <c r="AZ146" i="8" s="1"/>
  <c r="AZ172" i="8" s="1"/>
  <c r="BC165" i="10"/>
  <c r="BE146" i="8" s="1"/>
  <c r="BE172" i="8" s="1"/>
  <c r="AC182" i="10"/>
  <c r="W25" i="9"/>
  <c r="AQ104" i="4"/>
  <c r="AQ65" i="9"/>
  <c r="AQ50" i="9" s="1"/>
  <c r="DI65" i="3"/>
  <c r="AW40" i="3"/>
  <c r="AW43" i="3" s="1"/>
  <c r="AE58" i="9"/>
  <c r="CW41" i="3"/>
  <c r="R58" i="9"/>
  <c r="CJ41" i="3"/>
  <c r="AP58" i="9"/>
  <c r="DH41" i="3"/>
  <c r="Z62" i="9"/>
  <c r="Z61" i="9" s="1"/>
  <c r="AE67" i="9"/>
  <c r="AE66" i="9" s="1"/>
  <c r="K67" i="9"/>
  <c r="K66" i="9" s="1"/>
  <c r="H185" i="4"/>
  <c r="J211" i="4"/>
  <c r="N209" i="4"/>
  <c r="U252" i="4"/>
  <c r="CM63" i="3"/>
  <c r="BF45" i="5"/>
  <c r="BA33" i="9"/>
  <c r="BB33" i="9" s="1"/>
  <c r="I252" i="5"/>
  <c r="I25" i="3"/>
  <c r="BF209" i="5"/>
  <c r="BE138" i="4"/>
  <c r="BK209" i="5"/>
  <c r="AE257" i="5"/>
  <c r="AE258" i="5"/>
  <c r="V22" i="9"/>
  <c r="V23" i="9" s="1"/>
  <c r="V30" i="4"/>
  <c r="V29" i="3" s="1"/>
  <c r="AF62" i="3"/>
  <c r="AK62" i="3"/>
  <c r="AT62" i="3"/>
  <c r="AL146" i="5"/>
  <c r="AL28" i="4"/>
  <c r="AL27" i="3" s="1"/>
  <c r="AL24" i="8"/>
  <c r="AX127" i="10"/>
  <c r="AX130" i="10" s="1"/>
  <c r="AZ130" i="10"/>
  <c r="BB186" i="7" s="1"/>
  <c r="AS35" i="8"/>
  <c r="AS39" i="8" s="1"/>
  <c r="L235" i="6"/>
  <c r="L248" i="6" s="1"/>
  <c r="L236" i="6"/>
  <c r="V142" i="5"/>
  <c r="AA142" i="5"/>
  <c r="AM10" i="9"/>
  <c r="BC58" i="8"/>
  <c r="BC105" i="8" s="1"/>
  <c r="BD105" i="8"/>
  <c r="BJ45" i="5"/>
  <c r="BE33" i="9"/>
  <c r="T89" i="5"/>
  <c r="T110" i="5" s="1"/>
  <c r="W88" i="5"/>
  <c r="W236" i="5"/>
  <c r="X245" i="5"/>
  <c r="J117" i="4"/>
  <c r="J116" i="4"/>
  <c r="J50" i="4"/>
  <c r="J54" i="4" s="1"/>
  <c r="H9" i="9"/>
  <c r="H18" i="4"/>
  <c r="AC49" i="9"/>
  <c r="AC128" i="4"/>
  <c r="AR49" i="9"/>
  <c r="AR128" i="4"/>
  <c r="AC220" i="4"/>
  <c r="AC228" i="4"/>
  <c r="AC242" i="4"/>
  <c r="CU24" i="3" s="1"/>
  <c r="AQ142" i="5"/>
  <c r="AQ146" i="5"/>
  <c r="L25" i="3"/>
  <c r="V25" i="3"/>
  <c r="J40" i="4"/>
  <c r="X67" i="3"/>
  <c r="O40" i="4"/>
  <c r="O46" i="4"/>
  <c r="M24" i="8"/>
  <c r="M31" i="8" s="1"/>
  <c r="M28" i="4"/>
  <c r="M27" i="3" s="1"/>
  <c r="AM206" i="8"/>
  <c r="AM213" i="8" s="1"/>
  <c r="AM27" i="3"/>
  <c r="AR206" i="8"/>
  <c r="AR213" i="8" s="1"/>
  <c r="AR27" i="3"/>
  <c r="AQ24" i="8"/>
  <c r="AU205" i="8" s="1"/>
  <c r="AU218" i="8" s="1"/>
  <c r="AQ28" i="4"/>
  <c r="AQ27" i="3" s="1"/>
  <c r="AH206" i="8"/>
  <c r="AH213" i="8" s="1"/>
  <c r="AH27" i="3"/>
  <c r="S206" i="8"/>
  <c r="S213" i="8" s="1"/>
  <c r="S27" i="3"/>
  <c r="W29" i="4"/>
  <c r="W28" i="3" s="1"/>
  <c r="K30" i="4"/>
  <c r="K29" i="3" s="1"/>
  <c r="BX105" i="10"/>
  <c r="BS105" i="10"/>
  <c r="BX141" i="10"/>
  <c r="CT182" i="10"/>
  <c r="L67" i="9"/>
  <c r="L66" i="9" s="1"/>
  <c r="AD61" i="3"/>
  <c r="V62" i="3"/>
  <c r="AD62" i="3"/>
  <c r="R269" i="5"/>
  <c r="R93" i="4"/>
  <c r="Z204" i="7"/>
  <c r="AB24" i="8"/>
  <c r="AD205" i="8" s="1"/>
  <c r="AD218" i="8" s="1"/>
  <c r="AB28" i="4"/>
  <c r="AB27" i="3" s="1"/>
  <c r="I31" i="6"/>
  <c r="I32" i="6" s="1"/>
  <c r="I249" i="6" s="1"/>
  <c r="I29" i="4"/>
  <c r="AF213" i="6"/>
  <c r="AF215" i="6" s="1"/>
  <c r="AF124" i="4"/>
  <c r="BR105" i="10"/>
  <c r="E35" i="8"/>
  <c r="E39" i="8" s="1"/>
  <c r="E63" i="8"/>
  <c r="BI68" i="6"/>
  <c r="BJ147" i="6"/>
  <c r="BJ146" i="6" s="1"/>
  <c r="AK136" i="6"/>
  <c r="AP136" i="6"/>
  <c r="F25" i="8"/>
  <c r="F31" i="8"/>
  <c r="S32" i="7"/>
  <c r="S27" i="4"/>
  <c r="AJ31" i="6"/>
  <c r="AJ29" i="4"/>
  <c r="AJ28" i="3" s="1"/>
  <c r="O194" i="8"/>
  <c r="O211" i="8"/>
  <c r="AQ102" i="5"/>
  <c r="AX10" i="9"/>
  <c r="K43" i="7"/>
  <c r="K47" i="7" s="1"/>
  <c r="K138" i="7"/>
  <c r="BD71" i="5"/>
  <c r="BE156" i="5"/>
  <c r="BE155" i="5" s="1"/>
  <c r="BJ155" i="5" s="1"/>
  <c r="S50" i="4"/>
  <c r="S54" i="4" s="1"/>
  <c r="D8" i="20"/>
  <c r="D17" i="20" s="1"/>
  <c r="S116" i="4"/>
  <c r="S256" i="4" s="1"/>
  <c r="S117" i="4"/>
  <c r="D34" i="20" s="1"/>
  <c r="AC50" i="4"/>
  <c r="AC54" i="4" s="1"/>
  <c r="D30" i="20"/>
  <c r="AC116" i="4"/>
  <c r="AC256" i="4" s="1"/>
  <c r="AC117" i="4"/>
  <c r="K111" i="5"/>
  <c r="BD20" i="9"/>
  <c r="AY35" i="4"/>
  <c r="Q36" i="9"/>
  <c r="Q257" i="4"/>
  <c r="AE42" i="6"/>
  <c r="AE46" i="6" s="1"/>
  <c r="AE70" i="6"/>
  <c r="AE71" i="6"/>
  <c r="AD43" i="7"/>
  <c r="AD47" i="7" s="1"/>
  <c r="AD74" i="7"/>
  <c r="AD75" i="7"/>
  <c r="AC245" i="7"/>
  <c r="AC26" i="3"/>
  <c r="AC243" i="7"/>
  <c r="AC256" i="7" s="1"/>
  <c r="AC247" i="7"/>
  <c r="AG39" i="4"/>
  <c r="AJ234" i="4" s="1"/>
  <c r="AJ247" i="4" s="1"/>
  <c r="AG20" i="9"/>
  <c r="BE20" i="9"/>
  <c r="AZ35" i="4"/>
  <c r="Z50" i="4"/>
  <c r="Z54" i="4" s="1"/>
  <c r="Z116" i="4"/>
  <c r="Z256" i="4" s="1"/>
  <c r="Z117" i="4"/>
  <c r="Z61" i="3" s="1"/>
  <c r="AS50" i="4"/>
  <c r="AS54" i="4" s="1"/>
  <c r="AS251" i="4" s="1"/>
  <c r="AS61" i="3"/>
  <c r="AD26" i="5"/>
  <c r="AD18" i="5"/>
  <c r="F32" i="5"/>
  <c r="F26" i="4"/>
  <c r="I40" i="4"/>
  <c r="I235" i="4" s="1"/>
  <c r="I234" i="4"/>
  <c r="I247" i="4" s="1"/>
  <c r="CA29" i="3" s="1"/>
  <c r="AF40" i="4"/>
  <c r="AF46" i="4"/>
  <c r="AR50" i="4"/>
  <c r="AR54" i="4" s="1"/>
  <c r="AR116" i="4"/>
  <c r="AR256" i="4" s="1"/>
  <c r="AR117" i="4"/>
  <c r="AR61" i="3" s="1"/>
  <c r="BI113" i="4"/>
  <c r="BJ191" i="6"/>
  <c r="BJ155" i="8"/>
  <c r="BJ194" i="7"/>
  <c r="AQ55" i="9"/>
  <c r="X49" i="9"/>
  <c r="X128" i="4"/>
  <c r="AF49" i="9"/>
  <c r="AF128" i="4"/>
  <c r="AP49" i="9"/>
  <c r="AP128" i="4"/>
  <c r="AO62" i="3"/>
  <c r="S40" i="4"/>
  <c r="S235" i="4" s="1"/>
  <c r="S242" i="4" s="1"/>
  <c r="CK24" i="3" s="1"/>
  <c r="S234" i="4"/>
  <c r="S247" i="4" s="1"/>
  <c r="CK29" i="3" s="1"/>
  <c r="F50" i="4"/>
  <c r="F54" i="4" s="1"/>
  <c r="F116" i="4"/>
  <c r="F117" i="4"/>
  <c r="AM39" i="4"/>
  <c r="AM20" i="9"/>
  <c r="AM22" i="9" s="1"/>
  <c r="G32" i="5"/>
  <c r="G26" i="4"/>
  <c r="Q32" i="5"/>
  <c r="Q26" i="4"/>
  <c r="AI116" i="4"/>
  <c r="AI256" i="4" s="1"/>
  <c r="AI117" i="4"/>
  <c r="AI61" i="3" s="1"/>
  <c r="AI50" i="4"/>
  <c r="AI54" i="4" s="1"/>
  <c r="BD113" i="4"/>
  <c r="BE191" i="6"/>
  <c r="BE155" i="8"/>
  <c r="BE194" i="7"/>
  <c r="AA49" i="9"/>
  <c r="AA128" i="4"/>
  <c r="AJ49" i="9"/>
  <c r="AJ128" i="4"/>
  <c r="H74" i="4"/>
  <c r="H253" i="4"/>
  <c r="U62" i="3"/>
  <c r="BE9" i="9"/>
  <c r="AZ15" i="4"/>
  <c r="Z40" i="4"/>
  <c r="AB234" i="4"/>
  <c r="AB247" i="4" s="1"/>
  <c r="AD234" i="4"/>
  <c r="AD247" i="4" s="1"/>
  <c r="J75" i="7"/>
  <c r="J43" i="7"/>
  <c r="J74" i="7"/>
  <c r="Z112" i="7"/>
  <c r="Z115" i="5"/>
  <c r="AG24" i="8"/>
  <c r="AI205" i="8" s="1"/>
  <c r="AI218" i="8" s="1"/>
  <c r="AG28" i="4"/>
  <c r="AG27" i="3" s="1"/>
  <c r="J100" i="8"/>
  <c r="AD177" i="8"/>
  <c r="AD67" i="9" s="1"/>
  <c r="AD66" i="9" s="1"/>
  <c r="AD123" i="4"/>
  <c r="AQ223" i="8"/>
  <c r="AQ95" i="4"/>
  <c r="AQ98" i="4" s="1"/>
  <c r="K201" i="6"/>
  <c r="J22" i="9"/>
  <c r="J30" i="4"/>
  <c r="Z18" i="9"/>
  <c r="AP22" i="9"/>
  <c r="AP30" i="4"/>
  <c r="AP29" i="3" s="1"/>
  <c r="S22" i="9"/>
  <c r="S30" i="4"/>
  <c r="BU105" i="10"/>
  <c r="CH167" i="10"/>
  <c r="AB65" i="9"/>
  <c r="AB50" i="9" s="1"/>
  <c r="CT65" i="3"/>
  <c r="Z62" i="3"/>
  <c r="AN61" i="3"/>
  <c r="AN62" i="3"/>
  <c r="AS62" i="3"/>
  <c r="H32" i="5"/>
  <c r="H26" i="4"/>
  <c r="AT115" i="5"/>
  <c r="DL215" i="6"/>
  <c r="CL182" i="10"/>
  <c r="AI31" i="6"/>
  <c r="AI29" i="4"/>
  <c r="AI28" i="3" s="1"/>
  <c r="Z31" i="6"/>
  <c r="BC66" i="6"/>
  <c r="BC141" i="6" s="1"/>
  <c r="BD141" i="6"/>
  <c r="V25" i="8"/>
  <c r="V31" i="8"/>
  <c r="BC67" i="6"/>
  <c r="BC144" i="6" s="1"/>
  <c r="BD144" i="6"/>
  <c r="Y62" i="8"/>
  <c r="V235" i="6"/>
  <c r="V236" i="6" s="1"/>
  <c r="AU42" i="6"/>
  <c r="AU46" i="6" s="1"/>
  <c r="AG138" i="8"/>
  <c r="AH137" i="8"/>
  <c r="AH138" i="8" s="1"/>
  <c r="AP32" i="7"/>
  <c r="AP27" i="4"/>
  <c r="AZ153" i="4"/>
  <c r="DR67" i="3" s="1"/>
  <c r="AR245" i="7"/>
  <c r="AR252" i="7" s="1"/>
  <c r="K25" i="3"/>
  <c r="BH33" i="9"/>
  <c r="AX71" i="5"/>
  <c r="AX156" i="5" s="1"/>
  <c r="AX155" i="5" s="1"/>
  <c r="AX23" i="5" s="1"/>
  <c r="AY156" i="5"/>
  <c r="AY155" i="5" s="1"/>
  <c r="M236" i="5"/>
  <c r="N245" i="5"/>
  <c r="BC20" i="9"/>
  <c r="AX35" i="4"/>
  <c r="AK50" i="4"/>
  <c r="AK54" i="4" s="1"/>
  <c r="AK116" i="4"/>
  <c r="AK256" i="4" s="1"/>
  <c r="AK117" i="4"/>
  <c r="AK61" i="3" s="1"/>
  <c r="L74" i="7"/>
  <c r="L75" i="7"/>
  <c r="L43" i="7"/>
  <c r="L47" i="7" s="1"/>
  <c r="AA25" i="3"/>
  <c r="AS146" i="5"/>
  <c r="U50" i="4"/>
  <c r="U54" i="4" s="1"/>
  <c r="U116" i="4"/>
  <c r="U117" i="4"/>
  <c r="U61" i="3" s="1"/>
  <c r="AT43" i="7"/>
  <c r="AT47" i="7" s="1"/>
  <c r="AB9" i="9"/>
  <c r="AB16" i="9" s="1"/>
  <c r="AB18" i="9" s="1"/>
  <c r="AB18" i="4"/>
  <c r="H39" i="4"/>
  <c r="K234" i="4" s="1"/>
  <c r="K247" i="4" s="1"/>
  <c r="H20" i="9"/>
  <c r="AK40" i="4"/>
  <c r="AB49" i="9"/>
  <c r="AK49" i="9"/>
  <c r="AK128" i="4"/>
  <c r="N40" i="4"/>
  <c r="N235" i="4" s="1"/>
  <c r="N242" i="4" s="1"/>
  <c r="CF24" i="3" s="1"/>
  <c r="N234" i="4"/>
  <c r="N247" i="4" s="1"/>
  <c r="CF29" i="3" s="1"/>
  <c r="E40" i="4"/>
  <c r="H234" i="4"/>
  <c r="H247" i="4" s="1"/>
  <c r="N61" i="9"/>
  <c r="AI220" i="4"/>
  <c r="AI241" i="4"/>
  <c r="I98" i="4"/>
  <c r="L33" i="5"/>
  <c r="L39" i="5"/>
  <c r="L269" i="5"/>
  <c r="N269" i="5" s="1"/>
  <c r="L93" i="4"/>
  <c r="L98" i="4" s="1"/>
  <c r="AE49" i="9"/>
  <c r="AE128" i="4"/>
  <c r="AO49" i="9"/>
  <c r="AO128" i="4"/>
  <c r="AA62" i="9"/>
  <c r="AA61" i="9" s="1"/>
  <c r="AO33" i="7"/>
  <c r="AO39" i="7"/>
  <c r="AY113" i="4"/>
  <c r="AZ191" i="6"/>
  <c r="AZ155" i="8"/>
  <c r="AZ194" i="7"/>
  <c r="E67" i="9"/>
  <c r="E66" i="9" s="1"/>
  <c r="AZ79" i="4"/>
  <c r="W24" i="8"/>
  <c r="W25" i="8" s="1"/>
  <c r="W28" i="4"/>
  <c r="W27" i="3" s="1"/>
  <c r="DS177" i="8"/>
  <c r="O223" i="8"/>
  <c r="O227" i="8" s="1"/>
  <c r="P222" i="8" s="1"/>
  <c r="P227" i="8" s="1"/>
  <c r="Q222" i="8" s="1"/>
  <c r="Q227" i="8" s="1"/>
  <c r="O95" i="4"/>
  <c r="AP213" i="6"/>
  <c r="AP215" i="6" s="1"/>
  <c r="AP124" i="4"/>
  <c r="W201" i="6"/>
  <c r="N22" i="9"/>
  <c r="N30" i="4"/>
  <c r="AD18" i="9"/>
  <c r="G22" i="9"/>
  <c r="BY105" i="10"/>
  <c r="DB182" i="10"/>
  <c r="DM182" i="10"/>
  <c r="BC175" i="10"/>
  <c r="BC182" i="10" s="1"/>
  <c r="T61" i="3"/>
  <c r="Y62" i="3"/>
  <c r="N185" i="4"/>
  <c r="M185" i="4" s="1"/>
  <c r="W89" i="5"/>
  <c r="W110" i="5" s="1"/>
  <c r="AM111" i="5"/>
  <c r="AI100" i="8"/>
  <c r="Q100" i="8"/>
  <c r="AA213" i="6"/>
  <c r="AA215" i="6" s="1"/>
  <c r="AA124" i="4"/>
  <c r="CG167" i="10"/>
  <c r="CQ182" i="10"/>
  <c r="AP31" i="6"/>
  <c r="AP29" i="4"/>
  <c r="AP28" i="3" s="1"/>
  <c r="Y32" i="6"/>
  <c r="Y38" i="6"/>
  <c r="AD32" i="6"/>
  <c r="AD38" i="6"/>
  <c r="AY58" i="8"/>
  <c r="AZ105" i="8"/>
  <c r="AZ104" i="8" s="1"/>
  <c r="BE104" i="8" s="1"/>
  <c r="O212" i="8"/>
  <c r="AH75" i="7"/>
  <c r="AH43" i="7"/>
  <c r="AH47" i="7" s="1"/>
  <c r="AH49" i="7" s="1"/>
  <c r="AH74" i="7"/>
  <c r="AI25" i="3"/>
  <c r="AB190" i="8"/>
  <c r="AC199" i="8"/>
  <c r="AO40" i="4"/>
  <c r="AQ234" i="4"/>
  <c r="AQ247" i="4" s="1"/>
  <c r="AQ32" i="9"/>
  <c r="U98" i="5"/>
  <c r="U108" i="5" s="1"/>
  <c r="U102" i="5"/>
  <c r="U100" i="5"/>
  <c r="U60" i="5" s="1"/>
  <c r="BJ153" i="4"/>
  <c r="W39" i="4"/>
  <c r="W234" i="4" s="1"/>
  <c r="W247" i="4" s="1"/>
  <c r="W20" i="9"/>
  <c r="AE234" i="4"/>
  <c r="AE247" i="4" s="1"/>
  <c r="AI234" i="4"/>
  <c r="AI247" i="4" s="1"/>
  <c r="AF234" i="4"/>
  <c r="AF247" i="4" s="1"/>
  <c r="AG234" i="4"/>
  <c r="AG247" i="4" s="1"/>
  <c r="AP40" i="4"/>
  <c r="AQ33" i="9"/>
  <c r="AX99" i="7"/>
  <c r="AX108" i="7" s="1"/>
  <c r="AX13" i="7" s="1"/>
  <c r="AX101" i="7"/>
  <c r="W229" i="7"/>
  <c r="W239" i="7" s="1"/>
  <c r="AN25" i="3"/>
  <c r="X234" i="4"/>
  <c r="X247" i="4" s="1"/>
  <c r="CP29" i="3" s="1"/>
  <c r="Y49" i="9"/>
  <c r="Y128" i="4"/>
  <c r="AH49" i="9"/>
  <c r="AH128" i="4"/>
  <c r="AH252" i="5"/>
  <c r="AH259" i="5" s="1"/>
  <c r="AH25" i="3"/>
  <c r="Z49" i="9"/>
  <c r="Z128" i="4"/>
  <c r="AI49" i="9"/>
  <c r="AI128" i="4"/>
  <c r="AJ33" i="7"/>
  <c r="AJ39" i="7"/>
  <c r="F43" i="7"/>
  <c r="F47" i="7" s="1"/>
  <c r="F75" i="7"/>
  <c r="F74" i="7"/>
  <c r="Y67" i="9"/>
  <c r="Y66" i="9" s="1"/>
  <c r="DN63" i="3"/>
  <c r="BR182" i="10"/>
  <c r="AB40" i="10"/>
  <c r="AY139" i="10"/>
  <c r="BA185" i="7" s="1"/>
  <c r="BA211" i="7" s="1"/>
  <c r="BA182" i="10"/>
  <c r="CC167" i="10"/>
  <c r="AY66" i="10"/>
  <c r="BA193" i="5" s="1"/>
  <c r="BA219" i="5" s="1"/>
  <c r="T66" i="10"/>
  <c r="CN105" i="10"/>
  <c r="BW141" i="10"/>
  <c r="W40" i="10"/>
  <c r="P40" i="10"/>
  <c r="BC106" i="6"/>
  <c r="BC105" i="6" s="1"/>
  <c r="AX105" i="6"/>
  <c r="X109" i="6"/>
  <c r="BH67" i="6"/>
  <c r="BH144" i="6" s="1"/>
  <c r="BI144" i="6"/>
  <c r="AN235" i="6"/>
  <c r="AN248" i="6" s="1"/>
  <c r="AN236" i="6"/>
  <c r="I160" i="6"/>
  <c r="AB15" i="6"/>
  <c r="AB105" i="6"/>
  <c r="G42" i="6"/>
  <c r="G46" i="6" s="1"/>
  <c r="G71" i="6"/>
  <c r="G70" i="6"/>
  <c r="AX67" i="6"/>
  <c r="AX144" i="6" s="1"/>
  <c r="AX143" i="6" s="1"/>
  <c r="AY144" i="6"/>
  <c r="AY143" i="6" s="1"/>
  <c r="AY21" i="6" s="1"/>
  <c r="AF235" i="6"/>
  <c r="AF248" i="6" s="1"/>
  <c r="V42" i="6"/>
  <c r="V46" i="6" s="1"/>
  <c r="V70" i="6"/>
  <c r="BC203" i="6"/>
  <c r="BC259" i="6"/>
  <c r="Q70" i="6"/>
  <c r="Q71" i="6"/>
  <c r="AL226" i="6"/>
  <c r="AM235" i="6"/>
  <c r="AM248" i="6" s="1"/>
  <c r="BI169" i="6"/>
  <c r="BI96" i="4" s="1"/>
  <c r="BI98" i="4" s="1"/>
  <c r="BI142" i="4" s="1"/>
  <c r="X17" i="6"/>
  <c r="X23" i="6"/>
  <c r="X25" i="6" s="1"/>
  <c r="AM17" i="6"/>
  <c r="AM23" i="6"/>
  <c r="AM25" i="6" s="1"/>
  <c r="K118" i="6"/>
  <c r="K119" i="6"/>
  <c r="I235" i="6"/>
  <c r="X160" i="6"/>
  <c r="AH17" i="6"/>
  <c r="AH23" i="6"/>
  <c r="AH25" i="6" s="1"/>
  <c r="AR17" i="6"/>
  <c r="AR23" i="6"/>
  <c r="AR25" i="6" s="1"/>
  <c r="AN42" i="6"/>
  <c r="AN46" i="6" s="1"/>
  <c r="AN71" i="6"/>
  <c r="AN70" i="6"/>
  <c r="AT230" i="6"/>
  <c r="AS42" i="6"/>
  <c r="AN31" i="8"/>
  <c r="AN25" i="8"/>
  <c r="K100" i="8"/>
  <c r="AE100" i="8"/>
  <c r="AR31" i="8"/>
  <c r="AR205" i="8"/>
  <c r="AR218" i="8" s="1"/>
  <c r="L100" i="8"/>
  <c r="AF63" i="8"/>
  <c r="AF35" i="8"/>
  <c r="AF39" i="8" s="1"/>
  <c r="AF62" i="8"/>
  <c r="P31" i="8"/>
  <c r="P25" i="8"/>
  <c r="AC35" i="8"/>
  <c r="AC39" i="8" s="1"/>
  <c r="AC63" i="8"/>
  <c r="AB100" i="8"/>
  <c r="DS179" i="8"/>
  <c r="AP191" i="8"/>
  <c r="O100" i="8"/>
  <c r="AB31" i="8"/>
  <c r="AB25" i="8"/>
  <c r="AF206" i="8" s="1"/>
  <c r="AF213" i="8" s="1"/>
  <c r="AB205" i="8"/>
  <c r="AB218" i="8" s="1"/>
  <c r="AN100" i="8"/>
  <c r="AK62" i="8"/>
  <c r="AK63" i="8"/>
  <c r="AK35" i="8"/>
  <c r="AK39" i="8" s="1"/>
  <c r="BH59" i="8"/>
  <c r="BH108" i="8" s="1"/>
  <c r="BI108" i="8"/>
  <c r="BH60" i="8"/>
  <c r="BH111" i="8" s="1"/>
  <c r="BH110" i="8" s="1"/>
  <c r="BM110" i="8" s="1"/>
  <c r="BI111" i="8"/>
  <c r="BI110" i="8" s="1"/>
  <c r="L62" i="8"/>
  <c r="L63" i="8"/>
  <c r="T191" i="8"/>
  <c r="T31" i="8"/>
  <c r="T25" i="8"/>
  <c r="AO35" i="8"/>
  <c r="AO39" i="8" s="1"/>
  <c r="AO63" i="8"/>
  <c r="AA100" i="8"/>
  <c r="F124" i="7"/>
  <c r="M121" i="7"/>
  <c r="M123" i="7" s="1"/>
  <c r="M135" i="7" s="1"/>
  <c r="E122" i="7"/>
  <c r="E123" i="7" s="1"/>
  <c r="E135" i="7" s="1"/>
  <c r="DD216" i="7"/>
  <c r="DD218" i="7" s="1"/>
  <c r="P218" i="7"/>
  <c r="CW218" i="7"/>
  <c r="J239" i="7"/>
  <c r="AE112" i="7"/>
  <c r="AP218" i="7"/>
  <c r="DN218" i="7"/>
  <c r="AN239" i="7"/>
  <c r="AX72" i="7"/>
  <c r="AX150" i="7" s="1"/>
  <c r="AX149" i="7" s="1"/>
  <c r="AX23" i="7" s="1"/>
  <c r="AY150" i="7"/>
  <c r="AY149" i="7" s="1"/>
  <c r="AJ236" i="7"/>
  <c r="AJ274" i="7" s="1"/>
  <c r="AJ250" i="7"/>
  <c r="M124" i="7"/>
  <c r="DV218" i="7"/>
  <c r="E218" i="7"/>
  <c r="E221" i="7" s="1"/>
  <c r="F219" i="7" s="1"/>
  <c r="F221" i="7" s="1"/>
  <c r="G219" i="7" s="1"/>
  <c r="CT204" i="7"/>
  <c r="CT218" i="7" s="1"/>
  <c r="AE218" i="7"/>
  <c r="DH218" i="7"/>
  <c r="AE250" i="7"/>
  <c r="BL131" i="7"/>
  <c r="DK218" i="7"/>
  <c r="AF230" i="7"/>
  <c r="BC71" i="7"/>
  <c r="BC147" i="7" s="1"/>
  <c r="BC146" i="7" s="1"/>
  <c r="BC22" i="7" s="1"/>
  <c r="BD147" i="7"/>
  <c r="BD146" i="7" s="1"/>
  <c r="BD22" i="7" s="1"/>
  <c r="BH71" i="7"/>
  <c r="BH147" i="7" s="1"/>
  <c r="BI147" i="7"/>
  <c r="AF236" i="7"/>
  <c r="AF274" i="7" s="1"/>
  <c r="AF250" i="7"/>
  <c r="BH99" i="7"/>
  <c r="BE146" i="7"/>
  <c r="BE22" i="7" s="1"/>
  <c r="CY204" i="7"/>
  <c r="CY218" i="7" s="1"/>
  <c r="CR218" i="7"/>
  <c r="CO218" i="7"/>
  <c r="AI218" i="7"/>
  <c r="DS216" i="7"/>
  <c r="DS218" i="7" s="1"/>
  <c r="AF233" i="7"/>
  <c r="V230" i="7"/>
  <c r="Z218" i="7"/>
  <c r="AN230" i="7"/>
  <c r="AR236" i="7"/>
  <c r="AR274" i="7" s="1"/>
  <c r="AR251" i="7"/>
  <c r="AR239" i="7"/>
  <c r="AR230" i="7"/>
  <c r="AF239" i="7"/>
  <c r="AR250" i="7"/>
  <c r="BA221" i="5"/>
  <c r="BA121" i="4" s="1"/>
  <c r="AI258" i="5"/>
  <c r="P257" i="5"/>
  <c r="P258" i="5"/>
  <c r="AQ100" i="5"/>
  <c r="AQ60" i="5" s="1"/>
  <c r="AY179" i="5"/>
  <c r="AY93" i="4" s="1"/>
  <c r="N43" i="5"/>
  <c r="N47" i="5" s="1"/>
  <c r="N74" i="5"/>
  <c r="N73" i="5"/>
  <c r="BH70" i="5"/>
  <c r="BH153" i="5" s="1"/>
  <c r="BH152" i="5" s="1"/>
  <c r="BI153" i="5"/>
  <c r="P246" i="5"/>
  <c r="AS243" i="5"/>
  <c r="AS280" i="5" s="1"/>
  <c r="AS257" i="5"/>
  <c r="AS258" i="5"/>
  <c r="CO228" i="5"/>
  <c r="M18" i="5"/>
  <c r="AA258" i="5"/>
  <c r="AG142" i="5"/>
  <c r="AG146" i="5"/>
  <c r="F125" i="5"/>
  <c r="F126" i="5" s="1"/>
  <c r="F128" i="5"/>
  <c r="AL142" i="5"/>
  <c r="X258" i="5"/>
  <c r="E243" i="5"/>
  <c r="E280" i="5" s="1"/>
  <c r="E257" i="5"/>
  <c r="AS246" i="5"/>
  <c r="E246" i="5"/>
  <c r="E50" i="4"/>
  <c r="E54" i="4" s="1"/>
  <c r="E117" i="4"/>
  <c r="E116" i="4"/>
  <c r="H80" i="4"/>
  <c r="H252" i="4"/>
  <c r="N251" i="4"/>
  <c r="E211" i="4"/>
  <c r="T229" i="4"/>
  <c r="AP50" i="4"/>
  <c r="AP54" i="4" s="1"/>
  <c r="AP117" i="4"/>
  <c r="AP61" i="3" s="1"/>
  <c r="AP116" i="4"/>
  <c r="AP256" i="4" s="1"/>
  <c r="AX125" i="4"/>
  <c r="AX252" i="4"/>
  <c r="X117" i="4"/>
  <c r="E34" i="20" s="1"/>
  <c r="E23" i="20" s="1"/>
  <c r="X50" i="4"/>
  <c r="X54" i="4" s="1"/>
  <c r="X116" i="4"/>
  <c r="X256" i="4" s="1"/>
  <c r="J56" i="4"/>
  <c r="J62" i="4"/>
  <c r="J251" i="4"/>
  <c r="AN63" i="4"/>
  <c r="AN75" i="4" s="1"/>
  <c r="AN254" i="4"/>
  <c r="AN255" i="4" s="1"/>
  <c r="Z158" i="4"/>
  <c r="AY125" i="4"/>
  <c r="AY252" i="4"/>
  <c r="AD62" i="4"/>
  <c r="AD251" i="4"/>
  <c r="AU50" i="4"/>
  <c r="AU54" i="4" s="1"/>
  <c r="AU251" i="4" s="1"/>
  <c r="O220" i="4"/>
  <c r="O241" i="4"/>
  <c r="O240" i="4"/>
  <c r="AG209" i="4"/>
  <c r="I50" i="4"/>
  <c r="I54" i="4" s="1"/>
  <c r="I117" i="4"/>
  <c r="I116" i="4"/>
  <c r="AB104" i="4"/>
  <c r="AB154" i="4"/>
  <c r="AB67" i="9" s="1"/>
  <c r="BC125" i="4"/>
  <c r="BC252" i="4"/>
  <c r="AB50" i="4"/>
  <c r="AB54" i="4" s="1"/>
  <c r="AB117" i="4"/>
  <c r="AB116" i="4"/>
  <c r="AB256" i="4" s="1"/>
  <c r="AX205" i="4"/>
  <c r="AY205" i="4" s="1"/>
  <c r="D28" i="20"/>
  <c r="U182" i="10"/>
  <c r="BA94" i="10"/>
  <c r="AD94" i="10"/>
  <c r="BB94" i="10"/>
  <c r="AI94" i="10"/>
  <c r="BG94" i="10"/>
  <c r="AL165" i="10"/>
  <c r="AD127" i="10"/>
  <c r="AD130" i="10" s="1"/>
  <c r="AF130" i="10"/>
  <c r="AF141" i="10" s="1"/>
  <c r="BW105" i="10"/>
  <c r="U40" i="10"/>
  <c r="R40" i="10"/>
  <c r="T40" i="10"/>
  <c r="AO66" i="10"/>
  <c r="R94" i="10"/>
  <c r="AY156" i="10"/>
  <c r="BA147" i="8" s="1"/>
  <c r="BA173" i="8" s="1"/>
  <c r="R165" i="10"/>
  <c r="CD167" i="10"/>
  <c r="AM175" i="10"/>
  <c r="AM182" i="10" s="1"/>
  <c r="AB66" i="10"/>
  <c r="AM75" i="10"/>
  <c r="M94" i="10"/>
  <c r="AL94" i="10"/>
  <c r="AT94" i="10"/>
  <c r="AV139" i="10"/>
  <c r="AX185" i="7" s="1"/>
  <c r="AX211" i="7" s="1"/>
  <c r="BD156" i="10"/>
  <c r="CB105" i="10"/>
  <c r="AO40" i="10"/>
  <c r="BA66" i="10"/>
  <c r="BC193" i="5" s="1"/>
  <c r="BC219" i="5" s="1"/>
  <c r="AV66" i="10"/>
  <c r="AX193" i="5" s="1"/>
  <c r="AX219" i="5" s="1"/>
  <c r="T75" i="10"/>
  <c r="X75" i="10"/>
  <c r="AG94" i="10"/>
  <c r="BF94" i="10"/>
  <c r="Z94" i="10"/>
  <c r="BA182" i="6"/>
  <c r="BA208" i="6" s="1"/>
  <c r="W156" i="10"/>
  <c r="AH139" i="10"/>
  <c r="O156" i="10"/>
  <c r="BA156" i="10"/>
  <c r="BC147" i="8" s="1"/>
  <c r="BC173" i="8" s="1"/>
  <c r="CS105" i="10"/>
  <c r="CB141" i="10"/>
  <c r="L167" i="10"/>
  <c r="BQ77" i="10"/>
  <c r="CI141" i="10"/>
  <c r="P175" i="10"/>
  <c r="BD175" i="10"/>
  <c r="BD182" i="10" s="1"/>
  <c r="BE182" i="10"/>
  <c r="AB98" i="6"/>
  <c r="AB59" i="6" s="1"/>
  <c r="AB100" i="6"/>
  <c r="AB96" i="6"/>
  <c r="AZ19" i="6"/>
  <c r="BE140" i="6"/>
  <c r="AG86" i="6"/>
  <c r="AG87" i="6" s="1"/>
  <c r="AG108" i="6" s="1"/>
  <c r="K215" i="6"/>
  <c r="K109" i="6"/>
  <c r="AX66" i="6"/>
  <c r="AX141" i="6" s="1"/>
  <c r="AX140" i="6" s="1"/>
  <c r="BC140" i="6" s="1"/>
  <c r="AY141" i="6"/>
  <c r="AY140" i="6" s="1"/>
  <c r="H118" i="6"/>
  <c r="H119" i="6"/>
  <c r="H122" i="6"/>
  <c r="H121" i="6"/>
  <c r="S160" i="6"/>
  <c r="AU235" i="6"/>
  <c r="AU236" i="6" s="1"/>
  <c r="AP230" i="6"/>
  <c r="AP247" i="6"/>
  <c r="L120" i="6"/>
  <c r="L133" i="6" s="1"/>
  <c r="CT215" i="6"/>
  <c r="AQ25" i="6"/>
  <c r="AQ17" i="6"/>
  <c r="N248" i="6"/>
  <c r="M226" i="6"/>
  <c r="N235" i="6"/>
  <c r="N236" i="6"/>
  <c r="G201" i="6"/>
  <c r="G215" i="6" s="1"/>
  <c r="G218" i="6" s="1"/>
  <c r="H216" i="6" s="1"/>
  <c r="AQ201" i="6"/>
  <c r="AQ215" i="6" s="1"/>
  <c r="DI215" i="6"/>
  <c r="R226" i="6"/>
  <c r="S236" i="6"/>
  <c r="S235" i="6"/>
  <c r="S248" i="6" s="1"/>
  <c r="AA136" i="6"/>
  <c r="M118" i="6"/>
  <c r="M122" i="6"/>
  <c r="M119" i="6"/>
  <c r="M121" i="6"/>
  <c r="AP236" i="6"/>
  <c r="T227" i="6"/>
  <c r="T230" i="6"/>
  <c r="T247" i="6"/>
  <c r="BL28" i="6"/>
  <c r="AB86" i="6"/>
  <c r="AB87" i="6" s="1"/>
  <c r="AB108" i="6" s="1"/>
  <c r="J120" i="6"/>
  <c r="R109" i="6"/>
  <c r="AZ100" i="6"/>
  <c r="AL121" i="6"/>
  <c r="W17" i="6"/>
  <c r="T109" i="6"/>
  <c r="AQ226" i="6"/>
  <c r="AR235" i="6"/>
  <c r="AR248" i="6" s="1"/>
  <c r="AR236" i="6"/>
  <c r="AE136" i="6"/>
  <c r="G119" i="6"/>
  <c r="G118" i="6"/>
  <c r="G122" i="6"/>
  <c r="G121" i="6"/>
  <c r="AP248" i="6"/>
  <c r="T248" i="6"/>
  <c r="CO179" i="8"/>
  <c r="CO182" i="8" s="1"/>
  <c r="BJ133" i="8"/>
  <c r="BJ95" i="4" s="1"/>
  <c r="AF200" i="8"/>
  <c r="P191" i="8"/>
  <c r="AL25" i="8"/>
  <c r="AO206" i="8" s="1"/>
  <c r="AO213" i="8" s="1"/>
  <c r="AL205" i="8"/>
  <c r="AL218" i="8" s="1"/>
  <c r="AP205" i="8"/>
  <c r="AP218" i="8" s="1"/>
  <c r="AN205" i="8"/>
  <c r="AN218" i="8" s="1"/>
  <c r="AO205" i="8"/>
  <c r="AO218" i="8" s="1"/>
  <c r="AL31" i="8"/>
  <c r="N35" i="8"/>
  <c r="N63" i="8"/>
  <c r="N62" i="8"/>
  <c r="AH35" i="8"/>
  <c r="AH63" i="8"/>
  <c r="AH62" i="8"/>
  <c r="AT35" i="8"/>
  <c r="AT39" i="8" s="1"/>
  <c r="X35" i="8"/>
  <c r="X63" i="8"/>
  <c r="X62" i="8"/>
  <c r="X78" i="8"/>
  <c r="X99" i="8" s="1"/>
  <c r="AH78" i="8"/>
  <c r="AH99" i="8" s="1"/>
  <c r="AM100" i="8" s="1"/>
  <c r="AZ12" i="8"/>
  <c r="AI35" i="8"/>
  <c r="AI39" i="8" s="1"/>
  <c r="AI62" i="8"/>
  <c r="AI63" i="8"/>
  <c r="G212" i="8"/>
  <c r="K205" i="8"/>
  <c r="K218" i="8" s="1"/>
  <c r="AR165" i="8"/>
  <c r="DY179" i="8"/>
  <c r="AR179" i="8" s="1"/>
  <c r="AD179" i="8"/>
  <c r="M25" i="8"/>
  <c r="O206" i="8" s="1"/>
  <c r="O213" i="8" s="1"/>
  <c r="P205" i="8"/>
  <c r="P218" i="8" s="1"/>
  <c r="AU35" i="8"/>
  <c r="O35" i="8"/>
  <c r="O39" i="8" s="1"/>
  <c r="O62" i="8"/>
  <c r="O63" i="8"/>
  <c r="AQ31" i="8"/>
  <c r="AQ205" i="8"/>
  <c r="AQ218" i="8" s="1"/>
  <c r="AJ35" i="8"/>
  <c r="AJ39" i="8" s="1"/>
  <c r="AJ63" i="8"/>
  <c r="AJ62" i="8"/>
  <c r="AB206" i="8"/>
  <c r="AB213" i="8" s="1"/>
  <c r="AR99" i="8"/>
  <c r="AR97" i="8"/>
  <c r="BC59" i="8"/>
  <c r="BC108" i="8" s="1"/>
  <c r="BD108" i="8"/>
  <c r="DM179" i="8"/>
  <c r="X97" i="8"/>
  <c r="I39" i="8"/>
  <c r="K179" i="8"/>
  <c r="E179" i="8"/>
  <c r="E182" i="8" s="1"/>
  <c r="F180" i="8" s="1"/>
  <c r="R25" i="8"/>
  <c r="R31" i="8"/>
  <c r="R205" i="8"/>
  <c r="R218" i="8" s="1"/>
  <c r="V205" i="8"/>
  <c r="V218" i="8" s="1"/>
  <c r="T205" i="8"/>
  <c r="T218" i="8" s="1"/>
  <c r="U205" i="8"/>
  <c r="U218" i="8" s="1"/>
  <c r="W31" i="8"/>
  <c r="Z205" i="8"/>
  <c r="Z218" i="8" s="1"/>
  <c r="AA205" i="8"/>
  <c r="AA218" i="8" s="1"/>
  <c r="AD35" i="8"/>
  <c r="AD39" i="8" s="1"/>
  <c r="AD63" i="8"/>
  <c r="AD62" i="8"/>
  <c r="AP35" i="8"/>
  <c r="AP63" i="8"/>
  <c r="AP62" i="8"/>
  <c r="AA62" i="8"/>
  <c r="AA35" i="8"/>
  <c r="AA63" i="8"/>
  <c r="S78" i="8"/>
  <c r="S99" i="8" s="1"/>
  <c r="AC78" i="8"/>
  <c r="AC99" i="8" s="1"/>
  <c r="S35" i="8"/>
  <c r="S62" i="8"/>
  <c r="S63" i="8"/>
  <c r="BH58" i="8"/>
  <c r="BH105" i="8" s="1"/>
  <c r="BI105" i="8"/>
  <c r="BA175" i="8"/>
  <c r="I212" i="8"/>
  <c r="I197" i="8"/>
  <c r="I234" i="8" s="1"/>
  <c r="I211" i="8"/>
  <c r="K35" i="8"/>
  <c r="K39" i="8" s="1"/>
  <c r="K62" i="8"/>
  <c r="K63" i="8"/>
  <c r="Q197" i="8"/>
  <c r="Q234" i="8" s="1"/>
  <c r="Q211" i="8"/>
  <c r="Q212" i="8"/>
  <c r="W165" i="8"/>
  <c r="W179" i="8" s="1"/>
  <c r="BF169" i="8"/>
  <c r="CY177" i="8"/>
  <c r="AG25" i="8"/>
  <c r="AJ206" i="8" s="1"/>
  <c r="AJ213" i="8" s="1"/>
  <c r="AG205" i="8"/>
  <c r="AG218" i="8" s="1"/>
  <c r="AM35" i="8"/>
  <c r="AM62" i="8"/>
  <c r="AM63" i="8"/>
  <c r="H31" i="8"/>
  <c r="H25" i="8"/>
  <c r="J206" i="8" s="1"/>
  <c r="J213" i="8" s="1"/>
  <c r="J205" i="8"/>
  <c r="J218" i="8" s="1"/>
  <c r="H205" i="8"/>
  <c r="H218" i="8" s="1"/>
  <c r="AE35" i="8"/>
  <c r="AE39" i="8" s="1"/>
  <c r="AE62" i="8"/>
  <c r="AE63" i="8"/>
  <c r="G62" i="8"/>
  <c r="G35" i="8"/>
  <c r="G39" i="8" s="1"/>
  <c r="G63" i="8"/>
  <c r="AD206" i="8"/>
  <c r="AD213" i="8" s="1"/>
  <c r="AE206" i="8"/>
  <c r="AE213" i="8" s="1"/>
  <c r="AO199" i="8"/>
  <c r="AO200" i="8" s="1"/>
  <c r="CQ179" i="8"/>
  <c r="O205" i="8"/>
  <c r="O218" i="8" s="1"/>
  <c r="AY59" i="8"/>
  <c r="AZ108" i="8"/>
  <c r="AZ107" i="8" s="1"/>
  <c r="Z191" i="8"/>
  <c r="Z211" i="8"/>
  <c r="AR112" i="7"/>
  <c r="AU163" i="7"/>
  <c r="AD218" i="7"/>
  <c r="AA239" i="7"/>
  <c r="E239" i="7"/>
  <c r="AQ239" i="7"/>
  <c r="G251" i="7"/>
  <c r="BG131" i="7"/>
  <c r="AZ23" i="7"/>
  <c r="AZ23" i="4" s="1"/>
  <c r="BE149" i="7"/>
  <c r="BH262" i="7"/>
  <c r="BH206" i="7"/>
  <c r="DO218" i="7"/>
  <c r="AH218" i="7" s="1"/>
  <c r="DU218" i="7"/>
  <c r="AG216" i="7"/>
  <c r="DC218" i="7"/>
  <c r="W204" i="7"/>
  <c r="W218" i="7" s="1"/>
  <c r="X230" i="7"/>
  <c r="X250" i="7"/>
  <c r="U218" i="7"/>
  <c r="AM43" i="7"/>
  <c r="AM75" i="7"/>
  <c r="AM74" i="7"/>
  <c r="S204" i="7"/>
  <c r="CZ218" i="7"/>
  <c r="S218" i="7" s="1"/>
  <c r="W112" i="7"/>
  <c r="M218" i="7"/>
  <c r="DI204" i="7"/>
  <c r="DI218" i="7" s="1"/>
  <c r="R216" i="7"/>
  <c r="BA215" i="7"/>
  <c r="AB45" i="7"/>
  <c r="AB33" i="9" s="1"/>
  <c r="AF45" i="7"/>
  <c r="AF33" i="9" s="1"/>
  <c r="AI43" i="7"/>
  <c r="AI47" i="7" s="1"/>
  <c r="AI74" i="7"/>
  <c r="AI75" i="7"/>
  <c r="AJ112" i="7"/>
  <c r="I218" i="7"/>
  <c r="I221" i="7" s="1"/>
  <c r="J219" i="7" s="1"/>
  <c r="J221" i="7" s="1"/>
  <c r="K219" i="7" s="1"/>
  <c r="CP221" i="7"/>
  <c r="CQ219" i="7" s="1"/>
  <c r="R123" i="7"/>
  <c r="AB204" i="7"/>
  <c r="L218" i="7"/>
  <c r="AG204" i="7"/>
  <c r="O218" i="7"/>
  <c r="DX216" i="7"/>
  <c r="DX218" i="7" s="1"/>
  <c r="AA43" i="7"/>
  <c r="AA75" i="7"/>
  <c r="AA74" i="7"/>
  <c r="Q122" i="7"/>
  <c r="V122" i="7" s="1"/>
  <c r="AA122" i="7" s="1"/>
  <c r="AF122" i="7" s="1"/>
  <c r="AK122" i="7" s="1"/>
  <c r="AP122" i="7" s="1"/>
  <c r="AU122" i="7" s="1"/>
  <c r="AZ122" i="7" s="1"/>
  <c r="BE122" i="7" s="1"/>
  <c r="BJ122" i="7" s="1"/>
  <c r="BO122" i="7" s="1"/>
  <c r="Q121" i="7"/>
  <c r="Q124" i="7"/>
  <c r="V124" i="7" s="1"/>
  <c r="AA124" i="7" s="1"/>
  <c r="AF124" i="7" s="1"/>
  <c r="AK124" i="7" s="1"/>
  <c r="AP124" i="7" s="1"/>
  <c r="AU124" i="7" s="1"/>
  <c r="AZ124" i="7" s="1"/>
  <c r="BE124" i="7" s="1"/>
  <c r="BJ124" i="7" s="1"/>
  <c r="BO124" i="7" s="1"/>
  <c r="BB131" i="7"/>
  <c r="AE138" i="7"/>
  <c r="AJ138" i="7"/>
  <c r="AH238" i="7"/>
  <c r="AH230" i="7" s="1"/>
  <c r="AD230" i="7"/>
  <c r="AN236" i="7"/>
  <c r="AN274" i="7" s="1"/>
  <c r="AN250" i="7"/>
  <c r="G129" i="5"/>
  <c r="I169" i="5"/>
  <c r="DD223" i="5"/>
  <c r="AE225" i="5"/>
  <c r="AU54" i="5"/>
  <c r="AU49" i="5"/>
  <c r="AU55" i="5" s="1"/>
  <c r="AU85" i="4" s="1"/>
  <c r="AP111" i="5"/>
  <c r="M126" i="5"/>
  <c r="M129" i="5" s="1"/>
  <c r="BD213" i="5"/>
  <c r="BD269" i="5"/>
  <c r="BA177" i="5"/>
  <c r="Z237" i="5"/>
  <c r="Z243" i="5"/>
  <c r="Z280" i="5" s="1"/>
  <c r="Y258" i="5"/>
  <c r="AT237" i="5"/>
  <c r="AT257" i="5"/>
  <c r="AT240" i="5"/>
  <c r="U258" i="5"/>
  <c r="S246" i="5"/>
  <c r="AB246" i="5"/>
  <c r="K125" i="5"/>
  <c r="K126" i="5" s="1"/>
  <c r="K128" i="5"/>
  <c r="K127" i="5"/>
  <c r="AK33" i="5"/>
  <c r="AK39" i="5"/>
  <c r="AU100" i="5"/>
  <c r="AU60" i="5" s="1"/>
  <c r="Z111" i="5"/>
  <c r="AI115" i="5"/>
  <c r="AI111" i="5"/>
  <c r="K43" i="5"/>
  <c r="K47" i="5" s="1"/>
  <c r="K73" i="5"/>
  <c r="K74" i="5"/>
  <c r="AZ173" i="5"/>
  <c r="AZ179" i="5" s="1"/>
  <c r="AZ93" i="4" s="1"/>
  <c r="AY30" i="5"/>
  <c r="AY214" i="5"/>
  <c r="AY207" i="5"/>
  <c r="BC213" i="5"/>
  <c r="BC269" i="5"/>
  <c r="AU245" i="5"/>
  <c r="AU258" i="5" s="1"/>
  <c r="N223" i="5"/>
  <c r="N67" i="9" s="1"/>
  <c r="N66" i="9" s="1"/>
  <c r="CU225" i="5"/>
  <c r="N225" i="5" s="1"/>
  <c r="V240" i="5"/>
  <c r="V243" i="5"/>
  <c r="V280" i="5" s="1"/>
  <c r="V257" i="5"/>
  <c r="AP237" i="5"/>
  <c r="AP257" i="5"/>
  <c r="AP243" i="5"/>
  <c r="AP280" i="5" s="1"/>
  <c r="AD237" i="5"/>
  <c r="AD240" i="5"/>
  <c r="AD257" i="5"/>
  <c r="J129" i="5"/>
  <c r="J133" i="5" s="1"/>
  <c r="BK179" i="5"/>
  <c r="BK93" i="4" s="1"/>
  <c r="N169" i="5"/>
  <c r="DS225" i="5"/>
  <c r="AB237" i="5"/>
  <c r="AX213" i="5"/>
  <c r="AX269" i="5"/>
  <c r="BC22" i="5"/>
  <c r="H236" i="5"/>
  <c r="I245" i="5"/>
  <c r="I258" i="5" s="1"/>
  <c r="I259" i="5"/>
  <c r="BF221" i="5"/>
  <c r="BF121" i="4" s="1"/>
  <c r="T245" i="5"/>
  <c r="T258" i="5" s="1"/>
  <c r="Y243" i="5"/>
  <c r="Y280" i="5" s="1"/>
  <c r="Y257" i="5"/>
  <c r="U243" i="5"/>
  <c r="U280" i="5" s="1"/>
  <c r="U257" i="5"/>
  <c r="M111" i="5"/>
  <c r="H126" i="5"/>
  <c r="H129" i="5" s="1"/>
  <c r="BF179" i="5"/>
  <c r="BF93" i="4" s="1"/>
  <c r="AL225" i="5"/>
  <c r="Y111" i="5"/>
  <c r="AC43" i="5"/>
  <c r="AC47" i="5" s="1"/>
  <c r="AC73" i="5"/>
  <c r="AC74" i="5"/>
  <c r="I250" i="5"/>
  <c r="I254" i="5"/>
  <c r="J43" i="5"/>
  <c r="J73" i="5"/>
  <c r="J74" i="5"/>
  <c r="AX20" i="5"/>
  <c r="BC149" i="5"/>
  <c r="CT211" i="5"/>
  <c r="CT225" i="5" s="1"/>
  <c r="AH211" i="5"/>
  <c r="DO225" i="5"/>
  <c r="AH225" i="5" s="1"/>
  <c r="AG236" i="5"/>
  <c r="AH245" i="5"/>
  <c r="AH258" i="5" s="1"/>
  <c r="BI213" i="5"/>
  <c r="BI269" i="5"/>
  <c r="BE222" i="5"/>
  <c r="AL236" i="5"/>
  <c r="AM245" i="5"/>
  <c r="AM246" i="5" s="1"/>
  <c r="AA240" i="5"/>
  <c r="AA243" i="5"/>
  <c r="AA280" i="5" s="1"/>
  <c r="AA257" i="5"/>
  <c r="AC243" i="5"/>
  <c r="AC280" i="5" s="1"/>
  <c r="AC33" i="2" s="1"/>
  <c r="AC257" i="5"/>
  <c r="V258" i="5"/>
  <c r="Z246" i="5"/>
  <c r="AE240" i="5"/>
  <c r="AE243" i="5"/>
  <c r="AE280" i="5" s="1"/>
  <c r="AP258" i="5"/>
  <c r="AT246" i="5"/>
  <c r="AD258" i="5"/>
  <c r="AI246" i="5"/>
  <c r="AL40" i="4"/>
  <c r="AN235" i="4" s="1"/>
  <c r="AN242" i="4" s="1"/>
  <c r="AL46" i="4"/>
  <c r="AN234" i="4"/>
  <c r="AN247" i="4" s="1"/>
  <c r="AO234" i="4"/>
  <c r="AO247" i="4" s="1"/>
  <c r="AL234" i="4"/>
  <c r="AL247" i="4" s="1"/>
  <c r="AP234" i="4"/>
  <c r="AP247" i="4" s="1"/>
  <c r="AE235" i="4"/>
  <c r="AE242" i="4" s="1"/>
  <c r="AF235" i="4"/>
  <c r="AF242" i="4" s="1"/>
  <c r="AE158" i="4"/>
  <c r="BE125" i="4"/>
  <c r="M74" i="4"/>
  <c r="M253" i="4"/>
  <c r="T220" i="4"/>
  <c r="T240" i="4"/>
  <c r="AJ220" i="4"/>
  <c r="AJ240" i="4"/>
  <c r="AJ241" i="4"/>
  <c r="AJ229" i="4"/>
  <c r="P220" i="4"/>
  <c r="P240" i="4"/>
  <c r="P241" i="4"/>
  <c r="AF158" i="4"/>
  <c r="P234" i="4"/>
  <c r="P247" i="4" s="1"/>
  <c r="M234" i="4"/>
  <c r="M247" i="4" s="1"/>
  <c r="Q234" i="4"/>
  <c r="Q247" i="4" s="1"/>
  <c r="O234" i="4"/>
  <c r="O247" i="4" s="1"/>
  <c r="Q50" i="4"/>
  <c r="Q54" i="4" s="1"/>
  <c r="Q116" i="4"/>
  <c r="Q117" i="4"/>
  <c r="AM140" i="4"/>
  <c r="DT158" i="4"/>
  <c r="V50" i="4"/>
  <c r="V54" i="4" s="1"/>
  <c r="V116" i="4"/>
  <c r="V117" i="4"/>
  <c r="V61" i="3" s="1"/>
  <c r="AE50" i="4"/>
  <c r="AE54" i="4" s="1"/>
  <c r="AE116" i="4"/>
  <c r="AE256" i="4" s="1"/>
  <c r="AE117" i="4"/>
  <c r="AE61" i="3" s="1"/>
  <c r="AT50" i="4"/>
  <c r="AT54" i="4" s="1"/>
  <c r="AT251" i="4" s="1"/>
  <c r="AT61" i="3"/>
  <c r="BF252" i="4"/>
  <c r="AY71" i="4"/>
  <c r="AY40" i="3" s="1"/>
  <c r="AX72" i="4"/>
  <c r="M80" i="4"/>
  <c r="M252" i="4"/>
  <c r="E228" i="4"/>
  <c r="E229" i="4" s="1"/>
  <c r="AN220" i="4"/>
  <c r="AN240" i="4"/>
  <c r="U228" i="4"/>
  <c r="U229" i="4" s="1"/>
  <c r="AN241" i="4"/>
  <c r="G220" i="4"/>
  <c r="G240" i="4"/>
  <c r="AA220" i="4"/>
  <c r="AA240" i="4"/>
  <c r="AA241" i="4"/>
  <c r="CY140" i="4"/>
  <c r="CY158" i="4" s="1"/>
  <c r="T234" i="4"/>
  <c r="T247" i="4" s="1"/>
  <c r="U234" i="4"/>
  <c r="U247" i="4" s="1"/>
  <c r="V234" i="4"/>
  <c r="V247" i="4" s="1"/>
  <c r="R234" i="4"/>
  <c r="R247" i="4" s="1"/>
  <c r="N237" i="4"/>
  <c r="AO50" i="4"/>
  <c r="AO54" i="4" s="1"/>
  <c r="AO116" i="4"/>
  <c r="AO256" i="4" s="1"/>
  <c r="AO117" i="4"/>
  <c r="AO61" i="3" s="1"/>
  <c r="AB235" i="4"/>
  <c r="AB242" i="4" s="1"/>
  <c r="AD235" i="4"/>
  <c r="AD242" i="4" s="1"/>
  <c r="BJ125" i="4"/>
  <c r="BJ252" i="4"/>
  <c r="I228" i="4"/>
  <c r="I229" i="4" s="1"/>
  <c r="BI152" i="4"/>
  <c r="Y220" i="4"/>
  <c r="Y240" i="4"/>
  <c r="X252" i="4"/>
  <c r="DX158" i="4"/>
  <c r="Z211" i="4"/>
  <c r="AU185" i="4"/>
  <c r="AU211" i="4" s="1"/>
  <c r="Q228" i="4"/>
  <c r="Q229" i="4" s="1"/>
  <c r="AD220" i="4"/>
  <c r="AD241" i="4"/>
  <c r="AD240" i="4"/>
  <c r="AO220" i="4"/>
  <c r="AO240" i="4"/>
  <c r="AN229" i="4"/>
  <c r="P158" i="4"/>
  <c r="Y50" i="4"/>
  <c r="Y54" i="4" s="1"/>
  <c r="Y116" i="4"/>
  <c r="Y256" i="4" s="1"/>
  <c r="Y117" i="4"/>
  <c r="Y61" i="3" s="1"/>
  <c r="AN158" i="4"/>
  <c r="L50" i="4"/>
  <c r="L54" i="4" s="1"/>
  <c r="L116" i="4"/>
  <c r="L117" i="4"/>
  <c r="AA50" i="4"/>
  <c r="AA54" i="4" s="1"/>
  <c r="AA116" i="4"/>
  <c r="AA256" i="4" s="1"/>
  <c r="AA117" i="4"/>
  <c r="AA61" i="3" s="1"/>
  <c r="AJ50" i="4"/>
  <c r="AJ54" i="4" s="1"/>
  <c r="AJ116" i="4"/>
  <c r="AJ256" i="4" s="1"/>
  <c r="AJ117" i="4"/>
  <c r="AJ61" i="3" s="1"/>
  <c r="AD63" i="4"/>
  <c r="AD75" i="4" s="1"/>
  <c r="AD254" i="4"/>
  <c r="AD255" i="4" s="1"/>
  <c r="AA158" i="4"/>
  <c r="Y229" i="4"/>
  <c r="J220" i="4"/>
  <c r="J240" i="4"/>
  <c r="J241" i="4"/>
  <c r="Z220" i="4"/>
  <c r="Z241" i="4"/>
  <c r="Z240" i="4"/>
  <c r="AO229" i="4"/>
  <c r="AD229" i="4"/>
  <c r="AG228" i="4"/>
  <c r="AG229" i="4" s="1"/>
  <c r="J229" i="4"/>
  <c r="L220" i="4"/>
  <c r="L240" i="4"/>
  <c r="BV29" i="10"/>
  <c r="BQ32" i="10"/>
  <c r="Z40" i="10"/>
  <c r="AJ40" i="10"/>
  <c r="N66" i="10"/>
  <c r="X66" i="10"/>
  <c r="BG66" i="10"/>
  <c r="BI193" i="5" s="1"/>
  <c r="BI219" i="5" s="1"/>
  <c r="CG10" i="10"/>
  <c r="BC66" i="10"/>
  <c r="BE193" i="5" s="1"/>
  <c r="BE219" i="5" s="1"/>
  <c r="L10" i="10"/>
  <c r="BZ10" i="10"/>
  <c r="BW10" i="10"/>
  <c r="CF50" i="10"/>
  <c r="CA66" i="10"/>
  <c r="W75" i="10"/>
  <c r="CJ10" i="10"/>
  <c r="AT66" i="10"/>
  <c r="Y75" i="10"/>
  <c r="CB10" i="10"/>
  <c r="N94" i="10"/>
  <c r="S94" i="10"/>
  <c r="AL127" i="10"/>
  <c r="AM127" i="10"/>
  <c r="AN127" i="10"/>
  <c r="AO127" i="10"/>
  <c r="CK69" i="10"/>
  <c r="CF94" i="10"/>
  <c r="CK84" i="10"/>
  <c r="R130" i="10"/>
  <c r="AB130" i="10"/>
  <c r="AV94" i="10"/>
  <c r="N127" i="10"/>
  <c r="N130" i="10" s="1"/>
  <c r="O127" i="10"/>
  <c r="O130" i="10" s="1"/>
  <c r="P127" i="10"/>
  <c r="P130" i="10" s="1"/>
  <c r="M127" i="10"/>
  <c r="M130" i="10" s="1"/>
  <c r="Q130" i="10"/>
  <c r="Q141" i="10" s="1"/>
  <c r="BB127" i="10"/>
  <c r="BB130" i="10" s="1"/>
  <c r="BC127" i="10"/>
  <c r="BC130" i="10" s="1"/>
  <c r="BD127" i="10"/>
  <c r="BD130" i="10" s="1"/>
  <c r="BA127" i="10"/>
  <c r="BA130" i="10" s="1"/>
  <c r="BV127" i="10"/>
  <c r="BQ130" i="10"/>
  <c r="BQ141" i="10" s="1"/>
  <c r="DI130" i="10"/>
  <c r="DM130" i="10"/>
  <c r="BJ192" i="7" s="1"/>
  <c r="AW139" i="10"/>
  <c r="AY185" i="7" s="1"/>
  <c r="AY211" i="7" s="1"/>
  <c r="S156" i="10"/>
  <c r="CC141" i="10"/>
  <c r="P156" i="10"/>
  <c r="BC156" i="10"/>
  <c r="BE147" i="8" s="1"/>
  <c r="BE173" i="8" s="1"/>
  <c r="AM156" i="10"/>
  <c r="BI156" i="10"/>
  <c r="AH156" i="10"/>
  <c r="AG165" i="10"/>
  <c r="AF167" i="10"/>
  <c r="BF182" i="10"/>
  <c r="AV182" i="10"/>
  <c r="CF165" i="10"/>
  <c r="CF167" i="10" s="1"/>
  <c r="AW182" i="10"/>
  <c r="AU182" i="10"/>
  <c r="AR29" i="10"/>
  <c r="AR32" i="10" s="1"/>
  <c r="AS29" i="10"/>
  <c r="AS32" i="10" s="1"/>
  <c r="AT29" i="10"/>
  <c r="AT32" i="10" s="1"/>
  <c r="AQ29" i="10"/>
  <c r="AU32" i="10"/>
  <c r="BH29" i="10"/>
  <c r="BH32" i="10" s="1"/>
  <c r="BJ50" i="9" s="1"/>
  <c r="BJ65" i="9" s="1"/>
  <c r="BI29" i="10"/>
  <c r="BI32" i="10" s="1"/>
  <c r="BF29" i="10"/>
  <c r="BF32" i="10" s="1"/>
  <c r="BH50" i="9" s="1"/>
  <c r="BH65" i="9" s="1"/>
  <c r="BG29" i="10"/>
  <c r="BG32" i="10" s="1"/>
  <c r="BJ32" i="10"/>
  <c r="BJ10" i="10" s="1"/>
  <c r="BD29" i="10"/>
  <c r="BA29" i="10"/>
  <c r="BA32" i="10" s="1"/>
  <c r="BC50" i="9" s="1"/>
  <c r="BC65" i="9" s="1"/>
  <c r="BB29" i="10"/>
  <c r="BB32" i="10" s="1"/>
  <c r="BC29" i="10"/>
  <c r="BC32" i="10" s="1"/>
  <c r="BE32" i="10"/>
  <c r="BG50" i="9" s="1"/>
  <c r="BD66" i="10"/>
  <c r="BF193" i="5" s="1"/>
  <c r="BF219" i="5" s="1"/>
  <c r="O66" i="10"/>
  <c r="AX66" i="10"/>
  <c r="AZ193" i="5" s="1"/>
  <c r="AZ219" i="5" s="1"/>
  <c r="BU10" i="10"/>
  <c r="CO10" i="10"/>
  <c r="U66" i="10"/>
  <c r="AE66" i="10"/>
  <c r="CD10" i="10"/>
  <c r="CE10" i="10"/>
  <c r="BT10" i="10"/>
  <c r="AS66" i="10"/>
  <c r="S75" i="10"/>
  <c r="AE94" i="10"/>
  <c r="AN75" i="10"/>
  <c r="BE11" i="10"/>
  <c r="BG103" i="4" s="1"/>
  <c r="BE77" i="10"/>
  <c r="AO94" i="10"/>
  <c r="BF127" i="10"/>
  <c r="BF130" i="10" s="1"/>
  <c r="BG127" i="10"/>
  <c r="BG130" i="10" s="1"/>
  <c r="BH127" i="10"/>
  <c r="BH130" i="10" s="1"/>
  <c r="BI127" i="10"/>
  <c r="BI130" i="10" s="1"/>
  <c r="Z127" i="10"/>
  <c r="Z130" i="10" s="1"/>
  <c r="W127" i="10"/>
  <c r="W130" i="10" s="1"/>
  <c r="X127" i="10"/>
  <c r="X130" i="10" s="1"/>
  <c r="Y127" i="10"/>
  <c r="Y130" i="10" s="1"/>
  <c r="AA130" i="10"/>
  <c r="AA141" i="10" s="1"/>
  <c r="AY94" i="10"/>
  <c r="AP130" i="10"/>
  <c r="AP141" i="10" s="1"/>
  <c r="BF156" i="10"/>
  <c r="DK130" i="10"/>
  <c r="BH192" i="7" s="1"/>
  <c r="BE130" i="10"/>
  <c r="AB139" i="10"/>
  <c r="AE156" i="10"/>
  <c r="X156" i="10"/>
  <c r="BR141" i="10"/>
  <c r="AO156" i="10"/>
  <c r="Z156" i="10"/>
  <c r="BB156" i="10"/>
  <c r="U156" i="10"/>
  <c r="AL156" i="10"/>
  <c r="AR156" i="10"/>
  <c r="AB165" i="10"/>
  <c r="CG141" i="10"/>
  <c r="AJ156" i="10"/>
  <c r="AX156" i="10"/>
  <c r="M165" i="10"/>
  <c r="AZ167" i="10"/>
  <c r="W175" i="10"/>
  <c r="AS175" i="10"/>
  <c r="Z182" i="10"/>
  <c r="CP156" i="10"/>
  <c r="AQ32" i="10"/>
  <c r="X29" i="10"/>
  <c r="X32" i="10" s="1"/>
  <c r="Y29" i="10"/>
  <c r="Y32" i="10" s="1"/>
  <c r="Z29" i="10"/>
  <c r="Z32" i="10" s="1"/>
  <c r="W29" i="10"/>
  <c r="W32" i="10" s="1"/>
  <c r="AA32" i="10"/>
  <c r="AN29" i="10"/>
  <c r="AN32" i="10" s="1"/>
  <c r="AO29" i="10"/>
  <c r="AO32" i="10" s="1"/>
  <c r="AL29" i="10"/>
  <c r="AL32" i="10" s="1"/>
  <c r="AM29" i="10"/>
  <c r="AM32" i="10" s="1"/>
  <c r="AP32" i="10"/>
  <c r="AJ29" i="10"/>
  <c r="AJ32" i="10" s="1"/>
  <c r="AG29" i="10"/>
  <c r="AG32" i="10" s="1"/>
  <c r="AH29" i="10"/>
  <c r="AH32" i="10" s="1"/>
  <c r="AI29" i="10"/>
  <c r="AI32" i="10" s="1"/>
  <c r="AK32" i="10"/>
  <c r="AV29" i="10"/>
  <c r="AV32" i="10" s="1"/>
  <c r="AX50" i="9" s="1"/>
  <c r="AX65" i="9" s="1"/>
  <c r="AW29" i="10"/>
  <c r="AW32" i="10" s="1"/>
  <c r="AY50" i="9" s="1"/>
  <c r="AY65" i="9" s="1"/>
  <c r="AX29" i="10"/>
  <c r="AX32" i="10" s="1"/>
  <c r="AY29" i="10"/>
  <c r="AY32" i="10" s="1"/>
  <c r="BA50" i="9" s="1"/>
  <c r="BA65" i="9" s="1"/>
  <c r="AZ32" i="10"/>
  <c r="BB50" i="9" s="1"/>
  <c r="AY35" i="10"/>
  <c r="AY40" i="10" s="1"/>
  <c r="BA49" i="9" s="1"/>
  <c r="BA64" i="9" s="1"/>
  <c r="AV35" i="10"/>
  <c r="AV40" i="10" s="1"/>
  <c r="AX49" i="9" s="1"/>
  <c r="AX64" i="9" s="1"/>
  <c r="AW35" i="10"/>
  <c r="AW40" i="10" s="1"/>
  <c r="AX35" i="10"/>
  <c r="AX40" i="10" s="1"/>
  <c r="AZ49" i="9" s="1"/>
  <c r="AZ64" i="9" s="1"/>
  <c r="AZ40" i="10"/>
  <c r="BY10" i="10"/>
  <c r="AD66" i="10"/>
  <c r="CH10" i="10"/>
  <c r="CI10" i="10"/>
  <c r="CN10" i="10"/>
  <c r="AD75" i="10"/>
  <c r="AL75" i="10"/>
  <c r="CP49" i="10"/>
  <c r="U94" i="10"/>
  <c r="AW94" i="10"/>
  <c r="AX94" i="10"/>
  <c r="AZ183" i="6" s="1"/>
  <c r="AZ209" i="6" s="1"/>
  <c r="AY130" i="10"/>
  <c r="AH127" i="10"/>
  <c r="AH130" i="10" s="1"/>
  <c r="AI127" i="10"/>
  <c r="AI130" i="10" s="1"/>
  <c r="AJ127" i="10"/>
  <c r="AJ130" i="10" s="1"/>
  <c r="AJ141" i="10" s="1"/>
  <c r="AG127" i="10"/>
  <c r="AG130" i="10" s="1"/>
  <c r="AG141" i="10" s="1"/>
  <c r="AK130" i="10"/>
  <c r="AK141" i="10" s="1"/>
  <c r="DF130" i="10"/>
  <c r="BC192" i="7" s="1"/>
  <c r="AV130" i="10"/>
  <c r="DL130" i="10"/>
  <c r="R139" i="10"/>
  <c r="BZ141" i="10"/>
  <c r="AT156" i="10"/>
  <c r="AN156" i="10"/>
  <c r="BV139" i="10"/>
  <c r="BH156" i="10"/>
  <c r="AQ156" i="10"/>
  <c r="AV165" i="10"/>
  <c r="AC139" i="10"/>
  <c r="CO141" i="10"/>
  <c r="R182" i="10"/>
  <c r="Y175" i="10"/>
  <c r="AQ182" i="10"/>
  <c r="BV167" i="10"/>
  <c r="AX180" i="10"/>
  <c r="CS156" i="10"/>
  <c r="CQ156" i="10"/>
  <c r="CY156" i="10"/>
  <c r="CR156" i="10"/>
  <c r="CT156" i="10"/>
  <c r="CU156" i="10"/>
  <c r="CX156" i="10"/>
  <c r="AT182" i="10"/>
  <c r="BD32" i="10"/>
  <c r="BF50" i="9" s="1"/>
  <c r="BF65" i="9" s="1"/>
  <c r="T29" i="10"/>
  <c r="T32" i="10" s="1"/>
  <c r="U29" i="10"/>
  <c r="U32" i="10" s="1"/>
  <c r="R29" i="10"/>
  <c r="R32" i="10" s="1"/>
  <c r="S29" i="10"/>
  <c r="S32" i="10" s="1"/>
  <c r="V32" i="10"/>
  <c r="P29" i="10"/>
  <c r="P32" i="10" s="1"/>
  <c r="M29" i="10"/>
  <c r="M32" i="10" s="1"/>
  <c r="N29" i="10"/>
  <c r="N32" i="10" s="1"/>
  <c r="O29" i="10"/>
  <c r="O32" i="10" s="1"/>
  <c r="Q32" i="10"/>
  <c r="AB29" i="10"/>
  <c r="AB32" i="10" s="1"/>
  <c r="AC29" i="10"/>
  <c r="AC32" i="10" s="1"/>
  <c r="AD29" i="10"/>
  <c r="AD32" i="10" s="1"/>
  <c r="AE29" i="10"/>
  <c r="AE32" i="10" s="1"/>
  <c r="AF32" i="10"/>
  <c r="AG40" i="10"/>
  <c r="AL40" i="10"/>
  <c r="AE40" i="10"/>
  <c r="X40" i="10"/>
  <c r="BD40" i="10"/>
  <c r="CA36" i="10"/>
  <c r="BV40" i="10"/>
  <c r="AL66" i="10"/>
  <c r="AJ66" i="10"/>
  <c r="Z66" i="10"/>
  <c r="M66" i="10"/>
  <c r="BI66" i="10"/>
  <c r="BK193" i="5" s="1"/>
  <c r="BK219" i="5" s="1"/>
  <c r="CC10" i="10"/>
  <c r="S66" i="10"/>
  <c r="BB66" i="10"/>
  <c r="BD193" i="5" s="1"/>
  <c r="BD219" i="5" s="1"/>
  <c r="AM66" i="10"/>
  <c r="BR10" i="10"/>
  <c r="CL10" i="10"/>
  <c r="BS10" i="10"/>
  <c r="CM10" i="10"/>
  <c r="P75" i="10"/>
  <c r="U75" i="10"/>
  <c r="AE75" i="10"/>
  <c r="AR66" i="10"/>
  <c r="Z75" i="10"/>
  <c r="AY75" i="10"/>
  <c r="BD94" i="10"/>
  <c r="AO75" i="10"/>
  <c r="AX75" i="10"/>
  <c r="AZ192" i="5" s="1"/>
  <c r="AZ218" i="5" s="1"/>
  <c r="AB94" i="10"/>
  <c r="BX10" i="10"/>
  <c r="Y94" i="10"/>
  <c r="BI94" i="10"/>
  <c r="AH94" i="10"/>
  <c r="AM94" i="10"/>
  <c r="DG71" i="10"/>
  <c r="DK71" i="10"/>
  <c r="DO71" i="10"/>
  <c r="DT71" i="10" s="1"/>
  <c r="DH71" i="10"/>
  <c r="DL71" i="10"/>
  <c r="DI71" i="10"/>
  <c r="DM71" i="10"/>
  <c r="DF71" i="10"/>
  <c r="DN71" i="10"/>
  <c r="AT127" i="10"/>
  <c r="AT130" i="10" s="1"/>
  <c r="AQ127" i="10"/>
  <c r="AQ130" i="10" s="1"/>
  <c r="AR127" i="10"/>
  <c r="AR130" i="10" s="1"/>
  <c r="AS127" i="10"/>
  <c r="AS130" i="10" s="1"/>
  <c r="AU130" i="10"/>
  <c r="CQ75" i="10"/>
  <c r="CR75" i="10"/>
  <c r="CS75" i="10"/>
  <c r="CT75" i="10"/>
  <c r="S130" i="10"/>
  <c r="AC130" i="10"/>
  <c r="P139" i="10"/>
  <c r="AI139" i="10"/>
  <c r="BG156" i="10"/>
  <c r="AW156" i="10"/>
  <c r="N156" i="10"/>
  <c r="Y156" i="10"/>
  <c r="AS156" i="10"/>
  <c r="CD141" i="10"/>
  <c r="AI156" i="10"/>
  <c r="BA165" i="10"/>
  <c r="AB175" i="10"/>
  <c r="AB182" i="10" s="1"/>
  <c r="M182" i="10"/>
  <c r="AL182" i="10"/>
  <c r="CK173" i="10"/>
  <c r="CF175" i="10"/>
  <c r="AE182" i="10"/>
  <c r="AY180" i="10"/>
  <c r="CX159" i="10"/>
  <c r="DB159" i="10"/>
  <c r="CY159" i="10"/>
  <c r="DC159" i="10"/>
  <c r="CW159" i="10"/>
  <c r="DA159" i="10"/>
  <c r="DE159" i="10"/>
  <c r="DJ159" i="10" s="1"/>
  <c r="DO159" i="10" s="1"/>
  <c r="DT159" i="10" s="1"/>
  <c r="CV159" i="10"/>
  <c r="DD159" i="10"/>
  <c r="AA182" i="10"/>
  <c r="AR182" i="10"/>
  <c r="CF180" i="10"/>
  <c r="CK178" i="10"/>
  <c r="BE16" i="9"/>
  <c r="AZ16" i="9"/>
  <c r="BB14" i="9"/>
  <c r="BC9" i="9"/>
  <c r="BB9" i="9"/>
  <c r="AR27" i="9"/>
  <c r="AR31" i="9" s="1"/>
  <c r="AR35" i="9" s="1"/>
  <c r="BD12" i="9"/>
  <c r="AY16" i="9"/>
  <c r="AY18" i="9" s="1"/>
  <c r="BB12" i="9"/>
  <c r="BH14" i="9"/>
  <c r="BG14" i="9"/>
  <c r="BA13" i="9"/>
  <c r="BH13" i="9"/>
  <c r="BM13" i="9" s="1"/>
  <c r="BC55" i="9"/>
  <c r="AI109" i="6"/>
  <c r="AN109" i="6"/>
  <c r="V109" i="6"/>
  <c r="AA109" i="6"/>
  <c r="AL96" i="6"/>
  <c r="AL106" i="6" s="1"/>
  <c r="AL98" i="6"/>
  <c r="AL59" i="6" s="1"/>
  <c r="AL100" i="6"/>
  <c r="AZ169" i="6"/>
  <c r="AZ96" i="4" s="1"/>
  <c r="BA163" i="6"/>
  <c r="BB10" i="6"/>
  <c r="BF10" i="6"/>
  <c r="R38" i="6"/>
  <c r="U241" i="6"/>
  <c r="U254" i="6" s="1"/>
  <c r="V241" i="6"/>
  <c r="V254" i="6" s="1"/>
  <c r="BG28" i="6"/>
  <c r="AD96" i="6"/>
  <c r="AD106" i="6" s="1"/>
  <c r="AD98" i="6"/>
  <c r="AD59" i="6" s="1"/>
  <c r="AD100" i="6"/>
  <c r="AO115" i="6"/>
  <c r="AP115" i="6"/>
  <c r="AN115" i="6"/>
  <c r="AR127" i="6"/>
  <c r="AR135" i="6"/>
  <c r="AQ96" i="6"/>
  <c r="AQ106" i="6" s="1"/>
  <c r="AQ98" i="6"/>
  <c r="AQ59" i="6" s="1"/>
  <c r="AQ100" i="6"/>
  <c r="R121" i="6"/>
  <c r="R122" i="6"/>
  <c r="R119" i="6"/>
  <c r="R118" i="6"/>
  <c r="E120" i="6"/>
  <c r="AM109" i="6"/>
  <c r="AR109" i="6"/>
  <c r="AZ85" i="6"/>
  <c r="AZ87" i="6" s="1"/>
  <c r="BE94" i="6"/>
  <c r="AZ96" i="6"/>
  <c r="AZ105" i="6" s="1"/>
  <c r="AZ13" i="6" s="1"/>
  <c r="AZ98" i="6"/>
  <c r="AC125" i="6"/>
  <c r="AC60" i="6" s="1"/>
  <c r="AH125" i="6"/>
  <c r="AH60" i="6" s="1"/>
  <c r="AC127" i="6"/>
  <c r="AN136" i="6"/>
  <c r="BA165" i="6"/>
  <c r="BF164" i="6"/>
  <c r="AC160" i="6"/>
  <c r="BE21" i="6"/>
  <c r="BD169" i="6"/>
  <c r="BD96" i="4" s="1"/>
  <c r="R215" i="6"/>
  <c r="X201" i="6"/>
  <c r="DE215" i="6"/>
  <c r="AR201" i="6"/>
  <c r="DY215" i="6"/>
  <c r="N160" i="6"/>
  <c r="DJ215" i="6"/>
  <c r="AY161" i="6"/>
  <c r="AX156" i="6"/>
  <c r="P215" i="6"/>
  <c r="AM215" i="6"/>
  <c r="AB248" i="6"/>
  <c r="AB227" i="6"/>
  <c r="AB236" i="6"/>
  <c r="W213" i="6"/>
  <c r="W215" i="6" s="1"/>
  <c r="BJ163" i="6"/>
  <c r="Z227" i="6"/>
  <c r="AD227" i="6"/>
  <c r="AH248" i="6"/>
  <c r="BB129" i="6"/>
  <c r="BC70" i="6"/>
  <c r="Y109" i="6"/>
  <c r="AD109" i="6"/>
  <c r="Y119" i="6"/>
  <c r="AE109" i="6"/>
  <c r="N109" i="6"/>
  <c r="W86" i="6"/>
  <c r="W87" i="6" s="1"/>
  <c r="W108" i="6" s="1"/>
  <c r="W109" i="6" s="1"/>
  <c r="BE106" i="6"/>
  <c r="H96" i="6"/>
  <c r="H106" i="6" s="1"/>
  <c r="H100" i="6"/>
  <c r="AX13" i="6"/>
  <c r="P120" i="6"/>
  <c r="U118" i="6"/>
  <c r="AX203" i="6"/>
  <c r="AX259" i="6"/>
  <c r="BI203" i="6"/>
  <c r="AD160" i="6"/>
  <c r="AN160" i="6"/>
  <c r="AB230" i="6"/>
  <c r="AB233" i="6"/>
  <c r="AB270" i="6" s="1"/>
  <c r="AI230" i="6"/>
  <c r="AI233" i="6"/>
  <c r="AI270" i="6" s="1"/>
  <c r="AI247" i="6"/>
  <c r="K241" i="6"/>
  <c r="K254" i="6" s="1"/>
  <c r="AX100" i="6"/>
  <c r="BB102" i="6"/>
  <c r="BH70" i="6"/>
  <c r="BI86" i="6"/>
  <c r="O120" i="6"/>
  <c r="J133" i="6"/>
  <c r="R96" i="6"/>
  <c r="R106" i="6" s="1"/>
  <c r="R98" i="6"/>
  <c r="R59" i="6" s="1"/>
  <c r="R100" i="6"/>
  <c r="AI96" i="6"/>
  <c r="AI106" i="6" s="1"/>
  <c r="AI98" i="6"/>
  <c r="AI59" i="6" s="1"/>
  <c r="AI100" i="6"/>
  <c r="AY94" i="6"/>
  <c r="AT98" i="6"/>
  <c r="AT59" i="6" s="1"/>
  <c r="AT100" i="6"/>
  <c r="AT96" i="6"/>
  <c r="AT106" i="6" s="1"/>
  <c r="AY106" i="6" s="1"/>
  <c r="BH122" i="6"/>
  <c r="BM122" i="6" s="1"/>
  <c r="BE100" i="6"/>
  <c r="W98" i="6"/>
  <c r="W59" i="6" s="1"/>
  <c r="BH106" i="6"/>
  <c r="BH105" i="6" s="1"/>
  <c r="AX121" i="6"/>
  <c r="BA160" i="6"/>
  <c r="AH201" i="6"/>
  <c r="DO215" i="6"/>
  <c r="BE22" i="6"/>
  <c r="BE163" i="6"/>
  <c r="AR160" i="6"/>
  <c r="CP218" i="6"/>
  <c r="CQ216" i="6" s="1"/>
  <c r="AH230" i="6"/>
  <c r="AG235" i="6"/>
  <c r="AG236" i="6" s="1"/>
  <c r="AH233" i="6"/>
  <c r="AH270" i="6" s="1"/>
  <c r="AH247" i="6"/>
  <c r="Z230" i="6"/>
  <c r="Z233" i="6"/>
  <c r="Z270" i="6" s="1"/>
  <c r="Z247" i="6"/>
  <c r="Z248" i="6"/>
  <c r="AD230" i="6"/>
  <c r="AD233" i="6"/>
  <c r="AD270" i="6" s="1"/>
  <c r="AD247" i="6"/>
  <c r="AD248" i="6"/>
  <c r="AY229" i="6"/>
  <c r="N258" i="6"/>
  <c r="I265" i="6"/>
  <c r="BB28" i="6"/>
  <c r="M38" i="6"/>
  <c r="Q241" i="6"/>
  <c r="Q254" i="6" s="1"/>
  <c r="S53" i="6"/>
  <c r="S48" i="6"/>
  <c r="F54" i="6"/>
  <c r="AX70" i="6"/>
  <c r="AG98" i="6"/>
  <c r="AG59" i="6" s="1"/>
  <c r="AG96" i="6"/>
  <c r="AG106" i="6" s="1"/>
  <c r="AG100" i="6"/>
  <c r="H86" i="6"/>
  <c r="H87" i="6" s="1"/>
  <c r="H108" i="6" s="1"/>
  <c r="M109" i="6" s="1"/>
  <c r="AJ109" i="6"/>
  <c r="AQ115" i="6"/>
  <c r="AL86" i="6"/>
  <c r="AL87" i="6" s="1"/>
  <c r="AL108" i="6" s="1"/>
  <c r="AU87" i="6"/>
  <c r="AU108" i="6" s="1"/>
  <c r="AU109" i="6" s="1"/>
  <c r="V98" i="6"/>
  <c r="V59" i="6" s="1"/>
  <c r="AA98" i="6"/>
  <c r="AA59" i="6" s="1"/>
  <c r="V96" i="6"/>
  <c r="V106" i="6" s="1"/>
  <c r="I127" i="6"/>
  <c r="N125" i="6"/>
  <c r="N60" i="6" s="1"/>
  <c r="W121" i="6"/>
  <c r="BF199" i="6"/>
  <c r="N201" i="6"/>
  <c r="CU215" i="6"/>
  <c r="AY169" i="6"/>
  <c r="AY96" i="4" s="1"/>
  <c r="BH203" i="6"/>
  <c r="BH259" i="6"/>
  <c r="DN215" i="6"/>
  <c r="L215" i="6"/>
  <c r="W226" i="6"/>
  <c r="X235" i="6"/>
  <c r="X248" i="6" s="1"/>
  <c r="H213" i="6"/>
  <c r="H215" i="6" s="1"/>
  <c r="S215" i="6"/>
  <c r="BF211" i="6"/>
  <c r="AH227" i="6"/>
  <c r="AB247" i="6"/>
  <c r="AI248" i="6"/>
  <c r="AI227" i="6"/>
  <c r="BK211" i="6"/>
  <c r="AX269" i="6"/>
  <c r="AY269" i="6"/>
  <c r="AZ269" i="6"/>
  <c r="BA269" i="6"/>
  <c r="BG269" i="6"/>
  <c r="BG73" i="6"/>
  <c r="BD273" i="6"/>
  <c r="BD73" i="6" s="1"/>
  <c r="BH273" i="6"/>
  <c r="BH73" i="6" s="1"/>
  <c r="BL273" i="6"/>
  <c r="BL73" i="6" s="1"/>
  <c r="BE273" i="6"/>
  <c r="BE73" i="6" s="1"/>
  <c r="BI273" i="6"/>
  <c r="BI73" i="6" s="1"/>
  <c r="BF273" i="6"/>
  <c r="BF73" i="6" s="1"/>
  <c r="BJ273" i="6"/>
  <c r="BJ73" i="6" s="1"/>
  <c r="BC273" i="6"/>
  <c r="BC73" i="6" s="1"/>
  <c r="BK273" i="6"/>
  <c r="BK73" i="6" s="1"/>
  <c r="J263" i="6"/>
  <c r="K258" i="6" s="1"/>
  <c r="K263" i="6" s="1"/>
  <c r="L258" i="6" s="1"/>
  <c r="L263" i="6" s="1"/>
  <c r="M258" i="6" s="1"/>
  <c r="M263" i="6" s="1"/>
  <c r="N263" i="6" s="1"/>
  <c r="F182" i="8"/>
  <c r="G180" i="8" s="1"/>
  <c r="G182" i="8" s="1"/>
  <c r="H180" i="8" s="1"/>
  <c r="L226" i="8"/>
  <c r="J226" i="8"/>
  <c r="J227" i="8" s="1"/>
  <c r="K222" i="8" s="1"/>
  <c r="U179" i="8"/>
  <c r="BD85" i="8"/>
  <c r="AY89" i="8"/>
  <c r="AY87" i="8"/>
  <c r="AY96" i="8" s="1"/>
  <c r="AY9" i="8" s="1"/>
  <c r="BE85" i="8"/>
  <c r="AZ89" i="8"/>
  <c r="AZ87" i="8"/>
  <c r="S100" i="8"/>
  <c r="AV224" i="8"/>
  <c r="AW224" i="8" s="1"/>
  <c r="DI165" i="8"/>
  <c r="DI179" i="8" s="1"/>
  <c r="BH15" i="8"/>
  <c r="BH167" i="8"/>
  <c r="BH223" i="8"/>
  <c r="BA169" i="8"/>
  <c r="N165" i="8"/>
  <c r="CU179" i="8"/>
  <c r="AF179" i="8"/>
  <c r="Y179" i="8"/>
  <c r="AR197" i="8"/>
  <c r="AR234" i="8" s="1"/>
  <c r="AR194" i="8"/>
  <c r="AQ199" i="8"/>
  <c r="AQ212" i="8" s="1"/>
  <c r="AR212" i="8"/>
  <c r="AR191" i="8"/>
  <c r="AR211" i="8"/>
  <c r="P197" i="8"/>
  <c r="P234" i="8" s="1"/>
  <c r="P194" i="8"/>
  <c r="P212" i="8"/>
  <c r="P211" i="8"/>
  <c r="AJ197" i="8"/>
  <c r="AJ234" i="8" s="1"/>
  <c r="AJ194" i="8"/>
  <c r="AJ212" i="8"/>
  <c r="AJ211" i="8"/>
  <c r="T212" i="8"/>
  <c r="BH85" i="8"/>
  <c r="BM85" i="8" s="1"/>
  <c r="BC89" i="8"/>
  <c r="BC87" i="8"/>
  <c r="BC96" i="8" s="1"/>
  <c r="BH97" i="8"/>
  <c r="BE15" i="8"/>
  <c r="BJ110" i="8"/>
  <c r="BC167" i="8"/>
  <c r="BC223" i="8"/>
  <c r="BD167" i="8"/>
  <c r="BD223" i="8"/>
  <c r="AZ133" i="8"/>
  <c r="AZ95" i="4" s="1"/>
  <c r="BK133" i="8"/>
  <c r="BK95" i="4" s="1"/>
  <c r="CP179" i="8"/>
  <c r="I165" i="8"/>
  <c r="DJ179" i="8"/>
  <c r="AC165" i="8"/>
  <c r="AG165" i="8"/>
  <c r="AG179" i="8" s="1"/>
  <c r="H179" i="8"/>
  <c r="AK179" i="8"/>
  <c r="X177" i="8"/>
  <c r="X67" i="9" s="1"/>
  <c r="X66" i="9" s="1"/>
  <c r="DE179" i="8"/>
  <c r="H197" i="8"/>
  <c r="H234" i="8" s="1"/>
  <c r="H194" i="8"/>
  <c r="H212" i="8"/>
  <c r="H191" i="8"/>
  <c r="H211" i="8"/>
  <c r="AL190" i="8"/>
  <c r="AM199" i="8"/>
  <c r="AM191" i="8" s="1"/>
  <c r="L197" i="8"/>
  <c r="L234" i="8" s="1"/>
  <c r="L194" i="8"/>
  <c r="L212" i="8"/>
  <c r="L191" i="8"/>
  <c r="L211" i="8"/>
  <c r="X197" i="8"/>
  <c r="X234" i="8" s="1"/>
  <c r="X194" i="8"/>
  <c r="W199" i="8"/>
  <c r="W191" i="8" s="1"/>
  <c r="X212" i="8"/>
  <c r="X191" i="8"/>
  <c r="X211" i="8"/>
  <c r="BB21" i="8"/>
  <c r="BF21" i="8"/>
  <c r="BF36" i="8"/>
  <c r="BB36" i="8"/>
  <c r="AU78" i="8"/>
  <c r="AU99" i="8" s="1"/>
  <c r="AU100" i="8" s="1"/>
  <c r="BI97" i="8"/>
  <c r="R100" i="8"/>
  <c r="BE133" i="8"/>
  <c r="BE95" i="4" s="1"/>
  <c r="BA128" i="8"/>
  <c r="BA133" i="8" s="1"/>
  <c r="BA95" i="4" s="1"/>
  <c r="BI167" i="8"/>
  <c r="BI223" i="8"/>
  <c r="AH165" i="8"/>
  <c r="DO179" i="8"/>
  <c r="BK169" i="8"/>
  <c r="AM165" i="8"/>
  <c r="DT179" i="8"/>
  <c r="AN179" i="8"/>
  <c r="CT179" i="8"/>
  <c r="AS223" i="8"/>
  <c r="DN177" i="8"/>
  <c r="DN179" i="8" s="1"/>
  <c r="S191" i="8"/>
  <c r="S197" i="8"/>
  <c r="S234" i="8" s="1"/>
  <c r="S194" i="8"/>
  <c r="R199" i="8"/>
  <c r="S211" i="8"/>
  <c r="S212" i="8"/>
  <c r="S200" i="8"/>
  <c r="AQ191" i="8"/>
  <c r="AQ200" i="8"/>
  <c r="AY193" i="8"/>
  <c r="AF197" i="8"/>
  <c r="AF234" i="8" s="1"/>
  <c r="AF194" i="8"/>
  <c r="AF212" i="8"/>
  <c r="AF211" i="8"/>
  <c r="AY233" i="8"/>
  <c r="BG233" i="8"/>
  <c r="AZ233" i="8"/>
  <c r="BA233" i="8"/>
  <c r="AX233" i="8"/>
  <c r="BD77" i="8"/>
  <c r="AL100" i="8"/>
  <c r="BA97" i="8"/>
  <c r="BF133" i="8"/>
  <c r="BF95" i="4" s="1"/>
  <c r="AX167" i="8"/>
  <c r="AX223" i="8"/>
  <c r="BJ223" i="8"/>
  <c r="AQ165" i="8"/>
  <c r="AQ179" i="8" s="1"/>
  <c r="AB179" i="8"/>
  <c r="S165" i="8"/>
  <c r="CZ179" i="8"/>
  <c r="AY167" i="8"/>
  <c r="AY223" i="8"/>
  <c r="CY179" i="8"/>
  <c r="L179" i="8"/>
  <c r="R179" i="8"/>
  <c r="M165" i="8"/>
  <c r="M179" i="8" s="1"/>
  <c r="AA165" i="8"/>
  <c r="AA179" i="8" s="1"/>
  <c r="AO179" i="8"/>
  <c r="M190" i="8"/>
  <c r="N199" i="8"/>
  <c r="N200" i="8" s="1"/>
  <c r="N213" i="8"/>
  <c r="AG194" i="8"/>
  <c r="AG191" i="8"/>
  <c r="AG211" i="8"/>
  <c r="AG212" i="8"/>
  <c r="AG197" i="8"/>
  <c r="AG234" i="8" s="1"/>
  <c r="AG200" i="8"/>
  <c r="AP194" i="8"/>
  <c r="AP211" i="8"/>
  <c r="AP212" i="8"/>
  <c r="AP197" i="8"/>
  <c r="AP234" i="8" s="1"/>
  <c r="H200" i="8"/>
  <c r="W200" i="8"/>
  <c r="AN197" i="8"/>
  <c r="AN234" i="8" s="1"/>
  <c r="AN194" i="8"/>
  <c r="AN212" i="8"/>
  <c r="AN191" i="8"/>
  <c r="AN211" i="8"/>
  <c r="T197" i="8"/>
  <c r="T234" i="8" s="1"/>
  <c r="T194" i="8"/>
  <c r="T211" i="8"/>
  <c r="AT237" i="8"/>
  <c r="BB237" i="8"/>
  <c r="BB56" i="8" s="1"/>
  <c r="AU237" i="8"/>
  <c r="AS237" i="8"/>
  <c r="AV237" i="8"/>
  <c r="AL99" i="7"/>
  <c r="AL109" i="7" s="1"/>
  <c r="AL101" i="7"/>
  <c r="AL60" i="7" s="1"/>
  <c r="AL103" i="7"/>
  <c r="AG101" i="7"/>
  <c r="AG60" i="7" s="1"/>
  <c r="AG99" i="7"/>
  <c r="AG109" i="7" s="1"/>
  <c r="V218" i="7"/>
  <c r="H33" i="7"/>
  <c r="BF44" i="7"/>
  <c r="BB44" i="7"/>
  <c r="X54" i="7"/>
  <c r="X49" i="7"/>
  <c r="N55" i="7"/>
  <c r="N243" i="7"/>
  <c r="N247" i="7"/>
  <c r="BH74" i="7"/>
  <c r="AG90" i="7"/>
  <c r="AG111" i="7" s="1"/>
  <c r="AG103" i="7"/>
  <c r="BD99" i="7"/>
  <c r="BD108" i="7" s="1"/>
  <c r="BD13" i="7" s="1"/>
  <c r="BI97" i="7"/>
  <c r="BN97" i="7" s="1"/>
  <c r="BD101" i="7"/>
  <c r="Y124" i="7"/>
  <c r="K125" i="7"/>
  <c r="K129" i="7" s="1"/>
  <c r="K135" i="7"/>
  <c r="BH146" i="7"/>
  <c r="BM146" i="7" s="1"/>
  <c r="P123" i="7"/>
  <c r="AY172" i="7"/>
  <c r="AY94" i="4" s="1"/>
  <c r="BJ172" i="7"/>
  <c r="BJ94" i="4" s="1"/>
  <c r="BD172" i="7"/>
  <c r="BD94" i="4" s="1"/>
  <c r="AZ169" i="7"/>
  <c r="BA169" i="7" s="1"/>
  <c r="AS262" i="7"/>
  <c r="I233" i="7"/>
  <c r="H238" i="7"/>
  <c r="I236" i="7"/>
  <c r="I274" i="7" s="1"/>
  <c r="I250" i="7"/>
  <c r="I251" i="7"/>
  <c r="I239" i="7"/>
  <c r="BF170" i="7"/>
  <c r="AR216" i="7"/>
  <c r="AR67" i="9" s="1"/>
  <c r="AR66" i="9" s="1"/>
  <c r="DY218" i="7"/>
  <c r="AM216" i="7"/>
  <c r="AM67" i="9" s="1"/>
  <c r="AM66" i="9" s="1"/>
  <c r="DT218" i="7"/>
  <c r="N218" i="7"/>
  <c r="AU230" i="7"/>
  <c r="K251" i="7"/>
  <c r="K233" i="7"/>
  <c r="K236" i="7"/>
  <c r="K274" i="7" s="1"/>
  <c r="K250" i="7"/>
  <c r="AQ251" i="7"/>
  <c r="AQ230" i="7"/>
  <c r="AQ233" i="7"/>
  <c r="AQ236" i="7"/>
  <c r="AQ274" i="7" s="1"/>
  <c r="J251" i="7"/>
  <c r="AO233" i="7"/>
  <c r="AO236" i="7"/>
  <c r="AO274" i="7" s="1"/>
  <c r="AO250" i="7"/>
  <c r="AO251" i="7"/>
  <c r="AS233" i="7"/>
  <c r="AS274" i="7"/>
  <c r="AK230" i="7"/>
  <c r="G250" i="7"/>
  <c r="G233" i="7"/>
  <c r="G236" i="7"/>
  <c r="G274" i="7" s="1"/>
  <c r="V233" i="7"/>
  <c r="V236" i="7"/>
  <c r="V274" i="7" s="1"/>
  <c r="V250" i="7"/>
  <c r="AE239" i="7"/>
  <c r="AI230" i="7"/>
  <c r="AT273" i="7"/>
  <c r="BB273" i="7"/>
  <c r="AU273" i="7"/>
  <c r="AV273" i="7"/>
  <c r="AS273" i="7"/>
  <c r="BB15" i="7"/>
  <c r="BF15" i="7"/>
  <c r="BB10" i="7"/>
  <c r="BF10" i="7"/>
  <c r="AK244" i="7"/>
  <c r="AK257" i="7" s="1"/>
  <c r="AH54" i="7"/>
  <c r="H90" i="7"/>
  <c r="H111" i="7" s="1"/>
  <c r="H103" i="7"/>
  <c r="AI99" i="7"/>
  <c r="AI109" i="7" s="1"/>
  <c r="AI101" i="7"/>
  <c r="AI60" i="7" s="1"/>
  <c r="AN101" i="7"/>
  <c r="AN60" i="7" s="1"/>
  <c r="AI103" i="7"/>
  <c r="V101" i="7"/>
  <c r="V60" i="7" s="1"/>
  <c r="V103" i="7"/>
  <c r="V99" i="7"/>
  <c r="V109" i="7" s="1"/>
  <c r="AA101" i="7"/>
  <c r="AA60" i="7" s="1"/>
  <c r="W99" i="7"/>
  <c r="W109" i="7" s="1"/>
  <c r="W101" i="7"/>
  <c r="W60" i="7" s="1"/>
  <c r="L121" i="7"/>
  <c r="L122" i="7"/>
  <c r="L124" i="7"/>
  <c r="AZ99" i="7"/>
  <c r="BE97" i="7"/>
  <c r="AZ101" i="7"/>
  <c r="W103" i="7"/>
  <c r="Y122" i="7"/>
  <c r="AZ20" i="7"/>
  <c r="BE143" i="7"/>
  <c r="BC206" i="7"/>
  <c r="BC262" i="7"/>
  <c r="BA163" i="7"/>
  <c r="G218" i="7"/>
  <c r="Y218" i="7"/>
  <c r="Q233" i="7"/>
  <c r="Q236" i="7"/>
  <c r="Q274" i="7" s="1"/>
  <c r="Q250" i="7"/>
  <c r="Q251" i="7"/>
  <c r="Q239" i="7"/>
  <c r="BI206" i="7"/>
  <c r="BI262" i="7"/>
  <c r="R218" i="7"/>
  <c r="AF216" i="7"/>
  <c r="AF218" i="7" s="1"/>
  <c r="I230" i="7"/>
  <c r="S251" i="7"/>
  <c r="S233" i="7"/>
  <c r="R238" i="7"/>
  <c r="S236" i="7"/>
  <c r="S274" i="7" s="1"/>
  <c r="S250" i="7"/>
  <c r="S77" i="7"/>
  <c r="T277" i="7"/>
  <c r="Z233" i="7"/>
  <c r="Z236" i="7"/>
  <c r="Z274" i="7" s="1"/>
  <c r="Z250" i="7"/>
  <c r="AE233" i="7"/>
  <c r="AE236" i="7"/>
  <c r="AE274" i="7" s="1"/>
  <c r="AI239" i="7"/>
  <c r="V244" i="7"/>
  <c r="V257" i="7" s="1"/>
  <c r="AL39" i="7"/>
  <c r="M103" i="7"/>
  <c r="AP99" i="7"/>
  <c r="AP109" i="7" s="1"/>
  <c r="AP101" i="7"/>
  <c r="AP60" i="7" s="1"/>
  <c r="AP103" i="7"/>
  <c r="AI112" i="7"/>
  <c r="AQ99" i="7"/>
  <c r="AQ109" i="7" s="1"/>
  <c r="AQ101" i="7"/>
  <c r="AQ60" i="7" s="1"/>
  <c r="AQ103" i="7"/>
  <c r="AN112" i="7"/>
  <c r="BH109" i="7"/>
  <c r="G121" i="7"/>
  <c r="G124" i="7"/>
  <c r="G122" i="7"/>
  <c r="T121" i="7"/>
  <c r="O123" i="7"/>
  <c r="AZ172" i="7"/>
  <c r="AZ94" i="4" s="1"/>
  <c r="DB218" i="7"/>
  <c r="BA167" i="7"/>
  <c r="AB218" i="7"/>
  <c r="BF168" i="7"/>
  <c r="K218" i="7"/>
  <c r="AB229" i="7"/>
  <c r="AC238" i="7"/>
  <c r="AC230" i="7" s="1"/>
  <c r="AC252" i="7"/>
  <c r="U233" i="7"/>
  <c r="U236" i="7"/>
  <c r="U274" i="7" s="1"/>
  <c r="U250" i="7"/>
  <c r="U251" i="7"/>
  <c r="U239" i="7"/>
  <c r="BK166" i="7"/>
  <c r="BK172" i="7" s="1"/>
  <c r="BK94" i="4" s="1"/>
  <c r="AA218" i="7"/>
  <c r="BF215" i="7"/>
  <c r="M229" i="7"/>
  <c r="N238" i="7"/>
  <c r="N230" i="7" s="1"/>
  <c r="S230" i="7"/>
  <c r="W251" i="7"/>
  <c r="W230" i="7"/>
  <c r="W233" i="7"/>
  <c r="W236" i="7"/>
  <c r="W274" i="7" s="1"/>
  <c r="W250" i="7"/>
  <c r="E233" i="7"/>
  <c r="E236" i="7"/>
  <c r="E274" i="7" s="1"/>
  <c r="E250" i="7"/>
  <c r="J233" i="7"/>
  <c r="J236" i="7"/>
  <c r="J274" i="7" s="1"/>
  <c r="J250" i="7"/>
  <c r="AK233" i="7"/>
  <c r="AK236" i="7"/>
  <c r="AK274" i="7" s="1"/>
  <c r="AK250" i="7"/>
  <c r="AK251" i="7"/>
  <c r="AI233" i="7"/>
  <c r="AI236" i="7"/>
  <c r="AI274" i="7" s="1"/>
  <c r="AZ232" i="7"/>
  <c r="I268" i="7"/>
  <c r="N261" i="7"/>
  <c r="J261" i="7"/>
  <c r="BL29" i="7"/>
  <c r="BG29" i="7"/>
  <c r="AQ244" i="7"/>
  <c r="AQ257" i="7" s="1"/>
  <c r="W44" i="7"/>
  <c r="AA44" i="7"/>
  <c r="AA32" i="9" s="1"/>
  <c r="BG45" i="7"/>
  <c r="AB90" i="7"/>
  <c r="AB111" i="7" s="1"/>
  <c r="AB112" i="7" s="1"/>
  <c r="AB103" i="7"/>
  <c r="AB101" i="7"/>
  <c r="AB60" i="7" s="1"/>
  <c r="M101" i="7"/>
  <c r="M60" i="7" s="1"/>
  <c r="M99" i="7"/>
  <c r="M109" i="7" s="1"/>
  <c r="J123" i="7"/>
  <c r="BI109" i="7"/>
  <c r="H121" i="7"/>
  <c r="H122" i="7"/>
  <c r="H124" i="7"/>
  <c r="F125" i="7"/>
  <c r="F129" i="7" s="1"/>
  <c r="F135" i="7"/>
  <c r="U123" i="7"/>
  <c r="Z121" i="7"/>
  <c r="BE169" i="7"/>
  <c r="BE172" i="7" s="1"/>
  <c r="BE94" i="4" s="1"/>
  <c r="AX206" i="7"/>
  <c r="AX262" i="7"/>
  <c r="DF218" i="7"/>
  <c r="BC149" i="7"/>
  <c r="CO221" i="7"/>
  <c r="AZ214" i="7"/>
  <c r="BJ214" i="7"/>
  <c r="BJ122" i="4" s="1"/>
  <c r="AL218" i="7"/>
  <c r="Q218" i="7"/>
  <c r="DJ218" i="7"/>
  <c r="AL229" i="7"/>
  <c r="AM238" i="7"/>
  <c r="AM230" i="7" s="1"/>
  <c r="AA251" i="7"/>
  <c r="AA233" i="7"/>
  <c r="AA236" i="7"/>
  <c r="AA274" i="7" s="1"/>
  <c r="AA250" i="7"/>
  <c r="S239" i="7"/>
  <c r="AI250" i="7"/>
  <c r="E230" i="7"/>
  <c r="AO239" i="7"/>
  <c r="K230" i="7"/>
  <c r="G239" i="7"/>
  <c r="V239" i="7"/>
  <c r="Z251" i="7"/>
  <c r="Z230" i="7"/>
  <c r="AE230" i="7"/>
  <c r="BB77" i="7"/>
  <c r="BG277" i="7"/>
  <c r="AX277" i="7"/>
  <c r="AX77" i="7" s="1"/>
  <c r="BC13" i="5"/>
  <c r="H228" i="5"/>
  <c r="J139" i="5"/>
  <c r="BK213" i="5"/>
  <c r="BK269" i="5"/>
  <c r="Y33" i="5"/>
  <c r="BA29" i="5"/>
  <c r="BA36" i="4" s="1"/>
  <c r="BB36" i="4" s="1"/>
  <c r="AG18" i="5"/>
  <c r="AG26" i="5"/>
  <c r="AE33" i="5"/>
  <c r="AE39" i="5"/>
  <c r="AO18" i="5"/>
  <c r="AO26" i="5"/>
  <c r="H33" i="5"/>
  <c r="H39" i="5"/>
  <c r="J251" i="5"/>
  <c r="J264" i="5" s="1"/>
  <c r="K251" i="5"/>
  <c r="K264" i="5" s="1"/>
  <c r="H251" i="5"/>
  <c r="H264" i="5" s="1"/>
  <c r="L251" i="5"/>
  <c r="L264" i="5" s="1"/>
  <c r="AN39" i="5"/>
  <c r="AN33" i="5"/>
  <c r="AP43" i="5"/>
  <c r="AP47" i="5" s="1"/>
  <c r="AP73" i="5"/>
  <c r="AP74" i="5"/>
  <c r="R111" i="5"/>
  <c r="W111" i="5"/>
  <c r="AE111" i="5"/>
  <c r="AE115" i="5"/>
  <c r="AH111" i="5"/>
  <c r="W121" i="5"/>
  <c r="T121" i="5"/>
  <c r="V121" i="5"/>
  <c r="X133" i="5"/>
  <c r="X141" i="5"/>
  <c r="X142" i="5" s="1"/>
  <c r="AB100" i="5"/>
  <c r="AB60" i="5" s="1"/>
  <c r="AB102" i="5"/>
  <c r="AB98" i="5"/>
  <c r="AB108" i="5" s="1"/>
  <c r="AG100" i="5"/>
  <c r="AG60" i="5" s="1"/>
  <c r="AJ111" i="5"/>
  <c r="L111" i="5"/>
  <c r="Q111" i="5"/>
  <c r="BE22" i="5"/>
  <c r="BJ152" i="5"/>
  <c r="G133" i="5"/>
  <c r="G139" i="5"/>
  <c r="Y127" i="5"/>
  <c r="H133" i="5"/>
  <c r="H139" i="5"/>
  <c r="BE23" i="5"/>
  <c r="AC169" i="5"/>
  <c r="BD20" i="5"/>
  <c r="BI149" i="5"/>
  <c r="BD22" i="5"/>
  <c r="BI152" i="5"/>
  <c r="BN152" i="5" s="1"/>
  <c r="BN22" i="5" s="1"/>
  <c r="Q211" i="5"/>
  <c r="Q225" i="5" s="1"/>
  <c r="AO211" i="5"/>
  <c r="AO225" i="5" s="1"/>
  <c r="AM211" i="5"/>
  <c r="DT225" i="5"/>
  <c r="AO295" i="5"/>
  <c r="AR283" i="5" s="1"/>
  <c r="AR32" i="2" s="1"/>
  <c r="AP295" i="5"/>
  <c r="AR279" i="5" s="1"/>
  <c r="AB240" i="5"/>
  <c r="O43" i="5"/>
  <c r="O47" i="5" s="1"/>
  <c r="O73" i="5"/>
  <c r="O74" i="5"/>
  <c r="AM73" i="5"/>
  <c r="AM74" i="5"/>
  <c r="AM43" i="5"/>
  <c r="T39" i="5"/>
  <c r="T33" i="5"/>
  <c r="W251" i="5"/>
  <c r="W264" i="5" s="1"/>
  <c r="AS43" i="5"/>
  <c r="AS73" i="5"/>
  <c r="AS74" i="5"/>
  <c r="AR43" i="5"/>
  <c r="AR73" i="5"/>
  <c r="AR74" i="5"/>
  <c r="AQ18" i="5"/>
  <c r="AQ26" i="5"/>
  <c r="P43" i="5"/>
  <c r="P47" i="5" s="1"/>
  <c r="P73" i="5"/>
  <c r="P74" i="5"/>
  <c r="BG44" i="5"/>
  <c r="N54" i="5"/>
  <c r="N49" i="5"/>
  <c r="BB44" i="5"/>
  <c r="AB111" i="5"/>
  <c r="AG111" i="5"/>
  <c r="BD96" i="5"/>
  <c r="AY98" i="5"/>
  <c r="AY107" i="5" s="1"/>
  <c r="AY13" i="5" s="1"/>
  <c r="AY100" i="5"/>
  <c r="AQ89" i="5"/>
  <c r="AQ110" i="5" s="1"/>
  <c r="T124" i="5"/>
  <c r="O126" i="5"/>
  <c r="O129" i="5" s="1"/>
  <c r="R126" i="5"/>
  <c r="R129" i="5" s="1"/>
  <c r="BE20" i="5"/>
  <c r="BJ149" i="5"/>
  <c r="BA170" i="5"/>
  <c r="AZ165" i="5"/>
  <c r="CY225" i="5"/>
  <c r="I211" i="5"/>
  <c r="CP225" i="5"/>
  <c r="BE213" i="5"/>
  <c r="BE269" i="5"/>
  <c r="W211" i="5"/>
  <c r="W225" i="5" s="1"/>
  <c r="U211" i="5"/>
  <c r="U225" i="5" s="1"/>
  <c r="S211" i="5"/>
  <c r="CZ225" i="5"/>
  <c r="AQ240" i="5"/>
  <c r="AQ246" i="5"/>
  <c r="AQ257" i="5"/>
  <c r="AQ258" i="5"/>
  <c r="AQ237" i="5"/>
  <c r="AQ243" i="5"/>
  <c r="AQ280" i="5" s="1"/>
  <c r="G273" i="5"/>
  <c r="H268" i="5" s="1"/>
  <c r="H273" i="5" s="1"/>
  <c r="DI225" i="5"/>
  <c r="G240" i="5"/>
  <c r="G257" i="5"/>
  <c r="G243" i="5"/>
  <c r="G280" i="5" s="1"/>
  <c r="BB10" i="5"/>
  <c r="BB15" i="5"/>
  <c r="BF15" i="5"/>
  <c r="BF15" i="4" s="1"/>
  <c r="U43" i="5"/>
  <c r="U47" i="5" s="1"/>
  <c r="U73" i="5"/>
  <c r="U74" i="5"/>
  <c r="S73" i="5"/>
  <c r="S74" i="5"/>
  <c r="S43" i="5"/>
  <c r="AB18" i="5"/>
  <c r="AB26" i="5"/>
  <c r="AJ18" i="5"/>
  <c r="AJ26" i="5"/>
  <c r="V43" i="5"/>
  <c r="V47" i="5" s="1"/>
  <c r="V73" i="5"/>
  <c r="V74" i="5"/>
  <c r="AL111" i="5"/>
  <c r="AL115" i="5"/>
  <c r="V124" i="5"/>
  <c r="Q126" i="5"/>
  <c r="Q129" i="5" s="1"/>
  <c r="BH100" i="5"/>
  <c r="BH98" i="5"/>
  <c r="BH107" i="5" s="1"/>
  <c r="AX13" i="5"/>
  <c r="U121" i="5"/>
  <c r="AO111" i="5"/>
  <c r="AO115" i="5"/>
  <c r="Y125" i="5"/>
  <c r="AR142" i="5"/>
  <c r="BH213" i="5"/>
  <c r="BH269" i="5"/>
  <c r="AA225" i="5"/>
  <c r="AX36" i="5"/>
  <c r="AH169" i="5"/>
  <c r="AC211" i="5"/>
  <c r="AC58" i="9" s="1"/>
  <c r="DJ225" i="5"/>
  <c r="AF225" i="5"/>
  <c r="AB211" i="5"/>
  <c r="AB225" i="5" s="1"/>
  <c r="Y225" i="5"/>
  <c r="DN225" i="5"/>
  <c r="AY239" i="5"/>
  <c r="M39" i="5"/>
  <c r="M33" i="5"/>
  <c r="M252" i="5" s="1"/>
  <c r="M251" i="5"/>
  <c r="M264" i="5" s="1"/>
  <c r="Q251" i="5"/>
  <c r="Q264" i="5" s="1"/>
  <c r="O251" i="5"/>
  <c r="O264" i="5" s="1"/>
  <c r="P251" i="5"/>
  <c r="P264" i="5" s="1"/>
  <c r="E43" i="5"/>
  <c r="E73" i="5"/>
  <c r="E74" i="5"/>
  <c r="X43" i="5"/>
  <c r="X73" i="5"/>
  <c r="X74" i="5"/>
  <c r="AA43" i="5"/>
  <c r="AA47" i="5" s="1"/>
  <c r="AA73" i="5"/>
  <c r="AA74" i="5"/>
  <c r="AH43" i="5"/>
  <c r="AH73" i="5"/>
  <c r="AH74" i="5"/>
  <c r="Z18" i="5"/>
  <c r="Z26" i="5"/>
  <c r="AL18" i="5"/>
  <c r="AL26" i="5"/>
  <c r="AT18" i="5"/>
  <c r="AT26" i="5"/>
  <c r="AI43" i="5"/>
  <c r="AI47" i="5" s="1"/>
  <c r="AI73" i="5"/>
  <c r="AI74" i="5"/>
  <c r="AF33" i="5"/>
  <c r="AF39" i="5"/>
  <c r="BE96" i="5"/>
  <c r="AZ100" i="5"/>
  <c r="AZ98" i="5"/>
  <c r="AD121" i="5"/>
  <c r="AF121" i="5"/>
  <c r="AH133" i="5"/>
  <c r="AG121" i="5"/>
  <c r="AH141" i="5"/>
  <c r="AH142" i="5" s="1"/>
  <c r="BA108" i="5"/>
  <c r="P124" i="5"/>
  <c r="P127" i="5"/>
  <c r="U127" i="5" s="1"/>
  <c r="Z127" i="5" s="1"/>
  <c r="AE127" i="5" s="1"/>
  <c r="AJ127" i="5" s="1"/>
  <c r="AO127" i="5" s="1"/>
  <c r="AT127" i="5" s="1"/>
  <c r="AY127" i="5" s="1"/>
  <c r="BD127" i="5" s="1"/>
  <c r="BI127" i="5" s="1"/>
  <c r="BN127" i="5" s="1"/>
  <c r="P128" i="5"/>
  <c r="U128" i="5" s="1"/>
  <c r="Z128" i="5" s="1"/>
  <c r="AE128" i="5" s="1"/>
  <c r="AJ128" i="5" s="1"/>
  <c r="AO128" i="5" s="1"/>
  <c r="AT128" i="5" s="1"/>
  <c r="AY128" i="5" s="1"/>
  <c r="BD128" i="5" s="1"/>
  <c r="BI128" i="5" s="1"/>
  <c r="BN128" i="5" s="1"/>
  <c r="P125" i="5"/>
  <c r="U125" i="5" s="1"/>
  <c r="Z125" i="5" s="1"/>
  <c r="AE125" i="5" s="1"/>
  <c r="AJ125" i="5" s="1"/>
  <c r="AO125" i="5" s="1"/>
  <c r="AT125" i="5" s="1"/>
  <c r="AY125" i="5" s="1"/>
  <c r="BD125" i="5" s="1"/>
  <c r="BI125" i="5" s="1"/>
  <c r="BN125" i="5" s="1"/>
  <c r="L126" i="5"/>
  <c r="L129" i="5" s="1"/>
  <c r="H102" i="5"/>
  <c r="H98" i="5"/>
  <c r="H108" i="5" s="1"/>
  <c r="M100" i="5"/>
  <c r="M60" i="5" s="1"/>
  <c r="BG97" i="5"/>
  <c r="Y128" i="5"/>
  <c r="BJ213" i="5"/>
  <c r="BJ269" i="5"/>
  <c r="X211" i="5"/>
  <c r="DE225" i="5"/>
  <c r="AX28" i="5"/>
  <c r="DD225" i="5"/>
  <c r="AQ211" i="5"/>
  <c r="AQ225" i="5" s="1"/>
  <c r="AK211" i="5"/>
  <c r="AK225" i="5" s="1"/>
  <c r="DY225" i="5"/>
  <c r="S240" i="5"/>
  <c r="S243" i="5"/>
  <c r="S280" i="5" s="1"/>
  <c r="S257" i="5"/>
  <c r="S258" i="5"/>
  <c r="R245" i="5"/>
  <c r="R246" i="5" s="1"/>
  <c r="AB257" i="5"/>
  <c r="AB258" i="5"/>
  <c r="G258" i="5"/>
  <c r="AL209" i="4"/>
  <c r="AL211" i="4" s="1"/>
  <c r="AL225" i="4"/>
  <c r="AX60" i="4"/>
  <c r="AX74" i="4"/>
  <c r="AX151" i="4" s="1"/>
  <c r="DP59" i="3" s="1"/>
  <c r="DP60" i="3" s="1"/>
  <c r="BD116" i="4"/>
  <c r="BE256" i="4"/>
  <c r="AG103" i="4"/>
  <c r="AG154" i="4"/>
  <c r="AR140" i="4"/>
  <c r="DY158" i="4"/>
  <c r="H103" i="4"/>
  <c r="H154" i="4"/>
  <c r="H67" i="9" s="1"/>
  <c r="DO67" i="3"/>
  <c r="W74" i="4"/>
  <c r="W253" i="4"/>
  <c r="AQ80" i="4"/>
  <c r="AQ125" i="4"/>
  <c r="AQ252" i="4"/>
  <c r="AL103" i="4"/>
  <c r="AL154" i="4"/>
  <c r="AL67" i="9" s="1"/>
  <c r="W154" i="4"/>
  <c r="DM161" i="4"/>
  <c r="DN159" i="4" s="1"/>
  <c r="DN161" i="4" s="1"/>
  <c r="AQ185" i="4"/>
  <c r="AQ62" i="3" s="1"/>
  <c r="W209" i="4"/>
  <c r="W225" i="4"/>
  <c r="AQ209" i="4"/>
  <c r="AQ225" i="4"/>
  <c r="AY183" i="4"/>
  <c r="BB178" i="4"/>
  <c r="BA183" i="4"/>
  <c r="F228" i="4"/>
  <c r="F229" i="4" s="1"/>
  <c r="AP228" i="4"/>
  <c r="AP229" i="4" s="1"/>
  <c r="BI116" i="4"/>
  <c r="BJ256" i="4"/>
  <c r="AL158" i="4"/>
  <c r="AL74" i="4"/>
  <c r="AL129" i="4"/>
  <c r="AL253" i="4"/>
  <c r="AL80" i="4"/>
  <c r="AL125" i="4"/>
  <c r="AL252" i="4"/>
  <c r="X140" i="4"/>
  <c r="DE158" i="4"/>
  <c r="AQ129" i="4"/>
  <c r="AQ154" i="4"/>
  <c r="AQ253" i="4"/>
  <c r="V80" i="4"/>
  <c r="V252" i="4"/>
  <c r="W185" i="4"/>
  <c r="W62" i="3" s="1"/>
  <c r="AG185" i="4"/>
  <c r="AH211" i="4"/>
  <c r="R209" i="4"/>
  <c r="R211" i="4" s="1"/>
  <c r="R225" i="4"/>
  <c r="H209" i="4"/>
  <c r="H211" i="4" s="1"/>
  <c r="H225" i="4"/>
  <c r="N226" i="4"/>
  <c r="N228" i="4"/>
  <c r="S140" i="4"/>
  <c r="CZ158" i="4"/>
  <c r="R74" i="4"/>
  <c r="R253" i="4"/>
  <c r="R80" i="4"/>
  <c r="R252" i="4"/>
  <c r="CO139" i="4"/>
  <c r="CO140" i="4" s="1"/>
  <c r="CO158" i="4" s="1"/>
  <c r="CO161" i="4" s="1"/>
  <c r="CP140" i="4"/>
  <c r="I139" i="4"/>
  <c r="H139" i="4" s="1"/>
  <c r="H140" i="4" s="1"/>
  <c r="N140" i="4"/>
  <c r="CU158" i="4"/>
  <c r="AH140" i="4"/>
  <c r="DO158" i="4"/>
  <c r="DO161" i="4" s="1"/>
  <c r="DP159" i="4" s="1"/>
  <c r="R103" i="4"/>
  <c r="R154" i="4"/>
  <c r="AC145" i="4"/>
  <c r="DJ158" i="4"/>
  <c r="V154" i="4"/>
  <c r="W80" i="4"/>
  <c r="W252" i="4"/>
  <c r="S209" i="4"/>
  <c r="S211" i="4" s="1"/>
  <c r="S225" i="4"/>
  <c r="CK17" i="3" s="1"/>
  <c r="CK19" i="3" s="1"/>
  <c r="AM209" i="4"/>
  <c r="AM211" i="4" s="1"/>
  <c r="AM225" i="4"/>
  <c r="DE17" i="3" s="1"/>
  <c r="DE19" i="3" s="1"/>
  <c r="V228" i="4"/>
  <c r="AY58" i="4"/>
  <c r="AY59" i="4" s="1"/>
  <c r="AY116" i="4"/>
  <c r="AZ256" i="4"/>
  <c r="M103" i="4"/>
  <c r="M154" i="4"/>
  <c r="CT140" i="4"/>
  <c r="CT158" i="4" s="1"/>
  <c r="F158" i="4"/>
  <c r="F161" i="4" s="1"/>
  <c r="G159" i="4" s="1"/>
  <c r="AB185" i="4"/>
  <c r="AC211" i="4"/>
  <c r="M209" i="4"/>
  <c r="M211" i="4" s="1"/>
  <c r="M225" i="4"/>
  <c r="X209" i="4"/>
  <c r="X211" i="4" s="1"/>
  <c r="X225" i="4"/>
  <c r="CP17" i="3" s="1"/>
  <c r="CP19" i="3" s="1"/>
  <c r="AR209" i="4"/>
  <c r="AR211" i="4" s="1"/>
  <c r="AR225" i="4"/>
  <c r="DJ17" i="3" s="1"/>
  <c r="DJ19" i="3" s="1"/>
  <c r="AZ183" i="4"/>
  <c r="AB209" i="4"/>
  <c r="AB225" i="4"/>
  <c r="AH228" i="4"/>
  <c r="AH229" i="4" s="1"/>
  <c r="S58" i="3"/>
  <c r="X65" i="3"/>
  <c r="AM64" i="3"/>
  <c r="AB158" i="4" l="1"/>
  <c r="AU61" i="3"/>
  <c r="AB61" i="3"/>
  <c r="AS220" i="4"/>
  <c r="AS241" i="4"/>
  <c r="AS240" i="4"/>
  <c r="AS223" i="4"/>
  <c r="BP202" i="4"/>
  <c r="BO222" i="4"/>
  <c r="BJ22" i="6"/>
  <c r="BO146" i="6"/>
  <c r="BO22" i="6" s="1"/>
  <c r="AF67" i="9"/>
  <c r="AF66" i="9" s="1"/>
  <c r="BJ15" i="8"/>
  <c r="BO110" i="8"/>
  <c r="BO15" i="8" s="1"/>
  <c r="BI15" i="8"/>
  <c r="BN110" i="8"/>
  <c r="BN15" i="8" s="1"/>
  <c r="AA58" i="9"/>
  <c r="BM15" i="8"/>
  <c r="AZ18" i="9"/>
  <c r="AA67" i="9"/>
  <c r="AA66" i="9" s="1"/>
  <c r="AI30" i="4"/>
  <c r="AI29" i="3" s="1"/>
  <c r="AI30" i="3" s="1"/>
  <c r="AI56" i="3" s="1"/>
  <c r="E125" i="7"/>
  <c r="E129" i="7" s="1"/>
  <c r="BJ20" i="5"/>
  <c r="BO149" i="5"/>
  <c r="BO20" i="5" s="1"/>
  <c r="BI20" i="5"/>
  <c r="BN149" i="5"/>
  <c r="BN20" i="5" s="1"/>
  <c r="AT57" i="9"/>
  <c r="AT69" i="9"/>
  <c r="AU69" i="9"/>
  <c r="AU57" i="9"/>
  <c r="W128" i="5"/>
  <c r="AU225" i="5"/>
  <c r="BA8" i="9"/>
  <c r="AV10" i="9"/>
  <c r="AV18" i="9"/>
  <c r="AV57" i="9"/>
  <c r="AV69" i="9"/>
  <c r="BJ23" i="5"/>
  <c r="BO155" i="5"/>
  <c r="BO23" i="5" s="1"/>
  <c r="AV26" i="4"/>
  <c r="AV32" i="5"/>
  <c r="AS69" i="9"/>
  <c r="AS57" i="9"/>
  <c r="BM22" i="7"/>
  <c r="BJ21" i="6"/>
  <c r="BO143" i="6"/>
  <c r="BO21" i="6" s="1"/>
  <c r="BJ22" i="5"/>
  <c r="BO152" i="5"/>
  <c r="BO22" i="5" s="1"/>
  <c r="BH22" i="5"/>
  <c r="BM152" i="5"/>
  <c r="AT27" i="9"/>
  <c r="AT31" i="9" s="1"/>
  <c r="AT35" i="9" s="1"/>
  <c r="AT23" i="9"/>
  <c r="BN99" i="7"/>
  <c r="BN108" i="7" s="1"/>
  <c r="BN13" i="7" s="1"/>
  <c r="BN101" i="7"/>
  <c r="BM96" i="6"/>
  <c r="BM105" i="6" s="1"/>
  <c r="BM98" i="6"/>
  <c r="BJ33" i="9"/>
  <c r="BO45" i="5"/>
  <c r="BO33" i="9" s="1"/>
  <c r="BK35" i="4"/>
  <c r="BP20" i="9"/>
  <c r="BP35" i="4" s="1"/>
  <c r="BM13" i="5"/>
  <c r="BH108" i="7"/>
  <c r="BM55" i="9"/>
  <c r="BL14" i="9"/>
  <c r="BM14" i="9"/>
  <c r="BH101" i="7"/>
  <c r="BM97" i="7"/>
  <c r="BM89" i="8"/>
  <c r="BM87" i="8"/>
  <c r="BM96" i="8" s="1"/>
  <c r="BI33" i="9"/>
  <c r="BN45" i="5"/>
  <c r="M16" i="9"/>
  <c r="M18" i="9" s="1"/>
  <c r="M30" i="4" s="1"/>
  <c r="M29" i="3" s="1"/>
  <c r="AY15" i="4"/>
  <c r="BB15" i="4" s="1"/>
  <c r="BD9" i="9"/>
  <c r="BP138" i="8"/>
  <c r="BP137" i="8" s="1"/>
  <c r="BP20" i="8" s="1"/>
  <c r="BO137" i="8"/>
  <c r="BO20" i="8" s="1"/>
  <c r="BQ20" i="8" s="1"/>
  <c r="BQ22" i="8" s="1"/>
  <c r="BN22" i="8"/>
  <c r="BN168" i="8"/>
  <c r="BN161" i="8"/>
  <c r="BM161" i="8"/>
  <c r="BM22" i="8"/>
  <c r="BM168" i="8"/>
  <c r="BN30" i="7"/>
  <c r="BN200" i="7"/>
  <c r="BP177" i="7"/>
  <c r="BP176" i="7" s="1"/>
  <c r="BP28" i="7" s="1"/>
  <c r="BO176" i="7"/>
  <c r="BO28" i="7" s="1"/>
  <c r="BM30" i="7"/>
  <c r="BM200" i="7"/>
  <c r="DG165" i="10"/>
  <c r="DG167" i="10" s="1"/>
  <c r="DT163" i="10"/>
  <c r="DT165" i="10" s="1"/>
  <c r="DN163" i="10"/>
  <c r="DL163" i="10"/>
  <c r="DL165" i="10" s="1"/>
  <c r="DQ163" i="10"/>
  <c r="DQ165" i="10" s="1"/>
  <c r="DM163" i="10"/>
  <c r="DM165" i="10" s="1"/>
  <c r="DK163" i="10"/>
  <c r="DK165" i="10" s="1"/>
  <c r="BI163" i="10"/>
  <c r="BI165" i="10" s="1"/>
  <c r="BK146" i="8" s="1"/>
  <c r="BK172" i="8" s="1"/>
  <c r="BG163" i="10"/>
  <c r="BG165" i="10" s="1"/>
  <c r="BI146" i="8" s="1"/>
  <c r="BI172" i="8" s="1"/>
  <c r="BH163" i="10"/>
  <c r="BH165" i="10" s="1"/>
  <c r="BJ146" i="8" s="1"/>
  <c r="BJ172" i="8" s="1"/>
  <c r="BF163" i="10"/>
  <c r="BF165" i="10" s="1"/>
  <c r="BH146" i="8" s="1"/>
  <c r="BH172" i="8" s="1"/>
  <c r="BJ165" i="10"/>
  <c r="BJ167" i="10" s="1"/>
  <c r="DT137" i="10"/>
  <c r="DR137" i="10" s="1"/>
  <c r="DR139" i="10" s="1"/>
  <c r="DN137" i="10"/>
  <c r="DL137" i="10"/>
  <c r="DM137" i="10"/>
  <c r="DM139" i="10" s="1"/>
  <c r="BJ191" i="7" s="1"/>
  <c r="DK137" i="10"/>
  <c r="BI137" i="10"/>
  <c r="BI139" i="10" s="1"/>
  <c r="BK185" i="7" s="1"/>
  <c r="BK211" i="7" s="1"/>
  <c r="BG137" i="10"/>
  <c r="BG139" i="10" s="1"/>
  <c r="BI185" i="7" s="1"/>
  <c r="BI211" i="7" s="1"/>
  <c r="BH137" i="10"/>
  <c r="BH139" i="10" s="1"/>
  <c r="BJ185" i="7" s="1"/>
  <c r="BJ211" i="7" s="1"/>
  <c r="BF137" i="10"/>
  <c r="BF139" i="10" s="1"/>
  <c r="BH185" i="7" s="1"/>
  <c r="BH211" i="7" s="1"/>
  <c r="BJ139" i="10"/>
  <c r="BJ141" i="10" s="1"/>
  <c r="BJ101" i="10"/>
  <c r="DO101" i="10"/>
  <c r="E103" i="10"/>
  <c r="DT73" i="10"/>
  <c r="DR73" i="10" s="1"/>
  <c r="DR75" i="10" s="1"/>
  <c r="DN73" i="10"/>
  <c r="DN75" i="10" s="1"/>
  <c r="BK198" i="5" s="1"/>
  <c r="DL73" i="10"/>
  <c r="DL75" i="10" s="1"/>
  <c r="BI198" i="5" s="1"/>
  <c r="DM73" i="10"/>
  <c r="DM75" i="10" s="1"/>
  <c r="BJ198" i="5" s="1"/>
  <c r="DK73" i="10"/>
  <c r="DK75" i="10" s="1"/>
  <c r="BH198" i="5" s="1"/>
  <c r="BI73" i="10"/>
  <c r="BI75" i="10" s="1"/>
  <c r="BK192" i="5" s="1"/>
  <c r="BK218" i="5" s="1"/>
  <c r="BG73" i="10"/>
  <c r="BG75" i="10" s="1"/>
  <c r="BI192" i="5" s="1"/>
  <c r="BI218" i="5" s="1"/>
  <c r="BI223" i="5" s="1"/>
  <c r="BH73" i="10"/>
  <c r="BH75" i="10" s="1"/>
  <c r="BF73" i="10"/>
  <c r="BF75" i="10" s="1"/>
  <c r="BH192" i="5" s="1"/>
  <c r="BH218" i="5" s="1"/>
  <c r="BJ75" i="10"/>
  <c r="BJ77" i="10" s="1"/>
  <c r="BP128" i="4"/>
  <c r="BP67" i="9"/>
  <c r="BM67" i="9"/>
  <c r="BM128" i="4"/>
  <c r="BQ65" i="9"/>
  <c r="BQ104" i="4"/>
  <c r="BO12" i="10"/>
  <c r="DP10" i="10"/>
  <c r="DR10" i="10"/>
  <c r="BN67" i="9"/>
  <c r="BN128" i="4"/>
  <c r="BP104" i="4"/>
  <c r="BP148" i="4" s="1"/>
  <c r="BO188" i="4" s="1"/>
  <c r="BN12" i="10"/>
  <c r="BM104" i="4"/>
  <c r="BM148" i="4" s="1"/>
  <c r="BK188" i="4" s="1"/>
  <c r="BL188" i="4" s="1"/>
  <c r="BK12" i="10"/>
  <c r="DQ10" i="10"/>
  <c r="DS20" i="10"/>
  <c r="DS32" i="10" s="1"/>
  <c r="DT32" i="10"/>
  <c r="BN104" i="4"/>
  <c r="BN148" i="4" s="1"/>
  <c r="BL12" i="10"/>
  <c r="BO104" i="4"/>
  <c r="BO148" i="4" s="1"/>
  <c r="BM12" i="10"/>
  <c r="BO128" i="4"/>
  <c r="BO67" i="9"/>
  <c r="R141" i="10"/>
  <c r="AI167" i="10"/>
  <c r="M167" i="10"/>
  <c r="T167" i="10"/>
  <c r="AI42" i="10"/>
  <c r="Y42" i="10"/>
  <c r="AO167" i="10"/>
  <c r="X141" i="10"/>
  <c r="Z141" i="10"/>
  <c r="BC128" i="4"/>
  <c r="M141" i="10"/>
  <c r="CG12" i="10"/>
  <c r="O167" i="10"/>
  <c r="AJ105" i="10"/>
  <c r="P105" i="10"/>
  <c r="Y167" i="10"/>
  <c r="AM42" i="10"/>
  <c r="AM167" i="10"/>
  <c r="DN165" i="10"/>
  <c r="BK152" i="8" s="1"/>
  <c r="BY12" i="10"/>
  <c r="CJ12" i="10"/>
  <c r="AN30" i="4"/>
  <c r="AN29" i="3" s="1"/>
  <c r="AN30" i="3" s="1"/>
  <c r="AN56" i="3" s="1"/>
  <c r="L30" i="4"/>
  <c r="L29" i="3" s="1"/>
  <c r="P241" i="6"/>
  <c r="P254" i="6" s="1"/>
  <c r="L123" i="6"/>
  <c r="E53" i="6"/>
  <c r="E48" i="6"/>
  <c r="E54" i="6" s="1"/>
  <c r="F133" i="6"/>
  <c r="AO241" i="6"/>
  <c r="AO254" i="6" s="1"/>
  <c r="R241" i="6"/>
  <c r="R254" i="6" s="1"/>
  <c r="T241" i="6"/>
  <c r="T254" i="6" s="1"/>
  <c r="AG121" i="6"/>
  <c r="AD105" i="10"/>
  <c r="N38" i="6"/>
  <c r="N71" i="6" s="1"/>
  <c r="I241" i="6"/>
  <c r="I254" i="6" s="1"/>
  <c r="F30" i="4"/>
  <c r="AV109" i="6"/>
  <c r="O241" i="6"/>
  <c r="O254" i="6" s="1"/>
  <c r="L23" i="9"/>
  <c r="L27" i="9"/>
  <c r="L31" i="9" s="1"/>
  <c r="L35" i="9" s="1"/>
  <c r="L37" i="9" s="1"/>
  <c r="L43" i="9" s="1"/>
  <c r="W38" i="6"/>
  <c r="W71" i="6" s="1"/>
  <c r="W241" i="6"/>
  <c r="W254" i="6" s="1"/>
  <c r="W32" i="6"/>
  <c r="Y241" i="6"/>
  <c r="Y254" i="6" s="1"/>
  <c r="AP241" i="6"/>
  <c r="AP254" i="6" s="1"/>
  <c r="AF42" i="6"/>
  <c r="AF46" i="6" s="1"/>
  <c r="AF71" i="6"/>
  <c r="AF70" i="6"/>
  <c r="S242" i="6"/>
  <c r="S249" i="6" s="1"/>
  <c r="S28" i="3"/>
  <c r="AQ121" i="6"/>
  <c r="AX19" i="6"/>
  <c r="L241" i="6"/>
  <c r="L254" i="6" s="1"/>
  <c r="H32" i="6"/>
  <c r="H242" i="6" s="1"/>
  <c r="H249" i="6" s="1"/>
  <c r="BI259" i="6"/>
  <c r="AB121" i="6"/>
  <c r="AR136" i="6"/>
  <c r="AL38" i="6"/>
  <c r="AL71" i="6" s="1"/>
  <c r="AC23" i="9"/>
  <c r="AC29" i="3" s="1"/>
  <c r="AG109" i="6"/>
  <c r="AB106" i="6"/>
  <c r="AC241" i="6"/>
  <c r="AC254" i="6" s="1"/>
  <c r="AA241" i="6"/>
  <c r="AA254" i="6" s="1"/>
  <c r="R98" i="4"/>
  <c r="AA22" i="9"/>
  <c r="AA23" i="9" s="1"/>
  <c r="AQ18" i="9"/>
  <c r="AQ30" i="4" s="1"/>
  <c r="AQ29" i="3" s="1"/>
  <c r="AQ10" i="9"/>
  <c r="L38" i="6"/>
  <c r="L32" i="6"/>
  <c r="T71" i="6"/>
  <c r="T42" i="6"/>
  <c r="T46" i="6" s="1"/>
  <c r="T70" i="6"/>
  <c r="AK71" i="6"/>
  <c r="AK70" i="6"/>
  <c r="AK42" i="6"/>
  <c r="AK46" i="6" s="1"/>
  <c r="BC146" i="6"/>
  <c r="BC22" i="6" s="1"/>
  <c r="AX22" i="6"/>
  <c r="AX23" i="4" s="1"/>
  <c r="AP122" i="6"/>
  <c r="AL122" i="6"/>
  <c r="AG115" i="5"/>
  <c r="AL109" i="6"/>
  <c r="M241" i="6"/>
  <c r="M254" i="6" s="1"/>
  <c r="J241" i="6"/>
  <c r="J254" i="6" s="1"/>
  <c r="H241" i="6"/>
  <c r="H254" i="6" s="1"/>
  <c r="W119" i="6"/>
  <c r="AN241" i="6"/>
  <c r="AN254" i="6" s="1"/>
  <c r="E23" i="9"/>
  <c r="Z241" i="6"/>
  <c r="Z254" i="6" s="1"/>
  <c r="I38" i="6"/>
  <c r="I70" i="6" s="1"/>
  <c r="R18" i="9"/>
  <c r="R30" i="4" s="1"/>
  <c r="BA86" i="6"/>
  <c r="AY22" i="6"/>
  <c r="BD146" i="6"/>
  <c r="BD22" i="6" s="1"/>
  <c r="AS46" i="6"/>
  <c r="AS48" i="6" s="1"/>
  <c r="AV42" i="6"/>
  <c r="AV46" i="6" s="1"/>
  <c r="J123" i="6"/>
  <c r="J127" i="6" s="1"/>
  <c r="K32" i="6"/>
  <c r="O242" i="6" s="1"/>
  <c r="O249" i="6" s="1"/>
  <c r="K38" i="6"/>
  <c r="AV121" i="6"/>
  <c r="BA121" i="6" s="1"/>
  <c r="O42" i="6"/>
  <c r="O46" i="6" s="1"/>
  <c r="O71" i="6"/>
  <c r="O70" i="6"/>
  <c r="U32" i="6"/>
  <c r="W242" i="6" s="1"/>
  <c r="W249" i="6" s="1"/>
  <c r="U38" i="6"/>
  <c r="AC100" i="8"/>
  <c r="AB128" i="4"/>
  <c r="P27" i="9"/>
  <c r="P31" i="9" s="1"/>
  <c r="P35" i="9" s="1"/>
  <c r="P42" i="9" s="1"/>
  <c r="P23" i="9"/>
  <c r="AL66" i="9"/>
  <c r="R115" i="5"/>
  <c r="K226" i="8"/>
  <c r="Q23" i="9"/>
  <c r="U167" i="10"/>
  <c r="Z167" i="10"/>
  <c r="AH167" i="10"/>
  <c r="M205" i="8"/>
  <c r="M218" i="8" s="1"/>
  <c r="AL206" i="8"/>
  <c r="AL213" i="8" s="1"/>
  <c r="Y205" i="8"/>
  <c r="Y218" i="8" s="1"/>
  <c r="W205" i="8"/>
  <c r="W218" i="8" s="1"/>
  <c r="AQ25" i="8"/>
  <c r="Q205" i="8"/>
  <c r="Q218" i="8" s="1"/>
  <c r="F27" i="9"/>
  <c r="F31" i="9" s="1"/>
  <c r="F35" i="9" s="1"/>
  <c r="F42" i="9" s="1"/>
  <c r="AE205" i="8"/>
  <c r="AE218" i="8" s="1"/>
  <c r="AF205" i="8"/>
  <c r="AF218" i="8" s="1"/>
  <c r="Y63" i="8"/>
  <c r="U22" i="9"/>
  <c r="DH165" i="10"/>
  <c r="BE152" i="8" s="1"/>
  <c r="Q35" i="8"/>
  <c r="Q39" i="8" s="1"/>
  <c r="Q62" i="8"/>
  <c r="Q63" i="8"/>
  <c r="AR100" i="8"/>
  <c r="AW100" i="8"/>
  <c r="AP206" i="8"/>
  <c r="AP213" i="8" s="1"/>
  <c r="AS205" i="8"/>
  <c r="AS218" i="8" s="1"/>
  <c r="AZ96" i="8"/>
  <c r="AZ9" i="8" s="1"/>
  <c r="AU39" i="8"/>
  <c r="AV35" i="8"/>
  <c r="AV39" i="8" s="1"/>
  <c r="AT205" i="8"/>
  <c r="AT218" i="8" s="1"/>
  <c r="AT206" i="8"/>
  <c r="AT213" i="8" s="1"/>
  <c r="AS206" i="8"/>
  <c r="AS213" i="8" s="1"/>
  <c r="AC27" i="3"/>
  <c r="AC206" i="8"/>
  <c r="AC213" i="8" s="1"/>
  <c r="BD20" i="7"/>
  <c r="BI143" i="7"/>
  <c r="W33" i="7"/>
  <c r="AO244" i="7"/>
  <c r="AO257" i="7" s="1"/>
  <c r="T244" i="7"/>
  <c r="T257" i="7" s="1"/>
  <c r="R39" i="7"/>
  <c r="R74" i="7" s="1"/>
  <c r="AG33" i="7"/>
  <c r="AD244" i="7"/>
  <c r="AD257" i="7" s="1"/>
  <c r="X27" i="9"/>
  <c r="X31" i="9" s="1"/>
  <c r="X35" i="9" s="1"/>
  <c r="X37" i="9" s="1"/>
  <c r="I32" i="4"/>
  <c r="Y22" i="9"/>
  <c r="AC32" i="4"/>
  <c r="DG139" i="10"/>
  <c r="BD191" i="7" s="1"/>
  <c r="AL112" i="7"/>
  <c r="W18" i="9"/>
  <c r="W22" i="9" s="1"/>
  <c r="M39" i="7"/>
  <c r="M74" i="7" s="1"/>
  <c r="M33" i="7"/>
  <c r="M245" i="7" s="1"/>
  <c r="M252" i="7" s="1"/>
  <c r="M244" i="7"/>
  <c r="M257" i="7" s="1"/>
  <c r="O244" i="7"/>
  <c r="O257" i="7" s="1"/>
  <c r="G43" i="7"/>
  <c r="G47" i="7" s="1"/>
  <c r="G75" i="7"/>
  <c r="G74" i="7"/>
  <c r="AE33" i="7"/>
  <c r="AE245" i="7" s="1"/>
  <c r="AE252" i="7" s="1"/>
  <c r="AE39" i="7"/>
  <c r="AQ112" i="7"/>
  <c r="AQ39" i="7"/>
  <c r="AQ75" i="7" s="1"/>
  <c r="AN244" i="7"/>
  <c r="AN257" i="7" s="1"/>
  <c r="AL244" i="7"/>
  <c r="AL257" i="7" s="1"/>
  <c r="U244" i="7"/>
  <c r="U257" i="7" s="1"/>
  <c r="R244" i="7"/>
  <c r="R257" i="7" s="1"/>
  <c r="AI244" i="7"/>
  <c r="AI257" i="7" s="1"/>
  <c r="W124" i="7"/>
  <c r="AF244" i="7"/>
  <c r="AF257" i="7" s="1"/>
  <c r="AB39" i="7"/>
  <c r="AB75" i="7" s="1"/>
  <c r="S141" i="10"/>
  <c r="R127" i="7"/>
  <c r="R61" i="7" s="1"/>
  <c r="V27" i="9"/>
  <c r="V31" i="9" s="1"/>
  <c r="V35" i="9" s="1"/>
  <c r="V42" i="9" s="1"/>
  <c r="AU32" i="4"/>
  <c r="K74" i="7"/>
  <c r="AR43" i="7"/>
  <c r="AR47" i="7" s="1"/>
  <c r="AR75" i="7"/>
  <c r="Y33" i="7"/>
  <c r="Y245" i="7" s="1"/>
  <c r="Y252" i="7" s="1"/>
  <c r="Y39" i="7"/>
  <c r="BC20" i="7"/>
  <c r="BH143" i="7"/>
  <c r="AC253" i="7"/>
  <c r="AM245" i="7"/>
  <c r="AM252" i="7" s="1"/>
  <c r="AM26" i="3"/>
  <c r="AH245" i="7"/>
  <c r="AH252" i="7" s="1"/>
  <c r="AH26" i="3"/>
  <c r="AF43" i="7"/>
  <c r="AF75" i="7"/>
  <c r="AF74" i="7"/>
  <c r="Z33" i="7"/>
  <c r="AB245" i="7" s="1"/>
  <c r="AB252" i="7" s="1"/>
  <c r="Z39" i="7"/>
  <c r="V74" i="7"/>
  <c r="V75" i="7"/>
  <c r="V43" i="7"/>
  <c r="V47" i="7" s="1"/>
  <c r="V49" i="7" s="1"/>
  <c r="O75" i="7"/>
  <c r="O74" i="7"/>
  <c r="O43" i="7"/>
  <c r="O47" i="7" s="1"/>
  <c r="Q43" i="7"/>
  <c r="Q47" i="7" s="1"/>
  <c r="Q74" i="7"/>
  <c r="Q75" i="7"/>
  <c r="I49" i="7"/>
  <c r="I54" i="7"/>
  <c r="AU33" i="7"/>
  <c r="AV245" i="7" s="1"/>
  <c r="AV252" i="7" s="1"/>
  <c r="AV244" i="7"/>
  <c r="AV257" i="7" s="1"/>
  <c r="AU39" i="7"/>
  <c r="AA29" i="3"/>
  <c r="AA30" i="3" s="1"/>
  <c r="AA56" i="3" s="1"/>
  <c r="AA32" i="4"/>
  <c r="AS244" i="7"/>
  <c r="AS257" i="7" s="1"/>
  <c r="AT244" i="7"/>
  <c r="AT257" i="7" s="1"/>
  <c r="AQ33" i="7"/>
  <c r="Y244" i="7"/>
  <c r="Y257" i="7" s="1"/>
  <c r="BJ146" i="7"/>
  <c r="G221" i="7"/>
  <c r="H219" i="7" s="1"/>
  <c r="H221" i="7" s="1"/>
  <c r="AZ108" i="7"/>
  <c r="AZ13" i="7" s="1"/>
  <c r="AJ244" i="7"/>
  <c r="AJ257" i="7" s="1"/>
  <c r="AG244" i="7"/>
  <c r="AG257" i="7" s="1"/>
  <c r="Q244" i="7"/>
  <c r="Q257" i="7" s="1"/>
  <c r="P244" i="7"/>
  <c r="P257" i="7" s="1"/>
  <c r="R125" i="7"/>
  <c r="R129" i="7" s="1"/>
  <c r="AB244" i="7"/>
  <c r="AB257" i="7" s="1"/>
  <c r="AE244" i="7"/>
  <c r="AE257" i="7" s="1"/>
  <c r="L244" i="7"/>
  <c r="L257" i="7" s="1"/>
  <c r="CM12" i="10"/>
  <c r="CN12" i="10"/>
  <c r="Q32" i="4"/>
  <c r="F32" i="4"/>
  <c r="M112" i="7"/>
  <c r="DI139" i="10"/>
  <c r="BF191" i="7" s="1"/>
  <c r="AS47" i="7"/>
  <c r="AZ107" i="5"/>
  <c r="AZ13" i="5" s="1"/>
  <c r="AS47" i="5"/>
  <c r="E129" i="5"/>
  <c r="E139" i="5" s="1"/>
  <c r="AY223" i="5"/>
  <c r="AV88" i="5"/>
  <c r="AV89" i="5" s="1"/>
  <c r="AV110" i="5" s="1"/>
  <c r="AV111" i="5" s="1"/>
  <c r="AZ88" i="5"/>
  <c r="BE88" i="5" s="1"/>
  <c r="BJ88" i="5" s="1"/>
  <c r="BO88" i="5" s="1"/>
  <c r="AU89" i="5"/>
  <c r="AU110" i="5" s="1"/>
  <c r="BD98" i="4"/>
  <c r="BD142" i="4" s="1"/>
  <c r="AB66" i="9"/>
  <c r="T251" i="4"/>
  <c r="T56" i="4"/>
  <c r="T62" i="4"/>
  <c r="K50" i="4"/>
  <c r="K54" i="4" s="1"/>
  <c r="K117" i="4"/>
  <c r="K116" i="4"/>
  <c r="AA234" i="4"/>
  <c r="AA247" i="4" s="1"/>
  <c r="L234" i="4"/>
  <c r="L247" i="4" s="1"/>
  <c r="BL139" i="4"/>
  <c r="BL153" i="4"/>
  <c r="ED67" i="3" s="1"/>
  <c r="AU234" i="4"/>
  <c r="AU247" i="4" s="1"/>
  <c r="AV235" i="4"/>
  <c r="AV242" i="4" s="1"/>
  <c r="P50" i="4"/>
  <c r="P54" i="4" s="1"/>
  <c r="P116" i="4"/>
  <c r="P117" i="4"/>
  <c r="G32" i="4"/>
  <c r="S32" i="4"/>
  <c r="W46" i="4"/>
  <c r="R61" i="9"/>
  <c r="AU42" i="9"/>
  <c r="AU37" i="9"/>
  <c r="AS42" i="9"/>
  <c r="AS37" i="9"/>
  <c r="AT234" i="4"/>
  <c r="AT247" i="4" s="1"/>
  <c r="AT42" i="9"/>
  <c r="AT37" i="9"/>
  <c r="BB79" i="4"/>
  <c r="BL80" i="4"/>
  <c r="BK252" i="4"/>
  <c r="BG152" i="4"/>
  <c r="BG80" i="4"/>
  <c r="AC105" i="10"/>
  <c r="Z105" i="10"/>
  <c r="CE12" i="10"/>
  <c r="AH105" i="10"/>
  <c r="W105" i="10"/>
  <c r="AN105" i="10"/>
  <c r="AH42" i="10"/>
  <c r="AI77" i="10"/>
  <c r="W182" i="10"/>
  <c r="AJ167" i="10"/>
  <c r="AL167" i="10"/>
  <c r="T77" i="10"/>
  <c r="DL139" i="10"/>
  <c r="BI191" i="7" s="1"/>
  <c r="AH77" i="10"/>
  <c r="AE141" i="10"/>
  <c r="AJ42" i="10"/>
  <c r="AC167" i="10"/>
  <c r="DI165" i="10"/>
  <c r="DI167" i="10" s="1"/>
  <c r="AY182" i="10"/>
  <c r="AG77" i="10"/>
  <c r="AU10" i="10"/>
  <c r="AX182" i="10"/>
  <c r="AN77" i="10"/>
  <c r="DA70" i="10"/>
  <c r="S42" i="10"/>
  <c r="AD42" i="10"/>
  <c r="AZ11" i="10"/>
  <c r="BB103" i="4" s="1"/>
  <c r="P167" i="10"/>
  <c r="BA77" i="10"/>
  <c r="P182" i="10"/>
  <c r="AW77" i="10"/>
  <c r="Y182" i="10"/>
  <c r="AN167" i="10"/>
  <c r="AE105" i="10"/>
  <c r="S167" i="10"/>
  <c r="AD141" i="10"/>
  <c r="DN139" i="10"/>
  <c r="BK191" i="7" s="1"/>
  <c r="O105" i="10"/>
  <c r="AC77" i="10"/>
  <c r="DF167" i="10"/>
  <c r="AJ182" i="10"/>
  <c r="CF182" i="10"/>
  <c r="BR12" i="10"/>
  <c r="CC12" i="10"/>
  <c r="AS182" i="10"/>
  <c r="BH77" i="10"/>
  <c r="CA75" i="10"/>
  <c r="CA77" i="10" s="1"/>
  <c r="AG105" i="10"/>
  <c r="DF70" i="10"/>
  <c r="DF75" i="10" s="1"/>
  <c r="BC198" i="5" s="1"/>
  <c r="BD223" i="5"/>
  <c r="X11" i="10"/>
  <c r="AG167" i="10"/>
  <c r="O141" i="10"/>
  <c r="L12" i="10"/>
  <c r="DD70" i="10"/>
  <c r="AB42" i="10"/>
  <c r="CH12" i="10"/>
  <c r="AB167" i="10"/>
  <c r="CF75" i="10"/>
  <c r="O11" i="10"/>
  <c r="AD167" i="10"/>
  <c r="W77" i="10"/>
  <c r="CF98" i="10"/>
  <c r="CA103" i="10"/>
  <c r="CA105" i="10" s="1"/>
  <c r="DK139" i="10"/>
  <c r="BH191" i="7" s="1"/>
  <c r="BE191" i="7"/>
  <c r="DH141" i="10"/>
  <c r="Y105" i="10"/>
  <c r="CL12" i="10"/>
  <c r="AD11" i="10"/>
  <c r="X167" i="10"/>
  <c r="W141" i="10"/>
  <c r="S11" i="10"/>
  <c r="N105" i="10"/>
  <c r="CB12" i="10"/>
  <c r="BZ12" i="10"/>
  <c r="M105" i="10"/>
  <c r="AB77" i="10"/>
  <c r="BG208" i="6"/>
  <c r="DF141" i="10"/>
  <c r="AB105" i="10"/>
  <c r="Z11" i="10"/>
  <c r="BV11" i="10"/>
  <c r="S105" i="10"/>
  <c r="AZ223" i="5"/>
  <c r="U141" i="10"/>
  <c r="AI182" i="10"/>
  <c r="DB70" i="10"/>
  <c r="DG70" i="10"/>
  <c r="DG75" i="10" s="1"/>
  <c r="DI70" i="10"/>
  <c r="DI75" i="10" s="1"/>
  <c r="DJ70" i="10"/>
  <c r="DO70" i="10" s="1"/>
  <c r="DT70" i="10" s="1"/>
  <c r="DH70" i="10"/>
  <c r="DH75" i="10" s="1"/>
  <c r="AZ213" i="6"/>
  <c r="AB141" i="10"/>
  <c r="AJ11" i="10"/>
  <c r="AO130" i="10"/>
  <c r="AM130" i="10"/>
  <c r="AM141" i="10" s="1"/>
  <c r="AN130" i="10"/>
  <c r="AL130" i="10"/>
  <c r="AL141" i="10" s="1"/>
  <c r="AE167" i="10"/>
  <c r="AL105" i="10"/>
  <c r="P77" i="10"/>
  <c r="BS12" i="10"/>
  <c r="O42" i="10"/>
  <c r="M42" i="10"/>
  <c r="R42" i="10"/>
  <c r="AH141" i="10"/>
  <c r="U105" i="10"/>
  <c r="CI12" i="10"/>
  <c r="CD12" i="10"/>
  <c r="R105" i="10"/>
  <c r="BK223" i="5"/>
  <c r="AY216" i="7"/>
  <c r="BC67" i="9"/>
  <c r="BL219" i="5"/>
  <c r="W167" i="10"/>
  <c r="T141" i="10"/>
  <c r="BW12" i="10"/>
  <c r="BB35" i="4"/>
  <c r="AU33" i="3"/>
  <c r="N167" i="10"/>
  <c r="BT12" i="10"/>
  <c r="CO12" i="10"/>
  <c r="AH11" i="10"/>
  <c r="AZ20" i="4"/>
  <c r="U11" i="10"/>
  <c r="U42" i="10"/>
  <c r="BU12" i="10"/>
  <c r="BC11" i="10"/>
  <c r="BE103" i="4" s="1"/>
  <c r="BE147" i="4" s="1"/>
  <c r="AO11" i="10"/>
  <c r="AO105" i="10"/>
  <c r="T11" i="10"/>
  <c r="BD143" i="6"/>
  <c r="BI143" i="6" s="1"/>
  <c r="N42" i="10"/>
  <c r="AO42" i="10"/>
  <c r="W11" i="10"/>
  <c r="AM11" i="10"/>
  <c r="N11" i="10"/>
  <c r="E133" i="5"/>
  <c r="J131" i="5"/>
  <c r="J61" i="5" s="1"/>
  <c r="N242" i="6"/>
  <c r="N249" i="6" s="1"/>
  <c r="N28" i="3"/>
  <c r="BC42" i="10"/>
  <c r="BE50" i="9"/>
  <c r="BE65" i="9" s="1"/>
  <c r="AM23" i="9"/>
  <c r="AM29" i="3" s="1"/>
  <c r="AM27" i="9"/>
  <c r="AM31" i="9" s="1"/>
  <c r="AM35" i="9" s="1"/>
  <c r="N75" i="4"/>
  <c r="BC141" i="10"/>
  <c r="BE186" i="7"/>
  <c r="BE212" i="7" s="1"/>
  <c r="BE216" i="7" s="1"/>
  <c r="AS127" i="4"/>
  <c r="BT21" i="4"/>
  <c r="AB22" i="9"/>
  <c r="AB30" i="4"/>
  <c r="AB29" i="3" s="1"/>
  <c r="AC242" i="6"/>
  <c r="AC249" i="6" s="1"/>
  <c r="AC28" i="3"/>
  <c r="AQ158" i="4"/>
  <c r="AQ67" i="9"/>
  <c r="AQ66" i="9" s="1"/>
  <c r="AB32" i="5"/>
  <c r="AB39" i="5" s="1"/>
  <c r="AB26" i="4"/>
  <c r="AX42" i="10"/>
  <c r="AZ50" i="9"/>
  <c r="AZ65" i="9" s="1"/>
  <c r="AZ67" i="9" s="1"/>
  <c r="BB167" i="10"/>
  <c r="BD147" i="8"/>
  <c r="BD173" i="8" s="1"/>
  <c r="BD177" i="8" s="1"/>
  <c r="BJ192" i="5"/>
  <c r="BJ218" i="5" s="1"/>
  <c r="BJ223" i="5" s="1"/>
  <c r="AV105" i="10"/>
  <c r="AX183" i="6"/>
  <c r="AX209" i="6" s="1"/>
  <c r="AX213" i="6" s="1"/>
  <c r="AQ31" i="6"/>
  <c r="AU241" i="6" s="1"/>
  <c r="AU254" i="6" s="1"/>
  <c r="AQ29" i="4"/>
  <c r="AQ28" i="3" s="1"/>
  <c r="BH223" i="5"/>
  <c r="AH31" i="6"/>
  <c r="AH38" i="6" s="1"/>
  <c r="AH29" i="4"/>
  <c r="AT49" i="7"/>
  <c r="AT55" i="7" s="1"/>
  <c r="AT86" i="4" s="1"/>
  <c r="AT54" i="7"/>
  <c r="AP33" i="7"/>
  <c r="AP39" i="7"/>
  <c r="AI32" i="6"/>
  <c r="AI38" i="6"/>
  <c r="AD49" i="7"/>
  <c r="AD55" i="7" s="1"/>
  <c r="AD86" i="4" s="1"/>
  <c r="AD54" i="7"/>
  <c r="S251" i="4"/>
  <c r="S62" i="4"/>
  <c r="S56" i="4"/>
  <c r="X257" i="5"/>
  <c r="X240" i="5"/>
  <c r="W245" i="5"/>
  <c r="X243" i="5"/>
  <c r="X280" i="5" s="1"/>
  <c r="X33" i="2" s="1"/>
  <c r="AX223" i="5"/>
  <c r="U58" i="9"/>
  <c r="AP67" i="9"/>
  <c r="AP66" i="9" s="1"/>
  <c r="AD57" i="9"/>
  <c r="AD127" i="4" s="1"/>
  <c r="AD69" i="9"/>
  <c r="AO22" i="9"/>
  <c r="AO30" i="4"/>
  <c r="AO29" i="3" s="1"/>
  <c r="W25" i="3"/>
  <c r="Z57" i="9"/>
  <c r="Z127" i="4" s="1"/>
  <c r="J48" i="6"/>
  <c r="J54" i="6" s="1"/>
  <c r="J88" i="4" s="1"/>
  <c r="J53" i="6"/>
  <c r="H158" i="4"/>
  <c r="H58" i="9"/>
  <c r="W158" i="4"/>
  <c r="W67" i="9"/>
  <c r="W66" i="9" s="1"/>
  <c r="H66" i="9"/>
  <c r="AG158" i="4"/>
  <c r="AG67" i="9"/>
  <c r="AG66" i="9" s="1"/>
  <c r="AC142" i="5"/>
  <c r="AX13" i="4"/>
  <c r="AV93" i="4"/>
  <c r="AO32" i="5"/>
  <c r="AO26" i="4"/>
  <c r="AG32" i="5"/>
  <c r="AI251" i="5" s="1"/>
  <c r="AI264" i="5" s="1"/>
  <c r="AG26" i="4"/>
  <c r="Y251" i="5"/>
  <c r="Y264" i="5" s="1"/>
  <c r="BF213" i="5"/>
  <c r="Z244" i="7"/>
  <c r="Z257" i="7" s="1"/>
  <c r="AC239" i="7"/>
  <c r="L123" i="7"/>
  <c r="L135" i="7" s="1"/>
  <c r="R135" i="7"/>
  <c r="J244" i="7"/>
  <c r="J257" i="7" s="1"/>
  <c r="W212" i="8"/>
  <c r="BF124" i="4"/>
  <c r="AL241" i="6"/>
  <c r="AL254" i="6" s="1"/>
  <c r="I27" i="9"/>
  <c r="I31" i="9" s="1"/>
  <c r="I35" i="9" s="1"/>
  <c r="I42" i="9" s="1"/>
  <c r="AF23" i="9"/>
  <c r="BC16" i="9"/>
  <c r="BC15" i="4"/>
  <c r="T23" i="9"/>
  <c r="BA167" i="10"/>
  <c r="BC146" i="8"/>
  <c r="BC172" i="8" s="1"/>
  <c r="BG167" i="10"/>
  <c r="BI147" i="8"/>
  <c r="BI173" i="8" s="1"/>
  <c r="BI177" i="8" s="1"/>
  <c r="P141" i="10"/>
  <c r="AM105" i="10"/>
  <c r="BX12" i="10"/>
  <c r="AW11" i="10"/>
  <c r="AY103" i="4" s="1"/>
  <c r="AY147" i="4" s="1"/>
  <c r="DQ64" i="3" s="1"/>
  <c r="AY49" i="9"/>
  <c r="AY64" i="9" s="1"/>
  <c r="BB64" i="9" s="1"/>
  <c r="Z42" i="10"/>
  <c r="BC167" i="10"/>
  <c r="BG141" i="10"/>
  <c r="BI186" i="7"/>
  <c r="BI212" i="7" s="1"/>
  <c r="BI216" i="7" s="1"/>
  <c r="AY167" i="10"/>
  <c r="Y11" i="10"/>
  <c r="AL235" i="4"/>
  <c r="AL242" i="4" s="1"/>
  <c r="N254" i="4"/>
  <c r="N255" i="4" s="1"/>
  <c r="AM258" i="5"/>
  <c r="BA173" i="5"/>
  <c r="BA179" i="5" s="1"/>
  <c r="AY213" i="5"/>
  <c r="AY216" i="5" s="1"/>
  <c r="AH239" i="7"/>
  <c r="AI206" i="8"/>
  <c r="AI213" i="8" s="1"/>
  <c r="AK205" i="8"/>
  <c r="AK218" i="8" s="1"/>
  <c r="AG31" i="8"/>
  <c r="AG63" i="8" s="1"/>
  <c r="AN206" i="8"/>
  <c r="AN213" i="8" s="1"/>
  <c r="H120" i="6"/>
  <c r="H123" i="6" s="1"/>
  <c r="H127" i="6" s="1"/>
  <c r="BH183" i="6"/>
  <c r="BH209" i="6" s="1"/>
  <c r="R167" i="10"/>
  <c r="BI183" i="6"/>
  <c r="BI209" i="6" s="1"/>
  <c r="BA105" i="10"/>
  <c r="BC183" i="6"/>
  <c r="BC209" i="6" s="1"/>
  <c r="AM31" i="6"/>
  <c r="AM32" i="6" s="1"/>
  <c r="AM29" i="4"/>
  <c r="AM32" i="4" s="1"/>
  <c r="AF236" i="6"/>
  <c r="I242" i="6"/>
  <c r="I28" i="3"/>
  <c r="I30" i="3" s="1"/>
  <c r="F49" i="7"/>
  <c r="F55" i="7" s="1"/>
  <c r="F54" i="7"/>
  <c r="AP32" i="6"/>
  <c r="AP38" i="6"/>
  <c r="AD22" i="9"/>
  <c r="AD30" i="4"/>
  <c r="AD29" i="3" s="1"/>
  <c r="AZ80" i="4"/>
  <c r="N61" i="3"/>
  <c r="U251" i="4"/>
  <c r="U56" i="4"/>
  <c r="U62" i="4"/>
  <c r="BE8" i="9"/>
  <c r="BE18" i="9" s="1"/>
  <c r="AZ10" i="9"/>
  <c r="AZ10" i="4"/>
  <c r="N243" i="5"/>
  <c r="N280" i="5" s="1"/>
  <c r="M245" i="5"/>
  <c r="M246" i="5" s="1"/>
  <c r="N240" i="5"/>
  <c r="N257" i="5"/>
  <c r="N237" i="5"/>
  <c r="AP26" i="3"/>
  <c r="AP32" i="4"/>
  <c r="Y41" i="8"/>
  <c r="Y47" i="8" s="1"/>
  <c r="Y87" i="4" s="1"/>
  <c r="Y46" i="8"/>
  <c r="S23" i="9"/>
  <c r="S29" i="3" s="1"/>
  <c r="S27" i="9"/>
  <c r="S31" i="9" s="1"/>
  <c r="S35" i="9" s="1"/>
  <c r="J29" i="3"/>
  <c r="J32" i="4"/>
  <c r="AI56" i="4"/>
  <c r="AI62" i="4"/>
  <c r="AI251" i="4"/>
  <c r="Q39" i="5"/>
  <c r="Q33" i="5"/>
  <c r="Q252" i="5" s="1"/>
  <c r="Q259" i="5" s="1"/>
  <c r="AM234" i="4"/>
  <c r="AM247" i="4" s="1"/>
  <c r="DE29" i="3" s="1"/>
  <c r="AM46" i="4"/>
  <c r="AM40" i="4"/>
  <c r="AM235" i="4" s="1"/>
  <c r="AM242" i="4" s="1"/>
  <c r="DE24" i="3" s="1"/>
  <c r="S61" i="3"/>
  <c r="AD26" i="4"/>
  <c r="AD32" i="5"/>
  <c r="BE35" i="4"/>
  <c r="BJ20" i="9"/>
  <c r="BO20" i="9" s="1"/>
  <c r="BO35" i="4" s="1"/>
  <c r="AE53" i="6"/>
  <c r="AE48" i="6"/>
  <c r="AE54" i="6" s="1"/>
  <c r="AE88" i="4" s="1"/>
  <c r="BI20" i="9"/>
  <c r="BD35" i="4"/>
  <c r="AJ32" i="6"/>
  <c r="AN242" i="6" s="1"/>
  <c r="AN249" i="6" s="1"/>
  <c r="AJ38" i="6"/>
  <c r="BI147" i="6"/>
  <c r="BH68" i="6"/>
  <c r="BH147" i="6" s="1"/>
  <c r="V32" i="4"/>
  <c r="T111" i="5"/>
  <c r="T115" i="5"/>
  <c r="AS41" i="8"/>
  <c r="AS47" i="8" s="1"/>
  <c r="AS87" i="4" s="1"/>
  <c r="AS46" i="8"/>
  <c r="BK138" i="4"/>
  <c r="BF138" i="4"/>
  <c r="BG138" i="4" s="1"/>
  <c r="BK45" i="5"/>
  <c r="BP45" i="5" s="1"/>
  <c r="BP33" i="9" s="1"/>
  <c r="BF33" i="9"/>
  <c r="BG33" i="9" s="1"/>
  <c r="BG45" i="5"/>
  <c r="R57" i="9"/>
  <c r="BC105" i="10"/>
  <c r="BE183" i="6"/>
  <c r="BE209" i="6" s="1"/>
  <c r="BE213" i="6" s="1"/>
  <c r="BG218" i="5"/>
  <c r="BC223" i="5"/>
  <c r="AX18" i="9"/>
  <c r="S223" i="8"/>
  <c r="S227" i="8" s="1"/>
  <c r="BF214" i="7"/>
  <c r="BF122" i="4" s="1"/>
  <c r="BE122" i="4"/>
  <c r="Y25" i="3"/>
  <c r="Y32" i="4"/>
  <c r="T69" i="9"/>
  <c r="T57" i="9"/>
  <c r="AP100" i="8"/>
  <c r="AP115" i="5"/>
  <c r="AQ49" i="9"/>
  <c r="AQ128" i="4"/>
  <c r="W58" i="9"/>
  <c r="CO41" i="3"/>
  <c r="AZ141" i="10"/>
  <c r="AF32" i="4"/>
  <c r="AF29" i="3"/>
  <c r="BA144" i="4"/>
  <c r="BB144" i="4" s="1"/>
  <c r="S269" i="5"/>
  <c r="AI57" i="9"/>
  <c r="AI127" i="4" s="1"/>
  <c r="AI69" i="9"/>
  <c r="AG58" i="9"/>
  <c r="AK58" i="9"/>
  <c r="AQ40" i="4"/>
  <c r="AU235" i="4" s="1"/>
  <c r="AU242" i="4" s="1"/>
  <c r="M46" i="4"/>
  <c r="M40" i="4"/>
  <c r="AL49" i="9"/>
  <c r="AL128" i="4"/>
  <c r="N32" i="4"/>
  <c r="AT127" i="4"/>
  <c r="F57" i="9"/>
  <c r="F69" i="9"/>
  <c r="AK29" i="3"/>
  <c r="AK32" i="4"/>
  <c r="AH223" i="8"/>
  <c r="AK98" i="4"/>
  <c r="BK144" i="4"/>
  <c r="BL144" i="4" s="1"/>
  <c r="AF69" i="9"/>
  <c r="AF57" i="9"/>
  <c r="AF127" i="4" s="1"/>
  <c r="Y57" i="9"/>
  <c r="Y127" i="4" s="1"/>
  <c r="Y69" i="9"/>
  <c r="L158" i="4"/>
  <c r="L58" i="9"/>
  <c r="G58" i="9"/>
  <c r="AY39" i="9"/>
  <c r="AY50" i="6"/>
  <c r="AY51" i="5"/>
  <c r="AY43" i="8"/>
  <c r="AY51" i="7"/>
  <c r="AH58" i="9"/>
  <c r="CZ44" i="3"/>
  <c r="CZ41" i="3" s="1"/>
  <c r="CZ53" i="3" s="1"/>
  <c r="CZ56" i="3" s="1"/>
  <c r="CZ60" i="3" s="1"/>
  <c r="CZ68" i="3" s="1"/>
  <c r="X158" i="4"/>
  <c r="X58" i="9"/>
  <c r="CP44" i="3"/>
  <c r="CP41" i="3" s="1"/>
  <c r="CP53" i="3" s="1"/>
  <c r="CP56" i="3" s="1"/>
  <c r="CP60" i="3" s="1"/>
  <c r="CP68" i="3" s="1"/>
  <c r="AT32" i="5"/>
  <c r="AT39" i="5" s="1"/>
  <c r="AT26" i="4"/>
  <c r="BI192" i="7"/>
  <c r="BA141" i="10"/>
  <c r="BC186" i="7"/>
  <c r="BC212" i="7" s="1"/>
  <c r="BL104" i="4"/>
  <c r="BF167" i="10"/>
  <c r="BH147" i="8"/>
  <c r="BH173" i="8" s="1"/>
  <c r="BH177" i="8" s="1"/>
  <c r="BB208" i="6"/>
  <c r="AZ98" i="4"/>
  <c r="AZ142" i="4" s="1"/>
  <c r="BD167" i="10"/>
  <c r="BF147" i="8"/>
  <c r="BF173" i="8" s="1"/>
  <c r="E22" i="20"/>
  <c r="F22" i="20" s="1"/>
  <c r="K9" i="20" s="1"/>
  <c r="E21" i="20"/>
  <c r="F21" i="20" s="1"/>
  <c r="E20" i="20"/>
  <c r="F20" i="20" s="1"/>
  <c r="E25" i="20"/>
  <c r="F25" i="20" s="1"/>
  <c r="E24" i="20"/>
  <c r="F24" i="20" s="1"/>
  <c r="E26" i="20"/>
  <c r="F26" i="20" s="1"/>
  <c r="M125" i="7"/>
  <c r="M129" i="7" s="1"/>
  <c r="AJ43" i="7"/>
  <c r="AJ47" i="7" s="1"/>
  <c r="AJ75" i="7"/>
  <c r="AJ74" i="7"/>
  <c r="L73" i="5"/>
  <c r="L74" i="5"/>
  <c r="L43" i="5"/>
  <c r="L47" i="5" s="1"/>
  <c r="K30" i="3"/>
  <c r="K33" i="3" s="1"/>
  <c r="AF50" i="4"/>
  <c r="AF54" i="4" s="1"/>
  <c r="AF117" i="4"/>
  <c r="AF61" i="3" s="1"/>
  <c r="AF116" i="4"/>
  <c r="AF256" i="4" s="1"/>
  <c r="H16" i="9"/>
  <c r="H18" i="9" s="1"/>
  <c r="H10" i="9"/>
  <c r="P46" i="6"/>
  <c r="R42" i="6"/>
  <c r="R46" i="6" s="1"/>
  <c r="AA32" i="6"/>
  <c r="AA38" i="6"/>
  <c r="AA57" i="9"/>
  <c r="AA127" i="4" s="1"/>
  <c r="AA69" i="9"/>
  <c r="BA125" i="4"/>
  <c r="BA252" i="4"/>
  <c r="DS63" i="3"/>
  <c r="V118" i="6"/>
  <c r="W118" i="6" s="1"/>
  <c r="Q120" i="6"/>
  <c r="BK10" i="5"/>
  <c r="BP10" i="5" s="1"/>
  <c r="AJ69" i="9"/>
  <c r="AJ57" i="9"/>
  <c r="AJ127" i="4" s="1"/>
  <c r="G161" i="4"/>
  <c r="H159" i="4" s="1"/>
  <c r="H161" i="4" s="1"/>
  <c r="R158" i="4"/>
  <c r="R67" i="9"/>
  <c r="R66" i="9" s="1"/>
  <c r="AG211" i="4"/>
  <c r="AL62" i="3"/>
  <c r="AX199" i="4"/>
  <c r="AY199" i="4" s="1"/>
  <c r="AC57" i="9"/>
  <c r="AC127" i="4" s="1"/>
  <c r="AZ122" i="4"/>
  <c r="W32" i="9"/>
  <c r="AA244" i="7"/>
  <c r="AA257" i="7" s="1"/>
  <c r="W39" i="7"/>
  <c r="W75" i="7" s="1"/>
  <c r="AC251" i="7"/>
  <c r="AP244" i="7"/>
  <c r="AP257" i="7" s="1"/>
  <c r="H244" i="7"/>
  <c r="H257" i="7" s="1"/>
  <c r="H39" i="7"/>
  <c r="H74" i="7" s="1"/>
  <c r="BJ167" i="8"/>
  <c r="AK23" i="9"/>
  <c r="AN27" i="9"/>
  <c r="AN31" i="9" s="1"/>
  <c r="AN35" i="9" s="1"/>
  <c r="AN42" i="9" s="1"/>
  <c r="BD141" i="10"/>
  <c r="BF186" i="7"/>
  <c r="BF212" i="7" s="1"/>
  <c r="BF216" i="7" s="1"/>
  <c r="BI141" i="10"/>
  <c r="BK186" i="7"/>
  <c r="BK212" i="7" s="1"/>
  <c r="BK183" i="6"/>
  <c r="BK209" i="6" s="1"/>
  <c r="BD105" i="10"/>
  <c r="BF183" i="6"/>
  <c r="BF209" i="6" s="1"/>
  <c r="BF213" i="6" s="1"/>
  <c r="AV141" i="10"/>
  <c r="AX186" i="7"/>
  <c r="AX212" i="7" s="1"/>
  <c r="AW105" i="10"/>
  <c r="AY183" i="6"/>
  <c r="AY209" i="6" s="1"/>
  <c r="AY213" i="6" s="1"/>
  <c r="AB11" i="10"/>
  <c r="BB11" i="10"/>
  <c r="BD103" i="4" s="1"/>
  <c r="BD147" i="4" s="1"/>
  <c r="BA67" i="9"/>
  <c r="BA128" i="4"/>
  <c r="BB141" i="10"/>
  <c r="BD186" i="7"/>
  <c r="BD212" i="7" s="1"/>
  <c r="BD216" i="7" s="1"/>
  <c r="AY105" i="10"/>
  <c r="BA183" i="6"/>
  <c r="BA209" i="6" s="1"/>
  <c r="BA213" i="6" s="1"/>
  <c r="Y141" i="10"/>
  <c r="BB42" i="10"/>
  <c r="BD50" i="9"/>
  <c r="BD65" i="9" s="1"/>
  <c r="BI50" i="9"/>
  <c r="BI65" i="9" s="1"/>
  <c r="AX141" i="10"/>
  <c r="AZ186" i="7"/>
  <c r="AZ212" i="7" s="1"/>
  <c r="AZ216" i="7" s="1"/>
  <c r="BF77" i="10"/>
  <c r="AV77" i="10"/>
  <c r="N233" i="4"/>
  <c r="N246" i="4" s="1"/>
  <c r="CF28" i="3" s="1"/>
  <c r="AJ205" i="8"/>
  <c r="AJ218" i="8" s="1"/>
  <c r="BA177" i="8"/>
  <c r="BA123" i="4"/>
  <c r="BG219" i="5"/>
  <c r="BB105" i="10"/>
  <c r="BD183" i="6"/>
  <c r="BD209" i="6" s="1"/>
  <c r="BD213" i="6" s="1"/>
  <c r="N62" i="4"/>
  <c r="X246" i="5"/>
  <c r="F129" i="5"/>
  <c r="F133" i="5" s="1"/>
  <c r="AY98" i="4"/>
  <c r="AY142" i="4" s="1"/>
  <c r="X31" i="6"/>
  <c r="X38" i="6" s="1"/>
  <c r="X29" i="4"/>
  <c r="X32" i="4" s="1"/>
  <c r="AC38" i="6"/>
  <c r="AC42" i="6" s="1"/>
  <c r="N241" i="6"/>
  <c r="N254" i="6" s="1"/>
  <c r="X61" i="3"/>
  <c r="W40" i="4"/>
  <c r="W115" i="5"/>
  <c r="N27" i="9"/>
  <c r="N31" i="9" s="1"/>
  <c r="N35" i="9" s="1"/>
  <c r="N23" i="9"/>
  <c r="N29" i="3" s="1"/>
  <c r="AX113" i="4"/>
  <c r="AY191" i="6"/>
  <c r="AY155" i="8"/>
  <c r="AY194" i="7"/>
  <c r="L54" i="7"/>
  <c r="L49" i="7"/>
  <c r="N258" i="5"/>
  <c r="AY23" i="5"/>
  <c r="K32" i="4"/>
  <c r="AU53" i="6"/>
  <c r="AU48" i="6"/>
  <c r="AU54" i="6" s="1"/>
  <c r="AU88" i="4" s="1"/>
  <c r="AI23" i="9"/>
  <c r="AI27" i="9"/>
  <c r="AI31" i="9" s="1"/>
  <c r="AI35" i="9" s="1"/>
  <c r="AP23" i="9"/>
  <c r="AP27" i="9"/>
  <c r="AP31" i="9" s="1"/>
  <c r="AP35" i="9" s="1"/>
  <c r="BE15" i="4"/>
  <c r="BJ9" i="9"/>
  <c r="BO9" i="9" s="1"/>
  <c r="G33" i="5"/>
  <c r="G39" i="5"/>
  <c r="F33" i="5"/>
  <c r="F39" i="5"/>
  <c r="Z62" i="4"/>
  <c r="Z251" i="4"/>
  <c r="Z56" i="4"/>
  <c r="AG46" i="4"/>
  <c r="AG40" i="4"/>
  <c r="F34" i="20"/>
  <c r="AC61" i="3"/>
  <c r="E15" i="20"/>
  <c r="F15" i="20" s="1"/>
  <c r="E14" i="20"/>
  <c r="F14" i="20" s="1"/>
  <c r="E13" i="20"/>
  <c r="F13" i="20" s="1"/>
  <c r="E12" i="20"/>
  <c r="F12" i="20" s="1"/>
  <c r="E10" i="20"/>
  <c r="F10" i="20" s="1"/>
  <c r="E9" i="20"/>
  <c r="F9" i="20" s="1"/>
  <c r="E16" i="20"/>
  <c r="F16" i="20" s="1"/>
  <c r="E11" i="20"/>
  <c r="F11" i="20" s="1"/>
  <c r="K54" i="7"/>
  <c r="K49" i="7"/>
  <c r="S244" i="7"/>
  <c r="S257" i="7" s="1"/>
  <c r="S33" i="7"/>
  <c r="S39" i="7"/>
  <c r="E46" i="8"/>
  <c r="E41" i="8"/>
  <c r="E47" i="8" s="1"/>
  <c r="E87" i="4" s="1"/>
  <c r="K23" i="9"/>
  <c r="K27" i="9"/>
  <c r="K31" i="9" s="1"/>
  <c r="K35" i="9" s="1"/>
  <c r="L32" i="4"/>
  <c r="AC240" i="4"/>
  <c r="CU22" i="3" s="1"/>
  <c r="AC229" i="4"/>
  <c r="AC226" i="4"/>
  <c r="AC223" i="4"/>
  <c r="AC241" i="4"/>
  <c r="CU23" i="3" s="1"/>
  <c r="AP57" i="9"/>
  <c r="AP127" i="4" s="1"/>
  <c r="AE57" i="9"/>
  <c r="AE127" i="4" s="1"/>
  <c r="AE69" i="9"/>
  <c r="AS29" i="3"/>
  <c r="AS30" i="3" s="1"/>
  <c r="AS56" i="3" s="1"/>
  <c r="BF144" i="4"/>
  <c r="AE98" i="4"/>
  <c r="BG10" i="5"/>
  <c r="Q58" i="9"/>
  <c r="AG49" i="9"/>
  <c r="AG128" i="4"/>
  <c r="E27" i="20"/>
  <c r="F27" i="20" s="1"/>
  <c r="AH22" i="9"/>
  <c r="AH30" i="4"/>
  <c r="O23" i="9"/>
  <c r="O27" i="9"/>
  <c r="O31" i="9" s="1"/>
  <c r="O35" i="9" s="1"/>
  <c r="AZ139" i="4"/>
  <c r="R32" i="5"/>
  <c r="R26" i="4"/>
  <c r="R40" i="4"/>
  <c r="R46" i="4"/>
  <c r="U29" i="3"/>
  <c r="U32" i="4"/>
  <c r="AE25" i="3"/>
  <c r="AE32" i="4"/>
  <c r="T32" i="4"/>
  <c r="T25" i="3"/>
  <c r="S61" i="9"/>
  <c r="E57" i="9"/>
  <c r="E69" i="9"/>
  <c r="E47" i="7"/>
  <c r="H43" i="7"/>
  <c r="H47" i="7" s="1"/>
  <c r="J35" i="8"/>
  <c r="J39" i="8" s="1"/>
  <c r="J62" i="8"/>
  <c r="J63" i="8"/>
  <c r="AE23" i="9"/>
  <c r="AE27" i="9"/>
  <c r="AE31" i="9" s="1"/>
  <c r="AE35" i="9" s="1"/>
  <c r="W33" i="5"/>
  <c r="W39" i="5"/>
  <c r="Z67" i="9"/>
  <c r="Z66" i="9" s="1"/>
  <c r="O57" i="9"/>
  <c r="O69" i="9"/>
  <c r="AT30" i="4"/>
  <c r="AT29" i="3" s="1"/>
  <c r="U49" i="7"/>
  <c r="U55" i="7" s="1"/>
  <c r="U54" i="7"/>
  <c r="S93" i="4"/>
  <c r="S98" i="4" s="1"/>
  <c r="O170" i="5"/>
  <c r="S170" i="5"/>
  <c r="Q170" i="5"/>
  <c r="P170" i="5"/>
  <c r="R170" i="5"/>
  <c r="BF139" i="4"/>
  <c r="V57" i="9"/>
  <c r="AQ46" i="4"/>
  <c r="BG211" i="7"/>
  <c r="AJ22" i="9"/>
  <c r="AJ30" i="4"/>
  <c r="AJ29" i="3" s="1"/>
  <c r="BB138" i="4"/>
  <c r="AR223" i="8"/>
  <c r="Q98" i="4"/>
  <c r="BD8" i="9"/>
  <c r="AY10" i="9"/>
  <c r="AY10" i="4"/>
  <c r="R10" i="9"/>
  <c r="AB10" i="9"/>
  <c r="AL10" i="9"/>
  <c r="AO58" i="9"/>
  <c r="M158" i="4"/>
  <c r="M67" i="9"/>
  <c r="M66" i="9" s="1"/>
  <c r="AC158" i="4"/>
  <c r="AC62" i="9"/>
  <c r="AC61" i="9" s="1"/>
  <c r="AX40" i="9"/>
  <c r="AX51" i="6"/>
  <c r="AX44" i="8"/>
  <c r="AX52" i="7"/>
  <c r="AX52" i="5"/>
  <c r="Z32" i="5"/>
  <c r="Z26" i="4"/>
  <c r="AZ22" i="9"/>
  <c r="AZ23" i="9" s="1"/>
  <c r="AZ30" i="4"/>
  <c r="AZ29" i="3" s="1"/>
  <c r="BD192" i="7"/>
  <c r="AV167" i="10"/>
  <c r="AX146" i="8"/>
  <c r="AX172" i="8" s="1"/>
  <c r="AX67" i="9"/>
  <c r="AX128" i="4"/>
  <c r="BF141" i="10"/>
  <c r="BH186" i="7"/>
  <c r="BH212" i="7" s="1"/>
  <c r="BL50" i="9"/>
  <c r="BB219" i="5"/>
  <c r="AC200" i="8"/>
  <c r="AC194" i="8"/>
  <c r="AC191" i="8"/>
  <c r="AC197" i="8"/>
  <c r="AC234" i="8" s="1"/>
  <c r="AB199" i="8"/>
  <c r="AC212" i="8"/>
  <c r="AC211" i="8"/>
  <c r="Y42" i="6"/>
  <c r="Y46" i="6" s="1"/>
  <c r="Y71" i="6"/>
  <c r="Y70" i="6"/>
  <c r="BH20" i="9"/>
  <c r="BC35" i="4"/>
  <c r="BG20" i="9"/>
  <c r="V230" i="6"/>
  <c r="V247" i="6"/>
  <c r="V233" i="6"/>
  <c r="V270" i="6" s="1"/>
  <c r="V227" i="6"/>
  <c r="J23" i="9"/>
  <c r="J27" i="9"/>
  <c r="J31" i="9" s="1"/>
  <c r="J35" i="9" s="1"/>
  <c r="AC251" i="4"/>
  <c r="AC62" i="4"/>
  <c r="AC56" i="4"/>
  <c r="AX10" i="4"/>
  <c r="BB8" i="9"/>
  <c r="BB10" i="9" s="1"/>
  <c r="BC8" i="9"/>
  <c r="L30" i="3"/>
  <c r="L33" i="3" s="1"/>
  <c r="DQ67" i="3"/>
  <c r="BB153" i="4"/>
  <c r="DT67" i="3" s="1"/>
  <c r="AH56" i="4"/>
  <c r="AH251" i="4"/>
  <c r="AH62" i="4"/>
  <c r="P69" i="9"/>
  <c r="P57" i="9"/>
  <c r="G50" i="4"/>
  <c r="G54" i="4" s="1"/>
  <c r="G117" i="4"/>
  <c r="G116" i="4"/>
  <c r="BE139" i="4"/>
  <c r="J57" i="9"/>
  <c r="J69" i="9"/>
  <c r="AG62" i="3"/>
  <c r="V158" i="4"/>
  <c r="V67" i="9"/>
  <c r="V66" i="9" s="1"/>
  <c r="N158" i="4"/>
  <c r="N58" i="9"/>
  <c r="CF44" i="3"/>
  <c r="S58" i="9"/>
  <c r="CK44" i="3"/>
  <c r="W211" i="4"/>
  <c r="AB62" i="3"/>
  <c r="AR158" i="4"/>
  <c r="AR58" i="9"/>
  <c r="DJ44" i="3"/>
  <c r="DJ41" i="3" s="1"/>
  <c r="DJ53" i="3" s="1"/>
  <c r="DJ56" i="3" s="1"/>
  <c r="DJ60" i="3" s="1"/>
  <c r="DJ68" i="3" s="1"/>
  <c r="AL32" i="5"/>
  <c r="AP251" i="5" s="1"/>
  <c r="AP264" i="5" s="1"/>
  <c r="AL26" i="4"/>
  <c r="M259" i="5"/>
  <c r="AJ32" i="5"/>
  <c r="AJ26" i="4"/>
  <c r="AB115" i="5"/>
  <c r="AQ32" i="5"/>
  <c r="AQ251" i="5" s="1"/>
  <c r="AQ264" i="5" s="1"/>
  <c r="AQ26" i="4"/>
  <c r="BF269" i="5"/>
  <c r="BG269" i="5" s="1"/>
  <c r="N86" i="4"/>
  <c r="N11" i="3" s="1"/>
  <c r="BK124" i="4"/>
  <c r="F88" i="4"/>
  <c r="E88" i="4"/>
  <c r="AY22" i="9"/>
  <c r="AY23" i="9" s="1"/>
  <c r="AY30" i="4"/>
  <c r="AY29" i="3" s="1"/>
  <c r="AW167" i="10"/>
  <c r="AY147" i="8"/>
  <c r="AY173" i="8" s="1"/>
  <c r="AY177" i="8" s="1"/>
  <c r="BK192" i="7"/>
  <c r="AY77" i="10"/>
  <c r="BA192" i="5"/>
  <c r="BA218" i="5" s="1"/>
  <c r="BA223" i="5" s="1"/>
  <c r="AE11" i="10"/>
  <c r="BD11" i="10"/>
  <c r="BF103" i="4" s="1"/>
  <c r="BF147" i="4" s="1"/>
  <c r="BF49" i="9"/>
  <c r="BF64" i="9" s="1"/>
  <c r="AG11" i="10"/>
  <c r="BH167" i="10"/>
  <c r="BJ147" i="8"/>
  <c r="BJ173" i="8" s="1"/>
  <c r="BJ177" i="8" s="1"/>
  <c r="AY141" i="10"/>
  <c r="BA186" i="7"/>
  <c r="BA212" i="7" s="1"/>
  <c r="BK50" i="9"/>
  <c r="BK65" i="9" s="1"/>
  <c r="AX167" i="10"/>
  <c r="AZ147" i="8"/>
  <c r="AZ173" i="8" s="1"/>
  <c r="AZ177" i="8" s="1"/>
  <c r="BE141" i="10"/>
  <c r="BG186" i="7"/>
  <c r="BJ186" i="7"/>
  <c r="BJ212" i="7" s="1"/>
  <c r="BI167" i="10"/>
  <c r="BK147" i="8"/>
  <c r="BK173" i="8" s="1"/>
  <c r="BF192" i="7"/>
  <c r="N141" i="10"/>
  <c r="AM158" i="4"/>
  <c r="AM58" i="9"/>
  <c r="DE44" i="3"/>
  <c r="DE41" i="3" s="1"/>
  <c r="DE53" i="3" s="1"/>
  <c r="DE56" i="3" s="1"/>
  <c r="DE60" i="3" s="1"/>
  <c r="DE68" i="3" s="1"/>
  <c r="BE223" i="5"/>
  <c r="BE153" i="4"/>
  <c r="AY269" i="5"/>
  <c r="AK206" i="8"/>
  <c r="AK213" i="8" s="1"/>
  <c r="AG206" i="8"/>
  <c r="AG213" i="8" s="1"/>
  <c r="R206" i="8"/>
  <c r="R213" i="8" s="1"/>
  <c r="M120" i="6"/>
  <c r="M123" i="6" s="1"/>
  <c r="BB211" i="7"/>
  <c r="X237" i="5"/>
  <c r="AR31" i="6"/>
  <c r="AR38" i="6" s="1"/>
  <c r="AR29" i="4"/>
  <c r="AR32" i="4" s="1"/>
  <c r="AU62" i="3"/>
  <c r="Y234" i="4"/>
  <c r="Y247" i="4" s="1"/>
  <c r="AQ235" i="4"/>
  <c r="AQ242" i="4" s="1"/>
  <c r="AX58" i="8"/>
  <c r="AX105" i="8" s="1"/>
  <c r="AX104" i="8" s="1"/>
  <c r="AY105" i="8"/>
  <c r="AY104" i="8" s="1"/>
  <c r="AD42" i="6"/>
  <c r="AD46" i="6" s="1"/>
  <c r="AD70" i="6"/>
  <c r="AD71" i="6"/>
  <c r="G23" i="9"/>
  <c r="G27" i="9"/>
  <c r="G31" i="9" s="1"/>
  <c r="G35" i="9" s="1"/>
  <c r="AO43" i="7"/>
  <c r="AO75" i="7"/>
  <c r="AO74" i="7"/>
  <c r="E40" i="10"/>
  <c r="H40" i="4"/>
  <c r="K235" i="4" s="1"/>
  <c r="K242" i="4" s="1"/>
  <c r="H46" i="4"/>
  <c r="AK62" i="4"/>
  <c r="AK56" i="4"/>
  <c r="AK251" i="4"/>
  <c r="N246" i="5"/>
  <c r="V248" i="6"/>
  <c r="V62" i="8"/>
  <c r="V35" i="8"/>
  <c r="V39" i="8" s="1"/>
  <c r="V63" i="8"/>
  <c r="Z38" i="6"/>
  <c r="Z32" i="6"/>
  <c r="Z22" i="9"/>
  <c r="Z30" i="4"/>
  <c r="Z29" i="3" s="1"/>
  <c r="J47" i="7"/>
  <c r="M43" i="7"/>
  <c r="M47" i="7" s="1"/>
  <c r="Z234" i="4"/>
  <c r="Z247" i="4" s="1"/>
  <c r="BC113" i="4"/>
  <c r="BD155" i="8"/>
  <c r="BD191" i="6"/>
  <c r="BD194" i="7"/>
  <c r="F251" i="4"/>
  <c r="F62" i="4"/>
  <c r="F56" i="4"/>
  <c r="BH113" i="4"/>
  <c r="BI191" i="6"/>
  <c r="BI155" i="8"/>
  <c r="BI194" i="7"/>
  <c r="AR251" i="4"/>
  <c r="AR62" i="4"/>
  <c r="AR56" i="4"/>
  <c r="AS56" i="4"/>
  <c r="AS62" i="4"/>
  <c r="U256" i="4"/>
  <c r="V256" i="4"/>
  <c r="BC71" i="5"/>
  <c r="BC156" i="5" s="1"/>
  <c r="BC155" i="5" s="1"/>
  <c r="BD156" i="5"/>
  <c r="BD155" i="5" s="1"/>
  <c r="F62" i="8"/>
  <c r="F63" i="8"/>
  <c r="F35" i="8"/>
  <c r="F39" i="8" s="1"/>
  <c r="O50" i="4"/>
  <c r="O54" i="4" s="1"/>
  <c r="O116" i="4"/>
  <c r="O117" i="4"/>
  <c r="J234" i="4"/>
  <c r="J247" i="4" s="1"/>
  <c r="V30" i="3"/>
  <c r="V56" i="3" s="1"/>
  <c r="L227" i="6"/>
  <c r="L247" i="6"/>
  <c r="L233" i="6"/>
  <c r="L270" i="6" s="1"/>
  <c r="L230" i="6"/>
  <c r="BJ138" i="4"/>
  <c r="N211" i="4"/>
  <c r="BE177" i="8"/>
  <c r="AK67" i="9"/>
  <c r="AK66" i="9" s="1"/>
  <c r="AB58" i="9"/>
  <c r="AW47" i="3"/>
  <c r="AO38" i="6"/>
  <c r="AO32" i="6"/>
  <c r="AO242" i="6" s="1"/>
  <c r="AO249" i="6" s="1"/>
  <c r="AL22" i="9"/>
  <c r="AL30" i="4"/>
  <c r="AL29" i="3" s="1"/>
  <c r="AQ78" i="8"/>
  <c r="AQ99" i="8" s="1"/>
  <c r="AQ100" i="8" s="1"/>
  <c r="BA139" i="4"/>
  <c r="AN57" i="9"/>
  <c r="AN127" i="4" s="1"/>
  <c r="AN69" i="9"/>
  <c r="DN167" i="10"/>
  <c r="Y98" i="4"/>
  <c r="O98" i="4"/>
  <c r="K158" i="4"/>
  <c r="K58" i="9"/>
  <c r="AL57" i="9"/>
  <c r="AL127" i="4" s="1"/>
  <c r="AL69" i="9"/>
  <c r="AK234" i="4"/>
  <c r="AK247" i="4" s="1"/>
  <c r="AQ22" i="9"/>
  <c r="T47" i="7"/>
  <c r="AG9" i="9"/>
  <c r="AG23" i="6"/>
  <c r="AG25" i="6" s="1"/>
  <c r="U98" i="4"/>
  <c r="M25" i="3"/>
  <c r="M30" i="3" s="1"/>
  <c r="M33" i="3" s="1"/>
  <c r="AQ58" i="9"/>
  <c r="M58" i="9"/>
  <c r="AX11" i="10"/>
  <c r="AZ103" i="4" s="1"/>
  <c r="AZ147" i="4" s="1"/>
  <c r="DR64" i="3" s="1"/>
  <c r="BD42" i="10"/>
  <c r="AH32" i="6"/>
  <c r="I233" i="6"/>
  <c r="I270" i="6" s="1"/>
  <c r="I230" i="6"/>
  <c r="I247" i="6"/>
  <c r="H235" i="6"/>
  <c r="I248" i="6"/>
  <c r="I227" i="6"/>
  <c r="I236" i="6"/>
  <c r="G48" i="6"/>
  <c r="G53" i="6"/>
  <c r="AS53" i="6"/>
  <c r="AN53" i="6"/>
  <c r="AN48" i="6"/>
  <c r="K120" i="6"/>
  <c r="X32" i="6"/>
  <c r="V48" i="6"/>
  <c r="V53" i="6"/>
  <c r="BC143" i="6"/>
  <c r="AX21" i="6"/>
  <c r="AN227" i="6"/>
  <c r="AN247" i="6"/>
  <c r="AN230" i="6"/>
  <c r="AN233" i="6"/>
  <c r="AN270" i="6" s="1"/>
  <c r="I42" i="6"/>
  <c r="AM227" i="6"/>
  <c r="AM233" i="6"/>
  <c r="AM270" i="6" s="1"/>
  <c r="AL235" i="6"/>
  <c r="AM247" i="6"/>
  <c r="AM236" i="6"/>
  <c r="AM230" i="6"/>
  <c r="AB23" i="6"/>
  <c r="AB25" i="6" s="1"/>
  <c r="AB17" i="6"/>
  <c r="AM241" i="6"/>
  <c r="AM254" i="6" s="1"/>
  <c r="AF227" i="6"/>
  <c r="AF230" i="6"/>
  <c r="AF247" i="6"/>
  <c r="AF233" i="6"/>
  <c r="AF270" i="6" s="1"/>
  <c r="N42" i="6"/>
  <c r="L41" i="8"/>
  <c r="L47" i="8" s="1"/>
  <c r="L87" i="4" s="1"/>
  <c r="L46" i="8"/>
  <c r="X100" i="8"/>
  <c r="T35" i="8"/>
  <c r="T39" i="8" s="1"/>
  <c r="T63" i="8"/>
  <c r="T62" i="8"/>
  <c r="AC41" i="8"/>
  <c r="AC46" i="8"/>
  <c r="P35" i="8"/>
  <c r="P39" i="8" s="1"/>
  <c r="P62" i="8"/>
  <c r="P63" i="8"/>
  <c r="AF41" i="8"/>
  <c r="AF47" i="8" s="1"/>
  <c r="AF87" i="4" s="1"/>
  <c r="AF46" i="8"/>
  <c r="AR35" i="8"/>
  <c r="AR39" i="8" s="1"/>
  <c r="AR63" i="8"/>
  <c r="AR62" i="8"/>
  <c r="AK41" i="8"/>
  <c r="AK47" i="8" s="1"/>
  <c r="AK46" i="8"/>
  <c r="AN35" i="8"/>
  <c r="AN39" i="8" s="1"/>
  <c r="AN62" i="8"/>
  <c r="AN63" i="8"/>
  <c r="AM212" i="8"/>
  <c r="AO41" i="8"/>
  <c r="AO46" i="8"/>
  <c r="AB63" i="8"/>
  <c r="AB62" i="8"/>
  <c r="N239" i="7"/>
  <c r="AG218" i="7"/>
  <c r="AM239" i="7"/>
  <c r="BI146" i="7"/>
  <c r="K221" i="7"/>
  <c r="L219" i="7" s="1"/>
  <c r="L221" i="7" s="1"/>
  <c r="M219" i="7" s="1"/>
  <c r="M221" i="7" s="1"/>
  <c r="AY23" i="7"/>
  <c r="BD149" i="7"/>
  <c r="W122" i="7"/>
  <c r="AH246" i="5"/>
  <c r="I251" i="4"/>
  <c r="I62" i="4"/>
  <c r="I56" i="4"/>
  <c r="AU62" i="4"/>
  <c r="AU56" i="4"/>
  <c r="AU254" i="4" s="1"/>
  <c r="AU255" i="4" s="1"/>
  <c r="J63" i="4"/>
  <c r="J75" i="4" s="1"/>
  <c r="J254" i="4"/>
  <c r="J255" i="4" s="1"/>
  <c r="AP62" i="4"/>
  <c r="AP251" i="4"/>
  <c r="AP56" i="4"/>
  <c r="AB251" i="4"/>
  <c r="AB56" i="4"/>
  <c r="AB62" i="4"/>
  <c r="X62" i="4"/>
  <c r="X251" i="4"/>
  <c r="X56" i="4"/>
  <c r="E19" i="20" s="1"/>
  <c r="E62" i="4"/>
  <c r="E251" i="4"/>
  <c r="E56" i="4"/>
  <c r="F23" i="20"/>
  <c r="X42" i="10"/>
  <c r="AE42" i="10"/>
  <c r="AV42" i="10"/>
  <c r="AL42" i="10"/>
  <c r="AI10" i="10"/>
  <c r="AY42" i="10"/>
  <c r="AV11" i="10"/>
  <c r="AX103" i="4" s="1"/>
  <c r="AX147" i="4" s="1"/>
  <c r="AI11" i="10"/>
  <c r="X227" i="6"/>
  <c r="G120" i="6"/>
  <c r="AR227" i="6"/>
  <c r="AR230" i="6"/>
  <c r="AQ235" i="6"/>
  <c r="AQ248" i="6" s="1"/>
  <c r="AR247" i="6"/>
  <c r="AR233" i="6"/>
  <c r="AR270" i="6" s="1"/>
  <c r="S227" i="6"/>
  <c r="S247" i="6"/>
  <c r="S233" i="6"/>
  <c r="S270" i="6" s="1"/>
  <c r="R235" i="6"/>
  <c r="S230" i="6"/>
  <c r="N230" i="6"/>
  <c r="M235" i="6"/>
  <c r="M236" i="6" s="1"/>
  <c r="N247" i="6"/>
  <c r="N233" i="6"/>
  <c r="N270" i="6" s="1"/>
  <c r="N227" i="6"/>
  <c r="AU227" i="6"/>
  <c r="AU233" i="6"/>
  <c r="AU230" i="6"/>
  <c r="W70" i="6"/>
  <c r="X236" i="6"/>
  <c r="AY19" i="6"/>
  <c r="BD140" i="6"/>
  <c r="Z242" i="6"/>
  <c r="Z249" i="6" s="1"/>
  <c r="M227" i="6"/>
  <c r="M248" i="6"/>
  <c r="AQ38" i="6"/>
  <c r="BJ140" i="6"/>
  <c r="BE19" i="6"/>
  <c r="H218" i="6"/>
  <c r="H133" i="6"/>
  <c r="AM200" i="8"/>
  <c r="K227" i="8"/>
  <c r="L222" i="8" s="1"/>
  <c r="L227" i="8" s="1"/>
  <c r="M222" i="8" s="1"/>
  <c r="M227" i="8" s="1"/>
  <c r="K41" i="8"/>
  <c r="K46" i="8"/>
  <c r="Z206" i="8"/>
  <c r="Z213" i="8" s="1"/>
  <c r="W206" i="8"/>
  <c r="W213" i="8" s="1"/>
  <c r="Y206" i="8"/>
  <c r="Y213" i="8" s="1"/>
  <c r="M206" i="8"/>
  <c r="M213" i="8" s="1"/>
  <c r="AA206" i="8"/>
  <c r="AA213" i="8" s="1"/>
  <c r="AU41" i="8"/>
  <c r="AU46" i="8"/>
  <c r="M63" i="8"/>
  <c r="M62" i="8"/>
  <c r="BJ104" i="8"/>
  <c r="BE12" i="8"/>
  <c r="AG35" i="8"/>
  <c r="AG39" i="8" s="1"/>
  <c r="AH39" i="8"/>
  <c r="N39" i="8"/>
  <c r="AZ14" i="8"/>
  <c r="AZ22" i="4" s="1"/>
  <c r="BE107" i="8"/>
  <c r="AO194" i="8"/>
  <c r="AO197" i="8"/>
  <c r="AO234" i="8" s="1"/>
  <c r="AO211" i="8"/>
  <c r="AO191" i="8"/>
  <c r="AL35" i="8"/>
  <c r="AL39" i="8" s="1"/>
  <c r="AM39" i="8"/>
  <c r="AD41" i="8"/>
  <c r="AD46" i="8"/>
  <c r="W62" i="8"/>
  <c r="W63" i="8"/>
  <c r="L206" i="8"/>
  <c r="L213" i="8" s="1"/>
  <c r="AJ41" i="8"/>
  <c r="AJ46" i="8"/>
  <c r="AT41" i="8"/>
  <c r="AT46" i="8"/>
  <c r="Q206" i="8"/>
  <c r="Q213" i="8" s="1"/>
  <c r="AL62" i="8"/>
  <c r="AL63" i="8"/>
  <c r="N212" i="8"/>
  <c r="N191" i="8"/>
  <c r="AX59" i="8"/>
  <c r="AX108" i="8" s="1"/>
  <c r="AX107" i="8" s="1"/>
  <c r="AY108" i="8"/>
  <c r="AY107" i="8" s="1"/>
  <c r="G46" i="8"/>
  <c r="G41" i="8"/>
  <c r="AE41" i="8"/>
  <c r="AE47" i="8" s="1"/>
  <c r="AE46" i="8"/>
  <c r="H63" i="8"/>
  <c r="H62" i="8"/>
  <c r="AG62" i="8"/>
  <c r="S39" i="8"/>
  <c r="AA39" i="8"/>
  <c r="AB35" i="8"/>
  <c r="AB39" i="8" s="1"/>
  <c r="AQ35" i="8"/>
  <c r="AQ39" i="8" s="1"/>
  <c r="AP39" i="8"/>
  <c r="H206" i="8"/>
  <c r="H213" i="8" s="1"/>
  <c r="R62" i="8"/>
  <c r="R63" i="8"/>
  <c r="I41" i="8"/>
  <c r="I46" i="8"/>
  <c r="K206" i="8"/>
  <c r="K213" i="8" s="1"/>
  <c r="O46" i="8"/>
  <c r="O41" i="8"/>
  <c r="AH100" i="8"/>
  <c r="X39" i="8"/>
  <c r="P206" i="8"/>
  <c r="P213" i="8" s="1"/>
  <c r="AO212" i="8"/>
  <c r="V206" i="8"/>
  <c r="V213" i="8" s="1"/>
  <c r="T206" i="8"/>
  <c r="T213" i="8" s="1"/>
  <c r="U206" i="8"/>
  <c r="U213" i="8" s="1"/>
  <c r="H35" i="8"/>
  <c r="H39" i="8" s="1"/>
  <c r="AQ62" i="8"/>
  <c r="AQ63" i="8"/>
  <c r="AI41" i="8"/>
  <c r="AI46" i="8"/>
  <c r="AH233" i="7"/>
  <c r="AH250" i="7"/>
  <c r="AH236" i="7"/>
  <c r="AH274" i="7" s="1"/>
  <c r="AG238" i="7"/>
  <c r="AH251" i="7"/>
  <c r="AM47" i="7"/>
  <c r="BA214" i="7"/>
  <c r="BA172" i="7"/>
  <c r="BA94" i="4" s="1"/>
  <c r="V121" i="7"/>
  <c r="W121" i="7" s="1"/>
  <c r="W123" i="7" s="1"/>
  <c r="Q123" i="7"/>
  <c r="CU219" i="7"/>
  <c r="CQ221" i="7"/>
  <c r="CR219" i="7"/>
  <c r="BJ149" i="7"/>
  <c r="BE23" i="7"/>
  <c r="BE23" i="4" s="1"/>
  <c r="AI54" i="7"/>
  <c r="AI49" i="7"/>
  <c r="AI55" i="7" s="1"/>
  <c r="AI86" i="4" s="1"/>
  <c r="H123" i="7"/>
  <c r="M127" i="7" s="1"/>
  <c r="M61" i="7" s="1"/>
  <c r="AG45" i="7"/>
  <c r="AG33" i="9" s="1"/>
  <c r="AK45" i="7"/>
  <c r="T243" i="5"/>
  <c r="T280" i="5" s="1"/>
  <c r="T240" i="5"/>
  <c r="T257" i="5"/>
  <c r="T237" i="5"/>
  <c r="K129" i="5"/>
  <c r="AU240" i="5"/>
  <c r="AU243" i="5"/>
  <c r="AU280" i="5" s="1"/>
  <c r="AU257" i="5"/>
  <c r="AU237" i="5"/>
  <c r="AK43" i="5"/>
  <c r="AK47" i="5" s="1"/>
  <c r="AK73" i="5"/>
  <c r="AK74" i="5"/>
  <c r="BL269" i="5"/>
  <c r="BC20" i="5"/>
  <c r="BH149" i="5"/>
  <c r="J47" i="5"/>
  <c r="BF222" i="5"/>
  <c r="BF153" i="4" s="1"/>
  <c r="I243" i="5"/>
  <c r="I280" i="5" s="1"/>
  <c r="H245" i="5"/>
  <c r="H237" i="5" s="1"/>
  <c r="I240" i="5"/>
  <c r="I257" i="5"/>
  <c r="I237" i="5"/>
  <c r="AH240" i="5"/>
  <c r="AH257" i="5"/>
  <c r="AG245" i="5"/>
  <c r="AG246" i="5" s="1"/>
  <c r="AH237" i="5"/>
  <c r="AH243" i="5"/>
  <c r="AH280" i="5" s="1"/>
  <c r="AH33" i="2" s="1"/>
  <c r="AC49" i="5"/>
  <c r="AC54" i="5"/>
  <c r="K49" i="5"/>
  <c r="K55" i="5" s="1"/>
  <c r="K54" i="5"/>
  <c r="M133" i="5"/>
  <c r="M139" i="5"/>
  <c r="M131" i="5"/>
  <c r="M61" i="5" s="1"/>
  <c r="AO251" i="5"/>
  <c r="AO264" i="5" s="1"/>
  <c r="AM240" i="5"/>
  <c r="AL245" i="5"/>
  <c r="AM243" i="5"/>
  <c r="AM280" i="5" s="1"/>
  <c r="AM33" i="2" s="1"/>
  <c r="AM257" i="5"/>
  <c r="AM237" i="5"/>
  <c r="AG237" i="5"/>
  <c r="I263" i="5"/>
  <c r="I260" i="5"/>
  <c r="T246" i="5"/>
  <c r="I246" i="5"/>
  <c r="F139" i="5"/>
  <c r="AU246" i="5"/>
  <c r="AZ213" i="5"/>
  <c r="AZ269" i="5"/>
  <c r="AB211" i="4"/>
  <c r="AG220" i="4"/>
  <c r="AG240" i="4"/>
  <c r="AG226" i="4"/>
  <c r="AG223" i="4"/>
  <c r="AG241" i="4"/>
  <c r="I220" i="4"/>
  <c r="I240" i="4"/>
  <c r="CA22" i="3" s="1"/>
  <c r="I241" i="4"/>
  <c r="CA23" i="3" s="1"/>
  <c r="I226" i="4"/>
  <c r="I223" i="4"/>
  <c r="U220" i="4"/>
  <c r="U240" i="4"/>
  <c r="U223" i="4"/>
  <c r="U241" i="4"/>
  <c r="U226" i="4"/>
  <c r="AY72" i="4"/>
  <c r="AZ71" i="4"/>
  <c r="AZ40" i="3" s="1"/>
  <c r="L56" i="4"/>
  <c r="L62" i="4"/>
  <c r="L251" i="4"/>
  <c r="BI125" i="4"/>
  <c r="BI252" i="4"/>
  <c r="BL152" i="4"/>
  <c r="ED63" i="3" s="1"/>
  <c r="N243" i="4"/>
  <c r="CF25" i="3" s="1"/>
  <c r="V56" i="4"/>
  <c r="V62" i="4"/>
  <c r="V251" i="4"/>
  <c r="Q251" i="4"/>
  <c r="Q62" i="4"/>
  <c r="Q56" i="4"/>
  <c r="AL116" i="4"/>
  <c r="AL256" i="4" s="1"/>
  <c r="AL117" i="4"/>
  <c r="AL61" i="3" s="1"/>
  <c r="AL50" i="4"/>
  <c r="AL54" i="4" s="1"/>
  <c r="AA62" i="4"/>
  <c r="AA56" i="4"/>
  <c r="AA251" i="4"/>
  <c r="AO251" i="4"/>
  <c r="AO62" i="4"/>
  <c r="AO56" i="4"/>
  <c r="AE251" i="4"/>
  <c r="AE56" i="4"/>
  <c r="AE62" i="4"/>
  <c r="AP235" i="4"/>
  <c r="AP242" i="4" s="1"/>
  <c r="AO235" i="4"/>
  <c r="AO242" i="4" s="1"/>
  <c r="F226" i="4"/>
  <c r="AJ251" i="4"/>
  <c r="AJ56" i="4"/>
  <c r="AJ62" i="4"/>
  <c r="Y56" i="4"/>
  <c r="Y251" i="4"/>
  <c r="Y62" i="4"/>
  <c r="Q220" i="4"/>
  <c r="Q240" i="4"/>
  <c r="Q226" i="4"/>
  <c r="Q223" i="4"/>
  <c r="Q241" i="4"/>
  <c r="E220" i="4"/>
  <c r="E241" i="4"/>
  <c r="E223" i="4"/>
  <c r="E226" i="4"/>
  <c r="E240" i="4"/>
  <c r="AT62" i="4"/>
  <c r="AT56" i="4"/>
  <c r="AT254" i="4" s="1"/>
  <c r="AT255" i="4" s="1"/>
  <c r="T42" i="10"/>
  <c r="T10" i="10"/>
  <c r="AC42" i="10"/>
  <c r="AC10" i="10"/>
  <c r="AN42" i="10"/>
  <c r="BA42" i="10"/>
  <c r="BA10" i="10"/>
  <c r="BC104" i="4" s="1"/>
  <c r="BC148" i="4" s="1"/>
  <c r="BF10" i="10"/>
  <c r="AW42" i="10"/>
  <c r="AW10" i="10"/>
  <c r="P42" i="10"/>
  <c r="P10" i="10"/>
  <c r="AG42" i="10"/>
  <c r="AG10" i="10"/>
  <c r="W42" i="10"/>
  <c r="W10" i="10"/>
  <c r="BH10" i="10"/>
  <c r="BB10" i="10"/>
  <c r="BB77" i="10"/>
  <c r="AJ10" i="10"/>
  <c r="AJ77" i="10"/>
  <c r="AF42" i="10"/>
  <c r="AF10" i="10"/>
  <c r="AF12" i="10" s="1"/>
  <c r="AC141" i="10"/>
  <c r="CA139" i="10"/>
  <c r="AX105" i="10"/>
  <c r="AD10" i="10"/>
  <c r="AD77" i="10"/>
  <c r="AA42" i="10"/>
  <c r="AA10" i="10"/>
  <c r="AA12" i="10" s="1"/>
  <c r="AC11" i="10"/>
  <c r="AX10" i="10"/>
  <c r="AX77" i="10"/>
  <c r="BD10" i="10"/>
  <c r="BD77" i="10"/>
  <c r="CT32" i="10"/>
  <c r="CQ32" i="10"/>
  <c r="CR32" i="10"/>
  <c r="CS32" i="10"/>
  <c r="AT10" i="10"/>
  <c r="Y77" i="10"/>
  <c r="BQ42" i="10"/>
  <c r="BQ10" i="10"/>
  <c r="BQ12" i="10" s="1"/>
  <c r="AI105" i="10"/>
  <c r="AV10" i="10"/>
  <c r="CP173" i="10"/>
  <c r="CK175" i="10"/>
  <c r="CT77" i="10"/>
  <c r="CR77" i="10"/>
  <c r="AR10" i="10"/>
  <c r="S10" i="10"/>
  <c r="S77" i="10"/>
  <c r="CF36" i="10"/>
  <c r="CA40" i="10"/>
  <c r="Q42" i="10"/>
  <c r="Q10" i="10"/>
  <c r="Q12" i="10" s="1"/>
  <c r="AZ42" i="10"/>
  <c r="AZ10" i="10"/>
  <c r="O10" i="10"/>
  <c r="O77" i="10"/>
  <c r="BG10" i="10"/>
  <c r="Y10" i="10"/>
  <c r="CA29" i="10"/>
  <c r="BV32" i="10"/>
  <c r="AI141" i="10"/>
  <c r="AY11" i="10"/>
  <c r="BA103" i="4" s="1"/>
  <c r="BA147" i="4" s="1"/>
  <c r="DS64" i="3" s="1"/>
  <c r="P11" i="10"/>
  <c r="M10" i="10"/>
  <c r="M77" i="10"/>
  <c r="V42" i="10"/>
  <c r="V10" i="10"/>
  <c r="V12" i="10" s="1"/>
  <c r="AL11" i="10"/>
  <c r="R11" i="10"/>
  <c r="AK42" i="10"/>
  <c r="AK10" i="10"/>
  <c r="AK12" i="10" s="1"/>
  <c r="AS10" i="10"/>
  <c r="AE10" i="10"/>
  <c r="AE77" i="10"/>
  <c r="AO77" i="10"/>
  <c r="CK165" i="10"/>
  <c r="CK167" i="10" s="1"/>
  <c r="CP69" i="10"/>
  <c r="CK75" i="10"/>
  <c r="BA11" i="10"/>
  <c r="BC103" i="4" s="1"/>
  <c r="BC147" i="4" s="1"/>
  <c r="CK50" i="10"/>
  <c r="CF66" i="10"/>
  <c r="X10" i="10"/>
  <c r="X77" i="10"/>
  <c r="AY10" i="10"/>
  <c r="M11" i="10"/>
  <c r="CP178" i="10"/>
  <c r="CK180" i="10"/>
  <c r="CS77" i="10"/>
  <c r="CQ77" i="10"/>
  <c r="AM77" i="10"/>
  <c r="BI10" i="10"/>
  <c r="BI77" i="10"/>
  <c r="Z10" i="10"/>
  <c r="Z77" i="10"/>
  <c r="AL77" i="10"/>
  <c r="CZ156" i="10"/>
  <c r="CU49" i="10"/>
  <c r="AB10" i="10"/>
  <c r="AP42" i="10"/>
  <c r="AP10" i="10"/>
  <c r="AP12" i="10" s="1"/>
  <c r="AN11" i="10"/>
  <c r="AQ10" i="10"/>
  <c r="U10" i="10"/>
  <c r="U77" i="10"/>
  <c r="AH10" i="10"/>
  <c r="BE42" i="10"/>
  <c r="BE10" i="10"/>
  <c r="AW141" i="10"/>
  <c r="CA127" i="10"/>
  <c r="BV130" i="10"/>
  <c r="BV141" i="10" s="1"/>
  <c r="CK94" i="10"/>
  <c r="CP84" i="10"/>
  <c r="BC10" i="10"/>
  <c r="BC77" i="10"/>
  <c r="R10" i="10"/>
  <c r="N10" i="10"/>
  <c r="N77" i="10"/>
  <c r="BF13" i="9"/>
  <c r="BA16" i="9"/>
  <c r="BA18" i="9" s="1"/>
  <c r="BA55" i="9"/>
  <c r="BB55" i="9" s="1"/>
  <c r="BB13" i="9"/>
  <c r="BB16" i="9" s="1"/>
  <c r="Q37" i="9"/>
  <c r="Q43" i="9" s="1"/>
  <c r="Q89" i="4" s="1"/>
  <c r="Q42" i="9"/>
  <c r="BI12" i="9"/>
  <c r="BN12" i="9" s="1"/>
  <c r="BG12" i="9"/>
  <c r="BD16" i="9"/>
  <c r="BH9" i="9"/>
  <c r="BM9" i="9" s="1"/>
  <c r="BG9" i="9"/>
  <c r="E37" i="9"/>
  <c r="E43" i="9" s="1"/>
  <c r="E42" i="9"/>
  <c r="AC37" i="9"/>
  <c r="BY35" i="2" s="1"/>
  <c r="AC42" i="9"/>
  <c r="L42" i="9"/>
  <c r="BH55" i="9"/>
  <c r="AR42" i="9"/>
  <c r="AR37" i="9"/>
  <c r="CB35" i="2" s="1"/>
  <c r="BC10" i="9"/>
  <c r="T42" i="9"/>
  <c r="T37" i="9"/>
  <c r="T43" i="9" s="1"/>
  <c r="AW29" i="3"/>
  <c r="O258" i="6"/>
  <c r="O263" i="6" s="1"/>
  <c r="P258" i="6" s="1"/>
  <c r="P263" i="6" s="1"/>
  <c r="Q258" i="6" s="1"/>
  <c r="Q263" i="6" s="1"/>
  <c r="R258" i="6" s="1"/>
  <c r="R263" i="6" s="1"/>
  <c r="S258" i="6"/>
  <c r="S263" i="6" s="1"/>
  <c r="BW28" i="2" s="1"/>
  <c r="N265" i="6"/>
  <c r="AY203" i="6"/>
  <c r="AY259" i="6"/>
  <c r="N215" i="6"/>
  <c r="S54" i="6"/>
  <c r="S88" i="4" s="1"/>
  <c r="S13" i="3" s="1"/>
  <c r="S240" i="6"/>
  <c r="S244" i="6"/>
  <c r="CR216" i="6"/>
  <c r="CR218" i="6" s="1"/>
  <c r="CS216" i="6"/>
  <c r="CS218" i="6" s="1"/>
  <c r="CT216" i="6" s="1"/>
  <c r="CT218" i="6" s="1"/>
  <c r="CU216" i="6"/>
  <c r="CU218" i="6" s="1"/>
  <c r="CV216" i="6" s="1"/>
  <c r="CQ218" i="6"/>
  <c r="BC19" i="6"/>
  <c r="BH140" i="6"/>
  <c r="BM140" i="6" s="1"/>
  <c r="BH13" i="6"/>
  <c r="O123" i="6"/>
  <c r="O133" i="6"/>
  <c r="L127" i="6"/>
  <c r="AQ109" i="6"/>
  <c r="AZ161" i="6"/>
  <c r="AY156" i="6"/>
  <c r="X215" i="6"/>
  <c r="BD203" i="6"/>
  <c r="BD259" i="6"/>
  <c r="R242" i="6"/>
  <c r="R249" i="6" s="1"/>
  <c r="V242" i="6"/>
  <c r="V249" i="6" s="1"/>
  <c r="T242" i="6"/>
  <c r="T249" i="6" s="1"/>
  <c r="U242" i="6"/>
  <c r="U249" i="6" s="1"/>
  <c r="BA169" i="6"/>
  <c r="BA96" i="4" s="1"/>
  <c r="N216" i="6"/>
  <c r="N218" i="6" s="1"/>
  <c r="O216" i="6" s="1"/>
  <c r="J218" i="6"/>
  <c r="K216" i="6" s="1"/>
  <c r="K218" i="6" s="1"/>
  <c r="L216" i="6" s="1"/>
  <c r="L218" i="6" s="1"/>
  <c r="M216" i="6" s="1"/>
  <c r="M218" i="6" s="1"/>
  <c r="BC160" i="6"/>
  <c r="BC13" i="6"/>
  <c r="BD94" i="6"/>
  <c r="AY98" i="6"/>
  <c r="AY96" i="6"/>
  <c r="AY105" i="6" s="1"/>
  <c r="Y118" i="6"/>
  <c r="T120" i="6"/>
  <c r="H70" i="6"/>
  <c r="H71" i="6"/>
  <c r="BA106" i="6"/>
  <c r="AL70" i="6"/>
  <c r="BK10" i="6"/>
  <c r="BL10" i="6" s="1"/>
  <c r="BG10" i="6"/>
  <c r="AZ203" i="6"/>
  <c r="AZ259" i="6"/>
  <c r="M70" i="6"/>
  <c r="M71" i="6"/>
  <c r="AG233" i="6"/>
  <c r="AG270" i="6" s="1"/>
  <c r="AG247" i="6"/>
  <c r="AG230" i="6"/>
  <c r="AH215" i="6"/>
  <c r="BD106" i="6"/>
  <c r="J242" i="6"/>
  <c r="J249" i="6" s="1"/>
  <c r="Z118" i="6"/>
  <c r="U120" i="6"/>
  <c r="BJ106" i="6"/>
  <c r="AD119" i="6"/>
  <c r="AB119" i="6"/>
  <c r="AG227" i="6"/>
  <c r="BJ169" i="6"/>
  <c r="BJ96" i="4" s="1"/>
  <c r="BJ98" i="4" s="1"/>
  <c r="BJ142" i="4" s="1"/>
  <c r="BK163" i="6"/>
  <c r="BK169" i="6" s="1"/>
  <c r="BK96" i="4" s="1"/>
  <c r="BK98" i="4" s="1"/>
  <c r="BK142" i="4" s="1"/>
  <c r="AR215" i="6"/>
  <c r="BE98" i="6"/>
  <c r="BE85" i="6"/>
  <c r="BE87" i="6" s="1"/>
  <c r="BJ94" i="6"/>
  <c r="BO94" i="6" s="1"/>
  <c r="BE96" i="6"/>
  <c r="BE105" i="6" s="1"/>
  <c r="BE13" i="6" s="1"/>
  <c r="E133" i="6"/>
  <c r="E123" i="6"/>
  <c r="E127" i="6" s="1"/>
  <c r="J267" i="6"/>
  <c r="BF269" i="6"/>
  <c r="BJ269" i="6"/>
  <c r="BD269" i="6"/>
  <c r="BI269" i="6"/>
  <c r="BE269" i="6"/>
  <c r="BK269" i="6"/>
  <c r="BL269" i="6"/>
  <c r="BC269" i="6"/>
  <c r="BH269" i="6"/>
  <c r="X230" i="6"/>
  <c r="W235" i="6"/>
  <c r="W227" i="6" s="1"/>
  <c r="X233" i="6"/>
  <c r="X270" i="6" s="1"/>
  <c r="X247" i="6"/>
  <c r="P242" i="6"/>
  <c r="P249" i="6" s="1"/>
  <c r="Q242" i="6"/>
  <c r="Q249" i="6" s="1"/>
  <c r="AZ229" i="6"/>
  <c r="BE169" i="6"/>
  <c r="BE96" i="4" s="1"/>
  <c r="BE98" i="4" s="1"/>
  <c r="BE142" i="4" s="1"/>
  <c r="BF163" i="6"/>
  <c r="BF169" i="6" s="1"/>
  <c r="BF96" i="4" s="1"/>
  <c r="BC121" i="6"/>
  <c r="AY100" i="6"/>
  <c r="BC100" i="6"/>
  <c r="AX85" i="6"/>
  <c r="BD21" i="6"/>
  <c r="P123" i="6"/>
  <c r="P133" i="6"/>
  <c r="AG248" i="6"/>
  <c r="AX173" i="6"/>
  <c r="AX176" i="6"/>
  <c r="AC215" i="6"/>
  <c r="AZ8" i="6"/>
  <c r="AZ108" i="6"/>
  <c r="AZ109" i="6" s="1"/>
  <c r="R120" i="6"/>
  <c r="R70" i="6"/>
  <c r="R71" i="6"/>
  <c r="AB109" i="6"/>
  <c r="BF167" i="8"/>
  <c r="BF223" i="8"/>
  <c r="BC233" i="8"/>
  <c r="BK233" i="8"/>
  <c r="BD233" i="8"/>
  <c r="BH233" i="8"/>
  <c r="BL233" i="8"/>
  <c r="BE233" i="8"/>
  <c r="BI233" i="8"/>
  <c r="BF233" i="8"/>
  <c r="BJ233" i="8"/>
  <c r="R194" i="8"/>
  <c r="R211" i="8"/>
  <c r="R212" i="8"/>
  <c r="R200" i="8"/>
  <c r="R191" i="8"/>
  <c r="R197" i="8"/>
  <c r="R234" i="8" s="1"/>
  <c r="BD124" i="8"/>
  <c r="BA167" i="8"/>
  <c r="BA223" i="8"/>
  <c r="BK36" i="8"/>
  <c r="BG36" i="8"/>
  <c r="BK21" i="8"/>
  <c r="BL21" i="8" s="1"/>
  <c r="BG21" i="8"/>
  <c r="BK167" i="8"/>
  <c r="BL167" i="8" s="1"/>
  <c r="BK223" i="8"/>
  <c r="BL223" i="8" s="1"/>
  <c r="N179" i="8"/>
  <c r="R222" i="8"/>
  <c r="R227" i="8" s="1"/>
  <c r="S179" i="8"/>
  <c r="AM179" i="8"/>
  <c r="BJ97" i="8"/>
  <c r="X179" i="8"/>
  <c r="AC179" i="8"/>
  <c r="AZ167" i="8"/>
  <c r="AZ223" i="8"/>
  <c r="BB223" i="8" s="1"/>
  <c r="BH89" i="8"/>
  <c r="BH87" i="8"/>
  <c r="BH96" i="8" s="1"/>
  <c r="H182" i="8"/>
  <c r="AY56" i="8"/>
  <c r="AY91" i="8" s="1"/>
  <c r="BA56" i="8"/>
  <c r="AZ56" i="8"/>
  <c r="AZ91" i="8" s="1"/>
  <c r="AX56" i="8"/>
  <c r="AZ193" i="8"/>
  <c r="AH179" i="8"/>
  <c r="BE167" i="8"/>
  <c r="BG167" i="8" s="1"/>
  <c r="BE223" i="8"/>
  <c r="BG223" i="8" s="1"/>
  <c r="AQ197" i="8"/>
  <c r="AQ234" i="8" s="1"/>
  <c r="AQ194" i="8"/>
  <c r="AQ211" i="8"/>
  <c r="BJ85" i="8"/>
  <c r="BO85" i="8" s="1"/>
  <c r="BE89" i="8"/>
  <c r="BE87" i="8"/>
  <c r="BE96" i="8" s="1"/>
  <c r="BE9" i="8" s="1"/>
  <c r="BI85" i="8"/>
  <c r="BN85" i="8" s="1"/>
  <c r="BD89" i="8"/>
  <c r="BD87" i="8"/>
  <c r="BD96" i="8" s="1"/>
  <c r="BD9" i="8" s="1"/>
  <c r="BB65" i="8"/>
  <c r="AX237" i="8"/>
  <c r="AX65" i="8" s="1"/>
  <c r="AY237" i="8"/>
  <c r="AY65" i="8" s="1"/>
  <c r="BG237" i="8"/>
  <c r="BG56" i="8" s="1"/>
  <c r="BA237" i="8"/>
  <c r="BA65" i="8" s="1"/>
  <c r="AZ237" i="8"/>
  <c r="AZ65" i="8" s="1"/>
  <c r="N197" i="8"/>
  <c r="N234" i="8" s="1"/>
  <c r="N211" i="8"/>
  <c r="N194" i="8"/>
  <c r="M199" i="8"/>
  <c r="M200" i="8" s="1"/>
  <c r="BF97" i="8"/>
  <c r="BI77" i="8"/>
  <c r="W197" i="8"/>
  <c r="W234" i="8" s="1"/>
  <c r="W211" i="8"/>
  <c r="W194" i="8"/>
  <c r="AM197" i="8"/>
  <c r="AM234" i="8" s="1"/>
  <c r="AM211" i="8"/>
  <c r="AM194" i="8"/>
  <c r="AL199" i="8"/>
  <c r="CP182" i="8"/>
  <c r="CQ180" i="8" s="1"/>
  <c r="I179" i="8"/>
  <c r="I182" i="8" s="1"/>
  <c r="J180" i="8" s="1"/>
  <c r="J182" i="8" s="1"/>
  <c r="K180" i="8" s="1"/>
  <c r="K182" i="8" s="1"/>
  <c r="L180" i="8" s="1"/>
  <c r="L182" i="8" s="1"/>
  <c r="M180" i="8" s="1"/>
  <c r="M182" i="8" s="1"/>
  <c r="BC9" i="8"/>
  <c r="X222" i="8"/>
  <c r="X227" i="8" s="1"/>
  <c r="BA262" i="7"/>
  <c r="BE206" i="7"/>
  <c r="BE262" i="7"/>
  <c r="AC218" i="7"/>
  <c r="AV263" i="7"/>
  <c r="AW263" i="7" s="1"/>
  <c r="AE121" i="7"/>
  <c r="Z123" i="7"/>
  <c r="AB44" i="7"/>
  <c r="AF44" i="7"/>
  <c r="AF32" i="9" s="1"/>
  <c r="AF35" i="9" s="1"/>
  <c r="AA47" i="7"/>
  <c r="Z245" i="7"/>
  <c r="Z252" i="7" s="1"/>
  <c r="W245" i="7"/>
  <c r="W252" i="7" s="1"/>
  <c r="AA245" i="7"/>
  <c r="AA252" i="7" s="1"/>
  <c r="J266" i="7"/>
  <c r="K261" i="7" s="1"/>
  <c r="K266" i="7" s="1"/>
  <c r="L261" i="7" s="1"/>
  <c r="L266" i="7" s="1"/>
  <c r="M261" i="7" s="1"/>
  <c r="M266" i="7" s="1"/>
  <c r="N266" i="7" s="1"/>
  <c r="N279" i="7" s="1"/>
  <c r="N79" i="7" s="1"/>
  <c r="BK206" i="7"/>
  <c r="BK262" i="7"/>
  <c r="Y121" i="7"/>
  <c r="T123" i="7"/>
  <c r="BJ109" i="7"/>
  <c r="R75" i="7"/>
  <c r="T77" i="7"/>
  <c r="U277" i="7"/>
  <c r="R233" i="7"/>
  <c r="R236" i="7"/>
  <c r="R274" i="7" s="1"/>
  <c r="R250" i="7"/>
  <c r="R230" i="7"/>
  <c r="R239" i="7"/>
  <c r="R251" i="7"/>
  <c r="Q245" i="7"/>
  <c r="Q252" i="7" s="1"/>
  <c r="O245" i="7"/>
  <c r="O252" i="7" s="1"/>
  <c r="BB67" i="7"/>
  <c r="BB39" i="2" s="1"/>
  <c r="AX273" i="7"/>
  <c r="AY273" i="7"/>
  <c r="BG273" i="7"/>
  <c r="AZ273" i="7"/>
  <c r="BA273" i="7"/>
  <c r="AU233" i="7"/>
  <c r="AU274" i="7"/>
  <c r="H236" i="7"/>
  <c r="H274" i="7" s="1"/>
  <c r="H250" i="7"/>
  <c r="H251" i="7"/>
  <c r="H233" i="7"/>
  <c r="H230" i="7"/>
  <c r="H239" i="7"/>
  <c r="BJ206" i="7"/>
  <c r="BJ262" i="7"/>
  <c r="BL262" i="7" s="1"/>
  <c r="BH22" i="7"/>
  <c r="BI101" i="7"/>
  <c r="BI99" i="7"/>
  <c r="BI108" i="7" s="1"/>
  <c r="BI13" i="7" s="1"/>
  <c r="AG112" i="7"/>
  <c r="N256" i="7"/>
  <c r="N253" i="7"/>
  <c r="AD245" i="7"/>
  <c r="AD252" i="7" s="1"/>
  <c r="AF245" i="7"/>
  <c r="AF252" i="7" s="1"/>
  <c r="U125" i="7"/>
  <c r="U129" i="7" s="1"/>
  <c r="U127" i="7"/>
  <c r="U61" i="7" s="1"/>
  <c r="U135" i="7"/>
  <c r="J127" i="7"/>
  <c r="J61" i="7" s="1"/>
  <c r="J135" i="7"/>
  <c r="J125" i="7"/>
  <c r="J129" i="7" s="1"/>
  <c r="U245" i="7"/>
  <c r="U252" i="7" s="1"/>
  <c r="R245" i="7"/>
  <c r="R252" i="7" s="1"/>
  <c r="V245" i="7"/>
  <c r="V252" i="7" s="1"/>
  <c r="T245" i="7"/>
  <c r="T252" i="7" s="1"/>
  <c r="BE20" i="7"/>
  <c r="BJ143" i="7"/>
  <c r="AG74" i="7"/>
  <c r="AG75" i="7"/>
  <c r="BK10" i="7"/>
  <c r="BL10" i="7" s="1"/>
  <c r="BG10" i="7"/>
  <c r="AR218" i="7"/>
  <c r="BD206" i="7"/>
  <c r="BD262" i="7"/>
  <c r="AY206" i="7"/>
  <c r="AY262" i="7"/>
  <c r="AB74" i="7"/>
  <c r="BF169" i="7"/>
  <c r="BF172" i="7" s="1"/>
  <c r="BF94" i="4" s="1"/>
  <c r="BG77" i="7"/>
  <c r="BC277" i="7"/>
  <c r="BK277" i="7"/>
  <c r="BK77" i="7" s="1"/>
  <c r="BD277" i="7"/>
  <c r="BH277" i="7"/>
  <c r="BH77" i="7" s="1"/>
  <c r="BL277" i="7"/>
  <c r="BE277" i="7"/>
  <c r="BI277" i="7"/>
  <c r="BI77" i="7" s="1"/>
  <c r="BF277" i="7"/>
  <c r="BF77" i="7" s="1"/>
  <c r="BJ277" i="7"/>
  <c r="BJ77" i="7" s="1"/>
  <c r="BK214" i="7"/>
  <c r="V54" i="7"/>
  <c r="N233" i="7"/>
  <c r="M238" i="7"/>
  <c r="M230" i="7" s="1"/>
  <c r="N236" i="7"/>
  <c r="N274" i="7" s="1"/>
  <c r="N250" i="7"/>
  <c r="AZ206" i="7"/>
  <c r="AZ262" i="7"/>
  <c r="BH13" i="7"/>
  <c r="BA109" i="7"/>
  <c r="AL74" i="7"/>
  <c r="AL75" i="7"/>
  <c r="AD122" i="7"/>
  <c r="AB122" i="7"/>
  <c r="BJ97" i="7"/>
  <c r="BO97" i="7" s="1"/>
  <c r="BE101" i="7"/>
  <c r="BE99" i="7"/>
  <c r="BE108" i="7" s="1"/>
  <c r="L125" i="7"/>
  <c r="L129" i="7" s="1"/>
  <c r="AH55" i="7"/>
  <c r="AH86" i="4" s="1"/>
  <c r="AH11" i="3" s="1"/>
  <c r="AH243" i="7"/>
  <c r="AH247" i="7"/>
  <c r="AG245" i="7"/>
  <c r="AG252" i="7" s="1"/>
  <c r="AK245" i="7"/>
  <c r="AK252" i="7" s="1"/>
  <c r="AJ245" i="7"/>
  <c r="AJ252" i="7" s="1"/>
  <c r="AM218" i="7"/>
  <c r="R112" i="7"/>
  <c r="X55" i="7"/>
  <c r="X86" i="4" s="1"/>
  <c r="X11" i="3" s="1"/>
  <c r="X243" i="7"/>
  <c r="X247" i="7"/>
  <c r="BK44" i="7"/>
  <c r="BG44" i="7"/>
  <c r="J245" i="7"/>
  <c r="J252" i="7" s="1"/>
  <c r="H245" i="7"/>
  <c r="H252" i="7" s="1"/>
  <c r="L245" i="7"/>
  <c r="L252" i="7" s="1"/>
  <c r="K245" i="7"/>
  <c r="K252" i="7" s="1"/>
  <c r="AM233" i="7"/>
  <c r="AL238" i="7"/>
  <c r="AL239" i="7" s="1"/>
  <c r="AM236" i="7"/>
  <c r="AM274" i="7" s="1"/>
  <c r="AM250" i="7"/>
  <c r="AM251" i="7"/>
  <c r="BC23" i="7"/>
  <c r="BH149" i="7"/>
  <c r="BM149" i="7" s="1"/>
  <c r="AQ74" i="7"/>
  <c r="BA232" i="7"/>
  <c r="N251" i="7"/>
  <c r="AC233" i="7"/>
  <c r="AB238" i="7"/>
  <c r="AB230" i="7" s="1"/>
  <c r="AC236" i="7"/>
  <c r="AC274" i="7" s="1"/>
  <c r="AC250" i="7"/>
  <c r="O127" i="7"/>
  <c r="O61" i="7" s="1"/>
  <c r="O125" i="7"/>
  <c r="O129" i="7" s="1"/>
  <c r="O135" i="7"/>
  <c r="G123" i="7"/>
  <c r="BC13" i="7"/>
  <c r="AO245" i="7"/>
  <c r="AO252" i="7" s="1"/>
  <c r="AL245" i="7"/>
  <c r="AL252" i="7" s="1"/>
  <c r="AN245" i="7"/>
  <c r="AN252" i="7" s="1"/>
  <c r="BL206" i="7"/>
  <c r="M75" i="7"/>
  <c r="BK15" i="7"/>
  <c r="BL15" i="7" s="1"/>
  <c r="BG15" i="7"/>
  <c r="P125" i="7"/>
  <c r="P129" i="7" s="1"/>
  <c r="P135" i="7"/>
  <c r="P127" i="7"/>
  <c r="P61" i="7" s="1"/>
  <c r="AD124" i="7"/>
  <c r="AB124" i="7"/>
  <c r="AI261" i="7"/>
  <c r="AI266" i="7" s="1"/>
  <c r="AJ261" i="7" s="1"/>
  <c r="AJ266" i="7" s="1"/>
  <c r="AK261" i="7" s="1"/>
  <c r="AK266" i="7" s="1"/>
  <c r="AL261" i="7" s="1"/>
  <c r="AL266" i="7" s="1"/>
  <c r="AM261" i="7"/>
  <c r="AM266" i="7" s="1"/>
  <c r="CA26" i="2" s="1"/>
  <c r="R240" i="5"/>
  <c r="R243" i="5"/>
  <c r="R280" i="5" s="1"/>
  <c r="R257" i="5"/>
  <c r="Z33" i="5"/>
  <c r="AA252" i="5" s="1"/>
  <c r="AA259" i="5" s="1"/>
  <c r="Z39" i="5"/>
  <c r="AD251" i="5"/>
  <c r="AD264" i="5" s="1"/>
  <c r="AA49" i="5"/>
  <c r="AA55" i="5" s="1"/>
  <c r="AA85" i="4" s="1"/>
  <c r="AA54" i="5"/>
  <c r="M73" i="5"/>
  <c r="M74" i="5"/>
  <c r="R258" i="5"/>
  <c r="AM142" i="5"/>
  <c r="V49" i="5"/>
  <c r="V55" i="5" s="1"/>
  <c r="V54" i="5"/>
  <c r="O252" i="5"/>
  <c r="O259" i="5" s="1"/>
  <c r="BK15" i="5"/>
  <c r="BP15" i="5" s="1"/>
  <c r="BG15" i="5"/>
  <c r="BG213" i="5"/>
  <c r="O131" i="5"/>
  <c r="O61" i="5" s="1"/>
  <c r="O133" i="5"/>
  <c r="O139" i="5"/>
  <c r="BA88" i="5"/>
  <c r="P49" i="5"/>
  <c r="P55" i="5" s="1"/>
  <c r="P54" i="5"/>
  <c r="AS54" i="5"/>
  <c r="AS49" i="5"/>
  <c r="O49" i="5"/>
  <c r="O54" i="5"/>
  <c r="AN43" i="5"/>
  <c r="AN47" i="5" s="1"/>
  <c r="AN73" i="5"/>
  <c r="AN74" i="5"/>
  <c r="AA251" i="5"/>
  <c r="AA264" i="5" s="1"/>
  <c r="Y43" i="5"/>
  <c r="Y73" i="5"/>
  <c r="Y74" i="5"/>
  <c r="AR225" i="5"/>
  <c r="AX30" i="5"/>
  <c r="AX214" i="5"/>
  <c r="AX207" i="5"/>
  <c r="L131" i="5"/>
  <c r="L61" i="5" s="1"/>
  <c r="L133" i="5"/>
  <c r="L139" i="5"/>
  <c r="P126" i="5"/>
  <c r="P129" i="5" s="1"/>
  <c r="U124" i="5"/>
  <c r="AH47" i="5"/>
  <c r="BJ108" i="5"/>
  <c r="BO108" i="5" s="1"/>
  <c r="AJ39" i="5"/>
  <c r="AJ33" i="5"/>
  <c r="S47" i="5"/>
  <c r="AZ186" i="5"/>
  <c r="AZ183" i="5"/>
  <c r="T126" i="5"/>
  <c r="T129" i="5" s="1"/>
  <c r="W124" i="5"/>
  <c r="Y124" i="5"/>
  <c r="N55" i="5"/>
  <c r="N250" i="5"/>
  <c r="N254" i="5"/>
  <c r="AR47" i="5"/>
  <c r="W252" i="5"/>
  <c r="W259" i="5" s="1"/>
  <c r="AP279" i="5"/>
  <c r="AQ279" i="5"/>
  <c r="AO279" i="5"/>
  <c r="AW279" i="5"/>
  <c r="AN279" i="5"/>
  <c r="AM225" i="5"/>
  <c r="H73" i="5"/>
  <c r="H74" i="5"/>
  <c r="AE43" i="5"/>
  <c r="AE47" i="5" s="1"/>
  <c r="AE73" i="5"/>
  <c r="AE74" i="5"/>
  <c r="BF29" i="5"/>
  <c r="BF36" i="4" s="1"/>
  <c r="BG36" i="4" s="1"/>
  <c r="BB29" i="5"/>
  <c r="Z251" i="5"/>
  <c r="Z264" i="5" s="1"/>
  <c r="X225" i="5"/>
  <c r="AB128" i="5"/>
  <c r="AD128" i="5"/>
  <c r="AL39" i="5"/>
  <c r="E47" i="5"/>
  <c r="AZ239" i="5"/>
  <c r="R237" i="5"/>
  <c r="BL213" i="5"/>
  <c r="AB125" i="5"/>
  <c r="AD125" i="5"/>
  <c r="BH13" i="5"/>
  <c r="Q131" i="5"/>
  <c r="Q61" i="5" s="1"/>
  <c r="Q133" i="5"/>
  <c r="Q139" i="5"/>
  <c r="U54" i="5"/>
  <c r="U49" i="5"/>
  <c r="U55" i="5" s="1"/>
  <c r="U85" i="4" s="1"/>
  <c r="I225" i="5"/>
  <c r="I228" i="5" s="1"/>
  <c r="J226" i="5" s="1"/>
  <c r="CP228" i="5"/>
  <c r="CQ226" i="5" s="1"/>
  <c r="BA165" i="5"/>
  <c r="BB170" i="5"/>
  <c r="BC170" i="5" s="1"/>
  <c r="T43" i="5"/>
  <c r="T47" i="5" s="1"/>
  <c r="T73" i="5"/>
  <c r="T74" i="5"/>
  <c r="AR76" i="5"/>
  <c r="AO283" i="5"/>
  <c r="AO76" i="5" s="1"/>
  <c r="AW283" i="5"/>
  <c r="AN283" i="5"/>
  <c r="AN76" i="5" s="1"/>
  <c r="AQ283" i="5"/>
  <c r="AQ76" i="5" s="1"/>
  <c r="AP283" i="5"/>
  <c r="AP76" i="5" s="1"/>
  <c r="BI22" i="5"/>
  <c r="BC23" i="5"/>
  <c r="BH155" i="5"/>
  <c r="BM155" i="5" s="1"/>
  <c r="AB127" i="5"/>
  <c r="AD127" i="5"/>
  <c r="AP49" i="5"/>
  <c r="AP55" i="5" s="1"/>
  <c r="AP85" i="4" s="1"/>
  <c r="AP54" i="5"/>
  <c r="L252" i="5"/>
  <c r="L259" i="5" s="1"/>
  <c r="J252" i="5"/>
  <c r="J259" i="5" s="1"/>
  <c r="K252" i="5"/>
  <c r="K259" i="5" s="1"/>
  <c r="BF108" i="5"/>
  <c r="BJ96" i="5"/>
  <c r="BO96" i="5" s="1"/>
  <c r="BE98" i="5"/>
  <c r="BE107" i="5" s="1"/>
  <c r="BE13" i="5" s="1"/>
  <c r="BE100" i="5"/>
  <c r="AF43" i="5"/>
  <c r="AF47" i="5" s="1"/>
  <c r="AF73" i="5"/>
  <c r="AF74" i="5"/>
  <c r="AI49" i="5"/>
  <c r="AI54" i="5"/>
  <c r="X47" i="5"/>
  <c r="AC225" i="5"/>
  <c r="W125" i="5"/>
  <c r="AA124" i="5"/>
  <c r="V126" i="5"/>
  <c r="V129" i="5" s="1"/>
  <c r="AB33" i="5"/>
  <c r="P252" i="5"/>
  <c r="P259" i="5" s="1"/>
  <c r="I273" i="5"/>
  <c r="E277" i="5"/>
  <c r="S225" i="5"/>
  <c r="R131" i="5"/>
  <c r="R61" i="5" s="1"/>
  <c r="R133" i="5"/>
  <c r="R139" i="5"/>
  <c r="AQ111" i="5"/>
  <c r="AQ115" i="5"/>
  <c r="BI96" i="5"/>
  <c r="BN96" i="5" s="1"/>
  <c r="BD100" i="5"/>
  <c r="BD98" i="5"/>
  <c r="BD107" i="5" s="1"/>
  <c r="AM47" i="5"/>
  <c r="W127" i="5"/>
  <c r="AO33" i="5"/>
  <c r="AO39" i="5"/>
  <c r="AE251" i="5"/>
  <c r="AE264" i="5" s="1"/>
  <c r="AB252" i="5"/>
  <c r="AB259" i="5" s="1"/>
  <c r="Y252" i="5"/>
  <c r="Y259" i="5" s="1"/>
  <c r="Z252" i="5"/>
  <c r="Z259" i="5" s="1"/>
  <c r="DQ159" i="4"/>
  <c r="DP161" i="4"/>
  <c r="DT159" i="4"/>
  <c r="DT161" i="4" s="1"/>
  <c r="DU159" i="4" s="1"/>
  <c r="AY60" i="4"/>
  <c r="AY74" i="4"/>
  <c r="AY151" i="4" s="1"/>
  <c r="DQ59" i="3" s="1"/>
  <c r="DQ60" i="3" s="1"/>
  <c r="V241" i="4"/>
  <c r="V220" i="4"/>
  <c r="V223" i="4"/>
  <c r="V240" i="4"/>
  <c r="AR228" i="4"/>
  <c r="AR229" i="4" s="1"/>
  <c r="M228" i="4"/>
  <c r="M226" i="4" s="1"/>
  <c r="M229" i="4"/>
  <c r="AX116" i="4"/>
  <c r="AY256" i="4"/>
  <c r="N241" i="4"/>
  <c r="CF23" i="3" s="1"/>
  <c r="N220" i="4"/>
  <c r="N223" i="4"/>
  <c r="N240" i="4"/>
  <c r="CF22" i="3" s="1"/>
  <c r="AQ211" i="4"/>
  <c r="AX129" i="4"/>
  <c r="AX253" i="4"/>
  <c r="AB228" i="4"/>
  <c r="AB226" i="4" s="1"/>
  <c r="V229" i="4"/>
  <c r="AM228" i="4"/>
  <c r="AM229" i="4" s="1"/>
  <c r="R228" i="4"/>
  <c r="R226" i="4" s="1"/>
  <c r="F240" i="4"/>
  <c r="F220" i="4"/>
  <c r="F223" i="4"/>
  <c r="F241" i="4"/>
  <c r="BC178" i="4"/>
  <c r="BB183" i="4"/>
  <c r="W228" i="4"/>
  <c r="W226" i="4" s="1"/>
  <c r="X228" i="4"/>
  <c r="X226" i="4" s="1"/>
  <c r="S158" i="4"/>
  <c r="BH116" i="4"/>
  <c r="BI256" i="4"/>
  <c r="AP241" i="4"/>
  <c r="AP220" i="4"/>
  <c r="AP223" i="4"/>
  <c r="AP240" i="4"/>
  <c r="BC116" i="4"/>
  <c r="BD256" i="4"/>
  <c r="AH241" i="4"/>
  <c r="CZ23" i="3" s="1"/>
  <c r="AH220" i="4"/>
  <c r="AH223" i="4"/>
  <c r="AH240" i="4"/>
  <c r="CZ22" i="3" s="1"/>
  <c r="AH226" i="4"/>
  <c r="AZ58" i="4"/>
  <c r="AZ59" i="4" s="1"/>
  <c r="V226" i="4"/>
  <c r="S228" i="4"/>
  <c r="S226" i="4" s="1"/>
  <c r="AH158" i="4"/>
  <c r="I140" i="4"/>
  <c r="CP158" i="4"/>
  <c r="CP161" i="4" s="1"/>
  <c r="CQ159" i="4" s="1"/>
  <c r="N229" i="4"/>
  <c r="H228" i="4"/>
  <c r="H229" i="4" s="1"/>
  <c r="AP226" i="4"/>
  <c r="AQ228" i="4"/>
  <c r="AQ226" i="4" s="1"/>
  <c r="AL228" i="4"/>
  <c r="AL226" i="4" s="1"/>
  <c r="X58" i="3"/>
  <c r="AC65" i="3"/>
  <c r="AH64" i="3"/>
  <c r="AI32" i="4" l="1"/>
  <c r="BQ202" i="4"/>
  <c r="BQ222" i="4" s="1"/>
  <c r="EI16" i="3" s="1"/>
  <c r="BP222" i="4"/>
  <c r="BL211" i="7"/>
  <c r="BM19" i="6"/>
  <c r="BJ19" i="6"/>
  <c r="BO140" i="6"/>
  <c r="BO19" i="6" s="1"/>
  <c r="BO20" i="4" s="1"/>
  <c r="BX27" i="2"/>
  <c r="BW27" i="2"/>
  <c r="BJ12" i="8"/>
  <c r="BO104" i="8"/>
  <c r="BO12" i="8" s="1"/>
  <c r="BL172" i="8"/>
  <c r="BH20" i="7"/>
  <c r="BM143" i="7"/>
  <c r="BJ20" i="7"/>
  <c r="BO143" i="7"/>
  <c r="BO20" i="7" s="1"/>
  <c r="BJ216" i="7"/>
  <c r="BI20" i="7"/>
  <c r="BN143" i="7"/>
  <c r="BN20" i="7" s="1"/>
  <c r="BM23" i="7"/>
  <c r="BB18" i="9"/>
  <c r="BB22" i="9" s="1"/>
  <c r="BH141" i="10"/>
  <c r="DM141" i="10"/>
  <c r="BJ23" i="7"/>
  <c r="BJ23" i="4" s="1"/>
  <c r="BO149" i="7"/>
  <c r="BO23" i="7" s="1"/>
  <c r="BO23" i="4" s="1"/>
  <c r="M32" i="4"/>
  <c r="AW32" i="2"/>
  <c r="AW76" i="5"/>
  <c r="AV39" i="5"/>
  <c r="AV33" i="5"/>
  <c r="BF8" i="9"/>
  <c r="BA10" i="9"/>
  <c r="BA10" i="4"/>
  <c r="BH20" i="5"/>
  <c r="BM149" i="5"/>
  <c r="BM23" i="5"/>
  <c r="H252" i="5"/>
  <c r="H259" i="5" s="1"/>
  <c r="M237" i="5"/>
  <c r="AV30" i="4"/>
  <c r="AV22" i="9"/>
  <c r="BP15" i="4"/>
  <c r="BQ15" i="5"/>
  <c r="BQ10" i="5"/>
  <c r="BD152" i="8"/>
  <c r="DP163" i="10"/>
  <c r="DP165" i="10" s="1"/>
  <c r="DP167" i="10" s="1"/>
  <c r="BK177" i="8"/>
  <c r="BI21" i="6"/>
  <c r="BN143" i="6"/>
  <c r="BN21" i="6" s="1"/>
  <c r="BJ22" i="7"/>
  <c r="BO146" i="7"/>
  <c r="BO22" i="7" s="1"/>
  <c r="BI22" i="7"/>
  <c r="BN146" i="7"/>
  <c r="BM22" i="5"/>
  <c r="BH16" i="9"/>
  <c r="AN32" i="4"/>
  <c r="M22" i="9"/>
  <c r="M23" i="9" s="1"/>
  <c r="BJ152" i="8"/>
  <c r="DM167" i="10"/>
  <c r="BL36" i="8"/>
  <c r="BP36" i="8"/>
  <c r="BQ36" i="8" s="1"/>
  <c r="DQ137" i="10"/>
  <c r="DQ139" i="10" s="1"/>
  <c r="BN191" i="7" s="1"/>
  <c r="BL44" i="7"/>
  <c r="BP44" i="7"/>
  <c r="BQ44" i="7" s="1"/>
  <c r="BO98" i="5"/>
  <c r="BO107" i="5" s="1"/>
  <c r="BO13" i="5" s="1"/>
  <c r="BO100" i="5"/>
  <c r="BI35" i="4"/>
  <c r="BN20" i="9"/>
  <c r="BN35" i="4" s="1"/>
  <c r="BO96" i="6"/>
  <c r="BO105" i="6" s="1"/>
  <c r="BO13" i="6" s="1"/>
  <c r="BO98" i="6"/>
  <c r="BH35" i="4"/>
  <c r="BM20" i="9"/>
  <c r="BN98" i="5"/>
  <c r="BN107" i="5" s="1"/>
  <c r="BN100" i="5"/>
  <c r="BO89" i="8"/>
  <c r="BO87" i="8"/>
  <c r="BO96" i="8" s="1"/>
  <c r="BO9" i="8" s="1"/>
  <c r="BN33" i="9"/>
  <c r="BQ33" i="9" s="1"/>
  <c r="BQ45" i="5"/>
  <c r="BM13" i="6"/>
  <c r="BO101" i="7"/>
  <c r="BO99" i="7"/>
  <c r="BO108" i="7" s="1"/>
  <c r="BO13" i="7" s="1"/>
  <c r="BM9" i="8"/>
  <c r="BN87" i="8"/>
  <c r="BN96" i="8" s="1"/>
  <c r="BN9" i="8" s="1"/>
  <c r="BN89" i="8"/>
  <c r="BG77" i="10"/>
  <c r="R22" i="9"/>
  <c r="R23" i="9" s="1"/>
  <c r="BE10" i="9"/>
  <c r="W30" i="4"/>
  <c r="W29" i="3" s="1"/>
  <c r="BD15" i="4"/>
  <c r="BG15" i="4" s="1"/>
  <c r="BI9" i="9"/>
  <c r="BL9" i="9" s="1"/>
  <c r="BM101" i="7"/>
  <c r="BM99" i="7"/>
  <c r="BM108" i="7" s="1"/>
  <c r="BQ14" i="9"/>
  <c r="BQ137" i="8"/>
  <c r="BQ138" i="8" s="1"/>
  <c r="BO168" i="8"/>
  <c r="BO161" i="8"/>
  <c r="BO22" i="8"/>
  <c r="BM170" i="8"/>
  <c r="BQ168" i="8"/>
  <c r="BQ170" i="8" s="1"/>
  <c r="BN170" i="8"/>
  <c r="BP22" i="8"/>
  <c r="BP161" i="8"/>
  <c r="BQ161" i="8" s="1"/>
  <c r="BP168" i="8"/>
  <c r="BQ28" i="7"/>
  <c r="BQ30" i="7" s="1"/>
  <c r="BP30" i="7"/>
  <c r="BP200" i="7"/>
  <c r="BQ176" i="7"/>
  <c r="BQ177" i="7" s="1"/>
  <c r="BO200" i="7"/>
  <c r="BO30" i="7"/>
  <c r="BQ12" i="9"/>
  <c r="BO16" i="9"/>
  <c r="BO15" i="4"/>
  <c r="BM16" i="9"/>
  <c r="BM15" i="4"/>
  <c r="BN188" i="4"/>
  <c r="BM188" i="4"/>
  <c r="DS163" i="10"/>
  <c r="DS165" i="10" s="1"/>
  <c r="BP152" i="8" s="1"/>
  <c r="DR163" i="10"/>
  <c r="DR165" i="10" s="1"/>
  <c r="BO152" i="8" s="1"/>
  <c r="DK167" i="10"/>
  <c r="BH152" i="8"/>
  <c r="DQ167" i="10"/>
  <c r="BN152" i="8"/>
  <c r="BM152" i="8"/>
  <c r="BQ152" i="8"/>
  <c r="DT167" i="10"/>
  <c r="DT139" i="10"/>
  <c r="BQ191" i="7" s="1"/>
  <c r="DQ73" i="10"/>
  <c r="DQ75" i="10" s="1"/>
  <c r="BN198" i="5" s="1"/>
  <c r="DP137" i="10"/>
  <c r="DP139" i="10" s="1"/>
  <c r="DQ141" i="10"/>
  <c r="DS137" i="10"/>
  <c r="DS139" i="10" s="1"/>
  <c r="DS141" i="10" s="1"/>
  <c r="DR141" i="10"/>
  <c r="BO191" i="7"/>
  <c r="DP73" i="10"/>
  <c r="DP75" i="10" s="1"/>
  <c r="DP77" i="10" s="1"/>
  <c r="DT101" i="10"/>
  <c r="DR101" i="10" s="1"/>
  <c r="DR103" i="10" s="1"/>
  <c r="DN101" i="10"/>
  <c r="DN103" i="10" s="1"/>
  <c r="DL101" i="10"/>
  <c r="DL103" i="10" s="1"/>
  <c r="DM101" i="10"/>
  <c r="DM103" i="10" s="1"/>
  <c r="DK101" i="10"/>
  <c r="DK103" i="10" s="1"/>
  <c r="BH188" i="6" s="1"/>
  <c r="BI101" i="10"/>
  <c r="BI103" i="10" s="1"/>
  <c r="BG101" i="10"/>
  <c r="BG103" i="10" s="1"/>
  <c r="BH101" i="10"/>
  <c r="BH103" i="10" s="1"/>
  <c r="BF101" i="10"/>
  <c r="BF103" i="10" s="1"/>
  <c r="BJ103" i="10"/>
  <c r="BJ105" i="10" s="1"/>
  <c r="DR77" i="10"/>
  <c r="BO198" i="5"/>
  <c r="DS73" i="10"/>
  <c r="DS75" i="10" s="1"/>
  <c r="DS77" i="10" s="1"/>
  <c r="BM198" i="5"/>
  <c r="BJ38" i="10"/>
  <c r="DO38" i="10"/>
  <c r="DS10" i="10"/>
  <c r="BQ148" i="4"/>
  <c r="EI65" i="3" s="1"/>
  <c r="BO110" i="4"/>
  <c r="BM110" i="4"/>
  <c r="BN110" i="4"/>
  <c r="BQ128" i="4"/>
  <c r="BQ67" i="9"/>
  <c r="AZ128" i="4"/>
  <c r="BF152" i="8"/>
  <c r="BG65" i="9"/>
  <c r="DH167" i="10"/>
  <c r="F37" i="9"/>
  <c r="F43" i="9" s="1"/>
  <c r="F89" i="4" s="1"/>
  <c r="BB65" i="9"/>
  <c r="BB67" i="9" s="1"/>
  <c r="AA27" i="9"/>
  <c r="AA31" i="9" s="1"/>
  <c r="AA35" i="9" s="1"/>
  <c r="AA42" i="9" s="1"/>
  <c r="AA242" i="6"/>
  <c r="AA249" i="6" s="1"/>
  <c r="M242" i="6"/>
  <c r="M249" i="6" s="1"/>
  <c r="AQ241" i="6"/>
  <c r="AQ254" i="6" s="1"/>
  <c r="AQ32" i="6"/>
  <c r="AU242" i="6" s="1"/>
  <c r="AU249" i="6" s="1"/>
  <c r="N70" i="6"/>
  <c r="I71" i="6"/>
  <c r="J55" i="6"/>
  <c r="N30" i="3"/>
  <c r="L60" i="3" s="1"/>
  <c r="W120" i="6"/>
  <c r="W123" i="6" s="1"/>
  <c r="BI146" i="6"/>
  <c r="AC30" i="3"/>
  <c r="AC33" i="3" s="1"/>
  <c r="L71" i="6"/>
  <c r="L42" i="6"/>
  <c r="L46" i="6" s="1"/>
  <c r="L70" i="6"/>
  <c r="AF53" i="6"/>
  <c r="AF48" i="6"/>
  <c r="AF54" i="6" s="1"/>
  <c r="AF88" i="4" s="1"/>
  <c r="AC71" i="6"/>
  <c r="AR32" i="6"/>
  <c r="AR242" i="6" s="1"/>
  <c r="AR249" i="6" s="1"/>
  <c r="AH241" i="6"/>
  <c r="AH254" i="6" s="1"/>
  <c r="K242" i="6"/>
  <c r="K249" i="6" s="1"/>
  <c r="T53" i="6"/>
  <c r="T48" i="6"/>
  <c r="T54" i="6" s="1"/>
  <c r="T88" i="4" s="1"/>
  <c r="BF86" i="6"/>
  <c r="BB86" i="6"/>
  <c r="AU122" i="6"/>
  <c r="AQ122" i="6"/>
  <c r="AV122" i="6" s="1"/>
  <c r="BA122" i="6" s="1"/>
  <c r="BF122" i="6" s="1"/>
  <c r="BK122" i="6" s="1"/>
  <c r="BP122" i="6" s="1"/>
  <c r="BF98" i="4"/>
  <c r="BF142" i="4" s="1"/>
  <c r="BG142" i="4" s="1"/>
  <c r="AL242" i="6"/>
  <c r="AL249" i="6" s="1"/>
  <c r="L242" i="6"/>
  <c r="L249" i="6" s="1"/>
  <c r="P37" i="9"/>
  <c r="P43" i="9" s="1"/>
  <c r="P89" i="4" s="1"/>
  <c r="X42" i="9"/>
  <c r="Y242" i="6"/>
  <c r="Y249" i="6" s="1"/>
  <c r="AC70" i="6"/>
  <c r="AR241" i="6"/>
  <c r="AR254" i="6" s="1"/>
  <c r="X241" i="6"/>
  <c r="X254" i="6" s="1"/>
  <c r="BH146" i="6"/>
  <c r="AK48" i="6"/>
  <c r="AK54" i="6" s="1"/>
  <c r="AK53" i="6"/>
  <c r="BF121" i="6"/>
  <c r="BK121" i="6" s="1"/>
  <c r="BP121" i="6" s="1"/>
  <c r="BB121" i="6"/>
  <c r="AS54" i="6"/>
  <c r="AS88" i="4" s="1"/>
  <c r="AS242" i="6"/>
  <c r="AS249" i="6" s="1"/>
  <c r="AT241" i="6"/>
  <c r="AT254" i="6" s="1"/>
  <c r="K42" i="6"/>
  <c r="K46" i="6" s="1"/>
  <c r="K70" i="6"/>
  <c r="K71" i="6"/>
  <c r="AV53" i="6"/>
  <c r="AV48" i="6"/>
  <c r="AV54" i="6" s="1"/>
  <c r="AP242" i="6"/>
  <c r="AP249" i="6" s="1"/>
  <c r="AT242" i="6"/>
  <c r="AT249" i="6" s="1"/>
  <c r="U42" i="6"/>
  <c r="U46" i="6" s="1"/>
  <c r="U70" i="6"/>
  <c r="U71" i="6"/>
  <c r="O53" i="6"/>
  <c r="O48" i="6"/>
  <c r="O54" i="6" s="1"/>
  <c r="AS241" i="6"/>
  <c r="AS254" i="6" s="1"/>
  <c r="R35" i="8"/>
  <c r="R39" i="8" s="1"/>
  <c r="R46" i="8" s="1"/>
  <c r="V37" i="9"/>
  <c r="V43" i="9" s="1"/>
  <c r="V89" i="4" s="1"/>
  <c r="U27" i="9"/>
  <c r="U31" i="9" s="1"/>
  <c r="U35" i="9" s="1"/>
  <c r="U23" i="9"/>
  <c r="AU206" i="8"/>
  <c r="AU213" i="8" s="1"/>
  <c r="AQ206" i="8"/>
  <c r="AQ213" i="8" s="1"/>
  <c r="Q41" i="8"/>
  <c r="Q47" i="8" s="1"/>
  <c r="Q46" i="8"/>
  <c r="AV46" i="8"/>
  <c r="AV41" i="8"/>
  <c r="AV47" i="8" s="1"/>
  <c r="AU47" i="8"/>
  <c r="AU87" i="4" s="1"/>
  <c r="AV208" i="8"/>
  <c r="AO47" i="8"/>
  <c r="AO87" i="4" s="1"/>
  <c r="AV100" i="8"/>
  <c r="Y27" i="9"/>
  <c r="Y31" i="9" s="1"/>
  <c r="Y35" i="9" s="1"/>
  <c r="Y23" i="9"/>
  <c r="AI245" i="7"/>
  <c r="AI252" i="7" s="1"/>
  <c r="P245" i="7"/>
  <c r="P252" i="7" s="1"/>
  <c r="DG141" i="10"/>
  <c r="AU245" i="7"/>
  <c r="AU252" i="7" s="1"/>
  <c r="AR49" i="7"/>
  <c r="AR54" i="7"/>
  <c r="AE43" i="7"/>
  <c r="AE74" i="7"/>
  <c r="AE75" i="7"/>
  <c r="G54" i="7"/>
  <c r="G49" i="7"/>
  <c r="G55" i="7" s="1"/>
  <c r="G86" i="4" s="1"/>
  <c r="AL43" i="7"/>
  <c r="W43" i="7"/>
  <c r="W47" i="7" s="1"/>
  <c r="W49" i="7" s="1"/>
  <c r="W55" i="7" s="1"/>
  <c r="W86" i="4" s="1"/>
  <c r="AZ13" i="4"/>
  <c r="Y43" i="7"/>
  <c r="Y47" i="7" s="1"/>
  <c r="Y75" i="7"/>
  <c r="Y74" i="7"/>
  <c r="Q49" i="7"/>
  <c r="Q55" i="7" s="1"/>
  <c r="Q86" i="4" s="1"/>
  <c r="Q54" i="7"/>
  <c r="H75" i="7"/>
  <c r="BB262" i="7"/>
  <c r="AQ245" i="7"/>
  <c r="AQ252" i="7" s="1"/>
  <c r="W74" i="7"/>
  <c r="H135" i="7"/>
  <c r="S12" i="10"/>
  <c r="AU74" i="7"/>
  <c r="AU75" i="7"/>
  <c r="AU43" i="7"/>
  <c r="I247" i="7"/>
  <c r="I243" i="7"/>
  <c r="I55" i="7"/>
  <c r="O54" i="7"/>
  <c r="O49" i="7"/>
  <c r="O55" i="7" s="1"/>
  <c r="O86" i="4" s="1"/>
  <c r="Z43" i="7"/>
  <c r="Z74" i="7"/>
  <c r="Z75" i="7"/>
  <c r="AT245" i="7"/>
  <c r="AT252" i="7" s="1"/>
  <c r="AS245" i="7"/>
  <c r="AS252" i="7" s="1"/>
  <c r="AP245" i="7"/>
  <c r="AP252" i="7" s="1"/>
  <c r="L127" i="7"/>
  <c r="L61" i="7" s="1"/>
  <c r="H125" i="7"/>
  <c r="H129" i="7" s="1"/>
  <c r="BA206" i="7"/>
  <c r="BB206" i="7" s="1"/>
  <c r="I37" i="9"/>
  <c r="I43" i="9" s="1"/>
  <c r="I89" i="4" s="1"/>
  <c r="I14" i="3" s="1"/>
  <c r="O12" i="10"/>
  <c r="DI141" i="10"/>
  <c r="DN141" i="10"/>
  <c r="AS49" i="7"/>
  <c r="AS54" i="7"/>
  <c r="AN252" i="5"/>
  <c r="AN259" i="5" s="1"/>
  <c r="AB251" i="5"/>
  <c r="AB264" i="5" s="1"/>
  <c r="AN251" i="5"/>
  <c r="AN264" i="5" s="1"/>
  <c r="AL33" i="5"/>
  <c r="AQ39" i="5"/>
  <c r="AQ73" i="5" s="1"/>
  <c r="AL251" i="5"/>
  <c r="AL264" i="5" s="1"/>
  <c r="AD12" i="10"/>
  <c r="BL138" i="4"/>
  <c r="W43" i="5"/>
  <c r="W47" i="5" s="1"/>
  <c r="W54" i="5" s="1"/>
  <c r="BD100" i="6"/>
  <c r="BD85" i="6" s="1"/>
  <c r="BD87" i="6" s="1"/>
  <c r="AU111" i="5"/>
  <c r="AU115" i="5"/>
  <c r="AT251" i="5"/>
  <c r="AT264" i="5" s="1"/>
  <c r="T63" i="4"/>
  <c r="T75" i="4" s="1"/>
  <c r="T254" i="4"/>
  <c r="T255" i="4" s="1"/>
  <c r="K11" i="20"/>
  <c r="K8" i="20"/>
  <c r="AN37" i="9"/>
  <c r="AN43" i="9" s="1"/>
  <c r="BG139" i="4"/>
  <c r="K62" i="4"/>
  <c r="K251" i="4"/>
  <c r="K56" i="4"/>
  <c r="BG153" i="4"/>
  <c r="DY67" i="3" s="1"/>
  <c r="BB139" i="4"/>
  <c r="AS235" i="4"/>
  <c r="AS242" i="4" s="1"/>
  <c r="AT235" i="4"/>
  <c r="AT242" i="4" s="1"/>
  <c r="AS254" i="4"/>
  <c r="AS255" i="4" s="1"/>
  <c r="AV233" i="4"/>
  <c r="AV237" i="4"/>
  <c r="AT43" i="9"/>
  <c r="AT126" i="4"/>
  <c r="W50" i="4"/>
  <c r="W54" i="4" s="1"/>
  <c r="W116" i="4"/>
  <c r="W256" i="4" s="1"/>
  <c r="BG35" i="4"/>
  <c r="AT130" i="4"/>
  <c r="W117" i="4"/>
  <c r="W61" i="3" s="1"/>
  <c r="AS43" i="9"/>
  <c r="AS126" i="4"/>
  <c r="AS130" i="4" s="1"/>
  <c r="AU43" i="9"/>
  <c r="AU126" i="4"/>
  <c r="P56" i="4"/>
  <c r="P62" i="4"/>
  <c r="P251" i="4"/>
  <c r="N33" i="3"/>
  <c r="V33" i="3"/>
  <c r="DY63" i="3"/>
  <c r="BG125" i="4"/>
  <c r="BG252" i="4"/>
  <c r="DL141" i="10"/>
  <c r="DK141" i="10"/>
  <c r="BG173" i="8"/>
  <c r="BF177" i="8"/>
  <c r="X12" i="10"/>
  <c r="Z12" i="10"/>
  <c r="DF77" i="10"/>
  <c r="AL10" i="10"/>
  <c r="AL12" i="10" s="1"/>
  <c r="AM10" i="10"/>
  <c r="CF103" i="10"/>
  <c r="CF105" i="10" s="1"/>
  <c r="CK98" i="10"/>
  <c r="AJ12" i="10"/>
  <c r="BI152" i="8"/>
  <c r="DL167" i="10"/>
  <c r="CK182" i="10"/>
  <c r="CA11" i="10"/>
  <c r="BE198" i="5"/>
  <c r="DH77" i="10"/>
  <c r="BF198" i="5"/>
  <c r="DI77" i="10"/>
  <c r="BD198" i="5"/>
  <c r="DG77" i="10"/>
  <c r="AN141" i="10"/>
  <c r="AN10" i="10"/>
  <c r="AN12" i="10" s="1"/>
  <c r="AO141" i="10"/>
  <c r="AO10" i="10"/>
  <c r="AO12" i="10" s="1"/>
  <c r="BL173" i="8"/>
  <c r="BG223" i="5"/>
  <c r="BB212" i="7"/>
  <c r="BB216" i="7" s="1"/>
  <c r="BB173" i="8"/>
  <c r="BD18" i="9"/>
  <c r="BD22" i="9" s="1"/>
  <c r="BD23" i="9" s="1"/>
  <c r="N12" i="10"/>
  <c r="AH12" i="10"/>
  <c r="U12" i="10"/>
  <c r="T12" i="10"/>
  <c r="BB10" i="4"/>
  <c r="BE20" i="4"/>
  <c r="BC23" i="4"/>
  <c r="BJ20" i="4"/>
  <c r="BC13" i="4"/>
  <c r="BB218" i="5"/>
  <c r="BB223" i="5" s="1"/>
  <c r="AB12" i="10"/>
  <c r="W12" i="10"/>
  <c r="AM12" i="10"/>
  <c r="BG147" i="4"/>
  <c r="DY64" i="3" s="1"/>
  <c r="Y12" i="10"/>
  <c r="AG12" i="10"/>
  <c r="G60" i="3"/>
  <c r="I33" i="3"/>
  <c r="AM242" i="6"/>
  <c r="AM249" i="6" s="1"/>
  <c r="AM28" i="3"/>
  <c r="BL142" i="4"/>
  <c r="AF37" i="9"/>
  <c r="AF42" i="9"/>
  <c r="AX12" i="10"/>
  <c r="AZ104" i="4"/>
  <c r="AZ148" i="4" s="1"/>
  <c r="AL45" i="7"/>
  <c r="AL33" i="9" s="1"/>
  <c r="AK33" i="9"/>
  <c r="AR28" i="3"/>
  <c r="K57" i="9"/>
  <c r="K69" i="9"/>
  <c r="F254" i="4"/>
  <c r="F255" i="4" s="1"/>
  <c r="F63" i="4"/>
  <c r="F75" i="4" s="1"/>
  <c r="AO47" i="7"/>
  <c r="S57" i="9"/>
  <c r="S127" i="4" s="1"/>
  <c r="S69" i="9"/>
  <c r="J41" i="8"/>
  <c r="J47" i="8" s="1"/>
  <c r="J46" i="8"/>
  <c r="R251" i="5"/>
  <c r="R264" i="5" s="1"/>
  <c r="T251" i="5"/>
  <c r="T264" i="5" s="1"/>
  <c r="R33" i="5"/>
  <c r="R252" i="5" s="1"/>
  <c r="R259" i="5" s="1"/>
  <c r="U251" i="5"/>
  <c r="U264" i="5" s="1"/>
  <c r="R39" i="5"/>
  <c r="V251" i="5"/>
  <c r="V264" i="5" s="1"/>
  <c r="BD23" i="5"/>
  <c r="BI155" i="5"/>
  <c r="W235" i="4"/>
  <c r="W242" i="4" s="1"/>
  <c r="Y235" i="4"/>
  <c r="Y242" i="4" s="1"/>
  <c r="Z235" i="4"/>
  <c r="Z242" i="4" s="1"/>
  <c r="AA235" i="4"/>
  <c r="AA242" i="4" s="1"/>
  <c r="P235" i="4"/>
  <c r="P242" i="4" s="1"/>
  <c r="M235" i="4"/>
  <c r="M242" i="4" s="1"/>
  <c r="O235" i="4"/>
  <c r="O242" i="4" s="1"/>
  <c r="Q235" i="4"/>
  <c r="Q242" i="4" s="1"/>
  <c r="AG57" i="9"/>
  <c r="AG127" i="4" s="1"/>
  <c r="AG69" i="9"/>
  <c r="AD32" i="4"/>
  <c r="AD25" i="3"/>
  <c r="J30" i="3"/>
  <c r="J33" i="3" s="1"/>
  <c r="AZ152" i="4"/>
  <c r="BB80" i="4"/>
  <c r="BS80" i="4" s="1"/>
  <c r="BA93" i="4"/>
  <c r="BA98" i="4" s="1"/>
  <c r="BA142" i="4" s="1"/>
  <c r="BA213" i="5"/>
  <c r="BB213" i="5" s="1"/>
  <c r="BA269" i="5"/>
  <c r="BB269" i="5" s="1"/>
  <c r="W30" i="3"/>
  <c r="W56" i="3" s="1"/>
  <c r="AB25" i="3"/>
  <c r="AQ229" i="4"/>
  <c r="S229" i="4"/>
  <c r="AZ39" i="9"/>
  <c r="AZ50" i="6"/>
  <c r="AZ43" i="8"/>
  <c r="AZ51" i="5"/>
  <c r="AZ51" i="7"/>
  <c r="AY40" i="9"/>
  <c r="AY51" i="6"/>
  <c r="AY52" i="5"/>
  <c r="AY44" i="8"/>
  <c r="AY52" i="7"/>
  <c r="AS251" i="5"/>
  <c r="AS264" i="5" s="1"/>
  <c r="AQ33" i="5"/>
  <c r="AS252" i="5" s="1"/>
  <c r="AS259" i="5" s="1"/>
  <c r="AJ251" i="5"/>
  <c r="AJ264" i="5" s="1"/>
  <c r="BL15" i="5"/>
  <c r="BK15" i="4"/>
  <c r="AT33" i="5"/>
  <c r="AT252" i="5" s="1"/>
  <c r="AT259" i="5" s="1"/>
  <c r="BA22" i="9"/>
  <c r="BA23" i="9" s="1"/>
  <c r="BA30" i="4"/>
  <c r="BA29" i="3" s="1"/>
  <c r="BE12" i="10"/>
  <c r="BG104" i="4"/>
  <c r="BK104" i="4"/>
  <c r="BK148" i="4" s="1"/>
  <c r="BJ188" i="4" s="1"/>
  <c r="AV12" i="10"/>
  <c r="AX104" i="4"/>
  <c r="AX148" i="4" s="1"/>
  <c r="BF223" i="5"/>
  <c r="W35" i="8"/>
  <c r="W39" i="8" s="1"/>
  <c r="M133" i="6"/>
  <c r="AQ236" i="6"/>
  <c r="AI12" i="10"/>
  <c r="AM38" i="6"/>
  <c r="AM42" i="6" s="1"/>
  <c r="X242" i="6"/>
  <c r="X249" i="6" s="1"/>
  <c r="X28" i="3"/>
  <c r="AH242" i="6"/>
  <c r="AH249" i="6" s="1"/>
  <c r="AH28" i="3"/>
  <c r="AU127" i="4"/>
  <c r="L235" i="4"/>
  <c r="L242" i="4" s="1"/>
  <c r="AL23" i="9"/>
  <c r="AL27" i="9"/>
  <c r="AL31" i="9" s="1"/>
  <c r="AR237" i="4"/>
  <c r="AR63" i="4"/>
  <c r="AR8" i="2" s="1"/>
  <c r="AR14" i="2" s="1"/>
  <c r="AR17" i="2" s="1"/>
  <c r="AR254" i="4"/>
  <c r="AR255" i="4" s="1"/>
  <c r="AR233" i="4"/>
  <c r="J49" i="7"/>
  <c r="J54" i="7"/>
  <c r="AK63" i="4"/>
  <c r="AK75" i="4" s="1"/>
  <c r="AK254" i="4"/>
  <c r="AK255" i="4" s="1"/>
  <c r="H50" i="4"/>
  <c r="H54" i="4" s="1"/>
  <c r="H117" i="4"/>
  <c r="H116" i="4"/>
  <c r="AR40" i="10"/>
  <c r="AR42" i="10" s="1"/>
  <c r="AT40" i="10"/>
  <c r="AS40" i="10"/>
  <c r="AS42" i="10" s="1"/>
  <c r="AU40" i="10"/>
  <c r="AQ40" i="10"/>
  <c r="G42" i="9"/>
  <c r="G37" i="9"/>
  <c r="G43" i="9" s="1"/>
  <c r="G89" i="4" s="1"/>
  <c r="AD48" i="6"/>
  <c r="AD54" i="6" s="1"/>
  <c r="AD53" i="6"/>
  <c r="AX216" i="7"/>
  <c r="BL65" i="9"/>
  <c r="AJ32" i="4"/>
  <c r="AJ25" i="3"/>
  <c r="CF41" i="3"/>
  <c r="CF53" i="3" s="1"/>
  <c r="CF56" i="3" s="1"/>
  <c r="CF60" i="3" s="1"/>
  <c r="CF68" i="3" s="1"/>
  <c r="BC10" i="4"/>
  <c r="BH8" i="9"/>
  <c r="BG8" i="9"/>
  <c r="BG10" i="9" s="1"/>
  <c r="AB212" i="8"/>
  <c r="AB191" i="8"/>
  <c r="AB197" i="8"/>
  <c r="AB234" i="8" s="1"/>
  <c r="AB200" i="8"/>
  <c r="AB194" i="8"/>
  <c r="AB211" i="8"/>
  <c r="BL212" i="7"/>
  <c r="BL216" i="7" s="1"/>
  <c r="BI8" i="9"/>
  <c r="BN8" i="9" s="1"/>
  <c r="BD10" i="9"/>
  <c r="BD10" i="4"/>
  <c r="AQ116" i="4"/>
  <c r="AQ256" i="4" s="1"/>
  <c r="AQ117" i="4"/>
  <c r="AQ61" i="3" s="1"/>
  <c r="AQ50" i="4"/>
  <c r="AQ54" i="4" s="1"/>
  <c r="R50" i="4"/>
  <c r="R54" i="4" s="1"/>
  <c r="R116" i="4"/>
  <c r="R256" i="4" s="1"/>
  <c r="R117" i="4"/>
  <c r="AH27" i="9"/>
  <c r="AH31" i="9" s="1"/>
  <c r="AH35" i="9" s="1"/>
  <c r="AH23" i="9"/>
  <c r="AH29" i="3" s="1"/>
  <c r="Q57" i="9"/>
  <c r="Q69" i="9"/>
  <c r="AP69" i="9"/>
  <c r="K42" i="9"/>
  <c r="K37" i="9"/>
  <c r="K43" i="9" s="1"/>
  <c r="S75" i="7"/>
  <c r="S74" i="7"/>
  <c r="S43" i="7"/>
  <c r="AG116" i="4"/>
  <c r="AG256" i="4" s="1"/>
  <c r="AG117" i="4"/>
  <c r="AG61" i="3" s="1"/>
  <c r="AG50" i="4"/>
  <c r="AG54" i="4" s="1"/>
  <c r="AP37" i="9"/>
  <c r="AP42" i="9"/>
  <c r="AY23" i="4"/>
  <c r="H235" i="4"/>
  <c r="H242" i="4" s="1"/>
  <c r="AX191" i="6"/>
  <c r="AX155" i="8"/>
  <c r="AX194" i="7"/>
  <c r="BL177" i="8"/>
  <c r="AZ199" i="4"/>
  <c r="BA199" i="4" s="1"/>
  <c r="BB199" i="4" s="1"/>
  <c r="BC199" i="4" s="1"/>
  <c r="BD199" i="4" s="1"/>
  <c r="BE199" i="4" s="1"/>
  <c r="BF199" i="4" s="1"/>
  <c r="BG199" i="4" s="1"/>
  <c r="BH199" i="4" s="1"/>
  <c r="BI199" i="4" s="1"/>
  <c r="BJ199" i="4" s="1"/>
  <c r="BK199" i="4" s="1"/>
  <c r="BL199" i="4" s="1"/>
  <c r="BM199" i="4" s="1"/>
  <c r="BN199" i="4" s="1"/>
  <c r="BO199" i="4" s="1"/>
  <c r="BP199" i="4" s="1"/>
  <c r="BQ199" i="4" s="1"/>
  <c r="V120" i="6"/>
  <c r="AA118" i="6"/>
  <c r="AB118" i="6" s="1"/>
  <c r="AB120" i="6" s="1"/>
  <c r="AA42" i="6"/>
  <c r="AA46" i="6" s="1"/>
  <c r="AA71" i="6"/>
  <c r="AA70" i="6"/>
  <c r="R53" i="6"/>
  <c r="R48" i="6"/>
  <c r="R54" i="6" s="1"/>
  <c r="R88" i="4" s="1"/>
  <c r="AF56" i="4"/>
  <c r="AF233" i="4" s="1"/>
  <c r="AF251" i="4"/>
  <c r="AF62" i="4"/>
  <c r="AJ49" i="7"/>
  <c r="AJ55" i="7" s="1"/>
  <c r="AJ86" i="4" s="1"/>
  <c r="AJ54" i="7"/>
  <c r="AH57" i="9"/>
  <c r="AH127" i="4" s="1"/>
  <c r="AH69" i="9"/>
  <c r="M116" i="4"/>
  <c r="M117" i="4"/>
  <c r="M50" i="4"/>
  <c r="M54" i="4" s="1"/>
  <c r="Y30" i="3"/>
  <c r="Y56" i="3" s="1"/>
  <c r="R69" i="9"/>
  <c r="BL45" i="5"/>
  <c r="BK33" i="9"/>
  <c r="BL33" i="9" s="1"/>
  <c r="J235" i="4"/>
  <c r="J242" i="4" s="1"/>
  <c r="BL20" i="9"/>
  <c r="BJ35" i="4"/>
  <c r="S42" i="9"/>
  <c r="S37" i="9"/>
  <c r="BW35" i="2" s="1"/>
  <c r="U254" i="4"/>
  <c r="U255" i="4" s="1"/>
  <c r="U63" i="4"/>
  <c r="U75" i="4" s="1"/>
  <c r="AI33" i="3"/>
  <c r="BL209" i="6"/>
  <c r="AY128" i="4"/>
  <c r="AY67" i="9"/>
  <c r="BC177" i="8"/>
  <c r="BG172" i="8"/>
  <c r="BC18" i="9"/>
  <c r="AO25" i="3"/>
  <c r="AO32" i="4"/>
  <c r="AO27" i="9"/>
  <c r="AO31" i="9" s="1"/>
  <c r="AO35" i="9" s="1"/>
  <c r="AO23" i="9"/>
  <c r="AP75" i="7"/>
  <c r="AP43" i="7"/>
  <c r="AP47" i="7" s="1"/>
  <c r="AP74" i="7"/>
  <c r="BL218" i="5"/>
  <c r="BL223" i="5" s="1"/>
  <c r="AF251" i="5"/>
  <c r="AF264" i="5" s="1"/>
  <c r="AB23" i="9"/>
  <c r="AB27" i="9"/>
  <c r="AB31" i="9" s="1"/>
  <c r="V85" i="4"/>
  <c r="T89" i="4"/>
  <c r="AC43" i="9"/>
  <c r="AC126" i="4"/>
  <c r="AC130" i="4" s="1"/>
  <c r="BH15" i="4"/>
  <c r="BH104" i="4"/>
  <c r="BH148" i="4" s="1"/>
  <c r="AG16" i="9"/>
  <c r="AG18" i="9" s="1"/>
  <c r="AG10" i="9"/>
  <c r="AS63" i="4"/>
  <c r="AS75" i="4" s="1"/>
  <c r="M49" i="7"/>
  <c r="O247" i="7" s="1"/>
  <c r="M54" i="7"/>
  <c r="V41" i="8"/>
  <c r="V47" i="8" s="1"/>
  <c r="V46" i="8"/>
  <c r="AE37" i="9"/>
  <c r="AE42" i="9"/>
  <c r="K55" i="7"/>
  <c r="K56" i="7" s="1"/>
  <c r="AI235" i="4"/>
  <c r="AI242" i="4" s="1"/>
  <c r="AJ235" i="4"/>
  <c r="AJ242" i="4" s="1"/>
  <c r="AG235" i="4"/>
  <c r="AG242" i="4" s="1"/>
  <c r="Q133" i="6"/>
  <c r="Q123" i="6"/>
  <c r="L49" i="5"/>
  <c r="L55" i="5" s="1"/>
  <c r="L54" i="5"/>
  <c r="BK216" i="7"/>
  <c r="BK122" i="4"/>
  <c r="AB32" i="9"/>
  <c r="S229" i="8"/>
  <c r="E89" i="4"/>
  <c r="X43" i="9"/>
  <c r="X126" i="4"/>
  <c r="BI104" i="4"/>
  <c r="BI148" i="4" s="1"/>
  <c r="BD12" i="10"/>
  <c r="BF104" i="4"/>
  <c r="BF148" i="4" s="1"/>
  <c r="K85" i="4"/>
  <c r="AE48" i="8"/>
  <c r="AE87" i="4"/>
  <c r="M35" i="8"/>
  <c r="M39" i="8" s="1"/>
  <c r="M57" i="9"/>
  <c r="M69" i="9"/>
  <c r="AQ57" i="9"/>
  <c r="AQ127" i="4" s="1"/>
  <c r="AQ69" i="9"/>
  <c r="T49" i="7"/>
  <c r="T55" i="7" s="1"/>
  <c r="T54" i="7"/>
  <c r="O251" i="4"/>
  <c r="O56" i="4"/>
  <c r="O62" i="4"/>
  <c r="BC191" i="6"/>
  <c r="BC155" i="8"/>
  <c r="BC194" i="7"/>
  <c r="Z42" i="6"/>
  <c r="Z46" i="6" s="1"/>
  <c r="Z71" i="6"/>
  <c r="Z70" i="6"/>
  <c r="AY12" i="8"/>
  <c r="AY20" i="4" s="1"/>
  <c r="BD104" i="8"/>
  <c r="BF67" i="9"/>
  <c r="BF128" i="4"/>
  <c r="BG64" i="9"/>
  <c r="AL32" i="4"/>
  <c r="AL25" i="3"/>
  <c r="AR69" i="9"/>
  <c r="AR57" i="9"/>
  <c r="AR127" i="4" s="1"/>
  <c r="N57" i="9"/>
  <c r="N69" i="9"/>
  <c r="Y48" i="6"/>
  <c r="Y54" i="6" s="1"/>
  <c r="Y53" i="6"/>
  <c r="AX177" i="8"/>
  <c r="BB172" i="8"/>
  <c r="Z25" i="3"/>
  <c r="Z32" i="4"/>
  <c r="V69" i="9"/>
  <c r="U86" i="4"/>
  <c r="U56" i="7"/>
  <c r="H49" i="7"/>
  <c r="H55" i="7" s="1"/>
  <c r="H54" i="7"/>
  <c r="AE30" i="3"/>
  <c r="AE56" i="3" s="1"/>
  <c r="U235" i="4"/>
  <c r="U242" i="4" s="1"/>
  <c r="V235" i="4"/>
  <c r="V242" i="4" s="1"/>
  <c r="R235" i="4"/>
  <c r="R242" i="4" s="1"/>
  <c r="T235" i="4"/>
  <c r="T242" i="4" s="1"/>
  <c r="O37" i="9"/>
  <c r="O43" i="9" s="1"/>
  <c r="T44" i="9" s="1"/>
  <c r="O42" i="9"/>
  <c r="S245" i="7"/>
  <c r="S252" i="7" s="1"/>
  <c r="S26" i="3"/>
  <c r="F43" i="5"/>
  <c r="F74" i="5"/>
  <c r="F73" i="5"/>
  <c r="BJ15" i="4"/>
  <c r="BJ16" i="9"/>
  <c r="BD67" i="9"/>
  <c r="BD128" i="4"/>
  <c r="AC69" i="9"/>
  <c r="BL10" i="5"/>
  <c r="P48" i="6"/>
  <c r="P53" i="6"/>
  <c r="H22" i="9"/>
  <c r="H30" i="4"/>
  <c r="H32" i="4" s="1"/>
  <c r="X57" i="9"/>
  <c r="X127" i="4" s="1"/>
  <c r="X69" i="9"/>
  <c r="AX22" i="9"/>
  <c r="AX30" i="4"/>
  <c r="AI63" i="4"/>
  <c r="AI75" i="4" s="1"/>
  <c r="AI254" i="4"/>
  <c r="AI255" i="4" s="1"/>
  <c r="AP30" i="3"/>
  <c r="AP56" i="3" s="1"/>
  <c r="AD23" i="9"/>
  <c r="AD27" i="9"/>
  <c r="AD31" i="9" s="1"/>
  <c r="AD35" i="9" s="1"/>
  <c r="BG209" i="6"/>
  <c r="BG213" i="6" s="1"/>
  <c r="BC213" i="6"/>
  <c r="H69" i="9"/>
  <c r="H57" i="9"/>
  <c r="Z69" i="9"/>
  <c r="E8" i="20"/>
  <c r="E17" i="20" s="1"/>
  <c r="F17" i="20" s="1"/>
  <c r="S237" i="4"/>
  <c r="S254" i="4"/>
  <c r="S255" i="4" s="1"/>
  <c r="S63" i="4"/>
  <c r="S8" i="2" s="1"/>
  <c r="S233" i="4"/>
  <c r="AH32" i="4"/>
  <c r="AK235" i="4"/>
  <c r="AK242" i="4" s="1"/>
  <c r="AM42" i="9"/>
  <c r="AM37" i="9"/>
  <c r="CA35" i="2" s="1"/>
  <c r="BE67" i="9"/>
  <c r="BE128" i="4"/>
  <c r="N56" i="5"/>
  <c r="N85" i="4"/>
  <c r="P56" i="5"/>
  <c r="P85" i="4"/>
  <c r="BL77" i="7"/>
  <c r="BJ104" i="4"/>
  <c r="BJ148" i="4" s="1"/>
  <c r="BI188" i="4" s="1"/>
  <c r="AW12" i="10"/>
  <c r="AY104" i="4"/>
  <c r="AY148" i="4" s="1"/>
  <c r="AK48" i="8"/>
  <c r="AK87" i="4"/>
  <c r="AB31" i="6"/>
  <c r="AF241" i="6" s="1"/>
  <c r="AF254" i="6" s="1"/>
  <c r="AB29" i="4"/>
  <c r="AB28" i="3" s="1"/>
  <c r="AQ23" i="9"/>
  <c r="AQ27" i="9"/>
  <c r="AQ31" i="9" s="1"/>
  <c r="AQ35" i="9" s="1"/>
  <c r="DA40" i="10"/>
  <c r="DC40" i="10"/>
  <c r="DB40" i="10"/>
  <c r="DD40" i="10"/>
  <c r="E30" i="20"/>
  <c r="E28" i="20" s="1"/>
  <c r="F28" i="20" s="1"/>
  <c r="K12" i="20" s="1"/>
  <c r="AC233" i="4"/>
  <c r="AC63" i="4"/>
  <c r="AC8" i="2" s="1"/>
  <c r="AC254" i="4"/>
  <c r="AC255" i="4" s="1"/>
  <c r="AC237" i="4"/>
  <c r="W73" i="5"/>
  <c r="W74" i="5"/>
  <c r="U30" i="3"/>
  <c r="U56" i="3" s="1"/>
  <c r="G43" i="5"/>
  <c r="G47" i="5" s="1"/>
  <c r="G73" i="5"/>
  <c r="G74" i="5"/>
  <c r="BG212" i="7"/>
  <c r="BG216" i="7" s="1"/>
  <c r="L69" i="9"/>
  <c r="L57" i="9"/>
  <c r="I158" i="4"/>
  <c r="I161" i="4" s="1"/>
  <c r="N159" i="4" s="1"/>
  <c r="N161" i="4" s="1"/>
  <c r="I58" i="9"/>
  <c r="CA44" i="3"/>
  <c r="AG39" i="5"/>
  <c r="AG251" i="5"/>
  <c r="AG264" i="5" s="1"/>
  <c r="AU251" i="5"/>
  <c r="AU264" i="5" s="1"/>
  <c r="AG33" i="5"/>
  <c r="AI252" i="5" s="1"/>
  <c r="AI259" i="5" s="1"/>
  <c r="AK251" i="5"/>
  <c r="AK264" i="5" s="1"/>
  <c r="T222" i="8"/>
  <c r="T227" i="8" s="1"/>
  <c r="U222" i="8" s="1"/>
  <c r="U227" i="8" s="1"/>
  <c r="V222" i="8" s="1"/>
  <c r="V227" i="8" s="1"/>
  <c r="W222" i="8" s="1"/>
  <c r="W227" i="8" s="1"/>
  <c r="AR43" i="9"/>
  <c r="AW44" i="9" s="1"/>
  <c r="AR126" i="4"/>
  <c r="L89" i="4"/>
  <c r="BC12" i="10"/>
  <c r="BE104" i="4"/>
  <c r="BE148" i="4" s="1"/>
  <c r="AY12" i="10"/>
  <c r="BA104" i="4"/>
  <c r="BA148" i="4" s="1"/>
  <c r="AE12" i="10"/>
  <c r="AZ12" i="10"/>
  <c r="BB104" i="4"/>
  <c r="BB12" i="10"/>
  <c r="BD104" i="4"/>
  <c r="BD148" i="4" s="1"/>
  <c r="M43" i="5"/>
  <c r="M47" i="5" s="1"/>
  <c r="M49" i="5" s="1"/>
  <c r="BA216" i="7"/>
  <c r="BA122" i="4"/>
  <c r="DP64" i="3"/>
  <c r="BB147" i="4"/>
  <c r="DT64" i="3" s="1"/>
  <c r="AG31" i="6"/>
  <c r="AG29" i="4"/>
  <c r="AG28" i="3" s="1"/>
  <c r="BA77" i="8"/>
  <c r="AO42" i="6"/>
  <c r="AO46" i="6" s="1"/>
  <c r="AO71" i="6"/>
  <c r="AO70" i="6"/>
  <c r="AB69" i="9"/>
  <c r="AB57" i="9"/>
  <c r="AB127" i="4" s="1"/>
  <c r="F41" i="8"/>
  <c r="F47" i="8" s="1"/>
  <c r="F87" i="4" s="1"/>
  <c r="F46" i="8"/>
  <c r="BH191" i="6"/>
  <c r="BH155" i="8"/>
  <c r="BH194" i="7"/>
  <c r="Z27" i="9"/>
  <c r="Z31" i="9" s="1"/>
  <c r="Z35" i="9" s="1"/>
  <c r="Z23" i="9"/>
  <c r="AA33" i="3"/>
  <c r="AX12" i="8"/>
  <c r="BC104" i="8"/>
  <c r="AM57" i="9"/>
  <c r="AM127" i="4" s="1"/>
  <c r="AM69" i="9"/>
  <c r="AQ32" i="4"/>
  <c r="AQ25" i="3"/>
  <c r="CK41" i="3"/>
  <c r="CK53" i="3" s="1"/>
  <c r="CK56" i="3" s="1"/>
  <c r="CK60" i="3" s="1"/>
  <c r="CK68" i="3" s="1"/>
  <c r="G251" i="4"/>
  <c r="G56" i="4"/>
  <c r="G62" i="4"/>
  <c r="AH63" i="4"/>
  <c r="AH8" i="2" s="1"/>
  <c r="AH233" i="4"/>
  <c r="AH237" i="4"/>
  <c r="AH254" i="4"/>
  <c r="AH255" i="4" s="1"/>
  <c r="J42" i="9"/>
  <c r="J37" i="9"/>
  <c r="J43" i="9" s="1"/>
  <c r="J89" i="4" s="1"/>
  <c r="AO57" i="9"/>
  <c r="AO127" i="4" s="1"/>
  <c r="AO69" i="9"/>
  <c r="AJ23" i="9"/>
  <c r="AJ27" i="9"/>
  <c r="AJ31" i="9" s="1"/>
  <c r="AJ35" i="9" s="1"/>
  <c r="BC216" i="7"/>
  <c r="AS33" i="3"/>
  <c r="E54" i="7"/>
  <c r="E49" i="7"/>
  <c r="T30" i="3"/>
  <c r="T56" i="3" s="1"/>
  <c r="R32" i="4"/>
  <c r="Z63" i="4"/>
  <c r="Z75" i="4" s="1"/>
  <c r="Z254" i="4"/>
  <c r="Z255" i="4" s="1"/>
  <c r="AI42" i="9"/>
  <c r="AI37" i="9"/>
  <c r="L55" i="7"/>
  <c r="P243" i="7"/>
  <c r="N42" i="9"/>
  <c r="N37" i="9"/>
  <c r="N43" i="9" s="1"/>
  <c r="N89" i="4" s="1"/>
  <c r="N14" i="3" s="1"/>
  <c r="BE22" i="9"/>
  <c r="BE30" i="4"/>
  <c r="AT32" i="4"/>
  <c r="AT25" i="3"/>
  <c r="G57" i="9"/>
  <c r="G69" i="9"/>
  <c r="AK30" i="3"/>
  <c r="AK56" i="3" s="1"/>
  <c r="W23" i="9"/>
  <c r="W27" i="9"/>
  <c r="W31" i="9" s="1"/>
  <c r="W35" i="9" s="1"/>
  <c r="AK57" i="9"/>
  <c r="AK127" i="4" s="1"/>
  <c r="AK69" i="9"/>
  <c r="AF30" i="3"/>
  <c r="AF56" i="3" s="1"/>
  <c r="W57" i="9"/>
  <c r="W69" i="9"/>
  <c r="BH216" i="7"/>
  <c r="AA37" i="9"/>
  <c r="AJ71" i="6"/>
  <c r="AJ70" i="6"/>
  <c r="AJ42" i="6"/>
  <c r="AJ46" i="6" s="1"/>
  <c r="AD33" i="5"/>
  <c r="AE252" i="5" s="1"/>
  <c r="AE259" i="5" s="1"/>
  <c r="AD39" i="5"/>
  <c r="AM117" i="4"/>
  <c r="AM61" i="3" s="1"/>
  <c r="AM50" i="4"/>
  <c r="AM54" i="4" s="1"/>
  <c r="AM116" i="4"/>
  <c r="AM256" i="4" s="1"/>
  <c r="Q73" i="5"/>
  <c r="Q43" i="5"/>
  <c r="Q74" i="5"/>
  <c r="M257" i="5"/>
  <c r="M243" i="5"/>
  <c r="M280" i="5" s="1"/>
  <c r="M240" i="5"/>
  <c r="BJ8" i="9"/>
  <c r="BE10" i="4"/>
  <c r="AP42" i="6"/>
  <c r="AP46" i="6" s="1"/>
  <c r="AP70" i="6"/>
  <c r="AP71" i="6"/>
  <c r="AN33" i="3"/>
  <c r="F86" i="4"/>
  <c r="AG25" i="3"/>
  <c r="BG144" i="4"/>
  <c r="U57" i="9"/>
  <c r="U69" i="9"/>
  <c r="W258" i="5"/>
  <c r="W240" i="5"/>
  <c r="W243" i="5"/>
  <c r="W280" i="5" s="1"/>
  <c r="W237" i="5"/>
  <c r="W257" i="5"/>
  <c r="W246" i="5"/>
  <c r="AI42" i="6"/>
  <c r="AI46" i="6" s="1"/>
  <c r="AI71" i="6"/>
  <c r="AI70" i="6"/>
  <c r="M258" i="5"/>
  <c r="BB209" i="6"/>
  <c r="BB213" i="6" s="1"/>
  <c r="BT20" i="4"/>
  <c r="N46" i="6"/>
  <c r="AC46" i="6"/>
  <c r="I46" i="6"/>
  <c r="H42" i="6"/>
  <c r="H46" i="6" s="1"/>
  <c r="V54" i="6"/>
  <c r="V88" i="4" s="1"/>
  <c r="K133" i="6"/>
  <c r="K123" i="6"/>
  <c r="P125" i="6" s="1"/>
  <c r="P60" i="6" s="1"/>
  <c r="H247" i="6"/>
  <c r="H236" i="6"/>
  <c r="H230" i="6"/>
  <c r="H233" i="6"/>
  <c r="H270" i="6" s="1"/>
  <c r="H248" i="6"/>
  <c r="H227" i="6"/>
  <c r="AB38" i="6"/>
  <c r="AL236" i="6"/>
  <c r="AL230" i="6"/>
  <c r="AL233" i="6"/>
  <c r="AL270" i="6" s="1"/>
  <c r="AL227" i="6"/>
  <c r="AL247" i="6"/>
  <c r="AL248" i="6"/>
  <c r="AN54" i="6"/>
  <c r="AN88" i="4" s="1"/>
  <c r="AH42" i="6"/>
  <c r="AH71" i="6"/>
  <c r="AH70" i="6"/>
  <c r="AM71" i="6"/>
  <c r="AR42" i="6"/>
  <c r="AR70" i="6"/>
  <c r="AR71" i="6"/>
  <c r="BC21" i="6"/>
  <c r="BH143" i="6"/>
  <c r="G54" i="6"/>
  <c r="G88" i="4" s="1"/>
  <c r="X70" i="6"/>
  <c r="X42" i="6"/>
  <c r="X71" i="6"/>
  <c r="M212" i="8"/>
  <c r="AN41" i="8"/>
  <c r="AN47" i="8" s="1"/>
  <c r="AN46" i="8"/>
  <c r="AC47" i="8"/>
  <c r="AC87" i="4" s="1"/>
  <c r="AC12" i="3" s="1"/>
  <c r="AC204" i="8"/>
  <c r="AC208" i="8"/>
  <c r="AR41" i="8"/>
  <c r="AR46" i="8"/>
  <c r="P41" i="8"/>
  <c r="P47" i="8" s="1"/>
  <c r="P46" i="8"/>
  <c r="T41" i="8"/>
  <c r="T47" i="8" s="1"/>
  <c r="T46" i="8"/>
  <c r="N278" i="7"/>
  <c r="N78" i="7" s="1"/>
  <c r="BI149" i="7"/>
  <c r="BD23" i="7"/>
  <c r="X229" i="4"/>
  <c r="H226" i="4"/>
  <c r="E63" i="4"/>
  <c r="E75" i="4" s="1"/>
  <c r="E254" i="4"/>
  <c r="E255" i="4" s="1"/>
  <c r="AB63" i="4"/>
  <c r="AB75" i="4" s="1"/>
  <c r="AB254" i="4"/>
  <c r="AB255" i="4" s="1"/>
  <c r="I233" i="4"/>
  <c r="I237" i="4"/>
  <c r="I254" i="4"/>
  <c r="I255" i="4" s="1"/>
  <c r="I63" i="4"/>
  <c r="AU63" i="4"/>
  <c r="AU75" i="4" s="1"/>
  <c r="X254" i="4"/>
  <c r="X255" i="4" s="1"/>
  <c r="X63" i="4"/>
  <c r="X8" i="2" s="1"/>
  <c r="X233" i="4"/>
  <c r="X237" i="4"/>
  <c r="AP254" i="4"/>
  <c r="AP255" i="4" s="1"/>
  <c r="AP63" i="4"/>
  <c r="AP75" i="4" s="1"/>
  <c r="K10" i="20"/>
  <c r="R12" i="10"/>
  <c r="M12" i="10"/>
  <c r="W248" i="6"/>
  <c r="AQ70" i="6"/>
  <c r="AQ71" i="6"/>
  <c r="M125" i="6"/>
  <c r="M60" i="6" s="1"/>
  <c r="M127" i="6"/>
  <c r="M233" i="6"/>
  <c r="M270" i="6" s="1"/>
  <c r="M247" i="6"/>
  <c r="M230" i="6"/>
  <c r="G123" i="6"/>
  <c r="G133" i="6"/>
  <c r="BD19" i="6"/>
  <c r="BI140" i="6"/>
  <c r="R230" i="6"/>
  <c r="R236" i="6"/>
  <c r="R233" i="6"/>
  <c r="R270" i="6" s="1"/>
  <c r="R227" i="6"/>
  <c r="R248" i="6"/>
  <c r="R247" i="6"/>
  <c r="AQ227" i="6"/>
  <c r="AQ247" i="6"/>
  <c r="AQ233" i="6"/>
  <c r="AQ270" i="6" s="1"/>
  <c r="AQ230" i="6"/>
  <c r="W41" i="8"/>
  <c r="W46" i="8"/>
  <c r="AB41" i="8"/>
  <c r="AB47" i="8" s="1"/>
  <c r="AB87" i="4" s="1"/>
  <c r="AB46" i="8"/>
  <c r="AD47" i="8"/>
  <c r="AG41" i="8"/>
  <c r="AG47" i="8" s="1"/>
  <c r="AG87" i="4" s="1"/>
  <c r="AG46" i="8"/>
  <c r="H41" i="8"/>
  <c r="H47" i="8" s="1"/>
  <c r="H87" i="4" s="1"/>
  <c r="H46" i="8"/>
  <c r="AA41" i="8"/>
  <c r="AA46" i="8"/>
  <c r="AY14" i="8"/>
  <c r="AY22" i="4" s="1"/>
  <c r="BD107" i="8"/>
  <c r="AT47" i="8"/>
  <c r="AT87" i="4" s="1"/>
  <c r="AM41" i="8"/>
  <c r="AM46" i="8"/>
  <c r="N41" i="8"/>
  <c r="N46" i="8"/>
  <c r="K47" i="8"/>
  <c r="K87" i="4" s="1"/>
  <c r="K208" i="8"/>
  <c r="AI47" i="8"/>
  <c r="AI87" i="4" s="1"/>
  <c r="AJ208" i="8"/>
  <c r="O47" i="8"/>
  <c r="O87" i="4" s="1"/>
  <c r="I47" i="8"/>
  <c r="I87" i="4" s="1"/>
  <c r="I204" i="8"/>
  <c r="I208" i="8"/>
  <c r="AP41" i="8"/>
  <c r="AP46" i="8"/>
  <c r="S41" i="8"/>
  <c r="S46" i="8"/>
  <c r="BC107" i="8"/>
  <c r="AX14" i="8"/>
  <c r="AX22" i="4" s="1"/>
  <c r="AL41" i="8"/>
  <c r="AN204" i="8" s="1"/>
  <c r="AL46" i="8"/>
  <c r="M41" i="8"/>
  <c r="M47" i="8" s="1"/>
  <c r="M87" i="4" s="1"/>
  <c r="M46" i="8"/>
  <c r="X41" i="8"/>
  <c r="X46" i="8"/>
  <c r="AQ41" i="8"/>
  <c r="AQ47" i="8" s="1"/>
  <c r="AQ46" i="8"/>
  <c r="R41" i="8"/>
  <c r="R204" i="8" s="1"/>
  <c r="G47" i="8"/>
  <c r="AJ47" i="8"/>
  <c r="AJ87" i="4" s="1"/>
  <c r="BE14" i="8"/>
  <c r="BE22" i="4" s="1"/>
  <c r="BJ107" i="8"/>
  <c r="AH41" i="8"/>
  <c r="AH46" i="8"/>
  <c r="M239" i="7"/>
  <c r="J268" i="7"/>
  <c r="N219" i="7"/>
  <c r="N221" i="7" s="1"/>
  <c r="O219" i="7" s="1"/>
  <c r="O221" i="7" s="1"/>
  <c r="P219" i="7" s="1"/>
  <c r="P221" i="7" s="1"/>
  <c r="Q219" i="7" s="1"/>
  <c r="Q221" i="7" s="1"/>
  <c r="R219" i="7" s="1"/>
  <c r="R221" i="7" s="1"/>
  <c r="CU221" i="7"/>
  <c r="CV219" i="7" s="1"/>
  <c r="Q125" i="7"/>
  <c r="Q129" i="7" s="1"/>
  <c r="Q127" i="7"/>
  <c r="Q61" i="7" s="1"/>
  <c r="Q135" i="7"/>
  <c r="AI56" i="7"/>
  <c r="AN56" i="7"/>
  <c r="CS219" i="7"/>
  <c r="CS221" i="7" s="1"/>
  <c r="CT219" i="7" s="1"/>
  <c r="CT221" i="7" s="1"/>
  <c r="CR221" i="7"/>
  <c r="AA121" i="7"/>
  <c r="AB121" i="7" s="1"/>
  <c r="AB123" i="7" s="1"/>
  <c r="V123" i="7"/>
  <c r="AM49" i="7"/>
  <c r="AM54" i="7"/>
  <c r="AG233" i="7"/>
  <c r="AG239" i="7"/>
  <c r="AG236" i="7"/>
  <c r="AG274" i="7" s="1"/>
  <c r="AG230" i="7"/>
  <c r="AG250" i="7"/>
  <c r="AG251" i="7"/>
  <c r="AG258" i="5"/>
  <c r="AC55" i="5"/>
  <c r="AC85" i="4" s="1"/>
  <c r="AC250" i="5"/>
  <c r="AC254" i="5"/>
  <c r="J49" i="5"/>
  <c r="J54" i="5"/>
  <c r="K139" i="5"/>
  <c r="K131" i="5"/>
  <c r="K61" i="5" s="1"/>
  <c r="K133" i="5"/>
  <c r="AL240" i="5"/>
  <c r="AL257" i="5"/>
  <c r="AL243" i="5"/>
  <c r="AL280" i="5" s="1"/>
  <c r="H246" i="5"/>
  <c r="AL237" i="5"/>
  <c r="AL258" i="5"/>
  <c r="W126" i="5"/>
  <c r="W129" i="5" s="1"/>
  <c r="AG243" i="5"/>
  <c r="AG280" i="5" s="1"/>
  <c r="AG257" i="5"/>
  <c r="AG240" i="5"/>
  <c r="H258" i="5"/>
  <c r="H240" i="5"/>
  <c r="H243" i="5"/>
  <c r="H280" i="5" s="1"/>
  <c r="H257" i="5"/>
  <c r="AK49" i="5"/>
  <c r="AK55" i="5" s="1"/>
  <c r="AK85" i="4" s="1"/>
  <c r="AK54" i="5"/>
  <c r="AL246" i="5"/>
  <c r="W229" i="4"/>
  <c r="AT63" i="4"/>
  <c r="AT75" i="4" s="1"/>
  <c r="AJ254" i="4"/>
  <c r="AJ255" i="4" s="1"/>
  <c r="AJ63" i="4"/>
  <c r="AJ75" i="4" s="1"/>
  <c r="AO63" i="4"/>
  <c r="AO75" i="4" s="1"/>
  <c r="AO254" i="4"/>
  <c r="AO255" i="4" s="1"/>
  <c r="AA63" i="4"/>
  <c r="AA75" i="4" s="1"/>
  <c r="AA254" i="4"/>
  <c r="AA255" i="4" s="1"/>
  <c r="AD233" i="4"/>
  <c r="AD237" i="4"/>
  <c r="Y63" i="4"/>
  <c r="Y75" i="4" s="1"/>
  <c r="Y254" i="4"/>
  <c r="Y255" i="4" s="1"/>
  <c r="AB233" i="4"/>
  <c r="AB237" i="4"/>
  <c r="AE233" i="4"/>
  <c r="AE237" i="4"/>
  <c r="AE63" i="4"/>
  <c r="AE75" i="4" s="1"/>
  <c r="AE254" i="4"/>
  <c r="AE255" i="4" s="1"/>
  <c r="Q63" i="4"/>
  <c r="Q75" i="4" s="1"/>
  <c r="Q254" i="4"/>
  <c r="Q255" i="4" s="1"/>
  <c r="BL125" i="4"/>
  <c r="BL252" i="4"/>
  <c r="L63" i="4"/>
  <c r="L75" i="4" s="1"/>
  <c r="L254" i="4"/>
  <c r="L255" i="4" s="1"/>
  <c r="AL62" i="4"/>
  <c r="AL56" i="4"/>
  <c r="AN233" i="4" s="1"/>
  <c r="AL251" i="4"/>
  <c r="V63" i="4"/>
  <c r="V75" i="4" s="1"/>
  <c r="V254" i="4"/>
  <c r="V255" i="4" s="1"/>
  <c r="AZ72" i="4"/>
  <c r="BA71" i="4"/>
  <c r="BA40" i="3" s="1"/>
  <c r="CF127" i="10"/>
  <c r="CA130" i="10"/>
  <c r="CA141" i="10" s="1"/>
  <c r="CF77" i="10"/>
  <c r="CU69" i="10"/>
  <c r="CP75" i="10"/>
  <c r="BV42" i="10"/>
  <c r="BV10" i="10"/>
  <c r="BV12" i="10" s="1"/>
  <c r="CU84" i="10"/>
  <c r="CP94" i="10"/>
  <c r="DE156" i="10"/>
  <c r="BB153" i="8" s="1"/>
  <c r="CP50" i="10"/>
  <c r="CK66" i="10"/>
  <c r="CF29" i="10"/>
  <c r="CA32" i="10"/>
  <c r="CQ40" i="10"/>
  <c r="CY40" i="10"/>
  <c r="CR40" i="10"/>
  <c r="CR42" i="10" s="1"/>
  <c r="CV40" i="10"/>
  <c r="CS40" i="10"/>
  <c r="CT40" i="10"/>
  <c r="CT42" i="10" s="1"/>
  <c r="CP175" i="10"/>
  <c r="CU173" i="10"/>
  <c r="P12" i="10"/>
  <c r="CU178" i="10"/>
  <c r="CP180" i="10"/>
  <c r="CP165" i="10"/>
  <c r="CP167" i="10" s="1"/>
  <c r="CK36" i="10"/>
  <c r="CF40" i="10"/>
  <c r="CF139" i="10"/>
  <c r="CZ49" i="10"/>
  <c r="CS42" i="10"/>
  <c r="BA12" i="10"/>
  <c r="AC12" i="10"/>
  <c r="BB23" i="9"/>
  <c r="BB29" i="3" s="1"/>
  <c r="BL12" i="9"/>
  <c r="BI16" i="9"/>
  <c r="BI18" i="9" s="1"/>
  <c r="Q44" i="9"/>
  <c r="BF16" i="9"/>
  <c r="BF18" i="9" s="1"/>
  <c r="BK13" i="9"/>
  <c r="BP13" i="9" s="1"/>
  <c r="BF55" i="9"/>
  <c r="BG55" i="9" s="1"/>
  <c r="BG13" i="9"/>
  <c r="BG16" i="9" s="1"/>
  <c r="R123" i="6"/>
  <c r="R133" i="6"/>
  <c r="BA229" i="6"/>
  <c r="W230" i="6"/>
  <c r="W233" i="6"/>
  <c r="W270" i="6" s="1"/>
  <c r="W247" i="6"/>
  <c r="AD118" i="6"/>
  <c r="Y120" i="6"/>
  <c r="BI94" i="6"/>
  <c r="BD96" i="6"/>
  <c r="BD105" i="6" s="1"/>
  <c r="BD98" i="6"/>
  <c r="AY173" i="6"/>
  <c r="AY27" i="6" s="1"/>
  <c r="AY176" i="6"/>
  <c r="AY35" i="6" s="1"/>
  <c r="BH19" i="6"/>
  <c r="S250" i="6"/>
  <c r="S253" i="6"/>
  <c r="AX35" i="6"/>
  <c r="J125" i="6"/>
  <c r="J60" i="6" s="1"/>
  <c r="BH121" i="6"/>
  <c r="BM121" i="6" s="1"/>
  <c r="BQ121" i="6" s="1"/>
  <c r="BJ96" i="6"/>
  <c r="BJ105" i="6" s="1"/>
  <c r="BJ13" i="6" s="1"/>
  <c r="BJ98" i="6"/>
  <c r="AI119" i="6"/>
  <c r="AG119" i="6"/>
  <c r="BI106" i="6"/>
  <c r="AY85" i="6"/>
  <c r="AY87" i="6" s="1"/>
  <c r="BA203" i="6"/>
  <c r="BB203" i="6" s="1"/>
  <c r="BA259" i="6"/>
  <c r="AZ156" i="6"/>
  <c r="BA161" i="6"/>
  <c r="O125" i="6"/>
  <c r="O60" i="6" s="1"/>
  <c r="O127" i="6"/>
  <c r="AX27" i="6"/>
  <c r="P127" i="6"/>
  <c r="AX87" i="6"/>
  <c r="BF203" i="6"/>
  <c r="BF259" i="6"/>
  <c r="BE8" i="6"/>
  <c r="BE108" i="6"/>
  <c r="BE109" i="6" s="1"/>
  <c r="BK203" i="6"/>
  <c r="BK259" i="6"/>
  <c r="U123" i="6"/>
  <c r="U133" i="6"/>
  <c r="AY13" i="6"/>
  <c r="AY13" i="4" s="1"/>
  <c r="BF106" i="6"/>
  <c r="T123" i="6"/>
  <c r="T133" i="6"/>
  <c r="BD160" i="6"/>
  <c r="S216" i="6"/>
  <c r="S218" i="6" s="1"/>
  <c r="T216" i="6" s="1"/>
  <c r="O218" i="6"/>
  <c r="P216" i="6" s="1"/>
  <c r="P218" i="6" s="1"/>
  <c r="Q216" i="6" s="1"/>
  <c r="Q218" i="6" s="1"/>
  <c r="R216" i="6" s="1"/>
  <c r="R218" i="6" s="1"/>
  <c r="CZ216" i="6"/>
  <c r="CZ218" i="6" s="1"/>
  <c r="DA216" i="6" s="1"/>
  <c r="CX216" i="6"/>
  <c r="CX218" i="6" s="1"/>
  <c r="CY216" i="6" s="1"/>
  <c r="CY218" i="6" s="1"/>
  <c r="CV218" i="6"/>
  <c r="CW216" i="6"/>
  <c r="CW218" i="6" s="1"/>
  <c r="BH100" i="6"/>
  <c r="BC85" i="6"/>
  <c r="BJ100" i="6"/>
  <c r="BJ85" i="6" s="1"/>
  <c r="BJ87" i="6" s="1"/>
  <c r="BE203" i="6"/>
  <c r="BE259" i="6"/>
  <c r="W236" i="6"/>
  <c r="BJ203" i="6"/>
  <c r="BJ259" i="6"/>
  <c r="AE118" i="6"/>
  <c r="Z120" i="6"/>
  <c r="W133" i="6"/>
  <c r="S274" i="6"/>
  <c r="S74" i="6" s="1"/>
  <c r="S275" i="6"/>
  <c r="S75" i="6" s="1"/>
  <c r="T258" i="6"/>
  <c r="T263" i="6" s="1"/>
  <c r="X258" i="6"/>
  <c r="X263" i="6" s="1"/>
  <c r="BX28" i="2" s="1"/>
  <c r="S265" i="6"/>
  <c r="BC56" i="8"/>
  <c r="BE56" i="8"/>
  <c r="BE91" i="8" s="1"/>
  <c r="BF56" i="8"/>
  <c r="BD56" i="8"/>
  <c r="CR180" i="8"/>
  <c r="CR182" i="8" s="1"/>
  <c r="CS180" i="8"/>
  <c r="CS182" i="8" s="1"/>
  <c r="CT180" i="8" s="1"/>
  <c r="CT182" i="8" s="1"/>
  <c r="CU180" i="8"/>
  <c r="CQ182" i="8"/>
  <c r="M194" i="8"/>
  <c r="M197" i="8"/>
  <c r="M234" i="8" s="1"/>
  <c r="M211" i="8"/>
  <c r="BI89" i="8"/>
  <c r="BI87" i="8"/>
  <c r="BI96" i="8" s="1"/>
  <c r="BI9" i="8" s="1"/>
  <c r="BJ87" i="8"/>
  <c r="BJ96" i="8" s="1"/>
  <c r="BJ9" i="8" s="1"/>
  <c r="BJ89" i="8"/>
  <c r="AL194" i="8"/>
  <c r="AL197" i="8"/>
  <c r="AL234" i="8" s="1"/>
  <c r="AL211" i="8"/>
  <c r="BA193" i="8"/>
  <c r="BD91" i="8"/>
  <c r="AY76" i="8"/>
  <c r="AY78" i="8" s="1"/>
  <c r="AL212" i="8"/>
  <c r="BE124" i="8"/>
  <c r="BG65" i="8"/>
  <c r="BC237" i="8"/>
  <c r="BC65" i="8" s="1"/>
  <c r="BL237" i="8"/>
  <c r="BH9" i="8"/>
  <c r="BH13" i="4" s="1"/>
  <c r="BB93" i="8"/>
  <c r="AX91" i="8"/>
  <c r="AL200" i="8"/>
  <c r="X229" i="8"/>
  <c r="Y222" i="8"/>
  <c r="Y227" i="8" s="1"/>
  <c r="AC222" i="8"/>
  <c r="AC227" i="8" s="1"/>
  <c r="BK97" i="8"/>
  <c r="M191" i="8"/>
  <c r="AZ76" i="8"/>
  <c r="AZ78" i="8" s="1"/>
  <c r="BB167" i="8"/>
  <c r="AL191" i="8"/>
  <c r="BL56" i="8"/>
  <c r="BE13" i="7"/>
  <c r="BE13" i="4" s="1"/>
  <c r="AB236" i="7"/>
  <c r="AB274" i="7" s="1"/>
  <c r="AB250" i="7"/>
  <c r="AB233" i="7"/>
  <c r="AL233" i="7"/>
  <c r="AL236" i="7"/>
  <c r="AL274" i="7" s="1"/>
  <c r="AL250" i="7"/>
  <c r="AH278" i="7"/>
  <c r="AH78" i="7" s="1"/>
  <c r="AH43" i="2" s="1"/>
  <c r="AH279" i="7"/>
  <c r="AH79" i="7" s="1"/>
  <c r="BJ99" i="7"/>
  <c r="BJ108" i="7" s="1"/>
  <c r="BJ101" i="7"/>
  <c r="BC77" i="7"/>
  <c r="AY277" i="7"/>
  <c r="AY77" i="7" s="1"/>
  <c r="AJ121" i="7"/>
  <c r="AE123" i="7"/>
  <c r="AL251" i="7"/>
  <c r="AN261" i="7"/>
  <c r="AN266" i="7" s="1"/>
  <c r="AO261" i="7" s="1"/>
  <c r="AO266" i="7" s="1"/>
  <c r="AP261" i="7" s="1"/>
  <c r="AP266" i="7" s="1"/>
  <c r="AQ261" i="7" s="1"/>
  <c r="AQ266" i="7" s="1"/>
  <c r="AR261" i="7"/>
  <c r="AR266" i="7" s="1"/>
  <c r="CB26" i="2" s="1"/>
  <c r="AM268" i="7"/>
  <c r="AI124" i="7"/>
  <c r="AG124" i="7"/>
  <c r="BB232" i="7"/>
  <c r="X256" i="7"/>
  <c r="X253" i="7"/>
  <c r="AH253" i="7"/>
  <c r="AH256" i="7"/>
  <c r="V55" i="7"/>
  <c r="W247" i="7"/>
  <c r="U77" i="7"/>
  <c r="V277" i="7"/>
  <c r="T125" i="7"/>
  <c r="T129" i="7" s="1"/>
  <c r="T127" i="7"/>
  <c r="T61" i="7" s="1"/>
  <c r="T135" i="7"/>
  <c r="AA54" i="7"/>
  <c r="AA49" i="7"/>
  <c r="G135" i="7"/>
  <c r="G125" i="7"/>
  <c r="G129" i="7" s="1"/>
  <c r="BH23" i="7"/>
  <c r="AC56" i="7"/>
  <c r="AH56" i="7"/>
  <c r="M233" i="7"/>
  <c r="M236" i="7"/>
  <c r="M274" i="7" s="1"/>
  <c r="M250" i="7"/>
  <c r="BD77" i="7"/>
  <c r="AZ277" i="7"/>
  <c r="AZ77" i="7" s="1"/>
  <c r="BF206" i="7"/>
  <c r="BF262" i="7"/>
  <c r="BG262" i="7" s="1"/>
  <c r="AZ67" i="7"/>
  <c r="AZ105" i="7" s="1"/>
  <c r="AZ103" i="7" s="1"/>
  <c r="AX67" i="7"/>
  <c r="AX105" i="7" s="1"/>
  <c r="AY67" i="7"/>
  <c r="AY105" i="7" s="1"/>
  <c r="AY103" i="7" s="1"/>
  <c r="BA67" i="7"/>
  <c r="BA105" i="7" s="1"/>
  <c r="W127" i="7"/>
  <c r="W61" i="7" s="1"/>
  <c r="W125" i="7"/>
  <c r="W129" i="7" s="1"/>
  <c r="W135" i="7"/>
  <c r="AB251" i="7"/>
  <c r="AG44" i="7"/>
  <c r="AK44" i="7"/>
  <c r="AK32" i="9" s="1"/>
  <c r="AF47" i="7"/>
  <c r="M251" i="7"/>
  <c r="AI122" i="7"/>
  <c r="AG122" i="7"/>
  <c r="BF109" i="7"/>
  <c r="BE77" i="7"/>
  <c r="BA277" i="7"/>
  <c r="BA77" i="7" s="1"/>
  <c r="BG67" i="7"/>
  <c r="BG39" i="2" s="1"/>
  <c r="BF273" i="7"/>
  <c r="BJ273" i="7"/>
  <c r="BC273" i="7"/>
  <c r="BK273" i="7"/>
  <c r="BD273" i="7"/>
  <c r="BH273" i="7"/>
  <c r="BL273" i="7"/>
  <c r="BL67" i="7" s="1"/>
  <c r="BL39" i="2" s="1"/>
  <c r="BE273" i="7"/>
  <c r="BI273" i="7"/>
  <c r="AD121" i="7"/>
  <c r="Y123" i="7"/>
  <c r="AB239" i="7"/>
  <c r="S261" i="7"/>
  <c r="S266" i="7" s="1"/>
  <c r="BW26" i="2" s="1"/>
  <c r="O261" i="7"/>
  <c r="O266" i="7" s="1"/>
  <c r="N268" i="7"/>
  <c r="Z127" i="7"/>
  <c r="Z61" i="7" s="1"/>
  <c r="Z125" i="7"/>
  <c r="Z129" i="7" s="1"/>
  <c r="Z135" i="7"/>
  <c r="AL230" i="7"/>
  <c r="AG73" i="5"/>
  <c r="AG74" i="5"/>
  <c r="AO43" i="5"/>
  <c r="AO73" i="5"/>
  <c r="AO74" i="5"/>
  <c r="AO252" i="5"/>
  <c r="AO259" i="5" s="1"/>
  <c r="N268" i="5"/>
  <c r="I275" i="5"/>
  <c r="J268" i="5"/>
  <c r="I284" i="5"/>
  <c r="I77" i="5" s="1"/>
  <c r="I285" i="5"/>
  <c r="I78" i="5" s="1"/>
  <c r="V131" i="5"/>
  <c r="V61" i="5" s="1"/>
  <c r="V133" i="5"/>
  <c r="V139" i="5"/>
  <c r="X49" i="5"/>
  <c r="X54" i="5"/>
  <c r="AG127" i="5"/>
  <c r="AI127" i="5"/>
  <c r="AS283" i="5"/>
  <c r="AS76" i="5" s="1"/>
  <c r="AV283" i="5"/>
  <c r="AV76" i="5" s="1"/>
  <c r="AT283" i="5"/>
  <c r="AT76" i="5" s="1"/>
  <c r="BB283" i="5"/>
  <c r="BB32" i="2" s="1"/>
  <c r="AU283" i="5"/>
  <c r="AU76" i="5" s="1"/>
  <c r="BA183" i="5"/>
  <c r="BA28" i="5" s="1"/>
  <c r="BB165" i="5"/>
  <c r="BA186" i="5"/>
  <c r="BA36" i="5" s="1"/>
  <c r="U56" i="5"/>
  <c r="AG125" i="5"/>
  <c r="AI125" i="5"/>
  <c r="AR49" i="5"/>
  <c r="AR54" i="5"/>
  <c r="N263" i="5"/>
  <c r="N260" i="5"/>
  <c r="AD124" i="5"/>
  <c r="Y126" i="5"/>
  <c r="Y129" i="5" s="1"/>
  <c r="AZ36" i="5"/>
  <c r="AH49" i="5"/>
  <c r="AH54" i="5"/>
  <c r="Z124" i="5"/>
  <c r="U126" i="5"/>
  <c r="U129" i="5" s="1"/>
  <c r="AN49" i="5"/>
  <c r="AN54" i="5"/>
  <c r="AA56" i="5"/>
  <c r="AD252" i="5"/>
  <c r="AD259" i="5" s="1"/>
  <c r="AT43" i="5"/>
  <c r="AT73" i="5"/>
  <c r="AT74" i="5"/>
  <c r="AU56" i="5"/>
  <c r="E49" i="5"/>
  <c r="E54" i="5"/>
  <c r="AL73" i="5"/>
  <c r="AL74" i="5"/>
  <c r="AE49" i="5"/>
  <c r="AE54" i="5"/>
  <c r="S49" i="5"/>
  <c r="S54" i="5"/>
  <c r="P131" i="5"/>
  <c r="P61" i="5" s="1"/>
  <c r="P133" i="5"/>
  <c r="P139" i="5"/>
  <c r="O55" i="5"/>
  <c r="O85" i="4" s="1"/>
  <c r="AU252" i="5"/>
  <c r="AU259" i="5" s="1"/>
  <c r="AF124" i="5"/>
  <c r="AA126" i="5"/>
  <c r="AA129" i="5" s="1"/>
  <c r="AQ252" i="5"/>
  <c r="AQ259" i="5" s="1"/>
  <c r="AM49" i="5"/>
  <c r="AM54" i="5"/>
  <c r="AF49" i="5"/>
  <c r="AF55" i="5" s="1"/>
  <c r="AF85" i="4" s="1"/>
  <c r="AF54" i="5"/>
  <c r="BJ100" i="5"/>
  <c r="BJ98" i="5"/>
  <c r="BJ107" i="5" s="1"/>
  <c r="BJ13" i="5" s="1"/>
  <c r="BH23" i="5"/>
  <c r="CR226" i="5"/>
  <c r="CU226" i="5"/>
  <c r="CU228" i="5" s="1"/>
  <c r="CV226" i="5" s="1"/>
  <c r="CQ228" i="5"/>
  <c r="BK29" i="5"/>
  <c r="BP29" i="5" s="1"/>
  <c r="BG29" i="5"/>
  <c r="T131" i="5"/>
  <c r="T61" i="5" s="1"/>
  <c r="T133" i="5"/>
  <c r="T139" i="5"/>
  <c r="AK252" i="5"/>
  <c r="AK259" i="5" s="1"/>
  <c r="AL252" i="5"/>
  <c r="AL259" i="5" s="1"/>
  <c r="AJ252" i="5"/>
  <c r="AJ259" i="5" s="1"/>
  <c r="AS55" i="5"/>
  <c r="AS85" i="4" s="1"/>
  <c r="BD13" i="5"/>
  <c r="AP252" i="5"/>
  <c r="AP259" i="5" s="1"/>
  <c r="BI98" i="5"/>
  <c r="BI107" i="5" s="1"/>
  <c r="BI100" i="5"/>
  <c r="AB73" i="5"/>
  <c r="AB74" i="5"/>
  <c r="AI55" i="5"/>
  <c r="BK108" i="5"/>
  <c r="BP108" i="5" s="1"/>
  <c r="T49" i="5"/>
  <c r="T54" i="5"/>
  <c r="BC165" i="5"/>
  <c r="BD170" i="5"/>
  <c r="N226" i="5"/>
  <c r="N228" i="5" s="1"/>
  <c r="O226" i="5" s="1"/>
  <c r="J228" i="5"/>
  <c r="K226" i="5" s="1"/>
  <c r="K228" i="5" s="1"/>
  <c r="L226" i="5" s="1"/>
  <c r="L228" i="5" s="1"/>
  <c r="M226" i="5" s="1"/>
  <c r="M228" i="5" s="1"/>
  <c r="BA239" i="5"/>
  <c r="AG128" i="5"/>
  <c r="AI128" i="5"/>
  <c r="AT279" i="5"/>
  <c r="BB279" i="5"/>
  <c r="AU279" i="5"/>
  <c r="AS279" i="5"/>
  <c r="AV279" i="5"/>
  <c r="AZ28" i="5"/>
  <c r="AJ43" i="5"/>
  <c r="AJ73" i="5"/>
  <c r="AJ74" i="5"/>
  <c r="AX216" i="5"/>
  <c r="Y47" i="5"/>
  <c r="BF88" i="5"/>
  <c r="BB88" i="5"/>
  <c r="Z43" i="5"/>
  <c r="Z47" i="5" s="1"/>
  <c r="Z73" i="5"/>
  <c r="Z74" i="5"/>
  <c r="CR159" i="4"/>
  <c r="CR161" i="4" s="1"/>
  <c r="CQ161" i="4"/>
  <c r="CS159" i="4"/>
  <c r="CS161" i="4" s="1"/>
  <c r="CT159" i="4" s="1"/>
  <c r="CT161" i="4" s="1"/>
  <c r="CU159" i="4"/>
  <c r="CU161" i="4" s="1"/>
  <c r="CV159" i="4" s="1"/>
  <c r="AZ60" i="4"/>
  <c r="AZ74" i="4"/>
  <c r="AZ151" i="4" s="1"/>
  <c r="DR59" i="3" s="1"/>
  <c r="DR60" i="3" s="1"/>
  <c r="AL241" i="4"/>
  <c r="AL220" i="4"/>
  <c r="AL223" i="4"/>
  <c r="AL240" i="4"/>
  <c r="BC256" i="4"/>
  <c r="R241" i="4"/>
  <c r="R220" i="4"/>
  <c r="R223" i="4"/>
  <c r="R240" i="4"/>
  <c r="AB220" i="4"/>
  <c r="AB223" i="4"/>
  <c r="AB240" i="4"/>
  <c r="AB241" i="4"/>
  <c r="AY129" i="4"/>
  <c r="AY253" i="4"/>
  <c r="AM220" i="4"/>
  <c r="AM223" i="4"/>
  <c r="AM240" i="4"/>
  <c r="DE22" i="3" s="1"/>
  <c r="AM241" i="4"/>
  <c r="DE23" i="3" s="1"/>
  <c r="DV159" i="4"/>
  <c r="DY159" i="4"/>
  <c r="DY161" i="4" s="1"/>
  <c r="DZ159" i="4" s="1"/>
  <c r="ED159" i="4" s="1"/>
  <c r="ED161" i="4" s="1"/>
  <c r="DU161" i="4"/>
  <c r="BD178" i="4"/>
  <c r="BC183" i="4"/>
  <c r="AM226" i="4"/>
  <c r="AR220" i="4"/>
  <c r="AR223" i="4"/>
  <c r="AR240" i="4"/>
  <c r="DJ22" i="3" s="1"/>
  <c r="AR241" i="4"/>
  <c r="DJ23" i="3" s="1"/>
  <c r="BH256" i="4"/>
  <c r="AL229" i="4"/>
  <c r="AQ220" i="4"/>
  <c r="AQ223" i="4"/>
  <c r="AQ240" i="4"/>
  <c r="AQ241" i="4"/>
  <c r="H220" i="4"/>
  <c r="H223" i="4"/>
  <c r="H240" i="4"/>
  <c r="H241" i="4"/>
  <c r="S220" i="4"/>
  <c r="S223" i="4"/>
  <c r="S240" i="4"/>
  <c r="CK22" i="3" s="1"/>
  <c r="S241" i="4"/>
  <c r="CK23" i="3" s="1"/>
  <c r="BA58" i="4"/>
  <c r="BB58" i="4" s="1"/>
  <c r="BB45" i="3" s="1"/>
  <c r="X220" i="4"/>
  <c r="X223" i="4"/>
  <c r="X240" i="4"/>
  <c r="CP22" i="3" s="1"/>
  <c r="X241" i="4"/>
  <c r="CP23" i="3" s="1"/>
  <c r="W220" i="4"/>
  <c r="W223" i="4"/>
  <c r="W240" i="4"/>
  <c r="W241" i="4"/>
  <c r="R229" i="4"/>
  <c r="AB229" i="4"/>
  <c r="AX256" i="4"/>
  <c r="M220" i="4"/>
  <c r="M223" i="4"/>
  <c r="M240" i="4"/>
  <c r="M241" i="4"/>
  <c r="AR226" i="4"/>
  <c r="DR159" i="4"/>
  <c r="DR161" i="4" s="1"/>
  <c r="DS159" i="4" s="1"/>
  <c r="DS161" i="4" s="1"/>
  <c r="DQ161" i="4"/>
  <c r="AC58" i="3"/>
  <c r="AH65" i="3"/>
  <c r="AC64" i="3"/>
  <c r="BI19" i="6" l="1"/>
  <c r="BN140" i="6"/>
  <c r="BI22" i="6"/>
  <c r="BN146" i="6"/>
  <c r="BN22" i="6" s="1"/>
  <c r="BH22" i="6"/>
  <c r="BM146" i="6"/>
  <c r="BY27" i="2"/>
  <c r="BM20" i="7"/>
  <c r="BI23" i="7"/>
  <c r="BN149" i="7"/>
  <c r="AV32" i="4"/>
  <c r="AV29" i="3"/>
  <c r="AV74" i="5"/>
  <c r="AV73" i="5"/>
  <c r="BP36" i="4"/>
  <c r="BQ36" i="4" s="1"/>
  <c r="BQ29" i="5"/>
  <c r="M54" i="5"/>
  <c r="W32" i="4"/>
  <c r="AV27" i="9"/>
  <c r="AV31" i="9" s="1"/>
  <c r="AV35" i="9" s="1"/>
  <c r="AV23" i="9"/>
  <c r="W49" i="5"/>
  <c r="W55" i="5" s="1"/>
  <c r="AQ74" i="5"/>
  <c r="BI23" i="5"/>
  <c r="BN155" i="5"/>
  <c r="BM20" i="5"/>
  <c r="BK8" i="9"/>
  <c r="BL8" i="9" s="1"/>
  <c r="BL10" i="9" s="1"/>
  <c r="BF10" i="9"/>
  <c r="BF10" i="4"/>
  <c r="BP191" i="7"/>
  <c r="DR167" i="10"/>
  <c r="BN22" i="7"/>
  <c r="BJ14" i="8"/>
  <c r="BJ22" i="4" s="1"/>
  <c r="BO107" i="8"/>
  <c r="BO14" i="8" s="1"/>
  <c r="BO22" i="4" s="1"/>
  <c r="BH21" i="6"/>
  <c r="BM143" i="6"/>
  <c r="BO100" i="6"/>
  <c r="BO85" i="6" s="1"/>
  <c r="BO87" i="6" s="1"/>
  <c r="BO108" i="6" s="1"/>
  <c r="M27" i="9"/>
  <c r="M31" i="9" s="1"/>
  <c r="M35" i="9" s="1"/>
  <c r="DS167" i="10"/>
  <c r="R27" i="9"/>
  <c r="R31" i="9" s="1"/>
  <c r="R35" i="9" s="1"/>
  <c r="R42" i="9" s="1"/>
  <c r="BL35" i="4"/>
  <c r="BH85" i="6"/>
  <c r="BM100" i="6"/>
  <c r="BM85" i="6" s="1"/>
  <c r="BP55" i="9"/>
  <c r="BQ55" i="9" s="1"/>
  <c r="BP16" i="9"/>
  <c r="BQ13" i="9"/>
  <c r="DQ77" i="10"/>
  <c r="BN9" i="9"/>
  <c r="BN10" i="9" s="1"/>
  <c r="BI15" i="4"/>
  <c r="BL15" i="4" s="1"/>
  <c r="BQ20" i="9"/>
  <c r="BM35" i="4"/>
  <c r="BO13" i="4"/>
  <c r="BI100" i="6"/>
  <c r="BN94" i="6"/>
  <c r="BM13" i="7"/>
  <c r="BN13" i="5"/>
  <c r="BP170" i="8"/>
  <c r="BO170" i="8"/>
  <c r="BQ200" i="7"/>
  <c r="BJ10" i="4"/>
  <c r="BO8" i="9"/>
  <c r="BN10" i="4"/>
  <c r="BH18" i="9"/>
  <c r="BH22" i="9" s="1"/>
  <c r="BM8" i="9"/>
  <c r="BH188" i="4"/>
  <c r="BM191" i="7"/>
  <c r="DP141" i="10"/>
  <c r="BP198" i="5"/>
  <c r="DQ101" i="10"/>
  <c r="DQ103" i="10" s="1"/>
  <c r="DQ105" i="10" s="1"/>
  <c r="DP101" i="10"/>
  <c r="DP103" i="10" s="1"/>
  <c r="BM188" i="6" s="1"/>
  <c r="DK105" i="10"/>
  <c r="DS101" i="10"/>
  <c r="DS103" i="10" s="1"/>
  <c r="BP188" i="6" s="1"/>
  <c r="BH182" i="6"/>
  <c r="BH208" i="6" s="1"/>
  <c r="BF105" i="10"/>
  <c r="BI182" i="6"/>
  <c r="BI208" i="6" s="1"/>
  <c r="BI213" i="6" s="1"/>
  <c r="BG105" i="10"/>
  <c r="BJ188" i="6"/>
  <c r="DM105" i="10"/>
  <c r="DN105" i="10"/>
  <c r="BK188" i="6"/>
  <c r="BO188" i="6"/>
  <c r="DR105" i="10"/>
  <c r="BJ182" i="6"/>
  <c r="BJ208" i="6" s="1"/>
  <c r="BJ213" i="6" s="1"/>
  <c r="BH105" i="10"/>
  <c r="BK182" i="6"/>
  <c r="BK208" i="6" s="1"/>
  <c r="BK213" i="6" s="1"/>
  <c r="BI105" i="10"/>
  <c r="DL105" i="10"/>
  <c r="BI188" i="6"/>
  <c r="DT38" i="10"/>
  <c r="DR38" i="10" s="1"/>
  <c r="DR40" i="10" s="1"/>
  <c r="DN38" i="10"/>
  <c r="DL38" i="10"/>
  <c r="DM38" i="10"/>
  <c r="DK38" i="10"/>
  <c r="BP110" i="4"/>
  <c r="BI38" i="10"/>
  <c r="BI40" i="10" s="1"/>
  <c r="BG38" i="10"/>
  <c r="BG40" i="10" s="1"/>
  <c r="BH38" i="10"/>
  <c r="BH40" i="10" s="1"/>
  <c r="BF38" i="10"/>
  <c r="BF40" i="10" s="1"/>
  <c r="BJ40" i="10"/>
  <c r="BB128" i="4"/>
  <c r="V44" i="9"/>
  <c r="H60" i="3"/>
  <c r="P44" i="9"/>
  <c r="AQ242" i="6"/>
  <c r="AQ249" i="6" s="1"/>
  <c r="L53" i="6"/>
  <c r="L48" i="6"/>
  <c r="L54" i="6" s="1"/>
  <c r="L88" i="4" s="1"/>
  <c r="AM70" i="6"/>
  <c r="M42" i="6"/>
  <c r="M46" i="6" s="1"/>
  <c r="M48" i="6" s="1"/>
  <c r="AK88" i="4"/>
  <c r="AK55" i="6"/>
  <c r="AZ122" i="6"/>
  <c r="AW122" i="6"/>
  <c r="AW123" i="6" s="1"/>
  <c r="AW125" i="6" s="1"/>
  <c r="AW60" i="6" s="1"/>
  <c r="BK86" i="6"/>
  <c r="BL86" i="6" s="1"/>
  <c r="BG86" i="6"/>
  <c r="BG121" i="6"/>
  <c r="AE241" i="6"/>
  <c r="AE254" i="6" s="1"/>
  <c r="AB32" i="6"/>
  <c r="AF242" i="6" s="1"/>
  <c r="AF249" i="6" s="1"/>
  <c r="O88" i="4"/>
  <c r="O55" i="6"/>
  <c r="T55" i="6"/>
  <c r="U48" i="6"/>
  <c r="V240" i="6" s="1"/>
  <c r="U53" i="6"/>
  <c r="BL121" i="6"/>
  <c r="AB241" i="6"/>
  <c r="AB254" i="6" s="1"/>
  <c r="AD241" i="6"/>
  <c r="AD254" i="6" s="1"/>
  <c r="K48" i="6"/>
  <c r="K54" i="6" s="1"/>
  <c r="K53" i="6"/>
  <c r="AV240" i="6"/>
  <c r="AV244" i="6"/>
  <c r="U42" i="9"/>
  <c r="U37" i="9"/>
  <c r="U43" i="9" s="1"/>
  <c r="J208" i="8"/>
  <c r="AI208" i="8"/>
  <c r="AF204" i="8"/>
  <c r="Q87" i="4"/>
  <c r="Q48" i="8"/>
  <c r="AT208" i="8"/>
  <c r="AT204" i="8"/>
  <c r="AS204" i="8"/>
  <c r="AU208" i="8"/>
  <c r="AD208" i="8"/>
  <c r="AF208" i="8"/>
  <c r="AS208" i="8"/>
  <c r="AU204" i="8"/>
  <c r="AV204" i="8"/>
  <c r="Y37" i="9"/>
  <c r="Y42" i="9"/>
  <c r="Y54" i="7"/>
  <c r="Y49" i="7"/>
  <c r="AE47" i="7"/>
  <c r="AG43" i="7"/>
  <c r="AR247" i="7"/>
  <c r="AR278" i="7" s="1"/>
  <c r="AR78" i="7" s="1"/>
  <c r="AR43" i="2" s="1"/>
  <c r="AR243" i="7"/>
  <c r="AR55" i="7"/>
  <c r="W243" i="7"/>
  <c r="W256" i="7" s="1"/>
  <c r="AN126" i="4"/>
  <c r="AN130" i="4" s="1"/>
  <c r="O243" i="7"/>
  <c r="O256" i="7" s="1"/>
  <c r="W54" i="7"/>
  <c r="Z47" i="7"/>
  <c r="AB43" i="7"/>
  <c r="AB47" i="7" s="1"/>
  <c r="I253" i="7"/>
  <c r="I256" i="7"/>
  <c r="AU47" i="7"/>
  <c r="AV43" i="7"/>
  <c r="AV47" i="7" s="1"/>
  <c r="AK35" i="9"/>
  <c r="AK42" i="9" s="1"/>
  <c r="Q56" i="7"/>
  <c r="I86" i="4"/>
  <c r="I11" i="3" s="1"/>
  <c r="N56" i="7"/>
  <c r="I279" i="7"/>
  <c r="I79" i="7" s="1"/>
  <c r="I278" i="7"/>
  <c r="I78" i="7" s="1"/>
  <c r="AS55" i="7"/>
  <c r="P247" i="7"/>
  <c r="BB183" i="5"/>
  <c r="BB184" i="5" s="1"/>
  <c r="AF252" i="5"/>
  <c r="AF259" i="5" s="1"/>
  <c r="M55" i="5"/>
  <c r="M85" i="4" s="1"/>
  <c r="O254" i="5"/>
  <c r="P254" i="5"/>
  <c r="O250" i="5"/>
  <c r="P250" i="5"/>
  <c r="P260" i="5" s="1"/>
  <c r="AP56" i="5"/>
  <c r="BB186" i="5"/>
  <c r="BB187" i="5" s="1"/>
  <c r="AT47" i="5"/>
  <c r="AV43" i="5"/>
  <c r="AV47" i="5" s="1"/>
  <c r="BD30" i="4"/>
  <c r="AK33" i="3"/>
  <c r="K254" i="4"/>
  <c r="K255" i="4" s="1"/>
  <c r="K63" i="4"/>
  <c r="K75" i="4" s="1"/>
  <c r="J159" i="4"/>
  <c r="J161" i="4" s="1"/>
  <c r="K159" i="4" s="1"/>
  <c r="K161" i="4" s="1"/>
  <c r="L159" i="4" s="1"/>
  <c r="L161" i="4" s="1"/>
  <c r="M159" i="4" s="1"/>
  <c r="M161" i="4" s="1"/>
  <c r="L44" i="9"/>
  <c r="AE33" i="3"/>
  <c r="X130" i="4"/>
  <c r="AR75" i="4"/>
  <c r="AB32" i="4"/>
  <c r="W56" i="4"/>
  <c r="W251" i="4"/>
  <c r="W62" i="4"/>
  <c r="AT89" i="4"/>
  <c r="AF237" i="4"/>
  <c r="AQ87" i="4"/>
  <c r="AV48" i="8"/>
  <c r="AR130" i="4"/>
  <c r="AU130" i="4"/>
  <c r="P63" i="4"/>
  <c r="P75" i="4" s="1"/>
  <c r="P254" i="4"/>
  <c r="P255" i="4" s="1"/>
  <c r="AU89" i="4"/>
  <c r="AS89" i="4"/>
  <c r="AS44" i="9"/>
  <c r="AV246" i="4"/>
  <c r="AV243" i="4"/>
  <c r="Y33" i="3"/>
  <c r="BG177" i="8"/>
  <c r="BG18" i="9"/>
  <c r="BG22" i="9" s="1"/>
  <c r="BG23" i="9" s="1"/>
  <c r="BG29" i="3" s="1"/>
  <c r="CK103" i="10"/>
  <c r="CK105" i="10" s="1"/>
  <c r="CP98" i="10"/>
  <c r="BC188" i="4"/>
  <c r="BB177" i="8"/>
  <c r="AV96" i="4"/>
  <c r="AV259" i="6"/>
  <c r="CX40" i="10"/>
  <c r="W85" i="4"/>
  <c r="AJ48" i="6"/>
  <c r="AJ54" i="6" s="1"/>
  <c r="AJ53" i="6"/>
  <c r="AI43" i="9"/>
  <c r="AN44" i="9" s="1"/>
  <c r="AI126" i="4"/>
  <c r="AI130" i="4" s="1"/>
  <c r="E55" i="7"/>
  <c r="H247" i="7"/>
  <c r="H243" i="7"/>
  <c r="AH75" i="4"/>
  <c r="AH64" i="4"/>
  <c r="Z37" i="9"/>
  <c r="Z42" i="9"/>
  <c r="BF77" i="8"/>
  <c r="BB77" i="8"/>
  <c r="Z30" i="3"/>
  <c r="Z56" i="3" s="1"/>
  <c r="O63" i="4"/>
  <c r="O75" i="4" s="1"/>
  <c r="O254" i="4"/>
  <c r="O255" i="4" s="1"/>
  <c r="BG148" i="4"/>
  <c r="DY65" i="3" s="1"/>
  <c r="Q127" i="6"/>
  <c r="Q125" i="6"/>
  <c r="Q60" i="6" s="1"/>
  <c r="AA48" i="6"/>
  <c r="AA54" i="6" s="1"/>
  <c r="AA53" i="6"/>
  <c r="AH42" i="9"/>
  <c r="AH37" i="9"/>
  <c r="BZ35" i="2" s="1"/>
  <c r="AQ42" i="10"/>
  <c r="CW40" i="10"/>
  <c r="BB71" i="4"/>
  <c r="H204" i="8"/>
  <c r="AI204" i="8"/>
  <c r="AD48" i="8"/>
  <c r="AD87" i="4"/>
  <c r="AI53" i="6"/>
  <c r="AI48" i="6"/>
  <c r="AI54" i="6" s="1"/>
  <c r="AN55" i="6" s="1"/>
  <c r="Q47" i="5"/>
  <c r="R43" i="5"/>
  <c r="R47" i="5" s="1"/>
  <c r="AF33" i="3"/>
  <c r="P256" i="7"/>
  <c r="P253" i="7"/>
  <c r="AX20" i="4"/>
  <c r="BD188" i="4"/>
  <c r="AR89" i="4"/>
  <c r="AR14" i="3" s="1"/>
  <c r="G49" i="5"/>
  <c r="G55" i="5" s="1"/>
  <c r="G85" i="4" s="1"/>
  <c r="G54" i="5"/>
  <c r="AC243" i="4"/>
  <c r="CU25" i="3" s="1"/>
  <c r="AC246" i="4"/>
  <c r="CU28" i="3" s="1"/>
  <c r="N44" i="9"/>
  <c r="AM43" i="9"/>
  <c r="AM126" i="4"/>
  <c r="AM130" i="4" s="1"/>
  <c r="F8" i="20"/>
  <c r="S75" i="4"/>
  <c r="S64" i="4"/>
  <c r="AP33" i="3"/>
  <c r="AX29" i="3"/>
  <c r="BB30" i="4"/>
  <c r="F47" i="5"/>
  <c r="H43" i="5"/>
  <c r="H47" i="5" s="1"/>
  <c r="O89" i="4"/>
  <c r="O44" i="9"/>
  <c r="H86" i="4"/>
  <c r="BG67" i="9"/>
  <c r="BG128" i="4"/>
  <c r="BA188" i="4"/>
  <c r="BB188" i="4" s="1"/>
  <c r="X89" i="4"/>
  <c r="X14" i="3" s="1"/>
  <c r="J44" i="9"/>
  <c r="O253" i="7"/>
  <c r="AE43" i="9"/>
  <c r="AE126" i="4"/>
  <c r="AE130" i="4" s="1"/>
  <c r="M55" i="7"/>
  <c r="M86" i="4" s="1"/>
  <c r="Q243" i="7"/>
  <c r="Q247" i="7"/>
  <c r="AG22" i="9"/>
  <c r="AG30" i="4"/>
  <c r="AB35" i="9"/>
  <c r="AO42" i="9"/>
  <c r="AO37" i="9"/>
  <c r="BC22" i="9"/>
  <c r="BC30" i="4"/>
  <c r="M251" i="4"/>
  <c r="M56" i="4"/>
  <c r="Q237" i="4" s="1"/>
  <c r="M62" i="4"/>
  <c r="AF118" i="6"/>
  <c r="AG118" i="6" s="1"/>
  <c r="AG120" i="6" s="1"/>
  <c r="AA120" i="6"/>
  <c r="AD88" i="4"/>
  <c r="AD55" i="6"/>
  <c r="AU42" i="10"/>
  <c r="AH30" i="3"/>
  <c r="AH33" i="3" s="1"/>
  <c r="DP65" i="3"/>
  <c r="BB148" i="4"/>
  <c r="DT65" i="3" s="1"/>
  <c r="AX154" i="4"/>
  <c r="BB142" i="4"/>
  <c r="AZ125" i="4"/>
  <c r="AZ252" i="4"/>
  <c r="DR63" i="3"/>
  <c r="BB152" i="4"/>
  <c r="AZ205" i="4"/>
  <c r="BA205" i="4" s="1"/>
  <c r="BB205" i="4" s="1"/>
  <c r="BC205" i="4" s="1"/>
  <c r="BD205" i="4" s="1"/>
  <c r="BE205" i="4" s="1"/>
  <c r="BF205" i="4" s="1"/>
  <c r="BG205" i="4" s="1"/>
  <c r="BH205" i="4" s="1"/>
  <c r="BI205" i="4" s="1"/>
  <c r="BJ205" i="4" s="1"/>
  <c r="BK205" i="4" s="1"/>
  <c r="BL205" i="4" s="1"/>
  <c r="BM205" i="4" s="1"/>
  <c r="BN205" i="4" s="1"/>
  <c r="BO205" i="4" s="1"/>
  <c r="BP205" i="4" s="1"/>
  <c r="BQ205" i="4" s="1"/>
  <c r="BI23" i="4"/>
  <c r="AQ43" i="7"/>
  <c r="AQ47" i="7" s="1"/>
  <c r="DY50" i="3"/>
  <c r="DY47" i="3" s="1"/>
  <c r="AG47" i="7"/>
  <c r="AG54" i="7" s="1"/>
  <c r="AG32" i="9"/>
  <c r="AM251" i="4"/>
  <c r="AM62" i="4"/>
  <c r="AM56" i="4"/>
  <c r="AJ42" i="9"/>
  <c r="AJ37" i="9"/>
  <c r="BJ18" i="9"/>
  <c r="Y88" i="4"/>
  <c r="Y55" i="6"/>
  <c r="AR243" i="4"/>
  <c r="DJ25" i="3" s="1"/>
  <c r="AR246" i="4"/>
  <c r="DJ28" i="3" s="1"/>
  <c r="AD30" i="3"/>
  <c r="AD56" i="3" s="1"/>
  <c r="R73" i="5"/>
  <c r="R74" i="5"/>
  <c r="BH30" i="4"/>
  <c r="AM30" i="3"/>
  <c r="AM33" i="3" s="1"/>
  <c r="AI85" i="4"/>
  <c r="BL29" i="5"/>
  <c r="BK36" i="4"/>
  <c r="BH23" i="4"/>
  <c r="V56" i="7"/>
  <c r="V86" i="4"/>
  <c r="BI22" i="9"/>
  <c r="BI23" i="9" s="1"/>
  <c r="BI30" i="4"/>
  <c r="H208" i="8"/>
  <c r="AT48" i="8"/>
  <c r="Y48" i="8"/>
  <c r="T87" i="4"/>
  <c r="AB42" i="6"/>
  <c r="AB46" i="6" s="1"/>
  <c r="AB48" i="6" s="1"/>
  <c r="AP48" i="6"/>
  <c r="AP53" i="6"/>
  <c r="AD43" i="5"/>
  <c r="AD73" i="5"/>
  <c r="AD74" i="5"/>
  <c r="BE23" i="9"/>
  <c r="G63" i="4"/>
  <c r="G75" i="4" s="1"/>
  <c r="G254" i="4"/>
  <c r="G255" i="4" s="1"/>
  <c r="AO53" i="6"/>
  <c r="AO48" i="6"/>
  <c r="AG241" i="6"/>
  <c r="AG254" i="6" s="1"/>
  <c r="AG32" i="6"/>
  <c r="AG38" i="6"/>
  <c r="AI241" i="6"/>
  <c r="AI254" i="6" s="1"/>
  <c r="AK241" i="6"/>
  <c r="AK254" i="6" s="1"/>
  <c r="AJ241" i="6"/>
  <c r="AJ254" i="6" s="1"/>
  <c r="CA41" i="3"/>
  <c r="CA53" i="3" s="1"/>
  <c r="CA56" i="3" s="1"/>
  <c r="CA60" i="3" s="1"/>
  <c r="CA68" i="3" s="1"/>
  <c r="AD37" i="9"/>
  <c r="AD42" i="9"/>
  <c r="AX23" i="9"/>
  <c r="T244" i="6"/>
  <c r="T274" i="6" s="1"/>
  <c r="T74" i="6" s="1"/>
  <c r="T240" i="6"/>
  <c r="P54" i="6"/>
  <c r="R240" i="6"/>
  <c r="R244" i="6"/>
  <c r="R274" i="6" s="1"/>
  <c r="R74" i="6" s="1"/>
  <c r="BJ10" i="9"/>
  <c r="S30" i="3"/>
  <c r="M60" i="3" s="1"/>
  <c r="AL30" i="3"/>
  <c r="AL56" i="3" s="1"/>
  <c r="BE188" i="4"/>
  <c r="AC44" i="9"/>
  <c r="AC89" i="4"/>
  <c r="AC14" i="3" s="1"/>
  <c r="AP49" i="7"/>
  <c r="AP54" i="7"/>
  <c r="V123" i="6"/>
  <c r="V133" i="6"/>
  <c r="K89" i="4"/>
  <c r="K44" i="9"/>
  <c r="BI10" i="9"/>
  <c r="BI10" i="4"/>
  <c r="BD23" i="4"/>
  <c r="T252" i="5"/>
  <c r="T259" i="5" s="1"/>
  <c r="V252" i="5"/>
  <c r="V259" i="5" s="1"/>
  <c r="U252" i="5"/>
  <c r="U259" i="5" s="1"/>
  <c r="J87" i="4"/>
  <c r="J48" i="8"/>
  <c r="AO49" i="7"/>
  <c r="AO54" i="7"/>
  <c r="AF43" i="9"/>
  <c r="AF126" i="4"/>
  <c r="AF130" i="4" s="1"/>
  <c r="ED50" i="3"/>
  <c r="ED47" i="3" s="1"/>
  <c r="F19" i="20"/>
  <c r="K7" i="20" s="1"/>
  <c r="U48" i="8"/>
  <c r="P87" i="4"/>
  <c r="W42" i="9"/>
  <c r="W37" i="9"/>
  <c r="W43" i="9" s="1"/>
  <c r="F30" i="20"/>
  <c r="AC75" i="4"/>
  <c r="AX188" i="4"/>
  <c r="DQ65" i="3"/>
  <c r="N10" i="3"/>
  <c r="S246" i="4"/>
  <c r="CK28" i="3" s="1"/>
  <c r="S243" i="4"/>
  <c r="CK25" i="3" s="1"/>
  <c r="H23" i="9"/>
  <c r="H27" i="9"/>
  <c r="H31" i="9" s="1"/>
  <c r="H35" i="9" s="1"/>
  <c r="AO30" i="3"/>
  <c r="AO56" i="3" s="1"/>
  <c r="AG56" i="4"/>
  <c r="AG251" i="4"/>
  <c r="AG62" i="4"/>
  <c r="AQ56" i="4"/>
  <c r="AQ62" i="4"/>
  <c r="AQ251" i="4"/>
  <c r="BG10" i="4"/>
  <c r="AJ30" i="3"/>
  <c r="AJ56" i="3" s="1"/>
  <c r="AY154" i="4"/>
  <c r="AZ40" i="9"/>
  <c r="AZ51" i="6"/>
  <c r="AZ44" i="8"/>
  <c r="AZ52" i="5"/>
  <c r="AZ52" i="7"/>
  <c r="BF22" i="9"/>
  <c r="BF23" i="9" s="1"/>
  <c r="BF30" i="4"/>
  <c r="AC10" i="3"/>
  <c r="L48" i="8"/>
  <c r="G87" i="4"/>
  <c r="I12" i="3"/>
  <c r="AK204" i="8"/>
  <c r="K204" i="8"/>
  <c r="AS48" i="8"/>
  <c r="AN87" i="4"/>
  <c r="AA43" i="9"/>
  <c r="AA126" i="4"/>
  <c r="AA130" i="4" s="1"/>
  <c r="AT30" i="3"/>
  <c r="AT56" i="3" s="1"/>
  <c r="L56" i="7"/>
  <c r="L86" i="4"/>
  <c r="T33" i="3"/>
  <c r="AH246" i="4"/>
  <c r="CZ28" i="3" s="1"/>
  <c r="AH243" i="4"/>
  <c r="CZ25" i="3" s="1"/>
  <c r="AQ30" i="3"/>
  <c r="AQ56" i="3" s="1"/>
  <c r="BC12" i="8"/>
  <c r="BH104" i="8"/>
  <c r="BM104" i="8" s="1"/>
  <c r="DS65" i="3"/>
  <c r="AZ188" i="4"/>
  <c r="AG252" i="5"/>
  <c r="AG259" i="5" s="1"/>
  <c r="I57" i="9"/>
  <c r="I69" i="9"/>
  <c r="U33" i="3"/>
  <c r="AQ37" i="9"/>
  <c r="AQ42" i="9"/>
  <c r="AN89" i="4"/>
  <c r="BD12" i="8"/>
  <c r="BD20" i="4" s="1"/>
  <c r="BI104" i="8"/>
  <c r="Z48" i="6"/>
  <c r="Z54" i="6" s="1"/>
  <c r="Z88" i="4" s="1"/>
  <c r="Z53" i="6"/>
  <c r="T86" i="4"/>
  <c r="T56" i="7"/>
  <c r="L85" i="4"/>
  <c r="K86" i="4"/>
  <c r="P56" i="7"/>
  <c r="V87" i="4"/>
  <c r="V48" i="8"/>
  <c r="BF188" i="4"/>
  <c r="BG188" i="4" s="1"/>
  <c r="BL148" i="4"/>
  <c r="ED65" i="3" s="1"/>
  <c r="S43" i="9"/>
  <c r="S126" i="4"/>
  <c r="S130" i="4" s="1"/>
  <c r="AF63" i="4"/>
  <c r="AF75" i="4" s="1"/>
  <c r="AF254" i="4"/>
  <c r="AF255" i="4" s="1"/>
  <c r="AP43" i="9"/>
  <c r="AU44" i="9" s="1"/>
  <c r="AP126" i="4"/>
  <c r="AP130" i="4" s="1"/>
  <c r="R43" i="7"/>
  <c r="R47" i="7" s="1"/>
  <c r="S47" i="7"/>
  <c r="R251" i="4"/>
  <c r="R56" i="4"/>
  <c r="R233" i="4" s="1"/>
  <c r="R62" i="4"/>
  <c r="BH10" i="4"/>
  <c r="BH10" i="9"/>
  <c r="AT42" i="10"/>
  <c r="H251" i="4"/>
  <c r="H62" i="4"/>
  <c r="H56" i="4"/>
  <c r="J55" i="7"/>
  <c r="M247" i="7"/>
  <c r="M278" i="7" s="1"/>
  <c r="M78" i="7" s="1"/>
  <c r="L243" i="7"/>
  <c r="J247" i="7"/>
  <c r="M243" i="7"/>
  <c r="L247" i="7"/>
  <c r="K247" i="7"/>
  <c r="J243" i="7"/>
  <c r="K243" i="7"/>
  <c r="X30" i="3"/>
  <c r="X33" i="3" s="1"/>
  <c r="AB30" i="3"/>
  <c r="AB56" i="3" s="1"/>
  <c r="W33" i="3"/>
  <c r="AR30" i="3"/>
  <c r="AR33" i="3" s="1"/>
  <c r="AY188" i="4"/>
  <c r="DR65" i="3"/>
  <c r="X46" i="6"/>
  <c r="W42" i="6"/>
  <c r="W46" i="6" s="1"/>
  <c r="AB71" i="6"/>
  <c r="AB70" i="6"/>
  <c r="H53" i="6"/>
  <c r="H48" i="6"/>
  <c r="AM46" i="6"/>
  <c r="AL42" i="6"/>
  <c r="AL46" i="6" s="1"/>
  <c r="AH46" i="6"/>
  <c r="AG42" i="6"/>
  <c r="AG46" i="6" s="1"/>
  <c r="K127" i="6"/>
  <c r="K125" i="6"/>
  <c r="K60" i="6" s="1"/>
  <c r="I48" i="6"/>
  <c r="I53" i="6"/>
  <c r="AC48" i="6"/>
  <c r="AC53" i="6"/>
  <c r="AQ42" i="6"/>
  <c r="AQ46" i="6" s="1"/>
  <c r="AR46" i="6"/>
  <c r="AS55" i="6"/>
  <c r="AB242" i="6"/>
  <c r="AB249" i="6" s="1"/>
  <c r="M53" i="6"/>
  <c r="V55" i="6"/>
  <c r="AA55" i="6"/>
  <c r="N53" i="6"/>
  <c r="N48" i="6"/>
  <c r="Q204" i="8"/>
  <c r="Q217" i="8" s="1"/>
  <c r="AK208" i="8"/>
  <c r="AJ204" i="8"/>
  <c r="AJ217" i="8" s="1"/>
  <c r="AD204" i="8"/>
  <c r="P208" i="8"/>
  <c r="P239" i="8" s="1"/>
  <c r="AG204" i="8"/>
  <c r="AR47" i="8"/>
  <c r="AR204" i="8"/>
  <c r="AR208" i="8"/>
  <c r="P204" i="8"/>
  <c r="AE208" i="8"/>
  <c r="AC217" i="8"/>
  <c r="AC214" i="8"/>
  <c r="X243" i="4"/>
  <c r="CP25" i="3" s="1"/>
  <c r="X246" i="4"/>
  <c r="CP28" i="3" s="1"/>
  <c r="I243" i="4"/>
  <c r="CA25" i="3" s="1"/>
  <c r="I246" i="4"/>
  <c r="CA28" i="3" s="1"/>
  <c r="X64" i="4"/>
  <c r="X75" i="4"/>
  <c r="AC64" i="4"/>
  <c r="N64" i="4"/>
  <c r="I75" i="4"/>
  <c r="G127" i="6"/>
  <c r="L125" i="6"/>
  <c r="L60" i="6" s="1"/>
  <c r="AN214" i="8"/>
  <c r="AN217" i="8"/>
  <c r="AH204" i="8"/>
  <c r="AH208" i="8"/>
  <c r="AH47" i="8"/>
  <c r="J204" i="8"/>
  <c r="U204" i="8"/>
  <c r="V208" i="8"/>
  <c r="R47" i="8"/>
  <c r="T208" i="8"/>
  <c r="T204" i="8"/>
  <c r="U208" i="8"/>
  <c r="V204" i="8"/>
  <c r="X47" i="8"/>
  <c r="X87" i="4" s="1"/>
  <c r="X12" i="3" s="1"/>
  <c r="X204" i="8"/>
  <c r="X208" i="8"/>
  <c r="BH107" i="8"/>
  <c r="BM107" i="8" s="1"/>
  <c r="BC14" i="8"/>
  <c r="BC22" i="4" s="1"/>
  <c r="AP47" i="8"/>
  <c r="AP87" i="4" s="1"/>
  <c r="AQ208" i="8"/>
  <c r="AQ204" i="8"/>
  <c r="AP208" i="8"/>
  <c r="AP204" i="8"/>
  <c r="R208" i="8"/>
  <c r="O208" i="8"/>
  <c r="T48" i="8"/>
  <c r="O48" i="8"/>
  <c r="AI214" i="8"/>
  <c r="AI217" i="8"/>
  <c r="L208" i="8"/>
  <c r="M204" i="8"/>
  <c r="AA47" i="8"/>
  <c r="AA87" i="4" s="1"/>
  <c r="AA204" i="8"/>
  <c r="AB208" i="8"/>
  <c r="AB204" i="8"/>
  <c r="AA208" i="8"/>
  <c r="AG48" i="8"/>
  <c r="AE204" i="8"/>
  <c r="AG208" i="8"/>
  <c r="AJ48" i="8"/>
  <c r="AO48" i="8"/>
  <c r="AL47" i="8"/>
  <c r="AO204" i="8"/>
  <c r="AO208" i="8"/>
  <c r="I239" i="8"/>
  <c r="I67" i="8" s="1"/>
  <c r="I238" i="8"/>
  <c r="I66" i="8" s="1"/>
  <c r="R217" i="8"/>
  <c r="R214" i="8"/>
  <c r="AL204" i="8"/>
  <c r="AK217" i="8"/>
  <c r="AK214" i="8"/>
  <c r="AN48" i="8"/>
  <c r="AI48" i="8"/>
  <c r="K214" i="8"/>
  <c r="K217" i="8"/>
  <c r="K48" i="8"/>
  <c r="P48" i="8"/>
  <c r="AM47" i="8"/>
  <c r="AM87" i="4" s="1"/>
  <c r="AM12" i="3" s="1"/>
  <c r="AM204" i="8"/>
  <c r="AM208" i="8"/>
  <c r="BI107" i="8"/>
  <c r="BD14" i="8"/>
  <c r="BD22" i="4" s="1"/>
  <c r="AG217" i="8"/>
  <c r="AG214" i="8"/>
  <c r="W204" i="8"/>
  <c r="Y204" i="8"/>
  <c r="Z208" i="8"/>
  <c r="Z204" i="8"/>
  <c r="W208" i="8"/>
  <c r="W47" i="8"/>
  <c r="Y208" i="8"/>
  <c r="J238" i="8"/>
  <c r="J66" i="8" s="1"/>
  <c r="J239" i="8"/>
  <c r="S47" i="8"/>
  <c r="S87" i="4" s="1"/>
  <c r="S12" i="3" s="1"/>
  <c r="S204" i="8"/>
  <c r="S208" i="8"/>
  <c r="I217" i="8"/>
  <c r="I214" i="8"/>
  <c r="P214" i="8"/>
  <c r="P217" i="8"/>
  <c r="AL208" i="8"/>
  <c r="K238" i="8"/>
  <c r="K66" i="8" s="1"/>
  <c r="K239" i="8"/>
  <c r="M48" i="8"/>
  <c r="AD214" i="8"/>
  <c r="AD217" i="8"/>
  <c r="AN208" i="8"/>
  <c r="H214" i="8"/>
  <c r="H217" i="8"/>
  <c r="Q208" i="8"/>
  <c r="O204" i="8"/>
  <c r="AJ214" i="8"/>
  <c r="L204" i="8"/>
  <c r="M208" i="8"/>
  <c r="N47" i="8"/>
  <c r="N87" i="4" s="1"/>
  <c r="N12" i="3" s="1"/>
  <c r="N204" i="8"/>
  <c r="N208" i="8"/>
  <c r="AF217" i="8"/>
  <c r="AF214" i="8"/>
  <c r="V127" i="7"/>
  <c r="V61" i="7" s="1"/>
  <c r="V135" i="7"/>
  <c r="V125" i="7"/>
  <c r="V129" i="7" s="1"/>
  <c r="CV221" i="7"/>
  <c r="CZ219" i="7"/>
  <c r="CW219" i="7"/>
  <c r="AA123" i="7"/>
  <c r="AF121" i="7"/>
  <c r="AG121" i="7" s="1"/>
  <c r="AG123" i="7" s="1"/>
  <c r="AM55" i="7"/>
  <c r="AM86" i="4" s="1"/>
  <c r="AM11" i="3" s="1"/>
  <c r="AM247" i="7"/>
  <c r="AM243" i="7"/>
  <c r="AC260" i="5"/>
  <c r="AC263" i="5"/>
  <c r="J55" i="5"/>
  <c r="M254" i="5"/>
  <c r="M250" i="5"/>
  <c r="AN246" i="4"/>
  <c r="AN243" i="4"/>
  <c r="BA59" i="4"/>
  <c r="BA60" i="4" s="1"/>
  <c r="BB60" i="4" s="1"/>
  <c r="CD38" i="2" s="1"/>
  <c r="AP237" i="4"/>
  <c r="AO237" i="4"/>
  <c r="AL233" i="4"/>
  <c r="AL237" i="4"/>
  <c r="AL63" i="4"/>
  <c r="AL75" i="4" s="1"/>
  <c r="AL254" i="4"/>
  <c r="AL255" i="4" s="1"/>
  <c r="AE243" i="4"/>
  <c r="AE246" i="4"/>
  <c r="AB246" i="4"/>
  <c r="AB243" i="4"/>
  <c r="AD243" i="4"/>
  <c r="AD246" i="4"/>
  <c r="BC71" i="4"/>
  <c r="BA72" i="4"/>
  <c r="AF243" i="4"/>
  <c r="AF246" i="4"/>
  <c r="AO233" i="4"/>
  <c r="AP233" i="4"/>
  <c r="AN237" i="4"/>
  <c r="CR130" i="10"/>
  <c r="CR10" i="10" s="1"/>
  <c r="CS130" i="10"/>
  <c r="CS10" i="10" s="1"/>
  <c r="CT130" i="10"/>
  <c r="CT10" i="10" s="1"/>
  <c r="CQ130" i="10"/>
  <c r="CQ10" i="10" s="1"/>
  <c r="CF11" i="10"/>
  <c r="CP182" i="10"/>
  <c r="CU50" i="10"/>
  <c r="CP66" i="10"/>
  <c r="CZ84" i="10"/>
  <c r="CU94" i="10"/>
  <c r="CQ42" i="10"/>
  <c r="CK139" i="10"/>
  <c r="CP36" i="10"/>
  <c r="CK40" i="10"/>
  <c r="CZ178" i="10"/>
  <c r="CU180" i="10"/>
  <c r="CU175" i="10"/>
  <c r="CZ173" i="10"/>
  <c r="CA42" i="10"/>
  <c r="CA10" i="10"/>
  <c r="CA12" i="10" s="1"/>
  <c r="CX49" i="10"/>
  <c r="CX66" i="10" s="1"/>
  <c r="DB49" i="10"/>
  <c r="DB66" i="10" s="1"/>
  <c r="AY199" i="5" s="1"/>
  <c r="CY49" i="10"/>
  <c r="CY66" i="10" s="1"/>
  <c r="DC49" i="10"/>
  <c r="DC66" i="10" s="1"/>
  <c r="AZ199" i="5" s="1"/>
  <c r="CV49" i="10"/>
  <c r="CV66" i="10" s="1"/>
  <c r="DD49" i="10"/>
  <c r="DD66" i="10" s="1"/>
  <c r="BA199" i="5" s="1"/>
  <c r="CW49" i="10"/>
  <c r="CW66" i="10" s="1"/>
  <c r="DA49" i="10"/>
  <c r="DA66" i="10" s="1"/>
  <c r="AX199" i="5" s="1"/>
  <c r="DE49" i="10"/>
  <c r="CS165" i="10"/>
  <c r="CS167" i="10" s="1"/>
  <c r="CU165" i="10"/>
  <c r="CU167" i="10" s="1"/>
  <c r="CT165" i="10"/>
  <c r="CT167" i="10" s="1"/>
  <c r="CR165" i="10"/>
  <c r="CR167" i="10" s="1"/>
  <c r="CQ165" i="10"/>
  <c r="CQ167" i="10" s="1"/>
  <c r="CK29" i="10"/>
  <c r="CF32" i="10"/>
  <c r="DO156" i="10"/>
  <c r="BL153" i="8" s="1"/>
  <c r="DJ156" i="10"/>
  <c r="BG153" i="8" s="1"/>
  <c r="CK77" i="10"/>
  <c r="CZ69" i="10"/>
  <c r="CU75" i="10"/>
  <c r="CK127" i="10"/>
  <c r="CF130" i="10"/>
  <c r="CF141" i="10" s="1"/>
  <c r="BK16" i="9"/>
  <c r="BK55" i="9"/>
  <c r="BL55" i="9" s="1"/>
  <c r="BL13" i="9"/>
  <c r="BL16" i="9" s="1"/>
  <c r="BD13" i="6"/>
  <c r="BD13" i="4" s="1"/>
  <c r="BJ8" i="6"/>
  <c r="BJ108" i="6"/>
  <c r="BJ109" i="6" s="1"/>
  <c r="AE120" i="6"/>
  <c r="AJ118" i="6"/>
  <c r="BA156" i="6"/>
  <c r="BB161" i="6"/>
  <c r="BC161" i="6" s="1"/>
  <c r="BC87" i="6"/>
  <c r="DC216" i="6"/>
  <c r="DC218" i="6" s="1"/>
  <c r="DD216" i="6" s="1"/>
  <c r="DD218" i="6" s="1"/>
  <c r="DE216" i="6"/>
  <c r="DE218" i="6" s="1"/>
  <c r="DF216" i="6" s="1"/>
  <c r="DB216" i="6"/>
  <c r="DB218" i="6" s="1"/>
  <c r="DA218" i="6"/>
  <c r="BE160" i="6"/>
  <c r="BK106" i="6"/>
  <c r="AZ176" i="6"/>
  <c r="AZ35" i="6" s="1"/>
  <c r="AZ173" i="6"/>
  <c r="AZ27" i="6" s="1"/>
  <c r="AB123" i="6"/>
  <c r="AB133" i="6"/>
  <c r="Y258" i="6"/>
  <c r="Y263" i="6" s="1"/>
  <c r="AC258" i="6"/>
  <c r="AC263" i="6" s="1"/>
  <c r="BY28" i="2" s="1"/>
  <c r="X265" i="6"/>
  <c r="AY29" i="6"/>
  <c r="AY197" i="6"/>
  <c r="AY204" i="6"/>
  <c r="AY206" i="6" s="1"/>
  <c r="BI98" i="6"/>
  <c r="BI85" i="6"/>
  <c r="BI87" i="6" s="1"/>
  <c r="BI96" i="6"/>
  <c r="BI105" i="6" s="1"/>
  <c r="AI118" i="6"/>
  <c r="AD120" i="6"/>
  <c r="W125" i="6"/>
  <c r="W60" i="6" s="1"/>
  <c r="W127" i="6"/>
  <c r="BH87" i="6"/>
  <c r="U125" i="6"/>
  <c r="U60" i="6" s="1"/>
  <c r="U127" i="6"/>
  <c r="U258" i="6"/>
  <c r="U263" i="6" s="1"/>
  <c r="Z123" i="6"/>
  <c r="Z133" i="6"/>
  <c r="T218" i="6"/>
  <c r="U216" i="6" s="1"/>
  <c r="U218" i="6" s="1"/>
  <c r="V216" i="6" s="1"/>
  <c r="V218" i="6" s="1"/>
  <c r="W216" i="6" s="1"/>
  <c r="W218" i="6" s="1"/>
  <c r="X216" i="6"/>
  <c r="X218" i="6" s="1"/>
  <c r="Y216" i="6" s="1"/>
  <c r="T127" i="6"/>
  <c r="T125" i="6"/>
  <c r="T60" i="6" s="1"/>
  <c r="AX8" i="6"/>
  <c r="AX108" i="6"/>
  <c r="AX109" i="6" s="1"/>
  <c r="BG203" i="6"/>
  <c r="AY8" i="6"/>
  <c r="AY108" i="6"/>
  <c r="AY109" i="6" s="1"/>
  <c r="AN119" i="6"/>
  <c r="AL119" i="6"/>
  <c r="BD8" i="6"/>
  <c r="BD108" i="6"/>
  <c r="BD109" i="6" s="1"/>
  <c r="BB229" i="6"/>
  <c r="BL203" i="6"/>
  <c r="AX29" i="6"/>
  <c r="AX204" i="6"/>
  <c r="AX197" i="6"/>
  <c r="Y133" i="6"/>
  <c r="Y123" i="6"/>
  <c r="R125" i="6"/>
  <c r="R60" i="6" s="1"/>
  <c r="R127" i="6"/>
  <c r="AC229" i="8"/>
  <c r="AD222" i="8"/>
  <c r="AD227" i="8" s="1"/>
  <c r="AH222" i="8"/>
  <c r="AH227" i="8" s="1"/>
  <c r="BZ27" i="2" s="1"/>
  <c r="AC239" i="8"/>
  <c r="AC67" i="8" s="1"/>
  <c r="AC238" i="8"/>
  <c r="AC66" i="8" s="1"/>
  <c r="BC91" i="8"/>
  <c r="AX76" i="8"/>
  <c r="BD76" i="8"/>
  <c r="BD78" i="8" s="1"/>
  <c r="Z222" i="8"/>
  <c r="Z227" i="8" s="1"/>
  <c r="Y239" i="8"/>
  <c r="Y238" i="8"/>
  <c r="Y66" i="8" s="1"/>
  <c r="N180" i="8"/>
  <c r="N182" i="8" s="1"/>
  <c r="O180" i="8" s="1"/>
  <c r="O182" i="8" s="1"/>
  <c r="P180" i="8" s="1"/>
  <c r="P182" i="8" s="1"/>
  <c r="Q180" i="8" s="1"/>
  <c r="Q182" i="8" s="1"/>
  <c r="R180" i="8" s="1"/>
  <c r="R182" i="8" s="1"/>
  <c r="CU182" i="8"/>
  <c r="CV180" i="8" s="1"/>
  <c r="AZ8" i="8"/>
  <c r="AZ99" i="8"/>
  <c r="AZ100" i="8" s="1"/>
  <c r="BF124" i="8"/>
  <c r="BB193" i="8"/>
  <c r="BI56" i="8"/>
  <c r="BI91" i="8" s="1"/>
  <c r="BH56" i="8"/>
  <c r="BK56" i="8"/>
  <c r="BJ56" i="8"/>
  <c r="BJ91" i="8" s="1"/>
  <c r="BE76" i="8"/>
  <c r="BE78" i="8" s="1"/>
  <c r="BL65" i="8"/>
  <c r="BH237" i="8"/>
  <c r="BH65" i="8" s="1"/>
  <c r="AY8" i="8"/>
  <c r="AY99" i="8"/>
  <c r="AY100" i="8" s="1"/>
  <c r="M238" i="8"/>
  <c r="M66" i="8" s="1"/>
  <c r="M239" i="8"/>
  <c r="AI121" i="7"/>
  <c r="AD123" i="7"/>
  <c r="BJ13" i="7"/>
  <c r="BJ13" i="4" s="1"/>
  <c r="BK109" i="7"/>
  <c r="AY88" i="7"/>
  <c r="AY90" i="7" s="1"/>
  <c r="P261" i="7"/>
  <c r="P266" i="7" s="1"/>
  <c r="O278" i="7"/>
  <c r="O78" i="7" s="1"/>
  <c r="O279" i="7"/>
  <c r="Y125" i="7"/>
  <c r="Y129" i="7" s="1"/>
  <c r="Y127" i="7"/>
  <c r="Y61" i="7" s="1"/>
  <c r="Y135" i="7"/>
  <c r="BD67" i="7"/>
  <c r="BD105" i="7" s="1"/>
  <c r="BD103" i="7" s="1"/>
  <c r="BE67" i="7"/>
  <c r="BE105" i="7" s="1"/>
  <c r="BE103" i="7" s="1"/>
  <c r="BF67" i="7"/>
  <c r="BF105" i="7" s="1"/>
  <c r="BC67" i="7"/>
  <c r="BC105" i="7" s="1"/>
  <c r="AG49" i="7"/>
  <c r="AG55" i="7" s="1"/>
  <c r="AZ88" i="7"/>
  <c r="AZ90" i="7" s="1"/>
  <c r="AA55" i="7"/>
  <c r="AE125" i="7"/>
  <c r="AE129" i="7" s="1"/>
  <c r="AE135" i="7"/>
  <c r="AE127" i="7"/>
  <c r="AE61" i="7" s="1"/>
  <c r="BH67" i="7"/>
  <c r="BH105" i="7" s="1"/>
  <c r="BK67" i="7"/>
  <c r="BK105" i="7" s="1"/>
  <c r="BI67" i="7"/>
  <c r="BI105" i="7" s="1"/>
  <c r="BJ67" i="7"/>
  <c r="BJ105" i="7" s="1"/>
  <c r="W253" i="7"/>
  <c r="BC232" i="7"/>
  <c r="AR268" i="7"/>
  <c r="AW261" i="7"/>
  <c r="AS261" i="7"/>
  <c r="AS266" i="7" s="1"/>
  <c r="AR279" i="7"/>
  <c r="AR79" i="7" s="1"/>
  <c r="AJ123" i="7"/>
  <c r="AO121" i="7"/>
  <c r="S268" i="7"/>
  <c r="T261" i="7"/>
  <c r="T266" i="7" s="1"/>
  <c r="X261" i="7"/>
  <c r="X266" i="7" s="1"/>
  <c r="BX26" i="2" s="1"/>
  <c r="AF54" i="7"/>
  <c r="AF49" i="7"/>
  <c r="AN122" i="7"/>
  <c r="AL122" i="7"/>
  <c r="V77" i="7"/>
  <c r="W277" i="7"/>
  <c r="W77" i="7" s="1"/>
  <c r="AB125" i="7"/>
  <c r="AB129" i="7" s="1"/>
  <c r="AB127" i="7"/>
  <c r="AB61" i="7" s="1"/>
  <c r="AB135" i="7"/>
  <c r="AL44" i="7"/>
  <c r="AK47" i="7"/>
  <c r="AX103" i="7"/>
  <c r="BB105" i="7"/>
  <c r="AN124" i="7"/>
  <c r="AL124" i="7"/>
  <c r="BG206" i="7"/>
  <c r="AJ47" i="5"/>
  <c r="AL43" i="5"/>
  <c r="AL47" i="5" s="1"/>
  <c r="AZ30" i="5"/>
  <c r="AZ207" i="5"/>
  <c r="AZ214" i="5"/>
  <c r="BB28" i="5"/>
  <c r="BB30" i="5" s="1"/>
  <c r="BK88" i="5"/>
  <c r="BG88" i="5"/>
  <c r="AL128" i="5"/>
  <c r="AN128" i="5"/>
  <c r="BE170" i="5"/>
  <c r="BD165" i="5"/>
  <c r="CZ226" i="5"/>
  <c r="CZ228" i="5" s="1"/>
  <c r="DA226" i="5" s="1"/>
  <c r="CW226" i="5"/>
  <c r="CV228" i="5"/>
  <c r="AF56" i="5"/>
  <c r="AK56" i="5"/>
  <c r="U131" i="5"/>
  <c r="U61" i="5" s="1"/>
  <c r="U133" i="5"/>
  <c r="U139" i="5"/>
  <c r="AD126" i="5"/>
  <c r="AD129" i="5" s="1"/>
  <c r="AI124" i="5"/>
  <c r="AL125" i="5"/>
  <c r="AN125" i="5"/>
  <c r="BB66" i="5"/>
  <c r="BB27" i="2" s="1"/>
  <c r="AX279" i="5"/>
  <c r="AY279" i="5"/>
  <c r="BG279" i="5"/>
  <c r="BA279" i="5"/>
  <c r="AZ279" i="5"/>
  <c r="CS226" i="5"/>
  <c r="CS228" i="5" s="1"/>
  <c r="CT226" i="5" s="1"/>
  <c r="CT228" i="5" s="1"/>
  <c r="CR228" i="5"/>
  <c r="O263" i="5"/>
  <c r="O260" i="5"/>
  <c r="AX161" i="5"/>
  <c r="AE55" i="5"/>
  <c r="AE85" i="4" s="1"/>
  <c r="E55" i="5"/>
  <c r="AT49" i="5"/>
  <c r="AT54" i="5"/>
  <c r="AE124" i="5"/>
  <c r="Z126" i="5"/>
  <c r="Z129" i="5" s="1"/>
  <c r="AB124" i="5"/>
  <c r="AB126" i="5" s="1"/>
  <c r="AB129" i="5" s="1"/>
  <c r="AR55" i="5"/>
  <c r="AR250" i="5"/>
  <c r="AR254" i="5"/>
  <c r="BA30" i="5"/>
  <c r="BA207" i="5"/>
  <c r="BA214" i="5"/>
  <c r="X55" i="5"/>
  <c r="X85" i="4" s="1"/>
  <c r="X250" i="5"/>
  <c r="X254" i="5"/>
  <c r="Y54" i="5"/>
  <c r="Y49" i="5"/>
  <c r="BC186" i="5"/>
  <c r="BC183" i="5"/>
  <c r="Z49" i="5"/>
  <c r="Z54" i="5"/>
  <c r="AB43" i="5"/>
  <c r="AB47" i="5" s="1"/>
  <c r="BI13" i="5"/>
  <c r="AM55" i="5"/>
  <c r="AM85" i="4" s="1"/>
  <c r="AM250" i="5"/>
  <c r="AM254" i="5"/>
  <c r="AA131" i="5"/>
  <c r="AA61" i="5" s="1"/>
  <c r="AA133" i="5"/>
  <c r="AA139" i="5"/>
  <c r="W131" i="5"/>
  <c r="W61" i="5" s="1"/>
  <c r="W133" i="5"/>
  <c r="W139" i="5"/>
  <c r="BB36" i="5"/>
  <c r="AL127" i="5"/>
  <c r="AN127" i="5"/>
  <c r="BB239" i="5"/>
  <c r="S226" i="5"/>
  <c r="S228" i="5" s="1"/>
  <c r="T226" i="5" s="1"/>
  <c r="O228" i="5"/>
  <c r="P226" i="5" s="1"/>
  <c r="P228" i="5" s="1"/>
  <c r="Q226" i="5" s="1"/>
  <c r="Q228" i="5" s="1"/>
  <c r="R226" i="5" s="1"/>
  <c r="R228" i="5" s="1"/>
  <c r="T55" i="5"/>
  <c r="W250" i="5"/>
  <c r="W254" i="5"/>
  <c r="AK124" i="5"/>
  <c r="AF126" i="5"/>
  <c r="AF129" i="5" s="1"/>
  <c r="S55" i="5"/>
  <c r="S250" i="5"/>
  <c r="S254" i="5"/>
  <c r="AN55" i="5"/>
  <c r="AH55" i="5"/>
  <c r="AH250" i="5"/>
  <c r="AH254" i="5"/>
  <c r="Y131" i="5"/>
  <c r="Y61" i="5" s="1"/>
  <c r="Y133" i="5"/>
  <c r="Y139" i="5"/>
  <c r="BB76" i="5"/>
  <c r="BA283" i="5"/>
  <c r="BA76" i="5" s="1"/>
  <c r="AZ283" i="5"/>
  <c r="AZ76" i="5" s="1"/>
  <c r="AY283" i="5"/>
  <c r="AY76" i="5" s="1"/>
  <c r="BG283" i="5"/>
  <c r="BG32" i="2" s="1"/>
  <c r="AX283" i="5"/>
  <c r="AX76" i="5" s="1"/>
  <c r="J273" i="5"/>
  <c r="K268" i="5" s="1"/>
  <c r="K273" i="5" s="1"/>
  <c r="L268" i="5" s="1"/>
  <c r="L273" i="5" s="1"/>
  <c r="M268" i="5" s="1"/>
  <c r="M273" i="5" s="1"/>
  <c r="AO47" i="5"/>
  <c r="AQ43" i="5"/>
  <c r="AQ47" i="5" s="1"/>
  <c r="BC58" i="4"/>
  <c r="BC59" i="4" s="1"/>
  <c r="CW159" i="4"/>
  <c r="CZ159" i="4"/>
  <c r="CZ161" i="4" s="1"/>
  <c r="DA159" i="4" s="1"/>
  <c r="CV161" i="4"/>
  <c r="EA159" i="4"/>
  <c r="DZ161" i="4"/>
  <c r="DW159" i="4"/>
  <c r="DW161" i="4" s="1"/>
  <c r="DX159" i="4" s="1"/>
  <c r="DX161" i="4" s="1"/>
  <c r="DV161" i="4"/>
  <c r="AZ129" i="4"/>
  <c r="AZ154" i="4"/>
  <c r="AZ253" i="4"/>
  <c r="BE178" i="4"/>
  <c r="BD183" i="4"/>
  <c r="O159" i="4"/>
  <c r="O161" i="4" s="1"/>
  <c r="P159" i="4" s="1"/>
  <c r="P161" i="4" s="1"/>
  <c r="Q159" i="4" s="1"/>
  <c r="Q161" i="4" s="1"/>
  <c r="R159" i="4" s="1"/>
  <c r="R161" i="4" s="1"/>
  <c r="S159" i="4"/>
  <c r="S161" i="4" s="1"/>
  <c r="AC66" i="3"/>
  <c r="AC68" i="3" s="1"/>
  <c r="AC56" i="3" s="1"/>
  <c r="X64" i="3"/>
  <c r="AH58" i="3"/>
  <c r="AM65" i="3"/>
  <c r="AH66" i="3"/>
  <c r="AH68" i="3" s="1"/>
  <c r="BM22" i="6" l="1"/>
  <c r="BN19" i="6"/>
  <c r="BN188" i="6"/>
  <c r="BM12" i="8"/>
  <c r="BK18" i="9"/>
  <c r="BI12" i="8"/>
  <c r="BI20" i="4" s="1"/>
  <c r="BN104" i="8"/>
  <c r="BN12" i="8" s="1"/>
  <c r="BN20" i="4" s="1"/>
  <c r="BN23" i="7"/>
  <c r="BL88" i="5"/>
  <c r="BP88" i="5"/>
  <c r="BQ88" i="5" s="1"/>
  <c r="BN23" i="5"/>
  <c r="BL18" i="9"/>
  <c r="BL22" i="9" s="1"/>
  <c r="R37" i="9"/>
  <c r="R43" i="9" s="1"/>
  <c r="AK37" i="9"/>
  <c r="P263" i="5"/>
  <c r="BM20" i="4"/>
  <c r="BP8" i="9"/>
  <c r="BP18" i="9" s="1"/>
  <c r="BK10" i="9"/>
  <c r="BK10" i="4"/>
  <c r="AV42" i="9"/>
  <c r="AV37" i="9"/>
  <c r="AV43" i="9" s="1"/>
  <c r="BO8" i="6"/>
  <c r="BI14" i="8"/>
  <c r="BI22" i="4" s="1"/>
  <c r="BN107" i="8"/>
  <c r="BN14" i="8" s="1"/>
  <c r="BM14" i="8"/>
  <c r="BM21" i="6"/>
  <c r="M42" i="9"/>
  <c r="M37" i="9"/>
  <c r="M43" i="9" s="1"/>
  <c r="M89" i="4" s="1"/>
  <c r="BN96" i="6"/>
  <c r="BN105" i="6" s="1"/>
  <c r="BN98" i="6"/>
  <c r="BO109" i="6"/>
  <c r="BN15" i="4"/>
  <c r="BN16" i="9"/>
  <c r="BN18" i="9" s="1"/>
  <c r="BN22" i="9" s="1"/>
  <c r="BN23" i="9" s="1"/>
  <c r="BQ9" i="9"/>
  <c r="BQ16" i="9" s="1"/>
  <c r="BM87" i="6"/>
  <c r="BI76" i="8"/>
  <c r="BI78" i="8" s="1"/>
  <c r="BI99" i="8" s="1"/>
  <c r="BN91" i="8"/>
  <c r="BN76" i="8" s="1"/>
  <c r="BN78" i="8" s="1"/>
  <c r="BJ76" i="8"/>
  <c r="BJ78" i="8" s="1"/>
  <c r="BJ99" i="8" s="1"/>
  <c r="BO91" i="8"/>
  <c r="BO76" i="8" s="1"/>
  <c r="BO78" i="8" s="1"/>
  <c r="BN100" i="6"/>
  <c r="BN85" i="6" s="1"/>
  <c r="BN87" i="6" s="1"/>
  <c r="BQ35" i="4"/>
  <c r="BM13" i="4"/>
  <c r="BO18" i="9"/>
  <c r="BO10" i="4"/>
  <c r="BO10" i="9"/>
  <c r="BM18" i="9"/>
  <c r="BM10" i="4"/>
  <c r="BM10" i="9"/>
  <c r="BQ8" i="9"/>
  <c r="DP105" i="10"/>
  <c r="DS105" i="10"/>
  <c r="BL208" i="6"/>
  <c r="BL213" i="6" s="1"/>
  <c r="BH213" i="6"/>
  <c r="DQ38" i="10"/>
  <c r="DQ40" i="10" s="1"/>
  <c r="DQ42" i="10" s="1"/>
  <c r="DP38" i="10"/>
  <c r="DP40" i="10" s="1"/>
  <c r="DP11" i="10" s="1"/>
  <c r="DS38" i="10"/>
  <c r="DS40" i="10" s="1"/>
  <c r="DS11" i="10" s="1"/>
  <c r="BJ11" i="10"/>
  <c r="BJ42" i="10"/>
  <c r="BJ49" i="9"/>
  <c r="BJ64" i="9" s="1"/>
  <c r="BH42" i="10"/>
  <c r="BH11" i="10"/>
  <c r="BK49" i="9"/>
  <c r="BK64" i="9" s="1"/>
  <c r="BI42" i="10"/>
  <c r="BI11" i="10"/>
  <c r="DR11" i="10"/>
  <c r="DR42" i="10"/>
  <c r="BH49" i="9"/>
  <c r="BH64" i="9" s="1"/>
  <c r="BF11" i="10"/>
  <c r="BF42" i="10"/>
  <c r="BI49" i="9"/>
  <c r="BI64" i="9" s="1"/>
  <c r="BG11" i="10"/>
  <c r="BG42" i="10"/>
  <c r="L55" i="6"/>
  <c r="AD242" i="6"/>
  <c r="AD249" i="6" s="1"/>
  <c r="Q55" i="6"/>
  <c r="AB53" i="6"/>
  <c r="V250" i="6"/>
  <c r="V253" i="6"/>
  <c r="BE122" i="6"/>
  <c r="BB122" i="6"/>
  <c r="T275" i="6"/>
  <c r="R275" i="6"/>
  <c r="AE242" i="6"/>
  <c r="AE249" i="6" s="1"/>
  <c r="U240" i="6"/>
  <c r="U250" i="6" s="1"/>
  <c r="AO54" i="6"/>
  <c r="AT55" i="6" s="1"/>
  <c r="AV253" i="6"/>
  <c r="AV250" i="6"/>
  <c r="K88" i="4"/>
  <c r="K90" i="4" s="1"/>
  <c r="K55" i="6"/>
  <c r="AP54" i="6"/>
  <c r="AP88" i="4" s="1"/>
  <c r="O90" i="4"/>
  <c r="U244" i="6"/>
  <c r="U274" i="6" s="1"/>
  <c r="U74" i="6" s="1"/>
  <c r="V244" i="6"/>
  <c r="U54" i="6"/>
  <c r="U88" i="4" s="1"/>
  <c r="U89" i="4"/>
  <c r="U44" i="9"/>
  <c r="AU214" i="8"/>
  <c r="AU217" i="8"/>
  <c r="AT217" i="8"/>
  <c r="AT214" i="8"/>
  <c r="AV217" i="8"/>
  <c r="AV214" i="8"/>
  <c r="AS214" i="8"/>
  <c r="AS217" i="8"/>
  <c r="Y126" i="4"/>
  <c r="Y130" i="4" s="1"/>
  <c r="Y43" i="9"/>
  <c r="AR86" i="4"/>
  <c r="AR11" i="3" s="1"/>
  <c r="AW56" i="7"/>
  <c r="AE49" i="7"/>
  <c r="AE55" i="7" s="1"/>
  <c r="AE54" i="7"/>
  <c r="AR253" i="7"/>
  <c r="AR256" i="7"/>
  <c r="Y55" i="7"/>
  <c r="Y247" i="7"/>
  <c r="Y243" i="7"/>
  <c r="AU54" i="7"/>
  <c r="AU49" i="7"/>
  <c r="Z49" i="7"/>
  <c r="Z54" i="7"/>
  <c r="M279" i="7"/>
  <c r="AV49" i="7"/>
  <c r="AV55" i="7" s="1"/>
  <c r="AV54" i="7"/>
  <c r="AB49" i="7"/>
  <c r="AB54" i="7"/>
  <c r="AS86" i="4"/>
  <c r="AS90" i="4" s="1"/>
  <c r="AS56" i="7"/>
  <c r="AH56" i="3"/>
  <c r="AV54" i="5"/>
  <c r="AV49" i="5"/>
  <c r="AV55" i="5" s="1"/>
  <c r="AV85" i="4" s="1"/>
  <c r="O237" i="4"/>
  <c r="P233" i="4"/>
  <c r="P243" i="4" s="1"/>
  <c r="AL33" i="3"/>
  <c r="V90" i="4"/>
  <c r="AB33" i="3"/>
  <c r="L56" i="5"/>
  <c r="AQ33" i="3"/>
  <c r="Z33" i="3"/>
  <c r="R246" i="4"/>
  <c r="R243" i="4"/>
  <c r="AR85" i="4"/>
  <c r="AR10" i="3" s="1"/>
  <c r="AW56" i="5"/>
  <c r="AR87" i="4"/>
  <c r="AR12" i="3" s="1"/>
  <c r="AW48" i="8"/>
  <c r="AS237" i="4"/>
  <c r="AS233" i="4"/>
  <c r="AT237" i="4"/>
  <c r="AU237" i="4"/>
  <c r="AU233" i="4"/>
  <c r="AT233" i="4"/>
  <c r="W254" i="4"/>
  <c r="W255" i="4" s="1"/>
  <c r="W63" i="4"/>
  <c r="W75" i="4" s="1"/>
  <c r="AA233" i="4"/>
  <c r="Z237" i="4"/>
  <c r="Y233" i="4"/>
  <c r="Y237" i="4"/>
  <c r="W237" i="4"/>
  <c r="AA237" i="4"/>
  <c r="Z233" i="4"/>
  <c r="W233" i="4"/>
  <c r="AJ33" i="3"/>
  <c r="AO33" i="3"/>
  <c r="CP103" i="10"/>
  <c r="CP105" i="10" s="1"/>
  <c r="CU98" i="10"/>
  <c r="AT33" i="3"/>
  <c r="BG30" i="4"/>
  <c r="BB59" i="4"/>
  <c r="BB74" i="4" s="1"/>
  <c r="BA74" i="4"/>
  <c r="BA151" i="4" s="1"/>
  <c r="DS59" i="3" s="1"/>
  <c r="DS60" i="3" s="1"/>
  <c r="T56" i="5"/>
  <c r="T85" i="4"/>
  <c r="T90" i="4" s="1"/>
  <c r="AM10" i="3"/>
  <c r="BK22" i="9"/>
  <c r="BK23" i="9" s="1"/>
  <c r="BK30" i="4"/>
  <c r="W48" i="8"/>
  <c r="W87" i="4"/>
  <c r="K278" i="7"/>
  <c r="K78" i="7" s="1"/>
  <c r="K279" i="7"/>
  <c r="R49" i="7"/>
  <c r="R54" i="7"/>
  <c r="BH12" i="8"/>
  <c r="P88" i="4"/>
  <c r="P90" i="4" s="1"/>
  <c r="P55" i="6"/>
  <c r="AG242" i="6"/>
  <c r="AG249" i="6" s="1"/>
  <c r="AK242" i="6"/>
  <c r="AK249" i="6" s="1"/>
  <c r="AI242" i="6"/>
  <c r="AI249" i="6" s="1"/>
  <c r="AJ242" i="6"/>
  <c r="AJ249" i="6" s="1"/>
  <c r="BJ22" i="9"/>
  <c r="BJ30" i="4"/>
  <c r="AK118" i="6"/>
  <c r="AL118" i="6" s="1"/>
  <c r="AL120" i="6" s="1"/>
  <c r="AF120" i="6"/>
  <c r="AB42" i="9"/>
  <c r="AB37" i="9"/>
  <c r="AE89" i="4"/>
  <c r="R54" i="5"/>
  <c r="R49" i="5"/>
  <c r="DO50" i="3"/>
  <c r="DO47" i="3" s="1"/>
  <c r="J56" i="5"/>
  <c r="E85" i="4"/>
  <c r="BB40" i="9"/>
  <c r="BB51" i="6"/>
  <c r="BB44" i="8"/>
  <c r="BB52" i="7"/>
  <c r="BB52" i="5"/>
  <c r="BB47" i="3"/>
  <c r="BC39" i="9"/>
  <c r="BC50" i="6"/>
  <c r="BC51" i="5"/>
  <c r="BC51" i="7"/>
  <c r="BC43" i="8"/>
  <c r="BA40" i="9"/>
  <c r="BA51" i="6"/>
  <c r="BA44" i="8"/>
  <c r="BA52" i="7"/>
  <c r="BA52" i="5"/>
  <c r="BA216" i="5"/>
  <c r="AL47" i="7"/>
  <c r="AL49" i="7" s="1"/>
  <c r="AL32" i="9"/>
  <c r="AL35" i="9" s="1"/>
  <c r="AA56" i="7"/>
  <c r="AA86" i="4"/>
  <c r="AB48" i="8"/>
  <c r="Q214" i="8"/>
  <c r="P238" i="8"/>
  <c r="P66" i="8" s="1"/>
  <c r="AE55" i="6"/>
  <c r="J256" i="7"/>
  <c r="J253" i="7"/>
  <c r="J279" i="7"/>
  <c r="J278" i="7"/>
  <c r="J78" i="7" s="1"/>
  <c r="J237" i="4"/>
  <c r="H63" i="4"/>
  <c r="H75" i="4" s="1"/>
  <c r="H254" i="4"/>
  <c r="H255" i="4" s="1"/>
  <c r="H237" i="4"/>
  <c r="K237" i="4"/>
  <c r="H233" i="4"/>
  <c r="J233" i="4"/>
  <c r="K233" i="4"/>
  <c r="L233" i="4"/>
  <c r="L237" i="4"/>
  <c r="BL10" i="4"/>
  <c r="S54" i="7"/>
  <c r="S49" i="7"/>
  <c r="U253" i="6"/>
  <c r="AQ237" i="4"/>
  <c r="AQ254" i="4"/>
  <c r="AQ255" i="4" s="1"/>
  <c r="AQ63" i="4"/>
  <c r="AQ75" i="4" s="1"/>
  <c r="AQ233" i="4"/>
  <c r="K14" i="20"/>
  <c r="F29" i="20"/>
  <c r="K13" i="20" s="1"/>
  <c r="AF44" i="9"/>
  <c r="AF89" i="4"/>
  <c r="V127" i="6"/>
  <c r="V125" i="6"/>
  <c r="V60" i="6" s="1"/>
  <c r="S33" i="3"/>
  <c r="R253" i="6"/>
  <c r="R250" i="6"/>
  <c r="AG71" i="6"/>
  <c r="AG70" i="6"/>
  <c r="BH23" i="9"/>
  <c r="AD33" i="3"/>
  <c r="AM63" i="4"/>
  <c r="AM8" i="2" s="1"/>
  <c r="AM14" i="2" s="1"/>
  <c r="AM17" i="2" s="1"/>
  <c r="AM233" i="4"/>
  <c r="AM237" i="4"/>
  <c r="AM254" i="4"/>
  <c r="AM255" i="4" s="1"/>
  <c r="AQ54" i="7"/>
  <c r="AQ49" i="7"/>
  <c r="AQ247" i="7" s="1"/>
  <c r="AA133" i="6"/>
  <c r="AA123" i="6"/>
  <c r="AG27" i="9"/>
  <c r="AG31" i="9" s="1"/>
  <c r="AG35" i="9" s="1"/>
  <c r="AG23" i="9"/>
  <c r="M56" i="7"/>
  <c r="F54" i="5"/>
  <c r="F49" i="5"/>
  <c r="AM89" i="4"/>
  <c r="AM14" i="3" s="1"/>
  <c r="G90" i="4"/>
  <c r="BT34" i="4"/>
  <c r="Z43" i="9"/>
  <c r="Z126" i="4"/>
  <c r="Z130" i="4" s="1"/>
  <c r="H253" i="7"/>
  <c r="H256" i="7"/>
  <c r="AI89" i="4"/>
  <c r="BA39" i="9"/>
  <c r="BA50" i="6"/>
  <c r="BA43" i="8"/>
  <c r="BA51" i="7"/>
  <c r="BA51" i="5"/>
  <c r="L279" i="7"/>
  <c r="L278" i="7"/>
  <c r="L78" i="7" s="1"/>
  <c r="R254" i="4"/>
  <c r="R255" i="4" s="1"/>
  <c r="V233" i="4"/>
  <c r="T233" i="4"/>
  <c r="V237" i="4"/>
  <c r="T237" i="4"/>
  <c r="R63" i="4"/>
  <c r="R75" i="4" s="1"/>
  <c r="R237" i="4"/>
  <c r="U233" i="4"/>
  <c r="U237" i="4"/>
  <c r="S44" i="9"/>
  <c r="S89" i="4"/>
  <c r="S14" i="3" s="1"/>
  <c r="L90" i="4"/>
  <c r="BC20" i="4"/>
  <c r="H37" i="9"/>
  <c r="H43" i="9" s="1"/>
  <c r="H42" i="9"/>
  <c r="AO55" i="7"/>
  <c r="AP55" i="7"/>
  <c r="T253" i="6"/>
  <c r="T250" i="6"/>
  <c r="AJ43" i="9"/>
  <c r="AJ126" i="4"/>
  <c r="AJ130" i="4" s="1"/>
  <c r="BC23" i="9"/>
  <c r="Q253" i="7"/>
  <c r="Q256" i="7"/>
  <c r="X44" i="9"/>
  <c r="AR44" i="9"/>
  <c r="Q49" i="5"/>
  <c r="Q54" i="5"/>
  <c r="BB72" i="4"/>
  <c r="BB40" i="3"/>
  <c r="AA88" i="4"/>
  <c r="AF55" i="6"/>
  <c r="BK77" i="8"/>
  <c r="BL77" i="8" s="1"/>
  <c r="BG77" i="8"/>
  <c r="J56" i="7"/>
  <c r="E86" i="4"/>
  <c r="AJ88" i="4"/>
  <c r="AJ55" i="6"/>
  <c r="R48" i="8"/>
  <c r="R87" i="4"/>
  <c r="AH48" i="8"/>
  <c r="AH87" i="4"/>
  <c r="AH12" i="3" s="1"/>
  <c r="L256" i="7"/>
  <c r="L253" i="7"/>
  <c r="AQ43" i="9"/>
  <c r="AV44" i="9" s="1"/>
  <c r="AQ126" i="4"/>
  <c r="AQ130" i="4" s="1"/>
  <c r="AA89" i="4"/>
  <c r="AA44" i="9"/>
  <c r="AK43" i="9"/>
  <c r="AP44" i="9" s="1"/>
  <c r="AK126" i="4"/>
  <c r="AK130" i="4" s="1"/>
  <c r="W89" i="4"/>
  <c r="W44" i="9"/>
  <c r="AI88" i="4"/>
  <c r="AI55" i="6"/>
  <c r="AH56" i="5"/>
  <c r="AH85" i="4"/>
  <c r="AN56" i="5"/>
  <c r="AN85" i="4"/>
  <c r="AN90" i="4" s="1"/>
  <c r="S56" i="5"/>
  <c r="S85" i="4"/>
  <c r="X10" i="3"/>
  <c r="AG86" i="4"/>
  <c r="O56" i="5"/>
  <c r="J85" i="4"/>
  <c r="AL48" i="8"/>
  <c r="AL87" i="4"/>
  <c r="K253" i="7"/>
  <c r="K256" i="7"/>
  <c r="M256" i="7"/>
  <c r="M253" i="7"/>
  <c r="O56" i="7"/>
  <c r="J86" i="4"/>
  <c r="AP89" i="4"/>
  <c r="R89" i="4"/>
  <c r="AI233" i="4"/>
  <c r="AI237" i="4"/>
  <c r="AG63" i="4"/>
  <c r="AG75" i="4" s="1"/>
  <c r="AG233" i="4"/>
  <c r="AG237" i="4"/>
  <c r="AJ237" i="4"/>
  <c r="AG254" i="4"/>
  <c r="AG255" i="4" s="1"/>
  <c r="AJ233" i="4"/>
  <c r="AK237" i="4"/>
  <c r="AK233" i="4"/>
  <c r="AD43" i="9"/>
  <c r="AI44" i="9" s="1"/>
  <c r="AD126" i="4"/>
  <c r="AD130" i="4" s="1"/>
  <c r="AD47" i="5"/>
  <c r="AG43" i="5"/>
  <c r="AG47" i="5" s="1"/>
  <c r="BL36" i="4"/>
  <c r="DT63" i="3"/>
  <c r="BB125" i="4"/>
  <c r="BB252" i="4"/>
  <c r="DT50" i="3"/>
  <c r="DT47" i="3" s="1"/>
  <c r="M237" i="4"/>
  <c r="Q233" i="4"/>
  <c r="M254" i="4"/>
  <c r="M255" i="4" s="1"/>
  <c r="O233" i="4"/>
  <c r="M63" i="4"/>
  <c r="M75" i="4" s="1"/>
  <c r="M233" i="4"/>
  <c r="AO43" i="9"/>
  <c r="AT44" i="9" s="1"/>
  <c r="AO126" i="4"/>
  <c r="AO130" i="4" s="1"/>
  <c r="AG29" i="3"/>
  <c r="AG32" i="4"/>
  <c r="H49" i="5"/>
  <c r="H54" i="5"/>
  <c r="P237" i="4"/>
  <c r="AH43" i="9"/>
  <c r="AM44" i="9" s="1"/>
  <c r="AH126" i="4"/>
  <c r="AH130" i="4" s="1"/>
  <c r="F18" i="20"/>
  <c r="M244" i="6"/>
  <c r="O244" i="6"/>
  <c r="P244" i="6"/>
  <c r="Q244" i="6"/>
  <c r="M54" i="6"/>
  <c r="M88" i="4" s="1"/>
  <c r="O240" i="6"/>
  <c r="M240" i="6"/>
  <c r="P240" i="6"/>
  <c r="Q240" i="6"/>
  <c r="AG48" i="6"/>
  <c r="AG53" i="6"/>
  <c r="AF240" i="6"/>
  <c r="AF244" i="6"/>
  <c r="AB54" i="6"/>
  <c r="AB88" i="4" s="1"/>
  <c r="AE240" i="6"/>
  <c r="AE244" i="6"/>
  <c r="AB244" i="6"/>
  <c r="AB240" i="6"/>
  <c r="AD244" i="6"/>
  <c r="AD240" i="6"/>
  <c r="N54" i="6"/>
  <c r="N88" i="4" s="1"/>
  <c r="N13" i="3" s="1"/>
  <c r="N15" i="3" s="1"/>
  <c r="N244" i="6"/>
  <c r="N240" i="6"/>
  <c r="AR53" i="6"/>
  <c r="AR48" i="6"/>
  <c r="I244" i="6"/>
  <c r="I240" i="6"/>
  <c r="I54" i="6"/>
  <c r="I88" i="4" s="1"/>
  <c r="AH48" i="6"/>
  <c r="AH53" i="6"/>
  <c r="AQ53" i="6"/>
  <c r="AQ48" i="6"/>
  <c r="AS240" i="6" s="1"/>
  <c r="AL48" i="6"/>
  <c r="AL53" i="6"/>
  <c r="H240" i="6"/>
  <c r="K240" i="6"/>
  <c r="H244" i="6"/>
  <c r="K244" i="6"/>
  <c r="L240" i="6"/>
  <c r="H54" i="6"/>
  <c r="H88" i="4" s="1"/>
  <c r="J244" i="6"/>
  <c r="L244" i="6"/>
  <c r="J240" i="6"/>
  <c r="W53" i="6"/>
  <c r="W48" i="6"/>
  <c r="AC54" i="6"/>
  <c r="AC88" i="4" s="1"/>
  <c r="AC240" i="6"/>
  <c r="AC244" i="6"/>
  <c r="AC274" i="6" s="1"/>
  <c r="AC74" i="6" s="1"/>
  <c r="AM53" i="6"/>
  <c r="AM48" i="6"/>
  <c r="X48" i="6"/>
  <c r="X53" i="6"/>
  <c r="AR214" i="8"/>
  <c r="AR217" i="8"/>
  <c r="BG105" i="7"/>
  <c r="O217" i="8"/>
  <c r="O214" i="8"/>
  <c r="S238" i="8"/>
  <c r="S66" i="8" s="1"/>
  <c r="S239" i="8"/>
  <c r="S67" i="8" s="1"/>
  <c r="W239" i="8"/>
  <c r="W238" i="8"/>
  <c r="W66" i="8" s="1"/>
  <c r="W214" i="8"/>
  <c r="W217" i="8"/>
  <c r="AL217" i="8"/>
  <c r="AL214" i="8"/>
  <c r="AO217" i="8"/>
  <c r="AO214" i="8"/>
  <c r="AB214" i="8"/>
  <c r="AB217" i="8"/>
  <c r="M217" i="8"/>
  <c r="M214" i="8"/>
  <c r="X238" i="8"/>
  <c r="X66" i="8" s="1"/>
  <c r="X239" i="8"/>
  <c r="X67" i="8" s="1"/>
  <c r="U239" i="8"/>
  <c r="U238" i="8"/>
  <c r="U66" i="8" s="1"/>
  <c r="V239" i="8"/>
  <c r="V238" i="8"/>
  <c r="V66" i="8" s="1"/>
  <c r="N238" i="8"/>
  <c r="N66" i="8" s="1"/>
  <c r="N239" i="8"/>
  <c r="N67" i="8" s="1"/>
  <c r="L214" i="8"/>
  <c r="L217" i="8"/>
  <c r="Q238" i="8"/>
  <c r="Q66" i="8" s="1"/>
  <c r="Q239" i="8"/>
  <c r="S217" i="8"/>
  <c r="S214" i="8"/>
  <c r="Z214" i="8"/>
  <c r="Z217" i="8"/>
  <c r="AE214" i="8"/>
  <c r="AE217" i="8"/>
  <c r="L239" i="8"/>
  <c r="L238" i="8"/>
  <c r="L66" i="8" s="1"/>
  <c r="AP217" i="8"/>
  <c r="AP214" i="8"/>
  <c r="X217" i="8"/>
  <c r="X214" i="8"/>
  <c r="T214" i="8"/>
  <c r="T217" i="8"/>
  <c r="U214" i="8"/>
  <c r="U217" i="8"/>
  <c r="AH214" i="8"/>
  <c r="AH217" i="8"/>
  <c r="N217" i="8"/>
  <c r="N214" i="8"/>
  <c r="AM217" i="8"/>
  <c r="AM214" i="8"/>
  <c r="AA214" i="8"/>
  <c r="AA217" i="8"/>
  <c r="O238" i="8"/>
  <c r="O66" i="8" s="1"/>
  <c r="O239" i="8"/>
  <c r="AP48" i="8"/>
  <c r="AU48" i="8"/>
  <c r="AC48" i="8"/>
  <c r="X48" i="8"/>
  <c r="T239" i="8"/>
  <c r="T238" i="8"/>
  <c r="T66" i="8" s="1"/>
  <c r="J217" i="8"/>
  <c r="J214" i="8"/>
  <c r="S48" i="8"/>
  <c r="N48" i="8"/>
  <c r="AQ48" i="8"/>
  <c r="Y214" i="8"/>
  <c r="Y217" i="8"/>
  <c r="AR48" i="8"/>
  <c r="AM48" i="8"/>
  <c r="AF48" i="8"/>
  <c r="AA48" i="8"/>
  <c r="R239" i="8"/>
  <c r="R238" i="8"/>
  <c r="R66" i="8" s="1"/>
  <c r="AQ217" i="8"/>
  <c r="AQ214" i="8"/>
  <c r="BH14" i="8"/>
  <c r="V214" i="8"/>
  <c r="V217" i="8"/>
  <c r="AM256" i="7"/>
  <c r="AM253" i="7"/>
  <c r="AF123" i="7"/>
  <c r="AK121" i="7"/>
  <c r="AL121" i="7" s="1"/>
  <c r="AL123" i="7" s="1"/>
  <c r="S219" i="7"/>
  <c r="S221" i="7" s="1"/>
  <c r="T219" i="7" s="1"/>
  <c r="T221" i="7" s="1"/>
  <c r="U219" i="7" s="1"/>
  <c r="U221" i="7" s="1"/>
  <c r="V219" i="7" s="1"/>
  <c r="V221" i="7" s="1"/>
  <c r="W219" i="7" s="1"/>
  <c r="W221" i="7" s="1"/>
  <c r="CZ221" i="7"/>
  <c r="DA219" i="7" s="1"/>
  <c r="AM278" i="7"/>
  <c r="AM78" i="7" s="1"/>
  <c r="AM43" i="2" s="1"/>
  <c r="AM279" i="7"/>
  <c r="AM79" i="7" s="1"/>
  <c r="AA125" i="7"/>
  <c r="AA129" i="7" s="1"/>
  <c r="AA127" i="7"/>
  <c r="AA61" i="7" s="1"/>
  <c r="AA135" i="7"/>
  <c r="AR56" i="7"/>
  <c r="AM56" i="7"/>
  <c r="CW221" i="7"/>
  <c r="CX219" i="7"/>
  <c r="CX221" i="7" s="1"/>
  <c r="CY219" i="7" s="1"/>
  <c r="CY221" i="7" s="1"/>
  <c r="BB207" i="5"/>
  <c r="M260" i="5"/>
  <c r="M263" i="5"/>
  <c r="AL243" i="4"/>
  <c r="AL246" i="4"/>
  <c r="AP243" i="4"/>
  <c r="AP246" i="4"/>
  <c r="AO243" i="4"/>
  <c r="AO246" i="4"/>
  <c r="BC72" i="4"/>
  <c r="BD71" i="4"/>
  <c r="CV69" i="10"/>
  <c r="DD69" i="10"/>
  <c r="CX69" i="10"/>
  <c r="DC69" i="10"/>
  <c r="CY69" i="10"/>
  <c r="DE69" i="10"/>
  <c r="DA69" i="10"/>
  <c r="CW69" i="10"/>
  <c r="DB69" i="10"/>
  <c r="CP29" i="10"/>
  <c r="CK32" i="10"/>
  <c r="CK11" i="10"/>
  <c r="CZ50" i="10"/>
  <c r="CU66" i="10"/>
  <c r="CF42" i="10"/>
  <c r="CF10" i="10"/>
  <c r="CF12" i="10" s="1"/>
  <c r="CU36" i="10"/>
  <c r="CP40" i="10"/>
  <c r="CP127" i="10"/>
  <c r="CK130" i="10"/>
  <c r="CK141" i="10" s="1"/>
  <c r="DJ49" i="10"/>
  <c r="DE173" i="10"/>
  <c r="CZ175" i="10"/>
  <c r="CU182" i="10"/>
  <c r="CZ94" i="10"/>
  <c r="DE84" i="10"/>
  <c r="CZ180" i="10"/>
  <c r="DE178" i="10"/>
  <c r="CP139" i="10"/>
  <c r="CP77" i="10"/>
  <c r="BL23" i="9"/>
  <c r="BL29" i="3" s="1"/>
  <c r="BC229" i="6"/>
  <c r="AX206" i="6"/>
  <c r="AC216" i="6"/>
  <c r="AC218" i="6" s="1"/>
  <c r="AD216" i="6" s="1"/>
  <c r="Y218" i="6"/>
  <c r="Z216" i="6" s="1"/>
  <c r="Z218" i="6" s="1"/>
  <c r="AA216" i="6" s="1"/>
  <c r="AA218" i="6" s="1"/>
  <c r="AB216" i="6" s="1"/>
  <c r="AB218" i="6" s="1"/>
  <c r="BH8" i="6"/>
  <c r="BH108" i="6"/>
  <c r="AN118" i="6"/>
  <c r="AI120" i="6"/>
  <c r="BF160" i="6"/>
  <c r="BC8" i="6"/>
  <c r="BC108" i="6"/>
  <c r="BC109" i="6" s="1"/>
  <c r="AE123" i="6"/>
  <c r="AE133" i="6"/>
  <c r="AS119" i="6"/>
  <c r="AV119" i="6" s="1"/>
  <c r="AQ119" i="6"/>
  <c r="BI13" i="6"/>
  <c r="BI13" i="4" s="1"/>
  <c r="AD258" i="6"/>
  <c r="AD263" i="6" s="1"/>
  <c r="AH258" i="6"/>
  <c r="AH263" i="6" s="1"/>
  <c r="BZ28" i="2" s="1"/>
  <c r="AC265" i="6"/>
  <c r="DH216" i="6"/>
  <c r="DH218" i="6" s="1"/>
  <c r="DI216" i="6" s="1"/>
  <c r="DI218" i="6" s="1"/>
  <c r="DJ216" i="6"/>
  <c r="DJ218" i="6" s="1"/>
  <c r="DK216" i="6" s="1"/>
  <c r="DG216" i="6"/>
  <c r="DG218" i="6" s="1"/>
  <c r="DF218" i="6"/>
  <c r="BC156" i="6"/>
  <c r="BD161" i="6"/>
  <c r="Y125" i="6"/>
  <c r="Y60" i="6" s="1"/>
  <c r="Y127" i="6"/>
  <c r="V258" i="6"/>
  <c r="V263" i="6" s="1"/>
  <c r="AD123" i="6"/>
  <c r="AD133" i="6"/>
  <c r="Z258" i="6"/>
  <c r="Z263" i="6" s="1"/>
  <c r="AB125" i="6"/>
  <c r="AB60" i="6" s="1"/>
  <c r="AB127" i="6"/>
  <c r="AZ29" i="6"/>
  <c r="AZ197" i="6"/>
  <c r="AZ204" i="6"/>
  <c r="AZ206" i="6" s="1"/>
  <c r="BA173" i="6"/>
  <c r="BA176" i="6"/>
  <c r="BB156" i="6"/>
  <c r="Z125" i="6"/>
  <c r="Z60" i="6" s="1"/>
  <c r="Z127" i="6"/>
  <c r="AG123" i="6"/>
  <c r="AG133" i="6"/>
  <c r="BI8" i="6"/>
  <c r="BI108" i="6"/>
  <c r="BI109" i="6" s="1"/>
  <c r="AJ120" i="6"/>
  <c r="AO118" i="6"/>
  <c r="BI8" i="8"/>
  <c r="BJ8" i="8"/>
  <c r="BC193" i="8"/>
  <c r="CZ180" i="8"/>
  <c r="CW180" i="8"/>
  <c r="CW182" i="8" s="1"/>
  <c r="CX180" i="8"/>
  <c r="CX182" i="8" s="1"/>
  <c r="CY180" i="8" s="1"/>
  <c r="CY182" i="8" s="1"/>
  <c r="CV182" i="8"/>
  <c r="BH91" i="8"/>
  <c r="BC76" i="8"/>
  <c r="AE222" i="8"/>
  <c r="AE227" i="8" s="1"/>
  <c r="AD238" i="8"/>
  <c r="AD66" i="8" s="1"/>
  <c r="AD239" i="8"/>
  <c r="AY10" i="8"/>
  <c r="BE8" i="8"/>
  <c r="BE99" i="8"/>
  <c r="BE100" i="8" s="1"/>
  <c r="BH124" i="8"/>
  <c r="AZ10" i="8"/>
  <c r="AX122" i="8"/>
  <c r="AA222" i="8"/>
  <c r="AA227" i="8" s="1"/>
  <c r="Z238" i="8"/>
  <c r="Z66" i="8" s="1"/>
  <c r="Z239" i="8"/>
  <c r="BD8" i="8"/>
  <c r="BD99" i="8"/>
  <c r="BD100" i="8" s="1"/>
  <c r="AX78" i="8"/>
  <c r="AH229" i="8"/>
  <c r="AI222" i="8"/>
  <c r="AI227" i="8" s="1"/>
  <c r="AM222" i="8"/>
  <c r="AM227" i="8" s="1"/>
  <c r="CA27" i="2" s="1"/>
  <c r="AH238" i="8"/>
  <c r="AH66" i="8" s="1"/>
  <c r="AH239" i="8"/>
  <c r="AH67" i="8" s="1"/>
  <c r="AY8" i="7"/>
  <c r="AY111" i="7"/>
  <c r="AY112" i="7" s="1"/>
  <c r="AS124" i="7"/>
  <c r="AV124" i="7" s="1"/>
  <c r="AQ124" i="7"/>
  <c r="AK54" i="7"/>
  <c r="AK49" i="7"/>
  <c r="AS122" i="7"/>
  <c r="AV122" i="7" s="1"/>
  <c r="AQ122" i="7"/>
  <c r="BD232" i="7"/>
  <c r="Q261" i="7"/>
  <c r="Q266" i="7" s="1"/>
  <c r="P278" i="7"/>
  <c r="P78" i="7" s="1"/>
  <c r="P279" i="7"/>
  <c r="AG125" i="7"/>
  <c r="AG129" i="7" s="1"/>
  <c r="AG135" i="7"/>
  <c r="AG127" i="7"/>
  <c r="AG61" i="7" s="1"/>
  <c r="AF55" i="7"/>
  <c r="AI243" i="7"/>
  <c r="AF243" i="7"/>
  <c r="AJ243" i="7"/>
  <c r="AF247" i="7"/>
  <c r="AJ247" i="7"/>
  <c r="AG243" i="7"/>
  <c r="AT261" i="7"/>
  <c r="AT266" i="7" s="1"/>
  <c r="AZ8" i="7"/>
  <c r="AZ111" i="7"/>
  <c r="AZ112" i="7" s="1"/>
  <c r="U261" i="7"/>
  <c r="U266" i="7" s="1"/>
  <c r="BJ103" i="7"/>
  <c r="BE88" i="7"/>
  <c r="BE90" i="7" s="1"/>
  <c r="BI103" i="7"/>
  <c r="BD88" i="7"/>
  <c r="BD90" i="7" s="1"/>
  <c r="AL54" i="7"/>
  <c r="AC261" i="7"/>
  <c r="AC266" i="7" s="1"/>
  <c r="X268" i="7"/>
  <c r="Y261" i="7"/>
  <c r="Y266" i="7" s="1"/>
  <c r="X279" i="7"/>
  <c r="X79" i="7" s="1"/>
  <c r="X278" i="7"/>
  <c r="X78" i="7" s="1"/>
  <c r="X43" i="2" s="1"/>
  <c r="AO123" i="7"/>
  <c r="AT121" i="7"/>
  <c r="AN121" i="7"/>
  <c r="AI123" i="7"/>
  <c r="AJ125" i="7"/>
  <c r="AJ129" i="7" s="1"/>
  <c r="AJ135" i="7"/>
  <c r="AJ127" i="7"/>
  <c r="AJ61" i="7" s="1"/>
  <c r="BC103" i="7"/>
  <c r="AX88" i="7"/>
  <c r="BL105" i="7"/>
  <c r="AD127" i="7"/>
  <c r="AD61" i="7" s="1"/>
  <c r="AD135" i="7"/>
  <c r="AD125" i="7"/>
  <c r="AD129" i="7" s="1"/>
  <c r="AQ127" i="5"/>
  <c r="AS127" i="5"/>
  <c r="AV127" i="5" s="1"/>
  <c r="Z55" i="5"/>
  <c r="AJ124" i="5"/>
  <c r="AL124" i="5" s="1"/>
  <c r="AL126" i="5" s="1"/>
  <c r="AL129" i="5" s="1"/>
  <c r="AE126" i="5"/>
  <c r="AE129" i="5" s="1"/>
  <c r="AQ49" i="5"/>
  <c r="AQ55" i="5" s="1"/>
  <c r="AQ54" i="5"/>
  <c r="S263" i="5"/>
  <c r="S260" i="5"/>
  <c r="BC239" i="5"/>
  <c r="BC28" i="5"/>
  <c r="AR56" i="5"/>
  <c r="AX66" i="5"/>
  <c r="AX104" i="5" s="1"/>
  <c r="AZ66" i="5"/>
  <c r="AZ104" i="5" s="1"/>
  <c r="AZ102" i="5" s="1"/>
  <c r="AY66" i="5"/>
  <c r="AY104" i="5" s="1"/>
  <c r="AY102" i="5" s="1"/>
  <c r="BA66" i="5"/>
  <c r="BA104" i="5" s="1"/>
  <c r="AG124" i="5"/>
  <c r="AG126" i="5" s="1"/>
  <c r="AG129" i="5" s="1"/>
  <c r="AS56" i="5"/>
  <c r="BE165" i="5"/>
  <c r="BF170" i="5"/>
  <c r="N273" i="5"/>
  <c r="O268" i="5"/>
  <c r="O273" i="5" s="1"/>
  <c r="M284" i="5"/>
  <c r="M77" i="5" s="1"/>
  <c r="M285" i="5"/>
  <c r="BG76" i="5"/>
  <c r="BE283" i="5"/>
  <c r="BE76" i="5" s="1"/>
  <c r="BD283" i="5"/>
  <c r="BD76" i="5" s="1"/>
  <c r="BL283" i="5"/>
  <c r="BC283" i="5"/>
  <c r="BC76" i="5" s="1"/>
  <c r="BF283" i="5"/>
  <c r="BF76" i="5" s="1"/>
  <c r="W263" i="5"/>
  <c r="W260" i="5"/>
  <c r="AB49" i="5"/>
  <c r="AB54" i="5"/>
  <c r="AO54" i="5"/>
  <c r="AO49" i="5"/>
  <c r="AF131" i="5"/>
  <c r="AF61" i="5" s="1"/>
  <c r="AF133" i="5"/>
  <c r="AF139" i="5"/>
  <c r="BC36" i="5"/>
  <c r="X260" i="5"/>
  <c r="X263" i="5"/>
  <c r="AB131" i="5"/>
  <c r="AB61" i="5" s="1"/>
  <c r="AB133" i="5"/>
  <c r="AB139" i="5"/>
  <c r="BG66" i="5"/>
  <c r="BG27" i="2" s="1"/>
  <c r="BF279" i="5"/>
  <c r="BC279" i="5"/>
  <c r="BE279" i="5"/>
  <c r="BD279" i="5"/>
  <c r="BL279" i="5"/>
  <c r="BQ279" i="5" s="1"/>
  <c r="AQ125" i="5"/>
  <c r="AS125" i="5"/>
  <c r="AV125" i="5" s="1"/>
  <c r="AD131" i="5"/>
  <c r="AD61" i="5" s="1"/>
  <c r="AD133" i="5"/>
  <c r="AD139" i="5"/>
  <c r="AQ128" i="5"/>
  <c r="AS128" i="5"/>
  <c r="AV128" i="5" s="1"/>
  <c r="AL49" i="5"/>
  <c r="AL55" i="5" s="1"/>
  <c r="AL85" i="4" s="1"/>
  <c r="AL54" i="5"/>
  <c r="J277" i="5"/>
  <c r="O266" i="5" s="1"/>
  <c r="AH263" i="5"/>
  <c r="AH260" i="5"/>
  <c r="AK126" i="5"/>
  <c r="AK129" i="5" s="1"/>
  <c r="AP124" i="5"/>
  <c r="T228" i="5"/>
  <c r="U226" i="5" s="1"/>
  <c r="U228" i="5" s="1"/>
  <c r="V226" i="5" s="1"/>
  <c r="V228" i="5" s="1"/>
  <c r="W226" i="5" s="1"/>
  <c r="W228" i="5" s="1"/>
  <c r="X226" i="5"/>
  <c r="X228" i="5" s="1"/>
  <c r="Y226" i="5" s="1"/>
  <c r="AM263" i="5"/>
  <c r="AM260" i="5"/>
  <c r="Y55" i="5"/>
  <c r="Y85" i="4" s="1"/>
  <c r="Z250" i="5"/>
  <c r="Z254" i="5"/>
  <c r="AA250" i="5"/>
  <c r="AA254" i="5"/>
  <c r="AB250" i="5"/>
  <c r="Y250" i="5"/>
  <c r="Y254" i="5"/>
  <c r="X56" i="5"/>
  <c r="AC56" i="5"/>
  <c r="Z131" i="5"/>
  <c r="Z61" i="5" s="1"/>
  <c r="Z133" i="5"/>
  <c r="Z139" i="5"/>
  <c r="AX167" i="5"/>
  <c r="CX226" i="5"/>
  <c r="CX228" i="5" s="1"/>
  <c r="CY226" i="5" s="1"/>
  <c r="CY228" i="5" s="1"/>
  <c r="CW228" i="5"/>
  <c r="AZ216" i="5"/>
  <c r="BB214" i="5"/>
  <c r="BB216" i="5" s="1"/>
  <c r="AJ49" i="5"/>
  <c r="AJ54" i="5"/>
  <c r="AM56" i="5"/>
  <c r="AR260" i="5"/>
  <c r="AR263" i="5"/>
  <c r="AT55" i="5"/>
  <c r="AT85" i="4" s="1"/>
  <c r="AT90" i="4" s="1"/>
  <c r="AT250" i="5"/>
  <c r="AU250" i="5"/>
  <c r="AY161" i="5"/>
  <c r="AN124" i="5"/>
  <c r="AI126" i="5"/>
  <c r="AI129" i="5" s="1"/>
  <c r="DB226" i="5"/>
  <c r="DE226" i="5"/>
  <c r="DE228" i="5" s="1"/>
  <c r="DF226" i="5" s="1"/>
  <c r="DA228" i="5"/>
  <c r="BD186" i="5"/>
  <c r="BD36" i="5" s="1"/>
  <c r="BD183" i="5"/>
  <c r="BD28" i="5" s="1"/>
  <c r="BC60" i="4"/>
  <c r="BC74" i="4"/>
  <c r="BC151" i="4" s="1"/>
  <c r="BE183" i="4"/>
  <c r="BF178" i="4"/>
  <c r="EA161" i="4"/>
  <c r="EB159" i="4"/>
  <c r="EB161" i="4" s="1"/>
  <c r="EC159" i="4" s="1"/>
  <c r="EC161" i="4" s="1"/>
  <c r="DB159" i="4"/>
  <c r="DE159" i="4"/>
  <c r="DE161" i="4" s="1"/>
  <c r="DF159" i="4" s="1"/>
  <c r="DA161" i="4"/>
  <c r="CX159" i="4"/>
  <c r="CX161" i="4" s="1"/>
  <c r="CY159" i="4" s="1"/>
  <c r="CY161" i="4" s="1"/>
  <c r="CW161" i="4"/>
  <c r="T159" i="4"/>
  <c r="T161" i="4" s="1"/>
  <c r="U159" i="4" s="1"/>
  <c r="U161" i="4" s="1"/>
  <c r="V159" i="4" s="1"/>
  <c r="V161" i="4" s="1"/>
  <c r="W159" i="4" s="1"/>
  <c r="W161" i="4" s="1"/>
  <c r="X159" i="4"/>
  <c r="X161" i="4" s="1"/>
  <c r="BD58" i="4"/>
  <c r="BD59" i="4" s="1"/>
  <c r="X66" i="3"/>
  <c r="X68" i="3" s="1"/>
  <c r="X56" i="3" s="1"/>
  <c r="S64" i="3"/>
  <c r="AM58" i="3"/>
  <c r="AR65" i="3"/>
  <c r="AM66" i="3"/>
  <c r="AM68" i="3" s="1"/>
  <c r="AM56" i="3" s="1"/>
  <c r="BP22" i="9" l="1"/>
  <c r="BP23" i="9" s="1"/>
  <c r="BP30" i="4"/>
  <c r="DP42" i="10"/>
  <c r="BM23" i="4"/>
  <c r="BY26" i="2"/>
  <c r="BZ26" i="2"/>
  <c r="BN279" i="5"/>
  <c r="BO279" i="5"/>
  <c r="BM279" i="5"/>
  <c r="BP279" i="5"/>
  <c r="M90" i="4"/>
  <c r="R44" i="9"/>
  <c r="BN23" i="4"/>
  <c r="BQ283" i="5"/>
  <c r="BL32" i="2"/>
  <c r="BP10" i="9"/>
  <c r="BP10" i="4"/>
  <c r="BN22" i="4"/>
  <c r="BM22" i="4"/>
  <c r="BN30" i="4"/>
  <c r="BI88" i="7"/>
  <c r="BI90" i="7" s="1"/>
  <c r="BI8" i="7" s="1"/>
  <c r="BN103" i="7"/>
  <c r="BN88" i="7" s="1"/>
  <c r="BN90" i="7" s="1"/>
  <c r="BM8" i="6"/>
  <c r="BM108" i="6"/>
  <c r="BM109" i="6" s="1"/>
  <c r="BQ15" i="4"/>
  <c r="BN13" i="6"/>
  <c r="BO8" i="8"/>
  <c r="BO99" i="8"/>
  <c r="BO100" i="8" s="1"/>
  <c r="BN8" i="8"/>
  <c r="BN99" i="8"/>
  <c r="BN100" i="8" s="1"/>
  <c r="BJ88" i="7"/>
  <c r="BJ90" i="7" s="1"/>
  <c r="BJ8" i="7" s="1"/>
  <c r="BO103" i="7"/>
  <c r="BO88" i="7" s="1"/>
  <c r="BO90" i="7" s="1"/>
  <c r="BH76" i="8"/>
  <c r="BH78" i="8" s="1"/>
  <c r="BM91" i="8"/>
  <c r="BM76" i="8" s="1"/>
  <c r="BN8" i="6"/>
  <c r="BN108" i="6"/>
  <c r="BN109" i="6" s="1"/>
  <c r="BO30" i="4"/>
  <c r="BO22" i="9"/>
  <c r="BO23" i="9" s="1"/>
  <c r="BQ18" i="9"/>
  <c r="BQ22" i="9" s="1"/>
  <c r="BQ23" i="9" s="1"/>
  <c r="BQ29" i="3" s="1"/>
  <c r="BQ10" i="9"/>
  <c r="BQ10" i="4"/>
  <c r="BM22" i="9"/>
  <c r="BM23" i="9" s="1"/>
  <c r="BM30" i="4"/>
  <c r="DQ11" i="10"/>
  <c r="DQ12" i="10" s="1"/>
  <c r="DS42" i="10"/>
  <c r="BI103" i="4"/>
  <c r="BI147" i="4" s="1"/>
  <c r="BG12" i="10"/>
  <c r="BH128" i="4"/>
  <c r="BH67" i="9"/>
  <c r="BL64" i="9"/>
  <c r="BO109" i="4"/>
  <c r="DR12" i="10"/>
  <c r="BP109" i="4"/>
  <c r="DS12" i="10"/>
  <c r="BJ103" i="4"/>
  <c r="BJ147" i="4" s="1"/>
  <c r="BH12" i="10"/>
  <c r="BJ128" i="4"/>
  <c r="BJ67" i="9"/>
  <c r="BL103" i="4"/>
  <c r="BJ12" i="10"/>
  <c r="BM109" i="4"/>
  <c r="DP12" i="10"/>
  <c r="BI67" i="9"/>
  <c r="BI128" i="4"/>
  <c r="BH103" i="4"/>
  <c r="BH147" i="4" s="1"/>
  <c r="BF12" i="10"/>
  <c r="BK103" i="4"/>
  <c r="BK147" i="4" s="1"/>
  <c r="BI12" i="10"/>
  <c r="BK67" i="9"/>
  <c r="BK128" i="4"/>
  <c r="AO88" i="4"/>
  <c r="AP55" i="6"/>
  <c r="U275" i="6"/>
  <c r="AC275" i="6"/>
  <c r="AC75" i="6" s="1"/>
  <c r="U55" i="6"/>
  <c r="AU55" i="6"/>
  <c r="Z55" i="6"/>
  <c r="BJ122" i="6"/>
  <c r="BG122" i="6"/>
  <c r="AO55" i="6"/>
  <c r="U90" i="4"/>
  <c r="AT244" i="6"/>
  <c r="AS250" i="6"/>
  <c r="AS253" i="6"/>
  <c r="AU244" i="6"/>
  <c r="AU240" i="6"/>
  <c r="AT240" i="6"/>
  <c r="AS244" i="6"/>
  <c r="Y89" i="4"/>
  <c r="Y44" i="9"/>
  <c r="Y253" i="7"/>
  <c r="Y256" i="7"/>
  <c r="Y86" i="4"/>
  <c r="Y90" i="4" s="1"/>
  <c r="AD56" i="7"/>
  <c r="Y56" i="7"/>
  <c r="AE86" i="4"/>
  <c r="AJ56" i="7"/>
  <c r="AG247" i="7"/>
  <c r="AI247" i="7"/>
  <c r="AE90" i="4"/>
  <c r="AB55" i="7"/>
  <c r="AE247" i="7"/>
  <c r="AE243" i="7"/>
  <c r="AU55" i="7"/>
  <c r="AU86" i="4" s="1"/>
  <c r="AU90" i="4" s="1"/>
  <c r="AV243" i="7"/>
  <c r="AV247" i="7"/>
  <c r="BA124" i="7"/>
  <c r="BF124" i="7" s="1"/>
  <c r="BK124" i="7" s="1"/>
  <c r="BP124" i="7" s="1"/>
  <c r="BQ124" i="7" s="1"/>
  <c r="Z55" i="7"/>
  <c r="Z243" i="7"/>
  <c r="Z247" i="7"/>
  <c r="AD247" i="7"/>
  <c r="AA243" i="7"/>
  <c r="AB243" i="7"/>
  <c r="AD243" i="7"/>
  <c r="AB247" i="7"/>
  <c r="AA247" i="7"/>
  <c r="AU247" i="7"/>
  <c r="AU243" i="7"/>
  <c r="AT243" i="7"/>
  <c r="AS243" i="7"/>
  <c r="AT247" i="7"/>
  <c r="AT278" i="7" s="1"/>
  <c r="AT78" i="7" s="1"/>
  <c r="AQ243" i="7"/>
  <c r="AQ256" i="7" s="1"/>
  <c r="AS247" i="7"/>
  <c r="AU254" i="5"/>
  <c r="AT254" i="5"/>
  <c r="P246" i="4"/>
  <c r="AI90" i="4"/>
  <c r="AQ85" i="4"/>
  <c r="AV56" i="5"/>
  <c r="Z246" i="4"/>
  <c r="Z243" i="4"/>
  <c r="Y246" i="4"/>
  <c r="Y243" i="4"/>
  <c r="AA246" i="4"/>
  <c r="AA243" i="4"/>
  <c r="AT243" i="4"/>
  <c r="AT246" i="4"/>
  <c r="AS246" i="4"/>
  <c r="AS243" i="4"/>
  <c r="W243" i="4"/>
  <c r="W246" i="4"/>
  <c r="AU246" i="4"/>
  <c r="AU243" i="4"/>
  <c r="BB46" i="3"/>
  <c r="BA154" i="4"/>
  <c r="BB154" i="4" s="1"/>
  <c r="BB50" i="6"/>
  <c r="BB43" i="8"/>
  <c r="BB51" i="5"/>
  <c r="BB39" i="9"/>
  <c r="BB51" i="7"/>
  <c r="CU103" i="10"/>
  <c r="CU105" i="10" s="1"/>
  <c r="CZ98" i="10"/>
  <c r="BL30" i="4"/>
  <c r="BA253" i="4"/>
  <c r="BA129" i="4"/>
  <c r="BB151" i="4"/>
  <c r="N42" i="3"/>
  <c r="N60" i="3"/>
  <c r="N62" i="3"/>
  <c r="AG49" i="5"/>
  <c r="AK254" i="5" s="1"/>
  <c r="AG54" i="5"/>
  <c r="U243" i="4"/>
  <c r="U246" i="4"/>
  <c r="AA127" i="6"/>
  <c r="AA125" i="6"/>
  <c r="AA60" i="6" s="1"/>
  <c r="Z56" i="5"/>
  <c r="Z85" i="4"/>
  <c r="AF56" i="7"/>
  <c r="AF86" i="4"/>
  <c r="AF90" i="4" s="1"/>
  <c r="AC13" i="3"/>
  <c r="BY51" i="2" s="1"/>
  <c r="AC90" i="4"/>
  <c r="AG30" i="3"/>
  <c r="AG56" i="3" s="1"/>
  <c r="AJ243" i="4"/>
  <c r="AJ246" i="4"/>
  <c r="AG246" i="4"/>
  <c r="AG243" i="4"/>
  <c r="J90" i="4"/>
  <c r="AV27" i="3"/>
  <c r="BB43" i="3"/>
  <c r="F55" i="5"/>
  <c r="J254" i="5"/>
  <c r="H254" i="5"/>
  <c r="J250" i="5"/>
  <c r="H250" i="5"/>
  <c r="AG42" i="9"/>
  <c r="AG37" i="9"/>
  <c r="AR64" i="4"/>
  <c r="AM64" i="4"/>
  <c r="AM75" i="4"/>
  <c r="H246" i="4"/>
  <c r="H243" i="4"/>
  <c r="BJ23" i="9"/>
  <c r="BH20" i="4"/>
  <c r="O246" i="4"/>
  <c r="O243" i="4"/>
  <c r="N90" i="4"/>
  <c r="H89" i="4"/>
  <c r="M44" i="9"/>
  <c r="AL37" i="9"/>
  <c r="AL42" i="9"/>
  <c r="BD43" i="8"/>
  <c r="BD50" i="6"/>
  <c r="BD51" i="5"/>
  <c r="BD51" i="7"/>
  <c r="BD39" i="9"/>
  <c r="AV253" i="5"/>
  <c r="BH22" i="4"/>
  <c r="I13" i="3"/>
  <c r="I90" i="4"/>
  <c r="K250" i="5"/>
  <c r="L254" i="5"/>
  <c r="H55" i="5"/>
  <c r="L250" i="5"/>
  <c r="K254" i="5"/>
  <c r="AO89" i="4"/>
  <c r="AO44" i="9"/>
  <c r="AD54" i="5"/>
  <c r="AD49" i="5"/>
  <c r="AE254" i="5" s="1"/>
  <c r="AK246" i="4"/>
  <c r="AK243" i="4"/>
  <c r="AH10" i="3"/>
  <c r="N20" i="3"/>
  <c r="T243" i="4"/>
  <c r="T246" i="4"/>
  <c r="Z89" i="4"/>
  <c r="Z44" i="9"/>
  <c r="K246" i="4"/>
  <c r="K243" i="4"/>
  <c r="AA90" i="4"/>
  <c r="E90" i="4"/>
  <c r="R55" i="5"/>
  <c r="V254" i="5"/>
  <c r="V250" i="5"/>
  <c r="AE44" i="9"/>
  <c r="AP118" i="6"/>
  <c r="AK120" i="6"/>
  <c r="V247" i="7"/>
  <c r="V243" i="7"/>
  <c r="R55" i="7"/>
  <c r="T243" i="7"/>
  <c r="R247" i="7"/>
  <c r="U247" i="7"/>
  <c r="U279" i="7" s="1"/>
  <c r="T247" i="7"/>
  <c r="U243" i="7"/>
  <c r="R243" i="7"/>
  <c r="AQ279" i="7"/>
  <c r="AQ278" i="7"/>
  <c r="AQ78" i="7" s="1"/>
  <c r="AO86" i="4"/>
  <c r="AO56" i="7"/>
  <c r="AT56" i="7"/>
  <c r="L246" i="4"/>
  <c r="L243" i="4"/>
  <c r="AF123" i="6"/>
  <c r="AF133" i="6"/>
  <c r="BC40" i="9"/>
  <c r="BC51" i="6"/>
  <c r="BC52" i="5"/>
  <c r="BC44" i="8"/>
  <c r="BC52" i="7"/>
  <c r="AH89" i="4"/>
  <c r="AH14" i="3" s="1"/>
  <c r="AH44" i="9"/>
  <c r="M246" i="4"/>
  <c r="M243" i="4"/>
  <c r="Q246" i="4"/>
  <c r="Q243" i="4"/>
  <c r="AD89" i="4"/>
  <c r="AD44" i="9"/>
  <c r="AI246" i="4"/>
  <c r="AI243" i="4"/>
  <c r="S10" i="3"/>
  <c r="AK89" i="4"/>
  <c r="AK44" i="9"/>
  <c r="AQ89" i="4"/>
  <c r="Q55" i="5"/>
  <c r="Q254" i="5"/>
  <c r="Q250" i="5"/>
  <c r="R254" i="5"/>
  <c r="T254" i="5"/>
  <c r="U254" i="5"/>
  <c r="T250" i="5"/>
  <c r="R250" i="5"/>
  <c r="U250" i="5"/>
  <c r="AJ44" i="9"/>
  <c r="AJ89" i="4"/>
  <c r="AP86" i="4"/>
  <c r="AP90" i="4" s="1"/>
  <c r="AU56" i="7"/>
  <c r="V246" i="4"/>
  <c r="V243" i="4"/>
  <c r="AQ55" i="7"/>
  <c r="AM243" i="4"/>
  <c r="DE25" i="3" s="1"/>
  <c r="AM246" i="4"/>
  <c r="DE28" i="3" s="1"/>
  <c r="AQ246" i="4"/>
  <c r="AQ243" i="4"/>
  <c r="S247" i="7"/>
  <c r="S55" i="7"/>
  <c r="S243" i="7"/>
  <c r="J243" i="4"/>
  <c r="J246" i="4"/>
  <c r="AB43" i="9"/>
  <c r="AB126" i="4"/>
  <c r="AB130" i="4" s="1"/>
  <c r="K253" i="6"/>
  <c r="K250" i="6"/>
  <c r="AQ54" i="6"/>
  <c r="AQ244" i="6"/>
  <c r="AQ240" i="6"/>
  <c r="AD253" i="6"/>
  <c r="AD250" i="6"/>
  <c r="AF253" i="6"/>
  <c r="AF250" i="6"/>
  <c r="P253" i="6"/>
  <c r="P250" i="6"/>
  <c r="Q275" i="6"/>
  <c r="Q274" i="6"/>
  <c r="Q74" i="6" s="1"/>
  <c r="BH109" i="6"/>
  <c r="X240" i="6"/>
  <c r="X244" i="6"/>
  <c r="X54" i="6"/>
  <c r="AC250" i="6"/>
  <c r="AC253" i="6"/>
  <c r="J250" i="6"/>
  <c r="J253" i="6"/>
  <c r="L250" i="6"/>
  <c r="L253" i="6"/>
  <c r="H253" i="6"/>
  <c r="H250" i="6"/>
  <c r="I250" i="6"/>
  <c r="I253" i="6"/>
  <c r="N250" i="6"/>
  <c r="N253" i="6"/>
  <c r="AE253" i="6"/>
  <c r="AE250" i="6"/>
  <c r="M253" i="6"/>
  <c r="M250" i="6"/>
  <c r="P274" i="6"/>
  <c r="P74" i="6" s="1"/>
  <c r="P275" i="6"/>
  <c r="AM54" i="6"/>
  <c r="AM240" i="6"/>
  <c r="AM244" i="6"/>
  <c r="L274" i="6"/>
  <c r="L74" i="6" s="1"/>
  <c r="L275" i="6"/>
  <c r="K274" i="6"/>
  <c r="K74" i="6" s="1"/>
  <c r="K275" i="6"/>
  <c r="I274" i="6"/>
  <c r="I74" i="6" s="1"/>
  <c r="I275" i="6"/>
  <c r="I75" i="6" s="1"/>
  <c r="N274" i="6"/>
  <c r="N74" i="6" s="1"/>
  <c r="N275" i="6"/>
  <c r="N75" i="6" s="1"/>
  <c r="AB253" i="6"/>
  <c r="AB250" i="6"/>
  <c r="AG54" i="6"/>
  <c r="AJ240" i="6"/>
  <c r="AI240" i="6"/>
  <c r="AJ244" i="6"/>
  <c r="AG244" i="6"/>
  <c r="AI244" i="6"/>
  <c r="AG240" i="6"/>
  <c r="AK244" i="6"/>
  <c r="AK240" i="6"/>
  <c r="O253" i="6"/>
  <c r="O250" i="6"/>
  <c r="O275" i="6"/>
  <c r="O274" i="6"/>
  <c r="O74" i="6" s="1"/>
  <c r="W54" i="6"/>
  <c r="AA244" i="6"/>
  <c r="AA240" i="6"/>
  <c r="Y244" i="6"/>
  <c r="Y240" i="6"/>
  <c r="Z240" i="6"/>
  <c r="Z244" i="6"/>
  <c r="Z275" i="6" s="1"/>
  <c r="W240" i="6"/>
  <c r="W244" i="6"/>
  <c r="J274" i="6"/>
  <c r="J74" i="6" s="1"/>
  <c r="J275" i="6"/>
  <c r="AL54" i="6"/>
  <c r="AL244" i="6"/>
  <c r="AL240" i="6"/>
  <c r="AN240" i="6"/>
  <c r="AO240" i="6"/>
  <c r="AP240" i="6"/>
  <c r="AO244" i="6"/>
  <c r="AN244" i="6"/>
  <c r="AP244" i="6"/>
  <c r="AH244" i="6"/>
  <c r="AH274" i="6" s="1"/>
  <c r="AH74" i="6" s="1"/>
  <c r="AH54" i="6"/>
  <c r="AH240" i="6"/>
  <c r="AR244" i="6"/>
  <c r="AR54" i="6"/>
  <c r="AW55" i="6" s="1"/>
  <c r="AR240" i="6"/>
  <c r="N55" i="6"/>
  <c r="S55" i="6"/>
  <c r="Q253" i="6"/>
  <c r="Q250" i="6"/>
  <c r="R55" i="6"/>
  <c r="M55" i="6"/>
  <c r="M274" i="6"/>
  <c r="M74" i="6" s="1"/>
  <c r="M275" i="6"/>
  <c r="AB254" i="5"/>
  <c r="AE56" i="5"/>
  <c r="CZ182" i="10"/>
  <c r="BJ100" i="8"/>
  <c r="DB219" i="7"/>
  <c r="DE219" i="7"/>
  <c r="DA221" i="7"/>
  <c r="AP121" i="7"/>
  <c r="AQ121" i="7" s="1"/>
  <c r="AK123" i="7"/>
  <c r="AF127" i="7"/>
  <c r="AF61" i="7" s="1"/>
  <c r="AF135" i="7"/>
  <c r="AF125" i="7"/>
  <c r="AF129" i="7" s="1"/>
  <c r="BE71" i="4"/>
  <c r="BD72" i="4"/>
  <c r="CU77" i="10"/>
  <c r="CR139" i="10"/>
  <c r="CT139" i="10"/>
  <c r="CQ139" i="10"/>
  <c r="CS139" i="10"/>
  <c r="CU139" i="10"/>
  <c r="DJ178" i="10"/>
  <c r="DE180" i="10"/>
  <c r="DO49" i="10"/>
  <c r="DT49" i="10" s="1"/>
  <c r="DT66" i="10" s="1"/>
  <c r="CU127" i="10"/>
  <c r="CP130" i="10"/>
  <c r="CP141" i="10" s="1"/>
  <c r="CP11" i="10"/>
  <c r="DE50" i="10"/>
  <c r="CZ66" i="10"/>
  <c r="CK42" i="10"/>
  <c r="CK10" i="10"/>
  <c r="CK12" i="10" s="1"/>
  <c r="DJ69" i="10"/>
  <c r="DJ173" i="10"/>
  <c r="DE175" i="10"/>
  <c r="DC84" i="10"/>
  <c r="DC94" i="10" s="1"/>
  <c r="AZ189" i="6" s="1"/>
  <c r="DG84" i="10"/>
  <c r="DG94" i="10" s="1"/>
  <c r="BD189" i="6" s="1"/>
  <c r="DD84" i="10"/>
  <c r="DD94" i="10" s="1"/>
  <c r="BA189" i="6" s="1"/>
  <c r="DH84" i="10"/>
  <c r="DH94" i="10" s="1"/>
  <c r="BE189" i="6" s="1"/>
  <c r="DE94" i="10"/>
  <c r="DA84" i="10"/>
  <c r="DA94" i="10" s="1"/>
  <c r="AX189" i="6" s="1"/>
  <c r="DI84" i="10"/>
  <c r="DI94" i="10" s="1"/>
  <c r="BF189" i="6" s="1"/>
  <c r="DB84" i="10"/>
  <c r="DB94" i="10" s="1"/>
  <c r="AY189" i="6" s="1"/>
  <c r="DF84" i="10"/>
  <c r="DF94" i="10" s="1"/>
  <c r="BC189" i="6" s="1"/>
  <c r="DJ84" i="10"/>
  <c r="CZ36" i="10"/>
  <c r="CU40" i="10"/>
  <c r="CU29" i="10"/>
  <c r="CP32" i="10"/>
  <c r="AJ123" i="6"/>
  <c r="AJ133" i="6"/>
  <c r="AX152" i="6"/>
  <c r="AX158" i="6"/>
  <c r="AE258" i="6"/>
  <c r="AE263" i="6" s="1"/>
  <c r="AD274" i="6"/>
  <c r="AD74" i="6" s="1"/>
  <c r="AD275" i="6"/>
  <c r="AS118" i="6"/>
  <c r="AQ118" i="6"/>
  <c r="AN120" i="6"/>
  <c r="BD229" i="6"/>
  <c r="AD127" i="6"/>
  <c r="AD125" i="6"/>
  <c r="AD60" i="6" s="1"/>
  <c r="AE125" i="6"/>
  <c r="AE60" i="6" s="1"/>
  <c r="AE127" i="6"/>
  <c r="BA35" i="6"/>
  <c r="BB176" i="6"/>
  <c r="BB177" i="6" s="1"/>
  <c r="W258" i="6"/>
  <c r="W263" i="6" s="1"/>
  <c r="V274" i="6"/>
  <c r="V74" i="6" s="1"/>
  <c r="V275" i="6"/>
  <c r="BD156" i="6"/>
  <c r="BE161" i="6"/>
  <c r="DL216" i="6"/>
  <c r="DL218" i="6" s="1"/>
  <c r="DO216" i="6"/>
  <c r="DO218" i="6" s="1"/>
  <c r="DP216" i="6" s="1"/>
  <c r="DM216" i="6"/>
  <c r="DM218" i="6" s="1"/>
  <c r="DN216" i="6" s="1"/>
  <c r="DN218" i="6" s="1"/>
  <c r="DK218" i="6"/>
  <c r="AX119" i="6"/>
  <c r="BH160" i="6"/>
  <c r="AL123" i="6"/>
  <c r="AL133" i="6"/>
  <c r="AH216" i="6"/>
  <c r="AH218" i="6" s="1"/>
  <c r="AI216" i="6" s="1"/>
  <c r="AD218" i="6"/>
  <c r="AE216" i="6" s="1"/>
  <c r="AE218" i="6" s="1"/>
  <c r="AF216" i="6" s="1"/>
  <c r="AF218" i="6" s="1"/>
  <c r="AG216" i="6" s="1"/>
  <c r="AG218" i="6" s="1"/>
  <c r="AT118" i="6"/>
  <c r="AO120" i="6"/>
  <c r="AG125" i="6"/>
  <c r="AG60" i="6" s="1"/>
  <c r="AG127" i="6"/>
  <c r="BA27" i="6"/>
  <c r="BB173" i="6"/>
  <c r="BB174" i="6" s="1"/>
  <c r="AA258" i="6"/>
  <c r="AA263" i="6" s="1"/>
  <c r="BC173" i="6"/>
  <c r="BC176" i="6"/>
  <c r="AI258" i="6"/>
  <c r="AI263" i="6" s="1"/>
  <c r="AM258" i="6"/>
  <c r="AM263" i="6" s="1"/>
  <c r="CA28" i="2" s="1"/>
  <c r="AH265" i="6"/>
  <c r="AH275" i="6"/>
  <c r="AH75" i="6" s="1"/>
  <c r="AI123" i="6"/>
  <c r="AI133" i="6"/>
  <c r="AX8" i="8"/>
  <c r="AX99" i="8"/>
  <c r="AX100" i="8" s="1"/>
  <c r="AX13" i="8"/>
  <c r="AX117" i="8"/>
  <c r="BE10" i="8"/>
  <c r="BD193" i="8"/>
  <c r="BI100" i="8"/>
  <c r="AN222" i="8"/>
  <c r="AN227" i="8" s="1"/>
  <c r="AR222" i="8"/>
  <c r="AR227" i="8" s="1"/>
  <c r="AM229" i="8"/>
  <c r="AM238" i="8"/>
  <c r="AM66" i="8" s="1"/>
  <c r="AM239" i="8"/>
  <c r="AM67" i="8" s="1"/>
  <c r="AB222" i="8"/>
  <c r="AB227" i="8" s="1"/>
  <c r="AA238" i="8"/>
  <c r="AA66" i="8" s="1"/>
  <c r="AA239" i="8"/>
  <c r="BI124" i="8"/>
  <c r="AF222" i="8"/>
  <c r="AF227" i="8" s="1"/>
  <c r="AE238" i="8"/>
  <c r="AE66" i="8" s="1"/>
  <c r="AE239" i="8"/>
  <c r="BI10" i="8"/>
  <c r="AJ222" i="8"/>
  <c r="AJ227" i="8" s="1"/>
  <c r="AI238" i="8"/>
  <c r="AI66" i="8" s="1"/>
  <c r="AI239" i="8"/>
  <c r="BC78" i="8"/>
  <c r="S180" i="8"/>
  <c r="S182" i="8" s="1"/>
  <c r="T180" i="8" s="1"/>
  <c r="T182" i="8" s="1"/>
  <c r="U180" i="8" s="1"/>
  <c r="U182" i="8" s="1"/>
  <c r="V180" i="8" s="1"/>
  <c r="V182" i="8" s="1"/>
  <c r="W180" i="8" s="1"/>
  <c r="W182" i="8" s="1"/>
  <c r="CZ182" i="8"/>
  <c r="DA180" i="8" s="1"/>
  <c r="BD10" i="8"/>
  <c r="BJ10" i="8"/>
  <c r="AX90" i="7"/>
  <c r="AT123" i="7"/>
  <c r="AT135" i="7" s="1"/>
  <c r="AY121" i="7"/>
  <c r="BH103" i="7"/>
  <c r="BC88" i="7"/>
  <c r="AI127" i="7"/>
  <c r="AI61" i="7" s="1"/>
  <c r="AI125" i="7"/>
  <c r="AI129" i="7" s="1"/>
  <c r="AI135" i="7"/>
  <c r="AO125" i="7"/>
  <c r="AO129" i="7" s="1"/>
  <c r="AO135" i="7"/>
  <c r="AO127" i="7"/>
  <c r="AO61" i="7" s="1"/>
  <c r="AU261" i="7"/>
  <c r="AU266" i="7" s="1"/>
  <c r="AI256" i="7"/>
  <c r="AI253" i="7"/>
  <c r="R261" i="7"/>
  <c r="R266" i="7" s="1"/>
  <c r="Q278" i="7"/>
  <c r="Q78" i="7" s="1"/>
  <c r="Q279" i="7"/>
  <c r="AL127" i="7"/>
  <c r="AL61" i="7" s="1"/>
  <c r="AL125" i="7"/>
  <c r="AL129" i="7" s="1"/>
  <c r="AL135" i="7"/>
  <c r="AD261" i="7"/>
  <c r="AD266" i="7" s="1"/>
  <c r="AC268" i="7"/>
  <c r="AC278" i="7"/>
  <c r="AC78" i="7" s="1"/>
  <c r="AC43" i="2" s="1"/>
  <c r="AC279" i="7"/>
  <c r="AC79" i="7" s="1"/>
  <c r="AJ256" i="7"/>
  <c r="AJ253" i="7"/>
  <c r="BE232" i="7"/>
  <c r="AS121" i="7"/>
  <c r="AN123" i="7"/>
  <c r="AL55" i="7"/>
  <c r="AL86" i="4" s="1"/>
  <c r="AP243" i="7"/>
  <c r="AP247" i="7"/>
  <c r="V261" i="7"/>
  <c r="V266" i="7" s="1"/>
  <c r="AG253" i="7"/>
  <c r="AG256" i="7"/>
  <c r="AF256" i="7"/>
  <c r="AF253" i="7"/>
  <c r="AX122" i="7"/>
  <c r="AK55" i="7"/>
  <c r="AK86" i="4" s="1"/>
  <c r="AN243" i="7"/>
  <c r="AN247" i="7"/>
  <c r="AK243" i="7"/>
  <c r="AO243" i="7"/>
  <c r="AL243" i="7"/>
  <c r="AL247" i="7"/>
  <c r="AK247" i="7"/>
  <c r="AO247" i="7"/>
  <c r="Z261" i="7"/>
  <c r="Z266" i="7" s="1"/>
  <c r="Y278" i="7"/>
  <c r="Y78" i="7" s="1"/>
  <c r="Y279" i="7"/>
  <c r="BD8" i="7"/>
  <c r="BD111" i="7"/>
  <c r="BD112" i="7" s="1"/>
  <c r="BE8" i="7"/>
  <c r="BE111" i="7"/>
  <c r="BE112" i="7" s="1"/>
  <c r="AJ278" i="7"/>
  <c r="AJ78" i="7" s="1"/>
  <c r="AJ279" i="7"/>
  <c r="AI278" i="7"/>
  <c r="AI78" i="7" s="1"/>
  <c r="AI279" i="7"/>
  <c r="AX124" i="7"/>
  <c r="AN126" i="5"/>
  <c r="AN129" i="5" s="1"/>
  <c r="AS124" i="5"/>
  <c r="AC226" i="5"/>
  <c r="AC228" i="5" s="1"/>
  <c r="AD226" i="5" s="1"/>
  <c r="Y228" i="5"/>
  <c r="Z226" i="5" s="1"/>
  <c r="Z228" i="5" s="1"/>
  <c r="AA226" i="5" s="1"/>
  <c r="AA228" i="5" s="1"/>
  <c r="AB226" i="5" s="1"/>
  <c r="AB228" i="5" s="1"/>
  <c r="AX128" i="5"/>
  <c r="AX125" i="5"/>
  <c r="DG226" i="5"/>
  <c r="DJ226" i="5"/>
  <c r="DJ228" i="5" s="1"/>
  <c r="DK226" i="5" s="1"/>
  <c r="DF228" i="5"/>
  <c r="AL131" i="5"/>
  <c r="AL61" i="5" s="1"/>
  <c r="AL133" i="5"/>
  <c r="AL139" i="5"/>
  <c r="AZ161" i="5"/>
  <c r="AX21" i="5"/>
  <c r="AX162" i="5"/>
  <c r="Y56" i="5"/>
  <c r="BE183" i="5"/>
  <c r="BE28" i="5" s="1"/>
  <c r="BE186" i="5"/>
  <c r="AY87" i="5"/>
  <c r="AY89" i="5" s="1"/>
  <c r="BD239" i="5"/>
  <c r="AQ56" i="5"/>
  <c r="AX127" i="5"/>
  <c r="BD30" i="5"/>
  <c r="BD207" i="5"/>
  <c r="BD214" i="5"/>
  <c r="Y260" i="5"/>
  <c r="Y263" i="5"/>
  <c r="AZ87" i="5"/>
  <c r="AZ89" i="5" s="1"/>
  <c r="BC30" i="5"/>
  <c r="BC207" i="5"/>
  <c r="BC214" i="5"/>
  <c r="AE131" i="5"/>
  <c r="AE61" i="5" s="1"/>
  <c r="AE133" i="5"/>
  <c r="AE139" i="5"/>
  <c r="AB260" i="5"/>
  <c r="AB263" i="5"/>
  <c r="DC226" i="5"/>
  <c r="DC228" i="5" s="1"/>
  <c r="DD226" i="5" s="1"/>
  <c r="DD228" i="5" s="1"/>
  <c r="DB228" i="5"/>
  <c r="AA263" i="5"/>
  <c r="AA260" i="5"/>
  <c r="AP126" i="5"/>
  <c r="AP129" i="5" s="1"/>
  <c r="AU124" i="5"/>
  <c r="BL66" i="5"/>
  <c r="BJ279" i="5"/>
  <c r="BK279" i="5"/>
  <c r="BI279" i="5"/>
  <c r="BH279" i="5"/>
  <c r="AO55" i="5"/>
  <c r="AO85" i="4" s="1"/>
  <c r="AS250" i="5"/>
  <c r="AS254" i="5"/>
  <c r="AP254" i="5"/>
  <c r="AO250" i="5"/>
  <c r="AP250" i="5"/>
  <c r="AQ250" i="5"/>
  <c r="AQ254" i="5"/>
  <c r="AO254" i="5"/>
  <c r="P268" i="5"/>
  <c r="P273" i="5" s="1"/>
  <c r="O285" i="5"/>
  <c r="O284" i="5"/>
  <c r="O77" i="5" s="1"/>
  <c r="AI131" i="5"/>
  <c r="AI61" i="5" s="1"/>
  <c r="AI133" i="5"/>
  <c r="AI139" i="5"/>
  <c r="AU263" i="5"/>
  <c r="AU260" i="5"/>
  <c r="AT263" i="5"/>
  <c r="AT260" i="5"/>
  <c r="AJ55" i="5"/>
  <c r="AL250" i="5"/>
  <c r="AL254" i="5"/>
  <c r="AK250" i="5"/>
  <c r="AN254" i="5"/>
  <c r="AN250" i="5"/>
  <c r="AK131" i="5"/>
  <c r="AK61" i="5" s="1"/>
  <c r="AK133" i="5"/>
  <c r="AK139" i="5"/>
  <c r="BF66" i="5"/>
  <c r="BF104" i="5" s="1"/>
  <c r="BD66" i="5"/>
  <c r="BD104" i="5" s="1"/>
  <c r="BD102" i="5" s="1"/>
  <c r="BC66" i="5"/>
  <c r="BC104" i="5" s="1"/>
  <c r="BE66" i="5"/>
  <c r="BE104" i="5" s="1"/>
  <c r="BE102" i="5" s="1"/>
  <c r="AB55" i="5"/>
  <c r="N275" i="5"/>
  <c r="S268" i="5"/>
  <c r="S273" i="5" s="1"/>
  <c r="BW25" i="2" s="1"/>
  <c r="N284" i="5"/>
  <c r="N77" i="5" s="1"/>
  <c r="N285" i="5"/>
  <c r="N78" i="5" s="1"/>
  <c r="AG131" i="5"/>
  <c r="AG61" i="5" s="1"/>
  <c r="AG133" i="5"/>
  <c r="AG139" i="5"/>
  <c r="BB104" i="5"/>
  <c r="AX102" i="5"/>
  <c r="AJ126" i="5"/>
  <c r="AJ129" i="5" s="1"/>
  <c r="AO124" i="5"/>
  <c r="AT56" i="5"/>
  <c r="Z263" i="5"/>
  <c r="Z260" i="5"/>
  <c r="BL76" i="5"/>
  <c r="BI283" i="5"/>
  <c r="BI76" i="5" s="1"/>
  <c r="BH283" i="5"/>
  <c r="BH76" i="5" s="1"/>
  <c r="BJ283" i="5"/>
  <c r="BJ76" i="5" s="1"/>
  <c r="BK283" i="5"/>
  <c r="BK76" i="5" s="1"/>
  <c r="BF165" i="5"/>
  <c r="BG170" i="5"/>
  <c r="BH170" i="5" s="1"/>
  <c r="BC129" i="4"/>
  <c r="BC154" i="4"/>
  <c r="BC253" i="4"/>
  <c r="BD60" i="4"/>
  <c r="BD74" i="4"/>
  <c r="BD151" i="4" s="1"/>
  <c r="Y159" i="4"/>
  <c r="Y161" i="4" s="1"/>
  <c r="Z159" i="4" s="1"/>
  <c r="Z161" i="4" s="1"/>
  <c r="AA159" i="4" s="1"/>
  <c r="AA161" i="4" s="1"/>
  <c r="AB159" i="4" s="1"/>
  <c r="AB161" i="4" s="1"/>
  <c r="AC159" i="4"/>
  <c r="AC161" i="4" s="1"/>
  <c r="DF161" i="4"/>
  <c r="DG159" i="4"/>
  <c r="DJ159" i="4"/>
  <c r="BG178" i="4"/>
  <c r="BF183" i="4"/>
  <c r="BE58" i="4"/>
  <c r="DB161" i="4"/>
  <c r="DC159" i="4"/>
  <c r="DC161" i="4" s="1"/>
  <c r="DD159" i="4" s="1"/>
  <c r="DD161" i="4" s="1"/>
  <c r="S66" i="3"/>
  <c r="S68" i="3" s="1"/>
  <c r="S56" i="3" s="1"/>
  <c r="N64" i="3"/>
  <c r="AR58" i="3"/>
  <c r="AW65" i="3"/>
  <c r="AR66" i="3"/>
  <c r="AR68" i="3" s="1"/>
  <c r="AR56" i="3" s="1"/>
  <c r="BL122" i="6" l="1"/>
  <c r="BO122" i="6"/>
  <c r="BQ122" i="6" s="1"/>
  <c r="CB27" i="2"/>
  <c r="BW29" i="2"/>
  <c r="J17" i="20" s="1"/>
  <c r="BW34" i="2"/>
  <c r="BW36" i="2" s="1"/>
  <c r="BW39" i="2" s="1"/>
  <c r="BQ32" i="2"/>
  <c r="BN283" i="5"/>
  <c r="BN76" i="5" s="1"/>
  <c r="BM283" i="5"/>
  <c r="BM76" i="5" s="1"/>
  <c r="BP283" i="5"/>
  <c r="BP76" i="5" s="1"/>
  <c r="BO283" i="5"/>
  <c r="BO76" i="5" s="1"/>
  <c r="BQ76" i="5"/>
  <c r="BQ66" i="5"/>
  <c r="BN109" i="4"/>
  <c r="BI111" i="7"/>
  <c r="BI112" i="7" s="1"/>
  <c r="BL27" i="2"/>
  <c r="BJ111" i="7"/>
  <c r="BJ112" i="7" s="1"/>
  <c r="BM78" i="8"/>
  <c r="BO10" i="8"/>
  <c r="BN10" i="8"/>
  <c r="BN8" i="7"/>
  <c r="BN111" i="7"/>
  <c r="BO111" i="7"/>
  <c r="BO8" i="7"/>
  <c r="BN13" i="4"/>
  <c r="BH88" i="7"/>
  <c r="BH90" i="7" s="1"/>
  <c r="BM103" i="7"/>
  <c r="BM88" i="7" s="1"/>
  <c r="BQ30" i="4"/>
  <c r="BQ199" i="5"/>
  <c r="BL67" i="9"/>
  <c r="BL128" i="4"/>
  <c r="BL147" i="4"/>
  <c r="AU250" i="6"/>
  <c r="AU253" i="6"/>
  <c r="AT253" i="6"/>
  <c r="AT250" i="6"/>
  <c r="AQ253" i="7"/>
  <c r="U278" i="7"/>
  <c r="U78" i="7" s="1"/>
  <c r="AB256" i="7"/>
  <c r="AB253" i="7"/>
  <c r="Z256" i="7"/>
  <c r="Z253" i="7"/>
  <c r="AV253" i="7"/>
  <c r="AV256" i="7"/>
  <c r="AE253" i="7"/>
  <c r="AE256" i="7"/>
  <c r="AB86" i="4"/>
  <c r="AB56" i="7"/>
  <c r="AG56" i="7"/>
  <c r="AK90" i="4"/>
  <c r="AT279" i="7"/>
  <c r="AD253" i="7"/>
  <c r="AD256" i="7"/>
  <c r="AA256" i="7"/>
  <c r="AA253" i="7"/>
  <c r="Z86" i="4"/>
  <c r="Z90" i="4" s="1"/>
  <c r="Z56" i="7"/>
  <c r="AE56" i="7"/>
  <c r="AT256" i="7"/>
  <c r="AT253" i="7"/>
  <c r="AS253" i="7"/>
  <c r="AS256" i="7"/>
  <c r="AU253" i="7"/>
  <c r="AU256" i="7"/>
  <c r="AF254" i="5"/>
  <c r="AJ254" i="5"/>
  <c r="AJ250" i="5"/>
  <c r="AJ260" i="5" s="1"/>
  <c r="AO90" i="4"/>
  <c r="AQ88" i="4"/>
  <c r="AV55" i="6"/>
  <c r="AQ86" i="4"/>
  <c r="AV56" i="7"/>
  <c r="CU11" i="10"/>
  <c r="CZ103" i="10"/>
  <c r="DE98" i="10"/>
  <c r="DT59" i="3"/>
  <c r="BB129" i="4"/>
  <c r="BB253" i="4"/>
  <c r="AV225" i="8"/>
  <c r="AW225" i="8" s="1"/>
  <c r="AW27" i="3"/>
  <c r="T260" i="5"/>
  <c r="T263" i="5"/>
  <c r="AF127" i="6"/>
  <c r="AF125" i="6"/>
  <c r="AF60" i="6" s="1"/>
  <c r="K263" i="5"/>
  <c r="K260" i="5"/>
  <c r="AE250" i="5"/>
  <c r="BB35" i="6"/>
  <c r="BB189" i="6"/>
  <c r="AL55" i="6"/>
  <c r="AL88" i="4"/>
  <c r="AG55" i="6"/>
  <c r="AG88" i="4"/>
  <c r="S86" i="4"/>
  <c r="S56" i="7"/>
  <c r="X56" i="7"/>
  <c r="R263" i="5"/>
  <c r="R260" i="5"/>
  <c r="T278" i="7"/>
  <c r="T78" i="7" s="1"/>
  <c r="T279" i="7"/>
  <c r="R86" i="4"/>
  <c r="R56" i="7"/>
  <c r="W56" i="7"/>
  <c r="AP120" i="6"/>
  <c r="AU118" i="6"/>
  <c r="AV118" i="6" s="1"/>
  <c r="AV120" i="6" s="1"/>
  <c r="R56" i="5"/>
  <c r="R85" i="4"/>
  <c r="W56" i="5"/>
  <c r="L284" i="5"/>
  <c r="L77" i="5" s="1"/>
  <c r="L285" i="5"/>
  <c r="AW253" i="5"/>
  <c r="AL43" i="9"/>
  <c r="AL126" i="4"/>
  <c r="AL130" i="4" s="1"/>
  <c r="AG43" i="9"/>
  <c r="AG126" i="4"/>
  <c r="AG130" i="4" s="1"/>
  <c r="AG33" i="3"/>
  <c r="AB56" i="5"/>
  <c r="AB85" i="4"/>
  <c r="Q260" i="5"/>
  <c r="Q263" i="5"/>
  <c r="K284" i="5"/>
  <c r="K77" i="5" s="1"/>
  <c r="K285" i="5"/>
  <c r="J284" i="5"/>
  <c r="J77" i="5" s="1"/>
  <c r="J285" i="5"/>
  <c r="AS278" i="7"/>
  <c r="AS78" i="7" s="1"/>
  <c r="AS279" i="7"/>
  <c r="BD44" i="8"/>
  <c r="BD51" i="6"/>
  <c r="BD52" i="5"/>
  <c r="BD52" i="7"/>
  <c r="BD40" i="9"/>
  <c r="AJ56" i="5"/>
  <c r="AJ85" i="4"/>
  <c r="AJ90" i="4" s="1"/>
  <c r="BD216" i="5"/>
  <c r="Z274" i="6"/>
  <c r="Z74" i="6" s="1"/>
  <c r="AH55" i="6"/>
  <c r="AH88" i="4"/>
  <c r="AM55" i="6"/>
  <c r="AM88" i="4"/>
  <c r="AB44" i="9"/>
  <c r="AB89" i="4"/>
  <c r="R256" i="7"/>
  <c r="R253" i="7"/>
  <c r="V260" i="5"/>
  <c r="V263" i="5"/>
  <c r="L263" i="5"/>
  <c r="L260" i="5"/>
  <c r="H260" i="5"/>
  <c r="H263" i="5"/>
  <c r="F85" i="4"/>
  <c r="F90" i="4" s="1"/>
  <c r="K56" i="5"/>
  <c r="AC15" i="3"/>
  <c r="AI254" i="5"/>
  <c r="AI250" i="5"/>
  <c r="AG55" i="5"/>
  <c r="AG56" i="5" s="1"/>
  <c r="X55" i="6"/>
  <c r="X88" i="4"/>
  <c r="S278" i="7"/>
  <c r="S78" i="7" s="1"/>
  <c r="S279" i="7"/>
  <c r="S79" i="7" s="1"/>
  <c r="V253" i="7"/>
  <c r="V256" i="7"/>
  <c r="AD55" i="5"/>
  <c r="AG254" i="5"/>
  <c r="AG250" i="5"/>
  <c r="AF250" i="5"/>
  <c r="AF260" i="5" s="1"/>
  <c r="AD254" i="5"/>
  <c r="AR55" i="6"/>
  <c r="AR88" i="4"/>
  <c r="W55" i="6"/>
  <c r="W88" i="4"/>
  <c r="W90" i="4" s="1"/>
  <c r="AC55" i="6"/>
  <c r="S256" i="7"/>
  <c r="S253" i="7"/>
  <c r="U263" i="5"/>
  <c r="U260" i="5"/>
  <c r="Q85" i="4"/>
  <c r="Q90" i="4" s="1"/>
  <c r="Q56" i="5"/>
  <c r="V56" i="5"/>
  <c r="U253" i="7"/>
  <c r="U256" i="7"/>
  <c r="T253" i="7"/>
  <c r="T256" i="7"/>
  <c r="AK133" i="6"/>
  <c r="AK123" i="6"/>
  <c r="M56" i="5"/>
  <c r="H85" i="4"/>
  <c r="H90" i="4" s="1"/>
  <c r="I15" i="3"/>
  <c r="I20" i="3" s="1"/>
  <c r="J263" i="5"/>
  <c r="J260" i="5"/>
  <c r="AD250" i="5"/>
  <c r="AH253" i="6"/>
  <c r="AH250" i="6"/>
  <c r="AN250" i="6"/>
  <c r="AN253" i="6"/>
  <c r="AA250" i="6"/>
  <c r="AA253" i="6"/>
  <c r="AB55" i="6"/>
  <c r="AR253" i="6"/>
  <c r="AR250" i="6"/>
  <c r="AL250" i="6"/>
  <c r="AL253" i="6"/>
  <c r="Z250" i="6"/>
  <c r="Z253" i="6"/>
  <c r="AG253" i="6"/>
  <c r="AG250" i="6"/>
  <c r="AI253" i="6"/>
  <c r="AI250" i="6"/>
  <c r="AM253" i="6"/>
  <c r="AM250" i="6"/>
  <c r="AQ253" i="6"/>
  <c r="AQ250" i="6"/>
  <c r="AQ55" i="6"/>
  <c r="AP250" i="6"/>
  <c r="AP253" i="6"/>
  <c r="Y253" i="6"/>
  <c r="Y250" i="6"/>
  <c r="AJ253" i="6"/>
  <c r="AJ250" i="6"/>
  <c r="X274" i="6"/>
  <c r="X74" i="6" s="1"/>
  <c r="X275" i="6"/>
  <c r="X75" i="6" s="1"/>
  <c r="AO253" i="6"/>
  <c r="AO250" i="6"/>
  <c r="W253" i="6"/>
  <c r="W250" i="6"/>
  <c r="Y274" i="6"/>
  <c r="Y74" i="6" s="1"/>
  <c r="Y275" i="6"/>
  <c r="AK250" i="6"/>
  <c r="AK253" i="6"/>
  <c r="X253" i="6"/>
  <c r="X250" i="6"/>
  <c r="DE221" i="7"/>
  <c r="DF219" i="7" s="1"/>
  <c r="X219" i="7"/>
  <c r="X221" i="7" s="1"/>
  <c r="Y219" i="7" s="1"/>
  <c r="Y221" i="7" s="1"/>
  <c r="Z219" i="7" s="1"/>
  <c r="Z221" i="7" s="1"/>
  <c r="AA219" i="7" s="1"/>
  <c r="AA221" i="7" s="1"/>
  <c r="AB219" i="7" s="1"/>
  <c r="AB221" i="7" s="1"/>
  <c r="AK125" i="7"/>
  <c r="AK129" i="7" s="1"/>
  <c r="AK135" i="7"/>
  <c r="AK127" i="7"/>
  <c r="AK61" i="7" s="1"/>
  <c r="DC219" i="7"/>
  <c r="DC221" i="7" s="1"/>
  <c r="DD219" i="7" s="1"/>
  <c r="DD221" i="7" s="1"/>
  <c r="DB221" i="7"/>
  <c r="AP123" i="7"/>
  <c r="AU121" i="7"/>
  <c r="AV121" i="7" s="1"/>
  <c r="AV123" i="7" s="1"/>
  <c r="BG104" i="5"/>
  <c r="AO56" i="5"/>
  <c r="BF71" i="4"/>
  <c r="BG71" i="4" s="1"/>
  <c r="BE72" i="4"/>
  <c r="DJ50" i="10"/>
  <c r="DE66" i="10"/>
  <c r="BB199" i="5" s="1"/>
  <c r="DO84" i="10"/>
  <c r="DO94" i="10" s="1"/>
  <c r="DJ94" i="10"/>
  <c r="DG10" i="10"/>
  <c r="BD110" i="4" s="1"/>
  <c r="DJ175" i="10"/>
  <c r="DO173" i="10"/>
  <c r="DO175" i="10" s="1"/>
  <c r="CQ141" i="10"/>
  <c r="CQ11" i="10"/>
  <c r="CQ12" i="10" s="1"/>
  <c r="CZ29" i="10"/>
  <c r="CU32" i="10"/>
  <c r="DI10" i="10"/>
  <c r="BF110" i="4" s="1"/>
  <c r="DE36" i="10"/>
  <c r="CZ40" i="10"/>
  <c r="DF10" i="10"/>
  <c r="BC110" i="4" s="1"/>
  <c r="DO69" i="10"/>
  <c r="DT69" i="10" s="1"/>
  <c r="DT75" i="10" s="1"/>
  <c r="DE182" i="10"/>
  <c r="CR141" i="10"/>
  <c r="CR11" i="10"/>
  <c r="CR12" i="10" s="1"/>
  <c r="CP42" i="10"/>
  <c r="CP10" i="10"/>
  <c r="CP12" i="10" s="1"/>
  <c r="DH10" i="10"/>
  <c r="BE110" i="4" s="1"/>
  <c r="CZ127" i="10"/>
  <c r="CU130" i="10"/>
  <c r="CU141" i="10" s="1"/>
  <c r="DJ180" i="10"/>
  <c r="DO178" i="10"/>
  <c r="DO180" i="10" s="1"/>
  <c r="CS141" i="10"/>
  <c r="CS11" i="10"/>
  <c r="CS12" i="10" s="1"/>
  <c r="CT141" i="10"/>
  <c r="CT11" i="10"/>
  <c r="CT12" i="10" s="1"/>
  <c r="AY118" i="6"/>
  <c r="AT120" i="6"/>
  <c r="AJ258" i="6"/>
  <c r="AJ263" i="6" s="1"/>
  <c r="AI274" i="6"/>
  <c r="AI74" i="6" s="1"/>
  <c r="AI275" i="6"/>
  <c r="AO123" i="6"/>
  <c r="AO133" i="6"/>
  <c r="BE156" i="6"/>
  <c r="BF161" i="6"/>
  <c r="W275" i="6"/>
  <c r="W274" i="6"/>
  <c r="W74" i="6" s="1"/>
  <c r="BE229" i="6"/>
  <c r="AS120" i="6"/>
  <c r="AX118" i="6"/>
  <c r="BC35" i="6"/>
  <c r="BI160" i="6"/>
  <c r="BD176" i="6"/>
  <c r="BD35" i="6" s="1"/>
  <c r="BD173" i="6"/>
  <c r="BD27" i="6" s="1"/>
  <c r="AF258" i="6"/>
  <c r="AF263" i="6" s="1"/>
  <c r="AE274" i="6"/>
  <c r="AE74" i="6" s="1"/>
  <c r="AE275" i="6"/>
  <c r="AJ127" i="6"/>
  <c r="AJ125" i="6"/>
  <c r="AJ60" i="6" s="1"/>
  <c r="BA29" i="6"/>
  <c r="BA197" i="6"/>
  <c r="BB197" i="6" s="1"/>
  <c r="BA204" i="6"/>
  <c r="BB27" i="6"/>
  <c r="BB29" i="6" s="1"/>
  <c r="BC27" i="6"/>
  <c r="BC119" i="6"/>
  <c r="DT216" i="6"/>
  <c r="DT218" i="6" s="1"/>
  <c r="DU216" i="6" s="1"/>
  <c r="DQ216" i="6"/>
  <c r="DQ218" i="6" s="1"/>
  <c r="DR216" i="6"/>
  <c r="DR218" i="6" s="1"/>
  <c r="DS216" i="6" s="1"/>
  <c r="DS218" i="6" s="1"/>
  <c r="DP218" i="6"/>
  <c r="AN123" i="6"/>
  <c r="AN133" i="6"/>
  <c r="AX20" i="6"/>
  <c r="AX153" i="6"/>
  <c r="AI125" i="6"/>
  <c r="AI60" i="6" s="1"/>
  <c r="AI127" i="6"/>
  <c r="AN258" i="6"/>
  <c r="AN263" i="6" s="1"/>
  <c r="AM265" i="6"/>
  <c r="AR258" i="6"/>
  <c r="AR263" i="6" s="1"/>
  <c r="CB28" i="2" s="1"/>
  <c r="AM274" i="6"/>
  <c r="AM74" i="6" s="1"/>
  <c r="AM275" i="6"/>
  <c r="AM75" i="6" s="1"/>
  <c r="AB258" i="6"/>
  <c r="AB263" i="6" s="1"/>
  <c r="AA275" i="6"/>
  <c r="AA274" i="6"/>
  <c r="AA74" i="6" s="1"/>
  <c r="AM216" i="6"/>
  <c r="AM218" i="6" s="1"/>
  <c r="AN216" i="6" s="1"/>
  <c r="AI218" i="6"/>
  <c r="AJ216" i="6" s="1"/>
  <c r="AJ218" i="6" s="1"/>
  <c r="AK216" i="6" s="1"/>
  <c r="AK218" i="6" s="1"/>
  <c r="AL216" i="6" s="1"/>
  <c r="AL218" i="6" s="1"/>
  <c r="AL125" i="6"/>
  <c r="AL60" i="6" s="1"/>
  <c r="AL127" i="6"/>
  <c r="AQ120" i="6"/>
  <c r="AY152" i="6"/>
  <c r="AB239" i="8"/>
  <c r="AB238" i="8"/>
  <c r="AB66" i="8" s="1"/>
  <c r="BC8" i="8"/>
  <c r="BC99" i="8"/>
  <c r="BC100" i="8" s="1"/>
  <c r="AX160" i="8"/>
  <c r="AX224" i="8"/>
  <c r="AX16" i="8"/>
  <c r="AX18" i="8" s="1"/>
  <c r="BH8" i="8"/>
  <c r="BH99" i="8"/>
  <c r="DE180" i="8"/>
  <c r="DB180" i="8"/>
  <c r="DB182" i="8" s="1"/>
  <c r="DC180" i="8"/>
  <c r="DC182" i="8" s="1"/>
  <c r="DD180" i="8" s="1"/>
  <c r="DD182" i="8" s="1"/>
  <c r="DA182" i="8"/>
  <c r="AG222" i="8"/>
  <c r="AG227" i="8" s="1"/>
  <c r="AF238" i="8"/>
  <c r="AF66" i="8" s="1"/>
  <c r="AF239" i="8"/>
  <c r="AR229" i="8"/>
  <c r="AS222" i="8"/>
  <c r="AS227" i="8" s="1"/>
  <c r="AW222" i="8"/>
  <c r="AR239" i="8"/>
  <c r="AR67" i="8" s="1"/>
  <c r="AR238" i="8"/>
  <c r="AR66" i="8" s="1"/>
  <c r="BE193" i="8"/>
  <c r="AK222" i="8"/>
  <c r="AK227" i="8" s="1"/>
  <c r="AJ238" i="8"/>
  <c r="AJ66" i="8" s="1"/>
  <c r="AJ239" i="8"/>
  <c r="BJ124" i="8"/>
  <c r="AO222" i="8"/>
  <c r="AO227" i="8" s="1"/>
  <c r="AN238" i="8"/>
  <c r="AN66" i="8" s="1"/>
  <c r="AN239" i="8"/>
  <c r="AX10" i="8"/>
  <c r="AL253" i="7"/>
  <c r="AL256" i="7"/>
  <c r="AN256" i="7"/>
  <c r="AN253" i="7"/>
  <c r="AN125" i="7"/>
  <c r="AN129" i="7" s="1"/>
  <c r="AN127" i="7"/>
  <c r="AN61" i="7" s="1"/>
  <c r="AN135" i="7"/>
  <c r="AV261" i="7"/>
  <c r="AU278" i="7"/>
  <c r="AU78" i="7" s="1"/>
  <c r="AU279" i="7"/>
  <c r="AX8" i="7"/>
  <c r="AX111" i="7"/>
  <c r="AX112" i="7" s="1"/>
  <c r="AO278" i="7"/>
  <c r="AO78" i="7" s="1"/>
  <c r="AO279" i="7"/>
  <c r="AK56" i="7"/>
  <c r="AP56" i="7"/>
  <c r="AP278" i="7"/>
  <c r="AP78" i="7" s="1"/>
  <c r="AP279" i="7"/>
  <c r="AQ123" i="7"/>
  <c r="BF232" i="7"/>
  <c r="AE261" i="7"/>
  <c r="AE266" i="7" s="1"/>
  <c r="AD278" i="7"/>
  <c r="AD78" i="7" s="1"/>
  <c r="AD279" i="7"/>
  <c r="R279" i="7"/>
  <c r="R278" i="7"/>
  <c r="R78" i="7" s="1"/>
  <c r="AK278" i="7"/>
  <c r="AK78" i="7" s="1"/>
  <c r="AK279" i="7"/>
  <c r="W261" i="7"/>
  <c r="W266" i="7" s="1"/>
  <c r="V278" i="7"/>
  <c r="V78" i="7" s="1"/>
  <c r="V279" i="7"/>
  <c r="AO253" i="7"/>
  <c r="AO256" i="7"/>
  <c r="AA261" i="7"/>
  <c r="AA266" i="7" s="1"/>
  <c r="Z279" i="7"/>
  <c r="Z278" i="7"/>
  <c r="Z78" i="7" s="1"/>
  <c r="AK253" i="7"/>
  <c r="AK256" i="7"/>
  <c r="BC122" i="7"/>
  <c r="AP253" i="7"/>
  <c r="AP256" i="7"/>
  <c r="AS123" i="7"/>
  <c r="AS135" i="7" s="1"/>
  <c r="AX121" i="7"/>
  <c r="AX161" i="7"/>
  <c r="BC90" i="7"/>
  <c r="BD121" i="7"/>
  <c r="AY123" i="7"/>
  <c r="BB124" i="7"/>
  <c r="BC124" i="7"/>
  <c r="AL278" i="7"/>
  <c r="AL78" i="7" s="1"/>
  <c r="AL279" i="7"/>
  <c r="AN278" i="7"/>
  <c r="AN78" i="7" s="1"/>
  <c r="AN279" i="7"/>
  <c r="AL56" i="7"/>
  <c r="AQ56" i="7"/>
  <c r="AT127" i="7"/>
  <c r="AT61" i="7" s="1"/>
  <c r="AT125" i="7"/>
  <c r="AT129" i="7" s="1"/>
  <c r="AY135" i="7"/>
  <c r="BE87" i="5"/>
  <c r="BE89" i="5" s="1"/>
  <c r="AJ131" i="5"/>
  <c r="AJ61" i="5" s="1"/>
  <c r="AJ139" i="5"/>
  <c r="AJ133" i="5"/>
  <c r="BF183" i="5"/>
  <c r="BG165" i="5"/>
  <c r="BF186" i="5"/>
  <c r="BF36" i="5" s="1"/>
  <c r="BC102" i="5"/>
  <c r="AX87" i="5"/>
  <c r="AE263" i="5"/>
  <c r="AE260" i="5"/>
  <c r="AN260" i="5"/>
  <c r="AN263" i="5"/>
  <c r="BJ66" i="5"/>
  <c r="BJ104" i="5" s="1"/>
  <c r="BJ102" i="5" s="1"/>
  <c r="BH66" i="5"/>
  <c r="BH104" i="5" s="1"/>
  <c r="BK66" i="5"/>
  <c r="BK104" i="5" s="1"/>
  <c r="BI66" i="5"/>
  <c r="BI104" i="5" s="1"/>
  <c r="BI102" i="5" s="1"/>
  <c r="BC127" i="5"/>
  <c r="BE36" i="5"/>
  <c r="BC128" i="5"/>
  <c r="AS126" i="5"/>
  <c r="AS129" i="5" s="1"/>
  <c r="AX124" i="5"/>
  <c r="BI170" i="5"/>
  <c r="BH165" i="5"/>
  <c r="T268" i="5"/>
  <c r="T273" i="5" s="1"/>
  <c r="X268" i="5"/>
  <c r="X273" i="5" s="1"/>
  <c r="BX25" i="2" s="1"/>
  <c r="BX29" i="2" s="1"/>
  <c r="S275" i="5"/>
  <c r="S284" i="5"/>
  <c r="S77" i="5" s="1"/>
  <c r="S285" i="5"/>
  <c r="S78" i="5" s="1"/>
  <c r="AJ263" i="5"/>
  <c r="AQ263" i="5"/>
  <c r="AQ260" i="5"/>
  <c r="AZ124" i="5"/>
  <c r="AU126" i="5"/>
  <c r="AU129" i="5" s="1"/>
  <c r="BC216" i="5"/>
  <c r="AZ8" i="5"/>
  <c r="AZ8" i="4" s="1"/>
  <c r="AZ110" i="5"/>
  <c r="AZ111" i="5" s="1"/>
  <c r="BE30" i="5"/>
  <c r="BE207" i="5"/>
  <c r="BE214" i="5"/>
  <c r="AX206" i="5"/>
  <c r="AX270" i="5"/>
  <c r="BA161" i="5"/>
  <c r="AN131" i="5"/>
  <c r="AN61" i="5" s="1"/>
  <c r="AN139" i="5"/>
  <c r="AN133" i="5"/>
  <c r="AO126" i="5"/>
  <c r="AO129" i="5" s="1"/>
  <c r="AT124" i="5"/>
  <c r="AV124" i="5" s="1"/>
  <c r="AV126" i="5" s="1"/>
  <c r="AV129" i="5" s="1"/>
  <c r="AK260" i="5"/>
  <c r="AK263" i="5"/>
  <c r="AL263" i="5"/>
  <c r="AL260" i="5"/>
  <c r="Q268" i="5"/>
  <c r="Q273" i="5" s="1"/>
  <c r="P284" i="5"/>
  <c r="P77" i="5" s="1"/>
  <c r="P285" i="5"/>
  <c r="AP263" i="5"/>
  <c r="AP260" i="5"/>
  <c r="AS260" i="5"/>
  <c r="AS263" i="5"/>
  <c r="AP131" i="5"/>
  <c r="AP61" i="5" s="1"/>
  <c r="AP133" i="5"/>
  <c r="AP139" i="5"/>
  <c r="AY8" i="5"/>
  <c r="AY8" i="4" s="1"/>
  <c r="AY110" i="5"/>
  <c r="AY111" i="5" s="1"/>
  <c r="DL226" i="5"/>
  <c r="DO226" i="5"/>
  <c r="DO228" i="5" s="1"/>
  <c r="DP226" i="5" s="1"/>
  <c r="DK228" i="5"/>
  <c r="BC125" i="5"/>
  <c r="AQ124" i="5"/>
  <c r="AF263" i="5"/>
  <c r="AO260" i="5"/>
  <c r="AO263" i="5"/>
  <c r="BE239" i="5"/>
  <c r="BD87" i="5"/>
  <c r="BD89" i="5" s="1"/>
  <c r="AX163" i="5"/>
  <c r="AY167" i="5" s="1"/>
  <c r="DH226" i="5"/>
  <c r="DH228" i="5" s="1"/>
  <c r="DI226" i="5" s="1"/>
  <c r="DI228" i="5" s="1"/>
  <c r="DG228" i="5"/>
  <c r="AH226" i="5"/>
  <c r="AH228" i="5" s="1"/>
  <c r="AI226" i="5" s="1"/>
  <c r="AD228" i="5"/>
  <c r="AE226" i="5" s="1"/>
  <c r="AE228" i="5" s="1"/>
  <c r="AF226" i="5" s="1"/>
  <c r="AF228" i="5" s="1"/>
  <c r="AG226" i="5" s="1"/>
  <c r="AG228" i="5" s="1"/>
  <c r="DG161" i="4"/>
  <c r="DH159" i="4"/>
  <c r="DH161" i="4" s="1"/>
  <c r="DI159" i="4" s="1"/>
  <c r="DI161" i="4" s="1"/>
  <c r="BD129" i="4"/>
  <c r="BD154" i="4"/>
  <c r="BD253" i="4"/>
  <c r="BF58" i="4"/>
  <c r="BG58" i="4" s="1"/>
  <c r="BG45" i="3" s="1"/>
  <c r="BE59" i="4"/>
  <c r="BG183" i="4"/>
  <c r="BH178" i="4"/>
  <c r="AD159" i="4"/>
  <c r="AD161" i="4" s="1"/>
  <c r="AE159" i="4" s="1"/>
  <c r="AE161" i="4" s="1"/>
  <c r="AF159" i="4" s="1"/>
  <c r="AF161" i="4" s="1"/>
  <c r="AG159" i="4" s="1"/>
  <c r="AG161" i="4" s="1"/>
  <c r="AH159" i="4"/>
  <c r="AH161" i="4" s="1"/>
  <c r="N55" i="3"/>
  <c r="N66" i="3"/>
  <c r="N68" i="3" s="1"/>
  <c r="N56" i="3" s="1"/>
  <c r="AC41" i="3"/>
  <c r="AC57" i="3" s="1"/>
  <c r="I41" i="3"/>
  <c r="AR41" i="3"/>
  <c r="AR57" i="3" s="1"/>
  <c r="AR18" i="2" s="1"/>
  <c r="AR19" i="2" s="1"/>
  <c r="X41" i="3"/>
  <c r="X57" i="3" s="1"/>
  <c r="AM41" i="3"/>
  <c r="AM57" i="3" s="1"/>
  <c r="AM18" i="2" s="1"/>
  <c r="AM19" i="2" s="1"/>
  <c r="S41" i="3"/>
  <c r="S57" i="3" s="1"/>
  <c r="BB41" i="3"/>
  <c r="BB57" i="3" s="1"/>
  <c r="BB18" i="2" s="1"/>
  <c r="AH41" i="3"/>
  <c r="AH57" i="3" s="1"/>
  <c r="N41" i="3"/>
  <c r="N57" i="3" s="1"/>
  <c r="AW41" i="3"/>
  <c r="AW57" i="3" s="1"/>
  <c r="AW18" i="2" s="1"/>
  <c r="BB65" i="3"/>
  <c r="AW66" i="3"/>
  <c r="BO112" i="7" l="1"/>
  <c r="ED64" i="3"/>
  <c r="BT147" i="4"/>
  <c r="BN112" i="7"/>
  <c r="BQ27" i="2"/>
  <c r="BO66" i="5"/>
  <c r="BO104" i="5" s="1"/>
  <c r="BO102" i="5" s="1"/>
  <c r="BO87" i="5" s="1"/>
  <c r="BO89" i="5" s="1"/>
  <c r="BN66" i="5"/>
  <c r="BN104" i="5" s="1"/>
  <c r="BN102" i="5" s="1"/>
  <c r="BN87" i="5" s="1"/>
  <c r="BN89" i="5" s="1"/>
  <c r="BM66" i="5"/>
  <c r="BM104" i="5" s="1"/>
  <c r="BP66" i="5"/>
  <c r="BP104" i="5" s="1"/>
  <c r="BJ87" i="5"/>
  <c r="BJ89" i="5" s="1"/>
  <c r="BJ110" i="5" s="1"/>
  <c r="BI87" i="5"/>
  <c r="BI89" i="5" s="1"/>
  <c r="BI110" i="5" s="1"/>
  <c r="BM99" i="8"/>
  <c r="BM100" i="8" s="1"/>
  <c r="BM8" i="8"/>
  <c r="BM90" i="7"/>
  <c r="BZ19" i="2"/>
  <c r="BX19" i="2"/>
  <c r="BY19" i="2"/>
  <c r="CE48" i="2"/>
  <c r="CA48" i="2"/>
  <c r="CD48" i="2"/>
  <c r="CG48" i="2"/>
  <c r="CC48" i="2"/>
  <c r="CF48" i="2"/>
  <c r="CB48" i="2"/>
  <c r="BQ198" i="5"/>
  <c r="DT77" i="10"/>
  <c r="AS123" i="6"/>
  <c r="AS133" i="6"/>
  <c r="AV133" i="6"/>
  <c r="AV123" i="6"/>
  <c r="AW258" i="6"/>
  <c r="AW263" i="6" s="1"/>
  <c r="CC28" i="2" s="1"/>
  <c r="AS258" i="6"/>
  <c r="AS263" i="6" s="1"/>
  <c r="AT123" i="6"/>
  <c r="AT133" i="6"/>
  <c r="AY133" i="6" s="1"/>
  <c r="AV127" i="7"/>
  <c r="AV61" i="7" s="1"/>
  <c r="AV135" i="7"/>
  <c r="AV125" i="7"/>
  <c r="AV129" i="7" s="1"/>
  <c r="AV139" i="5"/>
  <c r="AV133" i="5"/>
  <c r="AU133" i="5"/>
  <c r="AU131" i="5"/>
  <c r="AS133" i="5"/>
  <c r="AS131" i="5"/>
  <c r="AB90" i="4"/>
  <c r="AQ90" i="4"/>
  <c r="DE103" i="10"/>
  <c r="DB98" i="10"/>
  <c r="DB103" i="10" s="1"/>
  <c r="DJ98" i="10"/>
  <c r="DI98" i="10"/>
  <c r="DH98" i="10"/>
  <c r="DD98" i="10"/>
  <c r="DD103" i="10" s="1"/>
  <c r="DF98" i="10"/>
  <c r="DA98" i="10"/>
  <c r="DA103" i="10" s="1"/>
  <c r="DG98" i="10"/>
  <c r="DC98" i="10"/>
  <c r="DC103" i="10" s="1"/>
  <c r="BG72" i="4"/>
  <c r="BG40" i="3"/>
  <c r="AR13" i="3"/>
  <c r="CB51" i="2" s="1"/>
  <c r="AR90" i="4"/>
  <c r="AD85" i="4"/>
  <c r="AD90" i="4" s="1"/>
  <c r="AI56" i="5"/>
  <c r="AD56" i="5"/>
  <c r="BU288" i="5"/>
  <c r="BU291" i="5" s="1"/>
  <c r="BU293" i="5" s="1"/>
  <c r="J18" i="20"/>
  <c r="K18" i="20" s="1"/>
  <c r="L18" i="20" s="1"/>
  <c r="X13" i="3"/>
  <c r="X90" i="4"/>
  <c r="AI263" i="5"/>
  <c r="AI260" i="5"/>
  <c r="AC60" i="3"/>
  <c r="AC62" i="3"/>
  <c r="AC42" i="3"/>
  <c r="AC55" i="3"/>
  <c r="AM13" i="3"/>
  <c r="CA51" i="2" s="1"/>
  <c r="AM90" i="4"/>
  <c r="BE216" i="5"/>
  <c r="BG189" i="6"/>
  <c r="AG89" i="4"/>
  <c r="AG44" i="9"/>
  <c r="AL89" i="4"/>
  <c r="AL90" i="4" s="1"/>
  <c r="AL44" i="9"/>
  <c r="AQ44" i="9"/>
  <c r="AZ118" i="6"/>
  <c r="AU120" i="6"/>
  <c r="BE39" i="9"/>
  <c r="BE50" i="6"/>
  <c r="BE43" i="8"/>
  <c r="BE51" i="7"/>
  <c r="BE51" i="5"/>
  <c r="AX28" i="4"/>
  <c r="BL189" i="6"/>
  <c r="AC20" i="3"/>
  <c r="AH13" i="3"/>
  <c r="BZ51" i="2" s="1"/>
  <c r="AH90" i="4"/>
  <c r="AP123" i="6"/>
  <c r="AP133" i="6"/>
  <c r="S11" i="3"/>
  <c r="S90" i="4"/>
  <c r="AD263" i="5"/>
  <c r="AD260" i="5"/>
  <c r="I42" i="3"/>
  <c r="N16" i="3"/>
  <c r="AK127" i="6"/>
  <c r="AK125" i="6"/>
  <c r="AK60" i="6" s="1"/>
  <c r="DO58" i="3"/>
  <c r="AG260" i="5"/>
  <c r="AG263" i="5"/>
  <c r="AG85" i="4"/>
  <c r="AL56" i="5"/>
  <c r="R90" i="4"/>
  <c r="BH100" i="8"/>
  <c r="BG36" i="5"/>
  <c r="BG186" i="5"/>
  <c r="BG187" i="5" s="1"/>
  <c r="DO182" i="10"/>
  <c r="AU123" i="7"/>
  <c r="AU135" i="7" s="1"/>
  <c r="AZ121" i="7"/>
  <c r="DG219" i="7"/>
  <c r="DJ219" i="7"/>
  <c r="DF221" i="7"/>
  <c r="AP127" i="7"/>
  <c r="AP61" i="7" s="1"/>
  <c r="AP135" i="7"/>
  <c r="AP125" i="7"/>
  <c r="AP129" i="7" s="1"/>
  <c r="BH71" i="4"/>
  <c r="BF72" i="4"/>
  <c r="DJ182" i="10"/>
  <c r="DO50" i="10"/>
  <c r="DJ66" i="10"/>
  <c r="BG199" i="5" s="1"/>
  <c r="CU42" i="10"/>
  <c r="CU10" i="10"/>
  <c r="CU12" i="10" s="1"/>
  <c r="CY127" i="10"/>
  <c r="CY130" i="10" s="1"/>
  <c r="DC127" i="10"/>
  <c r="DC130" i="10" s="1"/>
  <c r="DE127" i="10"/>
  <c r="DD127" i="10"/>
  <c r="DD130" i="10" s="1"/>
  <c r="CV127" i="10"/>
  <c r="CV130" i="10" s="1"/>
  <c r="CW127" i="10"/>
  <c r="CW130" i="10" s="1"/>
  <c r="DB127" i="10"/>
  <c r="DB130" i="10" s="1"/>
  <c r="DA127" i="10"/>
  <c r="DA130" i="10" s="1"/>
  <c r="CX127" i="10"/>
  <c r="CX130" i="10" s="1"/>
  <c r="CZ130" i="10"/>
  <c r="DJ36" i="10"/>
  <c r="DE40" i="10"/>
  <c r="DE29" i="10"/>
  <c r="CV29" i="10"/>
  <c r="CV32" i="10" s="1"/>
  <c r="DD29" i="10"/>
  <c r="DD32" i="10" s="1"/>
  <c r="CY29" i="10"/>
  <c r="CY32" i="10" s="1"/>
  <c r="DB29" i="10"/>
  <c r="DB32" i="10" s="1"/>
  <c r="CX29" i="10"/>
  <c r="CX32" i="10" s="1"/>
  <c r="CW29" i="10"/>
  <c r="CW32" i="10" s="1"/>
  <c r="DC29" i="10"/>
  <c r="DC32" i="10" s="1"/>
  <c r="DA29" i="10"/>
  <c r="DA32" i="10" s="1"/>
  <c r="CZ32" i="10"/>
  <c r="AB275" i="6"/>
  <c r="AB274" i="6"/>
  <c r="AB74" i="6" s="1"/>
  <c r="AN125" i="6"/>
  <c r="AN60" i="6" s="1"/>
  <c r="AN127" i="6"/>
  <c r="AG258" i="6"/>
  <c r="AG263" i="6" s="1"/>
  <c r="AF274" i="6"/>
  <c r="AF74" i="6" s="1"/>
  <c r="AF275" i="6"/>
  <c r="BE173" i="6"/>
  <c r="BE27" i="6" s="1"/>
  <c r="BE176" i="6"/>
  <c r="BE35" i="6" s="1"/>
  <c r="AO127" i="6"/>
  <c r="AO125" i="6"/>
  <c r="AO60" i="6" s="1"/>
  <c r="AQ123" i="6"/>
  <c r="AQ133" i="6"/>
  <c r="DY216" i="6"/>
  <c r="DY218" i="6" s="1"/>
  <c r="DZ216" i="6" s="1"/>
  <c r="DV216" i="6"/>
  <c r="DU218" i="6"/>
  <c r="BC29" i="6"/>
  <c r="BC197" i="6"/>
  <c r="BC204" i="6"/>
  <c r="BA206" i="6"/>
  <c r="BB204" i="6"/>
  <c r="BB206" i="6" s="1"/>
  <c r="BD29" i="6"/>
  <c r="BD197" i="6"/>
  <c r="BD204" i="6"/>
  <c r="BD206" i="6" s="1"/>
  <c r="BF229" i="6"/>
  <c r="AX154" i="6"/>
  <c r="AY158" i="6" s="1"/>
  <c r="AY153" i="6" s="1"/>
  <c r="AX196" i="6"/>
  <c r="AX260" i="6"/>
  <c r="BH119" i="6"/>
  <c r="BM119" i="6" s="1"/>
  <c r="BC118" i="6"/>
  <c r="AX120" i="6"/>
  <c r="AX123" i="6" s="1"/>
  <c r="AN218" i="6"/>
  <c r="AO216" i="6" s="1"/>
  <c r="AO218" i="6" s="1"/>
  <c r="AP216" i="6" s="1"/>
  <c r="AP218" i="6" s="1"/>
  <c r="AQ216" i="6" s="1"/>
  <c r="AQ218" i="6" s="1"/>
  <c r="AR216" i="6"/>
  <c r="AR218" i="6" s="1"/>
  <c r="AS216" i="6" s="1"/>
  <c r="AO258" i="6"/>
  <c r="AO263" i="6" s="1"/>
  <c r="AN275" i="6"/>
  <c r="AN274" i="6"/>
  <c r="AN74" i="6" s="1"/>
  <c r="AZ152" i="6"/>
  <c r="AR265" i="6"/>
  <c r="AR275" i="6"/>
  <c r="AR75" i="6" s="1"/>
  <c r="AR274" i="6"/>
  <c r="AR74" i="6" s="1"/>
  <c r="BJ160" i="6"/>
  <c r="AX133" i="6"/>
  <c r="BG161" i="6"/>
  <c r="BH161" i="6" s="1"/>
  <c r="BF156" i="6"/>
  <c r="AK258" i="6"/>
  <c r="AK263" i="6" s="1"/>
  <c r="AJ275" i="6"/>
  <c r="AJ274" i="6"/>
  <c r="AJ74" i="6" s="1"/>
  <c r="BD118" i="6"/>
  <c r="AY120" i="6"/>
  <c r="AY123" i="6" s="1"/>
  <c r="BK124" i="8"/>
  <c r="BM124" i="8" s="1"/>
  <c r="BH10" i="8"/>
  <c r="BC10" i="8"/>
  <c r="AP222" i="8"/>
  <c r="AP227" i="8" s="1"/>
  <c r="AO238" i="8"/>
  <c r="AO66" i="8" s="1"/>
  <c r="AO239" i="8"/>
  <c r="AL222" i="8"/>
  <c r="AL227" i="8" s="1"/>
  <c r="AK238" i="8"/>
  <c r="AK66" i="8" s="1"/>
  <c r="AK239" i="8"/>
  <c r="BF193" i="8"/>
  <c r="AT222" i="8"/>
  <c r="AT227" i="8" s="1"/>
  <c r="AS238" i="8"/>
  <c r="AS66" i="8" s="1"/>
  <c r="AS239" i="8"/>
  <c r="AG238" i="8"/>
  <c r="AG66" i="8" s="1"/>
  <c r="AG239" i="8"/>
  <c r="X180" i="8"/>
  <c r="X182" i="8" s="1"/>
  <c r="Y180" i="8" s="1"/>
  <c r="Y182" i="8" s="1"/>
  <c r="Z180" i="8" s="1"/>
  <c r="Z182" i="8" s="1"/>
  <c r="AA180" i="8" s="1"/>
  <c r="AA182" i="8" s="1"/>
  <c r="AB180" i="8" s="1"/>
  <c r="AB182" i="8" s="1"/>
  <c r="DE182" i="8"/>
  <c r="DF180" i="8" s="1"/>
  <c r="AY127" i="7"/>
  <c r="AY125" i="7"/>
  <c r="AY129" i="7" s="1"/>
  <c r="AY134" i="7"/>
  <c r="AY14" i="7" s="1"/>
  <c r="AY16" i="7" s="1"/>
  <c r="BD135" i="7"/>
  <c r="AF261" i="7"/>
  <c r="AF266" i="7" s="1"/>
  <c r="AE278" i="7"/>
  <c r="AE78" i="7" s="1"/>
  <c r="AE279" i="7"/>
  <c r="W279" i="7"/>
  <c r="W278" i="7"/>
  <c r="W78" i="7" s="1"/>
  <c r="BG232" i="7"/>
  <c r="AX123" i="7"/>
  <c r="BC121" i="7"/>
  <c r="AX21" i="7"/>
  <c r="AX21" i="4" s="1"/>
  <c r="AX156" i="7"/>
  <c r="BI121" i="7"/>
  <c r="BD123" i="7"/>
  <c r="BH8" i="7"/>
  <c r="BH111" i="7"/>
  <c r="BH124" i="7"/>
  <c r="BL124" i="7" s="1"/>
  <c r="BG124" i="7"/>
  <c r="BC8" i="7"/>
  <c r="BC111" i="7"/>
  <c r="BC112" i="7" s="1"/>
  <c r="AS125" i="7"/>
  <c r="AS129" i="7" s="1"/>
  <c r="AS127" i="7"/>
  <c r="AS61" i="7" s="1"/>
  <c r="AX135" i="7"/>
  <c r="BH122" i="7"/>
  <c r="BM122" i="7" s="1"/>
  <c r="AB261" i="7"/>
  <c r="AB266" i="7" s="1"/>
  <c r="AA279" i="7"/>
  <c r="AA278" i="7"/>
  <c r="AA78" i="7" s="1"/>
  <c r="AQ125" i="7"/>
  <c r="AQ129" i="7" s="1"/>
  <c r="AQ127" i="7"/>
  <c r="AQ61" i="7" s="1"/>
  <c r="AQ135" i="7"/>
  <c r="BD8" i="5"/>
  <c r="BD8" i="4" s="1"/>
  <c r="BD110" i="5"/>
  <c r="BD111" i="5" s="1"/>
  <c r="AQ126" i="5"/>
  <c r="AQ129" i="5" s="1"/>
  <c r="AV131" i="5" s="1"/>
  <c r="AV61" i="5" s="1"/>
  <c r="BH125" i="5"/>
  <c r="BM125" i="5" s="1"/>
  <c r="DM226" i="5"/>
  <c r="DM228" i="5" s="1"/>
  <c r="DN226" i="5" s="1"/>
  <c r="DN228" i="5" s="1"/>
  <c r="DL228" i="5"/>
  <c r="AT126" i="5"/>
  <c r="AT129" i="5" s="1"/>
  <c r="AY124" i="5"/>
  <c r="U268" i="5"/>
  <c r="U273" i="5" s="1"/>
  <c r="T285" i="5"/>
  <c r="T284" i="5"/>
  <c r="T77" i="5" s="1"/>
  <c r="BH128" i="5"/>
  <c r="BM128" i="5" s="1"/>
  <c r="BH127" i="5"/>
  <c r="BM127" i="5" s="1"/>
  <c r="BL104" i="5"/>
  <c r="AX89" i="5"/>
  <c r="BF28" i="5"/>
  <c r="BG183" i="5"/>
  <c r="BG184" i="5" s="1"/>
  <c r="BE8" i="5"/>
  <c r="BE8" i="4" s="1"/>
  <c r="BE110" i="5"/>
  <c r="BE111" i="5" s="1"/>
  <c r="AY21" i="5"/>
  <c r="R268" i="5"/>
  <c r="R273" i="5" s="1"/>
  <c r="Q284" i="5"/>
  <c r="Q77" i="5" s="1"/>
  <c r="Q285" i="5"/>
  <c r="AO131" i="5"/>
  <c r="AO61" i="5" s="1"/>
  <c r="AO133" i="5"/>
  <c r="AO139" i="5"/>
  <c r="BB161" i="5"/>
  <c r="AU61" i="5"/>
  <c r="AU139" i="5"/>
  <c r="AZ139" i="5" s="1"/>
  <c r="BH186" i="5"/>
  <c r="BH183" i="5"/>
  <c r="AX126" i="5"/>
  <c r="AX129" i="5" s="1"/>
  <c r="BC124" i="5"/>
  <c r="BH102" i="5"/>
  <c r="BC87" i="5"/>
  <c r="AM226" i="5"/>
  <c r="AM228" i="5" s="1"/>
  <c r="AN226" i="5" s="1"/>
  <c r="AI228" i="5"/>
  <c r="AJ226" i="5" s="1"/>
  <c r="AJ228" i="5" s="1"/>
  <c r="AK226" i="5" s="1"/>
  <c r="AK228" i="5" s="1"/>
  <c r="AL226" i="5" s="1"/>
  <c r="AL228" i="5" s="1"/>
  <c r="AY162" i="5"/>
  <c r="BF239" i="5"/>
  <c r="AZ126" i="5"/>
  <c r="AZ129" i="5" s="1"/>
  <c r="BE124" i="5"/>
  <c r="BI165" i="5"/>
  <c r="BJ170" i="5"/>
  <c r="AS61" i="5"/>
  <c r="AS139" i="5"/>
  <c r="AX139" i="5" s="1"/>
  <c r="DT226" i="5"/>
  <c r="DT228" i="5" s="1"/>
  <c r="DU226" i="5" s="1"/>
  <c r="DQ226" i="5"/>
  <c r="DP228" i="5"/>
  <c r="Y268" i="5"/>
  <c r="Y273" i="5" s="1"/>
  <c r="AC268" i="5"/>
  <c r="AC273" i="5" s="1"/>
  <c r="BY25" i="2" s="1"/>
  <c r="BY29" i="2" s="1"/>
  <c r="BY32" i="2" s="1"/>
  <c r="BY34" i="2" s="1"/>
  <c r="BY36" i="2" s="1"/>
  <c r="BY39" i="2" s="1"/>
  <c r="X275" i="5"/>
  <c r="X284" i="5"/>
  <c r="X77" i="5" s="1"/>
  <c r="X31" i="2" s="1"/>
  <c r="X285" i="5"/>
  <c r="X78" i="5" s="1"/>
  <c r="BI178" i="4"/>
  <c r="BH183" i="4"/>
  <c r="BE60" i="4"/>
  <c r="BE74" i="4"/>
  <c r="BE151" i="4" s="1"/>
  <c r="AI159" i="4"/>
  <c r="AI161" i="4" s="1"/>
  <c r="AJ159" i="4" s="1"/>
  <c r="AJ161" i="4" s="1"/>
  <c r="AK159" i="4" s="1"/>
  <c r="AK161" i="4" s="1"/>
  <c r="AL159" i="4" s="1"/>
  <c r="AL161" i="4" s="1"/>
  <c r="AM159" i="4"/>
  <c r="AM161" i="4" s="1"/>
  <c r="BH58" i="4"/>
  <c r="BH59" i="4" s="1"/>
  <c r="BF59" i="4"/>
  <c r="BG65" i="3"/>
  <c r="BB66" i="3"/>
  <c r="BV288" i="5" l="1"/>
  <c r="BV291" i="5" s="1"/>
  <c r="BV293" i="5" s="1"/>
  <c r="BN124" i="8"/>
  <c r="BO124" i="8" s="1"/>
  <c r="BP124" i="8" s="1"/>
  <c r="BJ8" i="5"/>
  <c r="BJ8" i="4" s="1"/>
  <c r="BQ104" i="5"/>
  <c r="BI8" i="5"/>
  <c r="BI8" i="4" s="1"/>
  <c r="BI123" i="7"/>
  <c r="BI127" i="7" s="1"/>
  <c r="BN121" i="7"/>
  <c r="BN123" i="7" s="1"/>
  <c r="BN8" i="5"/>
  <c r="BN110" i="5"/>
  <c r="BN111" i="5" s="1"/>
  <c r="BM10" i="8"/>
  <c r="BO8" i="5"/>
  <c r="BO110" i="5"/>
  <c r="BO111" i="5" s="1"/>
  <c r="BH87" i="5"/>
  <c r="BM102" i="5"/>
  <c r="BM87" i="5" s="1"/>
  <c r="BM8" i="7"/>
  <c r="BM111" i="7"/>
  <c r="BM112" i="7" s="1"/>
  <c r="AU123" i="6"/>
  <c r="AU133" i="6"/>
  <c r="AW265" i="6"/>
  <c r="AW275" i="6"/>
  <c r="AW75" i="6" s="1"/>
  <c r="AW274" i="6"/>
  <c r="AS127" i="6"/>
  <c r="AX127" i="6" s="1"/>
  <c r="AS125" i="6"/>
  <c r="AS60" i="6" s="1"/>
  <c r="AS218" i="6"/>
  <c r="AT216" i="6" s="1"/>
  <c r="AT218" i="6" s="1"/>
  <c r="AU216" i="6" s="1"/>
  <c r="AU218" i="6" s="1"/>
  <c r="AV216" i="6" s="1"/>
  <c r="AV218" i="6" s="1"/>
  <c r="AW216" i="6"/>
  <c r="AW218" i="6" s="1"/>
  <c r="AT125" i="6"/>
  <c r="AT60" i="6" s="1"/>
  <c r="AT127" i="6"/>
  <c r="AY127" i="6" s="1"/>
  <c r="AT258" i="6"/>
  <c r="AT263" i="6" s="1"/>
  <c r="AS275" i="6"/>
  <c r="AS274" i="6"/>
  <c r="AS74" i="6" s="1"/>
  <c r="AV125" i="6"/>
  <c r="AV60" i="6" s="1"/>
  <c r="BI111" i="5"/>
  <c r="AT131" i="5"/>
  <c r="AT61" i="5" s="1"/>
  <c r="AT133" i="5"/>
  <c r="AG90" i="4"/>
  <c r="DG103" i="10"/>
  <c r="DG105" i="10" s="1"/>
  <c r="DF103" i="10"/>
  <c r="DF105" i="10" s="1"/>
  <c r="DH103" i="10"/>
  <c r="DH105" i="10" s="1"/>
  <c r="DJ103" i="10"/>
  <c r="DO98" i="10"/>
  <c r="DI103" i="10"/>
  <c r="DI105" i="10" s="1"/>
  <c r="AX135" i="4"/>
  <c r="BE40" i="9"/>
  <c r="BE51" i="6"/>
  <c r="BE44" i="8"/>
  <c r="BE52" i="7"/>
  <c r="BE52" i="5"/>
  <c r="AM15" i="3"/>
  <c r="AM20" i="3" s="1"/>
  <c r="AR15" i="3"/>
  <c r="AR20" i="3" s="1"/>
  <c r="AX192" i="7"/>
  <c r="AP125" i="6"/>
  <c r="AP60" i="6" s="1"/>
  <c r="AP127" i="6"/>
  <c r="BG43" i="3"/>
  <c r="BG41" i="3"/>
  <c r="BG57" i="3" s="1"/>
  <c r="BG18" i="2" s="1"/>
  <c r="BH39" i="9"/>
  <c r="BH43" i="8"/>
  <c r="BH50" i="6"/>
  <c r="BH51" i="5"/>
  <c r="BH51" i="7"/>
  <c r="AY192" i="7"/>
  <c r="AZ133" i="6"/>
  <c r="BA192" i="7"/>
  <c r="X15" i="3"/>
  <c r="X20" i="3" s="1"/>
  <c r="BF39" i="9"/>
  <c r="BF50" i="6"/>
  <c r="BF43" i="8"/>
  <c r="BF51" i="7"/>
  <c r="BF51" i="5"/>
  <c r="AZ192" i="7"/>
  <c r="S15" i="3"/>
  <c r="S20" i="3" s="1"/>
  <c r="AH15" i="3"/>
  <c r="AH20" i="3" s="1"/>
  <c r="AX27" i="3"/>
  <c r="BE118" i="6"/>
  <c r="AZ120" i="6"/>
  <c r="AZ123" i="6" s="1"/>
  <c r="AC219" i="7"/>
  <c r="AC221" i="7" s="1"/>
  <c r="AD219" i="7" s="1"/>
  <c r="AD221" i="7" s="1"/>
  <c r="AE219" i="7" s="1"/>
  <c r="AE221" i="7" s="1"/>
  <c r="AF219" i="7" s="1"/>
  <c r="AF221" i="7" s="1"/>
  <c r="AG219" i="7" s="1"/>
  <c r="AG221" i="7" s="1"/>
  <c r="DJ221" i="7"/>
  <c r="DK219" i="7" s="1"/>
  <c r="DG221" i="7"/>
  <c r="DH219" i="7"/>
  <c r="DH221" i="7" s="1"/>
  <c r="DI219" i="7" s="1"/>
  <c r="DI221" i="7" s="1"/>
  <c r="BE121" i="7"/>
  <c r="AZ123" i="7"/>
  <c r="AU125" i="7"/>
  <c r="AU129" i="7" s="1"/>
  <c r="AU127" i="7"/>
  <c r="AU61" i="7" s="1"/>
  <c r="AZ135" i="7"/>
  <c r="BI71" i="4"/>
  <c r="BH72" i="4"/>
  <c r="DD42" i="10"/>
  <c r="DD10" i="10"/>
  <c r="CZ42" i="10"/>
  <c r="CZ10" i="10"/>
  <c r="CX42" i="10"/>
  <c r="CX10" i="10"/>
  <c r="CV42" i="10"/>
  <c r="CV10" i="10"/>
  <c r="DJ127" i="10"/>
  <c r="DE130" i="10"/>
  <c r="DK50" i="10"/>
  <c r="DK66" i="10" s="1"/>
  <c r="BH199" i="5" s="1"/>
  <c r="DL50" i="10"/>
  <c r="DL66" i="10" s="1"/>
  <c r="BI199" i="5" s="1"/>
  <c r="DM50" i="10"/>
  <c r="DM66" i="10" s="1"/>
  <c r="BJ199" i="5" s="1"/>
  <c r="DN50" i="10"/>
  <c r="DN66" i="10" s="1"/>
  <c r="BK199" i="5" s="1"/>
  <c r="DO66" i="10"/>
  <c r="BL199" i="5" s="1"/>
  <c r="CW42" i="10"/>
  <c r="CW10" i="10"/>
  <c r="DG36" i="10"/>
  <c r="DG40" i="10" s="1"/>
  <c r="DK36" i="10"/>
  <c r="DK40" i="10" s="1"/>
  <c r="DO36" i="10"/>
  <c r="DH36" i="10"/>
  <c r="DH40" i="10" s="1"/>
  <c r="DL36" i="10"/>
  <c r="DL40" i="10" s="1"/>
  <c r="DI36" i="10"/>
  <c r="DI40" i="10" s="1"/>
  <c r="DM36" i="10"/>
  <c r="DM40" i="10" s="1"/>
  <c r="DF36" i="10"/>
  <c r="DF40" i="10" s="1"/>
  <c r="DN36" i="10"/>
  <c r="DN40" i="10" s="1"/>
  <c r="DJ40" i="10"/>
  <c r="DA42" i="10"/>
  <c r="DA10" i="10"/>
  <c r="DB42" i="10"/>
  <c r="DB10" i="10"/>
  <c r="DJ29" i="10"/>
  <c r="DE32" i="10"/>
  <c r="DC42" i="10"/>
  <c r="DC10" i="10"/>
  <c r="CY42" i="10"/>
  <c r="CY10" i="10"/>
  <c r="AY154" i="6"/>
  <c r="AZ158" i="6" s="1"/>
  <c r="AZ20" i="6" s="1"/>
  <c r="BH156" i="6"/>
  <c r="BI161" i="6"/>
  <c r="BK160" i="6"/>
  <c r="BM160" i="6" s="1"/>
  <c r="BA152" i="6"/>
  <c r="AX125" i="6"/>
  <c r="DW216" i="6"/>
  <c r="DW218" i="6" s="1"/>
  <c r="DX216" i="6" s="1"/>
  <c r="DX218" i="6" s="1"/>
  <c r="DV218" i="6"/>
  <c r="BA133" i="6"/>
  <c r="BD133" i="6"/>
  <c r="AY132" i="6"/>
  <c r="AY14" i="6" s="1"/>
  <c r="AY15" i="6" s="1"/>
  <c r="BG229" i="6"/>
  <c r="EA216" i="6"/>
  <c r="DZ218" i="6"/>
  <c r="AQ125" i="6"/>
  <c r="AQ60" i="6" s="1"/>
  <c r="AQ127" i="6"/>
  <c r="AG274" i="6"/>
  <c r="AG74" i="6" s="1"/>
  <c r="AG275" i="6"/>
  <c r="AY125" i="6"/>
  <c r="AL258" i="6"/>
  <c r="AL263" i="6" s="1"/>
  <c r="AK274" i="6"/>
  <c r="AK74" i="6" s="1"/>
  <c r="AK275" i="6"/>
  <c r="AX132" i="6"/>
  <c r="BC133" i="6"/>
  <c r="AP258" i="6"/>
  <c r="AP263" i="6" s="1"/>
  <c r="AO274" i="6"/>
  <c r="AO74" i="6" s="1"/>
  <c r="AO275" i="6"/>
  <c r="BH118" i="6"/>
  <c r="BM118" i="6" s="1"/>
  <c r="BC120" i="6"/>
  <c r="BC123" i="6" s="1"/>
  <c r="BE29" i="6"/>
  <c r="BE197" i="6"/>
  <c r="BE204" i="6"/>
  <c r="BE206" i="6" s="1"/>
  <c r="BI118" i="6"/>
  <c r="BD120" i="6"/>
  <c r="BD123" i="6" s="1"/>
  <c r="BF173" i="6"/>
  <c r="BF27" i="6" s="1"/>
  <c r="BG156" i="6"/>
  <c r="BF176" i="6"/>
  <c r="AY20" i="6"/>
  <c r="BC206" i="6"/>
  <c r="AU222" i="8"/>
  <c r="AU227" i="8" s="1"/>
  <c r="AT239" i="8"/>
  <c r="AT238" i="8"/>
  <c r="AT66" i="8" s="1"/>
  <c r="BG193" i="8"/>
  <c r="AL238" i="8"/>
  <c r="AL66" i="8" s="1"/>
  <c r="AL239" i="8"/>
  <c r="AQ222" i="8"/>
  <c r="AQ227" i="8" s="1"/>
  <c r="AP238" i="8"/>
  <c r="AP66" i="8" s="1"/>
  <c r="AP239" i="8"/>
  <c r="DH180" i="8"/>
  <c r="DH182" i="8" s="1"/>
  <c r="DI180" i="8" s="1"/>
  <c r="DI182" i="8" s="1"/>
  <c r="DJ180" i="8"/>
  <c r="DG180" i="8"/>
  <c r="DG182" i="8" s="1"/>
  <c r="DF182" i="8"/>
  <c r="BC135" i="7"/>
  <c r="AX134" i="7"/>
  <c r="BD125" i="7"/>
  <c r="BD129" i="7" s="1"/>
  <c r="BD127" i="7"/>
  <c r="BH121" i="7"/>
  <c r="BM121" i="7" s="1"/>
  <c r="BC123" i="7"/>
  <c r="BI135" i="7"/>
  <c r="BD134" i="7"/>
  <c r="BD14" i="7" s="1"/>
  <c r="BD16" i="7" s="1"/>
  <c r="AB279" i="7"/>
  <c r="AB278" i="7"/>
  <c r="AB78" i="7" s="1"/>
  <c r="BI125" i="7"/>
  <c r="AX199" i="7"/>
  <c r="AX263" i="7"/>
  <c r="AX127" i="7"/>
  <c r="AX125" i="7"/>
  <c r="AX129" i="7" s="1"/>
  <c r="AG261" i="7"/>
  <c r="AG266" i="7" s="1"/>
  <c r="AF278" i="7"/>
  <c r="AF78" i="7" s="1"/>
  <c r="AF279" i="7"/>
  <c r="BA135" i="7"/>
  <c r="BH232" i="7"/>
  <c r="AY117" i="7"/>
  <c r="BH112" i="7"/>
  <c r="DV226" i="5"/>
  <c r="DY226" i="5"/>
  <c r="DY228" i="5" s="1"/>
  <c r="DZ226" i="5" s="1"/>
  <c r="ED226" i="5" s="1"/>
  <c r="ED228" i="5" s="1"/>
  <c r="DU228" i="5"/>
  <c r="AX131" i="5"/>
  <c r="AX133" i="5"/>
  <c r="BE126" i="5"/>
  <c r="BE129" i="5" s="1"/>
  <c r="BJ124" i="5"/>
  <c r="AZ133" i="5"/>
  <c r="AZ120" i="5" s="1"/>
  <c r="AX8" i="5"/>
  <c r="AX8" i="4" s="1"/>
  <c r="AX110" i="5"/>
  <c r="AX111" i="5" s="1"/>
  <c r="AT139" i="5"/>
  <c r="AY139" i="5" s="1"/>
  <c r="AQ131" i="5"/>
  <c r="AQ61" i="5" s="1"/>
  <c r="AQ133" i="5"/>
  <c r="AQ139" i="5"/>
  <c r="AX138" i="5"/>
  <c r="BC139" i="5"/>
  <c r="AC275" i="5"/>
  <c r="AD268" i="5"/>
  <c r="AD273" i="5" s="1"/>
  <c r="AH268" i="5"/>
  <c r="AC285" i="5"/>
  <c r="AC78" i="5" s="1"/>
  <c r="AC284" i="5"/>
  <c r="AC77" i="5" s="1"/>
  <c r="AC31" i="2" s="1"/>
  <c r="AZ131" i="5"/>
  <c r="AN228" i="5"/>
  <c r="AO226" i="5" s="1"/>
  <c r="AO228" i="5" s="1"/>
  <c r="AP226" i="5" s="1"/>
  <c r="AP228" i="5" s="1"/>
  <c r="AQ226" i="5" s="1"/>
  <c r="AQ228" i="5" s="1"/>
  <c r="AR226" i="5"/>
  <c r="AR228" i="5" s="1"/>
  <c r="AS226" i="5" s="1"/>
  <c r="BH28" i="5"/>
  <c r="R284" i="5"/>
  <c r="R77" i="5" s="1"/>
  <c r="R285" i="5"/>
  <c r="V268" i="5"/>
  <c r="V273" i="5" s="1"/>
  <c r="U285" i="5"/>
  <c r="U284" i="5"/>
  <c r="U77" i="5" s="1"/>
  <c r="AY163" i="5"/>
  <c r="AZ167" i="5" s="1"/>
  <c r="Z268" i="5"/>
  <c r="Z273" i="5" s="1"/>
  <c r="Y284" i="5"/>
  <c r="Y77" i="5" s="1"/>
  <c r="Y285" i="5"/>
  <c r="DR226" i="5"/>
  <c r="DR228" i="5" s="1"/>
  <c r="DS226" i="5" s="1"/>
  <c r="DS228" i="5" s="1"/>
  <c r="DQ228" i="5"/>
  <c r="BJ165" i="5"/>
  <c r="BK170" i="5"/>
  <c r="BG239" i="5"/>
  <c r="BC89" i="5"/>
  <c r="BH124" i="5"/>
  <c r="BM124" i="5" s="1"/>
  <c r="BC126" i="5"/>
  <c r="BC129" i="5" s="1"/>
  <c r="BH36" i="5"/>
  <c r="BJ111" i="5"/>
  <c r="BI183" i="5"/>
  <c r="BI28" i="5" s="1"/>
  <c r="BI186" i="5"/>
  <c r="BI36" i="5" s="1"/>
  <c r="BH89" i="5"/>
  <c r="BE139" i="5"/>
  <c r="AZ138" i="5"/>
  <c r="AZ14" i="5" s="1"/>
  <c r="BC161" i="5"/>
  <c r="AY206" i="5"/>
  <c r="AY270" i="5"/>
  <c r="BF30" i="5"/>
  <c r="BF207" i="5"/>
  <c r="BG207" i="5" s="1"/>
  <c r="BF214" i="5"/>
  <c r="BG28" i="5"/>
  <c r="BG30" i="5" s="1"/>
  <c r="BD124" i="5"/>
  <c r="AY126" i="5"/>
  <c r="AY129" i="5" s="1"/>
  <c r="BE129" i="4"/>
  <c r="BE253" i="4"/>
  <c r="BE154" i="4"/>
  <c r="AN159" i="4"/>
  <c r="AN161" i="4" s="1"/>
  <c r="AO159" i="4" s="1"/>
  <c r="AO161" i="4" s="1"/>
  <c r="AP159" i="4" s="1"/>
  <c r="AP161" i="4" s="1"/>
  <c r="AQ159" i="4" s="1"/>
  <c r="AQ161" i="4" s="1"/>
  <c r="AR159" i="4"/>
  <c r="AR161" i="4" s="1"/>
  <c r="BH74" i="4"/>
  <c r="BH151" i="4" s="1"/>
  <c r="BF60" i="4"/>
  <c r="BF74" i="4"/>
  <c r="BF151" i="4" s="1"/>
  <c r="BI58" i="4"/>
  <c r="BI59" i="4" s="1"/>
  <c r="BG59" i="4"/>
  <c r="BJ178" i="4"/>
  <c r="BI183" i="4"/>
  <c r="BL65" i="3"/>
  <c r="BQ65" i="3" s="1"/>
  <c r="BG58" i="3"/>
  <c r="BG66" i="3"/>
  <c r="BQ58" i="3" l="1"/>
  <c r="BQ66" i="3"/>
  <c r="BI134" i="7"/>
  <c r="BI14" i="7" s="1"/>
  <c r="BI16" i="7" s="1"/>
  <c r="BN135" i="7"/>
  <c r="BN160" i="6"/>
  <c r="BO160" i="6" s="1"/>
  <c r="BP160" i="6" s="1"/>
  <c r="BO8" i="4"/>
  <c r="BN8" i="4"/>
  <c r="BJ126" i="5"/>
  <c r="BJ129" i="5" s="1"/>
  <c r="BO124" i="5"/>
  <c r="BO126" i="5" s="1"/>
  <c r="BO129" i="5" s="1"/>
  <c r="BM123" i="7"/>
  <c r="BI120" i="6"/>
  <c r="BI123" i="6" s="1"/>
  <c r="BN118" i="6"/>
  <c r="BN120" i="6" s="1"/>
  <c r="BM89" i="5"/>
  <c r="BN127" i="7"/>
  <c r="BN125" i="7"/>
  <c r="BN134" i="7"/>
  <c r="BN14" i="7" s="1"/>
  <c r="BN16" i="7" s="1"/>
  <c r="BM126" i="5"/>
  <c r="BM129" i="5" s="1"/>
  <c r="BM120" i="6"/>
  <c r="DO40" i="10"/>
  <c r="DT36" i="10"/>
  <c r="DT40" i="10" s="1"/>
  <c r="DT42" i="10" s="1"/>
  <c r="DO103" i="10"/>
  <c r="DT98" i="10"/>
  <c r="DT103" i="10" s="1"/>
  <c r="AU127" i="6"/>
  <c r="AZ127" i="6" s="1"/>
  <c r="AU125" i="6"/>
  <c r="AU60" i="6" s="1"/>
  <c r="AU258" i="6"/>
  <c r="AU263" i="6" s="1"/>
  <c r="AT275" i="6"/>
  <c r="AT274" i="6"/>
  <c r="AT74" i="6" s="1"/>
  <c r="BI129" i="7"/>
  <c r="AW226" i="5"/>
  <c r="AW228" i="5" s="1"/>
  <c r="AS228" i="5"/>
  <c r="AT226" i="5" s="1"/>
  <c r="AT228" i="5" s="1"/>
  <c r="AU226" i="5" s="1"/>
  <c r="AU228" i="5" s="1"/>
  <c r="AV226" i="5" s="1"/>
  <c r="AV228" i="5" s="1"/>
  <c r="J19" i="20"/>
  <c r="K19" i="20" s="1"/>
  <c r="L19" i="20" s="1"/>
  <c r="AS159" i="4"/>
  <c r="AS161" i="4" s="1"/>
  <c r="AT159" i="4" s="1"/>
  <c r="AT161" i="4" s="1"/>
  <c r="AU159" i="4" s="1"/>
  <c r="AU161" i="4" s="1"/>
  <c r="AV159" i="4" s="1"/>
  <c r="AV161" i="4" s="1"/>
  <c r="AW159" i="4"/>
  <c r="AW161" i="4" s="1"/>
  <c r="BC188" i="6"/>
  <c r="BE188" i="6"/>
  <c r="BD188" i="6"/>
  <c r="BF188" i="6"/>
  <c r="BG60" i="4"/>
  <c r="CE38" i="2" s="1"/>
  <c r="BF40" i="9"/>
  <c r="BF51" i="6"/>
  <c r="BF44" i="8"/>
  <c r="BF52" i="7"/>
  <c r="BF52" i="5"/>
  <c r="AX110" i="4"/>
  <c r="AZ125" i="6"/>
  <c r="X16" i="3"/>
  <c r="S62" i="3"/>
  <c r="S60" i="3"/>
  <c r="S16" i="3"/>
  <c r="S42" i="3"/>
  <c r="S55" i="3"/>
  <c r="X60" i="3"/>
  <c r="X62" i="3"/>
  <c r="X42" i="3"/>
  <c r="X55" i="3"/>
  <c r="AC16" i="3"/>
  <c r="AZ132" i="6"/>
  <c r="AZ14" i="6" s="1"/>
  <c r="AZ15" i="6" s="1"/>
  <c r="AZ23" i="6" s="1"/>
  <c r="BE133" i="6"/>
  <c r="AM42" i="3"/>
  <c r="AM62" i="3"/>
  <c r="AM16" i="3"/>
  <c r="AM60" i="3"/>
  <c r="AM55" i="3"/>
  <c r="BG74" i="4"/>
  <c r="BG39" i="9"/>
  <c r="BG50" i="6"/>
  <c r="BG43" i="8"/>
  <c r="BG51" i="5"/>
  <c r="BG51" i="7"/>
  <c r="BG46" i="3"/>
  <c r="AZ16" i="5"/>
  <c r="BJ118" i="6"/>
  <c r="BE120" i="6"/>
  <c r="BE123" i="6" s="1"/>
  <c r="AH42" i="3"/>
  <c r="AH62" i="3"/>
  <c r="AH16" i="3"/>
  <c r="AH60" i="3"/>
  <c r="AH55" i="3"/>
  <c r="BI39" i="9"/>
  <c r="BI50" i="6"/>
  <c r="BI43" i="8"/>
  <c r="BI51" i="7"/>
  <c r="BI51" i="5"/>
  <c r="AZ110" i="4"/>
  <c r="AY110" i="4"/>
  <c r="BB192" i="7"/>
  <c r="BA110" i="4"/>
  <c r="AR60" i="3"/>
  <c r="AR62" i="3"/>
  <c r="AR16" i="3"/>
  <c r="AR42" i="3"/>
  <c r="AR55" i="3"/>
  <c r="AX173" i="4"/>
  <c r="BH60" i="4"/>
  <c r="BC127" i="6"/>
  <c r="BC114" i="6" s="1"/>
  <c r="AZ153" i="6"/>
  <c r="AZ154" i="6" s="1"/>
  <c r="BA158" i="6" s="1"/>
  <c r="BB158" i="6" s="1"/>
  <c r="AZ125" i="7"/>
  <c r="AZ127" i="7"/>
  <c r="DL219" i="7"/>
  <c r="DK221" i="7"/>
  <c r="DO219" i="7"/>
  <c r="AZ134" i="7"/>
  <c r="AZ14" i="7" s="1"/>
  <c r="AZ16" i="7" s="1"/>
  <c r="BE135" i="7"/>
  <c r="BE123" i="7"/>
  <c r="BJ121" i="7"/>
  <c r="BC133" i="5"/>
  <c r="BC120" i="5" s="1"/>
  <c r="BJ71" i="4"/>
  <c r="BI72" i="4"/>
  <c r="DL10" i="10"/>
  <c r="BI110" i="4" s="1"/>
  <c r="DL77" i="10"/>
  <c r="DF42" i="10"/>
  <c r="DF11" i="10"/>
  <c r="DH42" i="10"/>
  <c r="DH11" i="10"/>
  <c r="DM10" i="10"/>
  <c r="BJ110" i="4" s="1"/>
  <c r="DM77" i="10"/>
  <c r="DE42" i="10"/>
  <c r="DE10" i="10"/>
  <c r="DI42" i="10"/>
  <c r="DI11" i="10"/>
  <c r="DK42" i="10"/>
  <c r="DK11" i="10"/>
  <c r="BH109" i="4" s="1"/>
  <c r="DK10" i="10"/>
  <c r="BH110" i="4" s="1"/>
  <c r="DK77" i="10"/>
  <c r="DO127" i="10"/>
  <c r="DJ130" i="10"/>
  <c r="DM42" i="10"/>
  <c r="DM11" i="10"/>
  <c r="BJ109" i="4" s="1"/>
  <c r="DO29" i="10"/>
  <c r="DO32" i="10" s="1"/>
  <c r="DJ32" i="10"/>
  <c r="DN42" i="10"/>
  <c r="DN11" i="10"/>
  <c r="BK109" i="4" s="1"/>
  <c r="DL42" i="10"/>
  <c r="DL11" i="10"/>
  <c r="BI109" i="4" s="1"/>
  <c r="DG42" i="10"/>
  <c r="DG11" i="10"/>
  <c r="DN10" i="10"/>
  <c r="BK110" i="4" s="1"/>
  <c r="DN77" i="10"/>
  <c r="BF35" i="6"/>
  <c r="BG176" i="6"/>
  <c r="BG177" i="6" s="1"/>
  <c r="BI125" i="6"/>
  <c r="BH120" i="6"/>
  <c r="BH123" i="6" s="1"/>
  <c r="BH133" i="6"/>
  <c r="BC132" i="6"/>
  <c r="AL274" i="6"/>
  <c r="AL74" i="6" s="1"/>
  <c r="AL275" i="6"/>
  <c r="BH176" i="6"/>
  <c r="BH173" i="6"/>
  <c r="AQ258" i="6"/>
  <c r="AQ263" i="6" s="1"/>
  <c r="AP274" i="6"/>
  <c r="AP74" i="6" s="1"/>
  <c r="AP275" i="6"/>
  <c r="AX14" i="6"/>
  <c r="BF133" i="6"/>
  <c r="AX114" i="6"/>
  <c r="BF29" i="6"/>
  <c r="BF204" i="6"/>
  <c r="BF206" i="6" s="1"/>
  <c r="BF197" i="6"/>
  <c r="BG197" i="6" s="1"/>
  <c r="BG27" i="6"/>
  <c r="BG29" i="6" s="1"/>
  <c r="BG173" i="6"/>
  <c r="BG174" i="6" s="1"/>
  <c r="BC125" i="6"/>
  <c r="BD127" i="6"/>
  <c r="BI127" i="6" s="1"/>
  <c r="AY114" i="6"/>
  <c r="EB216" i="6"/>
  <c r="EB218" i="6" s="1"/>
  <c r="EA218" i="6"/>
  <c r="AZ196" i="6"/>
  <c r="AZ260" i="6"/>
  <c r="AY196" i="6"/>
  <c r="AY260" i="6"/>
  <c r="AY23" i="6"/>
  <c r="BD125" i="6"/>
  <c r="BH229" i="6"/>
  <c r="BI133" i="6"/>
  <c r="BD132" i="6"/>
  <c r="BD14" i="6" s="1"/>
  <c r="BD15" i="6" s="1"/>
  <c r="BB152" i="6"/>
  <c r="BI156" i="6"/>
  <c r="BJ161" i="6"/>
  <c r="AW87" i="4"/>
  <c r="AQ239" i="8"/>
  <c r="AQ238" i="8"/>
  <c r="AQ66" i="8" s="1"/>
  <c r="AV222" i="8"/>
  <c r="AU239" i="8"/>
  <c r="AU238" i="8"/>
  <c r="AU66" i="8" s="1"/>
  <c r="AC180" i="8"/>
  <c r="AC182" i="8" s="1"/>
  <c r="AD180" i="8" s="1"/>
  <c r="AD182" i="8" s="1"/>
  <c r="AE180" i="8" s="1"/>
  <c r="AE182" i="8" s="1"/>
  <c r="AF180" i="8" s="1"/>
  <c r="AF182" i="8" s="1"/>
  <c r="AG180" i="8" s="1"/>
  <c r="AG182" i="8" s="1"/>
  <c r="DJ182" i="8"/>
  <c r="DK180" i="8" s="1"/>
  <c r="BH193" i="8"/>
  <c r="BI232" i="7"/>
  <c r="AG278" i="7"/>
  <c r="AG78" i="7" s="1"/>
  <c r="AG279" i="7"/>
  <c r="AX117" i="7"/>
  <c r="BH123" i="7"/>
  <c r="AY9" i="7"/>
  <c r="AY11" i="7" s="1"/>
  <c r="AY137" i="7"/>
  <c r="AY138" i="7" s="1"/>
  <c r="AX14" i="7"/>
  <c r="BF135" i="7"/>
  <c r="BC127" i="7"/>
  <c r="BC125" i="7"/>
  <c r="BC129" i="7" s="1"/>
  <c r="BD117" i="7"/>
  <c r="BC134" i="7"/>
  <c r="BH135" i="7"/>
  <c r="AY131" i="5"/>
  <c r="AA268" i="5"/>
  <c r="AA273" i="5" s="1"/>
  <c r="Z284" i="5"/>
  <c r="Z77" i="5" s="1"/>
  <c r="Z285" i="5"/>
  <c r="BH30" i="5"/>
  <c r="BH207" i="5"/>
  <c r="BH214" i="5"/>
  <c r="BF216" i="5"/>
  <c r="BG214" i="5"/>
  <c r="BG216" i="5" s="1"/>
  <c r="BD161" i="5"/>
  <c r="BC131" i="5"/>
  <c r="BJ183" i="5"/>
  <c r="BJ28" i="5" s="1"/>
  <c r="BJ186" i="5"/>
  <c r="BJ36" i="5" s="1"/>
  <c r="AE268" i="5"/>
  <c r="AE273" i="5" s="1"/>
  <c r="AD284" i="5"/>
  <c r="AD77" i="5" s="1"/>
  <c r="AD285" i="5"/>
  <c r="AX14" i="5"/>
  <c r="BE131" i="5"/>
  <c r="BI30" i="5"/>
  <c r="BI207" i="5"/>
  <c r="BI214" i="5"/>
  <c r="BH126" i="5"/>
  <c r="BH129" i="5" s="1"/>
  <c r="BH239" i="5"/>
  <c r="AZ21" i="5"/>
  <c r="W268" i="5"/>
  <c r="W273" i="5" s="1"/>
  <c r="V284" i="5"/>
  <c r="V77" i="5" s="1"/>
  <c r="V285" i="5"/>
  <c r="BA139" i="5"/>
  <c r="AY133" i="5"/>
  <c r="BE133" i="5"/>
  <c r="DW226" i="5"/>
  <c r="DW228" i="5" s="1"/>
  <c r="DX226" i="5" s="1"/>
  <c r="DX228" i="5" s="1"/>
  <c r="DV228" i="5"/>
  <c r="AY138" i="5"/>
  <c r="AY14" i="5" s="1"/>
  <c r="BD139" i="5"/>
  <c r="EA226" i="5"/>
  <c r="DZ228" i="5"/>
  <c r="BD126" i="5"/>
  <c r="BD129" i="5" s="1"/>
  <c r="BI124" i="5"/>
  <c r="BE138" i="5"/>
  <c r="BE14" i="5" s="1"/>
  <c r="BJ139" i="5"/>
  <c r="BH8" i="5"/>
  <c r="BH8" i="4" s="1"/>
  <c r="BH110" i="5"/>
  <c r="BC8" i="5"/>
  <c r="BC8" i="4" s="1"/>
  <c r="BC110" i="5"/>
  <c r="BC111" i="5" s="1"/>
  <c r="BK165" i="5"/>
  <c r="BL170" i="5"/>
  <c r="BM170" i="5" s="1"/>
  <c r="AZ162" i="5"/>
  <c r="AZ9" i="5"/>
  <c r="AZ141" i="5"/>
  <c r="AZ142" i="5" s="1"/>
  <c r="AH273" i="5"/>
  <c r="BZ25" i="2" s="1"/>
  <c r="BZ29" i="2" s="1"/>
  <c r="BZ32" i="2" s="1"/>
  <c r="BZ34" i="2" s="1"/>
  <c r="BZ36" i="2" s="1"/>
  <c r="BZ39" i="2" s="1"/>
  <c r="BC138" i="5"/>
  <c r="BH139" i="5"/>
  <c r="BM139" i="5" s="1"/>
  <c r="BJ131" i="5"/>
  <c r="AX120" i="5"/>
  <c r="BI74" i="4"/>
  <c r="BI151" i="4" s="1"/>
  <c r="BK178" i="4"/>
  <c r="BJ183" i="4"/>
  <c r="BJ58" i="4"/>
  <c r="BJ59" i="4" s="1"/>
  <c r="BF129" i="4"/>
  <c r="BF154" i="4"/>
  <c r="BG154" i="4" s="1"/>
  <c r="BF253" i="4"/>
  <c r="BH129" i="4"/>
  <c r="BH154" i="4"/>
  <c r="BH253" i="4"/>
  <c r="BG151" i="4"/>
  <c r="DY59" i="3" s="1"/>
  <c r="BL66" i="3"/>
  <c r="BL58" i="3"/>
  <c r="BI132" i="6" l="1"/>
  <c r="BI14" i="6" s="1"/>
  <c r="BI15" i="6" s="1"/>
  <c r="BN133" i="6"/>
  <c r="BJ138" i="5"/>
  <c r="BJ14" i="5" s="1"/>
  <c r="BO139" i="5"/>
  <c r="BO138" i="5" s="1"/>
  <c r="BO14" i="5" s="1"/>
  <c r="BN170" i="5"/>
  <c r="BM165" i="5"/>
  <c r="BJ133" i="5"/>
  <c r="BI114" i="6"/>
  <c r="BJ123" i="7"/>
  <c r="BJ127" i="7" s="1"/>
  <c r="BO121" i="7"/>
  <c r="BJ120" i="6"/>
  <c r="BJ123" i="6" s="1"/>
  <c r="BO118" i="6"/>
  <c r="BM110" i="5"/>
  <c r="BM111" i="5" s="1"/>
  <c r="BM8" i="5"/>
  <c r="BM125" i="7"/>
  <c r="BM134" i="7"/>
  <c r="BM127" i="7"/>
  <c r="BI126" i="5"/>
  <c r="BI129" i="5" s="1"/>
  <c r="BN124" i="5"/>
  <c r="BM131" i="5"/>
  <c r="BM138" i="5"/>
  <c r="BI117" i="7"/>
  <c r="BI9" i="7" s="1"/>
  <c r="BI11" i="7" s="1"/>
  <c r="BN129" i="7"/>
  <c r="BN117" i="7" s="1"/>
  <c r="BM132" i="6"/>
  <c r="BM123" i="6"/>
  <c r="BM125" i="6" s="1"/>
  <c r="BN123" i="6"/>
  <c r="BN132" i="6"/>
  <c r="BN14" i="6" s="1"/>
  <c r="BN15" i="6" s="1"/>
  <c r="BO131" i="5"/>
  <c r="BO120" i="5"/>
  <c r="BJ120" i="5"/>
  <c r="BO133" i="5"/>
  <c r="DO130" i="10"/>
  <c r="DO10" i="10" s="1"/>
  <c r="DT127" i="10"/>
  <c r="DT130" i="10" s="1"/>
  <c r="DO42" i="10"/>
  <c r="BQ188" i="6"/>
  <c r="DT105" i="10"/>
  <c r="DT11" i="10"/>
  <c r="BE127" i="6"/>
  <c r="BJ127" i="6" s="1"/>
  <c r="BA20" i="6"/>
  <c r="BB20" i="6" s="1"/>
  <c r="BB260" i="6" s="1"/>
  <c r="AV258" i="6"/>
  <c r="AV263" i="6" s="1"/>
  <c r="AU275" i="6"/>
  <c r="AU274" i="6"/>
  <c r="AU74" i="6" s="1"/>
  <c r="AX14" i="4"/>
  <c r="AX16" i="4" s="1"/>
  <c r="AX24" i="4" s="1"/>
  <c r="BH127" i="6"/>
  <c r="BH133" i="5"/>
  <c r="BM133" i="5" s="1"/>
  <c r="BM120" i="5" s="1"/>
  <c r="BG40" i="9"/>
  <c r="BG51" i="6"/>
  <c r="BG52" i="5"/>
  <c r="BG52" i="7"/>
  <c r="BG44" i="8"/>
  <c r="BG47" i="3"/>
  <c r="BJ39" i="9"/>
  <c r="BJ50" i="6"/>
  <c r="BJ43" i="8"/>
  <c r="BJ51" i="7"/>
  <c r="BJ51" i="5"/>
  <c r="BE16" i="5"/>
  <c r="AW12" i="3"/>
  <c r="DG12" i="10"/>
  <c r="BD109" i="4"/>
  <c r="BI60" i="4"/>
  <c r="BJ60" i="4" s="1"/>
  <c r="BH40" i="9"/>
  <c r="BH44" i="8"/>
  <c r="BH51" i="6"/>
  <c r="BH52" i="5"/>
  <c r="BH52" i="7"/>
  <c r="DI12" i="10"/>
  <c r="BF109" i="4"/>
  <c r="AZ14" i="4"/>
  <c r="AZ16" i="4" s="1"/>
  <c r="BH138" i="5"/>
  <c r="BH14" i="5" s="1"/>
  <c r="AZ11" i="5"/>
  <c r="AZ18" i="5" s="1"/>
  <c r="AY16" i="5"/>
  <c r="AY24" i="5" s="1"/>
  <c r="AY14" i="4"/>
  <c r="BI216" i="5"/>
  <c r="BA153" i="6"/>
  <c r="BB153" i="6" s="1"/>
  <c r="BB154" i="6" s="1"/>
  <c r="BC158" i="6" s="1"/>
  <c r="BC153" i="6" s="1"/>
  <c r="BG192" i="7"/>
  <c r="BE125" i="6"/>
  <c r="BE114" i="6"/>
  <c r="AZ114" i="6"/>
  <c r="DF12" i="10"/>
  <c r="BC109" i="4"/>
  <c r="BJ16" i="5"/>
  <c r="BH134" i="7"/>
  <c r="BH14" i="7" s="1"/>
  <c r="BD114" i="6"/>
  <c r="BD9" i="6" s="1"/>
  <c r="BD11" i="6" s="1"/>
  <c r="BG35" i="6"/>
  <c r="BL192" i="7"/>
  <c r="BB110" i="4"/>
  <c r="DH12" i="10"/>
  <c r="BE109" i="4"/>
  <c r="BJ125" i="6"/>
  <c r="BJ133" i="6"/>
  <c r="BE132" i="6"/>
  <c r="BE14" i="6" s="1"/>
  <c r="BE15" i="6" s="1"/>
  <c r="BE134" i="7"/>
  <c r="BE14" i="7" s="1"/>
  <c r="BE16" i="7" s="1"/>
  <c r="BJ135" i="7"/>
  <c r="DM219" i="7"/>
  <c r="DM221" i="7" s="1"/>
  <c r="DN219" i="7" s="1"/>
  <c r="DN221" i="7" s="1"/>
  <c r="DL221" i="7"/>
  <c r="BJ125" i="7"/>
  <c r="AH219" i="7"/>
  <c r="AH221" i="7" s="1"/>
  <c r="AI219" i="7" s="1"/>
  <c r="AI221" i="7" s="1"/>
  <c r="AJ219" i="7" s="1"/>
  <c r="AJ221" i="7" s="1"/>
  <c r="AK219" i="7" s="1"/>
  <c r="AK221" i="7" s="1"/>
  <c r="AL219" i="7" s="1"/>
  <c r="AL221" i="7" s="1"/>
  <c r="DO221" i="7"/>
  <c r="DP219" i="7" s="1"/>
  <c r="BE125" i="7"/>
  <c r="BE127" i="7"/>
  <c r="AZ129" i="7"/>
  <c r="BK71" i="4"/>
  <c r="BJ72" i="4"/>
  <c r="DN12" i="10"/>
  <c r="DK12" i="10"/>
  <c r="DM12" i="10"/>
  <c r="DJ42" i="10"/>
  <c r="DJ10" i="10"/>
  <c r="DL12" i="10"/>
  <c r="BI9" i="6"/>
  <c r="BI11" i="6" s="1"/>
  <c r="BC9" i="6"/>
  <c r="BC135" i="6"/>
  <c r="BK133" i="6"/>
  <c r="BP133" i="6" s="1"/>
  <c r="BG204" i="6"/>
  <c r="BG206" i="6" s="1"/>
  <c r="BH132" i="6"/>
  <c r="BC152" i="6"/>
  <c r="BI229" i="6"/>
  <c r="AY9" i="6"/>
  <c r="AY11" i="6" s="1"/>
  <c r="AY135" i="6"/>
  <c r="AY136" i="6" s="1"/>
  <c r="AQ274" i="6"/>
  <c r="AQ74" i="6" s="1"/>
  <c r="AQ275" i="6"/>
  <c r="BH27" i="6"/>
  <c r="BH125" i="6"/>
  <c r="BK161" i="6"/>
  <c r="BJ156" i="6"/>
  <c r="AX9" i="6"/>
  <c r="AX135" i="6"/>
  <c r="AX136" i="6" s="1"/>
  <c r="AX15" i="6"/>
  <c r="AX23" i="6" s="1"/>
  <c r="BH35" i="6"/>
  <c r="BI173" i="6"/>
  <c r="BI27" i="6" s="1"/>
  <c r="BI176" i="6"/>
  <c r="BI35" i="6" s="1"/>
  <c r="BC14" i="6"/>
  <c r="BA260" i="6"/>
  <c r="AV87" i="4"/>
  <c r="BI193" i="8"/>
  <c r="DL180" i="8"/>
  <c r="DL182" i="8" s="1"/>
  <c r="DM180" i="8"/>
  <c r="DM182" i="8" s="1"/>
  <c r="DN180" i="8" s="1"/>
  <c r="DN182" i="8" s="1"/>
  <c r="DO180" i="8"/>
  <c r="DK182" i="8"/>
  <c r="BC14" i="7"/>
  <c r="BK135" i="7"/>
  <c r="BP135" i="7" s="1"/>
  <c r="AY18" i="7"/>
  <c r="BD9" i="7"/>
  <c r="BD11" i="7" s="1"/>
  <c r="BD137" i="7"/>
  <c r="BD138" i="7" s="1"/>
  <c r="BH125" i="7"/>
  <c r="BH129" i="7" s="1"/>
  <c r="BH127" i="7"/>
  <c r="AX9" i="7"/>
  <c r="AX137" i="7"/>
  <c r="AX138" i="7" s="1"/>
  <c r="BC117" i="7"/>
  <c r="AX16" i="7"/>
  <c r="AX24" i="7" s="1"/>
  <c r="BJ232" i="7"/>
  <c r="AI268" i="5"/>
  <c r="AI273" i="5" s="1"/>
  <c r="AM268" i="5"/>
  <c r="AM273" i="5" s="1"/>
  <c r="CA25" i="2" s="1"/>
  <c r="CA29" i="2" s="1"/>
  <c r="CA32" i="2" s="1"/>
  <c r="CA34" i="2" s="1"/>
  <c r="CA36" i="2" s="1"/>
  <c r="CA39" i="2" s="1"/>
  <c r="CA45" i="2" s="1"/>
  <c r="CA47" i="2" s="1"/>
  <c r="CA49" i="2" s="1"/>
  <c r="AH285" i="5"/>
  <c r="AH78" i="5" s="1"/>
  <c r="AH284" i="5"/>
  <c r="AH77" i="5" s="1"/>
  <c r="AH31" i="2" s="1"/>
  <c r="BW288" i="5"/>
  <c r="BW291" i="5" s="1"/>
  <c r="BW293" i="5" s="1"/>
  <c r="BD131" i="5"/>
  <c r="BD133" i="5"/>
  <c r="BI239" i="5"/>
  <c r="BE120" i="5"/>
  <c r="AB268" i="5"/>
  <c r="AB273" i="5" s="1"/>
  <c r="AA285" i="5"/>
  <c r="AA284" i="5"/>
  <c r="AA77" i="5" s="1"/>
  <c r="AX9" i="5"/>
  <c r="AX141" i="5"/>
  <c r="AX142" i="5" s="1"/>
  <c r="AZ163" i="5"/>
  <c r="BA167" i="5" s="1"/>
  <c r="BA162" i="5" s="1"/>
  <c r="BF139" i="5"/>
  <c r="BC14" i="5"/>
  <c r="EB226" i="5"/>
  <c r="EB228" i="5" s="1"/>
  <c r="EC226" i="5" s="1"/>
  <c r="EC228" i="5" s="1"/>
  <c r="EA228" i="5"/>
  <c r="BH120" i="5"/>
  <c r="BH131" i="5"/>
  <c r="AF268" i="5"/>
  <c r="AF273" i="5" s="1"/>
  <c r="AE284" i="5"/>
  <c r="AE77" i="5" s="1"/>
  <c r="AE285" i="5"/>
  <c r="BH216" i="5"/>
  <c r="BJ9" i="5"/>
  <c r="BJ141" i="5"/>
  <c r="AH275" i="5"/>
  <c r="BK186" i="5"/>
  <c r="BL165" i="5"/>
  <c r="BK183" i="5"/>
  <c r="BH111" i="5"/>
  <c r="BI131" i="5"/>
  <c r="BI139" i="5"/>
  <c r="BD138" i="5"/>
  <c r="BD14" i="5" s="1"/>
  <c r="W284" i="5"/>
  <c r="W77" i="5" s="1"/>
  <c r="W285" i="5"/>
  <c r="AZ206" i="5"/>
  <c r="AZ270" i="5"/>
  <c r="AZ24" i="5"/>
  <c r="AX16" i="5"/>
  <c r="AX24" i="5" s="1"/>
  <c r="BJ30" i="5"/>
  <c r="BJ214" i="5"/>
  <c r="BJ207" i="5"/>
  <c r="BC9" i="5"/>
  <c r="BC141" i="5"/>
  <c r="BC142" i="5" s="1"/>
  <c r="BE161" i="5"/>
  <c r="AY120" i="5"/>
  <c r="BJ74" i="4"/>
  <c r="BJ151" i="4" s="1"/>
  <c r="BL178" i="4"/>
  <c r="BK183" i="4"/>
  <c r="BG129" i="4"/>
  <c r="BG253" i="4"/>
  <c r="BI129" i="4"/>
  <c r="BI154" i="4"/>
  <c r="BI253" i="4"/>
  <c r="BK58" i="4"/>
  <c r="BL58" i="4" s="1"/>
  <c r="BK72" i="4" l="1"/>
  <c r="BM71" i="4"/>
  <c r="BL183" i="4"/>
  <c r="BM178" i="4"/>
  <c r="BI135" i="6"/>
  <c r="BJ132" i="6"/>
  <c r="BJ14" i="6" s="1"/>
  <c r="BJ15" i="6" s="1"/>
  <c r="BO133" i="6"/>
  <c r="BJ134" i="7"/>
  <c r="BJ14" i="7" s="1"/>
  <c r="BJ16" i="7" s="1"/>
  <c r="BO135" i="7"/>
  <c r="BM183" i="5"/>
  <c r="BM186" i="5"/>
  <c r="BI133" i="5"/>
  <c r="BO170" i="5"/>
  <c r="BN165" i="5"/>
  <c r="BI138" i="5"/>
  <c r="BI14" i="5" s="1"/>
  <c r="BI16" i="5" s="1"/>
  <c r="BN139" i="5"/>
  <c r="BM129" i="7"/>
  <c r="BM117" i="7" s="1"/>
  <c r="BM141" i="5"/>
  <c r="BM9" i="5"/>
  <c r="BM11" i="5" s="1"/>
  <c r="BN125" i="6"/>
  <c r="BO123" i="7"/>
  <c r="BO16" i="5"/>
  <c r="BM14" i="5"/>
  <c r="BO120" i="6"/>
  <c r="BJ114" i="6"/>
  <c r="BJ9" i="6" s="1"/>
  <c r="BJ11" i="6" s="1"/>
  <c r="BO9" i="5"/>
  <c r="BO141" i="5"/>
  <c r="BO142" i="5" s="1"/>
  <c r="BN126" i="5"/>
  <c r="BN129" i="5" s="1"/>
  <c r="BN133" i="5" s="1"/>
  <c r="BM14" i="7"/>
  <c r="BI120" i="5"/>
  <c r="BI9" i="5" s="1"/>
  <c r="BI137" i="7"/>
  <c r="BI138" i="7" s="1"/>
  <c r="BM14" i="6"/>
  <c r="BM8" i="4"/>
  <c r="BN127" i="6"/>
  <c r="BN114" i="6" s="1"/>
  <c r="BH114" i="6"/>
  <c r="BH9" i="6" s="1"/>
  <c r="BM127" i="6"/>
  <c r="BM114" i="6" s="1"/>
  <c r="BN9" i="7"/>
  <c r="BN11" i="7" s="1"/>
  <c r="BN137" i="7"/>
  <c r="BL45" i="3"/>
  <c r="BM58" i="4"/>
  <c r="BM59" i="4" s="1"/>
  <c r="BQ192" i="7"/>
  <c r="DT141" i="10"/>
  <c r="DT10" i="10"/>
  <c r="DT12" i="10" s="1"/>
  <c r="BA196" i="6"/>
  <c r="BB196" i="6" s="1"/>
  <c r="AV275" i="6"/>
  <c r="AV274" i="6"/>
  <c r="AV74" i="6" s="1"/>
  <c r="BC14" i="4"/>
  <c r="BC16" i="4" s="1"/>
  <c r="BD135" i="6"/>
  <c r="AZ26" i="5"/>
  <c r="AZ32" i="5" s="1"/>
  <c r="AZ33" i="5" s="1"/>
  <c r="AX9" i="4"/>
  <c r="AX11" i="4" s="1"/>
  <c r="BJ216" i="5"/>
  <c r="BI14" i="4"/>
  <c r="BI16" i="4" s="1"/>
  <c r="BJ11" i="5"/>
  <c r="BJ18" i="5" s="1"/>
  <c r="BA154" i="6"/>
  <c r="BT44" i="4"/>
  <c r="BI40" i="9"/>
  <c r="BI51" i="6"/>
  <c r="BI44" i="8"/>
  <c r="BI52" i="7"/>
  <c r="BI52" i="5"/>
  <c r="BE14" i="4"/>
  <c r="BE16" i="4" s="1"/>
  <c r="AZ9" i="6"/>
  <c r="AZ135" i="6"/>
  <c r="AZ136" i="6" s="1"/>
  <c r="AY16" i="4"/>
  <c r="J20" i="20"/>
  <c r="K20" i="20" s="1"/>
  <c r="L20" i="20" s="1"/>
  <c r="BD16" i="5"/>
  <c r="BD14" i="4"/>
  <c r="BX288" i="5"/>
  <c r="BX291" i="5" s="1"/>
  <c r="BX293" i="5" s="1"/>
  <c r="BJ40" i="9"/>
  <c r="BJ51" i="6"/>
  <c r="BJ44" i="8"/>
  <c r="BJ52" i="7"/>
  <c r="BJ52" i="5"/>
  <c r="BJ14" i="4"/>
  <c r="BJ16" i="4" s="1"/>
  <c r="BE135" i="6"/>
  <c r="BE9" i="6"/>
  <c r="BE11" i="6" s="1"/>
  <c r="BE17" i="6" s="1"/>
  <c r="BB160" i="6"/>
  <c r="DT219" i="7"/>
  <c r="DQ219" i="7"/>
  <c r="DP221" i="7"/>
  <c r="BE129" i="7"/>
  <c r="BJ129" i="7" s="1"/>
  <c r="AZ117" i="7"/>
  <c r="BL71" i="4"/>
  <c r="AX11" i="6"/>
  <c r="AY17" i="6"/>
  <c r="AY25" i="6"/>
  <c r="BD152" i="6"/>
  <c r="BC154" i="6"/>
  <c r="BD158" i="6" s="1"/>
  <c r="BD20" i="6" s="1"/>
  <c r="BC136" i="6"/>
  <c r="BD17" i="6"/>
  <c r="BI17" i="6"/>
  <c r="BJ173" i="6"/>
  <c r="BJ27" i="6" s="1"/>
  <c r="BJ176" i="6"/>
  <c r="BJ35" i="6" s="1"/>
  <c r="BH14" i="6"/>
  <c r="BH14" i="4" s="1"/>
  <c r="BC11" i="6"/>
  <c r="BC15" i="6"/>
  <c r="BI29" i="6"/>
  <c r="BI197" i="6"/>
  <c r="BI204" i="6"/>
  <c r="BI206" i="6" s="1"/>
  <c r="BK156" i="6"/>
  <c r="BL161" i="6"/>
  <c r="BM161" i="6" s="1"/>
  <c r="BH29" i="6"/>
  <c r="BH197" i="6"/>
  <c r="BH204" i="6"/>
  <c r="BJ229" i="6"/>
  <c r="BC20" i="6"/>
  <c r="AH180" i="8"/>
  <c r="AH182" i="8" s="1"/>
  <c r="AI180" i="8" s="1"/>
  <c r="AI182" i="8" s="1"/>
  <c r="AJ180" i="8" s="1"/>
  <c r="AJ182" i="8" s="1"/>
  <c r="AK180" i="8" s="1"/>
  <c r="AK182" i="8" s="1"/>
  <c r="AL180" i="8" s="1"/>
  <c r="AL182" i="8" s="1"/>
  <c r="DO182" i="8"/>
  <c r="DP180" i="8" s="1"/>
  <c r="BJ193" i="8"/>
  <c r="BH16" i="7"/>
  <c r="BH117" i="7"/>
  <c r="BC16" i="7"/>
  <c r="AX11" i="7"/>
  <c r="BI18" i="7"/>
  <c r="BK232" i="7"/>
  <c r="BC9" i="7"/>
  <c r="BC9" i="4" s="1"/>
  <c r="BC137" i="7"/>
  <c r="BC138" i="7" s="1"/>
  <c r="BD18" i="7"/>
  <c r="BB162" i="5"/>
  <c r="BA163" i="5"/>
  <c r="BI141" i="5"/>
  <c r="AB285" i="5"/>
  <c r="AB284" i="5"/>
  <c r="AB77" i="5" s="1"/>
  <c r="BK28" i="5"/>
  <c r="BL183" i="5"/>
  <c r="BL184" i="5" s="1"/>
  <c r="AX11" i="5"/>
  <c r="BE9" i="5"/>
  <c r="BE141" i="5"/>
  <c r="BE142" i="5" s="1"/>
  <c r="BD120" i="5"/>
  <c r="AN268" i="5"/>
  <c r="AN273" i="5" s="1"/>
  <c r="AR268" i="5"/>
  <c r="AR273" i="5" s="1"/>
  <c r="AM275" i="5"/>
  <c r="AM284" i="5"/>
  <c r="AM77" i="5" s="1"/>
  <c r="AM31" i="2" s="1"/>
  <c r="AM285" i="5"/>
  <c r="AM78" i="5" s="1"/>
  <c r="BF161" i="5"/>
  <c r="BC11" i="5"/>
  <c r="BH16" i="5"/>
  <c r="AJ268" i="5"/>
  <c r="AJ273" i="5" s="1"/>
  <c r="AI285" i="5"/>
  <c r="AI284" i="5"/>
  <c r="AI77" i="5" s="1"/>
  <c r="AY9" i="5"/>
  <c r="AY141" i="5"/>
  <c r="AY142" i="5" s="1"/>
  <c r="BK36" i="5"/>
  <c r="BL186" i="5"/>
  <c r="BL187" i="5" s="1"/>
  <c r="AG268" i="5"/>
  <c r="AG273" i="5" s="1"/>
  <c r="AF284" i="5"/>
  <c r="AF77" i="5" s="1"/>
  <c r="AF285" i="5"/>
  <c r="BH9" i="5"/>
  <c r="BH141" i="5"/>
  <c r="BH142" i="5" s="1"/>
  <c r="BC16" i="5"/>
  <c r="BK139" i="5"/>
  <c r="BP139" i="5" s="1"/>
  <c r="BA21" i="5"/>
  <c r="BB167" i="5"/>
  <c r="BJ239" i="5"/>
  <c r="BK59" i="4"/>
  <c r="BJ129" i="4"/>
  <c r="BJ253" i="4"/>
  <c r="BJ154" i="4"/>
  <c r="BM183" i="4" l="1"/>
  <c r="BN178" i="4"/>
  <c r="BN71" i="4"/>
  <c r="BM72" i="4"/>
  <c r="BN138" i="7"/>
  <c r="BM156" i="6"/>
  <c r="BN161" i="6"/>
  <c r="BI136" i="6"/>
  <c r="BJ17" i="6"/>
  <c r="CB25" i="2"/>
  <c r="CB29" i="2" s="1"/>
  <c r="CJ29" i="2" s="1"/>
  <c r="AW276" i="5"/>
  <c r="BP170" i="5"/>
  <c r="BO165" i="5"/>
  <c r="BM36" i="5"/>
  <c r="BH135" i="6"/>
  <c r="BH136" i="6" s="1"/>
  <c r="BN183" i="5"/>
  <c r="BN28" i="5" s="1"/>
  <c r="BN186" i="5"/>
  <c r="BN36" i="5" s="1"/>
  <c r="BM28" i="5"/>
  <c r="BD136" i="6"/>
  <c r="BJ135" i="6"/>
  <c r="BN135" i="6"/>
  <c r="BN136" i="6" s="1"/>
  <c r="BN9" i="6"/>
  <c r="BN11" i="6" s="1"/>
  <c r="BJ117" i="7"/>
  <c r="BJ9" i="7" s="1"/>
  <c r="BM15" i="6"/>
  <c r="BN120" i="5"/>
  <c r="BN131" i="5"/>
  <c r="BN138" i="5"/>
  <c r="BM14" i="4"/>
  <c r="BM16" i="5"/>
  <c r="BM18" i="5" s="1"/>
  <c r="BN18" i="7"/>
  <c r="BO127" i="7"/>
  <c r="BO134" i="7"/>
  <c r="BO125" i="7"/>
  <c r="BO129" i="7" s="1"/>
  <c r="BM9" i="6"/>
  <c r="BM135" i="6"/>
  <c r="BM136" i="6" s="1"/>
  <c r="BM16" i="7"/>
  <c r="BO11" i="5"/>
  <c r="BO18" i="5" s="1"/>
  <c r="BO123" i="6"/>
  <c r="BO132" i="6"/>
  <c r="BJ136" i="6"/>
  <c r="BM137" i="7"/>
  <c r="BM9" i="7"/>
  <c r="BM142" i="5"/>
  <c r="BM39" i="9"/>
  <c r="BM50" i="6"/>
  <c r="BM51" i="5"/>
  <c r="BM43" i="8"/>
  <c r="BM51" i="7"/>
  <c r="BM74" i="4"/>
  <c r="BM151" i="4" s="1"/>
  <c r="BN58" i="4"/>
  <c r="AS268" i="5"/>
  <c r="AS273" i="5" s="1"/>
  <c r="AT268" i="5" s="1"/>
  <c r="AT273" i="5" s="1"/>
  <c r="AW268" i="5"/>
  <c r="AW273" i="5" s="1"/>
  <c r="AZ26" i="4"/>
  <c r="AZ25" i="3" s="1"/>
  <c r="BC11" i="4"/>
  <c r="BH16" i="4"/>
  <c r="BK39" i="9"/>
  <c r="BK50" i="6"/>
  <c r="BK51" i="5"/>
  <c r="BK43" i="8"/>
  <c r="BK51" i="7"/>
  <c r="AZ11" i="6"/>
  <c r="AY11" i="5"/>
  <c r="AY26" i="5" s="1"/>
  <c r="AY9" i="4"/>
  <c r="BD16" i="4"/>
  <c r="AX18" i="4"/>
  <c r="AX31" i="4"/>
  <c r="BL36" i="5"/>
  <c r="BE11" i="5"/>
  <c r="BE18" i="5" s="1"/>
  <c r="AY31" i="6"/>
  <c r="AY32" i="6" s="1"/>
  <c r="AY29" i="4"/>
  <c r="AY28" i="3" s="1"/>
  <c r="BL72" i="4"/>
  <c r="BL40" i="3"/>
  <c r="BE136" i="6"/>
  <c r="BY288" i="5"/>
  <c r="BY291" i="5" s="1"/>
  <c r="BY293" i="5" s="1"/>
  <c r="BI11" i="5"/>
  <c r="BI18" i="5" s="1"/>
  <c r="BI9" i="4"/>
  <c r="BI11" i="4" s="1"/>
  <c r="J21" i="20"/>
  <c r="BE117" i="7"/>
  <c r="AZ9" i="7"/>
  <c r="AZ11" i="7" s="1"/>
  <c r="AZ137" i="7"/>
  <c r="AZ138" i="7" s="1"/>
  <c r="DR219" i="7"/>
  <c r="DR221" i="7" s="1"/>
  <c r="DS219" i="7" s="1"/>
  <c r="DS221" i="7" s="1"/>
  <c r="DQ221" i="7"/>
  <c r="AM219" i="7"/>
  <c r="AM221" i="7" s="1"/>
  <c r="AN219" i="7" s="1"/>
  <c r="AN221" i="7" s="1"/>
  <c r="AO219" i="7" s="1"/>
  <c r="AO221" i="7" s="1"/>
  <c r="AP219" i="7" s="1"/>
  <c r="AP221" i="7" s="1"/>
  <c r="AQ219" i="7" s="1"/>
  <c r="AQ221" i="7" s="1"/>
  <c r="DT221" i="7"/>
  <c r="DU219" i="7" s="1"/>
  <c r="BH206" i="6"/>
  <c r="BE152" i="6"/>
  <c r="BC196" i="6"/>
  <c r="BC260" i="6"/>
  <c r="BC23" i="6"/>
  <c r="BC25" i="6" s="1"/>
  <c r="BL156" i="6"/>
  <c r="BK173" i="6"/>
  <c r="BK27" i="6" s="1"/>
  <c r="BK176" i="6"/>
  <c r="BJ29" i="6"/>
  <c r="BJ204" i="6"/>
  <c r="BJ206" i="6" s="1"/>
  <c r="BJ197" i="6"/>
  <c r="BH11" i="6"/>
  <c r="BD153" i="6"/>
  <c r="BD154" i="6" s="1"/>
  <c r="BE158" i="6" s="1"/>
  <c r="BH15" i="6"/>
  <c r="BK229" i="6"/>
  <c r="BC17" i="6"/>
  <c r="BD196" i="6"/>
  <c r="BD260" i="6"/>
  <c r="BD23" i="6"/>
  <c r="BD25" i="6" s="1"/>
  <c r="AX17" i="6"/>
  <c r="AX25" i="6"/>
  <c r="BK193" i="8"/>
  <c r="DT180" i="8"/>
  <c r="DQ180" i="8"/>
  <c r="DQ182" i="8" s="1"/>
  <c r="DR180" i="8"/>
  <c r="DR182" i="8" s="1"/>
  <c r="DS180" i="8" s="1"/>
  <c r="DS182" i="8" s="1"/>
  <c r="DP182" i="8"/>
  <c r="BL232" i="7"/>
  <c r="BH9" i="7"/>
  <c r="BH9" i="4" s="1"/>
  <c r="BH137" i="7"/>
  <c r="BH138" i="7" s="1"/>
  <c r="BC11" i="7"/>
  <c r="AX18" i="7"/>
  <c r="AX26" i="7"/>
  <c r="BC18" i="5"/>
  <c r="BG161" i="5"/>
  <c r="AX18" i="5"/>
  <c r="AX26" i="5"/>
  <c r="BK30" i="5"/>
  <c r="BK207" i="5"/>
  <c r="BL207" i="5" s="1"/>
  <c r="BK214" i="5"/>
  <c r="BL28" i="5"/>
  <c r="BL30" i="5" s="1"/>
  <c r="BK239" i="5"/>
  <c r="AG285" i="5"/>
  <c r="AG284" i="5"/>
  <c r="AG77" i="5" s="1"/>
  <c r="AR275" i="5"/>
  <c r="AR284" i="5"/>
  <c r="AR77" i="5" s="1"/>
  <c r="AR31" i="2" s="1"/>
  <c r="AR285" i="5"/>
  <c r="AR78" i="5" s="1"/>
  <c r="BB163" i="5"/>
  <c r="BB169" i="5" s="1"/>
  <c r="BC169" i="5" s="1"/>
  <c r="BH11" i="5"/>
  <c r="AO268" i="5"/>
  <c r="AO273" i="5" s="1"/>
  <c r="AN285" i="5"/>
  <c r="AN284" i="5"/>
  <c r="AN77" i="5" s="1"/>
  <c r="BJ142" i="5"/>
  <c r="BA206" i="5"/>
  <c r="BB206" i="5" s="1"/>
  <c r="BA270" i="5"/>
  <c r="BB270" i="5" s="1"/>
  <c r="BB21" i="5"/>
  <c r="AK268" i="5"/>
  <c r="AK273" i="5" s="1"/>
  <c r="AJ284" i="5"/>
  <c r="AJ77" i="5" s="1"/>
  <c r="AJ285" i="5"/>
  <c r="BD9" i="5"/>
  <c r="BD9" i="4" s="1"/>
  <c r="BD11" i="4" s="1"/>
  <c r="BD141" i="5"/>
  <c r="BD142" i="5" s="1"/>
  <c r="BK60" i="4"/>
  <c r="BM60" i="4" s="1"/>
  <c r="BK74" i="4"/>
  <c r="BK151" i="4" s="1"/>
  <c r="BL59" i="4"/>
  <c r="BN183" i="4" l="1"/>
  <c r="BO178" i="4"/>
  <c r="BO71" i="4"/>
  <c r="BN72" i="4"/>
  <c r="BM176" i="6"/>
  <c r="BM173" i="6"/>
  <c r="BO161" i="6"/>
  <c r="BN156" i="6"/>
  <c r="CB32" i="2"/>
  <c r="CB34" i="2" s="1"/>
  <c r="CB36" i="2" s="1"/>
  <c r="CB39" i="2" s="1"/>
  <c r="CB45" i="2" s="1"/>
  <c r="CB47" i="2" s="1"/>
  <c r="CB49" i="2" s="1"/>
  <c r="BM138" i="7"/>
  <c r="BN207" i="5"/>
  <c r="BN214" i="5"/>
  <c r="BN30" i="5"/>
  <c r="BO186" i="5"/>
  <c r="BO183" i="5"/>
  <c r="BO28" i="5" s="1"/>
  <c r="BQ170" i="5"/>
  <c r="BP165" i="5"/>
  <c r="BM214" i="5"/>
  <c r="BM207" i="5"/>
  <c r="BM30" i="5"/>
  <c r="AW275" i="5"/>
  <c r="CC25" i="2"/>
  <c r="AY18" i="5"/>
  <c r="BJ137" i="7"/>
  <c r="BO14" i="6"/>
  <c r="BM11" i="7"/>
  <c r="BO125" i="6"/>
  <c r="BO127" i="6"/>
  <c r="BO114" i="6" s="1"/>
  <c r="BO117" i="7"/>
  <c r="BM16" i="4"/>
  <c r="BN9" i="5"/>
  <c r="BN141" i="5"/>
  <c r="BN142" i="5" s="1"/>
  <c r="BO14" i="7"/>
  <c r="BN17" i="6"/>
  <c r="BM9" i="4"/>
  <c r="BM11" i="6"/>
  <c r="BN14" i="5"/>
  <c r="BM44" i="8"/>
  <c r="BM52" i="7"/>
  <c r="BM40" i="9"/>
  <c r="BM51" i="6"/>
  <c r="BM52" i="5"/>
  <c r="BO58" i="4"/>
  <c r="BM253" i="4"/>
  <c r="BM129" i="4"/>
  <c r="BM154" i="4"/>
  <c r="BN59" i="4"/>
  <c r="AZ9" i="4"/>
  <c r="AZ11" i="4" s="1"/>
  <c r="AZ18" i="4" s="1"/>
  <c r="BH11" i="4"/>
  <c r="AY32" i="5"/>
  <c r="AY33" i="5" s="1"/>
  <c r="AY26" i="4"/>
  <c r="BD31" i="6"/>
  <c r="BD32" i="6" s="1"/>
  <c r="BD29" i="4"/>
  <c r="BC31" i="6"/>
  <c r="BC32" i="6" s="1"/>
  <c r="BC29" i="4"/>
  <c r="AX32" i="5"/>
  <c r="AX33" i="5" s="1"/>
  <c r="AX26" i="4"/>
  <c r="AX31" i="6"/>
  <c r="AX32" i="6" s="1"/>
  <c r="AX29" i="4"/>
  <c r="BJ11" i="7"/>
  <c r="BJ18" i="7" s="1"/>
  <c r="BJ9" i="4"/>
  <c r="BJ11" i="4" s="1"/>
  <c r="BL43" i="3"/>
  <c r="BL41" i="3"/>
  <c r="BL57" i="3" s="1"/>
  <c r="BL18" i="2" s="1"/>
  <c r="AZ17" i="6"/>
  <c r="AZ25" i="6"/>
  <c r="BC18" i="4"/>
  <c r="BL74" i="4"/>
  <c r="BL39" i="9"/>
  <c r="BL43" i="8"/>
  <c r="BL51" i="5"/>
  <c r="BL50" i="6"/>
  <c r="BL51" i="7"/>
  <c r="BL46" i="3"/>
  <c r="AX27" i="4"/>
  <c r="BL60" i="4"/>
  <c r="BK40" i="9"/>
  <c r="BK51" i="6"/>
  <c r="BK44" i="8"/>
  <c r="BK52" i="5"/>
  <c r="BK52" i="7"/>
  <c r="BD18" i="4"/>
  <c r="K22" i="20"/>
  <c r="K21" i="20"/>
  <c r="L21" i="20" s="1"/>
  <c r="BI18" i="4"/>
  <c r="DO29" i="3"/>
  <c r="AY11" i="4"/>
  <c r="BL173" i="6"/>
  <c r="BL174" i="6" s="1"/>
  <c r="DV219" i="7"/>
  <c r="DU221" i="7"/>
  <c r="DY219" i="7"/>
  <c r="AZ18" i="7"/>
  <c r="BE137" i="7"/>
  <c r="BE138" i="7" s="1"/>
  <c r="BE9" i="7"/>
  <c r="BE20" i="6"/>
  <c r="BK29" i="6"/>
  <c r="BK197" i="6"/>
  <c r="BL197" i="6" s="1"/>
  <c r="BK204" i="6"/>
  <c r="BK206" i="6" s="1"/>
  <c r="BL27" i="6"/>
  <c r="BL29" i="6" s="1"/>
  <c r="BL229" i="6"/>
  <c r="BH17" i="6"/>
  <c r="BF152" i="6"/>
  <c r="BE153" i="6"/>
  <c r="BK35" i="6"/>
  <c r="BL176" i="6"/>
  <c r="BL177" i="6" s="1"/>
  <c r="BL193" i="8"/>
  <c r="AM180" i="8"/>
  <c r="AM182" i="8" s="1"/>
  <c r="AN180" i="8" s="1"/>
  <c r="AN182" i="8" s="1"/>
  <c r="AO180" i="8" s="1"/>
  <c r="AO182" i="8" s="1"/>
  <c r="AP180" i="8" s="1"/>
  <c r="AP182" i="8" s="1"/>
  <c r="AQ180" i="8" s="1"/>
  <c r="AQ182" i="8" s="1"/>
  <c r="DT182" i="8"/>
  <c r="DU180" i="8" s="1"/>
  <c r="BC18" i="7"/>
  <c r="BH11" i="7"/>
  <c r="BD169" i="5"/>
  <c r="BC167" i="5"/>
  <c r="BI142" i="5"/>
  <c r="BH18" i="5"/>
  <c r="AP268" i="5"/>
  <c r="AP273" i="5" s="1"/>
  <c r="AO284" i="5"/>
  <c r="AO77" i="5" s="1"/>
  <c r="AO285" i="5"/>
  <c r="AL268" i="5"/>
  <c r="AL273" i="5" s="1"/>
  <c r="AK285" i="5"/>
  <c r="AK284" i="5"/>
  <c r="AK77" i="5" s="1"/>
  <c r="AU268" i="5"/>
  <c r="AU273" i="5" s="1"/>
  <c r="AS285" i="5"/>
  <c r="AS284" i="5"/>
  <c r="AS77" i="5" s="1"/>
  <c r="BD11" i="5"/>
  <c r="BL239" i="5"/>
  <c r="BM239" i="5" s="1"/>
  <c r="BN239" i="5" s="1"/>
  <c r="BO239" i="5" s="1"/>
  <c r="BP239" i="5" s="1"/>
  <c r="BQ239" i="5" s="1"/>
  <c r="BK216" i="5"/>
  <c r="BL214" i="5"/>
  <c r="BL216" i="5" s="1"/>
  <c r="BH161" i="5"/>
  <c r="BK129" i="4"/>
  <c r="BK154" i="4"/>
  <c r="BL154" i="4" s="1"/>
  <c r="BK253" i="4"/>
  <c r="BL151" i="4"/>
  <c r="ED59" i="3" s="1"/>
  <c r="BO72" i="4" l="1"/>
  <c r="BP71" i="4"/>
  <c r="BP72" i="4" s="1"/>
  <c r="BP178" i="4"/>
  <c r="BO183" i="4"/>
  <c r="BM27" i="6"/>
  <c r="BO156" i="6"/>
  <c r="BP161" i="6"/>
  <c r="BN176" i="6"/>
  <c r="BN35" i="6" s="1"/>
  <c r="BN43" i="4" s="1"/>
  <c r="BN173" i="6"/>
  <c r="BN27" i="6" s="1"/>
  <c r="BM35" i="6"/>
  <c r="BO207" i="5"/>
  <c r="BO30" i="5"/>
  <c r="BO214" i="5"/>
  <c r="BQ165" i="5"/>
  <c r="BP186" i="5"/>
  <c r="BP36" i="5" s="1"/>
  <c r="BP183" i="5"/>
  <c r="BP28" i="5" s="1"/>
  <c r="BM216" i="5"/>
  <c r="BN216" i="5"/>
  <c r="BO36" i="5"/>
  <c r="BO9" i="6"/>
  <c r="BO135" i="6"/>
  <c r="BO136" i="6" s="1"/>
  <c r="BM11" i="4"/>
  <c r="BM18" i="4" s="1"/>
  <c r="BO9" i="7"/>
  <c r="BO137" i="7"/>
  <c r="BO138" i="7" s="1"/>
  <c r="BM18" i="7"/>
  <c r="BN14" i="4"/>
  <c r="BN16" i="5"/>
  <c r="BO16" i="7"/>
  <c r="BN9" i="4"/>
  <c r="BN11" i="4" s="1"/>
  <c r="BN11" i="5"/>
  <c r="BM17" i="6"/>
  <c r="BO15" i="6"/>
  <c r="BO14" i="4"/>
  <c r="BO16" i="4" s="1"/>
  <c r="CF38" i="2"/>
  <c r="CM14" i="2"/>
  <c r="CM15" i="2" s="1"/>
  <c r="BN43" i="8"/>
  <c r="BN51" i="7"/>
  <c r="BN39" i="9"/>
  <c r="BN50" i="6"/>
  <c r="BN51" i="5"/>
  <c r="BN74" i="4"/>
  <c r="BN151" i="4" s="1"/>
  <c r="BN60" i="4"/>
  <c r="BP58" i="4"/>
  <c r="BQ58" i="4" s="1"/>
  <c r="BQ45" i="3" s="1"/>
  <c r="BO59" i="4"/>
  <c r="BL35" i="6"/>
  <c r="BL204" i="6"/>
  <c r="BL206" i="6" s="1"/>
  <c r="AY18" i="4"/>
  <c r="AZ31" i="6"/>
  <c r="AZ29" i="4"/>
  <c r="AZ28" i="3" s="1"/>
  <c r="AX28" i="3"/>
  <c r="AW28" i="3"/>
  <c r="AY241" i="6"/>
  <c r="BJ18" i="4"/>
  <c r="AV26" i="3"/>
  <c r="BL40" i="9"/>
  <c r="BL44" i="8"/>
  <c r="BL52" i="5"/>
  <c r="BL52" i="7"/>
  <c r="BL51" i="6"/>
  <c r="BL47" i="3"/>
  <c r="AX25" i="3"/>
  <c r="AX32" i="4"/>
  <c r="AW26" i="3"/>
  <c r="AX241" i="6"/>
  <c r="BE11" i="7"/>
  <c r="BE18" i="7" s="1"/>
  <c r="BE9" i="4"/>
  <c r="AX26" i="3"/>
  <c r="AV28" i="3"/>
  <c r="AY25" i="3"/>
  <c r="BH18" i="4"/>
  <c r="BJ138" i="7"/>
  <c r="DW219" i="7"/>
  <c r="DW221" i="7" s="1"/>
  <c r="DX219" i="7" s="1"/>
  <c r="DX221" i="7" s="1"/>
  <c r="DV221" i="7"/>
  <c r="AR219" i="7"/>
  <c r="AR221" i="7" s="1"/>
  <c r="AS219" i="7" s="1"/>
  <c r="AS221" i="7" s="1"/>
  <c r="AT219" i="7" s="1"/>
  <c r="AT221" i="7" s="1"/>
  <c r="AU219" i="7" s="1"/>
  <c r="AU221" i="7" s="1"/>
  <c r="AV219" i="7" s="1"/>
  <c r="AV221" i="7" s="1"/>
  <c r="DY221" i="7"/>
  <c r="DZ219" i="7" s="1"/>
  <c r="BE154" i="6"/>
  <c r="BF158" i="6" s="1"/>
  <c r="BF153" i="6" s="1"/>
  <c r="BG152" i="6"/>
  <c r="AX242" i="6"/>
  <c r="AY242" i="6"/>
  <c r="BE196" i="6"/>
  <c r="BE260" i="6"/>
  <c r="BE23" i="6"/>
  <c r="BE25" i="6" s="1"/>
  <c r="DY180" i="8"/>
  <c r="DV180" i="8"/>
  <c r="DU182" i="8"/>
  <c r="BH18" i="7"/>
  <c r="BD18" i="5"/>
  <c r="AW251" i="5"/>
  <c r="AW264" i="5" s="1"/>
  <c r="AL284" i="5"/>
  <c r="AL77" i="5" s="1"/>
  <c r="AL285" i="5"/>
  <c r="AQ268" i="5"/>
  <c r="AQ273" i="5" s="1"/>
  <c r="AP284" i="5"/>
  <c r="AP77" i="5" s="1"/>
  <c r="AP285" i="5"/>
  <c r="AV252" i="5"/>
  <c r="AV251" i="5"/>
  <c r="AV264" i="5" s="1"/>
  <c r="BC21" i="5"/>
  <c r="BC162" i="5"/>
  <c r="BI161" i="5"/>
  <c r="AY252" i="5"/>
  <c r="AV268" i="5"/>
  <c r="AV273" i="5" s="1"/>
  <c r="AT284" i="5"/>
  <c r="AT77" i="5" s="1"/>
  <c r="AT285" i="5"/>
  <c r="BE169" i="5"/>
  <c r="BL129" i="4"/>
  <c r="BL253" i="4"/>
  <c r="BP183" i="4" l="1"/>
  <c r="BQ178" i="4"/>
  <c r="BQ183" i="4" s="1"/>
  <c r="BQ71" i="4"/>
  <c r="BM204" i="6"/>
  <c r="BM197" i="6"/>
  <c r="BM29" i="6"/>
  <c r="BM34" i="4"/>
  <c r="BP156" i="6"/>
  <c r="BQ161" i="6"/>
  <c r="BM43" i="4"/>
  <c r="BO173" i="6"/>
  <c r="BO27" i="6" s="1"/>
  <c r="BO176" i="6"/>
  <c r="BO35" i="6" s="1"/>
  <c r="BN29" i="6"/>
  <c r="BN204" i="6"/>
  <c r="BN197" i="6"/>
  <c r="BN34" i="4"/>
  <c r="BP30" i="5"/>
  <c r="BP207" i="5"/>
  <c r="BQ207" i="5" s="1"/>
  <c r="BP214" i="5"/>
  <c r="BQ28" i="5"/>
  <c r="BQ30" i="5" s="1"/>
  <c r="BQ186" i="5"/>
  <c r="BQ187" i="5" s="1"/>
  <c r="BO43" i="4"/>
  <c r="BQ36" i="5"/>
  <c r="BQ183" i="5"/>
  <c r="BQ184" i="5" s="1"/>
  <c r="BO216" i="5"/>
  <c r="BN18" i="5"/>
  <c r="BO11" i="7"/>
  <c r="BO18" i="7" s="1"/>
  <c r="BN16" i="4"/>
  <c r="BN18" i="4" s="1"/>
  <c r="BO11" i="6"/>
  <c r="BO17" i="6" s="1"/>
  <c r="BO9" i="4"/>
  <c r="BO11" i="4" s="1"/>
  <c r="BO18" i="4" s="1"/>
  <c r="BN40" i="9"/>
  <c r="BN51" i="6"/>
  <c r="BN52" i="5"/>
  <c r="BN44" i="8"/>
  <c r="BN52" i="7"/>
  <c r="BO39" i="9"/>
  <c r="BO50" i="6"/>
  <c r="BO51" i="5"/>
  <c r="BO43" i="8"/>
  <c r="BO51" i="7"/>
  <c r="BO74" i="4"/>
  <c r="BO151" i="4" s="1"/>
  <c r="BO60" i="4"/>
  <c r="BP59" i="4"/>
  <c r="BQ59" i="4" s="1"/>
  <c r="BN129" i="4"/>
  <c r="BN253" i="4"/>
  <c r="BN154" i="4"/>
  <c r="AZ252" i="5"/>
  <c r="AX30" i="3"/>
  <c r="AX56" i="3" s="1"/>
  <c r="AZ32" i="6"/>
  <c r="AZ241" i="6"/>
  <c r="AY251" i="5"/>
  <c r="AX251" i="5"/>
  <c r="AZ251" i="5"/>
  <c r="AX252" i="5"/>
  <c r="BE31" i="6"/>
  <c r="BE32" i="6" s="1"/>
  <c r="BE29" i="4"/>
  <c r="BE11" i="4"/>
  <c r="AW252" i="5"/>
  <c r="AW25" i="3"/>
  <c r="AV25" i="3"/>
  <c r="EA219" i="7"/>
  <c r="DZ221" i="7"/>
  <c r="BG153" i="6"/>
  <c r="BG154" i="6" s="1"/>
  <c r="BH158" i="6" s="1"/>
  <c r="BF154" i="6"/>
  <c r="BH152" i="6"/>
  <c r="BF20" i="6"/>
  <c r="BG158" i="6"/>
  <c r="DW180" i="8"/>
  <c r="DW182" i="8" s="1"/>
  <c r="DX180" i="8" s="1"/>
  <c r="DX182" i="8" s="1"/>
  <c r="DV182" i="8"/>
  <c r="DY182" i="8"/>
  <c r="DZ180" i="8" s="1"/>
  <c r="AR180" i="8"/>
  <c r="AR182" i="8" s="1"/>
  <c r="AS180" i="8" s="1"/>
  <c r="AS182" i="8" s="1"/>
  <c r="AT180" i="8" s="1"/>
  <c r="AT182" i="8" s="1"/>
  <c r="AU180" i="8" s="1"/>
  <c r="AU182" i="8" s="1"/>
  <c r="AV180" i="8" s="1"/>
  <c r="AV182" i="8" s="1"/>
  <c r="AV264" i="7"/>
  <c r="BC163" i="5"/>
  <c r="BD167" i="5" s="1"/>
  <c r="BD162" i="5" s="1"/>
  <c r="AQ284" i="5"/>
  <c r="AQ77" i="5" s="1"/>
  <c r="AQ285" i="5"/>
  <c r="AU285" i="5"/>
  <c r="AU284" i="5"/>
  <c r="AU77" i="5" s="1"/>
  <c r="BC206" i="5"/>
  <c r="BC270" i="5"/>
  <c r="BC24" i="5"/>
  <c r="BC26" i="5" s="1"/>
  <c r="BF169" i="5"/>
  <c r="BJ161" i="5"/>
  <c r="BQ40" i="3" l="1"/>
  <c r="BQ72" i="4"/>
  <c r="BN136" i="4"/>
  <c r="BN37" i="4"/>
  <c r="BM206" i="6"/>
  <c r="BM143" i="4"/>
  <c r="BM145" i="4" s="1"/>
  <c r="BN206" i="6"/>
  <c r="BN143" i="4"/>
  <c r="BN145" i="4" s="1"/>
  <c r="BO204" i="6"/>
  <c r="BO197" i="6"/>
  <c r="BO29" i="6"/>
  <c r="BO34" i="4"/>
  <c r="BQ156" i="6"/>
  <c r="BP173" i="6"/>
  <c r="BP176" i="6"/>
  <c r="BM37" i="4"/>
  <c r="BM136" i="4"/>
  <c r="BQ214" i="5"/>
  <c r="BQ216" i="5" s="1"/>
  <c r="BP216" i="5"/>
  <c r="BQ74" i="4"/>
  <c r="BQ39" i="9"/>
  <c r="BQ50" i="6"/>
  <c r="BQ51" i="5"/>
  <c r="BQ46" i="3"/>
  <c r="BQ43" i="8"/>
  <c r="BQ51" i="7"/>
  <c r="BO44" i="8"/>
  <c r="BO52" i="7"/>
  <c r="BO40" i="9"/>
  <c r="BO51" i="6"/>
  <c r="BO52" i="5"/>
  <c r="BP43" i="8"/>
  <c r="BP51" i="7"/>
  <c r="BP39" i="9"/>
  <c r="BP50" i="6"/>
  <c r="BP51" i="5"/>
  <c r="BP74" i="4"/>
  <c r="BP151" i="4" s="1"/>
  <c r="BP60" i="4"/>
  <c r="BO253" i="4"/>
  <c r="BO129" i="4"/>
  <c r="BO154" i="4"/>
  <c r="BQ60" i="4"/>
  <c r="CG38" i="2" s="1"/>
  <c r="AX33" i="3"/>
  <c r="BC32" i="5"/>
  <c r="BC33" i="5" s="1"/>
  <c r="BC26" i="4"/>
  <c r="AV62" i="4"/>
  <c r="AV127" i="4"/>
  <c r="BE18" i="4"/>
  <c r="AZ242" i="6"/>
  <c r="AW30" i="3"/>
  <c r="AW33" i="3" s="1"/>
  <c r="AV30" i="3"/>
  <c r="AV56" i="3" s="1"/>
  <c r="EB219" i="7"/>
  <c r="EB221" i="7" s="1"/>
  <c r="EA221" i="7"/>
  <c r="AX258" i="6"/>
  <c r="BB258" i="6"/>
  <c r="BI152" i="6"/>
  <c r="BG160" i="6"/>
  <c r="BF196" i="6"/>
  <c r="BG196" i="6" s="1"/>
  <c r="BF260" i="6"/>
  <c r="BG20" i="6"/>
  <c r="BH20" i="6"/>
  <c r="BH153" i="6"/>
  <c r="BH154" i="6" s="1"/>
  <c r="BI158" i="6" s="1"/>
  <c r="BI20" i="6" s="1"/>
  <c r="EA180" i="8"/>
  <c r="DZ182" i="8"/>
  <c r="AW264" i="7"/>
  <c r="BK161" i="5"/>
  <c r="BD21" i="5"/>
  <c r="BD163" i="5"/>
  <c r="BE167" i="5" s="1"/>
  <c r="BE21" i="5" s="1"/>
  <c r="BQ43" i="3" l="1"/>
  <c r="BQ41" i="3"/>
  <c r="BQ57" i="3" s="1"/>
  <c r="BQ18" i="2" s="1"/>
  <c r="BO206" i="6"/>
  <c r="BO143" i="4"/>
  <c r="BO145" i="4" s="1"/>
  <c r="BO37" i="4"/>
  <c r="BO136" i="4"/>
  <c r="BP35" i="6"/>
  <c r="BQ176" i="6"/>
  <c r="BQ177" i="6" s="1"/>
  <c r="BP27" i="6"/>
  <c r="BQ173" i="6"/>
  <c r="BQ174" i="6" s="1"/>
  <c r="BP129" i="4"/>
  <c r="BP253" i="4"/>
  <c r="BP154" i="4"/>
  <c r="BQ154" i="4" s="1"/>
  <c r="BQ151" i="4"/>
  <c r="BQ47" i="3"/>
  <c r="BQ44" i="8"/>
  <c r="BQ52" i="7"/>
  <c r="BQ40" i="9"/>
  <c r="BQ51" i="6"/>
  <c r="BQ52" i="5"/>
  <c r="BP40" i="9"/>
  <c r="BP51" i="6"/>
  <c r="BP52" i="5"/>
  <c r="BP44" i="8"/>
  <c r="BP52" i="7"/>
  <c r="AW127" i="4"/>
  <c r="AV126" i="4"/>
  <c r="AV33" i="3"/>
  <c r="AV63" i="4"/>
  <c r="AV75" i="4" s="1"/>
  <c r="AW62" i="4"/>
  <c r="BI153" i="6"/>
  <c r="BI154" i="6" s="1"/>
  <c r="BJ158" i="6" s="1"/>
  <c r="BJ20" i="6" s="1"/>
  <c r="BG260" i="6"/>
  <c r="BJ152" i="6"/>
  <c r="AW88" i="4"/>
  <c r="BH196" i="6"/>
  <c r="BH260" i="6"/>
  <c r="BH23" i="6"/>
  <c r="BH25" i="6" s="1"/>
  <c r="BI196" i="6"/>
  <c r="BI260" i="6"/>
  <c r="BI23" i="6"/>
  <c r="BI25" i="6" s="1"/>
  <c r="EB180" i="8"/>
  <c r="EB182" i="8" s="1"/>
  <c r="EA182" i="8"/>
  <c r="AW86" i="4"/>
  <c r="BE206" i="5"/>
  <c r="BE270" i="5"/>
  <c r="BE24" i="5"/>
  <c r="BE26" i="5" s="1"/>
  <c r="BD206" i="5"/>
  <c r="BD270" i="5"/>
  <c r="BD24" i="5"/>
  <c r="BD26" i="5" s="1"/>
  <c r="BL161" i="5"/>
  <c r="BM161" i="5" s="1"/>
  <c r="BN161" i="5" s="1"/>
  <c r="BO161" i="5" s="1"/>
  <c r="BP161" i="5" s="1"/>
  <c r="BQ161" i="5" s="1"/>
  <c r="BE162" i="5"/>
  <c r="AX268" i="5"/>
  <c r="BB268" i="5"/>
  <c r="BQ35" i="6" l="1"/>
  <c r="BP43" i="4"/>
  <c r="BQ43" i="4" s="1"/>
  <c r="BP197" i="6"/>
  <c r="BQ197" i="6" s="1"/>
  <c r="BP29" i="6"/>
  <c r="BP204" i="6"/>
  <c r="BP34" i="4"/>
  <c r="BQ27" i="6"/>
  <c r="BQ29" i="6" s="1"/>
  <c r="BQ129" i="4"/>
  <c r="BQ253" i="4"/>
  <c r="EI59" i="3"/>
  <c r="AW126" i="4"/>
  <c r="AV89" i="4"/>
  <c r="BD32" i="5"/>
  <c r="BD33" i="5" s="1"/>
  <c r="BD26" i="4"/>
  <c r="AW63" i="4"/>
  <c r="AW89" i="4"/>
  <c r="AW90" i="4" s="1"/>
  <c r="BI31" i="6"/>
  <c r="BI29" i="4"/>
  <c r="AW11" i="3"/>
  <c r="BH31" i="6"/>
  <c r="BH32" i="6" s="1"/>
  <c r="BH29" i="4"/>
  <c r="DN41" i="3"/>
  <c r="BE32" i="5"/>
  <c r="BE33" i="5" s="1"/>
  <c r="BE26" i="4"/>
  <c r="AW13" i="3"/>
  <c r="DO44" i="3"/>
  <c r="DO41" i="3" s="1"/>
  <c r="DO53" i="3" s="1"/>
  <c r="DO56" i="3" s="1"/>
  <c r="BK152" i="6"/>
  <c r="AV88" i="4"/>
  <c r="BJ196" i="6"/>
  <c r="BJ260" i="6"/>
  <c r="BJ23" i="6"/>
  <c r="BJ25" i="6" s="1"/>
  <c r="BJ153" i="6"/>
  <c r="BJ154" i="6" s="1"/>
  <c r="BK158" i="6" s="1"/>
  <c r="AV86" i="4"/>
  <c r="BE163" i="5"/>
  <c r="BF167" i="5" s="1"/>
  <c r="AW75" i="4" l="1"/>
  <c r="AW8" i="2"/>
  <c r="AW14" i="2" s="1"/>
  <c r="AW17" i="2" s="1"/>
  <c r="AW19" i="2" s="1"/>
  <c r="BQ34" i="4"/>
  <c r="BQ37" i="4" s="1"/>
  <c r="BP37" i="4"/>
  <c r="BP136" i="4"/>
  <c r="BQ136" i="4" s="1"/>
  <c r="BP206" i="6"/>
  <c r="BP143" i="4"/>
  <c r="BQ204" i="6"/>
  <c r="BQ206" i="6" s="1"/>
  <c r="BI32" i="6"/>
  <c r="AV90" i="4"/>
  <c r="AW14" i="3"/>
  <c r="AW64" i="4"/>
  <c r="BJ31" i="6"/>
  <c r="BJ29" i="4"/>
  <c r="DO28" i="3"/>
  <c r="BK20" i="6"/>
  <c r="BL158" i="6"/>
  <c r="BL152" i="6"/>
  <c r="BM152" i="6" s="1"/>
  <c r="BN152" i="6" s="1"/>
  <c r="BO152" i="6" s="1"/>
  <c r="BP152" i="6" s="1"/>
  <c r="BQ152" i="6" s="1"/>
  <c r="BK153" i="6"/>
  <c r="BL153" i="6" s="1"/>
  <c r="BF21" i="5"/>
  <c r="BG167" i="5"/>
  <c r="AW250" i="5"/>
  <c r="AW254" i="5"/>
  <c r="BF162" i="5"/>
  <c r="BP145" i="4" l="1"/>
  <c r="BQ143" i="4"/>
  <c r="BJ32" i="6"/>
  <c r="BL154" i="6"/>
  <c r="BK154" i="6"/>
  <c r="BK196" i="6"/>
  <c r="BL196" i="6" s="1"/>
  <c r="BK260" i="6"/>
  <c r="BL20" i="6"/>
  <c r="AV250" i="5"/>
  <c r="AV254" i="5"/>
  <c r="AW263" i="5"/>
  <c r="BG162" i="5"/>
  <c r="BF163" i="5"/>
  <c r="BF206" i="5"/>
  <c r="BG206" i="5" s="1"/>
  <c r="BF270" i="5"/>
  <c r="BG270" i="5" s="1"/>
  <c r="BG21" i="5"/>
  <c r="BQ145" i="4" l="1"/>
  <c r="EI58" i="3"/>
  <c r="BL160" i="6"/>
  <c r="BM158" i="6"/>
  <c r="AW10" i="3"/>
  <c r="CC51" i="2" s="1"/>
  <c r="BL260" i="6"/>
  <c r="AV263" i="5"/>
  <c r="BG163" i="5"/>
  <c r="BG169" i="5" s="1"/>
  <c r="BH169" i="5" s="1"/>
  <c r="BM20" i="6" l="1"/>
  <c r="BM153" i="6"/>
  <c r="AW15" i="3"/>
  <c r="AW20" i="3" s="1"/>
  <c r="BI169" i="5"/>
  <c r="BH167" i="5"/>
  <c r="BM154" i="6" l="1"/>
  <c r="BN158" i="6" s="1"/>
  <c r="BN153" i="6" s="1"/>
  <c r="BM260" i="6"/>
  <c r="BM196" i="6"/>
  <c r="BM23" i="6"/>
  <c r="BM25" i="6" s="1"/>
  <c r="AW55" i="3"/>
  <c r="AW42" i="3"/>
  <c r="AW16" i="3"/>
  <c r="BH21" i="5"/>
  <c r="BH162" i="5"/>
  <c r="BJ169" i="5"/>
  <c r="BN154" i="6" l="1"/>
  <c r="BO158" i="6" s="1"/>
  <c r="BO20" i="6" s="1"/>
  <c r="BM31" i="6"/>
  <c r="BM32" i="6" s="1"/>
  <c r="BM29" i="4"/>
  <c r="BN20" i="6"/>
  <c r="BH206" i="5"/>
  <c r="BH270" i="5"/>
  <c r="BH24" i="5"/>
  <c r="BH26" i="5" s="1"/>
  <c r="BK169" i="5"/>
  <c r="BH163" i="5"/>
  <c r="BI167" i="5" s="1"/>
  <c r="BO196" i="6" l="1"/>
  <c r="BO260" i="6"/>
  <c r="BO23" i="6"/>
  <c r="BO25" i="6" s="1"/>
  <c r="BN196" i="6"/>
  <c r="BN260" i="6"/>
  <c r="BN23" i="6"/>
  <c r="BN25" i="6" s="1"/>
  <c r="BO153" i="6"/>
  <c r="BH32" i="5"/>
  <c r="BH33" i="5" s="1"/>
  <c r="BH26" i="4"/>
  <c r="BI21" i="5"/>
  <c r="BI162" i="5"/>
  <c r="BO154" i="6" l="1"/>
  <c r="BP158" i="6" s="1"/>
  <c r="BO31" i="6"/>
  <c r="BO32" i="6" s="1"/>
  <c r="BO29" i="4"/>
  <c r="BN29" i="4"/>
  <c r="BN31" i="6"/>
  <c r="BN32" i="6" s="1"/>
  <c r="BI206" i="5"/>
  <c r="BI270" i="5"/>
  <c r="BI24" i="5"/>
  <c r="BI26" i="5" s="1"/>
  <c r="BI163" i="5"/>
  <c r="BJ167" i="5" s="1"/>
  <c r="BJ162" i="5" s="1"/>
  <c r="BP20" i="6" l="1"/>
  <c r="BQ158" i="6"/>
  <c r="BP153" i="6"/>
  <c r="BI32" i="5"/>
  <c r="BI33" i="5" s="1"/>
  <c r="BI26" i="4"/>
  <c r="BJ163" i="5"/>
  <c r="BK167" i="5" s="1"/>
  <c r="BK21" i="5" s="1"/>
  <c r="BJ21" i="5"/>
  <c r="BQ20" i="6" l="1"/>
  <c r="BQ260" i="6" s="1"/>
  <c r="BP260" i="6"/>
  <c r="BP196" i="6"/>
  <c r="BQ196" i="6" s="1"/>
  <c r="BQ153" i="6"/>
  <c r="BQ154" i="6" s="1"/>
  <c r="BQ160" i="6" s="1"/>
  <c r="BP154" i="6"/>
  <c r="BK206" i="5"/>
  <c r="BK270" i="5"/>
  <c r="BJ206" i="5"/>
  <c r="BJ270" i="5"/>
  <c r="BJ24" i="5"/>
  <c r="BJ26" i="5" s="1"/>
  <c r="BL21" i="5"/>
  <c r="BK162" i="5"/>
  <c r="BL167" i="5"/>
  <c r="BJ32" i="5" l="1"/>
  <c r="BJ33" i="5" s="1"/>
  <c r="BJ26" i="4"/>
  <c r="BL270" i="5"/>
  <c r="BL206" i="5"/>
  <c r="BL162" i="5"/>
  <c r="BK163" i="5"/>
  <c r="BL163" i="5" l="1"/>
  <c r="BL169" i="5" s="1"/>
  <c r="BM169" i="5" s="1"/>
  <c r="DN59" i="3"/>
  <c r="DN60" i="3" s="1"/>
  <c r="DO59" i="3"/>
  <c r="DO60" i="3"/>
  <c r="DN64" i="3"/>
  <c r="DO64" i="3"/>
  <c r="DN65" i="3"/>
  <c r="DO65" i="3"/>
  <c r="DO66" i="3"/>
  <c r="BT103" i="4"/>
  <c r="BT104" i="4"/>
  <c r="AV129" i="4"/>
  <c r="AW129" i="4"/>
  <c r="AX159" i="4"/>
  <c r="BB159" i="4"/>
  <c r="DO9" i="3"/>
  <c r="DO12" i="3"/>
  <c r="BN169" i="5" l="1"/>
  <c r="BO169" i="5" s="1"/>
  <c r="BP169" i="5" s="1"/>
  <c r="BM167" i="5"/>
  <c r="AW62" i="3"/>
  <c r="AW61" i="3"/>
  <c r="DO24" i="3"/>
  <c r="DO25" i="3"/>
  <c r="AX107" i="4"/>
  <c r="DO11" i="3"/>
  <c r="DO14" i="3" s="1"/>
  <c r="AX218" i="4"/>
  <c r="DO68" i="3"/>
  <c r="BM21" i="5" l="1"/>
  <c r="BM162" i="5"/>
  <c r="AV61" i="3"/>
  <c r="AV62" i="3"/>
  <c r="AX193" i="4"/>
  <c r="AY218" i="4"/>
  <c r="AW67" i="3"/>
  <c r="AW68" i="3" s="1"/>
  <c r="AW56" i="3" s="1"/>
  <c r="BM163" i="5" l="1"/>
  <c r="BN167" i="5" s="1"/>
  <c r="BN162" i="5" s="1"/>
  <c r="BM206" i="5"/>
  <c r="BM270" i="5"/>
  <c r="BM24" i="5"/>
  <c r="BM26" i="5" s="1"/>
  <c r="AZ218" i="4"/>
  <c r="AY193" i="4"/>
  <c r="DO17" i="3"/>
  <c r="BM32" i="5" l="1"/>
  <c r="BM26" i="4"/>
  <c r="BN163" i="5"/>
  <c r="BO167" i="5" s="1"/>
  <c r="BO21" i="5" s="1"/>
  <c r="BN21" i="5"/>
  <c r="AZ193" i="4"/>
  <c r="BA218" i="4"/>
  <c r="DO23" i="3"/>
  <c r="DO22" i="3"/>
  <c r="AW58" i="3"/>
  <c r="AW60" i="3"/>
  <c r="DO19" i="3"/>
  <c r="BO162" i="5" l="1"/>
  <c r="BO163" i="5" s="1"/>
  <c r="BP167" i="5" s="1"/>
  <c r="BO270" i="5"/>
  <c r="BO24" i="5"/>
  <c r="BO26" i="5" s="1"/>
  <c r="BO206" i="5"/>
  <c r="BN270" i="5"/>
  <c r="BN206" i="5"/>
  <c r="BN24" i="5"/>
  <c r="BN26" i="5" s="1"/>
  <c r="BM33" i="5"/>
  <c r="BB218" i="4"/>
  <c r="BA193" i="4"/>
  <c r="BP21" i="5" l="1"/>
  <c r="BQ21" i="5" s="1"/>
  <c r="BP162" i="5"/>
  <c r="BQ162" i="5" s="1"/>
  <c r="BQ163" i="5" s="1"/>
  <c r="BN32" i="5"/>
  <c r="BN26" i="4"/>
  <c r="BO32" i="5"/>
  <c r="BO33" i="5" s="1"/>
  <c r="BO26" i="4"/>
  <c r="BQ167" i="5"/>
  <c r="BB193" i="4"/>
  <c r="DT12" i="3"/>
  <c r="BC218" i="4"/>
  <c r="BP163" i="5" l="1"/>
  <c r="BP206" i="5"/>
  <c r="BQ206" i="5" s="1"/>
  <c r="BP270" i="5"/>
  <c r="BQ270" i="5" s="1"/>
  <c r="BQ169" i="5"/>
  <c r="BN33" i="5"/>
  <c r="BD218" i="4"/>
  <c r="BC193" i="4"/>
  <c r="BD193" i="4" l="1"/>
  <c r="BE218" i="4"/>
  <c r="BF218" i="4" l="1"/>
  <c r="BE193" i="4"/>
  <c r="BF193" i="4" l="1"/>
  <c r="BG218" i="4"/>
  <c r="DY12" i="3" l="1"/>
  <c r="BH218" i="4"/>
  <c r="BG193" i="4"/>
  <c r="BH193" i="4" l="1"/>
  <c r="BI218" i="4"/>
  <c r="BJ218" i="4" l="1"/>
  <c r="BI193" i="4"/>
  <c r="BJ193" i="4" l="1"/>
  <c r="BK218" i="4"/>
  <c r="BL218" i="4" l="1"/>
  <c r="BM218" i="4" s="1"/>
  <c r="BK193" i="4"/>
  <c r="BN218" i="4" l="1"/>
  <c r="BM193" i="4"/>
  <c r="BL193" i="4"/>
  <c r="ED12" i="3"/>
  <c r="BO218" i="4" l="1"/>
  <c r="BN193" i="4"/>
  <c r="BA94" i="6"/>
  <c r="BF94" i="6" s="1"/>
  <c r="BP218" i="4" l="1"/>
  <c r="BO193" i="4"/>
  <c r="BA98" i="6"/>
  <c r="BA100" i="6"/>
  <c r="BF100" i="6" s="1"/>
  <c r="BA96" i="6"/>
  <c r="BA105" i="6" s="1"/>
  <c r="BA13" i="6" s="1"/>
  <c r="BF98" i="6"/>
  <c r="BK94" i="6"/>
  <c r="BF96" i="6"/>
  <c r="BF105" i="6" s="1"/>
  <c r="BG105" i="6" s="1"/>
  <c r="BG94" i="6"/>
  <c r="BB94" i="6"/>
  <c r="BL94" i="6" l="1"/>
  <c r="BL96" i="6" s="1"/>
  <c r="BP94" i="6"/>
  <c r="BQ218" i="4"/>
  <c r="EI12" i="3" s="1"/>
  <c r="BP193" i="4"/>
  <c r="BF13" i="6"/>
  <c r="BG13" i="6" s="1"/>
  <c r="BK100" i="6"/>
  <c r="BF85" i="6"/>
  <c r="BF87" i="6" s="1"/>
  <c r="BF8" i="6" s="1"/>
  <c r="BA85" i="6"/>
  <c r="BB105" i="6"/>
  <c r="BB106" i="6" s="1"/>
  <c r="BB13" i="6"/>
  <c r="BK96" i="6"/>
  <c r="BK105" i="6" s="1"/>
  <c r="BK98" i="6"/>
  <c r="BB96" i="6"/>
  <c r="BB98" i="6"/>
  <c r="BG96" i="6"/>
  <c r="BG106" i="6" s="1"/>
  <c r="BG98" i="6"/>
  <c r="BL98" i="6" l="1"/>
  <c r="BK85" i="6"/>
  <c r="BK87" i="6" s="1"/>
  <c r="BP100" i="6"/>
  <c r="BP85" i="6" s="1"/>
  <c r="BP96" i="6"/>
  <c r="BP105" i="6" s="1"/>
  <c r="BP98" i="6"/>
  <c r="BQ94" i="6"/>
  <c r="BQ193" i="4"/>
  <c r="BF108" i="6"/>
  <c r="BA87" i="6"/>
  <c r="BB85" i="6"/>
  <c r="BG85" i="6"/>
  <c r="BK13" i="6"/>
  <c r="BL105" i="6"/>
  <c r="BL106" i="6" s="1"/>
  <c r="BG8" i="6"/>
  <c r="BL85" i="6" l="1"/>
  <c r="BL100" i="6" s="1"/>
  <c r="BP13" i="6"/>
  <c r="BQ105" i="6"/>
  <c r="BP87" i="6"/>
  <c r="BQ85" i="6"/>
  <c r="BQ98" i="6"/>
  <c r="BQ96" i="6"/>
  <c r="BK108" i="6"/>
  <c r="BK109" i="6" s="1"/>
  <c r="BK8" i="6"/>
  <c r="BL8" i="6" s="1"/>
  <c r="BA8" i="6"/>
  <c r="BA108" i="6"/>
  <c r="BG87" i="6"/>
  <c r="BG108" i="6" s="1"/>
  <c r="BG100" i="6"/>
  <c r="BB87" i="6"/>
  <c r="BB108" i="6" s="1"/>
  <c r="BB109" i="6" s="1"/>
  <c r="BB100" i="6"/>
  <c r="BL13" i="6"/>
  <c r="BL87" i="6" l="1"/>
  <c r="BL108" i="6" s="1"/>
  <c r="BL109" i="6" s="1"/>
  <c r="BQ87" i="6"/>
  <c r="BQ108" i="6" s="1"/>
  <c r="BQ100" i="6"/>
  <c r="BQ106" i="6"/>
  <c r="BP8" i="6"/>
  <c r="BQ8" i="6" s="1"/>
  <c r="BP108" i="6"/>
  <c r="BP109" i="6" s="1"/>
  <c r="BQ13" i="6"/>
  <c r="BA109" i="6"/>
  <c r="BF109" i="6"/>
  <c r="BG109" i="6"/>
  <c r="BB8" i="6"/>
  <c r="BQ109" i="6" l="1"/>
  <c r="BA118" i="6"/>
  <c r="BB118" i="6" s="1"/>
  <c r="BA119" i="6"/>
  <c r="BB119" i="6" s="1"/>
  <c r="BF119" i="6" l="1"/>
  <c r="BG119" i="6" s="1"/>
  <c r="BA120" i="6"/>
  <c r="BF118" i="6"/>
  <c r="BB120" i="6"/>
  <c r="BB123" i="6" s="1"/>
  <c r="BB125" i="6" s="1"/>
  <c r="BK119" i="6" l="1"/>
  <c r="BL119" i="6" s="1"/>
  <c r="BA123" i="6"/>
  <c r="BA132" i="6"/>
  <c r="BG118" i="6"/>
  <c r="BG120" i="6" s="1"/>
  <c r="BG123" i="6" s="1"/>
  <c r="BG125" i="6" s="1"/>
  <c r="BF120" i="6"/>
  <c r="BK118" i="6"/>
  <c r="BP118" i="6" s="1"/>
  <c r="BP119" i="6" l="1"/>
  <c r="BQ119" i="6" s="1"/>
  <c r="BQ118" i="6"/>
  <c r="BA14" i="6"/>
  <c r="BB132" i="6"/>
  <c r="BB133" i="6" s="1"/>
  <c r="BA125" i="6"/>
  <c r="BF132" i="6"/>
  <c r="BF123" i="6"/>
  <c r="BL118" i="6"/>
  <c r="BL120" i="6" s="1"/>
  <c r="BL123" i="6" s="1"/>
  <c r="BL125" i="6" s="1"/>
  <c r="BK120" i="6"/>
  <c r="BQ120" i="6" l="1"/>
  <c r="BQ123" i="6" s="1"/>
  <c r="BQ125" i="6" s="1"/>
  <c r="BP120" i="6"/>
  <c r="BP123" i="6"/>
  <c r="BP132" i="6"/>
  <c r="BB14" i="6"/>
  <c r="BB15" i="6" s="1"/>
  <c r="BA15" i="6"/>
  <c r="BF125" i="6"/>
  <c r="BK123" i="6"/>
  <c r="BK132" i="6"/>
  <c r="BF14" i="6"/>
  <c r="BG132" i="6"/>
  <c r="BG133" i="6" s="1"/>
  <c r="BP14" i="6" l="1"/>
  <c r="BQ132" i="6"/>
  <c r="BQ133" i="6" s="1"/>
  <c r="BP125" i="6"/>
  <c r="BK125" i="6"/>
  <c r="BF15" i="6"/>
  <c r="BG14" i="6"/>
  <c r="BG15" i="6" s="1"/>
  <c r="BK14" i="6"/>
  <c r="BL132" i="6"/>
  <c r="BL133" i="6" s="1"/>
  <c r="BQ14" i="6" l="1"/>
  <c r="BQ15" i="6" s="1"/>
  <c r="BP15" i="6"/>
  <c r="BK15" i="6"/>
  <c r="BL14" i="6"/>
  <c r="BL15" i="6" s="1"/>
  <c r="BA140" i="6" l="1"/>
  <c r="BA19" i="6" s="1"/>
  <c r="BA143" i="6"/>
  <c r="BB143" i="6" s="1"/>
  <c r="BB144" i="6" s="1"/>
  <c r="BA146" i="6"/>
  <c r="BA22" i="6" s="1"/>
  <c r="BF143" i="6" l="1"/>
  <c r="BG143" i="6" s="1"/>
  <c r="BG144" i="6" s="1"/>
  <c r="BF140" i="6"/>
  <c r="BF19" i="6" s="1"/>
  <c r="BG140" i="6"/>
  <c r="BB140" i="6"/>
  <c r="BB141" i="6" s="1"/>
  <c r="BF146" i="6"/>
  <c r="BB146" i="6"/>
  <c r="BB147" i="6" s="1"/>
  <c r="BK140" i="6"/>
  <c r="BP140" i="6" s="1"/>
  <c r="BB22" i="6"/>
  <c r="BG19" i="6"/>
  <c r="BB19" i="6"/>
  <c r="BA21" i="6"/>
  <c r="BK143" i="6" l="1"/>
  <c r="BP143" i="6" s="1"/>
  <c r="BP19" i="6"/>
  <c r="BQ19" i="6" s="1"/>
  <c r="BQ140" i="6"/>
  <c r="BQ141" i="6" s="1"/>
  <c r="BG141" i="6"/>
  <c r="BF21" i="6"/>
  <c r="BG21" i="6" s="1"/>
  <c r="BK19" i="6"/>
  <c r="BL19" i="6" s="1"/>
  <c r="BL140" i="6"/>
  <c r="BL141" i="6" s="1"/>
  <c r="BF22" i="6"/>
  <c r="BG22" i="6" s="1"/>
  <c r="BK146" i="6"/>
  <c r="BP146" i="6" s="1"/>
  <c r="BG146" i="6"/>
  <c r="BG147" i="6" s="1"/>
  <c r="BB21" i="6"/>
  <c r="BB23" i="6" s="1"/>
  <c r="BA23" i="6"/>
  <c r="BL143" i="6" l="1"/>
  <c r="BL144" i="6" s="1"/>
  <c r="BP22" i="6"/>
  <c r="BQ22" i="6" s="1"/>
  <c r="BQ146" i="6"/>
  <c r="BK21" i="6"/>
  <c r="BL21" i="6" s="1"/>
  <c r="BP21" i="6"/>
  <c r="BQ143" i="6"/>
  <c r="BG23" i="6"/>
  <c r="BK22" i="6"/>
  <c r="BL146" i="6"/>
  <c r="BL147" i="6" s="1"/>
  <c r="BF23" i="6"/>
  <c r="AX216" i="6"/>
  <c r="BB216" i="6"/>
  <c r="AX186" i="6"/>
  <c r="BQ147" i="6" l="1"/>
  <c r="BQ144" i="6"/>
  <c r="BQ21" i="6"/>
  <c r="BQ23" i="6" s="1"/>
  <c r="BP23" i="6"/>
  <c r="BL22" i="6"/>
  <c r="BL23" i="6" s="1"/>
  <c r="BK23" i="6"/>
  <c r="AX225" i="6"/>
  <c r="AY225" i="6" l="1"/>
  <c r="DC105" i="10" l="1"/>
  <c r="AZ188" i="6"/>
  <c r="CW105" i="10"/>
  <c r="DD105" i="10"/>
  <c r="BA188" i="6"/>
  <c r="CX105" i="10"/>
  <c r="AQ105" i="10"/>
  <c r="AS105" i="10"/>
  <c r="AR105" i="10"/>
  <c r="AZ225" i="6"/>
  <c r="CY105" i="10"/>
  <c r="DA105" i="10"/>
  <c r="AX188" i="6"/>
  <c r="AX34" i="6" s="1"/>
  <c r="CZ105" i="10"/>
  <c r="DB105" i="10"/>
  <c r="AY188" i="6"/>
  <c r="CV105" i="10"/>
  <c r="AU105" i="10"/>
  <c r="AT105" i="10"/>
  <c r="AX36" i="6" l="1"/>
  <c r="AX38" i="6" s="1"/>
  <c r="AX243" i="6"/>
  <c r="AX254" i="6" s="1"/>
  <c r="BA225" i="6"/>
  <c r="DE105" i="10"/>
  <c r="BB188" i="6"/>
  <c r="BB225" i="6" l="1"/>
  <c r="DJ105" i="10"/>
  <c r="BG188" i="6"/>
  <c r="AX40" i="6"/>
  <c r="AX42" i="6" s="1"/>
  <c r="DO105" i="10"/>
  <c r="BL188" i="6"/>
  <c r="AX46" i="6" l="1"/>
  <c r="AX195" i="6"/>
  <c r="BC225" i="6"/>
  <c r="AX71" i="6"/>
  <c r="AX198" i="6"/>
  <c r="AX201" i="6" l="1"/>
  <c r="AX215" i="6" s="1"/>
  <c r="AX217" i="6" s="1"/>
  <c r="AX232" i="6"/>
  <c r="AX261" i="6"/>
  <c r="AX263" i="6" s="1"/>
  <c r="AY258" i="6" s="1"/>
  <c r="BD225" i="6"/>
  <c r="AX53" i="6"/>
  <c r="AX48" i="6"/>
  <c r="AX54" i="6" l="1"/>
  <c r="AX240" i="6"/>
  <c r="AX244" i="6"/>
  <c r="AX218" i="6"/>
  <c r="AX224" i="6"/>
  <c r="BE225" i="6"/>
  <c r="BF225" i="6" l="1"/>
  <c r="AX253" i="6"/>
  <c r="AX226" i="6"/>
  <c r="AY216" i="6"/>
  <c r="AX222" i="6"/>
  <c r="AY186" i="6" s="1"/>
  <c r="AX55" i="6"/>
  <c r="AX88" i="4"/>
  <c r="AY34" i="6" l="1"/>
  <c r="AX249" i="6"/>
  <c r="AX235" i="6"/>
  <c r="BG225" i="6"/>
  <c r="AX250" i="6"/>
  <c r="AX230" i="6" l="1"/>
  <c r="AX247" i="6"/>
  <c r="AX233" i="6"/>
  <c r="AX270" i="6" s="1"/>
  <c r="AX227" i="6"/>
  <c r="AX236" i="6"/>
  <c r="BH225" i="6"/>
  <c r="AX248" i="6"/>
  <c r="AY36" i="6"/>
  <c r="AY38" i="6" s="1"/>
  <c r="AY243" i="6"/>
  <c r="AY254" i="6" s="1"/>
  <c r="AY40" i="6" l="1"/>
  <c r="BI225" i="6"/>
  <c r="AX274" i="6"/>
  <c r="AX74" i="6" s="1"/>
  <c r="AX275" i="6"/>
  <c r="AY71" i="6" l="1"/>
  <c r="AY198" i="6"/>
  <c r="BJ225" i="6"/>
  <c r="AY42" i="6"/>
  <c r="AY46" i="6" l="1"/>
  <c r="AY195" i="6"/>
  <c r="BK225" i="6"/>
  <c r="AY261" i="6"/>
  <c r="AY263" i="6" s="1"/>
  <c r="AZ258" i="6" s="1"/>
  <c r="AY201" i="6" l="1"/>
  <c r="AY215" i="6" s="1"/>
  <c r="AY217" i="6" s="1"/>
  <c r="AY232" i="6"/>
  <c r="BL225" i="6"/>
  <c r="BM225" i="6" s="1"/>
  <c r="AY48" i="6"/>
  <c r="AY53" i="6"/>
  <c r="BN225" i="6" l="1"/>
  <c r="AY54" i="6"/>
  <c r="AY240" i="6"/>
  <c r="AY244" i="6"/>
  <c r="AY218" i="6"/>
  <c r="AY224" i="6"/>
  <c r="BO225" i="6" l="1"/>
  <c r="AY226" i="6"/>
  <c r="AY250" i="6" s="1"/>
  <c r="AZ216" i="6"/>
  <c r="AY222" i="6"/>
  <c r="AZ186" i="6" s="1"/>
  <c r="AY253" i="6"/>
  <c r="AY55" i="6"/>
  <c r="AY88" i="4"/>
  <c r="BP225" i="6" l="1"/>
  <c r="AZ34" i="6"/>
  <c r="AY249" i="6"/>
  <c r="AY235" i="6"/>
  <c r="BQ225" i="6" l="1"/>
  <c r="AY230" i="6"/>
  <c r="AY247" i="6"/>
  <c r="AY233" i="6"/>
  <c r="AY270" i="6" s="1"/>
  <c r="AY236" i="6"/>
  <c r="AY227" i="6"/>
  <c r="AY248" i="6"/>
  <c r="AZ36" i="6"/>
  <c r="AZ38" i="6" s="1"/>
  <c r="AZ243" i="6"/>
  <c r="AZ254" i="6" s="1"/>
  <c r="AZ40" i="6" l="1"/>
  <c r="AZ42" i="6" s="1"/>
  <c r="AY275" i="6"/>
  <c r="AY274" i="6"/>
  <c r="AY74" i="6" s="1"/>
  <c r="AZ46" i="6" l="1"/>
  <c r="AZ195" i="6"/>
  <c r="AZ71" i="6"/>
  <c r="AZ198" i="6"/>
  <c r="AZ201" i="6" l="1"/>
  <c r="AZ215" i="6" s="1"/>
  <c r="AZ217" i="6" s="1"/>
  <c r="AZ232" i="6"/>
  <c r="AZ261" i="6"/>
  <c r="AZ263" i="6" s="1"/>
  <c r="BA258" i="6" s="1"/>
  <c r="AZ53" i="6"/>
  <c r="AZ48" i="6"/>
  <c r="AZ54" i="6" l="1"/>
  <c r="AZ244" i="6"/>
  <c r="AZ240" i="6"/>
  <c r="AZ218" i="6"/>
  <c r="AZ224" i="6"/>
  <c r="AZ55" i="6" l="1"/>
  <c r="AZ88" i="4"/>
  <c r="AZ226" i="6"/>
  <c r="AZ250" i="6" s="1"/>
  <c r="BA216" i="6"/>
  <c r="AZ222" i="6"/>
  <c r="BA186" i="6" s="1"/>
  <c r="AZ253" i="6"/>
  <c r="BA34" i="6" l="1"/>
  <c r="BB186" i="6"/>
  <c r="AZ249" i="6"/>
  <c r="AZ235" i="6"/>
  <c r="AZ248" i="6" s="1"/>
  <c r="AZ230" i="6" l="1"/>
  <c r="AZ247" i="6"/>
  <c r="AZ233" i="6"/>
  <c r="AZ270" i="6" s="1"/>
  <c r="AZ227" i="6"/>
  <c r="AZ236" i="6"/>
  <c r="BA36" i="6"/>
  <c r="BB34" i="6"/>
  <c r="BA243" i="6"/>
  <c r="BB36" i="6" l="1"/>
  <c r="BB243" i="6"/>
  <c r="AZ274" i="6"/>
  <c r="AZ74" i="6" s="1"/>
  <c r="AZ275" i="6"/>
  <c r="BA96" i="5" l="1"/>
  <c r="BB96" i="5" s="1"/>
  <c r="BA100" i="5" l="1"/>
  <c r="BA98" i="5"/>
  <c r="BA107" i="5" s="1"/>
  <c r="BA13" i="5" s="1"/>
  <c r="BB13" i="5" s="1"/>
  <c r="BF96" i="5"/>
  <c r="BK96" i="5" s="1"/>
  <c r="BP96" i="5" s="1"/>
  <c r="BQ96" i="5" s="1"/>
  <c r="BP98" i="5"/>
  <c r="BP107" i="5" s="1"/>
  <c r="BB100" i="5"/>
  <c r="BB98" i="5"/>
  <c r="BA102" i="5"/>
  <c r="BF102" i="5" s="1"/>
  <c r="BK102" i="5" s="1"/>
  <c r="BK87" i="5" s="1"/>
  <c r="BK89" i="5" s="1"/>
  <c r="BG96" i="5"/>
  <c r="BG98" i="5" s="1"/>
  <c r="BL96" i="5"/>
  <c r="BL98" i="5" s="1"/>
  <c r="BK98" i="5"/>
  <c r="BK107" i="5" s="1"/>
  <c r="BK13" i="5" s="1"/>
  <c r="BL13" i="5" s="1"/>
  <c r="BK100" i="5"/>
  <c r="BF100" i="5"/>
  <c r="BF98" i="5"/>
  <c r="BF107" i="5" s="1"/>
  <c r="BF13" i="5" s="1"/>
  <c r="BG13" i="5" s="1"/>
  <c r="BG100" i="5"/>
  <c r="BB107" i="5"/>
  <c r="BB108" i="5" s="1"/>
  <c r="BP100" i="5" l="1"/>
  <c r="BF87" i="5"/>
  <c r="BG87" i="5" s="1"/>
  <c r="BG102" i="5" s="1"/>
  <c r="BQ100" i="5"/>
  <c r="BQ98" i="5"/>
  <c r="BP13" i="5"/>
  <c r="BQ107" i="5"/>
  <c r="BP102" i="5"/>
  <c r="BP87" i="5" s="1"/>
  <c r="BL107" i="5"/>
  <c r="BL108" i="5" s="1"/>
  <c r="BA87" i="5"/>
  <c r="BB87" i="5" s="1"/>
  <c r="BB89" i="5" s="1"/>
  <c r="BB110" i="5" s="1"/>
  <c r="BB111" i="5" s="1"/>
  <c r="BL100" i="5"/>
  <c r="BG107" i="5"/>
  <c r="BG108" i="5" s="1"/>
  <c r="BL87" i="5"/>
  <c r="BL102" i="5" s="1"/>
  <c r="BK8" i="5"/>
  <c r="BK110" i="5"/>
  <c r="BG89" i="5" l="1"/>
  <c r="BG110" i="5" s="1"/>
  <c r="BG111" i="5" s="1"/>
  <c r="BF89" i="5"/>
  <c r="BF110" i="5" s="1"/>
  <c r="BK111" i="5" s="1"/>
  <c r="BA89" i="5"/>
  <c r="BA8" i="5" s="1"/>
  <c r="BB8" i="5" s="1"/>
  <c r="BQ13" i="5"/>
  <c r="BP89" i="5"/>
  <c r="BQ87" i="5"/>
  <c r="BQ108" i="5"/>
  <c r="BB102" i="5"/>
  <c r="BL89" i="5"/>
  <c r="BL110" i="5" s="1"/>
  <c r="BL8" i="5"/>
  <c r="BF8" i="5" l="1"/>
  <c r="BG8" i="5" s="1"/>
  <c r="BA110" i="5"/>
  <c r="BL111" i="5"/>
  <c r="BP8" i="5"/>
  <c r="BP110" i="5"/>
  <c r="BP111" i="5" s="1"/>
  <c r="BQ89" i="5"/>
  <c r="BQ110" i="5" s="1"/>
  <c r="BQ111" i="5" s="1"/>
  <c r="BQ102" i="5"/>
  <c r="BA124" i="5"/>
  <c r="BB124" i="5" s="1"/>
  <c r="BA125" i="5"/>
  <c r="BB125" i="5" s="1"/>
  <c r="BA127" i="5"/>
  <c r="BB127" i="5" s="1"/>
  <c r="BA128" i="5"/>
  <c r="BB128" i="5" s="1"/>
  <c r="BA111" i="5" l="1"/>
  <c r="BF111" i="5"/>
  <c r="BQ8" i="5"/>
  <c r="BF128" i="5"/>
  <c r="BG128" i="5" s="1"/>
  <c r="BF125" i="5"/>
  <c r="BG125" i="5" s="1"/>
  <c r="BA126" i="5"/>
  <c r="AV141" i="5"/>
  <c r="BF127" i="5"/>
  <c r="BA129" i="5"/>
  <c r="BA131" i="5" s="1"/>
  <c r="BB126" i="5"/>
  <c r="BB129" i="5" s="1"/>
  <c r="BB131" i="5" s="1"/>
  <c r="BF124" i="5"/>
  <c r="AW141" i="5"/>
  <c r="AW142" i="5" s="1"/>
  <c r="BK128" i="5" l="1"/>
  <c r="BL128" i="5"/>
  <c r="BP128" i="5"/>
  <c r="BQ128" i="5" s="1"/>
  <c r="BK125" i="5"/>
  <c r="BA138" i="5"/>
  <c r="BA14" i="5" s="1"/>
  <c r="BB14" i="5" s="1"/>
  <c r="BB16" i="5" s="1"/>
  <c r="BA133" i="5"/>
  <c r="BA120" i="5" s="1"/>
  <c r="AV142" i="5"/>
  <c r="AV146" i="5"/>
  <c r="BA16" i="5"/>
  <c r="BG127" i="5"/>
  <c r="BK127" i="5"/>
  <c r="BG124" i="5"/>
  <c r="BG126" i="5" s="1"/>
  <c r="BF126" i="5"/>
  <c r="BF129" i="5" s="1"/>
  <c r="BK124" i="5"/>
  <c r="BP124" i="5" s="1"/>
  <c r="BL125" i="5" l="1"/>
  <c r="BP125" i="5"/>
  <c r="BQ125" i="5" s="1"/>
  <c r="BL127" i="5"/>
  <c r="BP127" i="5"/>
  <c r="BQ127" i="5" s="1"/>
  <c r="BQ124" i="5"/>
  <c r="BB138" i="5"/>
  <c r="BB139" i="5" s="1"/>
  <c r="BG129" i="5"/>
  <c r="BG131" i="5" s="1"/>
  <c r="BL124" i="5"/>
  <c r="BL126" i="5" s="1"/>
  <c r="BK126" i="5"/>
  <c r="BK129" i="5" s="1"/>
  <c r="BA9" i="5"/>
  <c r="BA141" i="5"/>
  <c r="BA142" i="5" s="1"/>
  <c r="BB120" i="5"/>
  <c r="BF131" i="5"/>
  <c r="BF138" i="5"/>
  <c r="BF133" i="5"/>
  <c r="BQ126" i="5" l="1"/>
  <c r="BQ129" i="5" s="1"/>
  <c r="BL129" i="5"/>
  <c r="BP126" i="5"/>
  <c r="BP129" i="5" s="1"/>
  <c r="BL131" i="5"/>
  <c r="BK133" i="5"/>
  <c r="BK120" i="5" s="1"/>
  <c r="BF14" i="5"/>
  <c r="BG138" i="5"/>
  <c r="BG139" i="5" s="1"/>
  <c r="BF120" i="5"/>
  <c r="BK138" i="5"/>
  <c r="BK131" i="5"/>
  <c r="BB141" i="5"/>
  <c r="BB142" i="5" s="1"/>
  <c r="BB133" i="5"/>
  <c r="BA11" i="5"/>
  <c r="BB9" i="5"/>
  <c r="BB11" i="5" s="1"/>
  <c r="BQ131" i="5" l="1"/>
  <c r="BP138" i="5"/>
  <c r="BP131" i="5"/>
  <c r="BP133" i="5"/>
  <c r="BP120" i="5" s="1"/>
  <c r="BL120" i="5"/>
  <c r="BK9" i="5"/>
  <c r="BK141" i="5"/>
  <c r="BB18" i="5"/>
  <c r="BA18" i="5"/>
  <c r="BK14" i="5"/>
  <c r="BL138" i="5"/>
  <c r="BL139" i="5" s="1"/>
  <c r="BF9" i="5"/>
  <c r="BG120" i="5"/>
  <c r="BF141" i="5"/>
  <c r="BF142" i="5" s="1"/>
  <c r="BG14" i="5"/>
  <c r="BG16" i="5" s="1"/>
  <c r="BF16" i="5"/>
  <c r="BP141" i="5" l="1"/>
  <c r="BP142" i="5" s="1"/>
  <c r="BP9" i="5"/>
  <c r="BQ120" i="5"/>
  <c r="BP14" i="5"/>
  <c r="BQ138" i="5"/>
  <c r="BQ139" i="5" s="1"/>
  <c r="BF11" i="5"/>
  <c r="BG9" i="5"/>
  <c r="BG11" i="5" s="1"/>
  <c r="BL14" i="5"/>
  <c r="BL16" i="5" s="1"/>
  <c r="BK16" i="5"/>
  <c r="BK11" i="5"/>
  <c r="BL9" i="5"/>
  <c r="BL11" i="5" s="1"/>
  <c r="BG133" i="5"/>
  <c r="BG141" i="5"/>
  <c r="BG142" i="5" s="1"/>
  <c r="BK142" i="5"/>
  <c r="BL141" i="5"/>
  <c r="BL133" i="5"/>
  <c r="BQ14" i="5" l="1"/>
  <c r="BQ16" i="5" s="1"/>
  <c r="BP16" i="5"/>
  <c r="BQ9" i="5"/>
  <c r="BQ11" i="5" s="1"/>
  <c r="BP11" i="5"/>
  <c r="BQ141" i="5"/>
  <c r="BQ142" i="5" s="1"/>
  <c r="BQ133" i="5"/>
  <c r="BL142" i="5"/>
  <c r="BL18" i="5"/>
  <c r="BG18" i="5"/>
  <c r="BK18" i="5"/>
  <c r="BF18" i="5"/>
  <c r="BA149" i="5"/>
  <c r="BA20" i="5" s="1"/>
  <c r="BB20" i="5" s="1"/>
  <c r="BA152" i="5"/>
  <c r="BA22" i="5" s="1"/>
  <c r="BB22" i="5" s="1"/>
  <c r="BA155" i="5"/>
  <c r="BA23" i="5" s="1"/>
  <c r="BB23" i="5" s="1"/>
  <c r="BP18" i="5" l="1"/>
  <c r="BQ18" i="5"/>
  <c r="BF155" i="5"/>
  <c r="BF23" i="5" s="1"/>
  <c r="BG23" i="5" s="1"/>
  <c r="BB155" i="5"/>
  <c r="BB156" i="5" s="1"/>
  <c r="BF152" i="5"/>
  <c r="BG152" i="5" s="1"/>
  <c r="BB149" i="5"/>
  <c r="BB150" i="5" s="1"/>
  <c r="BF149" i="5"/>
  <c r="BB24" i="5"/>
  <c r="BB26" i="5" s="1"/>
  <c r="BB32" i="5" s="1"/>
  <c r="BA24" i="5"/>
  <c r="BA26" i="5" s="1"/>
  <c r="BB152" i="5"/>
  <c r="BB153" i="5" s="1"/>
  <c r="BF22" i="5" l="1"/>
  <c r="BK155" i="5"/>
  <c r="BG155" i="5"/>
  <c r="BG156" i="5" s="1"/>
  <c r="BK152" i="5"/>
  <c r="BF20" i="5"/>
  <c r="BG20" i="5" s="1"/>
  <c r="BG149" i="5"/>
  <c r="BG150" i="5" s="1"/>
  <c r="BK149" i="5"/>
  <c r="BP149" i="5" s="1"/>
  <c r="BG22" i="5"/>
  <c r="BF24" i="5"/>
  <c r="BF26" i="5" s="1"/>
  <c r="BA26" i="4"/>
  <c r="BA32" i="5"/>
  <c r="BB33" i="5"/>
  <c r="BB251" i="5"/>
  <c r="BG153" i="5"/>
  <c r="BK23" i="5" l="1"/>
  <c r="BL23" i="5" s="1"/>
  <c r="BP155" i="5"/>
  <c r="BP20" i="5"/>
  <c r="BQ149" i="5"/>
  <c r="BQ150" i="5" s="1"/>
  <c r="BL152" i="5"/>
  <c r="BL153" i="5" s="1"/>
  <c r="BP152" i="5"/>
  <c r="BL155" i="5"/>
  <c r="BL156" i="5" s="1"/>
  <c r="BK22" i="5"/>
  <c r="BL22" i="5" s="1"/>
  <c r="BG24" i="5"/>
  <c r="BG26" i="5" s="1"/>
  <c r="BG32" i="5" s="1"/>
  <c r="BG251" i="5" s="1"/>
  <c r="BK20" i="5"/>
  <c r="BL149" i="5"/>
  <c r="BL150" i="5" s="1"/>
  <c r="BA25" i="3"/>
  <c r="BB26" i="4"/>
  <c r="BF26" i="4"/>
  <c r="BF32" i="5"/>
  <c r="BB25" i="3"/>
  <c r="BB252" i="5"/>
  <c r="BD251" i="5"/>
  <c r="BA33" i="5"/>
  <c r="BA251" i="5"/>
  <c r="BC251" i="5"/>
  <c r="BE251" i="5"/>
  <c r="BQ20" i="5" l="1"/>
  <c r="BP23" i="5"/>
  <c r="BQ155" i="5"/>
  <c r="BQ156" i="5" s="1"/>
  <c r="BP22" i="5"/>
  <c r="BQ152" i="5"/>
  <c r="BQ153" i="5" s="1"/>
  <c r="BG33" i="5"/>
  <c r="BG25" i="3" s="1"/>
  <c r="BL20" i="5"/>
  <c r="BL24" i="5" s="1"/>
  <c r="BL26" i="5" s="1"/>
  <c r="BL32" i="5" s="1"/>
  <c r="BK24" i="5"/>
  <c r="BK26" i="5" s="1"/>
  <c r="BG26" i="4"/>
  <c r="BD252" i="5"/>
  <c r="BA252" i="5"/>
  <c r="BC252" i="5"/>
  <c r="BE252" i="5"/>
  <c r="BF251" i="5"/>
  <c r="BH251" i="5"/>
  <c r="BJ251" i="5"/>
  <c r="BF33" i="5"/>
  <c r="BI251" i="5"/>
  <c r="BQ23" i="5" l="1"/>
  <c r="BQ22" i="5"/>
  <c r="BQ24" i="5" s="1"/>
  <c r="BQ26" i="5" s="1"/>
  <c r="BQ32" i="5" s="1"/>
  <c r="BP24" i="5"/>
  <c r="BP26" i="5" s="1"/>
  <c r="BG252" i="5"/>
  <c r="BK26" i="4"/>
  <c r="BL26" i="4" s="1"/>
  <c r="BK32" i="5"/>
  <c r="BL33" i="5"/>
  <c r="BL251" i="5"/>
  <c r="BF252" i="5"/>
  <c r="BH252" i="5"/>
  <c r="BJ252" i="5"/>
  <c r="BI252" i="5"/>
  <c r="AX196" i="5"/>
  <c r="AX226" i="5"/>
  <c r="BB226" i="5"/>
  <c r="AV259" i="5"/>
  <c r="BP32" i="5" l="1"/>
  <c r="BP26" i="4"/>
  <c r="BQ26" i="4" s="1"/>
  <c r="BQ33" i="5"/>
  <c r="BQ251" i="5"/>
  <c r="BM251" i="5"/>
  <c r="BN251" i="5"/>
  <c r="BO251" i="5"/>
  <c r="BL25" i="3"/>
  <c r="BL252" i="5"/>
  <c r="BK33" i="5"/>
  <c r="BK251" i="5"/>
  <c r="E75" i="10"/>
  <c r="AV260" i="5"/>
  <c r="AX235" i="5"/>
  <c r="BQ252" i="5" l="1"/>
  <c r="BQ25" i="3"/>
  <c r="BP33" i="5"/>
  <c r="BP252" i="5" s="1"/>
  <c r="BP251" i="5"/>
  <c r="BK252" i="5"/>
  <c r="BM252" i="5"/>
  <c r="BN252" i="5"/>
  <c r="BO252" i="5"/>
  <c r="AW259" i="5"/>
  <c r="AW258" i="5"/>
  <c r="AW260" i="5"/>
  <c r="AY235" i="5"/>
  <c r="AQ75" i="10"/>
  <c r="AS75" i="10"/>
  <c r="AU75" i="10"/>
  <c r="AR75" i="10"/>
  <c r="AT75" i="10"/>
  <c r="CW75" i="10"/>
  <c r="CY75" i="10"/>
  <c r="DA75" i="10"/>
  <c r="DC75" i="10"/>
  <c r="CV75" i="10"/>
  <c r="DD75" i="10"/>
  <c r="CX75" i="10"/>
  <c r="DB75" i="10"/>
  <c r="CZ75" i="10"/>
  <c r="DB77" i="10" l="1"/>
  <c r="AY198" i="5"/>
  <c r="DD77" i="10"/>
  <c r="BA198" i="5"/>
  <c r="DE75" i="10"/>
  <c r="DA77" i="10"/>
  <c r="AX198" i="5"/>
  <c r="AX35" i="5" s="1"/>
  <c r="CW77" i="10"/>
  <c r="AR77" i="10"/>
  <c r="AS77" i="10"/>
  <c r="AZ235" i="5"/>
  <c r="CZ77" i="10"/>
  <c r="CX77" i="10"/>
  <c r="CV77" i="10"/>
  <c r="DC77" i="10"/>
  <c r="AZ198" i="5"/>
  <c r="CY77" i="10"/>
  <c r="AT77" i="10"/>
  <c r="AU77" i="10"/>
  <c r="AQ77" i="10"/>
  <c r="AW280" i="5"/>
  <c r="AW33" i="2" s="1"/>
  <c r="AW257" i="5"/>
  <c r="AW285" i="5" l="1"/>
  <c r="AW78" i="5" s="1"/>
  <c r="AW284" i="5"/>
  <c r="BA235" i="5"/>
  <c r="DO75" i="10"/>
  <c r="DJ75" i="10"/>
  <c r="AV280" i="5"/>
  <c r="AV257" i="5"/>
  <c r="AV258" i="5"/>
  <c r="AX37" i="5"/>
  <c r="AX39" i="5" s="1"/>
  <c r="AX253" i="5"/>
  <c r="AX264" i="5" s="1"/>
  <c r="DE77" i="10"/>
  <c r="BB198" i="5"/>
  <c r="AW77" i="5" l="1"/>
  <c r="AW31" i="2" s="1"/>
  <c r="AV284" i="5"/>
  <c r="AV77" i="5" s="1"/>
  <c r="AV285" i="5"/>
  <c r="DO77" i="10"/>
  <c r="BL198" i="5"/>
  <c r="BB235" i="5"/>
  <c r="AX41" i="5"/>
  <c r="AX43" i="5" s="1"/>
  <c r="DJ77" i="10"/>
  <c r="BG198" i="5"/>
  <c r="AX47" i="5" l="1"/>
  <c r="AX205" i="5"/>
  <c r="BC235" i="5"/>
  <c r="AX208" i="5"/>
  <c r="AX74" i="5"/>
  <c r="BD235" i="5" l="1"/>
  <c r="AX242" i="5"/>
  <c r="AX211" i="5"/>
  <c r="AX225" i="5" s="1"/>
  <c r="AX227" i="5" s="1"/>
  <c r="AX271" i="5"/>
  <c r="AX54" i="5"/>
  <c r="AX49" i="5"/>
  <c r="AX250" i="5" l="1"/>
  <c r="AX254" i="5"/>
  <c r="AX55" i="5"/>
  <c r="AX273" i="5"/>
  <c r="AY268" i="5" s="1"/>
  <c r="AX228" i="5"/>
  <c r="AX234" i="5"/>
  <c r="BE235" i="5"/>
  <c r="BF235" i="5" l="1"/>
  <c r="AX236" i="5"/>
  <c r="AX260" i="5" s="1"/>
  <c r="AX56" i="5"/>
  <c r="AX85" i="4"/>
  <c r="AX263" i="5"/>
  <c r="AY226" i="5"/>
  <c r="AX232" i="5"/>
  <c r="AY196" i="5" s="1"/>
  <c r="AY35" i="5" l="1"/>
  <c r="AX259" i="5"/>
  <c r="AX245" i="5"/>
  <c r="AX258" i="5" s="1"/>
  <c r="BG235" i="5"/>
  <c r="BH235" i="5" l="1"/>
  <c r="AX240" i="5"/>
  <c r="AX257" i="5"/>
  <c r="AX243" i="5"/>
  <c r="AX280" i="5" s="1"/>
  <c r="AX246" i="5"/>
  <c r="AX237" i="5"/>
  <c r="AY37" i="5"/>
  <c r="AY39" i="5" s="1"/>
  <c r="AY253" i="5"/>
  <c r="AY264" i="5" s="1"/>
  <c r="AY41" i="5" l="1"/>
  <c r="AX284" i="5"/>
  <c r="AX77" i="5" s="1"/>
  <c r="AX285" i="5"/>
  <c r="BI235" i="5"/>
  <c r="BJ235" i="5" l="1"/>
  <c r="AY74" i="5"/>
  <c r="AY208" i="5"/>
  <c r="AY43" i="5"/>
  <c r="AY205" i="5" l="1"/>
  <c r="AY47" i="5"/>
  <c r="BK235" i="5"/>
  <c r="AY271" i="5"/>
  <c r="AY49" i="5" l="1"/>
  <c r="AY54" i="5"/>
  <c r="AY273" i="5"/>
  <c r="AZ268" i="5" s="1"/>
  <c r="BL235" i="5"/>
  <c r="BM235" i="5" s="1"/>
  <c r="AY211" i="5"/>
  <c r="AY225" i="5" s="1"/>
  <c r="AY227" i="5" s="1"/>
  <c r="AY242" i="5"/>
  <c r="BN235" i="5" l="1"/>
  <c r="AY228" i="5"/>
  <c r="AY234" i="5"/>
  <c r="AY55" i="5"/>
  <c r="AY250" i="5"/>
  <c r="AY254" i="5"/>
  <c r="BO235" i="5" l="1"/>
  <c r="AY263" i="5"/>
  <c r="AY85" i="4"/>
  <c r="AY56" i="5"/>
  <c r="AY236" i="5"/>
  <c r="AY260" i="5" s="1"/>
  <c r="AZ226" i="5"/>
  <c r="AY232" i="5"/>
  <c r="AZ196" i="5" s="1"/>
  <c r="BP235" i="5" l="1"/>
  <c r="AZ35" i="5"/>
  <c r="AY259" i="5"/>
  <c r="AY245" i="5"/>
  <c r="AY258" i="5" s="1"/>
  <c r="BQ235" i="5" l="1"/>
  <c r="AZ37" i="5"/>
  <c r="AZ39" i="5" s="1"/>
  <c r="AZ253" i="5"/>
  <c r="AZ264" i="5" s="1"/>
  <c r="AY240" i="5"/>
  <c r="AY257" i="5"/>
  <c r="AY243" i="5"/>
  <c r="AY280" i="5" s="1"/>
  <c r="AY237" i="5"/>
  <c r="AY246" i="5"/>
  <c r="AY284" i="5" l="1"/>
  <c r="AY77" i="5" s="1"/>
  <c r="AY285" i="5"/>
  <c r="AZ41" i="5"/>
  <c r="AZ208" i="5" l="1"/>
  <c r="AZ74" i="5"/>
  <c r="AZ43" i="5"/>
  <c r="AZ47" i="5" l="1"/>
  <c r="AZ205" i="5"/>
  <c r="AZ271" i="5"/>
  <c r="AZ211" i="5" l="1"/>
  <c r="AZ225" i="5" s="1"/>
  <c r="AZ227" i="5" s="1"/>
  <c r="AZ242" i="5"/>
  <c r="AZ273" i="5"/>
  <c r="BA268" i="5" s="1"/>
  <c r="AZ54" i="5"/>
  <c r="AZ49" i="5"/>
  <c r="AZ55" i="5" l="1"/>
  <c r="AZ250" i="5"/>
  <c r="AZ254" i="5"/>
  <c r="AZ228" i="5"/>
  <c r="AZ234" i="5"/>
  <c r="AZ236" i="5" l="1"/>
  <c r="AZ260" i="5" s="1"/>
  <c r="BA226" i="5"/>
  <c r="AZ232" i="5"/>
  <c r="BA196" i="5" s="1"/>
  <c r="AZ263" i="5"/>
  <c r="AZ56" i="5"/>
  <c r="AZ85" i="4"/>
  <c r="BA35" i="5" l="1"/>
  <c r="BB196" i="5"/>
  <c r="AZ259" i="5"/>
  <c r="AZ245" i="5"/>
  <c r="AZ258" i="5" s="1"/>
  <c r="AZ240" i="5" l="1"/>
  <c r="AZ257" i="5"/>
  <c r="AZ243" i="5"/>
  <c r="AZ280" i="5" s="1"/>
  <c r="AZ246" i="5"/>
  <c r="AZ237" i="5"/>
  <c r="BA37" i="5"/>
  <c r="BA39" i="5" s="1"/>
  <c r="BA253" i="5"/>
  <c r="BA264" i="5" s="1"/>
  <c r="BB35" i="5"/>
  <c r="BA41" i="5" l="1"/>
  <c r="BB41" i="5" s="1"/>
  <c r="BB37" i="5"/>
  <c r="BB39" i="5" s="1"/>
  <c r="BB253" i="5"/>
  <c r="BB264" i="5" s="1"/>
  <c r="AZ285" i="5"/>
  <c r="AZ284" i="5"/>
  <c r="AZ77" i="5" s="1"/>
  <c r="BA208" i="5" l="1"/>
  <c r="BA271" i="5" s="1"/>
  <c r="BA74" i="5"/>
  <c r="BB74" i="5"/>
  <c r="BB43" i="5"/>
  <c r="BB208" i="5" l="1"/>
  <c r="BA43" i="5"/>
  <c r="BB47" i="5"/>
  <c r="BB271" i="5"/>
  <c r="BB273" i="5" s="1"/>
  <c r="BA273" i="5"/>
  <c r="CD25" i="2" l="1"/>
  <c r="BC268" i="5"/>
  <c r="BG268" i="5"/>
  <c r="BB275" i="5"/>
  <c r="BA205" i="5"/>
  <c r="BA47" i="5"/>
  <c r="BB54" i="5"/>
  <c r="BB49" i="5"/>
  <c r="BB250" i="5" l="1"/>
  <c r="BB254" i="5"/>
  <c r="BB55" i="5"/>
  <c r="BA49" i="5"/>
  <c r="BA54" i="5"/>
  <c r="BA211" i="5"/>
  <c r="BA225" i="5" s="1"/>
  <c r="BA227" i="5" s="1"/>
  <c r="BB205" i="5"/>
  <c r="BB211" i="5" s="1"/>
  <c r="BB225" i="5" s="1"/>
  <c r="BA242" i="5"/>
  <c r="BA55" i="5" l="1"/>
  <c r="BA250" i="5"/>
  <c r="BA254" i="5"/>
  <c r="BB242" i="5"/>
  <c r="BA228" i="5"/>
  <c r="BA232" i="5" s="1"/>
  <c r="BB227" i="5"/>
  <c r="BB228" i="5" s="1"/>
  <c r="BA234" i="5"/>
  <c r="BB56" i="5"/>
  <c r="BB85" i="4"/>
  <c r="BB263" i="5"/>
  <c r="BB10" i="3" l="1"/>
  <c r="BA236" i="5"/>
  <c r="BA260" i="5" s="1"/>
  <c r="BB234" i="5"/>
  <c r="BA263" i="5"/>
  <c r="BC226" i="5"/>
  <c r="BG226" i="5"/>
  <c r="BB232" i="5"/>
  <c r="BA85" i="4"/>
  <c r="BA56" i="5"/>
  <c r="BC196" i="5" l="1"/>
  <c r="BB236" i="5"/>
  <c r="BA259" i="5"/>
  <c r="BB259" i="5" l="1"/>
  <c r="BB260" i="5"/>
  <c r="BB245" i="5"/>
  <c r="BC35" i="5"/>
  <c r="BC253" i="5" l="1"/>
  <c r="BC264" i="5" s="1"/>
  <c r="BC37" i="5"/>
  <c r="BC39" i="5" s="1"/>
  <c r="BB240" i="5"/>
  <c r="BA245" i="5"/>
  <c r="BB257" i="5"/>
  <c r="BB243" i="5"/>
  <c r="BB280" i="5" s="1"/>
  <c r="BB33" i="2" s="1"/>
  <c r="BB258" i="5"/>
  <c r="BB246" i="5"/>
  <c r="BB237" i="5"/>
  <c r="BC41" i="5" l="1"/>
  <c r="BB285" i="5"/>
  <c r="BB78" i="5" s="1"/>
  <c r="BB284" i="5"/>
  <c r="BB77" i="5" s="1"/>
  <c r="BB31" i="2" s="1"/>
  <c r="BA240" i="5"/>
  <c r="BA257" i="5"/>
  <c r="BA243" i="5"/>
  <c r="BA280" i="5" s="1"/>
  <c r="BA246" i="5"/>
  <c r="BA258" i="5"/>
  <c r="BA237" i="5"/>
  <c r="BC74" i="5" l="1"/>
  <c r="BC208" i="5"/>
  <c r="BA284" i="5"/>
  <c r="BA77" i="5" s="1"/>
  <c r="BA285" i="5"/>
  <c r="BC43" i="5"/>
  <c r="BC205" i="5" l="1"/>
  <c r="BC47" i="5"/>
  <c r="BC271" i="5"/>
  <c r="BC49" i="5" l="1"/>
  <c r="BC54" i="5"/>
  <c r="BC273" i="5"/>
  <c r="BD268" i="5" s="1"/>
  <c r="BC211" i="5"/>
  <c r="BC225" i="5" s="1"/>
  <c r="BC227" i="5" s="1"/>
  <c r="BC242" i="5"/>
  <c r="BC228" i="5" l="1"/>
  <c r="BC234" i="5"/>
  <c r="BC55" i="5"/>
  <c r="BC254" i="5"/>
  <c r="BC250" i="5"/>
  <c r="BC85" i="4" l="1"/>
  <c r="BC56" i="5"/>
  <c r="BC263" i="5"/>
  <c r="BC236" i="5"/>
  <c r="BC260" i="5" s="1"/>
  <c r="BD226" i="5"/>
  <c r="BC232" i="5"/>
  <c r="BD196" i="5" s="1"/>
  <c r="BD35" i="5" l="1"/>
  <c r="BC259" i="5"/>
  <c r="BC245" i="5"/>
  <c r="BC258" i="5" s="1"/>
  <c r="BC240" i="5" l="1"/>
  <c r="BC257" i="5"/>
  <c r="BC243" i="5"/>
  <c r="BC280" i="5" s="1"/>
  <c r="BC237" i="5"/>
  <c r="BC246" i="5"/>
  <c r="BD37" i="5"/>
  <c r="BD39" i="5" s="1"/>
  <c r="BD253" i="5"/>
  <c r="BD264" i="5" s="1"/>
  <c r="BD41" i="5" l="1"/>
  <c r="BD43" i="5" s="1"/>
  <c r="BC285" i="5"/>
  <c r="BC284" i="5"/>
  <c r="BC77" i="5" s="1"/>
  <c r="BD47" i="5" l="1"/>
  <c r="BD205" i="5"/>
  <c r="BD208" i="5"/>
  <c r="BD74" i="5"/>
  <c r="BD211" i="5" l="1"/>
  <c r="BD225" i="5" s="1"/>
  <c r="BD227" i="5" s="1"/>
  <c r="BD242" i="5"/>
  <c r="BD271" i="5"/>
  <c r="BD54" i="5"/>
  <c r="BD49" i="5"/>
  <c r="BD55" i="5" l="1"/>
  <c r="BD250" i="5"/>
  <c r="BD254" i="5"/>
  <c r="BD273" i="5"/>
  <c r="BE268" i="5" s="1"/>
  <c r="BD228" i="5"/>
  <c r="BD234" i="5"/>
  <c r="BD263" i="5" l="1"/>
  <c r="BD236" i="5"/>
  <c r="BE226" i="5"/>
  <c r="BD232" i="5"/>
  <c r="BE196" i="5" s="1"/>
  <c r="BD56" i="5"/>
  <c r="BD85" i="4"/>
  <c r="BE35" i="5" l="1"/>
  <c r="BD259" i="5"/>
  <c r="BD245" i="5"/>
  <c r="BD260" i="5"/>
  <c r="BD240" i="5" l="1"/>
  <c r="BD257" i="5"/>
  <c r="BD243" i="5"/>
  <c r="BD280" i="5" s="1"/>
  <c r="BD246" i="5"/>
  <c r="BD237" i="5"/>
  <c r="BD258" i="5"/>
  <c r="BE37" i="5"/>
  <c r="BE39" i="5" s="1"/>
  <c r="BE253" i="5"/>
  <c r="BE264" i="5" s="1"/>
  <c r="BE41" i="5" l="1"/>
  <c r="BD284" i="5"/>
  <c r="BD77" i="5" s="1"/>
  <c r="BD285" i="5"/>
  <c r="BE74" i="5" l="1"/>
  <c r="BE208" i="5"/>
  <c r="BE43" i="5"/>
  <c r="BE205" i="5" l="1"/>
  <c r="BE47" i="5"/>
  <c r="BE271" i="5"/>
  <c r="BE273" i="5" l="1"/>
  <c r="BF268" i="5" s="1"/>
  <c r="BE49" i="5"/>
  <c r="BE54" i="5"/>
  <c r="BE211" i="5"/>
  <c r="BE225" i="5" s="1"/>
  <c r="BE227" i="5" s="1"/>
  <c r="BE242" i="5"/>
  <c r="BE228" i="5" l="1"/>
  <c r="BE234" i="5"/>
  <c r="BE55" i="5"/>
  <c r="BE254" i="5"/>
  <c r="BE250" i="5"/>
  <c r="BE85" i="4" l="1"/>
  <c r="BE56" i="5"/>
  <c r="BE263" i="5"/>
  <c r="BE236" i="5"/>
  <c r="BE260" i="5" s="1"/>
  <c r="BF226" i="5"/>
  <c r="BE232" i="5"/>
  <c r="BF196" i="5" s="1"/>
  <c r="BF35" i="5" l="1"/>
  <c r="BG196" i="5"/>
  <c r="BE259" i="5"/>
  <c r="BE245" i="5"/>
  <c r="BE237" i="5" s="1"/>
  <c r="BE240" i="5" l="1"/>
  <c r="BE257" i="5"/>
  <c r="BE243" i="5"/>
  <c r="BE280" i="5" s="1"/>
  <c r="BE258" i="5"/>
  <c r="BE246" i="5"/>
  <c r="BF37" i="5"/>
  <c r="BF39" i="5" s="1"/>
  <c r="BF41" i="5" s="1"/>
  <c r="BF253" i="5"/>
  <c r="BF264" i="5" s="1"/>
  <c r="BG35" i="5"/>
  <c r="BG253" i="5" l="1"/>
  <c r="BG264" i="5" s="1"/>
  <c r="BG37" i="5"/>
  <c r="BG39" i="5" s="1"/>
  <c r="BF208" i="5"/>
  <c r="BF74" i="5"/>
  <c r="BG41" i="5"/>
  <c r="BE285" i="5"/>
  <c r="BE284" i="5"/>
  <c r="BE77" i="5" s="1"/>
  <c r="BG43" i="5" l="1"/>
  <c r="BF43" i="5" s="1"/>
  <c r="BG74" i="5"/>
  <c r="BF271" i="5"/>
  <c r="BG208" i="5"/>
  <c r="BG47" i="5" l="1"/>
  <c r="BG49" i="5" s="1"/>
  <c r="BG271" i="5"/>
  <c r="BG273" i="5" s="1"/>
  <c r="BF273" i="5"/>
  <c r="BF47" i="5"/>
  <c r="BF205" i="5"/>
  <c r="CE25" i="2" l="1"/>
  <c r="BG54" i="5"/>
  <c r="BF211" i="5"/>
  <c r="BF225" i="5" s="1"/>
  <c r="BF227" i="5" s="1"/>
  <c r="BG205" i="5"/>
  <c r="BG211" i="5" s="1"/>
  <c r="BG225" i="5" s="1"/>
  <c r="BF242" i="5"/>
  <c r="BF54" i="5"/>
  <c r="BF49" i="5"/>
  <c r="BG55" i="5"/>
  <c r="BG254" i="5"/>
  <c r="BG250" i="5"/>
  <c r="BH268" i="5"/>
  <c r="BL268" i="5"/>
  <c r="BG275" i="5"/>
  <c r="BG263" i="5" l="1"/>
  <c r="BG85" i="4"/>
  <c r="BG56" i="5"/>
  <c r="BF55" i="5"/>
  <c r="BF250" i="5"/>
  <c r="BF254" i="5"/>
  <c r="BG242" i="5"/>
  <c r="BF228" i="5"/>
  <c r="BF232" i="5" s="1"/>
  <c r="BG227" i="5"/>
  <c r="BG228" i="5" s="1"/>
  <c r="BF234" i="5"/>
  <c r="BG234" i="5" l="1"/>
  <c r="BF236" i="5"/>
  <c r="BF260" i="5" s="1"/>
  <c r="BF263" i="5"/>
  <c r="BG10" i="3"/>
  <c r="BH226" i="5"/>
  <c r="BL226" i="5"/>
  <c r="BG232" i="5"/>
  <c r="BF56" i="5"/>
  <c r="BF85" i="4"/>
  <c r="BF259" i="5" l="1"/>
  <c r="BG236" i="5"/>
  <c r="BH196" i="5"/>
  <c r="BH35" i="5" l="1"/>
  <c r="BG259" i="5"/>
  <c r="BG260" i="5"/>
  <c r="BG245" i="5"/>
  <c r="BG240" i="5" l="1"/>
  <c r="BF245" i="5"/>
  <c r="BG257" i="5"/>
  <c r="BG243" i="5"/>
  <c r="BG280" i="5" s="1"/>
  <c r="BG33" i="2" s="1"/>
  <c r="BG258" i="5"/>
  <c r="BH37" i="5"/>
  <c r="BH39" i="5" s="1"/>
  <c r="BH253" i="5"/>
  <c r="BH264" i="5" s="1"/>
  <c r="BG237" i="5"/>
  <c r="BG246" i="5"/>
  <c r="BH41" i="5" l="1"/>
  <c r="BH43" i="5" s="1"/>
  <c r="BG285" i="5"/>
  <c r="BG78" i="5" s="1"/>
  <c r="BG284" i="5"/>
  <c r="BG77" i="5" s="1"/>
  <c r="BG31" i="2" s="1"/>
  <c r="BF240" i="5"/>
  <c r="BF257" i="5"/>
  <c r="BF243" i="5"/>
  <c r="BF280" i="5" s="1"/>
  <c r="BF237" i="5"/>
  <c r="BF246" i="5"/>
  <c r="BF258" i="5"/>
  <c r="BF284" i="5" l="1"/>
  <c r="BF77" i="5" s="1"/>
  <c r="BF285" i="5"/>
  <c r="BH47" i="5"/>
  <c r="BH205" i="5"/>
  <c r="BH208" i="5"/>
  <c r="BH74" i="5"/>
  <c r="BH271" i="5" l="1"/>
  <c r="BH211" i="5"/>
  <c r="BH225" i="5" s="1"/>
  <c r="BH227" i="5" s="1"/>
  <c r="BH242" i="5"/>
  <c r="BH54" i="5"/>
  <c r="BH49" i="5"/>
  <c r="BH250" i="5" l="1"/>
  <c r="BH254" i="5"/>
  <c r="BH55" i="5"/>
  <c r="BH228" i="5"/>
  <c r="BH234" i="5"/>
  <c r="BH273" i="5"/>
  <c r="BI268" i="5" s="1"/>
  <c r="BI226" i="5" l="1"/>
  <c r="BH232" i="5"/>
  <c r="BI196" i="5" s="1"/>
  <c r="BH236" i="5"/>
  <c r="BH56" i="5"/>
  <c r="BH85" i="4"/>
  <c r="BH263" i="5"/>
  <c r="BH259" i="5" l="1"/>
  <c r="BH245" i="5"/>
  <c r="BI35" i="5"/>
  <c r="BH260" i="5"/>
  <c r="BH240" i="5" l="1"/>
  <c r="BH257" i="5"/>
  <c r="BH243" i="5"/>
  <c r="BH280" i="5" s="1"/>
  <c r="BH246" i="5"/>
  <c r="BH237" i="5"/>
  <c r="BI37" i="5"/>
  <c r="BI39" i="5" s="1"/>
  <c r="BI253" i="5"/>
  <c r="BI264" i="5" s="1"/>
  <c r="BH258" i="5"/>
  <c r="BI41" i="5" l="1"/>
  <c r="BH284" i="5"/>
  <c r="BH77" i="5" s="1"/>
  <c r="BH285" i="5"/>
  <c r="BI74" i="5" l="1"/>
  <c r="BI208" i="5"/>
  <c r="BI43" i="5"/>
  <c r="BI205" i="5" l="1"/>
  <c r="BI47" i="5"/>
  <c r="BI271" i="5"/>
  <c r="BI273" i="5" l="1"/>
  <c r="BJ268" i="5" s="1"/>
  <c r="BI49" i="5"/>
  <c r="BI54" i="5"/>
  <c r="BI211" i="5"/>
  <c r="BI225" i="5" s="1"/>
  <c r="BI227" i="5" s="1"/>
  <c r="BI242" i="5"/>
  <c r="BI228" i="5" l="1"/>
  <c r="BI234" i="5"/>
  <c r="BI55" i="5"/>
  <c r="BI250" i="5"/>
  <c r="BI254" i="5"/>
  <c r="BI85" i="4" l="1"/>
  <c r="BI56" i="5"/>
  <c r="BI263" i="5"/>
  <c r="BI236" i="5"/>
  <c r="BI260" i="5" s="1"/>
  <c r="BJ226" i="5"/>
  <c r="BI232" i="5"/>
  <c r="BJ196" i="5" s="1"/>
  <c r="BJ35" i="5" l="1"/>
  <c r="BI259" i="5"/>
  <c r="BI245" i="5"/>
  <c r="BI237" i="5" s="1"/>
  <c r="BI240" i="5" l="1"/>
  <c r="BI257" i="5"/>
  <c r="BI243" i="5"/>
  <c r="BI280" i="5" s="1"/>
  <c r="BI258" i="5"/>
  <c r="BI246" i="5"/>
  <c r="BJ37" i="5"/>
  <c r="BJ39" i="5" s="1"/>
  <c r="BJ253" i="5"/>
  <c r="BJ264" i="5" s="1"/>
  <c r="BJ41" i="5" l="1"/>
  <c r="BJ43" i="5" s="1"/>
  <c r="BI285" i="5"/>
  <c r="BI284" i="5"/>
  <c r="BI77" i="5" s="1"/>
  <c r="BJ47" i="5" l="1"/>
  <c r="BJ205" i="5"/>
  <c r="BJ208" i="5"/>
  <c r="BJ74" i="5"/>
  <c r="BJ211" i="5" l="1"/>
  <c r="BJ225" i="5" s="1"/>
  <c r="BJ227" i="5" s="1"/>
  <c r="BJ242" i="5"/>
  <c r="BJ271" i="5"/>
  <c r="BJ54" i="5"/>
  <c r="BJ49" i="5"/>
  <c r="BJ55" i="5" l="1"/>
  <c r="BJ250" i="5"/>
  <c r="BJ254" i="5"/>
  <c r="BJ273" i="5"/>
  <c r="BK268" i="5" s="1"/>
  <c r="BJ228" i="5"/>
  <c r="BJ234" i="5"/>
  <c r="BJ263" i="5" l="1"/>
  <c r="BJ236" i="5"/>
  <c r="BK226" i="5"/>
  <c r="BJ232" i="5"/>
  <c r="BK196" i="5" s="1"/>
  <c r="BJ56" i="5"/>
  <c r="BJ85" i="4"/>
  <c r="BK35" i="5" l="1"/>
  <c r="BL196" i="5"/>
  <c r="BJ259" i="5"/>
  <c r="BJ245" i="5"/>
  <c r="BJ260" i="5"/>
  <c r="BJ240" i="5" l="1"/>
  <c r="BJ257" i="5"/>
  <c r="BJ243" i="5"/>
  <c r="BJ280" i="5" s="1"/>
  <c r="BJ246" i="5"/>
  <c r="BJ237" i="5"/>
  <c r="BJ258" i="5"/>
  <c r="BK37" i="5"/>
  <c r="BK39" i="5" s="1"/>
  <c r="BK41" i="5" s="1"/>
  <c r="BK253" i="5"/>
  <c r="BK264" i="5" s="1"/>
  <c r="BL35" i="5"/>
  <c r="BL37" i="5" l="1"/>
  <c r="BL39" i="5" s="1"/>
  <c r="BL253" i="5"/>
  <c r="BL264" i="5" s="1"/>
  <c r="BK74" i="5"/>
  <c r="BK208" i="5"/>
  <c r="BL41" i="5"/>
  <c r="BJ284" i="5"/>
  <c r="BJ77" i="5" s="1"/>
  <c r="BJ285" i="5"/>
  <c r="BL74" i="5" l="1"/>
  <c r="BK271" i="5"/>
  <c r="BL208" i="5"/>
  <c r="BL43" i="5"/>
  <c r="BK43" i="5" l="1"/>
  <c r="BL47" i="5"/>
  <c r="BL271" i="5"/>
  <c r="BL273" i="5" s="1"/>
  <c r="BK273" i="5"/>
  <c r="CF25" i="2" l="1"/>
  <c r="BQ268" i="5"/>
  <c r="BM268" i="5"/>
  <c r="BL54" i="5"/>
  <c r="BL49" i="5"/>
  <c r="BL275" i="5"/>
  <c r="BK205" i="5"/>
  <c r="BK47" i="5"/>
  <c r="BK49" i="5" l="1"/>
  <c r="BK54" i="5"/>
  <c r="BL250" i="5"/>
  <c r="BL254" i="5"/>
  <c r="BL55" i="5"/>
  <c r="BK211" i="5"/>
  <c r="BK225" i="5" s="1"/>
  <c r="BK227" i="5" s="1"/>
  <c r="BL205" i="5"/>
  <c r="BL211" i="5" s="1"/>
  <c r="BL225" i="5" s="1"/>
  <c r="BK242" i="5"/>
  <c r="BL242" i="5" l="1"/>
  <c r="BK228" i="5"/>
  <c r="BK232" i="5" s="1"/>
  <c r="BL227" i="5"/>
  <c r="BL228" i="5" s="1"/>
  <c r="BK234" i="5"/>
  <c r="BL56" i="5"/>
  <c r="BL85" i="4"/>
  <c r="BL263" i="5"/>
  <c r="BK55" i="5"/>
  <c r="BK254" i="5"/>
  <c r="BK250" i="5"/>
  <c r="BL232" i="5" l="1"/>
  <c r="BM226" i="5"/>
  <c r="BQ226" i="5"/>
  <c r="BK263" i="5"/>
  <c r="BK85" i="4"/>
  <c r="BK56" i="5"/>
  <c r="BL10" i="3"/>
  <c r="BK236" i="5"/>
  <c r="BK260" i="5" s="1"/>
  <c r="BL234" i="5"/>
  <c r="BL236" i="5" l="1"/>
  <c r="BL259" i="5" s="1"/>
  <c r="BM196" i="5"/>
  <c r="BK259" i="5"/>
  <c r="BL260" i="5" l="1"/>
  <c r="BL245" i="5"/>
  <c r="BL240" i="5" s="1"/>
  <c r="BM35" i="5"/>
  <c r="BK245" i="5" l="1"/>
  <c r="BK257" i="5" s="1"/>
  <c r="BL246" i="5"/>
  <c r="BL243" i="5"/>
  <c r="BL280" i="5" s="1"/>
  <c r="BM253" i="5"/>
  <c r="BM264" i="5" s="1"/>
  <c r="BM37" i="5"/>
  <c r="BM39" i="5" s="1"/>
  <c r="BL237" i="5"/>
  <c r="BL258" i="5"/>
  <c r="BL257" i="5"/>
  <c r="BK240" i="5"/>
  <c r="BK237" i="5" l="1"/>
  <c r="BK243" i="5"/>
  <c r="BK280" i="5" s="1"/>
  <c r="BK285" i="5" s="1"/>
  <c r="BK246" i="5"/>
  <c r="BK258" i="5"/>
  <c r="BL285" i="5"/>
  <c r="BL78" i="5" s="1"/>
  <c r="BL33" i="2"/>
  <c r="BL284" i="5"/>
  <c r="BL77" i="5" s="1"/>
  <c r="BL31" i="2" s="1"/>
  <c r="BM41" i="5"/>
  <c r="BA97" i="7"/>
  <c r="BB97" i="7" s="1"/>
  <c r="BK284" i="5" l="1"/>
  <c r="BK77" i="5" s="1"/>
  <c r="BM208" i="5"/>
  <c r="BM74" i="5"/>
  <c r="BM43" i="5"/>
  <c r="BA103" i="7"/>
  <c r="BA88" i="7" s="1"/>
  <c r="BA90" i="7" s="1"/>
  <c r="BA99" i="7"/>
  <c r="BA108" i="7" s="1"/>
  <c r="BA13" i="7" s="1"/>
  <c r="BB13" i="7" s="1"/>
  <c r="BA101" i="7"/>
  <c r="BF97" i="7"/>
  <c r="BG97" i="7" s="1"/>
  <c r="BG99" i="7" s="1"/>
  <c r="BB108" i="7"/>
  <c r="BB99" i="7"/>
  <c r="BB101" i="7"/>
  <c r="BK97" i="7" l="1"/>
  <c r="BP97" i="7" s="1"/>
  <c r="BP99" i="7" s="1"/>
  <c r="BP108" i="7" s="1"/>
  <c r="BM271" i="5"/>
  <c r="BM205" i="5"/>
  <c r="BM47" i="5"/>
  <c r="BG101" i="7"/>
  <c r="BF99" i="7"/>
  <c r="BF108" i="7" s="1"/>
  <c r="BF13" i="7" s="1"/>
  <c r="BG13" i="7" s="1"/>
  <c r="BA111" i="7"/>
  <c r="BA112" i="7" s="1"/>
  <c r="BF103" i="7"/>
  <c r="BF88" i="7" s="1"/>
  <c r="BF90" i="7" s="1"/>
  <c r="BF101" i="7"/>
  <c r="BA8" i="7"/>
  <c r="BB8" i="7" s="1"/>
  <c r="BB109" i="7"/>
  <c r="BK99" i="7"/>
  <c r="BK108" i="7" s="1"/>
  <c r="BB88" i="7"/>
  <c r="BB103" i="7" s="1"/>
  <c r="BQ97" i="7" l="1"/>
  <c r="BQ99" i="7" s="1"/>
  <c r="BK101" i="7"/>
  <c r="BP101" i="7"/>
  <c r="BL97" i="7"/>
  <c r="BK103" i="7"/>
  <c r="BP103" i="7" s="1"/>
  <c r="BP88" i="7" s="1"/>
  <c r="BG108" i="7"/>
  <c r="BG109" i="7" s="1"/>
  <c r="BG88" i="7"/>
  <c r="BG90" i="7" s="1"/>
  <c r="BG111" i="7" s="1"/>
  <c r="BP13" i="7"/>
  <c r="BQ108" i="7"/>
  <c r="BB90" i="7"/>
  <c r="BB111" i="7" s="1"/>
  <c r="BB112" i="7" s="1"/>
  <c r="BM49" i="5"/>
  <c r="BM54" i="5"/>
  <c r="BM273" i="5"/>
  <c r="BN268" i="5" s="1"/>
  <c r="BM211" i="5"/>
  <c r="BM225" i="5" s="1"/>
  <c r="BM227" i="5" s="1"/>
  <c r="BM242" i="5"/>
  <c r="BK13" i="7"/>
  <c r="BL108" i="7"/>
  <c r="BL99" i="7"/>
  <c r="BL101" i="7"/>
  <c r="BF111" i="7"/>
  <c r="BF8" i="7"/>
  <c r="BQ109" i="7" l="1"/>
  <c r="BQ101" i="7"/>
  <c r="BK88" i="7"/>
  <c r="BG112" i="7"/>
  <c r="BG103" i="7"/>
  <c r="BQ13" i="7"/>
  <c r="BP90" i="7"/>
  <c r="BQ88" i="7"/>
  <c r="BM228" i="5"/>
  <c r="BM234" i="5"/>
  <c r="BM55" i="5"/>
  <c r="BM250" i="5"/>
  <c r="BM263" i="5" s="1"/>
  <c r="BM254" i="5"/>
  <c r="BL13" i="7"/>
  <c r="BL109" i="7"/>
  <c r="BF112" i="7"/>
  <c r="BG8" i="7"/>
  <c r="BK90" i="7" l="1"/>
  <c r="BL88" i="7"/>
  <c r="BP8" i="7"/>
  <c r="BP111" i="7"/>
  <c r="BQ90" i="7"/>
  <c r="BQ111" i="7" s="1"/>
  <c r="BQ103" i="7"/>
  <c r="BM56" i="5"/>
  <c r="BM85" i="4"/>
  <c r="BM236" i="5"/>
  <c r="BN226" i="5"/>
  <c r="BM232" i="5"/>
  <c r="BN196" i="5" s="1"/>
  <c r="BA121" i="7"/>
  <c r="BB121" i="7" s="1"/>
  <c r="BA122" i="7"/>
  <c r="BB122" i="7" s="1"/>
  <c r="BL90" i="7" l="1"/>
  <c r="BL111" i="7" s="1"/>
  <c r="BL112" i="7" s="1"/>
  <c r="BL103" i="7"/>
  <c r="BK111" i="7"/>
  <c r="BK112" i="7" s="1"/>
  <c r="BK8" i="7"/>
  <c r="BL8" i="7" s="1"/>
  <c r="BQ8" i="7"/>
  <c r="BN35" i="5"/>
  <c r="BM260" i="5"/>
  <c r="BM259" i="5"/>
  <c r="BM245" i="5"/>
  <c r="BM237" i="5" s="1"/>
  <c r="BA123" i="7"/>
  <c r="BA125" i="7" s="1"/>
  <c r="BA129" i="7" s="1"/>
  <c r="BF122" i="7"/>
  <c r="BG122" i="7" s="1"/>
  <c r="BB123" i="7"/>
  <c r="BB125" i="7" s="1"/>
  <c r="BF121" i="7"/>
  <c r="BQ112" i="7" l="1"/>
  <c r="BP112" i="7"/>
  <c r="BM258" i="5"/>
  <c r="BN37" i="5"/>
  <c r="BN39" i="5" s="1"/>
  <c r="BN253" i="5"/>
  <c r="BN264" i="5" s="1"/>
  <c r="BM240" i="5"/>
  <c r="BM257" i="5"/>
  <c r="BM243" i="5"/>
  <c r="BM280" i="5" s="1"/>
  <c r="BM246" i="5"/>
  <c r="BA127" i="7"/>
  <c r="BK122" i="7"/>
  <c r="BB127" i="7"/>
  <c r="BA134" i="7"/>
  <c r="BG121" i="7"/>
  <c r="BG123" i="7" s="1"/>
  <c r="BG125" i="7" s="1"/>
  <c r="BF123" i="7"/>
  <c r="BK121" i="7"/>
  <c r="BP121" i="7" s="1"/>
  <c r="BA117" i="7"/>
  <c r="BQ121" i="7" l="1"/>
  <c r="BL122" i="7"/>
  <c r="BP122" i="7"/>
  <c r="BQ122" i="7" s="1"/>
  <c r="BN41" i="5"/>
  <c r="BM284" i="5"/>
  <c r="BM77" i="5" s="1"/>
  <c r="BM285" i="5"/>
  <c r="BA14" i="7"/>
  <c r="BB134" i="7"/>
  <c r="BB135" i="7" s="1"/>
  <c r="BG127" i="7"/>
  <c r="BF127" i="7"/>
  <c r="BF125" i="7"/>
  <c r="BF134" i="7"/>
  <c r="BB117" i="7"/>
  <c r="BA9" i="7"/>
  <c r="BA137" i="7"/>
  <c r="BA138" i="7" s="1"/>
  <c r="BL121" i="7"/>
  <c r="BK123" i="7"/>
  <c r="BQ123" i="7" l="1"/>
  <c r="BL123" i="7"/>
  <c r="BL127" i="7" s="1"/>
  <c r="BP123" i="7"/>
  <c r="BN74" i="5"/>
  <c r="BN208" i="5"/>
  <c r="BN43" i="5"/>
  <c r="BA14" i="4"/>
  <c r="BB14" i="4" s="1"/>
  <c r="BA16" i="7"/>
  <c r="BB14" i="7"/>
  <c r="BB16" i="7" s="1"/>
  <c r="BK125" i="7"/>
  <c r="BK134" i="7"/>
  <c r="BK127" i="7"/>
  <c r="BB137" i="7"/>
  <c r="BB138" i="7" s="1"/>
  <c r="BB129" i="7"/>
  <c r="BF129" i="7"/>
  <c r="BL125" i="7"/>
  <c r="BB9" i="7"/>
  <c r="BB11" i="7" s="1"/>
  <c r="BA11" i="7"/>
  <c r="BF14" i="7"/>
  <c r="BG134" i="7"/>
  <c r="BG135" i="7" s="1"/>
  <c r="BP127" i="7" l="1"/>
  <c r="BP134" i="7"/>
  <c r="BP125" i="7"/>
  <c r="BQ125" i="7"/>
  <c r="BQ127" i="7"/>
  <c r="BN205" i="5"/>
  <c r="BN47" i="5"/>
  <c r="BN271" i="5"/>
  <c r="BK129" i="7"/>
  <c r="BF117" i="7"/>
  <c r="BF137" i="7" s="1"/>
  <c r="BF138" i="7" s="1"/>
  <c r="BB18" i="7"/>
  <c r="BF9" i="7"/>
  <c r="BK14" i="7"/>
  <c r="BL134" i="7"/>
  <c r="BL135" i="7" s="1"/>
  <c r="BF14" i="4"/>
  <c r="BF16" i="7"/>
  <c r="BG14" i="7"/>
  <c r="BG16" i="7" s="1"/>
  <c r="BA18" i="7"/>
  <c r="BP14" i="7" l="1"/>
  <c r="BQ134" i="7"/>
  <c r="BQ135" i="7" s="1"/>
  <c r="BK117" i="7"/>
  <c r="BL117" i="7" s="1"/>
  <c r="BP129" i="7"/>
  <c r="BP117" i="7" s="1"/>
  <c r="BN273" i="5"/>
  <c r="BO268" i="5" s="1"/>
  <c r="BN211" i="5"/>
  <c r="BN225" i="5" s="1"/>
  <c r="BN227" i="5" s="1"/>
  <c r="BN242" i="5"/>
  <c r="BN49" i="5"/>
  <c r="BN54" i="5"/>
  <c r="BG117" i="7"/>
  <c r="BG137" i="7" s="1"/>
  <c r="BG138" i="7" s="1"/>
  <c r="BG14" i="4"/>
  <c r="BK14" i="4"/>
  <c r="BK16" i="7"/>
  <c r="BL14" i="7"/>
  <c r="BL16" i="7" s="1"/>
  <c r="BK137" i="7"/>
  <c r="BK138" i="7" s="1"/>
  <c r="BG9" i="7"/>
  <c r="BG11" i="7" s="1"/>
  <c r="BF11" i="7"/>
  <c r="BK9" i="7" l="1"/>
  <c r="BK11" i="7" s="1"/>
  <c r="BG129" i="7"/>
  <c r="BP137" i="7"/>
  <c r="BP138" i="7" s="1"/>
  <c r="BP9" i="7"/>
  <c r="BQ117" i="7"/>
  <c r="BQ14" i="7"/>
  <c r="BQ16" i="7" s="1"/>
  <c r="BP14" i="4"/>
  <c r="BQ14" i="4" s="1"/>
  <c r="BP16" i="7"/>
  <c r="BN228" i="5"/>
  <c r="BN234" i="5"/>
  <c r="BN55" i="5"/>
  <c r="BN254" i="5"/>
  <c r="BN250" i="5"/>
  <c r="BN263" i="5" s="1"/>
  <c r="BF18" i="7"/>
  <c r="BL137" i="7"/>
  <c r="BL138" i="7" s="1"/>
  <c r="BL129" i="7"/>
  <c r="BL9" i="7"/>
  <c r="BL11" i="7" s="1"/>
  <c r="BG18" i="7"/>
  <c r="BL14" i="4"/>
  <c r="BQ137" i="7" l="1"/>
  <c r="BQ138" i="7" s="1"/>
  <c r="BQ129" i="7"/>
  <c r="BP11" i="7"/>
  <c r="BP18" i="7" s="1"/>
  <c r="BQ9" i="7"/>
  <c r="BQ11" i="7" s="1"/>
  <c r="BN85" i="4"/>
  <c r="BN56" i="5"/>
  <c r="BN236" i="5"/>
  <c r="BO226" i="5"/>
  <c r="BN232" i="5"/>
  <c r="BO196" i="5" s="1"/>
  <c r="BK18" i="7"/>
  <c r="BL18" i="7"/>
  <c r="BA143" i="7"/>
  <c r="BF143" i="7" s="1"/>
  <c r="BA146" i="7"/>
  <c r="BA22" i="7" s="1"/>
  <c r="BA149" i="7"/>
  <c r="BF149" i="7" s="1"/>
  <c r="BQ18" i="7" l="1"/>
  <c r="BN260" i="5"/>
  <c r="BN259" i="5"/>
  <c r="BN245" i="5"/>
  <c r="BN246" i="5" s="1"/>
  <c r="BO35" i="5"/>
  <c r="BF146" i="7"/>
  <c r="BG146" i="7" s="1"/>
  <c r="BB146" i="7"/>
  <c r="BB147" i="7" s="1"/>
  <c r="BF23" i="7"/>
  <c r="BG149" i="7"/>
  <c r="BF20" i="7"/>
  <c r="BG143" i="7"/>
  <c r="BB22" i="7"/>
  <c r="BK149" i="7"/>
  <c r="BP149" i="7" s="1"/>
  <c r="BA23" i="7"/>
  <c r="BB149" i="7"/>
  <c r="BB150" i="7" s="1"/>
  <c r="BK143" i="7"/>
  <c r="BP143" i="7" s="1"/>
  <c r="BA20" i="7"/>
  <c r="BB143" i="7"/>
  <c r="BB144" i="7" s="1"/>
  <c r="BP20" i="7" l="1"/>
  <c r="BQ143" i="7"/>
  <c r="BP23" i="7"/>
  <c r="BQ149" i="7"/>
  <c r="BN258" i="5"/>
  <c r="BO37" i="5"/>
  <c r="BO39" i="5" s="1"/>
  <c r="BO253" i="5"/>
  <c r="BO264" i="5" s="1"/>
  <c r="BN240" i="5"/>
  <c r="BN257" i="5"/>
  <c r="BN243" i="5"/>
  <c r="BN280" i="5" s="1"/>
  <c r="BN237" i="5"/>
  <c r="BF22" i="7"/>
  <c r="BG22" i="7" s="1"/>
  <c r="BK146" i="7"/>
  <c r="BP146" i="7" s="1"/>
  <c r="BG147" i="7"/>
  <c r="BG150" i="7"/>
  <c r="BK20" i="7"/>
  <c r="BL143" i="7"/>
  <c r="BL144" i="7" s="1"/>
  <c r="BB23" i="7"/>
  <c r="BG144" i="7"/>
  <c r="BB20" i="7"/>
  <c r="BK23" i="7"/>
  <c r="BL149" i="7"/>
  <c r="BL150" i="7" s="1"/>
  <c r="BG20" i="7"/>
  <c r="BG23" i="7"/>
  <c r="BQ150" i="7" l="1"/>
  <c r="BQ20" i="7"/>
  <c r="BQ23" i="7"/>
  <c r="BQ144" i="7"/>
  <c r="BP22" i="7"/>
  <c r="BQ146" i="7"/>
  <c r="BN284" i="5"/>
  <c r="BN77" i="5" s="1"/>
  <c r="BN285" i="5"/>
  <c r="BO41" i="5"/>
  <c r="BK22" i="7"/>
  <c r="BL22" i="7" s="1"/>
  <c r="BL146" i="7"/>
  <c r="BL147" i="7" s="1"/>
  <c r="BL23" i="7"/>
  <c r="BL20" i="7"/>
  <c r="BQ22" i="7" l="1"/>
  <c r="BQ147" i="7"/>
  <c r="BO74" i="5"/>
  <c r="BO208" i="5"/>
  <c r="BO43" i="5"/>
  <c r="AS164" i="7"/>
  <c r="AU164" i="7"/>
  <c r="AW164" i="7"/>
  <c r="AX164" i="7" s="1"/>
  <c r="AT164" i="7"/>
  <c r="AX207" i="7"/>
  <c r="AY207" i="7" s="1"/>
  <c r="AX219" i="7"/>
  <c r="BB219" i="7"/>
  <c r="AV262" i="7"/>
  <c r="AW262" i="7" s="1"/>
  <c r="AW266" i="7" s="1"/>
  <c r="CC26" i="2" s="1"/>
  <c r="AV94" i="4"/>
  <c r="AW94" i="4"/>
  <c r="BO47" i="5" l="1"/>
  <c r="BO205" i="5"/>
  <c r="BO271" i="5"/>
  <c r="AX261" i="7"/>
  <c r="BB261" i="7"/>
  <c r="AW268" i="7"/>
  <c r="AZ207" i="7"/>
  <c r="AY209" i="7"/>
  <c r="AX228" i="7"/>
  <c r="AX159" i="7"/>
  <c r="AY164" i="7"/>
  <c r="AX189" i="7"/>
  <c r="E139" i="10"/>
  <c r="AV266" i="7"/>
  <c r="AX209" i="7"/>
  <c r="AV164" i="7"/>
  <c r="BO54" i="5" l="1"/>
  <c r="BO49" i="5"/>
  <c r="BO273" i="5"/>
  <c r="BP268" i="5" s="1"/>
  <c r="BO211" i="5"/>
  <c r="BO225" i="5" s="1"/>
  <c r="BO227" i="5" s="1"/>
  <c r="BO242" i="5"/>
  <c r="AQ139" i="10"/>
  <c r="AS139" i="10"/>
  <c r="AU139" i="10"/>
  <c r="AR139" i="10"/>
  <c r="AT139" i="10"/>
  <c r="AY159" i="7"/>
  <c r="AZ164" i="7"/>
  <c r="AY228" i="7"/>
  <c r="CW139" i="10"/>
  <c r="CY139" i="10"/>
  <c r="DA139" i="10"/>
  <c r="DC139" i="10"/>
  <c r="CV139" i="10"/>
  <c r="CX139" i="10"/>
  <c r="DB139" i="10"/>
  <c r="DD139" i="10"/>
  <c r="CZ139" i="10"/>
  <c r="AX155" i="7"/>
  <c r="AX176" i="7"/>
  <c r="AX179" i="7"/>
  <c r="BA207" i="7"/>
  <c r="AZ209" i="7"/>
  <c r="BO228" i="5" l="1"/>
  <c r="BO234" i="5"/>
  <c r="BO55" i="5"/>
  <c r="BO254" i="5"/>
  <c r="BO250" i="5"/>
  <c r="AW274" i="7"/>
  <c r="AX36" i="7"/>
  <c r="AY155" i="7"/>
  <c r="AX157" i="7"/>
  <c r="AY161" i="7" s="1"/>
  <c r="DD141" i="10"/>
  <c r="BA191" i="7"/>
  <c r="CX141" i="10"/>
  <c r="DE139" i="10"/>
  <c r="DA141" i="10"/>
  <c r="AX191" i="7"/>
  <c r="AX35" i="7" s="1"/>
  <c r="CW141" i="10"/>
  <c r="AZ228" i="7"/>
  <c r="AY176" i="7"/>
  <c r="AY28" i="7" s="1"/>
  <c r="AY179" i="7"/>
  <c r="AY36" i="7" s="1"/>
  <c r="AR141" i="10"/>
  <c r="AS141" i="10"/>
  <c r="BA209" i="7"/>
  <c r="BB207" i="7"/>
  <c r="AX28" i="7"/>
  <c r="CZ141" i="10"/>
  <c r="DB141" i="10"/>
  <c r="AY191" i="7"/>
  <c r="CV141" i="10"/>
  <c r="DC141" i="10"/>
  <c r="AZ191" i="7"/>
  <c r="CY141" i="10"/>
  <c r="AZ159" i="7"/>
  <c r="BA164" i="7"/>
  <c r="AT141" i="10"/>
  <c r="AU141" i="10"/>
  <c r="AQ141" i="10"/>
  <c r="BO263" i="5" l="1"/>
  <c r="BO85" i="4"/>
  <c r="BO56" i="5"/>
  <c r="BO236" i="5"/>
  <c r="BP226" i="5"/>
  <c r="BO232" i="5"/>
  <c r="BP196" i="5" s="1"/>
  <c r="AZ176" i="7"/>
  <c r="AZ179" i="7"/>
  <c r="AZ36" i="7" s="1"/>
  <c r="AX30" i="7"/>
  <c r="AX32" i="7" s="1"/>
  <c r="AX200" i="7"/>
  <c r="BC207" i="7"/>
  <c r="BB209" i="7"/>
  <c r="AX37" i="7"/>
  <c r="AX246" i="7"/>
  <c r="DE141" i="10"/>
  <c r="BB191" i="7"/>
  <c r="AY21" i="7"/>
  <c r="AY156" i="7"/>
  <c r="AY157" i="7" s="1"/>
  <c r="AZ161" i="7" s="1"/>
  <c r="AZ21" i="7" s="1"/>
  <c r="AW279" i="7"/>
  <c r="AW79" i="7" s="1"/>
  <c r="AW278" i="7"/>
  <c r="BA159" i="7"/>
  <c r="BB164" i="7"/>
  <c r="BC164" i="7" s="1"/>
  <c r="AY30" i="7"/>
  <c r="AY200" i="7"/>
  <c r="BA228" i="7"/>
  <c r="DO139" i="10"/>
  <c r="DJ139" i="10"/>
  <c r="AZ155" i="7"/>
  <c r="AV274" i="7"/>
  <c r="BO259" i="5" l="1"/>
  <c r="BO245" i="5"/>
  <c r="BO237" i="5" s="1"/>
  <c r="BO260" i="5"/>
  <c r="BP35" i="5"/>
  <c r="BQ196" i="5"/>
  <c r="AW78" i="7"/>
  <c r="AW43" i="2" s="1"/>
  <c r="DO141" i="10"/>
  <c r="BL191" i="7"/>
  <c r="BB228" i="7"/>
  <c r="BA176" i="7"/>
  <c r="BA28" i="7" s="1"/>
  <c r="BA179" i="7"/>
  <c r="BB159" i="7"/>
  <c r="AZ156" i="7"/>
  <c r="AZ157" i="7" s="1"/>
  <c r="BA161" i="7" s="1"/>
  <c r="BA21" i="7" s="1"/>
  <c r="BB21" i="7" s="1"/>
  <c r="BB24" i="7" s="1"/>
  <c r="BB26" i="7" s="1"/>
  <c r="BA155" i="7"/>
  <c r="AV278" i="7"/>
  <c r="AV78" i="7" s="1"/>
  <c r="AV279" i="7"/>
  <c r="AZ24" i="7"/>
  <c r="AZ26" i="7" s="1"/>
  <c r="AZ263" i="7"/>
  <c r="AZ199" i="7"/>
  <c r="DJ141" i="10"/>
  <c r="BG191" i="7"/>
  <c r="BC159" i="7"/>
  <c r="BD164" i="7"/>
  <c r="AY24" i="7"/>
  <c r="AY26" i="7" s="1"/>
  <c r="AY199" i="7"/>
  <c r="AY263" i="7"/>
  <c r="BD207" i="7"/>
  <c r="BC209" i="7"/>
  <c r="AX33" i="7"/>
  <c r="AX244" i="7"/>
  <c r="AX257" i="7" s="1"/>
  <c r="AX39" i="7"/>
  <c r="AZ28" i="7"/>
  <c r="BP37" i="5" l="1"/>
  <c r="BP39" i="5" s="1"/>
  <c r="BP41" i="5" s="1"/>
  <c r="BP253" i="5"/>
  <c r="BP264" i="5" s="1"/>
  <c r="BQ35" i="5"/>
  <c r="BO258" i="5"/>
  <c r="BO240" i="5"/>
  <c r="BO257" i="5"/>
  <c r="BO243" i="5"/>
  <c r="BO280" i="5" s="1"/>
  <c r="BO246" i="5"/>
  <c r="BB176" i="7"/>
  <c r="BB177" i="7" s="1"/>
  <c r="BB161" i="7"/>
  <c r="AX41" i="7"/>
  <c r="AX43" i="7" s="1"/>
  <c r="BE207" i="7"/>
  <c r="BD209" i="7"/>
  <c r="BD159" i="7"/>
  <c r="BE164" i="7"/>
  <c r="AZ27" i="4"/>
  <c r="BB155" i="7"/>
  <c r="BA30" i="7"/>
  <c r="BA200" i="7"/>
  <c r="BC228" i="7"/>
  <c r="AZ30" i="7"/>
  <c r="AZ32" i="7" s="1"/>
  <c r="AZ200" i="7"/>
  <c r="BB28" i="7"/>
  <c r="BB30" i="7" s="1"/>
  <c r="BB32" i="7" s="1"/>
  <c r="AX245" i="7"/>
  <c r="AY32" i="7"/>
  <c r="AY27" i="4"/>
  <c r="BC176" i="7"/>
  <c r="BC179" i="7"/>
  <c r="BA24" i="7"/>
  <c r="BA26" i="7" s="1"/>
  <c r="BA199" i="7"/>
  <c r="BB199" i="7" s="1"/>
  <c r="BA263" i="7"/>
  <c r="BB263" i="7" s="1"/>
  <c r="BA156" i="7"/>
  <c r="BB156" i="7" s="1"/>
  <c r="BA36" i="7"/>
  <c r="BB179" i="7"/>
  <c r="BB180" i="7" s="1"/>
  <c r="BB200" i="7" l="1"/>
  <c r="BO284" i="5"/>
  <c r="BO77" i="5" s="1"/>
  <c r="BO285" i="5"/>
  <c r="BQ253" i="5"/>
  <c r="BQ264" i="5" s="1"/>
  <c r="BQ37" i="5"/>
  <c r="BQ39" i="5" s="1"/>
  <c r="BP74" i="5"/>
  <c r="BP208" i="5"/>
  <c r="BQ208" i="5" s="1"/>
  <c r="BQ41" i="5"/>
  <c r="BB33" i="7"/>
  <c r="BB244" i="7"/>
  <c r="AZ33" i="7"/>
  <c r="AY26" i="3"/>
  <c r="BD228" i="7"/>
  <c r="BC155" i="7"/>
  <c r="BB157" i="7"/>
  <c r="BB163" i="7" s="1"/>
  <c r="BD176" i="7"/>
  <c r="BD28" i="7" s="1"/>
  <c r="BD179" i="7"/>
  <c r="BD36" i="7" s="1"/>
  <c r="AX47" i="7"/>
  <c r="AX198" i="7"/>
  <c r="BB36" i="7"/>
  <c r="BA32" i="7"/>
  <c r="BA244" i="7" s="1"/>
  <c r="BA27" i="4"/>
  <c r="BC28" i="7"/>
  <c r="BC36" i="7"/>
  <c r="AY33" i="7"/>
  <c r="AZ244" i="7"/>
  <c r="AY244" i="7"/>
  <c r="BA157" i="7"/>
  <c r="AZ26" i="3"/>
  <c r="BE159" i="7"/>
  <c r="BF164" i="7"/>
  <c r="BF207" i="7"/>
  <c r="BE209" i="7"/>
  <c r="AX75" i="7"/>
  <c r="AX201" i="7"/>
  <c r="BQ74" i="5" l="1"/>
  <c r="BP271" i="5"/>
  <c r="BQ43" i="5"/>
  <c r="BF159" i="7"/>
  <c r="BG164" i="7"/>
  <c r="BH164" i="7" s="1"/>
  <c r="AZ245" i="7"/>
  <c r="AY245" i="7"/>
  <c r="BA26" i="3"/>
  <c r="AX204" i="7"/>
  <c r="AX218" i="7" s="1"/>
  <c r="AX220" i="7" s="1"/>
  <c r="AX235" i="7"/>
  <c r="BD30" i="7"/>
  <c r="BD200" i="7"/>
  <c r="BD155" i="7"/>
  <c r="BB26" i="3"/>
  <c r="BB245" i="7"/>
  <c r="AX264" i="7"/>
  <c r="BF209" i="7"/>
  <c r="BG207" i="7"/>
  <c r="BE176" i="7"/>
  <c r="BE179" i="7"/>
  <c r="BC30" i="7"/>
  <c r="BC200" i="7"/>
  <c r="BA33" i="7"/>
  <c r="BA245" i="7" s="1"/>
  <c r="AX54" i="7"/>
  <c r="AX49" i="7"/>
  <c r="BC161" i="7"/>
  <c r="BD163" i="7"/>
  <c r="BE228" i="7"/>
  <c r="BB27" i="4"/>
  <c r="BQ271" i="5" l="1"/>
  <c r="BQ273" i="5" s="1"/>
  <c r="BP273" i="5"/>
  <c r="BP43" i="5"/>
  <c r="BQ47" i="5"/>
  <c r="BF228" i="7"/>
  <c r="BC21" i="7"/>
  <c r="BC156" i="7"/>
  <c r="BE28" i="7"/>
  <c r="BH207" i="7"/>
  <c r="BG209" i="7"/>
  <c r="AX266" i="7"/>
  <c r="AY261" i="7" s="1"/>
  <c r="BE155" i="7"/>
  <c r="AX221" i="7"/>
  <c r="AX227" i="7"/>
  <c r="BG159" i="7"/>
  <c r="BF176" i="7"/>
  <c r="BF28" i="7" s="1"/>
  <c r="BF179" i="7"/>
  <c r="BF36" i="7" s="1"/>
  <c r="BE163" i="7"/>
  <c r="AX55" i="7"/>
  <c r="AX243" i="7"/>
  <c r="AX247" i="7"/>
  <c r="BE36" i="7"/>
  <c r="BG179" i="7"/>
  <c r="BG180" i="7" s="1"/>
  <c r="BH159" i="7"/>
  <c r="BI164" i="7"/>
  <c r="BQ275" i="5" l="1"/>
  <c r="CG25" i="2"/>
  <c r="BP205" i="5"/>
  <c r="BP47" i="5"/>
  <c r="BQ49" i="5"/>
  <c r="BQ54" i="5"/>
  <c r="AX256" i="7"/>
  <c r="BF163" i="7"/>
  <c r="BF30" i="7"/>
  <c r="BF200" i="7"/>
  <c r="AX229" i="7"/>
  <c r="AY219" i="7"/>
  <c r="AX225" i="7"/>
  <c r="AY189" i="7" s="1"/>
  <c r="BG176" i="7"/>
  <c r="BG177" i="7" s="1"/>
  <c r="BH176" i="7"/>
  <c r="BH179" i="7"/>
  <c r="BI159" i="7"/>
  <c r="BJ164" i="7"/>
  <c r="BG36" i="7"/>
  <c r="AX56" i="7"/>
  <c r="AX86" i="4"/>
  <c r="BF155" i="7"/>
  <c r="BI207" i="7"/>
  <c r="BH209" i="7"/>
  <c r="BE30" i="7"/>
  <c r="BE200" i="7"/>
  <c r="BG200" i="7" s="1"/>
  <c r="BG28" i="7"/>
  <c r="BG30" i="7" s="1"/>
  <c r="BC157" i="7"/>
  <c r="BD161" i="7" s="1"/>
  <c r="BC24" i="7"/>
  <c r="BC26" i="7" s="1"/>
  <c r="BC199" i="7"/>
  <c r="BC263" i="7"/>
  <c r="BG228" i="7"/>
  <c r="BQ250" i="5" l="1"/>
  <c r="BQ55" i="5"/>
  <c r="BQ254" i="5"/>
  <c r="BP211" i="5"/>
  <c r="BP225" i="5" s="1"/>
  <c r="BP227" i="5" s="1"/>
  <c r="BQ205" i="5"/>
  <c r="BQ211" i="5" s="1"/>
  <c r="BQ225" i="5" s="1"/>
  <c r="BP242" i="5"/>
  <c r="BP49" i="5"/>
  <c r="BP54" i="5"/>
  <c r="AY35" i="7"/>
  <c r="BH228" i="7"/>
  <c r="BD21" i="7"/>
  <c r="BJ159" i="7"/>
  <c r="BK164" i="7"/>
  <c r="BH36" i="7"/>
  <c r="AX252" i="7"/>
  <c r="AX238" i="7"/>
  <c r="AX251" i="7" s="1"/>
  <c r="AX253" i="7"/>
  <c r="BC32" i="7"/>
  <c r="BC27" i="4"/>
  <c r="BD156" i="7"/>
  <c r="BJ207" i="7"/>
  <c r="BI209" i="7"/>
  <c r="BG155" i="7"/>
  <c r="BI176" i="7"/>
  <c r="BI28" i="7" s="1"/>
  <c r="BI179" i="7"/>
  <c r="BI36" i="7" s="1"/>
  <c r="BH28" i="7"/>
  <c r="BP55" i="5" l="1"/>
  <c r="BP250" i="5"/>
  <c r="BP254" i="5"/>
  <c r="BQ263" i="5"/>
  <c r="BQ242" i="5"/>
  <c r="BP228" i="5"/>
  <c r="BP232" i="5" s="1"/>
  <c r="BQ227" i="5"/>
  <c r="BQ228" i="5" s="1"/>
  <c r="BQ232" i="5" s="1"/>
  <c r="BP234" i="5"/>
  <c r="BQ85" i="4"/>
  <c r="BQ10" i="3" s="1"/>
  <c r="BQ56" i="5"/>
  <c r="BI30" i="7"/>
  <c r="BI200" i="7"/>
  <c r="BC33" i="7"/>
  <c r="BC244" i="7"/>
  <c r="BJ176" i="7"/>
  <c r="BJ28" i="7" s="1"/>
  <c r="BJ179" i="7"/>
  <c r="BJ36" i="7" s="1"/>
  <c r="BI228" i="7"/>
  <c r="AY37" i="7"/>
  <c r="AY39" i="7" s="1"/>
  <c r="AY246" i="7"/>
  <c r="AY257" i="7" s="1"/>
  <c r="BH30" i="7"/>
  <c r="BH200" i="7"/>
  <c r="BH155" i="7"/>
  <c r="BK207" i="7"/>
  <c r="BJ209" i="7"/>
  <c r="BL207" i="7"/>
  <c r="BL209" i="7" s="1"/>
  <c r="BD157" i="7"/>
  <c r="BE161" i="7" s="1"/>
  <c r="AX233" i="7"/>
  <c r="AX250" i="7"/>
  <c r="AX236" i="7"/>
  <c r="AX274" i="7" s="1"/>
  <c r="AX45" i="2" s="1"/>
  <c r="AX230" i="7"/>
  <c r="AX239" i="7"/>
  <c r="BK159" i="7"/>
  <c r="BL164" i="7"/>
  <c r="BD24" i="7"/>
  <c r="BD26" i="7" s="1"/>
  <c r="BD263" i="7"/>
  <c r="BD199" i="7"/>
  <c r="BP56" i="5" l="1"/>
  <c r="BP85" i="4"/>
  <c r="BQ234" i="5"/>
  <c r="BQ236" i="5" s="1"/>
  <c r="BQ245" i="5" s="1"/>
  <c r="BP236" i="5"/>
  <c r="BP260" i="5" s="1"/>
  <c r="BP263" i="5"/>
  <c r="BK176" i="7"/>
  <c r="BK179" i="7"/>
  <c r="BL159" i="7"/>
  <c r="AX278" i="7"/>
  <c r="AX78" i="7" s="1"/>
  <c r="AX279" i="7"/>
  <c r="BE21" i="7"/>
  <c r="BJ228" i="7"/>
  <c r="BD32" i="7"/>
  <c r="BD27" i="4"/>
  <c r="BE156" i="7"/>
  <c r="BK209" i="7"/>
  <c r="BI155" i="7"/>
  <c r="AY41" i="7"/>
  <c r="AY43" i="7" s="1"/>
  <c r="BJ30" i="7"/>
  <c r="BJ200" i="7"/>
  <c r="BC245" i="7"/>
  <c r="BQ243" i="5" l="1"/>
  <c r="BQ280" i="5" s="1"/>
  <c r="BQ33" i="2" s="1"/>
  <c r="BQ240" i="5"/>
  <c r="BP245" i="5"/>
  <c r="BP246" i="5" s="1"/>
  <c r="BQ257" i="5"/>
  <c r="BQ259" i="5"/>
  <c r="BQ237" i="5"/>
  <c r="BQ246" i="5"/>
  <c r="BQ258" i="5"/>
  <c r="BQ260" i="5"/>
  <c r="BP259" i="5"/>
  <c r="BP237" i="5"/>
  <c r="AY198" i="7"/>
  <c r="AY47" i="7"/>
  <c r="BE157" i="7"/>
  <c r="BF161" i="7" s="1"/>
  <c r="BF156" i="7" s="1"/>
  <c r="BE24" i="7"/>
  <c r="BE26" i="7" s="1"/>
  <c r="BE199" i="7"/>
  <c r="BE263" i="7"/>
  <c r="BK28" i="7"/>
  <c r="BL176" i="7"/>
  <c r="BL177" i="7" s="1"/>
  <c r="AY75" i="7"/>
  <c r="AY201" i="7"/>
  <c r="BJ155" i="7"/>
  <c r="BD33" i="7"/>
  <c r="BD244" i="7"/>
  <c r="BK228" i="7"/>
  <c r="BK36" i="7"/>
  <c r="BL179" i="7"/>
  <c r="BL180" i="7" s="1"/>
  <c r="BP240" i="5" l="1"/>
  <c r="BP257" i="5"/>
  <c r="BP243" i="5"/>
  <c r="BP280" i="5" s="1"/>
  <c r="BQ284" i="5"/>
  <c r="BQ77" i="5" s="1"/>
  <c r="BQ31" i="2" s="1"/>
  <c r="BQ285" i="5"/>
  <c r="BQ78" i="5" s="1"/>
  <c r="BP258" i="5"/>
  <c r="BD245" i="7"/>
  <c r="BK155" i="7"/>
  <c r="AY264" i="7"/>
  <c r="BK30" i="7"/>
  <c r="BK200" i="7"/>
  <c r="BL200" i="7" s="1"/>
  <c r="BL28" i="7"/>
  <c r="BL30" i="7" s="1"/>
  <c r="BG156" i="7"/>
  <c r="BF157" i="7"/>
  <c r="AY49" i="7"/>
  <c r="AY54" i="7"/>
  <c r="BL36" i="7"/>
  <c r="BL228" i="7"/>
  <c r="BM228" i="7" s="1"/>
  <c r="BE32" i="7"/>
  <c r="BE27" i="4"/>
  <c r="BF21" i="7"/>
  <c r="BG161" i="7"/>
  <c r="AY204" i="7"/>
  <c r="AY218" i="7" s="1"/>
  <c r="AY220" i="7" s="1"/>
  <c r="AY235" i="7"/>
  <c r="BP285" i="5" l="1"/>
  <c r="BP284" i="5"/>
  <c r="BP77" i="5" s="1"/>
  <c r="BN228" i="7"/>
  <c r="BE33" i="7"/>
  <c r="BE244" i="7"/>
  <c r="AY266" i="7"/>
  <c r="AZ261" i="7" s="1"/>
  <c r="BL155" i="7"/>
  <c r="BM155" i="7" s="1"/>
  <c r="BN155" i="7" s="1"/>
  <c r="BO155" i="7" s="1"/>
  <c r="BP155" i="7" s="1"/>
  <c r="BQ155" i="7" s="1"/>
  <c r="AY221" i="7"/>
  <c r="AY227" i="7"/>
  <c r="BF24" i="7"/>
  <c r="BF26" i="7" s="1"/>
  <c r="BF263" i="7"/>
  <c r="BG263" i="7" s="1"/>
  <c r="BF199" i="7"/>
  <c r="BG199" i="7" s="1"/>
  <c r="BG21" i="7"/>
  <c r="BG24" i="7" s="1"/>
  <c r="BG26" i="7" s="1"/>
  <c r="BG32" i="7" s="1"/>
  <c r="AY55" i="7"/>
  <c r="AY243" i="7"/>
  <c r="AY247" i="7"/>
  <c r="BG157" i="7"/>
  <c r="BG163" i="7" s="1"/>
  <c r="BH163" i="7" s="1"/>
  <c r="BO228" i="7" l="1"/>
  <c r="BH161" i="7"/>
  <c r="BI163" i="7"/>
  <c r="AY56" i="7"/>
  <c r="AY86" i="4"/>
  <c r="BG33" i="7"/>
  <c r="BG244" i="7"/>
  <c r="BF32" i="7"/>
  <c r="BF27" i="4"/>
  <c r="AY256" i="7"/>
  <c r="AY229" i="7"/>
  <c r="AY253" i="7" s="1"/>
  <c r="AZ219" i="7"/>
  <c r="AY225" i="7"/>
  <c r="AZ189" i="7" s="1"/>
  <c r="BE245" i="7"/>
  <c r="BP228" i="7" l="1"/>
  <c r="AZ35" i="7"/>
  <c r="BF33" i="7"/>
  <c r="BF245" i="7" s="1"/>
  <c r="BF244" i="7"/>
  <c r="BH21" i="7"/>
  <c r="BH156" i="7"/>
  <c r="AY252" i="7"/>
  <c r="AY238" i="7"/>
  <c r="BG27" i="4"/>
  <c r="BG26" i="3"/>
  <c r="BG245" i="7"/>
  <c r="BJ163" i="7"/>
  <c r="BQ228" i="7" l="1"/>
  <c r="BK163" i="7"/>
  <c r="AY233" i="7"/>
  <c r="AY250" i="7"/>
  <c r="AY236" i="7"/>
  <c r="AY274" i="7" s="1"/>
  <c r="AY45" i="2" s="1"/>
  <c r="AY239" i="7"/>
  <c r="AY230" i="7"/>
  <c r="AZ37" i="7"/>
  <c r="AZ39" i="7" s="1"/>
  <c r="AZ246" i="7"/>
  <c r="AZ257" i="7" s="1"/>
  <c r="AY251" i="7"/>
  <c r="BH157" i="7"/>
  <c r="BI161" i="7" s="1"/>
  <c r="BH24" i="7"/>
  <c r="BH26" i="7" s="1"/>
  <c r="BH263" i="7"/>
  <c r="BH199" i="7"/>
  <c r="BH32" i="7" l="1"/>
  <c r="BH27" i="4"/>
  <c r="BI21" i="7"/>
  <c r="BI156" i="7"/>
  <c r="AZ41" i="7"/>
  <c r="AY279" i="7"/>
  <c r="AY278" i="7"/>
  <c r="AY78" i="7" s="1"/>
  <c r="AZ75" i="7" l="1"/>
  <c r="AZ201" i="7"/>
  <c r="BI157" i="7"/>
  <c r="BJ161" i="7" s="1"/>
  <c r="AZ43" i="7"/>
  <c r="BI24" i="7"/>
  <c r="BI26" i="7" s="1"/>
  <c r="BI199" i="7"/>
  <c r="BI263" i="7"/>
  <c r="BH33" i="7"/>
  <c r="BH244" i="7"/>
  <c r="BH245" i="7" l="1"/>
  <c r="BJ21" i="7"/>
  <c r="BI32" i="7"/>
  <c r="BI27" i="4"/>
  <c r="AZ47" i="7"/>
  <c r="AZ198" i="7"/>
  <c r="BJ156" i="7"/>
  <c r="AZ264" i="7"/>
  <c r="BJ157" i="7" l="1"/>
  <c r="BK161" i="7" s="1"/>
  <c r="AZ54" i="7"/>
  <c r="AZ49" i="7"/>
  <c r="BI33" i="7"/>
  <c r="BI244" i="7"/>
  <c r="BJ24" i="7"/>
  <c r="BJ26" i="7" s="1"/>
  <c r="BJ263" i="7"/>
  <c r="BJ199" i="7"/>
  <c r="AZ266" i="7"/>
  <c r="BA261" i="7" s="1"/>
  <c r="AZ204" i="7"/>
  <c r="AZ218" i="7" s="1"/>
  <c r="AZ220" i="7" s="1"/>
  <c r="AZ235" i="7"/>
  <c r="AZ221" i="7" l="1"/>
  <c r="AZ227" i="7"/>
  <c r="AZ55" i="7"/>
  <c r="AZ243" i="7"/>
  <c r="AZ247" i="7"/>
  <c r="BK21" i="7"/>
  <c r="BL161" i="7"/>
  <c r="BJ32" i="7"/>
  <c r="BJ27" i="4"/>
  <c r="BI245" i="7"/>
  <c r="BK156" i="7"/>
  <c r="BL156" i="7" l="1"/>
  <c r="BK157" i="7"/>
  <c r="BJ33" i="7"/>
  <c r="BJ244" i="7"/>
  <c r="AZ56" i="7"/>
  <c r="AZ86" i="4"/>
  <c r="BK24" i="7"/>
  <c r="BK26" i="7" s="1"/>
  <c r="BK199" i="7"/>
  <c r="BL199" i="7" s="1"/>
  <c r="BK263" i="7"/>
  <c r="BL263" i="7" s="1"/>
  <c r="BL21" i="7"/>
  <c r="BL24" i="7" s="1"/>
  <c r="BL26" i="7" s="1"/>
  <c r="BL32" i="7" s="1"/>
  <c r="AZ256" i="7"/>
  <c r="AZ229" i="7"/>
  <c r="BA219" i="7"/>
  <c r="AZ225" i="7"/>
  <c r="BA189" i="7" s="1"/>
  <c r="BL157" i="7" l="1"/>
  <c r="BL163" i="7" s="1"/>
  <c r="BM163" i="7" s="1"/>
  <c r="BA35" i="7"/>
  <c r="BB189" i="7"/>
  <c r="BJ245" i="7"/>
  <c r="AZ252" i="7"/>
  <c r="AZ238" i="7"/>
  <c r="AZ251" i="7" s="1"/>
  <c r="AZ253" i="7"/>
  <c r="BL33" i="7"/>
  <c r="BL244" i="7"/>
  <c r="BK32" i="7"/>
  <c r="BK27" i="4"/>
  <c r="BN163" i="7" l="1"/>
  <c r="BO163" i="7" s="1"/>
  <c r="BP163" i="7" s="1"/>
  <c r="BM161" i="7"/>
  <c r="BL27" i="4"/>
  <c r="BA37" i="7"/>
  <c r="BA39" i="7" s="1"/>
  <c r="BA246" i="7"/>
  <c r="BA257" i="7" s="1"/>
  <c r="BB35" i="7"/>
  <c r="BK33" i="7"/>
  <c r="BK244" i="7"/>
  <c r="BL26" i="3"/>
  <c r="BL245" i="7"/>
  <c r="AZ233" i="7"/>
  <c r="AZ250" i="7"/>
  <c r="AZ236" i="7"/>
  <c r="AZ274" i="7" s="1"/>
  <c r="AZ45" i="2" s="1"/>
  <c r="AZ230" i="7"/>
  <c r="AZ239" i="7"/>
  <c r="BM21" i="7" l="1"/>
  <c r="BM156" i="7"/>
  <c r="BM157" i="7" s="1"/>
  <c r="BN161" i="7" s="1"/>
  <c r="BA41" i="7"/>
  <c r="BB41" i="7" s="1"/>
  <c r="BK245" i="7"/>
  <c r="BB37" i="7"/>
  <c r="BB39" i="7" s="1"/>
  <c r="BB246" i="7"/>
  <c r="BB257" i="7" s="1"/>
  <c r="AZ279" i="7"/>
  <c r="AZ278" i="7"/>
  <c r="AZ78" i="7" s="1"/>
  <c r="BM263" i="7" l="1"/>
  <c r="BM199" i="7"/>
  <c r="BM24" i="7"/>
  <c r="BM26" i="7" s="1"/>
  <c r="BN156" i="7"/>
  <c r="BN21" i="7"/>
  <c r="BA201" i="7"/>
  <c r="BB201" i="7" s="1"/>
  <c r="BA75" i="7"/>
  <c r="BB75" i="7"/>
  <c r="BB43" i="7"/>
  <c r="BA264" i="7" l="1"/>
  <c r="BB264" i="7" s="1"/>
  <c r="BB266" i="7" s="1"/>
  <c r="CD26" i="2" s="1"/>
  <c r="BM32" i="7"/>
  <c r="BM27" i="4"/>
  <c r="BN199" i="7"/>
  <c r="BN263" i="7"/>
  <c r="BN24" i="7"/>
  <c r="BN26" i="7" s="1"/>
  <c r="BN157" i="7"/>
  <c r="BO161" i="7" s="1"/>
  <c r="BA43" i="7"/>
  <c r="BB47" i="7"/>
  <c r="BA266" i="7" l="1"/>
  <c r="BO21" i="7"/>
  <c r="BN27" i="4"/>
  <c r="BN32" i="7"/>
  <c r="BN33" i="7" s="1"/>
  <c r="BM33" i="7"/>
  <c r="BM244" i="7"/>
  <c r="BO156" i="7"/>
  <c r="BO157" i="7" s="1"/>
  <c r="BP161" i="7" s="1"/>
  <c r="BB54" i="7"/>
  <c r="BB49" i="7"/>
  <c r="BA198" i="7"/>
  <c r="BA47" i="7"/>
  <c r="BB268" i="7"/>
  <c r="BC261" i="7"/>
  <c r="BG261" i="7"/>
  <c r="BN244" i="7" l="1"/>
  <c r="BM245" i="7"/>
  <c r="BN245" i="7"/>
  <c r="BO199" i="7"/>
  <c r="BO263" i="7"/>
  <c r="BO24" i="7"/>
  <c r="BO26" i="7" s="1"/>
  <c r="BP156" i="7"/>
  <c r="BP21" i="7"/>
  <c r="BQ21" i="7" s="1"/>
  <c r="BQ24" i="7" s="1"/>
  <c r="BQ26" i="7" s="1"/>
  <c r="BQ32" i="7" s="1"/>
  <c r="BQ161" i="7"/>
  <c r="BA49" i="7"/>
  <c r="BA54" i="7"/>
  <c r="BB55" i="7"/>
  <c r="BB243" i="7"/>
  <c r="BB247" i="7"/>
  <c r="BA204" i="7"/>
  <c r="BA218" i="7" s="1"/>
  <c r="BA220" i="7" s="1"/>
  <c r="BB198" i="7"/>
  <c r="BB204" i="7" s="1"/>
  <c r="BB218" i="7" s="1"/>
  <c r="BA235" i="7"/>
  <c r="BQ156" i="7" l="1"/>
  <c r="BQ157" i="7" s="1"/>
  <c r="BQ163" i="7" s="1"/>
  <c r="BP157" i="7"/>
  <c r="BQ33" i="7"/>
  <c r="BQ244" i="7"/>
  <c r="BP199" i="7"/>
  <c r="BQ199" i="7" s="1"/>
  <c r="BP263" i="7"/>
  <c r="BQ263" i="7" s="1"/>
  <c r="BP24" i="7"/>
  <c r="BP26" i="7" s="1"/>
  <c r="BO27" i="4"/>
  <c r="BO32" i="7"/>
  <c r="BA55" i="7"/>
  <c r="BA243" i="7"/>
  <c r="BA247" i="7"/>
  <c r="BB256" i="7"/>
  <c r="BB235" i="7"/>
  <c r="BA221" i="7"/>
  <c r="BA225" i="7" s="1"/>
  <c r="BB220" i="7"/>
  <c r="BB221" i="7" s="1"/>
  <c r="BA227" i="7"/>
  <c r="BB56" i="7"/>
  <c r="BB86" i="4"/>
  <c r="BQ26" i="3" l="1"/>
  <c r="BQ245" i="7"/>
  <c r="BO33" i="7"/>
  <c r="BO245" i="7" s="1"/>
  <c r="BO244" i="7"/>
  <c r="BP32" i="7"/>
  <c r="BP33" i="7" s="1"/>
  <c r="BP27" i="4"/>
  <c r="BQ27" i="4" s="1"/>
  <c r="BB227" i="7"/>
  <c r="BA229" i="7"/>
  <c r="BA253" i="7" s="1"/>
  <c r="BA256" i="7"/>
  <c r="BB11" i="3"/>
  <c r="BC219" i="7"/>
  <c r="BG219" i="7"/>
  <c r="BB225" i="7"/>
  <c r="BA56" i="7"/>
  <c r="BA86" i="4"/>
  <c r="BP244" i="7" l="1"/>
  <c r="BP245" i="7"/>
  <c r="BA252" i="7"/>
  <c r="BC189" i="7"/>
  <c r="BB229" i="7"/>
  <c r="BB252" i="7" l="1"/>
  <c r="BB253" i="7"/>
  <c r="BB238" i="7"/>
  <c r="BB239" i="7" s="1"/>
  <c r="BC35" i="7"/>
  <c r="BB230" i="7" l="1"/>
  <c r="BC37" i="7"/>
  <c r="BC39" i="7" s="1"/>
  <c r="BC246" i="7"/>
  <c r="BC257" i="7" s="1"/>
  <c r="BB233" i="7"/>
  <c r="BA238" i="7"/>
  <c r="BB250" i="7"/>
  <c r="BB236" i="7"/>
  <c r="BB274" i="7" s="1"/>
  <c r="BB45" i="2" s="1"/>
  <c r="BB251" i="7"/>
  <c r="BB279" i="7" l="1"/>
  <c r="BB79" i="7" s="1"/>
  <c r="BB278" i="7"/>
  <c r="BB78" i="7" s="1"/>
  <c r="BB43" i="2" s="1"/>
  <c r="BA233" i="7"/>
  <c r="BA250" i="7"/>
  <c r="BA236" i="7"/>
  <c r="BA274" i="7" s="1"/>
  <c r="BA45" i="2" s="1"/>
  <c r="BA251" i="7"/>
  <c r="BA239" i="7"/>
  <c r="BA230" i="7"/>
  <c r="BC41" i="7"/>
  <c r="BC43" i="7" s="1"/>
  <c r="BC198" i="7" l="1"/>
  <c r="BC47" i="7"/>
  <c r="BA279" i="7"/>
  <c r="BA278" i="7"/>
  <c r="BA78" i="7" s="1"/>
  <c r="BC75" i="7"/>
  <c r="BC201" i="7"/>
  <c r="BC49" i="7" l="1"/>
  <c r="BC54" i="7"/>
  <c r="BC264" i="7"/>
  <c r="BC204" i="7"/>
  <c r="BC218" i="7" s="1"/>
  <c r="BC220" i="7" s="1"/>
  <c r="BC235" i="7"/>
  <c r="BC266" i="7" l="1"/>
  <c r="BD261" i="7" s="1"/>
  <c r="BC221" i="7"/>
  <c r="BC227" i="7"/>
  <c r="BC55" i="7"/>
  <c r="BC243" i="7"/>
  <c r="BC247" i="7"/>
  <c r="BC256" i="7" l="1"/>
  <c r="BC229" i="7"/>
  <c r="BC56" i="7"/>
  <c r="BC86" i="4"/>
  <c r="BD219" i="7"/>
  <c r="BC225" i="7"/>
  <c r="BD189" i="7" s="1"/>
  <c r="BD35" i="7" l="1"/>
  <c r="BC252" i="7"/>
  <c r="BC238" i="7"/>
  <c r="BC253" i="7"/>
  <c r="BC233" i="7" l="1"/>
  <c r="BC250" i="7"/>
  <c r="BC236" i="7"/>
  <c r="BC274" i="7" s="1"/>
  <c r="BC239" i="7"/>
  <c r="BC230" i="7"/>
  <c r="BC251" i="7"/>
  <c r="BD37" i="7"/>
  <c r="BD39" i="7" s="1"/>
  <c r="BD246" i="7"/>
  <c r="BD257" i="7" s="1"/>
  <c r="BD41" i="7" l="1"/>
  <c r="BD43" i="7" s="1"/>
  <c r="BC278" i="7"/>
  <c r="BC78" i="7" s="1"/>
  <c r="BC279" i="7"/>
  <c r="BD47" i="7" l="1"/>
  <c r="BD198" i="7"/>
  <c r="BD75" i="7"/>
  <c r="BD201" i="7"/>
  <c r="BD264" i="7" l="1"/>
  <c r="BD204" i="7"/>
  <c r="BD218" i="7" s="1"/>
  <c r="BD220" i="7" s="1"/>
  <c r="BD235" i="7"/>
  <c r="BD54" i="7"/>
  <c r="BD49" i="7"/>
  <c r="BD55" i="7" l="1"/>
  <c r="BD247" i="7"/>
  <c r="BD243" i="7"/>
  <c r="BD221" i="7"/>
  <c r="BD227" i="7"/>
  <c r="BD266" i="7"/>
  <c r="BE261" i="7" s="1"/>
  <c r="BD229" i="7" l="1"/>
  <c r="BD253" i="7" s="1"/>
  <c r="BE219" i="7"/>
  <c r="BD225" i="7"/>
  <c r="BE189" i="7" s="1"/>
  <c r="BD256" i="7"/>
  <c r="BD56" i="7"/>
  <c r="BD86" i="4"/>
  <c r="BE35" i="7" l="1"/>
  <c r="BD252" i="7"/>
  <c r="BD238" i="7"/>
  <c r="BD233" i="7" l="1"/>
  <c r="BD250" i="7"/>
  <c r="BD236" i="7"/>
  <c r="BD274" i="7" s="1"/>
  <c r="BD230" i="7"/>
  <c r="BD239" i="7"/>
  <c r="BD251" i="7"/>
  <c r="BE37" i="7"/>
  <c r="BE39" i="7" s="1"/>
  <c r="BE246" i="7"/>
  <c r="BE257" i="7" s="1"/>
  <c r="BE41" i="7" l="1"/>
  <c r="BD278" i="7"/>
  <c r="BD78" i="7" s="1"/>
  <c r="BD279" i="7"/>
  <c r="BE75" i="7" l="1"/>
  <c r="BE201" i="7"/>
  <c r="BE43" i="7"/>
  <c r="BE198" i="7" l="1"/>
  <c r="BE47" i="7"/>
  <c r="BE264" i="7"/>
  <c r="BE49" i="7" l="1"/>
  <c r="BE54" i="7"/>
  <c r="BE266" i="7"/>
  <c r="BF261" i="7" s="1"/>
  <c r="BE204" i="7"/>
  <c r="BE218" i="7" s="1"/>
  <c r="BE220" i="7" s="1"/>
  <c r="BE235" i="7"/>
  <c r="BE221" i="7" l="1"/>
  <c r="BE227" i="7"/>
  <c r="BE55" i="7"/>
  <c r="BE247" i="7"/>
  <c r="BE243" i="7"/>
  <c r="BE56" i="7" l="1"/>
  <c r="BE86" i="4"/>
  <c r="BE256" i="7"/>
  <c r="BE229" i="7"/>
  <c r="BF219" i="7"/>
  <c r="BE225" i="7"/>
  <c r="BF189" i="7" s="1"/>
  <c r="BF35" i="7" l="1"/>
  <c r="BG189" i="7"/>
  <c r="BE252" i="7"/>
  <c r="BE238" i="7"/>
  <c r="BE230" i="7" s="1"/>
  <c r="BE253" i="7"/>
  <c r="BF37" i="7" l="1"/>
  <c r="BF39" i="7" s="1"/>
  <c r="BF41" i="7" s="1"/>
  <c r="BG35" i="7"/>
  <c r="BF246" i="7"/>
  <c r="BF257" i="7" s="1"/>
  <c r="BE233" i="7"/>
  <c r="BE250" i="7"/>
  <c r="BE236" i="7"/>
  <c r="BE274" i="7" s="1"/>
  <c r="BE239" i="7"/>
  <c r="BE251" i="7"/>
  <c r="BF75" i="7" l="1"/>
  <c r="BF201" i="7"/>
  <c r="BG41" i="7"/>
  <c r="BE279" i="7"/>
  <c r="BE278" i="7"/>
  <c r="BE78" i="7" s="1"/>
  <c r="BG37" i="7"/>
  <c r="BG39" i="7" s="1"/>
  <c r="BG246" i="7"/>
  <c r="BG257" i="7" s="1"/>
  <c r="BG43" i="7" l="1"/>
  <c r="BF43" i="7" s="1"/>
  <c r="BF264" i="7"/>
  <c r="BG201" i="7"/>
  <c r="BG75" i="7"/>
  <c r="BG47" i="7" l="1"/>
  <c r="BG49" i="7" s="1"/>
  <c r="BF47" i="7"/>
  <c r="BF198" i="7"/>
  <c r="BG264" i="7"/>
  <c r="BG266" i="7" s="1"/>
  <c r="CE26" i="2" s="1"/>
  <c r="BF266" i="7"/>
  <c r="BG54" i="7" l="1"/>
  <c r="BF204" i="7"/>
  <c r="BF218" i="7" s="1"/>
  <c r="BF220" i="7" s="1"/>
  <c r="BG198" i="7"/>
  <c r="BG204" i="7" s="1"/>
  <c r="BG218" i="7" s="1"/>
  <c r="BF235" i="7"/>
  <c r="BH261" i="7"/>
  <c r="BL261" i="7"/>
  <c r="BG268" i="7"/>
  <c r="BG55" i="7"/>
  <c r="BG243" i="7"/>
  <c r="BG247" i="7"/>
  <c r="BF54" i="7"/>
  <c r="BF49" i="7"/>
  <c r="BF55" i="7" l="1"/>
  <c r="BF243" i="7"/>
  <c r="BF247" i="7"/>
  <c r="BG56" i="7"/>
  <c r="BG86" i="4"/>
  <c r="BG256" i="7"/>
  <c r="BG235" i="7"/>
  <c r="BF221" i="7"/>
  <c r="BF225" i="7" s="1"/>
  <c r="BG220" i="7"/>
  <c r="BG221" i="7" s="1"/>
  <c r="BF227" i="7"/>
  <c r="BF229" i="7" l="1"/>
  <c r="BF253" i="7" s="1"/>
  <c r="BG227" i="7"/>
  <c r="BF256" i="7"/>
  <c r="BH219" i="7"/>
  <c r="BL219" i="7"/>
  <c r="BG225" i="7"/>
  <c r="BG11" i="3"/>
  <c r="BF56" i="7"/>
  <c r="BF86" i="4"/>
  <c r="BH189" i="7" l="1"/>
  <c r="BG229" i="7"/>
  <c r="BF252" i="7"/>
  <c r="BH35" i="7" l="1"/>
  <c r="BG252" i="7"/>
  <c r="BG253" i="7"/>
  <c r="BG238" i="7"/>
  <c r="BG233" i="7" l="1"/>
  <c r="BF238" i="7"/>
  <c r="BG250" i="7"/>
  <c r="BG236" i="7"/>
  <c r="BG274" i="7" s="1"/>
  <c r="BG45" i="2" s="1"/>
  <c r="BG251" i="7"/>
  <c r="BH37" i="7"/>
  <c r="BH39" i="7" s="1"/>
  <c r="BH246" i="7"/>
  <c r="BH257" i="7" s="1"/>
  <c r="BG239" i="7"/>
  <c r="BG230" i="7"/>
  <c r="BG278" i="7" l="1"/>
  <c r="BG78" i="7" s="1"/>
  <c r="BG43" i="2" s="1"/>
  <c r="BG279" i="7"/>
  <c r="BG79" i="7" s="1"/>
  <c r="BF233" i="7"/>
  <c r="BF250" i="7"/>
  <c r="BF236" i="7"/>
  <c r="BF274" i="7" s="1"/>
  <c r="BF251" i="7"/>
  <c r="BF230" i="7"/>
  <c r="BF239" i="7"/>
  <c r="BH41" i="7"/>
  <c r="BF278" i="7" l="1"/>
  <c r="BF78" i="7" s="1"/>
  <c r="BF279" i="7"/>
  <c r="BH75" i="7"/>
  <c r="BH201" i="7"/>
  <c r="BH43" i="7"/>
  <c r="BH47" i="7" l="1"/>
  <c r="BH198" i="7"/>
  <c r="BH264" i="7"/>
  <c r="BH266" i="7" l="1"/>
  <c r="BI261" i="7" s="1"/>
  <c r="BH204" i="7"/>
  <c r="BH218" i="7" s="1"/>
  <c r="BH220" i="7" s="1"/>
  <c r="BH235" i="7"/>
  <c r="BH54" i="7"/>
  <c r="BH49" i="7"/>
  <c r="BH55" i="7" l="1"/>
  <c r="BH243" i="7"/>
  <c r="BH247" i="7"/>
  <c r="BH221" i="7"/>
  <c r="BH227" i="7"/>
  <c r="BI219" i="7" l="1"/>
  <c r="BH225" i="7"/>
  <c r="BI189" i="7" s="1"/>
  <c r="BH56" i="7"/>
  <c r="BH86" i="4"/>
  <c r="BH229" i="7"/>
  <c r="BH256" i="7"/>
  <c r="BI35" i="7" l="1"/>
  <c r="BH252" i="7"/>
  <c r="BH238" i="7"/>
  <c r="BH253" i="7"/>
  <c r="BH233" i="7" l="1"/>
  <c r="BH250" i="7"/>
  <c r="BH236" i="7"/>
  <c r="BH274" i="7" s="1"/>
  <c r="BH230" i="7"/>
  <c r="BH239" i="7"/>
  <c r="BH251" i="7"/>
  <c r="BI37" i="7"/>
  <c r="BI39" i="7" s="1"/>
  <c r="BI246" i="7"/>
  <c r="BI257" i="7" s="1"/>
  <c r="BI41" i="7" l="1"/>
  <c r="BH279" i="7"/>
  <c r="BH278" i="7"/>
  <c r="BH78" i="7" s="1"/>
  <c r="BI75" i="7" l="1"/>
  <c r="BI201" i="7"/>
  <c r="BI43" i="7"/>
  <c r="BI198" i="7" l="1"/>
  <c r="BI47" i="7"/>
  <c r="BI264" i="7"/>
  <c r="BI49" i="7" l="1"/>
  <c r="BI54" i="7"/>
  <c r="BI266" i="7"/>
  <c r="BJ261" i="7" s="1"/>
  <c r="BI204" i="7"/>
  <c r="BI218" i="7" s="1"/>
  <c r="BI220" i="7" s="1"/>
  <c r="BI235" i="7"/>
  <c r="BI221" i="7" l="1"/>
  <c r="BI227" i="7"/>
  <c r="BI55" i="7"/>
  <c r="BI243" i="7"/>
  <c r="BI247" i="7"/>
  <c r="BI56" i="7" l="1"/>
  <c r="BI86" i="4"/>
  <c r="BI256" i="7"/>
  <c r="BI229" i="7"/>
  <c r="BJ219" i="7"/>
  <c r="BI225" i="7"/>
  <c r="BJ189" i="7" s="1"/>
  <c r="BJ35" i="7" l="1"/>
  <c r="BI252" i="7"/>
  <c r="BI238" i="7"/>
  <c r="BI253" i="7"/>
  <c r="BJ37" i="7" l="1"/>
  <c r="BJ39" i="7" s="1"/>
  <c r="BJ246" i="7"/>
  <c r="BJ257" i="7" s="1"/>
  <c r="BI233" i="7"/>
  <c r="BI250" i="7"/>
  <c r="BI236" i="7"/>
  <c r="BI274" i="7" s="1"/>
  <c r="BI239" i="7"/>
  <c r="BI230" i="7"/>
  <c r="BI251" i="7"/>
  <c r="BI279" i="7" l="1"/>
  <c r="BI278" i="7"/>
  <c r="BI78" i="7" s="1"/>
  <c r="BJ41" i="7"/>
  <c r="BJ43" i="7" s="1"/>
  <c r="BJ47" i="7" l="1"/>
  <c r="BJ198" i="7"/>
  <c r="BJ75" i="7"/>
  <c r="BJ201" i="7"/>
  <c r="BJ264" i="7" l="1"/>
  <c r="BJ204" i="7"/>
  <c r="BJ218" i="7" s="1"/>
  <c r="BJ220" i="7" s="1"/>
  <c r="BJ235" i="7"/>
  <c r="BJ54" i="7"/>
  <c r="BJ49" i="7"/>
  <c r="BJ55" i="7" l="1"/>
  <c r="BJ243" i="7"/>
  <c r="BJ247" i="7"/>
  <c r="BJ221" i="7"/>
  <c r="BJ227" i="7"/>
  <c r="BJ266" i="7"/>
  <c r="BK261" i="7" s="1"/>
  <c r="BJ229" i="7" l="1"/>
  <c r="BJ253" i="7" s="1"/>
  <c r="BK219" i="7"/>
  <c r="BJ225" i="7"/>
  <c r="BK189" i="7" s="1"/>
  <c r="BJ256" i="7"/>
  <c r="BJ56" i="7"/>
  <c r="BJ86" i="4"/>
  <c r="BK35" i="7" l="1"/>
  <c r="BL189" i="7"/>
  <c r="BJ252" i="7"/>
  <c r="BJ238" i="7"/>
  <c r="BJ233" i="7" l="1"/>
  <c r="BJ250" i="7"/>
  <c r="BJ236" i="7"/>
  <c r="BJ274" i="7" s="1"/>
  <c r="BJ230" i="7"/>
  <c r="BJ239" i="7"/>
  <c r="BJ251" i="7"/>
  <c r="BK37" i="7"/>
  <c r="BK39" i="7" s="1"/>
  <c r="BK41" i="7" s="1"/>
  <c r="BL35" i="7"/>
  <c r="BK246" i="7"/>
  <c r="BK257" i="7" s="1"/>
  <c r="BL37" i="7" l="1"/>
  <c r="BL39" i="7" s="1"/>
  <c r="BL246" i="7"/>
  <c r="BL257" i="7" s="1"/>
  <c r="BK75" i="7"/>
  <c r="BK201" i="7"/>
  <c r="BL41" i="7"/>
  <c r="BJ278" i="7"/>
  <c r="BJ78" i="7" s="1"/>
  <c r="BJ279" i="7"/>
  <c r="BL75" i="7" l="1"/>
  <c r="BK264" i="7"/>
  <c r="BL201" i="7"/>
  <c r="BL43" i="7"/>
  <c r="BK43" i="7" l="1"/>
  <c r="BL47" i="7"/>
  <c r="BL264" i="7"/>
  <c r="BL266" i="7" s="1"/>
  <c r="CF26" i="2" s="1"/>
  <c r="BK266" i="7"/>
  <c r="BM261" i="7" l="1"/>
  <c r="BQ261" i="7"/>
  <c r="BL54" i="7"/>
  <c r="BL49" i="7"/>
  <c r="BL268" i="7"/>
  <c r="BK198" i="7"/>
  <c r="BK47" i="7"/>
  <c r="BK49" i="7" l="1"/>
  <c r="BK54" i="7"/>
  <c r="BL55" i="7"/>
  <c r="BL243" i="7"/>
  <c r="BL247" i="7"/>
  <c r="BK204" i="7"/>
  <c r="BK218" i="7" s="1"/>
  <c r="BK220" i="7" s="1"/>
  <c r="BL198" i="7"/>
  <c r="BL204" i="7" s="1"/>
  <c r="BL218" i="7" s="1"/>
  <c r="BK235" i="7"/>
  <c r="BL235" i="7" l="1"/>
  <c r="BK221" i="7"/>
  <c r="BK225" i="7" s="1"/>
  <c r="BL220" i="7"/>
  <c r="BL221" i="7" s="1"/>
  <c r="BK227" i="7"/>
  <c r="BL256" i="7"/>
  <c r="BL56" i="7"/>
  <c r="BL86" i="4"/>
  <c r="BK55" i="7"/>
  <c r="BK243" i="7"/>
  <c r="BK247" i="7"/>
  <c r="BL225" i="7" l="1"/>
  <c r="BQ219" i="7"/>
  <c r="BM219" i="7"/>
  <c r="BK56" i="7"/>
  <c r="BK86" i="4"/>
  <c r="BK256" i="7"/>
  <c r="BL11" i="3"/>
  <c r="BL227" i="7"/>
  <c r="BK229" i="7"/>
  <c r="BL229" i="7" l="1"/>
  <c r="BL238" i="7" s="1"/>
  <c r="BK238" i="7" s="1"/>
  <c r="BK251" i="7" s="1"/>
  <c r="BM189" i="7"/>
  <c r="BK252" i="7"/>
  <c r="BK253" i="7"/>
  <c r="BL230" i="7" l="1"/>
  <c r="BL250" i="7"/>
  <c r="BL253" i="7"/>
  <c r="BL239" i="7"/>
  <c r="BL233" i="7"/>
  <c r="BL251" i="7"/>
  <c r="BL252" i="7"/>
  <c r="BL236" i="7"/>
  <c r="BL274" i="7" s="1"/>
  <c r="BL45" i="2" s="1"/>
  <c r="BM35" i="7"/>
  <c r="BK233" i="7"/>
  <c r="BK250" i="7"/>
  <c r="BK236" i="7"/>
  <c r="BK274" i="7" s="1"/>
  <c r="BK239" i="7"/>
  <c r="BK230" i="7"/>
  <c r="BL279" i="7" l="1"/>
  <c r="BL79" i="7" s="1"/>
  <c r="BM37" i="7"/>
  <c r="BM39" i="7" s="1"/>
  <c r="BM246" i="7"/>
  <c r="BM257" i="7" s="1"/>
  <c r="BL278" i="7"/>
  <c r="BL78" i="7" s="1"/>
  <c r="BL43" i="2" s="1"/>
  <c r="BK279" i="7"/>
  <c r="BK278" i="7"/>
  <c r="BK78" i="7" s="1"/>
  <c r="AV115" i="5"/>
  <c r="BA85" i="8"/>
  <c r="BF85" i="8" s="1"/>
  <c r="BA104" i="8"/>
  <c r="BA12" i="8" s="1"/>
  <c r="BA20" i="4" s="1"/>
  <c r="BB20" i="4" s="1"/>
  <c r="BA107" i="8"/>
  <c r="BA14" i="8" s="1"/>
  <c r="BB14" i="8" s="1"/>
  <c r="BA110" i="8"/>
  <c r="BA15" i="8" s="1"/>
  <c r="BB15" i="8" s="1"/>
  <c r="BA22" i="4"/>
  <c r="BB22" i="4" s="1"/>
  <c r="BU22" i="4" s="1"/>
  <c r="BM41" i="7" l="1"/>
  <c r="BA23" i="4"/>
  <c r="BB23" i="4" s="1"/>
  <c r="BF110" i="8"/>
  <c r="BF15" i="8" s="1"/>
  <c r="BG15" i="8" s="1"/>
  <c r="BF107" i="8"/>
  <c r="BF14" i="8" s="1"/>
  <c r="BG14" i="8" s="1"/>
  <c r="BF104" i="8"/>
  <c r="BB110" i="8"/>
  <c r="BB111" i="8" s="1"/>
  <c r="BG104" i="8"/>
  <c r="BB104" i="8"/>
  <c r="BB105" i="8" s="1"/>
  <c r="BA89" i="8"/>
  <c r="BA91" i="8"/>
  <c r="BF91" i="8" s="1"/>
  <c r="BF76" i="8" s="1"/>
  <c r="BA87" i="8"/>
  <c r="BA96" i="8" s="1"/>
  <c r="BA9" i="8" s="1"/>
  <c r="BF89" i="8"/>
  <c r="BK85" i="8"/>
  <c r="BF87" i="8"/>
  <c r="BF96" i="8" s="1"/>
  <c r="BF9" i="8" s="1"/>
  <c r="BU20" i="4"/>
  <c r="BB12" i="8"/>
  <c r="BB107" i="8"/>
  <c r="BB108" i="8" s="1"/>
  <c r="BG85" i="8"/>
  <c r="BB85" i="8"/>
  <c r="BF23" i="4" l="1"/>
  <c r="BG23" i="4" s="1"/>
  <c r="BG107" i="8"/>
  <c r="BK107" i="8"/>
  <c r="BF22" i="4"/>
  <c r="BG22" i="4" s="1"/>
  <c r="BL85" i="8"/>
  <c r="BL89" i="8" s="1"/>
  <c r="BP85" i="8"/>
  <c r="BM75" i="7"/>
  <c r="BM201" i="7"/>
  <c r="BM43" i="7"/>
  <c r="BG110" i="8"/>
  <c r="BK110" i="8"/>
  <c r="BP110" i="8" s="1"/>
  <c r="BA76" i="8"/>
  <c r="BB76" i="8" s="1"/>
  <c r="BB78" i="8" s="1"/>
  <c r="BF12" i="8"/>
  <c r="BK104" i="8"/>
  <c r="BP104" i="8" s="1"/>
  <c r="BB96" i="8"/>
  <c r="BG105" i="8"/>
  <c r="BG111" i="8"/>
  <c r="BG108" i="8"/>
  <c r="BG76" i="8"/>
  <c r="BG78" i="8" s="1"/>
  <c r="BF78" i="8"/>
  <c r="BF8" i="8" s="1"/>
  <c r="BG96" i="8"/>
  <c r="BB9" i="8"/>
  <c r="BA13" i="4"/>
  <c r="BK87" i="8"/>
  <c r="BK96" i="8" s="1"/>
  <c r="BK89" i="8"/>
  <c r="BK91" i="8"/>
  <c r="BG9" i="8"/>
  <c r="BF13" i="4"/>
  <c r="BG87" i="8"/>
  <c r="BG89" i="8"/>
  <c r="BB87" i="8"/>
  <c r="BB89" i="8"/>
  <c r="BL87" i="8"/>
  <c r="BP15" i="8" l="1"/>
  <c r="BQ110" i="8"/>
  <c r="BQ111" i="8" s="1"/>
  <c r="BP12" i="8"/>
  <c r="BQ104" i="8"/>
  <c r="BQ105" i="8" s="1"/>
  <c r="BK14" i="8"/>
  <c r="BP107" i="8"/>
  <c r="BL107" i="8"/>
  <c r="BL108" i="8" s="1"/>
  <c r="BB91" i="8"/>
  <c r="BF99" i="8"/>
  <c r="BP89" i="8"/>
  <c r="BP87" i="8"/>
  <c r="BP96" i="8" s="1"/>
  <c r="BQ85" i="8"/>
  <c r="BK76" i="8"/>
  <c r="BK78" i="8" s="1"/>
  <c r="BP91" i="8"/>
  <c r="BP76" i="8" s="1"/>
  <c r="BM47" i="7"/>
  <c r="BM198" i="7"/>
  <c r="BM264" i="7"/>
  <c r="BK15" i="8"/>
  <c r="BL110" i="8"/>
  <c r="BL111" i="8" s="1"/>
  <c r="BB97" i="8"/>
  <c r="BB99" i="8"/>
  <c r="BB100" i="8" s="1"/>
  <c r="BK12" i="8"/>
  <c r="BL104" i="8"/>
  <c r="BL105" i="8" s="1"/>
  <c r="BA78" i="8"/>
  <c r="BA8" i="8" s="1"/>
  <c r="BA10" i="8" s="1"/>
  <c r="BF20" i="4"/>
  <c r="BG20" i="4" s="1"/>
  <c r="BG12" i="8"/>
  <c r="BG97" i="8"/>
  <c r="BG99" i="8"/>
  <c r="BG91" i="8"/>
  <c r="BB13" i="4"/>
  <c r="BB16" i="4" s="1"/>
  <c r="BA16" i="4"/>
  <c r="BG13" i="4"/>
  <c r="BG16" i="4" s="1"/>
  <c r="BF16" i="4"/>
  <c r="BK9" i="8"/>
  <c r="BL96" i="8"/>
  <c r="BL97" i="8" s="1"/>
  <c r="BG8" i="8"/>
  <c r="BF10" i="8"/>
  <c r="BF8" i="4"/>
  <c r="BQ12" i="8" l="1"/>
  <c r="BP20" i="4"/>
  <c r="BQ20" i="4" s="1"/>
  <c r="BQ15" i="8"/>
  <c r="BP23" i="4"/>
  <c r="BQ23" i="4" s="1"/>
  <c r="BP14" i="8"/>
  <c r="BQ107" i="8"/>
  <c r="BQ108" i="8" s="1"/>
  <c r="BL14" i="8"/>
  <c r="BK22" i="4"/>
  <c r="BL22" i="4" s="1"/>
  <c r="BL76" i="8"/>
  <c r="BL78" i="8" s="1"/>
  <c r="BL99" i="8" s="1"/>
  <c r="BL100" i="8" s="1"/>
  <c r="BQ87" i="8"/>
  <c r="BQ89" i="8"/>
  <c r="BP9" i="8"/>
  <c r="BQ96" i="8"/>
  <c r="BB8" i="8"/>
  <c r="BB10" i="8" s="1"/>
  <c r="BP78" i="8"/>
  <c r="BQ76" i="8"/>
  <c r="BM266" i="7"/>
  <c r="BN261" i="7" s="1"/>
  <c r="BM54" i="7"/>
  <c r="BM49" i="7"/>
  <c r="BM204" i="7"/>
  <c r="BM218" i="7" s="1"/>
  <c r="BM220" i="7" s="1"/>
  <c r="BM235" i="7"/>
  <c r="BG100" i="8"/>
  <c r="BL15" i="8"/>
  <c r="BK23" i="4"/>
  <c r="BL23" i="4" s="1"/>
  <c r="BA8" i="4"/>
  <c r="BB8" i="4" s="1"/>
  <c r="BK20" i="4"/>
  <c r="BL20" i="4" s="1"/>
  <c r="BL12" i="8"/>
  <c r="BA99" i="8"/>
  <c r="BL9" i="8"/>
  <c r="BK13" i="4"/>
  <c r="BK8" i="8"/>
  <c r="BK99" i="8"/>
  <c r="BK100" i="8" s="1"/>
  <c r="BL91" i="8"/>
  <c r="BG10" i="8"/>
  <c r="BG8" i="4"/>
  <c r="BQ14" i="8" l="1"/>
  <c r="BP22" i="4"/>
  <c r="BQ22" i="4" s="1"/>
  <c r="BQ97" i="8"/>
  <c r="BQ91" i="8"/>
  <c r="BQ78" i="8"/>
  <c r="BQ99" i="8" s="1"/>
  <c r="BQ100" i="8" s="1"/>
  <c r="BQ9" i="8"/>
  <c r="BP13" i="4"/>
  <c r="BP8" i="8"/>
  <c r="BP99" i="8"/>
  <c r="BP100" i="8" s="1"/>
  <c r="BM221" i="7"/>
  <c r="BM227" i="7"/>
  <c r="BM247" i="7"/>
  <c r="BM55" i="7"/>
  <c r="BM243" i="7"/>
  <c r="BA100" i="8"/>
  <c r="BF100" i="8"/>
  <c r="BL8" i="8"/>
  <c r="BK8" i="4"/>
  <c r="BL8" i="4" s="1"/>
  <c r="BK10" i="8"/>
  <c r="BL13" i="4"/>
  <c r="BL16" i="4" s="1"/>
  <c r="BK16" i="4"/>
  <c r="BP10" i="8" l="1"/>
  <c r="BQ8" i="8"/>
  <c r="BQ10" i="8" s="1"/>
  <c r="BP8" i="4"/>
  <c r="BP16" i="4"/>
  <c r="BQ13" i="4"/>
  <c r="BQ16" i="4" s="1"/>
  <c r="BM56" i="7"/>
  <c r="BM86" i="4"/>
  <c r="BM229" i="7"/>
  <c r="BM256" i="7"/>
  <c r="BM225" i="7"/>
  <c r="BN189" i="7" s="1"/>
  <c r="BN219" i="7"/>
  <c r="BL10" i="8"/>
  <c r="BQ8" i="4" l="1"/>
  <c r="BN35" i="7"/>
  <c r="BM252" i="7"/>
  <c r="BM238" i="7"/>
  <c r="BM253" i="7"/>
  <c r="AX180" i="8"/>
  <c r="BB180" i="8"/>
  <c r="AX150" i="8"/>
  <c r="BM233" i="7" l="1"/>
  <c r="BM250" i="7"/>
  <c r="BM236" i="7"/>
  <c r="BM274" i="7" s="1"/>
  <c r="BM230" i="7"/>
  <c r="BN37" i="7"/>
  <c r="BN39" i="7" s="1"/>
  <c r="BN246" i="7"/>
  <c r="BN257" i="7" s="1"/>
  <c r="BM251" i="7"/>
  <c r="BM239" i="7"/>
  <c r="AX189" i="8"/>
  <c r="E165" i="10"/>
  <c r="BN41" i="7" l="1"/>
  <c r="BN43" i="7" s="1"/>
  <c r="BM279" i="7"/>
  <c r="BM278" i="7"/>
  <c r="BM78" i="7" s="1"/>
  <c r="CW165" i="10"/>
  <c r="CY165" i="10"/>
  <c r="DA165" i="10"/>
  <c r="DC165" i="10"/>
  <c r="CV165" i="10"/>
  <c r="CX165" i="10"/>
  <c r="DB165" i="10"/>
  <c r="DD165" i="10"/>
  <c r="CZ165" i="10"/>
  <c r="AQ165" i="10"/>
  <c r="AS165" i="10"/>
  <c r="AU165" i="10"/>
  <c r="AR165" i="10"/>
  <c r="AT165" i="10"/>
  <c r="AY189" i="8"/>
  <c r="BN198" i="7" l="1"/>
  <c r="BN47" i="7"/>
  <c r="BN201" i="7"/>
  <c r="BN75" i="7"/>
  <c r="AZ189" i="8"/>
  <c r="AR11" i="10"/>
  <c r="AR12" i="10" s="1"/>
  <c r="AR167" i="10"/>
  <c r="AS11" i="10"/>
  <c r="AS12" i="10" s="1"/>
  <c r="AS167" i="10"/>
  <c r="AW234" i="8"/>
  <c r="CZ11" i="10"/>
  <c r="CZ167" i="10"/>
  <c r="DB11" i="10"/>
  <c r="DB167" i="10"/>
  <c r="AY152" i="8"/>
  <c r="CV11" i="10"/>
  <c r="CV12" i="10" s="1"/>
  <c r="CV167" i="10"/>
  <c r="DC11" i="10"/>
  <c r="DC167" i="10"/>
  <c r="AZ152" i="8"/>
  <c r="CY11" i="10"/>
  <c r="CY12" i="10" s="1"/>
  <c r="CY167" i="10"/>
  <c r="AT11" i="10"/>
  <c r="AT12" i="10" s="1"/>
  <c r="AT167" i="10"/>
  <c r="AU11" i="10"/>
  <c r="AU12" i="10" s="1"/>
  <c r="AU167" i="10"/>
  <c r="AQ11" i="10"/>
  <c r="AQ12" i="10" s="1"/>
  <c r="AQ167" i="10"/>
  <c r="DD11" i="10"/>
  <c r="DD167" i="10"/>
  <c r="BA152" i="8"/>
  <c r="CX11" i="10"/>
  <c r="CX12" i="10" s="1"/>
  <c r="CX167" i="10"/>
  <c r="DE165" i="10"/>
  <c r="DA11" i="10"/>
  <c r="DA167" i="10"/>
  <c r="AX152" i="8"/>
  <c r="AX27" i="8" s="1"/>
  <c r="CW11" i="10"/>
  <c r="CW12" i="10" s="1"/>
  <c r="CW167" i="10"/>
  <c r="BN49" i="7" l="1"/>
  <c r="BN54" i="7"/>
  <c r="BN264" i="7"/>
  <c r="BN204" i="7"/>
  <c r="BN218" i="7" s="1"/>
  <c r="BN220" i="7" s="1"/>
  <c r="BN235" i="7"/>
  <c r="DO165" i="10"/>
  <c r="DJ165" i="10"/>
  <c r="DD12" i="10"/>
  <c r="BA109" i="4"/>
  <c r="DB12" i="10"/>
  <c r="AY109" i="4"/>
  <c r="AX207" i="8"/>
  <c r="DA12" i="10"/>
  <c r="AX109" i="4"/>
  <c r="AX111" i="4" s="1"/>
  <c r="AX42" i="4" s="1"/>
  <c r="DE11" i="10"/>
  <c r="DE167" i="10"/>
  <c r="BB152" i="8"/>
  <c r="DC12" i="10"/>
  <c r="AZ109" i="4"/>
  <c r="CZ12" i="10"/>
  <c r="AV234" i="8"/>
  <c r="BA189" i="8"/>
  <c r="BN221" i="7" l="1"/>
  <c r="BN227" i="7"/>
  <c r="BN266" i="7"/>
  <c r="BO261" i="7" s="1"/>
  <c r="BN55" i="7"/>
  <c r="BN243" i="7"/>
  <c r="BN256" i="7" s="1"/>
  <c r="BN247" i="7"/>
  <c r="DE12" i="10"/>
  <c r="BB109" i="4"/>
  <c r="DJ11" i="10"/>
  <c r="DJ12" i="10" s="1"/>
  <c r="DJ167" i="10"/>
  <c r="BG152" i="8"/>
  <c r="BB189" i="8"/>
  <c r="AX236" i="4"/>
  <c r="DO11" i="10"/>
  <c r="DO12" i="10" s="1"/>
  <c r="DO167" i="10"/>
  <c r="BL152" i="8"/>
  <c r="BN229" i="7" l="1"/>
  <c r="BO219" i="7"/>
  <c r="BN225" i="7"/>
  <c r="BO189" i="7" s="1"/>
  <c r="BN86" i="4"/>
  <c r="BN56" i="7"/>
  <c r="BC189" i="8"/>
  <c r="BO35" i="7" l="1"/>
  <c r="BN253" i="7"/>
  <c r="BN252" i="7"/>
  <c r="BN238" i="7"/>
  <c r="BN230" i="7" s="1"/>
  <c r="BD189" i="8"/>
  <c r="BO37" i="7" l="1"/>
  <c r="BO39" i="7" s="1"/>
  <c r="BO246" i="7"/>
  <c r="BO257" i="7" s="1"/>
  <c r="BN251" i="7"/>
  <c r="BN233" i="7"/>
  <c r="BN250" i="7"/>
  <c r="BN236" i="7"/>
  <c r="BN274" i="7" s="1"/>
  <c r="BN239" i="7"/>
  <c r="BE189" i="8"/>
  <c r="BO41" i="7" l="1"/>
  <c r="BN279" i="7"/>
  <c r="BN278" i="7"/>
  <c r="BN78" i="7" s="1"/>
  <c r="BF189" i="8"/>
  <c r="BO201" i="7" l="1"/>
  <c r="BO75" i="7"/>
  <c r="BO43" i="7"/>
  <c r="BG189" i="8"/>
  <c r="BO264" i="7" l="1"/>
  <c r="BO47" i="7"/>
  <c r="BO198" i="7"/>
  <c r="BH189" i="8"/>
  <c r="BO204" i="7" l="1"/>
  <c r="BO218" i="7" s="1"/>
  <c r="BO220" i="7" s="1"/>
  <c r="BO235" i="7"/>
  <c r="BO266" i="7"/>
  <c r="BP261" i="7" s="1"/>
  <c r="BO54" i="7"/>
  <c r="BO49" i="7"/>
  <c r="BI189" i="8"/>
  <c r="BO55" i="7" l="1"/>
  <c r="BO247" i="7"/>
  <c r="BO243" i="7"/>
  <c r="BO221" i="7"/>
  <c r="BO227" i="7"/>
  <c r="BJ189" i="8"/>
  <c r="BO86" i="4" l="1"/>
  <c r="BO56" i="7"/>
  <c r="BO229" i="7"/>
  <c r="BO225" i="7"/>
  <c r="BP189" i="7" s="1"/>
  <c r="BP219" i="7"/>
  <c r="BO256" i="7"/>
  <c r="BK189" i="8"/>
  <c r="BP35" i="7" l="1"/>
  <c r="BQ189" i="7"/>
  <c r="BO238" i="7"/>
  <c r="BO251" i="7" s="1"/>
  <c r="BO252" i="7"/>
  <c r="BO253" i="7"/>
  <c r="BL189" i="8"/>
  <c r="BM189" i="8" s="1"/>
  <c r="BO230" i="7" l="1"/>
  <c r="BO239" i="7"/>
  <c r="BN189" i="8"/>
  <c r="BO236" i="7"/>
  <c r="BO274" i="7" s="1"/>
  <c r="BO233" i="7"/>
  <c r="BO250" i="7"/>
  <c r="BP37" i="7"/>
  <c r="BP39" i="7" s="1"/>
  <c r="BP41" i="7" s="1"/>
  <c r="BP246" i="7"/>
  <c r="BP257" i="7" s="1"/>
  <c r="BQ35" i="7"/>
  <c r="AS125" i="8"/>
  <c r="AT125" i="8"/>
  <c r="AU125" i="8"/>
  <c r="AV125" i="8"/>
  <c r="AW125" i="8"/>
  <c r="AX125" i="8" s="1"/>
  <c r="AX120" i="8" s="1"/>
  <c r="AW128" i="8"/>
  <c r="BU95" i="4" s="1"/>
  <c r="BU98" i="4" s="1"/>
  <c r="AV223" i="8"/>
  <c r="AW223" i="8" s="1"/>
  <c r="AW227" i="8" s="1"/>
  <c r="CC27" i="2" s="1"/>
  <c r="CC29" i="2" s="1"/>
  <c r="CC32" i="2" s="1"/>
  <c r="CC34" i="2" s="1"/>
  <c r="CC36" i="2" s="1"/>
  <c r="CC39" i="2" s="1"/>
  <c r="CC45" i="2" s="1"/>
  <c r="CC47" i="2" s="1"/>
  <c r="CC49" i="2" s="1"/>
  <c r="AV227" i="8"/>
  <c r="AV239" i="8" s="1"/>
  <c r="AV95" i="4"/>
  <c r="AV98" i="4" s="1"/>
  <c r="AW95" i="4"/>
  <c r="AW98" i="4" s="1"/>
  <c r="BQ37" i="7" l="1"/>
  <c r="BQ39" i="7" s="1"/>
  <c r="BQ246" i="7"/>
  <c r="BQ257" i="7" s="1"/>
  <c r="BP201" i="7"/>
  <c r="BQ201" i="7" s="1"/>
  <c r="BP75" i="7"/>
  <c r="BQ41" i="7"/>
  <c r="BO278" i="7"/>
  <c r="BO78" i="7" s="1"/>
  <c r="BO279" i="7"/>
  <c r="BO189" i="8"/>
  <c r="AV238" i="8"/>
  <c r="AV66" i="8" s="1"/>
  <c r="AX222" i="8"/>
  <c r="BB222" i="8"/>
  <c r="AW239" i="8"/>
  <c r="AW67" i="8" s="1"/>
  <c r="AW229" i="8"/>
  <c r="AW238" i="8"/>
  <c r="AW66" i="8" s="1"/>
  <c r="AX116" i="8"/>
  <c r="AX137" i="8"/>
  <c r="AX140" i="8"/>
  <c r="AY125" i="8"/>
  <c r="BQ75" i="7" l="1"/>
  <c r="BP189" i="8"/>
  <c r="BP264" i="7"/>
  <c r="BQ43" i="7"/>
  <c r="AY120" i="8"/>
  <c r="AY116" i="8" s="1"/>
  <c r="AZ125" i="8"/>
  <c r="AX20" i="8"/>
  <c r="AX28" i="8"/>
  <c r="AX118" i="8"/>
  <c r="AY122" i="8" s="1"/>
  <c r="BQ47" i="7" l="1"/>
  <c r="BP43" i="7"/>
  <c r="BQ264" i="7"/>
  <c r="BQ266" i="7" s="1"/>
  <c r="BP266" i="7"/>
  <c r="BQ189" i="8"/>
  <c r="AY13" i="8"/>
  <c r="AY117" i="8"/>
  <c r="AX22" i="8"/>
  <c r="AX24" i="8" s="1"/>
  <c r="AX161" i="8"/>
  <c r="AX34" i="4"/>
  <c r="AX168" i="8"/>
  <c r="AX29" i="8"/>
  <c r="AX43" i="4"/>
  <c r="AZ120" i="8"/>
  <c r="AZ116" i="8" s="1"/>
  <c r="BA125" i="8"/>
  <c r="AY137" i="8"/>
  <c r="AY140" i="8"/>
  <c r="BQ268" i="7" l="1"/>
  <c r="CG26" i="2"/>
  <c r="BP198" i="7"/>
  <c r="BP47" i="7"/>
  <c r="BQ54" i="7"/>
  <c r="BQ49" i="7"/>
  <c r="AY28" i="8"/>
  <c r="BA120" i="8"/>
  <c r="BB125" i="8"/>
  <c r="BC125" i="8" s="1"/>
  <c r="AX37" i="4"/>
  <c r="AX39" i="4" s="1"/>
  <c r="AX136" i="4"/>
  <c r="AY16" i="8"/>
  <c r="AY18" i="8" s="1"/>
  <c r="AY160" i="8"/>
  <c r="AY224" i="8"/>
  <c r="AY21" i="4"/>
  <c r="AY20" i="8"/>
  <c r="AZ137" i="8"/>
  <c r="AZ20" i="8" s="1"/>
  <c r="AZ140" i="8"/>
  <c r="AZ28" i="8" s="1"/>
  <c r="AZ43" i="4" s="1"/>
  <c r="AX170" i="8"/>
  <c r="AX143" i="4"/>
  <c r="AX25" i="8"/>
  <c r="AX31" i="8"/>
  <c r="AX205" i="8"/>
  <c r="AX218" i="8" s="1"/>
  <c r="AY118" i="8"/>
  <c r="AZ122" i="8" s="1"/>
  <c r="AZ117" i="8" s="1"/>
  <c r="AZ118" i="8" s="1"/>
  <c r="BA122" i="8" s="1"/>
  <c r="BA13" i="8" s="1"/>
  <c r="AX44" i="4"/>
  <c r="AX25" i="9" s="1"/>
  <c r="BA116" i="8"/>
  <c r="BP54" i="7" l="1"/>
  <c r="BP49" i="7"/>
  <c r="BQ55" i="7"/>
  <c r="BQ243" i="7"/>
  <c r="BQ247" i="7"/>
  <c r="BP204" i="7"/>
  <c r="BP218" i="7" s="1"/>
  <c r="BP220" i="7" s="1"/>
  <c r="BQ198" i="7"/>
  <c r="BQ204" i="7" s="1"/>
  <c r="BQ218" i="7" s="1"/>
  <c r="BP235" i="7"/>
  <c r="BA16" i="8"/>
  <c r="BA18" i="8" s="1"/>
  <c r="BA160" i="8"/>
  <c r="BA224" i="8"/>
  <c r="BA21" i="4"/>
  <c r="AX27" i="9"/>
  <c r="AX206" i="8"/>
  <c r="AZ13" i="8"/>
  <c r="BB122" i="8"/>
  <c r="AX33" i="8"/>
  <c r="AX35" i="8" s="1"/>
  <c r="AY24" i="4"/>
  <c r="AY31" i="4" s="1"/>
  <c r="AY135" i="4"/>
  <c r="AX40" i="4"/>
  <c r="AX46" i="4"/>
  <c r="AX234" i="4"/>
  <c r="AX247" i="4" s="1"/>
  <c r="BC120" i="8"/>
  <c r="BD125" i="8"/>
  <c r="BB116" i="8"/>
  <c r="BA117" i="8"/>
  <c r="BB117" i="8" s="1"/>
  <c r="AX145" i="4"/>
  <c r="AZ22" i="8"/>
  <c r="AZ161" i="8"/>
  <c r="AZ34" i="4"/>
  <c r="AZ168" i="8"/>
  <c r="AY22" i="8"/>
  <c r="AY168" i="8"/>
  <c r="AY161" i="8"/>
  <c r="AY34" i="4"/>
  <c r="AY24" i="8"/>
  <c r="AY28" i="4"/>
  <c r="AX172" i="4"/>
  <c r="BA137" i="8"/>
  <c r="BA20" i="8" s="1"/>
  <c r="BA140" i="8"/>
  <c r="BA28" i="8" s="1"/>
  <c r="BA43" i="4" s="1"/>
  <c r="BB120" i="8"/>
  <c r="AY43" i="4"/>
  <c r="BQ235" i="7" l="1"/>
  <c r="BP221" i="7"/>
  <c r="BP225" i="7" s="1"/>
  <c r="BQ220" i="7"/>
  <c r="BQ221" i="7" s="1"/>
  <c r="BQ225" i="7" s="1"/>
  <c r="BP227" i="7"/>
  <c r="BQ256" i="7"/>
  <c r="BP55" i="7"/>
  <c r="BP243" i="7"/>
  <c r="BP247" i="7"/>
  <c r="BQ86" i="4"/>
  <c r="BQ11" i="3" s="1"/>
  <c r="BQ56" i="7"/>
  <c r="BB28" i="8"/>
  <c r="BA118" i="8"/>
  <c r="BB43" i="4"/>
  <c r="AX176" i="4"/>
  <c r="AY27" i="3"/>
  <c r="AY32" i="4"/>
  <c r="AY37" i="4"/>
  <c r="AY39" i="4" s="1"/>
  <c r="AY136" i="4"/>
  <c r="AY143" i="4"/>
  <c r="AY170" i="8"/>
  <c r="AZ170" i="8"/>
  <c r="AZ143" i="4"/>
  <c r="AZ145" i="4" s="1"/>
  <c r="BC116" i="8"/>
  <c r="BB118" i="8"/>
  <c r="BC122" i="8" s="1"/>
  <c r="BD120" i="8"/>
  <c r="BE125" i="8"/>
  <c r="AX48" i="4"/>
  <c r="AY173" i="4"/>
  <c r="AX39" i="8"/>
  <c r="AX159" i="8"/>
  <c r="BA24" i="4"/>
  <c r="BA135" i="4"/>
  <c r="BA22" i="8"/>
  <c r="BA24" i="8" s="1"/>
  <c r="BA168" i="8"/>
  <c r="BA161" i="8"/>
  <c r="BB161" i="8" s="1"/>
  <c r="BA34" i="4"/>
  <c r="AY25" i="8"/>
  <c r="AY205" i="8"/>
  <c r="BB20" i="8"/>
  <c r="BB22" i="8" s="1"/>
  <c r="AZ37" i="4"/>
  <c r="AZ136" i="4"/>
  <c r="BB140" i="8"/>
  <c r="BB141" i="8" s="1"/>
  <c r="BC137" i="8"/>
  <c r="BC140" i="8"/>
  <c r="AX235" i="4"/>
  <c r="BB137" i="8"/>
  <c r="BB138" i="8" s="1"/>
  <c r="AX63" i="8"/>
  <c r="AX162" i="8"/>
  <c r="AZ16" i="8"/>
  <c r="AZ18" i="8" s="1"/>
  <c r="AZ224" i="8"/>
  <c r="BB224" i="8" s="1"/>
  <c r="AZ21" i="4"/>
  <c r="AZ160" i="8"/>
  <c r="BB160" i="8" s="1"/>
  <c r="BB13" i="8"/>
  <c r="BB16" i="8" s="1"/>
  <c r="BB18" i="8" s="1"/>
  <c r="BA28" i="4"/>
  <c r="BP86" i="4" l="1"/>
  <c r="BP56" i="7"/>
  <c r="BP256" i="7"/>
  <c r="BQ227" i="7"/>
  <c r="BQ229" i="7" s="1"/>
  <c r="BQ238" i="7" s="1"/>
  <c r="BQ236" i="7" s="1"/>
  <c r="BQ274" i="7" s="1"/>
  <c r="BQ45" i="2" s="1"/>
  <c r="BP229" i="7"/>
  <c r="BB24" i="8"/>
  <c r="BB205" i="8" s="1"/>
  <c r="AY40" i="4"/>
  <c r="AY234" i="4"/>
  <c r="BA27" i="3"/>
  <c r="BB25" i="8"/>
  <c r="AZ24" i="4"/>
  <c r="AZ31" i="4" s="1"/>
  <c r="AZ39" i="4" s="1"/>
  <c r="AZ234" i="4" s="1"/>
  <c r="AZ135" i="4"/>
  <c r="BB135" i="4" s="1"/>
  <c r="BB21" i="4"/>
  <c r="AZ24" i="8"/>
  <c r="AZ28" i="4"/>
  <c r="BC28" i="8"/>
  <c r="AY206" i="8"/>
  <c r="BA37" i="4"/>
  <c r="BA136" i="4"/>
  <c r="BB136" i="4" s="1"/>
  <c r="BA143" i="4"/>
  <c r="BA145" i="4" s="1"/>
  <c r="BA170" i="8"/>
  <c r="AX165" i="8"/>
  <c r="AX179" i="8" s="1"/>
  <c r="AX181" i="8" s="1"/>
  <c r="AX196" i="8"/>
  <c r="AX29" i="9"/>
  <c r="AX117" i="4"/>
  <c r="BE120" i="8"/>
  <c r="BF125" i="8"/>
  <c r="BC13" i="8"/>
  <c r="BC117" i="8"/>
  <c r="BC118" i="8" s="1"/>
  <c r="BD122" i="8" s="1"/>
  <c r="BD13" i="8" s="1"/>
  <c r="BB34" i="4"/>
  <c r="BA25" i="8"/>
  <c r="AX225" i="8"/>
  <c r="AX137" i="4"/>
  <c r="BC20" i="8"/>
  <c r="BB124" i="8"/>
  <c r="AX46" i="8"/>
  <c r="AX41" i="8"/>
  <c r="AX50" i="4"/>
  <c r="AX54" i="4" s="1"/>
  <c r="BD137" i="8"/>
  <c r="BD20" i="8" s="1"/>
  <c r="BD140" i="8"/>
  <c r="BD28" i="8" s="1"/>
  <c r="BD43" i="4" s="1"/>
  <c r="BD116" i="8"/>
  <c r="BB168" i="8"/>
  <c r="BB170" i="8" s="1"/>
  <c r="AY145" i="4"/>
  <c r="AY30" i="3"/>
  <c r="AY56" i="3" s="1"/>
  <c r="AY172" i="4"/>
  <c r="BB143" i="4" l="1"/>
  <c r="DT58" i="3" s="1"/>
  <c r="AZ173" i="4"/>
  <c r="BA173" i="4" s="1"/>
  <c r="BB173" i="4" s="1"/>
  <c r="BQ279" i="7"/>
  <c r="BQ79" i="7" s="1"/>
  <c r="BQ278" i="7"/>
  <c r="BQ78" i="7" s="1"/>
  <c r="BQ43" i="2" s="1"/>
  <c r="BP252" i="7"/>
  <c r="BP253" i="7"/>
  <c r="BQ233" i="7"/>
  <c r="BP238" i="7"/>
  <c r="BP251" i="7" s="1"/>
  <c r="BQ250" i="7"/>
  <c r="BQ252" i="7"/>
  <c r="BQ239" i="7"/>
  <c r="BQ230" i="7"/>
  <c r="BQ251" i="7"/>
  <c r="BQ253" i="7"/>
  <c r="BE116" i="8"/>
  <c r="AY33" i="3"/>
  <c r="BD16" i="8"/>
  <c r="BD18" i="8" s="1"/>
  <c r="BD224" i="8"/>
  <c r="BD21" i="4"/>
  <c r="BD160" i="8"/>
  <c r="AX56" i="4"/>
  <c r="AX204" i="4"/>
  <c r="AX62" i="4"/>
  <c r="AX134" i="4"/>
  <c r="AX251" i="4"/>
  <c r="AX204" i="8"/>
  <c r="AX47" i="8"/>
  <c r="AX208" i="8"/>
  <c r="AX56" i="9"/>
  <c r="AX195" i="4"/>
  <c r="BD117" i="8"/>
  <c r="BC16" i="8"/>
  <c r="BC18" i="8" s="1"/>
  <c r="BC160" i="8"/>
  <c r="BC224" i="8"/>
  <c r="BC21" i="4"/>
  <c r="BE137" i="8"/>
  <c r="BE20" i="8" s="1"/>
  <c r="BE140" i="8"/>
  <c r="BE28" i="8" s="1"/>
  <c r="BE43" i="4" s="1"/>
  <c r="AX182" i="8"/>
  <c r="AX188" i="8"/>
  <c r="AZ27" i="3"/>
  <c r="AZ32" i="4"/>
  <c r="BB28" i="4"/>
  <c r="BU21" i="4"/>
  <c r="BB24" i="4"/>
  <c r="AZ40" i="4"/>
  <c r="AZ235" i="4" s="1"/>
  <c r="AY235" i="4"/>
  <c r="AZ172" i="4"/>
  <c r="AY176" i="4"/>
  <c r="BD22" i="8"/>
  <c r="BD161" i="8"/>
  <c r="BD34" i="4"/>
  <c r="BD168" i="8"/>
  <c r="BC22" i="8"/>
  <c r="BC168" i="8"/>
  <c r="BC161" i="8"/>
  <c r="BC34" i="4"/>
  <c r="AX227" i="8"/>
  <c r="AY222" i="8" s="1"/>
  <c r="BB37" i="4"/>
  <c r="BU34" i="4"/>
  <c r="BF120" i="8"/>
  <c r="BG125" i="8"/>
  <c r="BH125" i="8" s="1"/>
  <c r="AX31" i="9"/>
  <c r="AX35" i="9" s="1"/>
  <c r="BC43" i="4"/>
  <c r="AZ25" i="8"/>
  <c r="BA205" i="8"/>
  <c r="AZ205" i="8"/>
  <c r="BB27" i="3"/>
  <c r="BB206" i="8"/>
  <c r="BB145" i="4" l="1"/>
  <c r="BP230" i="7"/>
  <c r="BP233" i="7"/>
  <c r="BP250" i="7"/>
  <c r="BP236" i="7"/>
  <c r="BP274" i="7" s="1"/>
  <c r="BP239" i="7"/>
  <c r="BA206" i="8"/>
  <c r="AZ206" i="8"/>
  <c r="AX42" i="9"/>
  <c r="AX37" i="9"/>
  <c r="BG120" i="8"/>
  <c r="BF137" i="8"/>
  <c r="BF20" i="8" s="1"/>
  <c r="BF140" i="8"/>
  <c r="BC37" i="4"/>
  <c r="BC136" i="4"/>
  <c r="BC143" i="4"/>
  <c r="BC170" i="8"/>
  <c r="BD170" i="8"/>
  <c r="BD143" i="4"/>
  <c r="BD145" i="4" s="1"/>
  <c r="AZ30" i="3"/>
  <c r="AZ56" i="3" s="1"/>
  <c r="AY180" i="8"/>
  <c r="AX186" i="8"/>
  <c r="AY150" i="8" s="1"/>
  <c r="BE22" i="8"/>
  <c r="BE168" i="8"/>
  <c r="BE161" i="8"/>
  <c r="BE34" i="4"/>
  <c r="BC24" i="8"/>
  <c r="BC28" i="4"/>
  <c r="AX200" i="4"/>
  <c r="AX63" i="4"/>
  <c r="AX75" i="4" s="1"/>
  <c r="AX237" i="4"/>
  <c r="AX233" i="4"/>
  <c r="AX254" i="4"/>
  <c r="AX255" i="4" s="1"/>
  <c r="BD24" i="4"/>
  <c r="BD31" i="4" s="1"/>
  <c r="BD135" i="4"/>
  <c r="BD24" i="8"/>
  <c r="BD28" i="4"/>
  <c r="BD118" i="8"/>
  <c r="BE122" i="8" s="1"/>
  <c r="BH120" i="8"/>
  <c r="BI125" i="8"/>
  <c r="BD37" i="4"/>
  <c r="BD136" i="4"/>
  <c r="BA172" i="4"/>
  <c r="AZ176" i="4"/>
  <c r="AX190" i="8"/>
  <c r="AX214" i="8" s="1"/>
  <c r="BC24" i="4"/>
  <c r="BC31" i="4" s="1"/>
  <c r="BC135" i="4"/>
  <c r="AX127" i="4"/>
  <c r="AX48" i="8"/>
  <c r="AX87" i="4"/>
  <c r="AX217" i="8"/>
  <c r="AX140" i="4"/>
  <c r="AX225" i="4"/>
  <c r="AX207" i="4"/>
  <c r="BF116" i="8"/>
  <c r="BG137" i="8" l="1"/>
  <c r="BG138" i="8" s="1"/>
  <c r="BP278" i="7"/>
  <c r="BP78" i="7" s="1"/>
  <c r="BP279" i="7"/>
  <c r="BC39" i="4"/>
  <c r="BC40" i="4" s="1"/>
  <c r="AZ33" i="3"/>
  <c r="BG116" i="8"/>
  <c r="DP41" i="3"/>
  <c r="AX158" i="4"/>
  <c r="AX160" i="4" s="1"/>
  <c r="BH137" i="8"/>
  <c r="BH140" i="8"/>
  <c r="BD32" i="4"/>
  <c r="AX246" i="4"/>
  <c r="BC32" i="4"/>
  <c r="BC145" i="4"/>
  <c r="BF28" i="8"/>
  <c r="BG140" i="8"/>
  <c r="BG141" i="8" s="1"/>
  <c r="BC173" i="4"/>
  <c r="BD173" i="4" s="1"/>
  <c r="AX213" i="8"/>
  <c r="AX199" i="8"/>
  <c r="AX212" i="8" s="1"/>
  <c r="AY27" i="8"/>
  <c r="BB172" i="4"/>
  <c r="BA176" i="4"/>
  <c r="BI120" i="8"/>
  <c r="BJ125" i="8"/>
  <c r="BE13" i="8"/>
  <c r="BD25" i="8"/>
  <c r="BD39" i="4"/>
  <c r="BE117" i="8"/>
  <c r="BC25" i="8"/>
  <c r="BC205" i="8"/>
  <c r="BD205" i="8"/>
  <c r="BE37" i="4"/>
  <c r="BE136" i="4"/>
  <c r="BE143" i="4"/>
  <c r="BE145" i="4" s="1"/>
  <c r="BE170" i="8"/>
  <c r="BF22" i="8"/>
  <c r="BF161" i="8"/>
  <c r="BG161" i="8" s="1"/>
  <c r="BF34" i="4"/>
  <c r="BG34" i="4" s="1"/>
  <c r="BG37" i="4" s="1"/>
  <c r="BF168" i="8"/>
  <c r="BG20" i="8"/>
  <c r="BG22" i="8" s="1"/>
  <c r="AX43" i="9"/>
  <c r="AX54" i="9"/>
  <c r="AX126" i="4"/>
  <c r="AX130" i="4" s="1"/>
  <c r="AX44" i="9" l="1"/>
  <c r="AX89" i="4"/>
  <c r="AX90" i="4" s="1"/>
  <c r="BF170" i="8"/>
  <c r="BF143" i="4"/>
  <c r="BF145" i="4" s="1"/>
  <c r="BG168" i="8"/>
  <c r="BG170" i="8" s="1"/>
  <c r="BD40" i="4"/>
  <c r="BE16" i="8"/>
  <c r="BE18" i="8" s="1"/>
  <c r="BE160" i="8"/>
  <c r="BE224" i="8"/>
  <c r="BE21" i="4"/>
  <c r="BI137" i="8"/>
  <c r="BI20" i="8" s="1"/>
  <c r="BI140" i="8"/>
  <c r="BI28" i="8" s="1"/>
  <c r="BI43" i="4" s="1"/>
  <c r="BC172" i="4"/>
  <c r="BB176" i="4"/>
  <c r="AY29" i="8"/>
  <c r="AY31" i="8" s="1"/>
  <c r="AY207" i="8"/>
  <c r="AY218" i="8" s="1"/>
  <c r="BF43" i="4"/>
  <c r="BG43" i="4" s="1"/>
  <c r="BG28" i="8"/>
  <c r="BH20" i="8"/>
  <c r="AX161" i="4"/>
  <c r="AX187" i="4"/>
  <c r="AX217" i="4"/>
  <c r="AX58" i="9"/>
  <c r="AX69" i="9" s="1"/>
  <c r="BF37" i="4"/>
  <c r="BF136" i="4"/>
  <c r="BG136" i="4" s="1"/>
  <c r="BD206" i="8"/>
  <c r="BC206" i="8"/>
  <c r="BE118" i="8"/>
  <c r="BF122" i="8" s="1"/>
  <c r="BF117" i="8" s="1"/>
  <c r="BJ120" i="8"/>
  <c r="BK125" i="8"/>
  <c r="AX211" i="8"/>
  <c r="AX194" i="8"/>
  <c r="AX197" i="8"/>
  <c r="AX234" i="8" s="1"/>
  <c r="AX200" i="8"/>
  <c r="AX191" i="8"/>
  <c r="BH28" i="8"/>
  <c r="BH116" i="8"/>
  <c r="BG143" i="4" l="1"/>
  <c r="BG145" i="4" s="1"/>
  <c r="BI116" i="8"/>
  <c r="BJ137" i="8"/>
  <c r="BJ140" i="8"/>
  <c r="BH43" i="4"/>
  <c r="AX238" i="8"/>
  <c r="AX66" i="8" s="1"/>
  <c r="AX239" i="8"/>
  <c r="BK120" i="8"/>
  <c r="BL125" i="8"/>
  <c r="BF13" i="8"/>
  <c r="BG122" i="8"/>
  <c r="AX219" i="4"/>
  <c r="AX191" i="4"/>
  <c r="AX209" i="4" s="1"/>
  <c r="AY33" i="8"/>
  <c r="AY35" i="8" s="1"/>
  <c r="BD172" i="4"/>
  <c r="BC176" i="4"/>
  <c r="BI22" i="8"/>
  <c r="BI168" i="8"/>
  <c r="BI161" i="8"/>
  <c r="BI34" i="4"/>
  <c r="BE24" i="4"/>
  <c r="BE31" i="4" s="1"/>
  <c r="BE39" i="4" s="1"/>
  <c r="BE135" i="4"/>
  <c r="BG117" i="8"/>
  <c r="BF118" i="8"/>
  <c r="AY159" i="4"/>
  <c r="AX215" i="4"/>
  <c r="AX166" i="4"/>
  <c r="AX170" i="4" s="1"/>
  <c r="AX185" i="4" s="1"/>
  <c r="BH22" i="8"/>
  <c r="BH161" i="8"/>
  <c r="BH34" i="4"/>
  <c r="BH168" i="8"/>
  <c r="BE24" i="8"/>
  <c r="BE28" i="4"/>
  <c r="DY58" i="3" l="1"/>
  <c r="AY159" i="8"/>
  <c r="AY39" i="8"/>
  <c r="BE32" i="4"/>
  <c r="BE25" i="8"/>
  <c r="BE205" i="8"/>
  <c r="BH37" i="4"/>
  <c r="BH136" i="4"/>
  <c r="AX62" i="3"/>
  <c r="AX211" i="4"/>
  <c r="AX61" i="3"/>
  <c r="BG118" i="8"/>
  <c r="BH122" i="8" s="1"/>
  <c r="BH117" i="8" s="1"/>
  <c r="BE40" i="4"/>
  <c r="BE172" i="4"/>
  <c r="BD176" i="4"/>
  <c r="AX242" i="4"/>
  <c r="AX243" i="4"/>
  <c r="AX228" i="4"/>
  <c r="AX229" i="4" s="1"/>
  <c r="BJ28" i="8"/>
  <c r="BH170" i="8"/>
  <c r="BH143" i="4"/>
  <c r="BE173" i="4"/>
  <c r="BI37" i="4"/>
  <c r="BI136" i="4"/>
  <c r="BI143" i="4"/>
  <c r="BI145" i="4" s="1"/>
  <c r="BI170" i="8"/>
  <c r="AY63" i="8"/>
  <c r="AY162" i="8"/>
  <c r="AY107" i="4"/>
  <c r="BF16" i="8"/>
  <c r="BF18" i="8" s="1"/>
  <c r="BF224" i="8"/>
  <c r="BG224" i="8" s="1"/>
  <c r="BF21" i="4"/>
  <c r="BF160" i="8"/>
  <c r="BG160" i="8" s="1"/>
  <c r="BG13" i="8"/>
  <c r="BG16" i="8" s="1"/>
  <c r="BG18" i="8" s="1"/>
  <c r="BG24" i="8" s="1"/>
  <c r="BK137" i="8"/>
  <c r="BK20" i="8" s="1"/>
  <c r="BK140" i="8"/>
  <c r="BK28" i="8" s="1"/>
  <c r="BK43" i="4" s="1"/>
  <c r="BL120" i="8"/>
  <c r="BJ20" i="8"/>
  <c r="BL137" i="8"/>
  <c r="BL138" i="8" s="1"/>
  <c r="BJ116" i="8"/>
  <c r="BH118" i="8" l="1"/>
  <c r="BI122" i="8" s="1"/>
  <c r="BI13" i="8" s="1"/>
  <c r="BK22" i="8"/>
  <c r="BK168" i="8"/>
  <c r="BK161" i="8"/>
  <c r="BK34" i="4"/>
  <c r="BK116" i="8"/>
  <c r="BJ22" i="8"/>
  <c r="BJ161" i="8"/>
  <c r="BL161" i="8" s="1"/>
  <c r="BJ34" i="4"/>
  <c r="BJ168" i="8"/>
  <c r="BL20" i="8"/>
  <c r="BL22" i="8" s="1"/>
  <c r="BG25" i="8"/>
  <c r="BG205" i="8"/>
  <c r="BF24" i="4"/>
  <c r="BF135" i="4"/>
  <c r="BG135" i="4" s="1"/>
  <c r="BG21" i="4"/>
  <c r="BG24" i="4" s="1"/>
  <c r="BF24" i="8"/>
  <c r="BF28" i="4"/>
  <c r="BH145" i="4"/>
  <c r="BJ43" i="4"/>
  <c r="BL43" i="4" s="1"/>
  <c r="BL28" i="8"/>
  <c r="BG124" i="8"/>
  <c r="AX220" i="4"/>
  <c r="BF172" i="4"/>
  <c r="BE176" i="4"/>
  <c r="AY41" i="8"/>
  <c r="AY46" i="8"/>
  <c r="AY111" i="4"/>
  <c r="AY42" i="4" s="1"/>
  <c r="AY225" i="8"/>
  <c r="AY137" i="4"/>
  <c r="BL140" i="8"/>
  <c r="BL141" i="8" s="1"/>
  <c r="AX223" i="4"/>
  <c r="AX240" i="4"/>
  <c r="AX226" i="4"/>
  <c r="AX241" i="4"/>
  <c r="BH13" i="8"/>
  <c r="BE206" i="8"/>
  <c r="AY165" i="8"/>
  <c r="AY179" i="8" s="1"/>
  <c r="AY181" i="8" s="1"/>
  <c r="AY196" i="8"/>
  <c r="BI117" i="8" l="1"/>
  <c r="BI118" i="8" s="1"/>
  <c r="BJ122" i="8" s="1"/>
  <c r="BJ117" i="8" s="1"/>
  <c r="BF173" i="4"/>
  <c r="BG173" i="4" s="1"/>
  <c r="BH16" i="8"/>
  <c r="BH18" i="8" s="1"/>
  <c r="BH224" i="8"/>
  <c r="BH21" i="4"/>
  <c r="BH160" i="8"/>
  <c r="AY56" i="9"/>
  <c r="AY195" i="4"/>
  <c r="AY236" i="4"/>
  <c r="AY247" i="4" s="1"/>
  <c r="AY44" i="4"/>
  <c r="BF25" i="8"/>
  <c r="BF206" i="8" s="1"/>
  <c r="BF205" i="8"/>
  <c r="BJ170" i="8"/>
  <c r="BJ143" i="4"/>
  <c r="BL168" i="8"/>
  <c r="BL170" i="8" s="1"/>
  <c r="BK37" i="4"/>
  <c r="BK136" i="4"/>
  <c r="BK143" i="4"/>
  <c r="BK145" i="4" s="1"/>
  <c r="BK170" i="8"/>
  <c r="BI16" i="8"/>
  <c r="BI18" i="8" s="1"/>
  <c r="BI160" i="8"/>
  <c r="BI224" i="8"/>
  <c r="BI21" i="4"/>
  <c r="AY182" i="8"/>
  <c r="AY188" i="8"/>
  <c r="AY227" i="8"/>
  <c r="AZ222" i="8" s="1"/>
  <c r="AY47" i="8"/>
  <c r="AY208" i="8"/>
  <c r="AY204" i="8"/>
  <c r="BG172" i="4"/>
  <c r="BG28" i="4"/>
  <c r="BG27" i="3"/>
  <c r="BG206" i="8"/>
  <c r="BJ37" i="4"/>
  <c r="BJ136" i="4"/>
  <c r="BL34" i="4"/>
  <c r="BL37" i="4" s="1"/>
  <c r="BL116" i="8"/>
  <c r="BL136" i="4" l="1"/>
  <c r="BF176" i="4"/>
  <c r="AY217" i="8"/>
  <c r="AY48" i="8"/>
  <c r="AY87" i="4"/>
  <c r="BI24" i="4"/>
  <c r="BI31" i="4" s="1"/>
  <c r="BI39" i="4" s="1"/>
  <c r="BI135" i="4"/>
  <c r="AY25" i="9"/>
  <c r="AY46" i="4"/>
  <c r="BJ118" i="8"/>
  <c r="BK122" i="8" s="1"/>
  <c r="BK13" i="8" s="1"/>
  <c r="BJ13" i="8"/>
  <c r="BH172" i="4"/>
  <c r="BG176" i="4"/>
  <c r="AY190" i="8"/>
  <c r="AY186" i="8"/>
  <c r="AZ150" i="8" s="1"/>
  <c r="AZ180" i="8"/>
  <c r="BI24" i="8"/>
  <c r="BI28" i="4"/>
  <c r="BJ145" i="4"/>
  <c r="BL143" i="4"/>
  <c r="AY200" i="4"/>
  <c r="AY127" i="4"/>
  <c r="BH24" i="4"/>
  <c r="BH31" i="4" s="1"/>
  <c r="BH39" i="4" s="1"/>
  <c r="BH135" i="4"/>
  <c r="BH24" i="8"/>
  <c r="BH28" i="4"/>
  <c r="BL122" i="8" l="1"/>
  <c r="BK117" i="8"/>
  <c r="BK118" i="8" s="1"/>
  <c r="BI32" i="4"/>
  <c r="AZ27" i="8"/>
  <c r="BH32" i="4"/>
  <c r="BH173" i="4"/>
  <c r="BI173" i="4" s="1"/>
  <c r="BI25" i="8"/>
  <c r="BI172" i="4"/>
  <c r="BJ16" i="8"/>
  <c r="BJ18" i="8" s="1"/>
  <c r="BJ224" i="8"/>
  <c r="BJ21" i="4"/>
  <c r="BJ160" i="8"/>
  <c r="BL13" i="8"/>
  <c r="BL16" i="8" s="1"/>
  <c r="BL18" i="8" s="1"/>
  <c r="BL24" i="8" s="1"/>
  <c r="BL117" i="8"/>
  <c r="AY27" i="9"/>
  <c r="BH25" i="8"/>
  <c r="BI205" i="8"/>
  <c r="BH205" i="8"/>
  <c r="BH40" i="4"/>
  <c r="ED58" i="3"/>
  <c r="BL145" i="4"/>
  <c r="AY213" i="8"/>
  <c r="AY199" i="8"/>
  <c r="BK16" i="8"/>
  <c r="BK18" i="8" s="1"/>
  <c r="BK160" i="8"/>
  <c r="BK224" i="8"/>
  <c r="BK21" i="4"/>
  <c r="AY48" i="4"/>
  <c r="AY50" i="4" s="1"/>
  <c r="AY54" i="4" s="1"/>
  <c r="BI40" i="4"/>
  <c r="AY214" i="8"/>
  <c r="BL118" i="8" l="1"/>
  <c r="BH176" i="4"/>
  <c r="AY62" i="4"/>
  <c r="AY134" i="4"/>
  <c r="AY56" i="4"/>
  <c r="AY251" i="4"/>
  <c r="AY204" i="4"/>
  <c r="BK24" i="4"/>
  <c r="BK135" i="4"/>
  <c r="AY194" i="8"/>
  <c r="AY211" i="8"/>
  <c r="AY197" i="8"/>
  <c r="AY234" i="8" s="1"/>
  <c r="AY191" i="8"/>
  <c r="AY200" i="8"/>
  <c r="BH206" i="8"/>
  <c r="BI206" i="8"/>
  <c r="BL25" i="8"/>
  <c r="BL205" i="8"/>
  <c r="BJ24" i="4"/>
  <c r="BJ31" i="4" s="1"/>
  <c r="BJ39" i="4" s="1"/>
  <c r="BJ135" i="4"/>
  <c r="BL21" i="4"/>
  <c r="BL24" i="4" s="1"/>
  <c r="BJ24" i="8"/>
  <c r="BJ28" i="4"/>
  <c r="BJ172" i="4"/>
  <c r="BI176" i="4"/>
  <c r="AZ29" i="8"/>
  <c r="AZ31" i="8" s="1"/>
  <c r="AZ207" i="8"/>
  <c r="AZ218" i="8" s="1"/>
  <c r="AY29" i="9"/>
  <c r="AY31" i="9" s="1"/>
  <c r="AY35" i="9" s="1"/>
  <c r="AY117" i="4"/>
  <c r="BK24" i="8"/>
  <c r="BK28" i="4"/>
  <c r="AY212" i="8"/>
  <c r="BL160" i="8"/>
  <c r="BL224" i="8"/>
  <c r="BM122" i="8" l="1"/>
  <c r="BL124" i="8"/>
  <c r="BL135" i="4"/>
  <c r="BK25" i="8"/>
  <c r="AZ33" i="8"/>
  <c r="AZ35" i="8" s="1"/>
  <c r="BK172" i="4"/>
  <c r="BJ25" i="8"/>
  <c r="BK205" i="8"/>
  <c r="BJ205" i="8"/>
  <c r="BL27" i="3"/>
  <c r="BL206" i="8"/>
  <c r="AY207" i="4"/>
  <c r="AY63" i="4"/>
  <c r="AY75" i="4" s="1"/>
  <c r="AY254" i="4"/>
  <c r="AY255" i="4" s="1"/>
  <c r="AY233" i="4"/>
  <c r="AY237" i="4"/>
  <c r="BJ173" i="4"/>
  <c r="BK173" i="4" s="1"/>
  <c r="BL173" i="4" s="1"/>
  <c r="AY37" i="9"/>
  <c r="AY42" i="9"/>
  <c r="BJ32" i="4"/>
  <c r="BL28" i="4"/>
  <c r="BJ40" i="4"/>
  <c r="AY238" i="8"/>
  <c r="AY66" i="8" s="1"/>
  <c r="AY239" i="8"/>
  <c r="AY140" i="4"/>
  <c r="AY225" i="4"/>
  <c r="BM13" i="8" l="1"/>
  <c r="BM117" i="8"/>
  <c r="DQ41" i="3"/>
  <c r="AY158" i="4"/>
  <c r="AY160" i="4" s="1"/>
  <c r="AY246" i="4"/>
  <c r="BJ176" i="4"/>
  <c r="AZ39" i="8"/>
  <c r="AZ159" i="8"/>
  <c r="AY43" i="9"/>
  <c r="AY54" i="9"/>
  <c r="AY126" i="4"/>
  <c r="AY130" i="4" s="1"/>
  <c r="BJ206" i="8"/>
  <c r="BK206" i="8"/>
  <c r="BL172" i="4"/>
  <c r="BK176" i="4"/>
  <c r="AZ63" i="8"/>
  <c r="AZ162" i="8"/>
  <c r="BM224" i="8" l="1"/>
  <c r="BM160" i="8"/>
  <c r="BM16" i="8"/>
  <c r="BM18" i="8" s="1"/>
  <c r="BM21" i="4"/>
  <c r="BM118" i="8"/>
  <c r="BN122" i="8" s="1"/>
  <c r="BN117" i="8" s="1"/>
  <c r="BN118" i="8" s="1"/>
  <c r="BO122" i="8" s="1"/>
  <c r="BL176" i="4"/>
  <c r="BM172" i="4"/>
  <c r="AZ225" i="8"/>
  <c r="AZ137" i="4"/>
  <c r="AY44" i="9"/>
  <c r="AY89" i="4"/>
  <c r="AY90" i="4" s="1"/>
  <c r="AZ165" i="8"/>
  <c r="AZ179" i="8" s="1"/>
  <c r="AZ181" i="8" s="1"/>
  <c r="AZ196" i="8"/>
  <c r="AY161" i="4"/>
  <c r="AY217" i="4"/>
  <c r="AY187" i="4"/>
  <c r="AY58" i="9"/>
  <c r="AY69" i="9" s="1"/>
  <c r="AZ46" i="8"/>
  <c r="AZ41" i="8"/>
  <c r="BM24" i="8" l="1"/>
  <c r="BM28" i="4"/>
  <c r="BO117" i="8"/>
  <c r="BO13" i="8"/>
  <c r="BM24" i="4"/>
  <c r="BM31" i="4" s="1"/>
  <c r="BM39" i="4" s="1"/>
  <c r="BM40" i="4" s="1"/>
  <c r="BM135" i="4"/>
  <c r="BN13" i="8"/>
  <c r="BN172" i="4"/>
  <c r="AZ47" i="8"/>
  <c r="AZ208" i="8"/>
  <c r="AZ204" i="8"/>
  <c r="AY219" i="4"/>
  <c r="AY166" i="4"/>
  <c r="AY170" i="4" s="1"/>
  <c r="AY185" i="4" s="1"/>
  <c r="AZ159" i="4"/>
  <c r="AY215" i="4"/>
  <c r="AZ182" i="8"/>
  <c r="AZ188" i="8"/>
  <c r="AZ227" i="8"/>
  <c r="BA222" i="8" s="1"/>
  <c r="AY191" i="4"/>
  <c r="AY209" i="4" s="1"/>
  <c r="AZ56" i="9"/>
  <c r="AZ195" i="4"/>
  <c r="BO160" i="8" l="1"/>
  <c r="BO224" i="8"/>
  <c r="BO16" i="8"/>
  <c r="BO18" i="8" s="1"/>
  <c r="BO21" i="4"/>
  <c r="BN160" i="8"/>
  <c r="BN224" i="8"/>
  <c r="BN16" i="8"/>
  <c r="BN18" i="8" s="1"/>
  <c r="BN21" i="4"/>
  <c r="BO118" i="8"/>
  <c r="BP122" i="8" s="1"/>
  <c r="BP117" i="8" s="1"/>
  <c r="BM25" i="8"/>
  <c r="BM205" i="8"/>
  <c r="BM173" i="4"/>
  <c r="BM32" i="4"/>
  <c r="BO172" i="4"/>
  <c r="AZ107" i="4"/>
  <c r="AZ111" i="4" s="1"/>
  <c r="AZ42" i="4" s="1"/>
  <c r="AY242" i="4"/>
  <c r="AY228" i="4"/>
  <c r="AY243" i="4"/>
  <c r="AZ217" i="8"/>
  <c r="AZ48" i="8"/>
  <c r="AZ87" i="4"/>
  <c r="AZ200" i="4"/>
  <c r="AZ127" i="4"/>
  <c r="AZ190" i="8"/>
  <c r="BA180" i="8"/>
  <c r="AZ186" i="8"/>
  <c r="BA150" i="8" s="1"/>
  <c r="AY62" i="3"/>
  <c r="AY211" i="4"/>
  <c r="AY61" i="3"/>
  <c r="BM206" i="8" l="1"/>
  <c r="BN24" i="4"/>
  <c r="BN31" i="4" s="1"/>
  <c r="BN39" i="4" s="1"/>
  <c r="BN40" i="4" s="1"/>
  <c r="BN135" i="4"/>
  <c r="BN173" i="4" s="1"/>
  <c r="BO24" i="4"/>
  <c r="BO31" i="4" s="1"/>
  <c r="BO39" i="4" s="1"/>
  <c r="BO40" i="4" s="1"/>
  <c r="BO135" i="4"/>
  <c r="BQ117" i="8"/>
  <c r="BQ118" i="8" s="1"/>
  <c r="BP118" i="8"/>
  <c r="BN28" i="4"/>
  <c r="BN24" i="8"/>
  <c r="BO24" i="8"/>
  <c r="BO25" i="8" s="1"/>
  <c r="BO28" i="4"/>
  <c r="BM176" i="4"/>
  <c r="BP13" i="8"/>
  <c r="BQ122" i="8"/>
  <c r="BP172" i="4"/>
  <c r="BA27" i="8"/>
  <c r="BB150" i="8"/>
  <c r="AY240" i="4"/>
  <c r="AY223" i="4"/>
  <c r="AY226" i="4"/>
  <c r="AY229" i="4"/>
  <c r="AY220" i="4"/>
  <c r="AZ44" i="4"/>
  <c r="AZ236" i="4"/>
  <c r="AZ247" i="4" s="1"/>
  <c r="AZ213" i="8"/>
  <c r="AZ199" i="8"/>
  <c r="AZ214" i="8"/>
  <c r="AY241" i="4"/>
  <c r="BN25" i="8" l="1"/>
  <c r="BN205" i="8"/>
  <c r="BO205" i="8"/>
  <c r="BP160" i="8"/>
  <c r="BQ160" i="8" s="1"/>
  <c r="BP224" i="8"/>
  <c r="BQ224" i="8" s="1"/>
  <c r="BP21" i="4"/>
  <c r="BP16" i="8"/>
  <c r="BP18" i="8" s="1"/>
  <c r="BQ13" i="8"/>
  <c r="BQ16" i="8" s="1"/>
  <c r="BQ18" i="8" s="1"/>
  <c r="BQ24" i="8" s="1"/>
  <c r="BO173" i="4"/>
  <c r="BN176" i="4"/>
  <c r="BN32" i="4"/>
  <c r="BQ124" i="8"/>
  <c r="BO32" i="4"/>
  <c r="BQ172" i="4"/>
  <c r="AZ211" i="8"/>
  <c r="AZ194" i="8"/>
  <c r="AZ197" i="8"/>
  <c r="AZ234" i="8" s="1"/>
  <c r="AZ200" i="8"/>
  <c r="AZ191" i="8"/>
  <c r="BA29" i="8"/>
  <c r="BA31" i="8" s="1"/>
  <c r="BA207" i="8"/>
  <c r="BA218" i="8" s="1"/>
  <c r="BB27" i="8"/>
  <c r="AZ212" i="8"/>
  <c r="AZ25" i="9"/>
  <c r="AZ46" i="4"/>
  <c r="BP24" i="8" l="1"/>
  <c r="BP28" i="4"/>
  <c r="BQ28" i="4" s="1"/>
  <c r="BQ25" i="8"/>
  <c r="BQ205" i="8"/>
  <c r="BQ21" i="4"/>
  <c r="BQ24" i="4" s="1"/>
  <c r="BP24" i="4"/>
  <c r="BP135" i="4"/>
  <c r="BQ135" i="4" s="1"/>
  <c r="BO206" i="8"/>
  <c r="BN206" i="8"/>
  <c r="BO176" i="4"/>
  <c r="BA33" i="8"/>
  <c r="BB33" i="8" s="1"/>
  <c r="AZ27" i="9"/>
  <c r="BB29" i="8"/>
  <c r="BB31" i="8" s="1"/>
  <c r="BB207" i="8"/>
  <c r="BB218" i="8" s="1"/>
  <c r="AZ238" i="8"/>
  <c r="AZ66" i="8" s="1"/>
  <c r="AZ239" i="8"/>
  <c r="AZ48" i="4"/>
  <c r="BP173" i="4" l="1"/>
  <c r="BQ173" i="4" s="1"/>
  <c r="BQ176" i="4" s="1"/>
  <c r="BQ27" i="3"/>
  <c r="BQ206" i="8"/>
  <c r="BP25" i="8"/>
  <c r="BP206" i="8" s="1"/>
  <c r="BP205" i="8"/>
  <c r="BA63" i="8"/>
  <c r="BA162" i="8"/>
  <c r="BA225" i="8" s="1"/>
  <c r="BB63" i="8"/>
  <c r="AZ29" i="9"/>
  <c r="AZ31" i="9" s="1"/>
  <c r="AZ35" i="9" s="1"/>
  <c r="AZ117" i="4"/>
  <c r="BB35" i="8"/>
  <c r="AZ50" i="4"/>
  <c r="AZ54" i="4" s="1"/>
  <c r="BP176" i="4" l="1"/>
  <c r="BB162" i="8"/>
  <c r="BB225" i="8"/>
  <c r="BB227" i="8" s="1"/>
  <c r="BA227" i="8"/>
  <c r="AZ42" i="9"/>
  <c r="AZ37" i="9"/>
  <c r="AZ56" i="4"/>
  <c r="AZ62" i="4"/>
  <c r="AZ134" i="4"/>
  <c r="AZ251" i="4"/>
  <c r="AZ204" i="4"/>
  <c r="BA35" i="8"/>
  <c r="BB39" i="8"/>
  <c r="CD27" i="2" l="1"/>
  <c r="BA159" i="8"/>
  <c r="BA39" i="8"/>
  <c r="BB229" i="8"/>
  <c r="BC222" i="8"/>
  <c r="BG222" i="8"/>
  <c r="BB46" i="8"/>
  <c r="BB41" i="8"/>
  <c r="AZ207" i="4"/>
  <c r="AZ140" i="4"/>
  <c r="AZ225" i="4"/>
  <c r="AZ63" i="4"/>
  <c r="AZ75" i="4" s="1"/>
  <c r="AZ254" i="4"/>
  <c r="AZ255" i="4" s="1"/>
  <c r="AZ237" i="4"/>
  <c r="AZ233" i="4"/>
  <c r="AZ43" i="9"/>
  <c r="AZ54" i="9"/>
  <c r="AZ126" i="4"/>
  <c r="AZ130" i="4" s="1"/>
  <c r="AZ44" i="9" l="1"/>
  <c r="AZ89" i="4"/>
  <c r="AZ90" i="4" s="1"/>
  <c r="BB204" i="8"/>
  <c r="BB47" i="8"/>
  <c r="BB208" i="8"/>
  <c r="BA165" i="8"/>
  <c r="BA179" i="8" s="1"/>
  <c r="BA181" i="8" s="1"/>
  <c r="BB159" i="8"/>
  <c r="BB165" i="8" s="1"/>
  <c r="BB179" i="8" s="1"/>
  <c r="BA196" i="8"/>
  <c r="AZ58" i="9"/>
  <c r="AZ69" i="9" s="1"/>
  <c r="AZ246" i="4"/>
  <c r="DR41" i="3"/>
  <c r="AZ158" i="4"/>
  <c r="AZ160" i="4" s="1"/>
  <c r="BA41" i="8"/>
  <c r="BA46" i="8"/>
  <c r="BA47" i="8" l="1"/>
  <c r="BA204" i="8"/>
  <c r="BA208" i="8"/>
  <c r="AZ161" i="4"/>
  <c r="AZ217" i="4"/>
  <c r="AZ187" i="4"/>
  <c r="BB48" i="8"/>
  <c r="BB87" i="4"/>
  <c r="BB196" i="8"/>
  <c r="BA182" i="8"/>
  <c r="BA186" i="8" s="1"/>
  <c r="BB181" i="8"/>
  <c r="BB182" i="8" s="1"/>
  <c r="BA188" i="8"/>
  <c r="BB217" i="8"/>
  <c r="BC180" i="8" l="1"/>
  <c r="BG180" i="8"/>
  <c r="BB186" i="8"/>
  <c r="BB12" i="3"/>
  <c r="AZ191" i="4"/>
  <c r="AZ209" i="4" s="1"/>
  <c r="BA48" i="8"/>
  <c r="BA87" i="4"/>
  <c r="BB188" i="8"/>
  <c r="BA190" i="8"/>
  <c r="BA214" i="8" s="1"/>
  <c r="AZ219" i="4"/>
  <c r="BA159" i="4"/>
  <c r="AZ215" i="4"/>
  <c r="AZ166" i="4"/>
  <c r="AZ170" i="4" s="1"/>
  <c r="AZ185" i="4" s="1"/>
  <c r="BA217" i="8"/>
  <c r="AZ242" i="4" l="1"/>
  <c r="AZ243" i="4"/>
  <c r="AZ228" i="4"/>
  <c r="AZ229" i="4" s="1"/>
  <c r="BC150" i="8"/>
  <c r="BB190" i="8"/>
  <c r="AZ62" i="3"/>
  <c r="AZ211" i="4"/>
  <c r="AZ61" i="3"/>
  <c r="BA213" i="8"/>
  <c r="BA107" i="4"/>
  <c r="AZ220" i="4" l="1"/>
  <c r="BB213" i="8"/>
  <c r="BB214" i="8"/>
  <c r="BB199" i="8"/>
  <c r="BB191" i="8" s="1"/>
  <c r="BC27" i="8"/>
  <c r="BA111" i="4"/>
  <c r="BA42" i="4" s="1"/>
  <c r="BB107" i="4"/>
  <c r="BB111" i="4" s="1"/>
  <c r="AZ223" i="4"/>
  <c r="AZ240" i="4"/>
  <c r="AZ226" i="4"/>
  <c r="AZ241" i="4"/>
  <c r="BB200" i="8" l="1"/>
  <c r="BA44" i="4"/>
  <c r="BA25" i="9" s="1"/>
  <c r="BA236" i="4"/>
  <c r="BB42" i="4"/>
  <c r="BC29" i="8"/>
  <c r="BC31" i="8" s="1"/>
  <c r="BC207" i="8"/>
  <c r="BC218" i="8" s="1"/>
  <c r="BB211" i="8"/>
  <c r="BB194" i="8"/>
  <c r="BA199" i="8"/>
  <c r="BB197" i="8"/>
  <c r="BB234" i="8" s="1"/>
  <c r="BB212" i="8"/>
  <c r="BB239" i="8" l="1"/>
  <c r="BB67" i="8" s="1"/>
  <c r="BB238" i="8"/>
  <c r="BB66" i="8" s="1"/>
  <c r="BC33" i="8"/>
  <c r="BC35" i="8" s="1"/>
  <c r="BA194" i="8"/>
  <c r="BA211" i="8"/>
  <c r="BA197" i="8"/>
  <c r="BA234" i="8" s="1"/>
  <c r="BA212" i="8"/>
  <c r="BA200" i="8"/>
  <c r="BA191" i="8"/>
  <c r="BB44" i="4"/>
  <c r="BU44" i="4" s="1"/>
  <c r="BB236" i="4"/>
  <c r="BA27" i="9"/>
  <c r="BB25" i="9"/>
  <c r="BB27" i="9" s="1"/>
  <c r="BA238" i="8" l="1"/>
  <c r="BA66" i="8" s="1"/>
  <c r="BA239" i="8"/>
  <c r="BC159" i="8"/>
  <c r="BC39" i="8"/>
  <c r="BC63" i="8"/>
  <c r="BC162" i="8"/>
  <c r="BC41" i="8" l="1"/>
  <c r="BC46" i="8"/>
  <c r="BC225" i="8"/>
  <c r="BC165" i="8"/>
  <c r="BC179" i="8" s="1"/>
  <c r="BC181" i="8" s="1"/>
  <c r="BC196" i="8"/>
  <c r="BC182" i="8" l="1"/>
  <c r="BC188" i="8"/>
  <c r="BC47" i="8"/>
  <c r="BC208" i="8"/>
  <c r="BC204" i="8"/>
  <c r="BC227" i="8"/>
  <c r="BD222" i="8" s="1"/>
  <c r="BC217" i="8" l="1"/>
  <c r="BC190" i="8"/>
  <c r="BC48" i="8"/>
  <c r="BC87" i="4"/>
  <c r="BD180" i="8"/>
  <c r="BC186" i="8"/>
  <c r="BD150" i="8" s="1"/>
  <c r="BD27" i="8" l="1"/>
  <c r="BC213" i="8"/>
  <c r="BC199" i="8"/>
  <c r="BC212" i="8" s="1"/>
  <c r="BC214" i="8"/>
  <c r="BD29" i="8" l="1"/>
  <c r="BD31" i="8" s="1"/>
  <c r="BD207" i="8"/>
  <c r="BD218" i="8" s="1"/>
  <c r="BC194" i="8"/>
  <c r="BC211" i="8"/>
  <c r="BC197" i="8"/>
  <c r="BC234" i="8" s="1"/>
  <c r="BC191" i="8"/>
  <c r="BC200" i="8"/>
  <c r="BC239" i="8" l="1"/>
  <c r="BC238" i="8"/>
  <c r="BC66" i="8" s="1"/>
  <c r="BD33" i="8"/>
  <c r="BD63" i="8" l="1"/>
  <c r="BD162" i="8"/>
  <c r="BD35" i="8"/>
  <c r="BD39" i="8" l="1"/>
  <c r="BD159" i="8"/>
  <c r="BD225" i="8"/>
  <c r="BD227" i="8" l="1"/>
  <c r="BE222" i="8" s="1"/>
  <c r="BD46" i="8"/>
  <c r="BD41" i="8"/>
  <c r="BD165" i="8"/>
  <c r="BD179" i="8" s="1"/>
  <c r="BD181" i="8" s="1"/>
  <c r="BD196" i="8"/>
  <c r="BD182" i="8" l="1"/>
  <c r="BD188" i="8"/>
  <c r="BD47" i="8"/>
  <c r="BD204" i="8"/>
  <c r="BD208" i="8"/>
  <c r="BD48" i="8" l="1"/>
  <c r="BD87" i="4"/>
  <c r="BD217" i="8"/>
  <c r="BD190" i="8"/>
  <c r="BE180" i="8"/>
  <c r="BD186" i="8"/>
  <c r="BE150" i="8" s="1"/>
  <c r="BE27" i="8" l="1"/>
  <c r="BD213" i="8"/>
  <c r="BD199" i="8"/>
  <c r="BD214" i="8"/>
  <c r="BD211" i="8" l="1"/>
  <c r="BD194" i="8"/>
  <c r="BD197" i="8"/>
  <c r="BD234" i="8" s="1"/>
  <c r="BD200" i="8"/>
  <c r="BD191" i="8"/>
  <c r="BE29" i="8"/>
  <c r="BE31" i="8" s="1"/>
  <c r="BE207" i="8"/>
  <c r="BE218" i="8" s="1"/>
  <c r="BD212" i="8"/>
  <c r="BE33" i="8" l="1"/>
  <c r="BE35" i="8" s="1"/>
  <c r="BD239" i="8"/>
  <c r="BD238" i="8"/>
  <c r="BD66" i="8" s="1"/>
  <c r="BE159" i="8" l="1"/>
  <c r="BE39" i="8"/>
  <c r="BE63" i="8"/>
  <c r="BE162" i="8"/>
  <c r="BE165" i="8" l="1"/>
  <c r="BE179" i="8" s="1"/>
  <c r="BE181" i="8" s="1"/>
  <c r="BE196" i="8"/>
  <c r="BE225" i="8"/>
  <c r="BE41" i="8"/>
  <c r="BE46" i="8"/>
  <c r="BE47" i="8" l="1"/>
  <c r="BE204" i="8"/>
  <c r="BE208" i="8"/>
  <c r="BE182" i="8"/>
  <c r="BE188" i="8"/>
  <c r="BE227" i="8"/>
  <c r="BF222" i="8" s="1"/>
  <c r="BE190" i="8" l="1"/>
  <c r="BE214" i="8" s="1"/>
  <c r="BF180" i="8"/>
  <c r="BE186" i="8"/>
  <c r="BF150" i="8" s="1"/>
  <c r="BE217" i="8"/>
  <c r="BE48" i="8"/>
  <c r="BE87" i="4"/>
  <c r="BF27" i="8" l="1"/>
  <c r="BG150" i="8"/>
  <c r="BE213" i="8"/>
  <c r="BE199" i="8"/>
  <c r="BE212" i="8" s="1"/>
  <c r="BF29" i="8" l="1"/>
  <c r="BF31" i="8" s="1"/>
  <c r="BF33" i="8" s="1"/>
  <c r="BF207" i="8"/>
  <c r="BF218" i="8" s="1"/>
  <c r="BG27" i="8"/>
  <c r="BE194" i="8"/>
  <c r="BE211" i="8"/>
  <c r="BE197" i="8"/>
  <c r="BE234" i="8" s="1"/>
  <c r="BE191" i="8"/>
  <c r="BE200" i="8"/>
  <c r="BE238" i="8" l="1"/>
  <c r="BE66" i="8" s="1"/>
  <c r="BE239" i="8"/>
  <c r="BF63" i="8"/>
  <c r="BF162" i="8"/>
  <c r="BG33" i="8"/>
  <c r="BG29" i="8"/>
  <c r="BG31" i="8" s="1"/>
  <c r="BG207" i="8"/>
  <c r="BG218" i="8" s="1"/>
  <c r="BG63" i="8" l="1"/>
  <c r="BG35" i="8"/>
  <c r="BF225" i="8"/>
  <c r="BG162" i="8"/>
  <c r="BF35" i="8" l="1"/>
  <c r="BG39" i="8"/>
  <c r="BG225" i="8"/>
  <c r="BG227" i="8" s="1"/>
  <c r="BF227" i="8"/>
  <c r="CE27" i="2" l="1"/>
  <c r="BH222" i="8"/>
  <c r="BL222" i="8"/>
  <c r="BG229" i="8"/>
  <c r="BF39" i="8"/>
  <c r="BF159" i="8"/>
  <c r="BG41" i="8"/>
  <c r="BG46" i="8"/>
  <c r="BF165" i="8" l="1"/>
  <c r="BF179" i="8" s="1"/>
  <c r="BF181" i="8" s="1"/>
  <c r="BG159" i="8"/>
  <c r="BG165" i="8" s="1"/>
  <c r="BG179" i="8" s="1"/>
  <c r="BF196" i="8"/>
  <c r="BG47" i="8"/>
  <c r="BG208" i="8"/>
  <c r="BG204" i="8"/>
  <c r="BF46" i="8"/>
  <c r="BF41" i="8"/>
  <c r="BF47" i="8" l="1"/>
  <c r="BF204" i="8"/>
  <c r="BF208" i="8"/>
  <c r="BG217" i="8"/>
  <c r="BG48" i="8"/>
  <c r="BG87" i="4"/>
  <c r="BG196" i="8"/>
  <c r="BF182" i="8"/>
  <c r="BF186" i="8" s="1"/>
  <c r="BG181" i="8"/>
  <c r="BG182" i="8" s="1"/>
  <c r="BF188" i="8"/>
  <c r="BH180" i="8" l="1"/>
  <c r="BL180" i="8"/>
  <c r="BG186" i="8"/>
  <c r="BG12" i="3"/>
  <c r="BF48" i="8"/>
  <c r="BF87" i="4"/>
  <c r="BG188" i="8"/>
  <c r="BF190" i="8"/>
  <c r="BF217" i="8"/>
  <c r="BF213" i="8" l="1"/>
  <c r="BF214" i="8"/>
  <c r="BH150" i="8"/>
  <c r="BG190" i="8"/>
  <c r="BG213" i="8" l="1"/>
  <c r="BG214" i="8"/>
  <c r="BG199" i="8"/>
  <c r="BG200" i="8" s="1"/>
  <c r="BH27" i="8"/>
  <c r="BG191" i="8" l="1"/>
  <c r="BH29" i="8"/>
  <c r="BH31" i="8" s="1"/>
  <c r="BH207" i="8"/>
  <c r="BH218" i="8" s="1"/>
  <c r="BG194" i="8"/>
  <c r="BF199" i="8"/>
  <c r="BG211" i="8"/>
  <c r="BG197" i="8"/>
  <c r="BG234" i="8" s="1"/>
  <c r="BG212" i="8"/>
  <c r="BG238" i="8" l="1"/>
  <c r="BG66" i="8" s="1"/>
  <c r="BG239" i="8"/>
  <c r="BG67" i="8" s="1"/>
  <c r="BF211" i="8"/>
  <c r="BF194" i="8"/>
  <c r="BF197" i="8"/>
  <c r="BF234" i="8" s="1"/>
  <c r="BF212" i="8"/>
  <c r="BF191" i="8"/>
  <c r="BF200" i="8"/>
  <c r="BH33" i="8"/>
  <c r="BH63" i="8" l="1"/>
  <c r="BH162" i="8"/>
  <c r="BF238" i="8"/>
  <c r="BF66" i="8" s="1"/>
  <c r="BF239" i="8"/>
  <c r="BH35" i="8"/>
  <c r="BH225" i="8" l="1"/>
  <c r="BH39" i="8"/>
  <c r="BH159" i="8"/>
  <c r="BH165" i="8" l="1"/>
  <c r="BH179" i="8" s="1"/>
  <c r="BH181" i="8" s="1"/>
  <c r="BH196" i="8"/>
  <c r="BH46" i="8"/>
  <c r="BH41" i="8"/>
  <c r="BH227" i="8"/>
  <c r="BI222" i="8" s="1"/>
  <c r="BH204" i="8" l="1"/>
  <c r="BH47" i="8"/>
  <c r="BH208" i="8"/>
  <c r="BH182" i="8"/>
  <c r="BH188" i="8"/>
  <c r="BH190" i="8" l="1"/>
  <c r="BH214" i="8" s="1"/>
  <c r="BI180" i="8"/>
  <c r="BH186" i="8"/>
  <c r="BI150" i="8" s="1"/>
  <c r="BH48" i="8"/>
  <c r="BH87" i="4"/>
  <c r="BH217" i="8"/>
  <c r="BI27" i="8" l="1"/>
  <c r="BH213" i="8"/>
  <c r="BH199" i="8"/>
  <c r="BH212" i="8" s="1"/>
  <c r="BI29" i="8" l="1"/>
  <c r="BI31" i="8" s="1"/>
  <c r="BI207" i="8"/>
  <c r="BI218" i="8" s="1"/>
  <c r="BH211" i="8"/>
  <c r="BH194" i="8"/>
  <c r="BH197" i="8"/>
  <c r="BH234" i="8" s="1"/>
  <c r="BH200" i="8"/>
  <c r="BH191" i="8"/>
  <c r="BI33" i="8" l="1"/>
  <c r="BI35" i="8" s="1"/>
  <c r="BH239" i="8"/>
  <c r="BH238" i="8"/>
  <c r="BH66" i="8" s="1"/>
  <c r="BI159" i="8" l="1"/>
  <c r="BI39" i="8"/>
  <c r="BI63" i="8"/>
  <c r="BI162" i="8"/>
  <c r="BI165" i="8" l="1"/>
  <c r="BI179" i="8" s="1"/>
  <c r="BI181" i="8" s="1"/>
  <c r="BI196" i="8"/>
  <c r="BI225" i="8"/>
  <c r="BI41" i="8"/>
  <c r="BI46" i="8"/>
  <c r="BI47" i="8" l="1"/>
  <c r="BI208" i="8"/>
  <c r="BI204" i="8"/>
  <c r="BI182" i="8"/>
  <c r="BI188" i="8"/>
  <c r="BI227" i="8"/>
  <c r="BJ222" i="8" s="1"/>
  <c r="BI190" i="8" l="1"/>
  <c r="BI214" i="8" s="1"/>
  <c r="BJ180" i="8"/>
  <c r="BI186" i="8"/>
  <c r="BJ150" i="8" s="1"/>
  <c r="BI217" i="8"/>
  <c r="BI48" i="8"/>
  <c r="BI87" i="4"/>
  <c r="BJ27" i="8" l="1"/>
  <c r="BI213" i="8"/>
  <c r="BI199" i="8"/>
  <c r="BI212" i="8" s="1"/>
  <c r="BJ29" i="8" l="1"/>
  <c r="BJ31" i="8" s="1"/>
  <c r="BJ207" i="8"/>
  <c r="BJ218" i="8" s="1"/>
  <c r="BI194" i="8"/>
  <c r="BI211" i="8"/>
  <c r="BI197" i="8"/>
  <c r="BI234" i="8" s="1"/>
  <c r="BI191" i="8"/>
  <c r="BI200" i="8"/>
  <c r="BI238" i="8" l="1"/>
  <c r="BI66" i="8" s="1"/>
  <c r="BI239" i="8"/>
  <c r="BJ33" i="8"/>
  <c r="BJ63" i="8" l="1"/>
  <c r="BJ162" i="8"/>
  <c r="BJ35" i="8"/>
  <c r="BJ39" i="8" l="1"/>
  <c r="BJ159" i="8"/>
  <c r="BJ225" i="8"/>
  <c r="BJ227" i="8" l="1"/>
  <c r="BK222" i="8" s="1"/>
  <c r="BJ46" i="8"/>
  <c r="BJ41" i="8"/>
  <c r="BJ165" i="8"/>
  <c r="BJ179" i="8" s="1"/>
  <c r="BJ181" i="8" s="1"/>
  <c r="BJ196" i="8"/>
  <c r="BJ182" i="8" l="1"/>
  <c r="BJ188" i="8"/>
  <c r="BJ47" i="8"/>
  <c r="BJ208" i="8"/>
  <c r="BJ204" i="8"/>
  <c r="BJ217" i="8" l="1"/>
  <c r="BJ48" i="8"/>
  <c r="BJ87" i="4"/>
  <c r="BJ190" i="8"/>
  <c r="BK180" i="8"/>
  <c r="BJ186" i="8"/>
  <c r="BK150" i="8" s="1"/>
  <c r="BK27" i="8" l="1"/>
  <c r="BL150" i="8"/>
  <c r="BJ213" i="8"/>
  <c r="BJ199" i="8"/>
  <c r="BJ214" i="8"/>
  <c r="BJ211" i="8" l="1"/>
  <c r="BJ194" i="8"/>
  <c r="BJ197" i="8"/>
  <c r="BJ234" i="8" s="1"/>
  <c r="BJ200" i="8"/>
  <c r="BJ191" i="8"/>
  <c r="BK29" i="8"/>
  <c r="BK31" i="8" s="1"/>
  <c r="BK33" i="8" s="1"/>
  <c r="BK207" i="8"/>
  <c r="BK218" i="8" s="1"/>
  <c r="BL27" i="8"/>
  <c r="BJ212" i="8"/>
  <c r="BJ239" i="8" l="1"/>
  <c r="BJ238" i="8"/>
  <c r="BJ66" i="8" s="1"/>
  <c r="BL29" i="8"/>
  <c r="BL31" i="8" s="1"/>
  <c r="BL207" i="8"/>
  <c r="BL218" i="8" s="1"/>
  <c r="BK63" i="8"/>
  <c r="BK162" i="8"/>
  <c r="BL33" i="8"/>
  <c r="BL63" i="8" l="1"/>
  <c r="BL35" i="8"/>
  <c r="BK225" i="8"/>
  <c r="BL162" i="8"/>
  <c r="BK35" i="8" l="1"/>
  <c r="BL39" i="8"/>
  <c r="BL225" i="8"/>
  <c r="BL227" i="8" s="1"/>
  <c r="BK227" i="8"/>
  <c r="CF27" i="2" l="1"/>
  <c r="BM222" i="8"/>
  <c r="BQ222" i="8"/>
  <c r="BL229" i="8"/>
  <c r="BK159" i="8"/>
  <c r="BK39" i="8"/>
  <c r="BL46" i="8"/>
  <c r="BL41" i="8"/>
  <c r="BK165" i="8" l="1"/>
  <c r="BK179" i="8" s="1"/>
  <c r="BK181" i="8" s="1"/>
  <c r="BL159" i="8"/>
  <c r="BL165" i="8" s="1"/>
  <c r="BL179" i="8" s="1"/>
  <c r="BK196" i="8"/>
  <c r="BL204" i="8"/>
  <c r="BL47" i="8"/>
  <c r="BL208" i="8"/>
  <c r="BK41" i="8"/>
  <c r="BK46" i="8"/>
  <c r="BK47" i="8" l="1"/>
  <c r="BK204" i="8"/>
  <c r="BK208" i="8"/>
  <c r="BL48" i="8"/>
  <c r="BL87" i="4"/>
  <c r="BL196" i="8"/>
  <c r="BK182" i="8"/>
  <c r="BK186" i="8" s="1"/>
  <c r="BL181" i="8"/>
  <c r="BL182" i="8" s="1"/>
  <c r="BK188" i="8"/>
  <c r="BL217" i="8"/>
  <c r="BL186" i="8" l="1"/>
  <c r="BQ180" i="8"/>
  <c r="BM180" i="8"/>
  <c r="BL12" i="3"/>
  <c r="BK48" i="8"/>
  <c r="BK87" i="4"/>
  <c r="BL188" i="8"/>
  <c r="BK190" i="8"/>
  <c r="BK214" i="8" s="1"/>
  <c r="BK217" i="8"/>
  <c r="BL190" i="8" l="1"/>
  <c r="BL199" i="8" s="1"/>
  <c r="BL211" i="8" s="1"/>
  <c r="BM150" i="8"/>
  <c r="BK213" i="8"/>
  <c r="BL197" i="8" l="1"/>
  <c r="BL234" i="8" s="1"/>
  <c r="BL239" i="8" s="1"/>
  <c r="BL67" i="8" s="1"/>
  <c r="BL194" i="8"/>
  <c r="BL200" i="8"/>
  <c r="BL214" i="8"/>
  <c r="BL191" i="8"/>
  <c r="BL212" i="8"/>
  <c r="BL213" i="8"/>
  <c r="BK199" i="8"/>
  <c r="BK200" i="8" s="1"/>
  <c r="BM27" i="8"/>
  <c r="BL238" i="8" l="1"/>
  <c r="BL66" i="8" s="1"/>
  <c r="BK194" i="8"/>
  <c r="BK197" i="8"/>
  <c r="BK234" i="8" s="1"/>
  <c r="BK239" i="8" s="1"/>
  <c r="BK212" i="8"/>
  <c r="BK211" i="8"/>
  <c r="BK191" i="8"/>
  <c r="BM29" i="8"/>
  <c r="BM31" i="8" s="1"/>
  <c r="BM207" i="8"/>
  <c r="BM218" i="8" s="1"/>
  <c r="AV49" i="9"/>
  <c r="AW49" i="9"/>
  <c r="AV50" i="9"/>
  <c r="AW50" i="9"/>
  <c r="AV128" i="4"/>
  <c r="AV130" i="4" s="1"/>
  <c r="AW128" i="4"/>
  <c r="AW130" i="4" s="1"/>
  <c r="BK238" i="8" l="1"/>
  <c r="BK66" i="8" s="1"/>
  <c r="BM33" i="8"/>
  <c r="BM35" i="8" s="1"/>
  <c r="AW114" i="6"/>
  <c r="AS115" i="6" s="1"/>
  <c r="AV127" i="6"/>
  <c r="BA127" i="6" s="1"/>
  <c r="BM159" i="8" l="1"/>
  <c r="BM39" i="8"/>
  <c r="BM63" i="8"/>
  <c r="BM162" i="8"/>
  <c r="AU115" i="6"/>
  <c r="AW135" i="6"/>
  <c r="AW136" i="6" s="1"/>
  <c r="AT115" i="6"/>
  <c r="BA114" i="6"/>
  <c r="BF127" i="6"/>
  <c r="AW127" i="6"/>
  <c r="BM225" i="8" l="1"/>
  <c r="BM46" i="8"/>
  <c r="BM41" i="8"/>
  <c r="BM165" i="8"/>
  <c r="BM179" i="8" s="1"/>
  <c r="BM181" i="8" s="1"/>
  <c r="BM196" i="8"/>
  <c r="BF114" i="6"/>
  <c r="BK127" i="6"/>
  <c r="BA9" i="6"/>
  <c r="BB114" i="6"/>
  <c r="BA135" i="6"/>
  <c r="BA136" i="6" s="1"/>
  <c r="BK114" i="6" l="1"/>
  <c r="BK9" i="6" s="1"/>
  <c r="BP127" i="6"/>
  <c r="BP114" i="6" s="1"/>
  <c r="BM182" i="8"/>
  <c r="BM188" i="8"/>
  <c r="BM208" i="8"/>
  <c r="BM47" i="8"/>
  <c r="BM204" i="8"/>
  <c r="BM227" i="8"/>
  <c r="BN222" i="8" s="1"/>
  <c r="BB127" i="6"/>
  <c r="BB135" i="6"/>
  <c r="BB136" i="6" s="1"/>
  <c r="BB9" i="6"/>
  <c r="BB11" i="6" s="1"/>
  <c r="BA9" i="4"/>
  <c r="BA11" i="6"/>
  <c r="BF135" i="6"/>
  <c r="BF136" i="6" s="1"/>
  <c r="BF9" i="6"/>
  <c r="BG114" i="6"/>
  <c r="BK135" i="6" l="1"/>
  <c r="BK136" i="6" s="1"/>
  <c r="BL114" i="6"/>
  <c r="BP135" i="6"/>
  <c r="BP9" i="6"/>
  <c r="BQ114" i="6"/>
  <c r="BM48" i="8"/>
  <c r="BM87" i="4"/>
  <c r="BM190" i="8"/>
  <c r="BM214" i="8" s="1"/>
  <c r="BN180" i="8"/>
  <c r="BM186" i="8"/>
  <c r="BN150" i="8" s="1"/>
  <c r="BM217" i="8"/>
  <c r="BB9" i="4"/>
  <c r="BB11" i="4" s="1"/>
  <c r="BA11" i="4"/>
  <c r="BG135" i="6"/>
  <c r="BG136" i="6" s="1"/>
  <c r="BG127" i="6"/>
  <c r="BL127" i="6"/>
  <c r="BL135" i="6"/>
  <c r="BB17" i="6"/>
  <c r="BB25" i="6"/>
  <c r="BB31" i="6" s="1"/>
  <c r="BF11" i="6"/>
  <c r="BG9" i="6"/>
  <c r="BG11" i="6" s="1"/>
  <c r="BF9" i="4"/>
  <c r="BL9" i="6"/>
  <c r="BL11" i="6" s="1"/>
  <c r="BK9" i="4"/>
  <c r="BK11" i="6"/>
  <c r="BA17" i="6"/>
  <c r="BA25" i="6"/>
  <c r="BP136" i="6" l="1"/>
  <c r="BQ135" i="6"/>
  <c r="BQ136" i="6" s="1"/>
  <c r="BQ127" i="6"/>
  <c r="BP11" i="6"/>
  <c r="BQ9" i="6"/>
  <c r="BQ11" i="6" s="1"/>
  <c r="BP9" i="4"/>
  <c r="BN27" i="8"/>
  <c r="BM213" i="8"/>
  <c r="BM199" i="8"/>
  <c r="BM191" i="8" s="1"/>
  <c r="BL17" i="6"/>
  <c r="BL25" i="6"/>
  <c r="BL31" i="6" s="1"/>
  <c r="BB38" i="6"/>
  <c r="BB32" i="6"/>
  <c r="BB241" i="6"/>
  <c r="BB254" i="6" s="1"/>
  <c r="BF11" i="4"/>
  <c r="BG9" i="4"/>
  <c r="BG11" i="4" s="1"/>
  <c r="BA31" i="6"/>
  <c r="BA29" i="4"/>
  <c r="BK17" i="6"/>
  <c r="BK25" i="6"/>
  <c r="BG25" i="6"/>
  <c r="BG31" i="6" s="1"/>
  <c r="BG17" i="6"/>
  <c r="BL136" i="6"/>
  <c r="BA18" i="4"/>
  <c r="BA31" i="4"/>
  <c r="BA39" i="4" s="1"/>
  <c r="BL9" i="4"/>
  <c r="BL11" i="4" s="1"/>
  <c r="BK11" i="4"/>
  <c r="BF25" i="6"/>
  <c r="BF17" i="6"/>
  <c r="BB18" i="4"/>
  <c r="BB31" i="4"/>
  <c r="BB39" i="4" s="1"/>
  <c r="BQ17" i="6" l="1"/>
  <c r="BQ25" i="6"/>
  <c r="BQ31" i="6" s="1"/>
  <c r="BP17" i="6"/>
  <c r="BP25" i="6"/>
  <c r="BQ9" i="4"/>
  <c r="BQ11" i="4" s="1"/>
  <c r="BP11" i="4"/>
  <c r="BM212" i="8"/>
  <c r="BN29" i="8"/>
  <c r="BN31" i="8" s="1"/>
  <c r="BN33" i="8" s="1"/>
  <c r="BN207" i="8"/>
  <c r="BN218" i="8" s="1"/>
  <c r="BM194" i="8"/>
  <c r="BM211" i="8"/>
  <c r="BM197" i="8"/>
  <c r="BM234" i="8" s="1"/>
  <c r="BM200" i="8"/>
  <c r="BF29" i="4"/>
  <c r="BF31" i="6"/>
  <c r="BA46" i="4"/>
  <c r="BA234" i="4"/>
  <c r="BA247" i="4" s="1"/>
  <c r="BE234" i="4"/>
  <c r="BA40" i="4"/>
  <c r="BC234" i="4"/>
  <c r="BD234" i="4"/>
  <c r="BG32" i="6"/>
  <c r="BG241" i="6"/>
  <c r="BA38" i="6"/>
  <c r="BD241" i="6"/>
  <c r="BA241" i="6"/>
  <c r="BA254" i="6" s="1"/>
  <c r="BE241" i="6"/>
  <c r="BA32" i="6"/>
  <c r="BC241" i="6"/>
  <c r="BB28" i="3"/>
  <c r="BB242" i="6"/>
  <c r="BK31" i="6"/>
  <c r="BK29" i="4"/>
  <c r="BG18" i="4"/>
  <c r="BG31" i="4"/>
  <c r="BG39" i="4" s="1"/>
  <c r="BB46" i="4"/>
  <c r="BB234" i="4"/>
  <c r="BB247" i="4" s="1"/>
  <c r="DT29" i="3" s="1"/>
  <c r="BB40" i="4"/>
  <c r="BB235" i="4" s="1"/>
  <c r="BK18" i="4"/>
  <c r="BK31" i="4"/>
  <c r="BK39" i="4" s="1"/>
  <c r="BF18" i="4"/>
  <c r="BF31" i="4"/>
  <c r="BF39" i="4" s="1"/>
  <c r="BL241" i="6"/>
  <c r="BL32" i="6"/>
  <c r="BL18" i="4"/>
  <c r="BL31" i="4"/>
  <c r="BL39" i="4" s="1"/>
  <c r="BA28" i="3"/>
  <c r="BB29" i="4"/>
  <c r="BB32" i="4" s="1"/>
  <c r="BA32" i="4"/>
  <c r="BO241" i="6" l="1"/>
  <c r="BN241" i="6"/>
  <c r="BM241" i="6"/>
  <c r="BA40" i="6"/>
  <c r="BA71" i="6" s="1"/>
  <c r="BP29" i="4"/>
  <c r="BP31" i="6"/>
  <c r="BQ32" i="6"/>
  <c r="BQ241" i="6"/>
  <c r="BQ18" i="4"/>
  <c r="BQ31" i="4"/>
  <c r="BQ39" i="4" s="1"/>
  <c r="BP18" i="4"/>
  <c r="BP31" i="4"/>
  <c r="BP39" i="4" s="1"/>
  <c r="BO234" i="4"/>
  <c r="BN234" i="4"/>
  <c r="BM234" i="4"/>
  <c r="BM239" i="8"/>
  <c r="BM238" i="8"/>
  <c r="BM66" i="8" s="1"/>
  <c r="BN35" i="8"/>
  <c r="BN162" i="8"/>
  <c r="BN63" i="8"/>
  <c r="BA48" i="4"/>
  <c r="BK40" i="4"/>
  <c r="BK234" i="4"/>
  <c r="BB30" i="3"/>
  <c r="BB33" i="3" s="1"/>
  <c r="BA235" i="4"/>
  <c r="BE235" i="4"/>
  <c r="BC235" i="4"/>
  <c r="BD235" i="4"/>
  <c r="BL28" i="3"/>
  <c r="BL242" i="6"/>
  <c r="BL40" i="4"/>
  <c r="BL235" i="4" s="1"/>
  <c r="BL234" i="4"/>
  <c r="BL29" i="4"/>
  <c r="BL32" i="4" s="1"/>
  <c r="BK32" i="4"/>
  <c r="BG28" i="3"/>
  <c r="BG242" i="6"/>
  <c r="BF32" i="6"/>
  <c r="BH241" i="6"/>
  <c r="BI241" i="6"/>
  <c r="BJ241" i="6"/>
  <c r="BF241" i="6"/>
  <c r="BA30" i="3"/>
  <c r="BA56" i="3" s="1"/>
  <c r="BF40" i="4"/>
  <c r="BI234" i="4"/>
  <c r="BF234" i="4"/>
  <c r="BJ234" i="4"/>
  <c r="BH234" i="4"/>
  <c r="BG40" i="4"/>
  <c r="BG235" i="4" s="1"/>
  <c r="BG234" i="4"/>
  <c r="BK32" i="6"/>
  <c r="BK241" i="6"/>
  <c r="BD242" i="6"/>
  <c r="BA242" i="6"/>
  <c r="BE242" i="6"/>
  <c r="BC242" i="6"/>
  <c r="BF32" i="4"/>
  <c r="BG29" i="4"/>
  <c r="BG32" i="4" s="1"/>
  <c r="BA198" i="6" l="1"/>
  <c r="BB198" i="6" s="1"/>
  <c r="BB261" i="6" s="1"/>
  <c r="BB263" i="6" s="1"/>
  <c r="CD28" i="2" s="1"/>
  <c r="CD29" i="2" s="1"/>
  <c r="BK242" i="6"/>
  <c r="BO242" i="6"/>
  <c r="BM242" i="6"/>
  <c r="BN242" i="6"/>
  <c r="BQ40" i="4"/>
  <c r="BQ235" i="4" s="1"/>
  <c r="BQ234" i="4"/>
  <c r="BP32" i="6"/>
  <c r="BP242" i="6" s="1"/>
  <c r="BP241" i="6"/>
  <c r="BQ242" i="6"/>
  <c r="BQ28" i="3"/>
  <c r="BQ30" i="3" s="1"/>
  <c r="BQ33" i="3" s="1"/>
  <c r="BB40" i="6"/>
  <c r="BB42" i="6" s="1"/>
  <c r="BQ29" i="4"/>
  <c r="BQ32" i="4" s="1"/>
  <c r="BP32" i="4"/>
  <c r="BP40" i="4"/>
  <c r="BP235" i="4" s="1"/>
  <c r="BP234" i="4"/>
  <c r="BK235" i="4"/>
  <c r="BO235" i="4"/>
  <c r="BN235" i="4"/>
  <c r="BM235" i="4"/>
  <c r="BN159" i="8"/>
  <c r="BN39" i="8"/>
  <c r="BN225" i="8"/>
  <c r="BA29" i="9"/>
  <c r="BB48" i="4"/>
  <c r="BA117" i="4"/>
  <c r="BG30" i="3"/>
  <c r="BG33" i="3" s="1"/>
  <c r="BL30" i="3"/>
  <c r="BL33" i="3" s="1"/>
  <c r="BI235" i="4"/>
  <c r="BF235" i="4"/>
  <c r="BJ235" i="4"/>
  <c r="BH235" i="4"/>
  <c r="BH242" i="6"/>
  <c r="BI242" i="6"/>
  <c r="BF242" i="6"/>
  <c r="BJ242" i="6"/>
  <c r="BA33" i="3"/>
  <c r="BA50" i="4"/>
  <c r="BA54" i="4" s="1"/>
  <c r="BB71" i="6" l="1"/>
  <c r="BA261" i="6"/>
  <c r="BA263" i="6" s="1"/>
  <c r="BA137" i="4"/>
  <c r="BA56" i="9" s="1"/>
  <c r="BN227" i="8"/>
  <c r="BO222" i="8" s="1"/>
  <c r="BN41" i="8"/>
  <c r="BN46" i="8"/>
  <c r="BN165" i="8"/>
  <c r="BN179" i="8" s="1"/>
  <c r="BN181" i="8" s="1"/>
  <c r="BN196" i="8"/>
  <c r="BA31" i="9"/>
  <c r="BA35" i="9" s="1"/>
  <c r="BB29" i="9"/>
  <c r="BB31" i="9" s="1"/>
  <c r="BB35" i="9" s="1"/>
  <c r="BB265" i="6"/>
  <c r="BC258" i="6"/>
  <c r="BG258" i="6"/>
  <c r="BA56" i="4"/>
  <c r="BA62" i="4"/>
  <c r="BA204" i="4"/>
  <c r="BA134" i="4"/>
  <c r="BA251" i="4"/>
  <c r="BA42" i="6"/>
  <c r="BB46" i="6"/>
  <c r="BB117" i="4"/>
  <c r="BB50" i="4"/>
  <c r="BB54" i="4" s="1"/>
  <c r="BB137" i="4" l="1"/>
  <c r="BA195" i="4"/>
  <c r="BA200" i="4" s="1"/>
  <c r="BN182" i="8"/>
  <c r="BN188" i="8"/>
  <c r="BN47" i="8"/>
  <c r="BN204" i="8"/>
  <c r="BN208" i="8"/>
  <c r="BB56" i="9"/>
  <c r="BB127" i="4" s="1"/>
  <c r="BA127" i="4"/>
  <c r="BB56" i="4"/>
  <c r="BB62" i="4"/>
  <c r="BB251" i="4"/>
  <c r="BA63" i="4"/>
  <c r="BA75" i="4" s="1"/>
  <c r="BA233" i="4"/>
  <c r="BA254" i="4"/>
  <c r="BA255" i="4" s="1"/>
  <c r="BA237" i="4"/>
  <c r="BB48" i="6"/>
  <c r="BB53" i="6"/>
  <c r="BA225" i="4"/>
  <c r="BB134" i="4"/>
  <c r="BA140" i="4"/>
  <c r="BB37" i="9"/>
  <c r="CD35" i="2" s="1"/>
  <c r="BB42" i="9"/>
  <c r="BA46" i="6"/>
  <c r="BA195" i="6"/>
  <c r="BA207" i="4"/>
  <c r="BB204" i="4"/>
  <c r="BA37" i="9"/>
  <c r="BA42" i="9"/>
  <c r="BB140" i="4" l="1"/>
  <c r="BB158" i="4" s="1"/>
  <c r="BB195" i="4"/>
  <c r="BN217" i="8"/>
  <c r="BN190" i="8"/>
  <c r="BN186" i="8"/>
  <c r="BO150" i="8" s="1"/>
  <c r="BO180" i="8"/>
  <c r="BN87" i="4"/>
  <c r="BN48" i="8"/>
  <c r="BA43" i="9"/>
  <c r="BA54" i="9"/>
  <c r="BA126" i="4"/>
  <c r="BA130" i="4" s="1"/>
  <c r="BB43" i="9"/>
  <c r="BB126" i="4"/>
  <c r="BB130" i="4" s="1"/>
  <c r="BB200" i="4"/>
  <c r="BB63" i="4"/>
  <c r="BB8" i="2" s="1"/>
  <c r="BB14" i="2" s="1"/>
  <c r="BB17" i="2" s="1"/>
  <c r="BB19" i="2" s="1"/>
  <c r="BB233" i="4"/>
  <c r="BB254" i="4"/>
  <c r="BB255" i="4" s="1"/>
  <c r="BB237" i="4"/>
  <c r="BB195" i="6"/>
  <c r="BB201" i="6" s="1"/>
  <c r="BB215" i="6" s="1"/>
  <c r="BA232" i="6"/>
  <c r="BA201" i="6"/>
  <c r="BA215" i="6" s="1"/>
  <c r="BA217" i="6" s="1"/>
  <c r="BA48" i="6"/>
  <c r="BA53" i="6"/>
  <c r="DS41" i="3"/>
  <c r="BA158" i="4"/>
  <c r="BA160" i="4" s="1"/>
  <c r="BB244" i="6"/>
  <c r="BB54" i="6"/>
  <c r="BB240" i="6"/>
  <c r="BA246" i="4"/>
  <c r="BB207" i="4"/>
  <c r="DT44" i="3" l="1"/>
  <c r="DT41" i="3" s="1"/>
  <c r="DT53" i="3" s="1"/>
  <c r="DT56" i="3" s="1"/>
  <c r="DT60" i="3" s="1"/>
  <c r="BO27" i="8"/>
  <c r="BN213" i="8"/>
  <c r="BN199" i="8"/>
  <c r="BN200" i="8" s="1"/>
  <c r="BN214" i="8"/>
  <c r="BB225" i="4"/>
  <c r="BB55" i="6"/>
  <c r="BB88" i="4"/>
  <c r="BB64" i="4"/>
  <c r="BB75" i="4"/>
  <c r="BA161" i="4"/>
  <c r="BA187" i="4"/>
  <c r="BA217" i="4"/>
  <c r="BB160" i="4"/>
  <c r="BA54" i="6"/>
  <c r="BA240" i="6"/>
  <c r="BA244" i="6"/>
  <c r="BA218" i="6"/>
  <c r="BA222" i="6" s="1"/>
  <c r="BA224" i="6"/>
  <c r="BB217" i="6"/>
  <c r="BB218" i="6" s="1"/>
  <c r="BB54" i="9"/>
  <c r="BB58" i="9" s="1"/>
  <c r="BB69" i="9" s="1"/>
  <c r="BA58" i="9"/>
  <c r="BA69" i="9" s="1"/>
  <c r="BB253" i="6"/>
  <c r="BB232" i="6"/>
  <c r="BB246" i="4"/>
  <c r="DT28" i="3" s="1"/>
  <c r="BB44" i="9"/>
  <c r="BB89" i="4"/>
  <c r="BB14" i="3" s="1"/>
  <c r="BA44" i="9"/>
  <c r="BA89" i="4"/>
  <c r="BN197" i="8" l="1"/>
  <c r="BN234" i="8" s="1"/>
  <c r="BN194" i="8"/>
  <c r="BN211" i="8"/>
  <c r="BN191" i="8"/>
  <c r="BN212" i="8"/>
  <c r="BO29" i="8"/>
  <c r="BO31" i="8" s="1"/>
  <c r="BO33" i="8" s="1"/>
  <c r="BO207" i="8"/>
  <c r="BO218" i="8" s="1"/>
  <c r="BC216" i="6"/>
  <c r="BB222" i="6"/>
  <c r="BG216" i="6"/>
  <c r="BA253" i="6"/>
  <c r="BA191" i="4"/>
  <c r="BA209" i="4" s="1"/>
  <c r="BB187" i="4"/>
  <c r="BA55" i="6"/>
  <c r="BA88" i="4"/>
  <c r="BA90" i="4" s="1"/>
  <c r="BA226" i="6"/>
  <c r="BB224" i="6"/>
  <c r="BA166" i="4"/>
  <c r="BA215" i="4"/>
  <c r="DT17" i="3"/>
  <c r="BB58" i="3" s="1"/>
  <c r="DT66" i="3"/>
  <c r="DT68" i="3" s="1"/>
  <c r="BB161" i="4"/>
  <c r="BA219" i="4"/>
  <c r="BB217" i="4"/>
  <c r="BB13" i="3"/>
  <c r="CD51" i="2" s="1"/>
  <c r="CD32" i="2" s="1"/>
  <c r="CD34" i="2" s="1"/>
  <c r="CD36" i="2" s="1"/>
  <c r="CD39" i="2" s="1"/>
  <c r="CD45" i="2" s="1"/>
  <c r="CD47" i="2" s="1"/>
  <c r="CD49" i="2" s="1"/>
  <c r="BB90" i="4"/>
  <c r="BO35" i="8" l="1"/>
  <c r="BO162" i="8"/>
  <c r="BO63" i="8"/>
  <c r="BN238" i="8"/>
  <c r="BN66" i="8" s="1"/>
  <c r="BN239" i="8"/>
  <c r="BA170" i="4"/>
  <c r="BA185" i="4" s="1"/>
  <c r="BB166" i="4"/>
  <c r="BB170" i="4" s="1"/>
  <c r="BB185" i="4" s="1"/>
  <c r="BB15" i="3"/>
  <c r="BB20" i="3" s="1"/>
  <c r="BC186" i="6"/>
  <c r="BB226" i="6"/>
  <c r="BA249" i="6"/>
  <c r="BB191" i="4"/>
  <c r="BB209" i="4" s="1"/>
  <c r="DT11" i="3"/>
  <c r="DT14" i="3" s="1"/>
  <c r="BB215" i="4"/>
  <c r="DT9" i="3" s="1"/>
  <c r="BC159" i="4"/>
  <c r="BG159" i="4"/>
  <c r="BB219" i="4"/>
  <c r="BA242" i="4"/>
  <c r="BA228" i="4"/>
  <c r="BA229" i="4" s="1"/>
  <c r="BA243" i="4"/>
  <c r="BA250" i="6"/>
  <c r="BO225" i="8" l="1"/>
  <c r="BO39" i="8"/>
  <c r="BO159" i="8"/>
  <c r="BC107" i="4"/>
  <c r="BC111" i="4" s="1"/>
  <c r="BC42" i="4" s="1"/>
  <c r="DT19" i="3"/>
  <c r="BB67" i="3"/>
  <c r="BB68" i="3" s="1"/>
  <c r="BB56" i="3" s="1"/>
  <c r="BB249" i="6"/>
  <c r="BB250" i="6"/>
  <c r="BB235" i="6"/>
  <c r="BB248" i="6" s="1"/>
  <c r="BC34" i="6"/>
  <c r="BB211" i="4"/>
  <c r="BB61" i="3"/>
  <c r="BB242" i="4"/>
  <c r="DT24" i="3" s="1"/>
  <c r="BB243" i="4"/>
  <c r="DT25" i="3" s="1"/>
  <c r="BB228" i="4"/>
  <c r="BB220" i="4" s="1"/>
  <c r="AC17" i="3"/>
  <c r="AW17" i="3"/>
  <c r="BB42" i="3"/>
  <c r="BB60" i="3"/>
  <c r="BB16" i="3"/>
  <c r="AH17" i="3"/>
  <c r="BB55" i="3"/>
  <c r="AM17" i="3"/>
  <c r="AR17" i="3"/>
  <c r="BB62" i="3"/>
  <c r="BA223" i="4"/>
  <c r="BA240" i="4"/>
  <c r="BA226" i="4"/>
  <c r="BA241" i="4"/>
  <c r="BA220" i="4"/>
  <c r="BA62" i="3"/>
  <c r="BA211" i="4"/>
  <c r="BA61" i="3"/>
  <c r="BO41" i="8" l="1"/>
  <c r="BO46" i="8"/>
  <c r="BO165" i="8"/>
  <c r="BO179" i="8" s="1"/>
  <c r="BO181" i="8" s="1"/>
  <c r="BO196" i="8"/>
  <c r="BO227" i="8"/>
  <c r="BP222" i="8" s="1"/>
  <c r="BB223" i="4"/>
  <c r="BB240" i="4"/>
  <c r="DT22" i="3" s="1"/>
  <c r="BB226" i="4"/>
  <c r="BB229" i="4"/>
  <c r="BB247" i="6"/>
  <c r="BA235" i="6"/>
  <c r="BB230" i="6"/>
  <c r="BB233" i="6"/>
  <c r="BB270" i="6" s="1"/>
  <c r="BC243" i="6"/>
  <c r="BC254" i="6" s="1"/>
  <c r="BC36" i="6"/>
  <c r="BC38" i="6" s="1"/>
  <c r="BB227" i="6"/>
  <c r="BB241" i="4"/>
  <c r="DT23" i="3" s="1"/>
  <c r="BC236" i="4"/>
  <c r="BC247" i="4" s="1"/>
  <c r="BC44" i="4"/>
  <c r="BB236" i="6"/>
  <c r="BO182" i="8" l="1"/>
  <c r="BO188" i="8"/>
  <c r="BO47" i="8"/>
  <c r="BO204" i="8"/>
  <c r="BO208" i="8"/>
  <c r="BB274" i="6"/>
  <c r="BB74" i="6" s="1"/>
  <c r="BB275" i="6"/>
  <c r="BB75" i="6" s="1"/>
  <c r="BA230" i="6"/>
  <c r="BA247" i="6"/>
  <c r="BA233" i="6"/>
  <c r="BA270" i="6" s="1"/>
  <c r="BA227" i="6"/>
  <c r="BA236" i="6"/>
  <c r="BA248" i="6"/>
  <c r="BC25" i="9"/>
  <c r="BC46" i="4"/>
  <c r="BC40" i="6"/>
  <c r="BC42" i="6" s="1"/>
  <c r="BO48" i="8" l="1"/>
  <c r="BO87" i="4"/>
  <c r="BO217" i="8"/>
  <c r="BO190" i="8"/>
  <c r="BO214" i="8" s="1"/>
  <c r="BP180" i="8"/>
  <c r="BO186" i="8"/>
  <c r="BP150" i="8" s="1"/>
  <c r="BC198" i="6"/>
  <c r="BC71" i="6"/>
  <c r="BC195" i="6"/>
  <c r="BC46" i="6"/>
  <c r="BC48" i="4"/>
  <c r="BC50" i="4" s="1"/>
  <c r="BC54" i="4" s="1"/>
  <c r="BC27" i="9"/>
  <c r="BA274" i="6"/>
  <c r="BA74" i="6" s="1"/>
  <c r="BA275" i="6"/>
  <c r="BP27" i="8" l="1"/>
  <c r="BQ150" i="8"/>
  <c r="BO199" i="8"/>
  <c r="BO212" i="8" s="1"/>
  <c r="BO213" i="8"/>
  <c r="BC134" i="4"/>
  <c r="BC62" i="4"/>
  <c r="BC56" i="4"/>
  <c r="BC251" i="4"/>
  <c r="BC204" i="4"/>
  <c r="BC201" i="6"/>
  <c r="BC215" i="6" s="1"/>
  <c r="BC217" i="6" s="1"/>
  <c r="BC232" i="6"/>
  <c r="BC117" i="4"/>
  <c r="BC29" i="9"/>
  <c r="BC31" i="9" s="1"/>
  <c r="BC35" i="9" s="1"/>
  <c r="BC48" i="6"/>
  <c r="BC53" i="6"/>
  <c r="BC137" i="4"/>
  <c r="BC261" i="6"/>
  <c r="BC263" i="6" s="1"/>
  <c r="BD258" i="6" s="1"/>
  <c r="BO191" i="8" l="1"/>
  <c r="BO200" i="8"/>
  <c r="BO197" i="8"/>
  <c r="BO234" i="8" s="1"/>
  <c r="BO194" i="8"/>
  <c r="BO211" i="8"/>
  <c r="BP29" i="8"/>
  <c r="BP31" i="8" s="1"/>
  <c r="BP33" i="8" s="1"/>
  <c r="BQ27" i="8"/>
  <c r="BP207" i="8"/>
  <c r="BP218" i="8" s="1"/>
  <c r="BC37" i="9"/>
  <c r="BC42" i="9"/>
  <c r="BC56" i="9"/>
  <c r="BC195" i="4"/>
  <c r="BC218" i="6"/>
  <c r="BC224" i="6"/>
  <c r="BC237" i="4"/>
  <c r="BC63" i="4"/>
  <c r="BC75" i="4" s="1"/>
  <c r="BC233" i="4"/>
  <c r="BC254" i="4"/>
  <c r="BC255" i="4" s="1"/>
  <c r="BC244" i="6"/>
  <c r="BC240" i="6"/>
  <c r="BC54" i="6"/>
  <c r="BC207" i="4"/>
  <c r="BC140" i="4"/>
  <c r="BC158" i="4" s="1"/>
  <c r="BC160" i="4" s="1"/>
  <c r="BC225" i="4"/>
  <c r="BQ29" i="8" l="1"/>
  <c r="BQ31" i="8" s="1"/>
  <c r="BQ207" i="8"/>
  <c r="BQ218" i="8" s="1"/>
  <c r="BO238" i="8"/>
  <c r="BO66" i="8" s="1"/>
  <c r="BO239" i="8"/>
  <c r="BP63" i="8"/>
  <c r="BP162" i="8"/>
  <c r="BQ162" i="8" s="1"/>
  <c r="BQ33" i="8"/>
  <c r="BC253" i="6"/>
  <c r="BC226" i="6"/>
  <c r="BC127" i="4"/>
  <c r="BC126" i="4"/>
  <c r="BC43" i="9"/>
  <c r="BC54" i="9"/>
  <c r="BC161" i="4"/>
  <c r="BC217" i="4"/>
  <c r="BC187" i="4"/>
  <c r="BD216" i="6"/>
  <c r="BC222" i="6"/>
  <c r="BD186" i="6" s="1"/>
  <c r="BC55" i="6"/>
  <c r="BC88" i="4"/>
  <c r="BC246" i="4"/>
  <c r="BC200" i="4"/>
  <c r="BQ63" i="8" l="1"/>
  <c r="BP225" i="8"/>
  <c r="BQ35" i="8"/>
  <c r="BC130" i="4"/>
  <c r="BD34" i="6"/>
  <c r="BD159" i="4"/>
  <c r="BC166" i="4"/>
  <c r="BC170" i="4" s="1"/>
  <c r="BC185" i="4" s="1"/>
  <c r="BC215" i="4"/>
  <c r="BC191" i="4"/>
  <c r="BC209" i="4" s="1"/>
  <c r="BC58" i="9"/>
  <c r="BC69" i="9" s="1"/>
  <c r="BC219" i="4"/>
  <c r="BC89" i="4"/>
  <c r="BC90" i="4" s="1"/>
  <c r="BC44" i="9"/>
  <c r="BC249" i="6"/>
  <c r="BC235" i="6"/>
  <c r="BC227" i="6" s="1"/>
  <c r="BC250" i="6"/>
  <c r="BP35" i="8" l="1"/>
  <c r="BQ39" i="8"/>
  <c r="BQ225" i="8"/>
  <c r="BQ227" i="8" s="1"/>
  <c r="BP227" i="8"/>
  <c r="BD107" i="4"/>
  <c r="BD111" i="4" s="1"/>
  <c r="BD42" i="4" s="1"/>
  <c r="BC236" i="6"/>
  <c r="BC242" i="4"/>
  <c r="BC243" i="4"/>
  <c r="BC228" i="4"/>
  <c r="BC229" i="4" s="1"/>
  <c r="BD36" i="6"/>
  <c r="BD38" i="6" s="1"/>
  <c r="BD243" i="6"/>
  <c r="BD254" i="6" s="1"/>
  <c r="BC247" i="6"/>
  <c r="BC230" i="6"/>
  <c r="BC233" i="6"/>
  <c r="BC270" i="6" s="1"/>
  <c r="BC248" i="6"/>
  <c r="BC211" i="4"/>
  <c r="BQ229" i="8" l="1"/>
  <c r="CG27" i="2"/>
  <c r="BQ46" i="8"/>
  <c r="BQ41" i="8"/>
  <c r="BP159" i="8"/>
  <c r="BP39" i="8"/>
  <c r="BC220" i="4"/>
  <c r="BC241" i="4"/>
  <c r="BC274" i="6"/>
  <c r="BC74" i="6" s="1"/>
  <c r="BC275" i="6"/>
  <c r="BD40" i="6"/>
  <c r="BD44" i="4"/>
  <c r="BD236" i="4"/>
  <c r="BD247" i="4" s="1"/>
  <c r="BC240" i="4"/>
  <c r="BC223" i="4"/>
  <c r="BC226" i="4"/>
  <c r="BP41" i="8" l="1"/>
  <c r="BP46" i="8"/>
  <c r="BQ47" i="8"/>
  <c r="BQ204" i="8"/>
  <c r="BQ208" i="8"/>
  <c r="BP165" i="8"/>
  <c r="BP179" i="8" s="1"/>
  <c r="BP181" i="8" s="1"/>
  <c r="BQ159" i="8"/>
  <c r="BQ165" i="8" s="1"/>
  <c r="BQ179" i="8" s="1"/>
  <c r="BP196" i="8"/>
  <c r="BD71" i="6"/>
  <c r="BD198" i="6"/>
  <c r="BD25" i="9"/>
  <c r="BD46" i="4"/>
  <c r="BD42" i="6"/>
  <c r="BQ87" i="4" l="1"/>
  <c r="BQ12" i="3" s="1"/>
  <c r="BQ48" i="8"/>
  <c r="BP47" i="8"/>
  <c r="BP208" i="8"/>
  <c r="BP204" i="8"/>
  <c r="BQ196" i="8"/>
  <c r="BP182" i="8"/>
  <c r="BP186" i="8" s="1"/>
  <c r="BQ181" i="8"/>
  <c r="BQ182" i="8" s="1"/>
  <c r="BQ186" i="8" s="1"/>
  <c r="BP188" i="8"/>
  <c r="BQ217" i="8"/>
  <c r="BD46" i="6"/>
  <c r="BD195" i="6"/>
  <c r="BD261" i="6"/>
  <c r="BD263" i="6" s="1"/>
  <c r="BE258" i="6" s="1"/>
  <c r="BD137" i="4"/>
  <c r="BD27" i="9"/>
  <c r="BD48" i="4"/>
  <c r="BP217" i="8" l="1"/>
  <c r="BP87" i="4"/>
  <c r="BP48" i="8"/>
  <c r="BQ188" i="8"/>
  <c r="BQ190" i="8" s="1"/>
  <c r="BQ199" i="8" s="1"/>
  <c r="BQ197" i="8" s="1"/>
  <c r="BQ234" i="8" s="1"/>
  <c r="BP190" i="8"/>
  <c r="BD56" i="9"/>
  <c r="BD195" i="4"/>
  <c r="BD29" i="9"/>
  <c r="BD31" i="9" s="1"/>
  <c r="BD35" i="9" s="1"/>
  <c r="BD117" i="4"/>
  <c r="BD201" i="6"/>
  <c r="BD215" i="6" s="1"/>
  <c r="BD217" i="6" s="1"/>
  <c r="BD232" i="6"/>
  <c r="BD50" i="4"/>
  <c r="BD54" i="4" s="1"/>
  <c r="BD48" i="6"/>
  <c r="BD53" i="6"/>
  <c r="BQ238" i="8" l="1"/>
  <c r="BQ66" i="8" s="1"/>
  <c r="BQ239" i="8"/>
  <c r="BQ67" i="8" s="1"/>
  <c r="BQ213" i="8"/>
  <c r="BQ191" i="8"/>
  <c r="BQ200" i="8"/>
  <c r="BQ214" i="8"/>
  <c r="BP213" i="8"/>
  <c r="BP214" i="8"/>
  <c r="BQ212" i="8"/>
  <c r="BP199" i="8"/>
  <c r="BP212" i="8" s="1"/>
  <c r="BQ194" i="8"/>
  <c r="BQ211" i="8"/>
  <c r="BD42" i="9"/>
  <c r="BD37" i="9"/>
  <c r="BD54" i="6"/>
  <c r="BD244" i="6"/>
  <c r="BD240" i="6"/>
  <c r="BD134" i="4"/>
  <c r="BD56" i="4"/>
  <c r="BD62" i="4"/>
  <c r="BD251" i="4"/>
  <c r="BD204" i="4"/>
  <c r="BD200" i="4"/>
  <c r="BD218" i="6"/>
  <c r="BD224" i="6"/>
  <c r="BD127" i="4"/>
  <c r="BP200" i="8" l="1"/>
  <c r="BP191" i="8"/>
  <c r="BP194" i="8"/>
  <c r="BP211" i="8"/>
  <c r="BP197" i="8"/>
  <c r="BP234" i="8" s="1"/>
  <c r="BD63" i="4"/>
  <c r="BD75" i="4" s="1"/>
  <c r="BD254" i="4"/>
  <c r="BD255" i="4" s="1"/>
  <c r="BD237" i="4"/>
  <c r="BD233" i="4"/>
  <c r="BD55" i="6"/>
  <c r="BD88" i="4"/>
  <c r="BD226" i="6"/>
  <c r="BD250" i="6" s="1"/>
  <c r="BD207" i="4"/>
  <c r="BD140" i="4"/>
  <c r="BD158" i="4" s="1"/>
  <c r="BD160" i="4" s="1"/>
  <c r="BD225" i="4"/>
  <c r="BD253" i="6"/>
  <c r="BD126" i="4"/>
  <c r="BD130" i="4" s="1"/>
  <c r="BD43" i="9"/>
  <c r="BD54" i="9"/>
  <c r="BD222" i="6"/>
  <c r="BE186" i="6" s="1"/>
  <c r="BE216" i="6"/>
  <c r="BP238" i="8" l="1"/>
  <c r="BP66" i="8" s="1"/>
  <c r="BP239" i="8"/>
  <c r="BE34" i="6"/>
  <c r="BD58" i="9"/>
  <c r="BD69" i="9" s="1"/>
  <c r="BD89" i="4"/>
  <c r="BD90" i="4" s="1"/>
  <c r="BD44" i="9"/>
  <c r="BD161" i="4"/>
  <c r="BD217" i="4"/>
  <c r="BD187" i="4"/>
  <c r="BD246" i="4"/>
  <c r="BD249" i="6"/>
  <c r="BD235" i="6"/>
  <c r="BD236" i="6" s="1"/>
  <c r="BD248" i="6" l="1"/>
  <c r="BE159" i="4"/>
  <c r="BD166" i="4"/>
  <c r="BD170" i="4" s="1"/>
  <c r="BD185" i="4" s="1"/>
  <c r="BD215" i="4"/>
  <c r="BD230" i="6"/>
  <c r="BD247" i="6"/>
  <c r="BD233" i="6"/>
  <c r="BD270" i="6" s="1"/>
  <c r="BD227" i="6"/>
  <c r="BD191" i="4"/>
  <c r="BD209" i="4" s="1"/>
  <c r="BD219" i="4"/>
  <c r="BE36" i="6"/>
  <c r="BE38" i="6" s="1"/>
  <c r="BE243" i="6"/>
  <c r="BE254" i="6" s="1"/>
  <c r="BE107" i="4" l="1"/>
  <c r="BE111" i="4" s="1"/>
  <c r="BE42" i="4" s="1"/>
  <c r="BD242" i="4"/>
  <c r="BD228" i="4"/>
  <c r="BD220" i="4" s="1"/>
  <c r="BD243" i="4"/>
  <c r="BD275" i="6"/>
  <c r="BD274" i="6"/>
  <c r="BD74" i="6" s="1"/>
  <c r="BD211" i="4"/>
  <c r="BE40" i="6"/>
  <c r="BE42" i="6" s="1"/>
  <c r="BD229" i="4" l="1"/>
  <c r="BE46" i="6"/>
  <c r="BE195" i="6"/>
  <c r="BE71" i="6"/>
  <c r="BE198" i="6"/>
  <c r="BE44" i="4"/>
  <c r="BE236" i="4"/>
  <c r="BE247" i="4" s="1"/>
  <c r="BD240" i="4"/>
  <c r="BD223" i="4"/>
  <c r="BD226" i="4"/>
  <c r="BD241" i="4"/>
  <c r="BE261" i="6" l="1"/>
  <c r="BE263" i="6" s="1"/>
  <c r="BF258" i="6" s="1"/>
  <c r="BE137" i="4"/>
  <c r="BE46" i="4"/>
  <c r="BE25" i="9"/>
  <c r="BE201" i="6"/>
  <c r="BE215" i="6" s="1"/>
  <c r="BE217" i="6" s="1"/>
  <c r="BE232" i="6"/>
  <c r="BE48" i="6"/>
  <c r="BE53" i="6"/>
  <c r="BE48" i="4" l="1"/>
  <c r="BE218" i="6"/>
  <c r="BE224" i="6"/>
  <c r="BE56" i="9"/>
  <c r="BE195" i="4"/>
  <c r="BE54" i="6"/>
  <c r="BE244" i="6"/>
  <c r="BE240" i="6"/>
  <c r="BE27" i="9"/>
  <c r="BE253" i="6" l="1"/>
  <c r="BE55" i="6"/>
  <c r="BE88" i="4"/>
  <c r="BE226" i="6"/>
  <c r="BE29" i="9"/>
  <c r="BE117" i="4"/>
  <c r="BE200" i="4"/>
  <c r="BE222" i="6"/>
  <c r="BF186" i="6" s="1"/>
  <c r="BF216" i="6"/>
  <c r="BE127" i="4"/>
  <c r="BE50" i="4"/>
  <c r="BE54" i="4" s="1"/>
  <c r="BF34" i="6" l="1"/>
  <c r="BG186" i="6"/>
  <c r="BE249" i="6"/>
  <c r="BE235" i="6"/>
  <c r="BE236" i="6" s="1"/>
  <c r="BE56" i="4"/>
  <c r="BE62" i="4"/>
  <c r="BE251" i="4"/>
  <c r="BE134" i="4"/>
  <c r="BE204" i="4"/>
  <c r="BE31" i="9"/>
  <c r="BE35" i="9" s="1"/>
  <c r="BE250" i="6"/>
  <c r="BE248" i="6" l="1"/>
  <c r="BE37" i="9"/>
  <c r="BE42" i="9"/>
  <c r="BE207" i="4"/>
  <c r="BE63" i="4"/>
  <c r="BE75" i="4" s="1"/>
  <c r="BE254" i="4"/>
  <c r="BE255" i="4" s="1"/>
  <c r="BE233" i="4"/>
  <c r="BE237" i="4"/>
  <c r="BE140" i="4"/>
  <c r="BE158" i="4" s="1"/>
  <c r="BE160" i="4" s="1"/>
  <c r="BE225" i="4"/>
  <c r="BE230" i="6"/>
  <c r="BE247" i="6"/>
  <c r="BE233" i="6"/>
  <c r="BE270" i="6" s="1"/>
  <c r="BE227" i="6"/>
  <c r="BF36" i="6"/>
  <c r="BF38" i="6" s="1"/>
  <c r="BF40" i="6" s="1"/>
  <c r="BF243" i="6"/>
  <c r="BF254" i="6" s="1"/>
  <c r="BG34" i="6"/>
  <c r="BE275" i="6" l="1"/>
  <c r="BE274" i="6"/>
  <c r="BE74" i="6" s="1"/>
  <c r="BE161" i="4"/>
  <c r="BE187" i="4"/>
  <c r="BE217" i="4"/>
  <c r="BE246" i="4"/>
  <c r="BF198" i="6"/>
  <c r="BF71" i="6"/>
  <c r="BG40" i="6"/>
  <c r="BG243" i="6"/>
  <c r="BG254" i="6" s="1"/>
  <c r="BG36" i="6"/>
  <c r="BG38" i="6" s="1"/>
  <c r="BE43" i="9"/>
  <c r="BE54" i="9"/>
  <c r="BE126" i="4"/>
  <c r="BE130" i="4" s="1"/>
  <c r="BG71" i="6" l="1"/>
  <c r="BE166" i="4"/>
  <c r="BE170" i="4" s="1"/>
  <c r="BE185" i="4" s="1"/>
  <c r="BE215" i="4"/>
  <c r="BF159" i="4"/>
  <c r="BE58" i="9"/>
  <c r="BE69" i="9" s="1"/>
  <c r="BE219" i="4"/>
  <c r="BE44" i="9"/>
  <c r="BE89" i="4"/>
  <c r="BE90" i="4" s="1"/>
  <c r="BG42" i="6"/>
  <c r="BF261" i="6"/>
  <c r="BF263" i="6" s="1"/>
  <c r="BF137" i="4"/>
  <c r="BG198" i="6"/>
  <c r="BG261" i="6" s="1"/>
  <c r="BG263" i="6" s="1"/>
  <c r="CE28" i="2" s="1"/>
  <c r="CE29" i="2" s="1"/>
  <c r="BE191" i="4"/>
  <c r="BE209" i="4" s="1"/>
  <c r="BF107" i="4"/>
  <c r="BF56" i="9" l="1"/>
  <c r="BG137" i="4"/>
  <c r="BF195" i="4"/>
  <c r="BH258" i="6"/>
  <c r="BL258" i="6"/>
  <c r="BG265" i="6"/>
  <c r="BF111" i="4"/>
  <c r="BF42" i="4" s="1"/>
  <c r="BG107" i="4"/>
  <c r="BG111" i="4" s="1"/>
  <c r="BF42" i="6"/>
  <c r="BG46" i="6"/>
  <c r="BE242" i="4"/>
  <c r="BE243" i="4"/>
  <c r="BE228" i="4"/>
  <c r="BE220" i="4" s="1"/>
  <c r="BE211" i="4"/>
  <c r="BE229" i="4" l="1"/>
  <c r="BF44" i="4"/>
  <c r="BF236" i="4"/>
  <c r="BF247" i="4" s="1"/>
  <c r="BG42" i="4"/>
  <c r="BF200" i="4"/>
  <c r="BG195" i="4"/>
  <c r="BE223" i="4"/>
  <c r="BE240" i="4"/>
  <c r="BE226" i="4"/>
  <c r="BG48" i="6"/>
  <c r="BG53" i="6"/>
  <c r="BE241" i="4"/>
  <c r="BF195" i="6"/>
  <c r="BF46" i="6"/>
  <c r="BF127" i="4"/>
  <c r="BG56" i="9"/>
  <c r="BG127" i="4" s="1"/>
  <c r="BG236" i="4" l="1"/>
  <c r="BG247" i="4" s="1"/>
  <c r="DY29" i="3" s="1"/>
  <c r="BG44" i="4"/>
  <c r="BG46" i="4" s="1"/>
  <c r="BF48" i="6"/>
  <c r="BF53" i="6"/>
  <c r="BF201" i="6"/>
  <c r="BF215" i="6" s="1"/>
  <c r="BF217" i="6" s="1"/>
  <c r="BG195" i="6"/>
  <c r="BG201" i="6" s="1"/>
  <c r="BG215" i="6" s="1"/>
  <c r="BF232" i="6"/>
  <c r="BF25" i="9"/>
  <c r="BF46" i="4"/>
  <c r="BG244" i="6"/>
  <c r="BG54" i="6"/>
  <c r="BG240" i="6"/>
  <c r="BG200" i="4"/>
  <c r="BF48" i="4" l="1"/>
  <c r="BF50" i="4" s="1"/>
  <c r="BF54" i="4" s="1"/>
  <c r="BG253" i="6"/>
  <c r="BF27" i="9"/>
  <c r="BG25" i="9"/>
  <c r="BG27" i="9" s="1"/>
  <c r="BF54" i="6"/>
  <c r="BF244" i="6"/>
  <c r="BF240" i="6"/>
  <c r="BG88" i="4"/>
  <c r="BG55" i="6"/>
  <c r="BG232" i="6"/>
  <c r="BF218" i="6"/>
  <c r="BF222" i="6" s="1"/>
  <c r="BG217" i="6"/>
  <c r="BG218" i="6" s="1"/>
  <c r="BF224" i="6"/>
  <c r="BF226" i="6" l="1"/>
  <c r="BG224" i="6"/>
  <c r="BF55" i="6"/>
  <c r="BF88" i="4"/>
  <c r="BH216" i="6"/>
  <c r="BL216" i="6"/>
  <c r="BG222" i="6"/>
  <c r="BG13" i="3"/>
  <c r="CE51" i="2" s="1"/>
  <c r="CE32" i="2" s="1"/>
  <c r="CE34" i="2" s="1"/>
  <c r="BF56" i="4"/>
  <c r="BF62" i="4"/>
  <c r="BF134" i="4"/>
  <c r="BF251" i="4"/>
  <c r="BF204" i="4"/>
  <c r="BF253" i="6"/>
  <c r="BF29" i="9"/>
  <c r="BG29" i="9" s="1"/>
  <c r="BG31" i="9" s="1"/>
  <c r="BG35" i="9" s="1"/>
  <c r="BF117" i="4"/>
  <c r="BG48" i="4"/>
  <c r="BG37" i="9" l="1"/>
  <c r="CE35" i="2" s="1"/>
  <c r="CE36" i="2" s="1"/>
  <c r="CE39" i="2" s="1"/>
  <c r="CE45" i="2" s="1"/>
  <c r="CE47" i="2" s="1"/>
  <c r="CE49" i="2" s="1"/>
  <c r="BG42" i="9"/>
  <c r="BG226" i="6"/>
  <c r="BH186" i="6"/>
  <c r="BF140" i="4"/>
  <c r="BF158" i="4" s="1"/>
  <c r="BF160" i="4" s="1"/>
  <c r="BG134" i="4"/>
  <c r="BG140" i="4" s="1"/>
  <c r="BF225" i="4"/>
  <c r="BF249" i="6"/>
  <c r="BG117" i="4"/>
  <c r="BG50" i="4"/>
  <c r="BG54" i="4" s="1"/>
  <c r="BF31" i="9"/>
  <c r="BF35" i="9" s="1"/>
  <c r="BF250" i="6"/>
  <c r="BF207" i="4"/>
  <c r="BG204" i="4"/>
  <c r="BF63" i="4"/>
  <c r="BF75" i="4" s="1"/>
  <c r="BF254" i="4"/>
  <c r="BF255" i="4" s="1"/>
  <c r="BF233" i="4"/>
  <c r="BF237" i="4"/>
  <c r="BX8" i="2" l="1"/>
  <c r="BX14" i="2" s="1"/>
  <c r="BZ8" i="2"/>
  <c r="BZ14" i="2" s="1"/>
  <c r="BF246" i="4"/>
  <c r="BG249" i="6"/>
  <c r="BG250" i="6"/>
  <c r="BG235" i="6"/>
  <c r="BG236" i="6" s="1"/>
  <c r="DY44" i="3"/>
  <c r="DY41" i="3" s="1"/>
  <c r="DY53" i="3" s="1"/>
  <c r="DY56" i="3" s="1"/>
  <c r="DY60" i="3" s="1"/>
  <c r="BG158" i="4"/>
  <c r="BF37" i="9"/>
  <c r="BF42" i="9"/>
  <c r="BG207" i="4"/>
  <c r="BG62" i="4"/>
  <c r="BG251" i="4"/>
  <c r="BG56" i="4"/>
  <c r="BF161" i="4"/>
  <c r="BG160" i="4"/>
  <c r="BF217" i="4"/>
  <c r="BF187" i="4"/>
  <c r="BH34" i="6"/>
  <c r="BG126" i="4"/>
  <c r="BG130" i="4" s="1"/>
  <c r="BG43" i="9"/>
  <c r="BX18" i="2" l="1"/>
  <c r="BX20" i="2" s="1"/>
  <c r="BX15" i="2"/>
  <c r="BZ18" i="2"/>
  <c r="BZ20" i="2" s="1"/>
  <c r="BZ15" i="2"/>
  <c r="BG227" i="6"/>
  <c r="BH36" i="6"/>
  <c r="BH38" i="6" s="1"/>
  <c r="BH243" i="6"/>
  <c r="BH254" i="6" s="1"/>
  <c r="BF191" i="4"/>
  <c r="BF209" i="4" s="1"/>
  <c r="BG187" i="4"/>
  <c r="BG237" i="4"/>
  <c r="BG254" i="4"/>
  <c r="BG255" i="4" s="1"/>
  <c r="BG63" i="4"/>
  <c r="BG8" i="2" s="1"/>
  <c r="BG233" i="4"/>
  <c r="BG89" i="4"/>
  <c r="BG44" i="9"/>
  <c r="BF219" i="4"/>
  <c r="BG217" i="4"/>
  <c r="DY66" i="3"/>
  <c r="DY68" i="3" s="1"/>
  <c r="BG161" i="4"/>
  <c r="BF43" i="9"/>
  <c r="BF54" i="9"/>
  <c r="BF126" i="4"/>
  <c r="BF130" i="4" s="1"/>
  <c r="BG247" i="6"/>
  <c r="BG230" i="6"/>
  <c r="BF235" i="6"/>
  <c r="BG233" i="6"/>
  <c r="BG270" i="6" s="1"/>
  <c r="BF166" i="4"/>
  <c r="BF215" i="4"/>
  <c r="BG225" i="4"/>
  <c r="BG248" i="6"/>
  <c r="BY8" i="2" l="1"/>
  <c r="BY14" i="2" s="1"/>
  <c r="BG14" i="2"/>
  <c r="BG17" i="2" s="1"/>
  <c r="BG19" i="2" s="1"/>
  <c r="BG14" i="3"/>
  <c r="BG90" i="4"/>
  <c r="BF58" i="9"/>
  <c r="BF69" i="9" s="1"/>
  <c r="BG54" i="9"/>
  <c r="BG58" i="9" s="1"/>
  <c r="BG69" i="9" s="1"/>
  <c r="DY11" i="3"/>
  <c r="DY14" i="3" s="1"/>
  <c r="BG275" i="6"/>
  <c r="BG75" i="6" s="1"/>
  <c r="BG274" i="6"/>
  <c r="BG74" i="6" s="1"/>
  <c r="BF247" i="6"/>
  <c r="BF230" i="6"/>
  <c r="BF233" i="6"/>
  <c r="BF270" i="6" s="1"/>
  <c r="BF248" i="6"/>
  <c r="BF227" i="6"/>
  <c r="BF236" i="6"/>
  <c r="BF170" i="4"/>
  <c r="BF185" i="4" s="1"/>
  <c r="BF211" i="4" s="1"/>
  <c r="BG166" i="4"/>
  <c r="BG170" i="4" s="1"/>
  <c r="BG185" i="4" s="1"/>
  <c r="BF44" i="9"/>
  <c r="BF89" i="4"/>
  <c r="BF90" i="4" s="1"/>
  <c r="BF242" i="4"/>
  <c r="BG219" i="4"/>
  <c r="BG228" i="4" s="1"/>
  <c r="BF243" i="4"/>
  <c r="BF228" i="4"/>
  <c r="BF229" i="4" s="1"/>
  <c r="BG246" i="4"/>
  <c r="DY28" i="3" s="1"/>
  <c r="BG191" i="4"/>
  <c r="BG209" i="4" s="1"/>
  <c r="BH40" i="6"/>
  <c r="BH42" i="6" s="1"/>
  <c r="DY17" i="3"/>
  <c r="BH159" i="4"/>
  <c r="BL159" i="4"/>
  <c r="BG215" i="4"/>
  <c r="DY9" i="3" s="1"/>
  <c r="BG75" i="4"/>
  <c r="BG64" i="4"/>
  <c r="BY18" i="2" l="1"/>
  <c r="BY20" i="2" s="1"/>
  <c r="BY15" i="2"/>
  <c r="BG243" i="4"/>
  <c r="DY25" i="3" s="1"/>
  <c r="BH107" i="4"/>
  <c r="BH111" i="4" s="1"/>
  <c r="BH42" i="4" s="1"/>
  <c r="BF220" i="4"/>
  <c r="BF241" i="4"/>
  <c r="BH46" i="6"/>
  <c r="BH195" i="6"/>
  <c r="BG240" i="4"/>
  <c r="DY22" i="3" s="1"/>
  <c r="BG223" i="4"/>
  <c r="BG241" i="4"/>
  <c r="DY23" i="3" s="1"/>
  <c r="BG242" i="4"/>
  <c r="DY24" i="3" s="1"/>
  <c r="BG220" i="4"/>
  <c r="BG229" i="4"/>
  <c r="BG211" i="4"/>
  <c r="BG61" i="3"/>
  <c r="BH71" i="6"/>
  <c r="BH198" i="6"/>
  <c r="BF274" i="6"/>
  <c r="BF74" i="6" s="1"/>
  <c r="BF275" i="6"/>
  <c r="BG226" i="4"/>
  <c r="BF223" i="4"/>
  <c r="BF240" i="4"/>
  <c r="BF226" i="4"/>
  <c r="DY19" i="3"/>
  <c r="BG67" i="3"/>
  <c r="BG68" i="3" s="1"/>
  <c r="BG56" i="3" s="1"/>
  <c r="BG15" i="3"/>
  <c r="BG20" i="3" s="1"/>
  <c r="BH236" i="4" l="1"/>
  <c r="BH247" i="4" s="1"/>
  <c r="BH44" i="4"/>
  <c r="BG62" i="3"/>
  <c r="BG42" i="3"/>
  <c r="BG60" i="3"/>
  <c r="BG16" i="3"/>
  <c r="BG55" i="3"/>
  <c r="BH261" i="6"/>
  <c r="BH263" i="6" s="1"/>
  <c r="BI258" i="6" s="1"/>
  <c r="BH137" i="4"/>
  <c r="BH201" i="6"/>
  <c r="BH215" i="6" s="1"/>
  <c r="BH217" i="6" s="1"/>
  <c r="BH232" i="6"/>
  <c r="BH48" i="6"/>
  <c r="BH53" i="6"/>
  <c r="BH218" i="6" l="1"/>
  <c r="BH224" i="6"/>
  <c r="BH25" i="9"/>
  <c r="BH46" i="4"/>
  <c r="BH240" i="6"/>
  <c r="BH54" i="6"/>
  <c r="BH244" i="6"/>
  <c r="C5" i="18"/>
  <c r="BH56" i="9"/>
  <c r="BH195" i="4"/>
  <c r="BH127" i="4" l="1"/>
  <c r="BH88" i="4"/>
  <c r="BH55" i="6"/>
  <c r="BH253" i="6"/>
  <c r="BH27" i="9"/>
  <c r="BH226" i="6"/>
  <c r="BH200" i="4"/>
  <c r="BH48" i="4"/>
  <c r="BH50" i="4" s="1"/>
  <c r="BH54" i="4" s="1"/>
  <c r="BH222" i="6"/>
  <c r="BI186" i="6" s="1"/>
  <c r="BI216" i="6"/>
  <c r="BI34" i="6" l="1"/>
  <c r="BH134" i="4"/>
  <c r="BH56" i="4"/>
  <c r="BH62" i="4"/>
  <c r="BH251" i="4"/>
  <c r="BH204" i="4"/>
  <c r="BH249" i="6"/>
  <c r="BH235" i="6"/>
  <c r="BH248" i="6" s="1"/>
  <c r="BH117" i="4"/>
  <c r="BH29" i="9"/>
  <c r="BH250" i="6"/>
  <c r="BH236" i="6" l="1"/>
  <c r="BH230" i="6"/>
  <c r="BH247" i="6"/>
  <c r="BH233" i="6"/>
  <c r="BH270" i="6" s="1"/>
  <c r="BH227" i="6"/>
  <c r="BH237" i="4"/>
  <c r="BH63" i="4"/>
  <c r="BH75" i="4" s="1"/>
  <c r="BH233" i="4"/>
  <c r="BH254" i="4"/>
  <c r="BH255" i="4" s="1"/>
  <c r="BH207" i="4"/>
  <c r="BH140" i="4"/>
  <c r="BH158" i="4" s="1"/>
  <c r="BH160" i="4" s="1"/>
  <c r="BH225" i="4"/>
  <c r="BH31" i="9"/>
  <c r="BH35" i="9" s="1"/>
  <c r="BI36" i="6"/>
  <c r="BI38" i="6" s="1"/>
  <c r="BI243" i="6"/>
  <c r="BI254" i="6" s="1"/>
  <c r="BI40" i="6" l="1"/>
  <c r="BI42" i="6" s="1"/>
  <c r="BH161" i="4"/>
  <c r="BH187" i="4"/>
  <c r="BH217" i="4"/>
  <c r="BH246" i="4"/>
  <c r="BH42" i="9"/>
  <c r="BH37" i="9"/>
  <c r="BH274" i="6"/>
  <c r="BH74" i="6" s="1"/>
  <c r="BH275" i="6"/>
  <c r="BI46" i="6" l="1"/>
  <c r="BI195" i="6"/>
  <c r="BI159" i="4"/>
  <c r="BH166" i="4"/>
  <c r="BH170" i="4" s="1"/>
  <c r="BH185" i="4" s="1"/>
  <c r="BH215" i="4"/>
  <c r="BH126" i="4"/>
  <c r="BH130" i="4" s="1"/>
  <c r="BH43" i="9"/>
  <c r="BH54" i="9"/>
  <c r="BH219" i="4"/>
  <c r="BH191" i="4"/>
  <c r="BH209" i="4" s="1"/>
  <c r="BI71" i="6"/>
  <c r="BI198" i="6"/>
  <c r="BI107" i="4" l="1"/>
  <c r="BI111" i="4" s="1"/>
  <c r="BI42" i="4" s="1"/>
  <c r="BH58" i="9"/>
  <c r="BH69" i="9" s="1"/>
  <c r="BH211" i="4"/>
  <c r="BH89" i="4"/>
  <c r="BH90" i="4" s="1"/>
  <c r="BH44" i="9"/>
  <c r="BH242" i="4"/>
  <c r="BH243" i="4"/>
  <c r="BH228" i="4"/>
  <c r="BH220" i="4" s="1"/>
  <c r="BI201" i="6"/>
  <c r="BI215" i="6" s="1"/>
  <c r="BI217" i="6" s="1"/>
  <c r="BI232" i="6"/>
  <c r="BI261" i="6"/>
  <c r="BI263" i="6" s="1"/>
  <c r="BJ258" i="6" s="1"/>
  <c r="BI137" i="4"/>
  <c r="BI48" i="6"/>
  <c r="BI53" i="6"/>
  <c r="BI44" i="4" l="1"/>
  <c r="BI236" i="4"/>
  <c r="BI247" i="4" s="1"/>
  <c r="BH241" i="4"/>
  <c r="BH229" i="4"/>
  <c r="BI54" i="6"/>
  <c r="BI240" i="6"/>
  <c r="BI244" i="6"/>
  <c r="BI56" i="9"/>
  <c r="BI195" i="4"/>
  <c r="BI218" i="6"/>
  <c r="BI224" i="6"/>
  <c r="BH240" i="4"/>
  <c r="BH223" i="4"/>
  <c r="BH226" i="4"/>
  <c r="BI222" i="6" l="1"/>
  <c r="BJ186" i="6" s="1"/>
  <c r="BJ216" i="6"/>
  <c r="BI226" i="6"/>
  <c r="BI250" i="6" s="1"/>
  <c r="BI55" i="6"/>
  <c r="BI88" i="4"/>
  <c r="BI127" i="4"/>
  <c r="BI253" i="6"/>
  <c r="BI200" i="4"/>
  <c r="BI46" i="4"/>
  <c r="BI25" i="9"/>
  <c r="BI48" i="4" l="1"/>
  <c r="BI50" i="4" s="1"/>
  <c r="BI54" i="4" s="1"/>
  <c r="BI27" i="9"/>
  <c r="BI249" i="6"/>
  <c r="BI235" i="6"/>
  <c r="BI236" i="6" s="1"/>
  <c r="BJ34" i="6"/>
  <c r="BI248" i="6" l="1"/>
  <c r="BJ36" i="6"/>
  <c r="BJ38" i="6" s="1"/>
  <c r="BJ243" i="6"/>
  <c r="BJ254" i="6" s="1"/>
  <c r="BI230" i="6"/>
  <c r="BI247" i="6"/>
  <c r="BI233" i="6"/>
  <c r="BI270" i="6" s="1"/>
  <c r="BI227" i="6"/>
  <c r="BI56" i="4"/>
  <c r="BI62" i="4"/>
  <c r="BI134" i="4"/>
  <c r="BI251" i="4"/>
  <c r="BI204" i="4"/>
  <c r="BI29" i="9"/>
  <c r="BI117" i="4"/>
  <c r="BI140" i="4" l="1"/>
  <c r="BI158" i="4" s="1"/>
  <c r="BI160" i="4" s="1"/>
  <c r="BI225" i="4"/>
  <c r="BI274" i="6"/>
  <c r="BI74" i="6" s="1"/>
  <c r="BI275" i="6"/>
  <c r="BI207" i="4"/>
  <c r="BI63" i="4"/>
  <c r="BI75" i="4" s="1"/>
  <c r="BI254" i="4"/>
  <c r="BI255" i="4" s="1"/>
  <c r="BI237" i="4"/>
  <c r="BI233" i="4"/>
  <c r="BI31" i="9"/>
  <c r="BI35" i="9" s="1"/>
  <c r="BJ40" i="6"/>
  <c r="BJ42" i="6" s="1"/>
  <c r="BJ195" i="6" l="1"/>
  <c r="BJ46" i="6"/>
  <c r="BJ198" i="6"/>
  <c r="BJ71" i="6"/>
  <c r="BI37" i="9"/>
  <c r="BI42" i="9"/>
  <c r="BI246" i="4"/>
  <c r="BI161" i="4"/>
  <c r="BI217" i="4"/>
  <c r="BI187" i="4"/>
  <c r="BI166" i="4" l="1"/>
  <c r="BI170" i="4" s="1"/>
  <c r="BI185" i="4" s="1"/>
  <c r="BI215" i="4"/>
  <c r="BJ159" i="4"/>
  <c r="BI43" i="9"/>
  <c r="BI54" i="9"/>
  <c r="BI126" i="4"/>
  <c r="BI130" i="4" s="1"/>
  <c r="BJ261" i="6"/>
  <c r="BJ263" i="6" s="1"/>
  <c r="BK258" i="6" s="1"/>
  <c r="BJ137" i="4"/>
  <c r="BI191" i="4"/>
  <c r="BI209" i="4" s="1"/>
  <c r="BI219" i="4"/>
  <c r="BJ48" i="6"/>
  <c r="BJ53" i="6"/>
  <c r="BJ201" i="6"/>
  <c r="BJ215" i="6" s="1"/>
  <c r="BJ217" i="6" s="1"/>
  <c r="BJ232" i="6"/>
  <c r="BJ107" i="4" l="1"/>
  <c r="BJ111" i="4" s="1"/>
  <c r="BJ42" i="4" s="1"/>
  <c r="BJ54" i="6"/>
  <c r="BJ244" i="6"/>
  <c r="BJ240" i="6"/>
  <c r="BI242" i="4"/>
  <c r="BI243" i="4"/>
  <c r="BI228" i="4"/>
  <c r="BI241" i="4" s="1"/>
  <c r="BI58" i="9"/>
  <c r="BI69" i="9" s="1"/>
  <c r="BI211" i="4"/>
  <c r="BJ218" i="6"/>
  <c r="BJ224" i="6"/>
  <c r="BJ56" i="9"/>
  <c r="BJ195" i="4"/>
  <c r="BI44" i="9"/>
  <c r="BI89" i="4"/>
  <c r="BI90" i="4" s="1"/>
  <c r="BI220" i="4" l="1"/>
  <c r="BJ226" i="6"/>
  <c r="BJ55" i="6"/>
  <c r="BJ88" i="4"/>
  <c r="BJ200" i="4"/>
  <c r="BJ44" i="4"/>
  <c r="BJ236" i="4"/>
  <c r="BJ247" i="4" s="1"/>
  <c r="BK216" i="6"/>
  <c r="BJ222" i="6"/>
  <c r="BK186" i="6" s="1"/>
  <c r="BI223" i="4"/>
  <c r="BI240" i="4"/>
  <c r="BI226" i="4"/>
  <c r="BI229" i="4"/>
  <c r="BJ253" i="6"/>
  <c r="BJ127" i="4"/>
  <c r="BK34" i="6" l="1"/>
  <c r="BL186" i="6"/>
  <c r="BJ25" i="9"/>
  <c r="BJ46" i="4"/>
  <c r="BJ249" i="6"/>
  <c r="BJ235" i="6"/>
  <c r="BJ227" i="6" s="1"/>
  <c r="BJ250" i="6"/>
  <c r="BJ236" i="6" l="1"/>
  <c r="BJ48" i="4"/>
  <c r="BJ50" i="4" s="1"/>
  <c r="BJ54" i="4" s="1"/>
  <c r="BJ27" i="9"/>
  <c r="BJ247" i="6"/>
  <c r="BJ230" i="6"/>
  <c r="BJ233" i="6"/>
  <c r="BJ270" i="6" s="1"/>
  <c r="BJ248" i="6"/>
  <c r="BK36" i="6"/>
  <c r="BK38" i="6" s="1"/>
  <c r="BK40" i="6" s="1"/>
  <c r="BL34" i="6"/>
  <c r="BK243" i="6"/>
  <c r="BK254" i="6" s="1"/>
  <c r="BJ56" i="4" l="1"/>
  <c r="BJ62" i="4"/>
  <c r="BJ134" i="4"/>
  <c r="BJ251" i="4"/>
  <c r="BJ204" i="4"/>
  <c r="BK198" i="6"/>
  <c r="BK71" i="6"/>
  <c r="BL40" i="6"/>
  <c r="BL36" i="6"/>
  <c r="BL38" i="6" s="1"/>
  <c r="BL243" i="6"/>
  <c r="BL254" i="6" s="1"/>
  <c r="BJ29" i="9"/>
  <c r="BJ31" i="9" s="1"/>
  <c r="BJ35" i="9" s="1"/>
  <c r="BJ117" i="4"/>
  <c r="BJ274" i="6"/>
  <c r="BJ74" i="6" s="1"/>
  <c r="BJ275" i="6"/>
  <c r="BL71" i="6" l="1"/>
  <c r="BJ37" i="9"/>
  <c r="BJ42" i="9"/>
  <c r="BJ140" i="4"/>
  <c r="BJ158" i="4" s="1"/>
  <c r="BJ160" i="4" s="1"/>
  <c r="BJ225" i="4"/>
  <c r="BK137" i="4"/>
  <c r="BK261" i="6"/>
  <c r="BK263" i="6" s="1"/>
  <c r="BL198" i="6"/>
  <c r="BL261" i="6" s="1"/>
  <c r="BL263" i="6" s="1"/>
  <c r="CF28" i="2" s="1"/>
  <c r="CF29" i="2" s="1"/>
  <c r="BL42" i="6"/>
  <c r="BJ207" i="4"/>
  <c r="BJ63" i="4"/>
  <c r="BJ75" i="4" s="1"/>
  <c r="BJ254" i="4"/>
  <c r="BJ255" i="4" s="1"/>
  <c r="BJ233" i="4"/>
  <c r="BJ237" i="4"/>
  <c r="BM258" i="6" l="1"/>
  <c r="BQ258" i="6"/>
  <c r="BL46" i="6"/>
  <c r="BK42" i="6"/>
  <c r="BJ161" i="4"/>
  <c r="BJ187" i="4"/>
  <c r="BJ217" i="4"/>
  <c r="BK56" i="9"/>
  <c r="BL137" i="4"/>
  <c r="BK195" i="4"/>
  <c r="BJ246" i="4"/>
  <c r="BL265" i="6"/>
  <c r="BJ43" i="9"/>
  <c r="BJ54" i="9"/>
  <c r="BJ126" i="4"/>
  <c r="BJ130" i="4" s="1"/>
  <c r="BJ58" i="9" l="1"/>
  <c r="BJ69" i="9" s="1"/>
  <c r="BJ44" i="9"/>
  <c r="BJ89" i="4"/>
  <c r="BJ90" i="4" s="1"/>
  <c r="BL195" i="4"/>
  <c r="BK200" i="4"/>
  <c r="BJ166" i="4"/>
  <c r="BJ170" i="4" s="1"/>
  <c r="BJ185" i="4" s="1"/>
  <c r="BJ215" i="4"/>
  <c r="BK159" i="4"/>
  <c r="BJ219" i="4"/>
  <c r="BK195" i="6"/>
  <c r="BK46" i="6"/>
  <c r="BK127" i="4"/>
  <c r="BL56" i="9"/>
  <c r="BL127" i="4" s="1"/>
  <c r="BJ191" i="4"/>
  <c r="BJ209" i="4" s="1"/>
  <c r="BL48" i="6"/>
  <c r="BL53" i="6"/>
  <c r="BL200" i="4" l="1"/>
  <c r="BJ211" i="4"/>
  <c r="BK107" i="4"/>
  <c r="BK111" i="4" s="1"/>
  <c r="BK42" i="4" s="1"/>
  <c r="BK201" i="6"/>
  <c r="BK215" i="6" s="1"/>
  <c r="BK217" i="6" s="1"/>
  <c r="BL195" i="6"/>
  <c r="BL201" i="6" s="1"/>
  <c r="BL215" i="6" s="1"/>
  <c r="BK232" i="6"/>
  <c r="BL240" i="6"/>
  <c r="BL54" i="6"/>
  <c r="BL244" i="6"/>
  <c r="BJ242" i="4"/>
  <c r="BJ243" i="4"/>
  <c r="BJ228" i="4"/>
  <c r="BJ241" i="4" s="1"/>
  <c r="BK53" i="6"/>
  <c r="BK48" i="6"/>
  <c r="BL107" i="4" l="1"/>
  <c r="BL111" i="4" s="1"/>
  <c r="BK54" i="6"/>
  <c r="BK244" i="6"/>
  <c r="BK240" i="6"/>
  <c r="BL253" i="6"/>
  <c r="BK44" i="4"/>
  <c r="BL42" i="4"/>
  <c r="BK236" i="4"/>
  <c r="BK247" i="4" s="1"/>
  <c r="BL232" i="6"/>
  <c r="BJ223" i="4"/>
  <c r="BJ240" i="4"/>
  <c r="BJ226" i="4"/>
  <c r="BJ229" i="4"/>
  <c r="BJ220" i="4"/>
  <c r="BL55" i="6"/>
  <c r="BL88" i="4"/>
  <c r="BK218" i="6"/>
  <c r="BK222" i="6" s="1"/>
  <c r="BL217" i="6"/>
  <c r="BL218" i="6" s="1"/>
  <c r="BK224" i="6"/>
  <c r="BL222" i="6" l="1"/>
  <c r="BQ216" i="6"/>
  <c r="BM216" i="6"/>
  <c r="BL13" i="3"/>
  <c r="CF51" i="2" s="1"/>
  <c r="CF32" i="2" s="1"/>
  <c r="CF34" i="2" s="1"/>
  <c r="BL224" i="6"/>
  <c r="BK226" i="6"/>
  <c r="BK250" i="6" s="1"/>
  <c r="BL236" i="4"/>
  <c r="BL247" i="4" s="1"/>
  <c r="ED29" i="3" s="1"/>
  <c r="BL44" i="4"/>
  <c r="BL46" i="4" s="1"/>
  <c r="BK253" i="6"/>
  <c r="BK25" i="9"/>
  <c r="BK46" i="4"/>
  <c r="BK55" i="6"/>
  <c r="BK88" i="4"/>
  <c r="BL226" i="6" l="1"/>
  <c r="BL235" i="6" s="1"/>
  <c r="BL230" i="6" s="1"/>
  <c r="BM186" i="6"/>
  <c r="BK48" i="4"/>
  <c r="BK249" i="6"/>
  <c r="BK27" i="9"/>
  <c r="BL25" i="9"/>
  <c r="BL27" i="9" s="1"/>
  <c r="BL236" i="6" l="1"/>
  <c r="BK235" i="6"/>
  <c r="BK248" i="6" s="1"/>
  <c r="BL248" i="6"/>
  <c r="BL233" i="6"/>
  <c r="BL270" i="6" s="1"/>
  <c r="BL275" i="6" s="1"/>
  <c r="BL75" i="6" s="1"/>
  <c r="BL250" i="6"/>
  <c r="BL249" i="6"/>
  <c r="BL227" i="6"/>
  <c r="BL247" i="6"/>
  <c r="BM34" i="6"/>
  <c r="BK236" i="6"/>
  <c r="BK117" i="4"/>
  <c r="BK29" i="9"/>
  <c r="BL29" i="9" s="1"/>
  <c r="BL31" i="9" s="1"/>
  <c r="BL35" i="9" s="1"/>
  <c r="BL48" i="4"/>
  <c r="BK233" i="6"/>
  <c r="BK270" i="6" s="1"/>
  <c r="BK50" i="4"/>
  <c r="BK54" i="4" s="1"/>
  <c r="BK247" i="6" l="1"/>
  <c r="BK227" i="6"/>
  <c r="BK230" i="6"/>
  <c r="BL274" i="6"/>
  <c r="BL74" i="6" s="1"/>
  <c r="BM36" i="6"/>
  <c r="BM38" i="6" s="1"/>
  <c r="BM243" i="6"/>
  <c r="BM254" i="6" s="1"/>
  <c r="BK31" i="9"/>
  <c r="BK35" i="9" s="1"/>
  <c r="BK42" i="9" s="1"/>
  <c r="BL37" i="9"/>
  <c r="CF35" i="2" s="1"/>
  <c r="CF36" i="2" s="1"/>
  <c r="CF39" i="2" s="1"/>
  <c r="CF45" i="2" s="1"/>
  <c r="CF47" i="2" s="1"/>
  <c r="CF49" i="2" s="1"/>
  <c r="BL42" i="9"/>
  <c r="BK134" i="4"/>
  <c r="BK56" i="4"/>
  <c r="BK251" i="4"/>
  <c r="BK62" i="4"/>
  <c r="BK204" i="4"/>
  <c r="BL117" i="4"/>
  <c r="BL50" i="4"/>
  <c r="BL54" i="4" s="1"/>
  <c r="BK274" i="6"/>
  <c r="BK74" i="6" s="1"/>
  <c r="BK275" i="6"/>
  <c r="BK37" i="9" l="1"/>
  <c r="BK43" i="9" s="1"/>
  <c r="BM40" i="6"/>
  <c r="BM42" i="6" s="1"/>
  <c r="BK63" i="4"/>
  <c r="BK75" i="4" s="1"/>
  <c r="BK254" i="4"/>
  <c r="BK255" i="4" s="1"/>
  <c r="BK233" i="4"/>
  <c r="BK237" i="4"/>
  <c r="BL56" i="4"/>
  <c r="BL62" i="4"/>
  <c r="BL251" i="4"/>
  <c r="BL204" i="4"/>
  <c r="BK207" i="4"/>
  <c r="BK140" i="4"/>
  <c r="BK158" i="4" s="1"/>
  <c r="BK160" i="4" s="1"/>
  <c r="BL134" i="4"/>
  <c r="BL140" i="4" s="1"/>
  <c r="BK225" i="4"/>
  <c r="BL126" i="4"/>
  <c r="BL130" i="4" s="1"/>
  <c r="BL43" i="9"/>
  <c r="BK54" i="9" l="1"/>
  <c r="BK58" i="9" s="1"/>
  <c r="BK69" i="9" s="1"/>
  <c r="BK126" i="4"/>
  <c r="BK130" i="4" s="1"/>
  <c r="BM195" i="6"/>
  <c r="BM46" i="6"/>
  <c r="BL207" i="4"/>
  <c r="BL225" i="4" s="1"/>
  <c r="BM71" i="6"/>
  <c r="BM198" i="6"/>
  <c r="ED44" i="3"/>
  <c r="ED41" i="3" s="1"/>
  <c r="ED53" i="3" s="1"/>
  <c r="ED56" i="3" s="1"/>
  <c r="ED60" i="3" s="1"/>
  <c r="BL158" i="4"/>
  <c r="BK161" i="4"/>
  <c r="BL160" i="4"/>
  <c r="BK217" i="4"/>
  <c r="BK187" i="4"/>
  <c r="BK246" i="4"/>
  <c r="BL237" i="4"/>
  <c r="BL63" i="4"/>
  <c r="BL8" i="2" s="1"/>
  <c r="BL14" i="2" s="1"/>
  <c r="BL17" i="2" s="1"/>
  <c r="BL19" i="2" s="1"/>
  <c r="BL233" i="4"/>
  <c r="BL254" i="4"/>
  <c r="BL255" i="4" s="1"/>
  <c r="BK89" i="4"/>
  <c r="BK90" i="4" s="1"/>
  <c r="BK44" i="9"/>
  <c r="BL89" i="4"/>
  <c r="BL44" i="9"/>
  <c r="BL54" i="9" l="1"/>
  <c r="BL58" i="9" s="1"/>
  <c r="BL69" i="9" s="1"/>
  <c r="BM261" i="6"/>
  <c r="BM263" i="6" s="1"/>
  <c r="BN258" i="6" s="1"/>
  <c r="BM137" i="4"/>
  <c r="BM53" i="6"/>
  <c r="BM48" i="6"/>
  <c r="BM201" i="6"/>
  <c r="BM215" i="6" s="1"/>
  <c r="BM217" i="6" s="1"/>
  <c r="BM232" i="6"/>
  <c r="ED66" i="3"/>
  <c r="ED68" i="3" s="1"/>
  <c r="BL161" i="4"/>
  <c r="ED17" i="3"/>
  <c r="BL14" i="3"/>
  <c r="BL90" i="4"/>
  <c r="CM13" i="2"/>
  <c r="BL75" i="4"/>
  <c r="BL64" i="4"/>
  <c r="BL187" i="4"/>
  <c r="BK191" i="4"/>
  <c r="BK209" i="4" s="1"/>
  <c r="BL246" i="4"/>
  <c r="ED28" i="3" s="1"/>
  <c r="BK166" i="4"/>
  <c r="BK215" i="4"/>
  <c r="BL217" i="4"/>
  <c r="BK219" i="4"/>
  <c r="ED11" i="3" l="1"/>
  <c r="ED14" i="3" s="1"/>
  <c r="BL191" i="4"/>
  <c r="BL209" i="4" s="1"/>
  <c r="BL215" i="4"/>
  <c r="ED9" i="3" s="1"/>
  <c r="BM159" i="4"/>
  <c r="BQ159" i="4"/>
  <c r="BM218" i="6"/>
  <c r="BM224" i="6"/>
  <c r="BM54" i="6"/>
  <c r="BM240" i="6"/>
  <c r="BM253" i="6" s="1"/>
  <c r="BM244" i="6"/>
  <c r="BM56" i="9"/>
  <c r="BM195" i="4"/>
  <c r="BL166" i="4"/>
  <c r="BL170" i="4" s="1"/>
  <c r="BL185" i="4" s="1"/>
  <c r="BK170" i="4"/>
  <c r="BK185" i="4" s="1"/>
  <c r="BK211" i="4" s="1"/>
  <c r="BL15" i="3"/>
  <c r="BL20" i="3" s="1"/>
  <c r="BK242" i="4"/>
  <c r="BL219" i="4"/>
  <c r="BK243" i="4"/>
  <c r="BK228" i="4"/>
  <c r="BK220" i="4" s="1"/>
  <c r="BL67" i="3" l="1"/>
  <c r="BL68" i="3" s="1"/>
  <c r="BL56" i="3" s="1"/>
  <c r="ED19" i="3"/>
  <c r="BM200" i="4"/>
  <c r="BM127" i="4"/>
  <c r="BM226" i="6"/>
  <c r="BM222" i="6"/>
  <c r="BN186" i="6" s="1"/>
  <c r="BN216" i="6"/>
  <c r="BM107" i="4"/>
  <c r="BM55" i="6"/>
  <c r="BM88" i="4"/>
  <c r="BL62" i="3"/>
  <c r="BL42" i="3"/>
  <c r="BL60" i="3"/>
  <c r="BL16" i="3"/>
  <c r="BL55" i="3"/>
  <c r="BK240" i="4"/>
  <c r="BK223" i="4"/>
  <c r="BK226" i="4"/>
  <c r="BL242" i="4"/>
  <c r="ED24" i="3" s="1"/>
  <c r="BL228" i="4"/>
  <c r="BL220" i="4" s="1"/>
  <c r="BL243" i="4"/>
  <c r="ED25" i="3" s="1"/>
  <c r="BL211" i="4"/>
  <c r="BL61" i="3"/>
  <c r="BK229" i="4"/>
  <c r="BK241" i="4"/>
  <c r="BM111" i="4" l="1"/>
  <c r="BM42" i="4" s="1"/>
  <c r="BN34" i="6"/>
  <c r="BM250" i="6"/>
  <c r="BM249" i="6"/>
  <c r="BM235" i="6"/>
  <c r="BM236" i="6" s="1"/>
  <c r="BL229" i="4"/>
  <c r="BL240" i="4"/>
  <c r="ED22" i="3" s="1"/>
  <c r="BL223" i="4"/>
  <c r="BL226" i="4"/>
  <c r="BL241" i="4"/>
  <c r="ED23" i="3" s="1"/>
  <c r="BM227" i="6" l="1"/>
  <c r="BM230" i="6"/>
  <c r="BM247" i="6"/>
  <c r="BM233" i="6"/>
  <c r="BM270" i="6" s="1"/>
  <c r="BM248" i="6"/>
  <c r="BN36" i="6"/>
  <c r="BN38" i="6" s="1"/>
  <c r="BN40" i="6" s="1"/>
  <c r="BN243" i="6"/>
  <c r="BN254" i="6" s="1"/>
  <c r="BM236" i="4"/>
  <c r="BM247" i="4" s="1"/>
  <c r="BM44" i="4"/>
  <c r="BM25" i="9" l="1"/>
  <c r="BM46" i="4"/>
  <c r="BN42" i="6"/>
  <c r="BN198" i="6"/>
  <c r="BN71" i="6"/>
  <c r="BM275" i="6"/>
  <c r="BM274" i="6"/>
  <c r="BM74" i="6" s="1"/>
  <c r="BN195" i="6" l="1"/>
  <c r="BN46" i="6"/>
  <c r="BM27" i="9"/>
  <c r="BN261" i="6"/>
  <c r="BN263" i="6" s="1"/>
  <c r="BO258" i="6" s="1"/>
  <c r="BN137" i="4"/>
  <c r="BM48" i="4"/>
  <c r="BM50" i="4" s="1"/>
  <c r="BM54" i="4" s="1"/>
  <c r="BM251" i="4" l="1"/>
  <c r="BM134" i="4"/>
  <c r="BM56" i="4"/>
  <c r="BM62" i="4"/>
  <c r="BM204" i="4"/>
  <c r="BM117" i="4"/>
  <c r="BM29" i="9"/>
  <c r="BM31" i="9" s="1"/>
  <c r="BM35" i="9" s="1"/>
  <c r="BN56" i="9"/>
  <c r="BN195" i="4"/>
  <c r="BN48" i="6"/>
  <c r="BN53" i="6"/>
  <c r="BN201" i="6"/>
  <c r="BN215" i="6" s="1"/>
  <c r="BN217" i="6" s="1"/>
  <c r="BN232" i="6"/>
  <c r="BN200" i="4" l="1"/>
  <c r="BM37" i="9"/>
  <c r="BM42" i="9"/>
  <c r="BN218" i="6"/>
  <c r="BN224" i="6"/>
  <c r="BN54" i="6"/>
  <c r="BN244" i="6"/>
  <c r="BN240" i="6"/>
  <c r="BM225" i="4"/>
  <c r="BM140" i="4"/>
  <c r="BM158" i="4" s="1"/>
  <c r="BM160" i="4" s="1"/>
  <c r="BN127" i="4"/>
  <c r="BM207" i="4"/>
  <c r="BM63" i="4"/>
  <c r="BM75" i="4" s="1"/>
  <c r="BM254" i="4"/>
  <c r="BM255" i="4" s="1"/>
  <c r="BM233" i="4"/>
  <c r="BM237" i="4"/>
  <c r="BM161" i="4" l="1"/>
  <c r="BM187" i="4"/>
  <c r="BM217" i="4"/>
  <c r="BN55" i="6"/>
  <c r="BN88" i="4"/>
  <c r="BM246" i="4"/>
  <c r="BN226" i="6"/>
  <c r="BN250" i="6" s="1"/>
  <c r="BO216" i="6"/>
  <c r="BN222" i="6"/>
  <c r="BO186" i="6" s="1"/>
  <c r="BN253" i="6"/>
  <c r="BM54" i="9"/>
  <c r="BM126" i="4"/>
  <c r="BM130" i="4" s="1"/>
  <c r="BM43" i="9"/>
  <c r="BM89" i="4" l="1"/>
  <c r="BM90" i="4" s="1"/>
  <c r="BM44" i="9"/>
  <c r="BN249" i="6"/>
  <c r="BN235" i="6"/>
  <c r="BN227" i="6" s="1"/>
  <c r="BO34" i="6"/>
  <c r="BM219" i="4"/>
  <c r="BM58" i="9"/>
  <c r="BM69" i="9" s="1"/>
  <c r="BM191" i="4"/>
  <c r="BM209" i="4" s="1"/>
  <c r="BM166" i="4"/>
  <c r="BM170" i="4" s="1"/>
  <c r="BM185" i="4" s="1"/>
  <c r="BM215" i="4"/>
  <c r="BN159" i="4"/>
  <c r="BM242" i="4" l="1"/>
  <c r="BM211" i="4"/>
  <c r="BO36" i="6"/>
  <c r="BO38" i="6" s="1"/>
  <c r="BO40" i="6" s="1"/>
  <c r="BO243" i="6"/>
  <c r="BO254" i="6" s="1"/>
  <c r="BN107" i="4"/>
  <c r="BM243" i="4"/>
  <c r="BM228" i="4"/>
  <c r="BN248" i="6"/>
  <c r="BN230" i="6"/>
  <c r="BN247" i="6"/>
  <c r="BN233" i="6"/>
  <c r="BN270" i="6" s="1"/>
  <c r="BN236" i="6"/>
  <c r="BN274" i="6" l="1"/>
  <c r="BN74" i="6" s="1"/>
  <c r="BN275" i="6"/>
  <c r="BM229" i="4"/>
  <c r="BM223" i="4"/>
  <c r="BM240" i="4"/>
  <c r="BM226" i="4"/>
  <c r="BM220" i="4"/>
  <c r="BN111" i="4"/>
  <c r="BN42" i="4" s="1"/>
  <c r="BM241" i="4"/>
  <c r="BO42" i="6"/>
  <c r="BO71" i="6"/>
  <c r="BO198" i="6"/>
  <c r="BO261" i="6" l="1"/>
  <c r="BO263" i="6" s="1"/>
  <c r="BP258" i="6" s="1"/>
  <c r="BO137" i="4"/>
  <c r="BO46" i="6"/>
  <c r="BO195" i="6"/>
  <c r="BN44" i="4"/>
  <c r="BN236" i="4"/>
  <c r="BN247" i="4" s="1"/>
  <c r="BO201" i="6" l="1"/>
  <c r="BO215" i="6" s="1"/>
  <c r="BO217" i="6" s="1"/>
  <c r="BO232" i="6"/>
  <c r="BN25" i="9"/>
  <c r="BN46" i="4"/>
  <c r="BO53" i="6"/>
  <c r="BO48" i="6"/>
  <c r="BO56" i="9"/>
  <c r="BO195" i="4"/>
  <c r="BO54" i="6" l="1"/>
  <c r="BO240" i="6"/>
  <c r="BO244" i="6"/>
  <c r="BN48" i="4"/>
  <c r="BN50" i="4" s="1"/>
  <c r="BN54" i="4" s="1"/>
  <c r="BO200" i="4"/>
  <c r="BO127" i="4"/>
  <c r="BN27" i="9"/>
  <c r="BO218" i="6"/>
  <c r="BO224" i="6"/>
  <c r="BN134" i="4" l="1"/>
  <c r="BN56" i="4"/>
  <c r="BN251" i="4"/>
  <c r="BN62" i="4"/>
  <c r="BN204" i="4"/>
  <c r="BO226" i="6"/>
  <c r="BO250" i="6" s="1"/>
  <c r="BP216" i="6"/>
  <c r="BO222" i="6"/>
  <c r="BP186" i="6" s="1"/>
  <c r="BN117" i="4"/>
  <c r="BN29" i="9"/>
  <c r="BN31" i="9" s="1"/>
  <c r="BN35" i="9" s="1"/>
  <c r="BO253" i="6"/>
  <c r="BO88" i="4"/>
  <c r="BO55" i="6"/>
  <c r="BN37" i="9" l="1"/>
  <c r="BN42" i="9"/>
  <c r="BP34" i="6"/>
  <c r="BQ186" i="6"/>
  <c r="BN207" i="4"/>
  <c r="BN140" i="4"/>
  <c r="BN158" i="4" s="1"/>
  <c r="BN160" i="4" s="1"/>
  <c r="BN225" i="4"/>
  <c r="BO249" i="6"/>
  <c r="BO235" i="6"/>
  <c r="BO236" i="6" s="1"/>
  <c r="BN63" i="4"/>
  <c r="BN75" i="4" s="1"/>
  <c r="BN254" i="4"/>
  <c r="BN255" i="4" s="1"/>
  <c r="BN233" i="4"/>
  <c r="BN237" i="4"/>
  <c r="BO233" i="6" l="1"/>
  <c r="BO270" i="6" s="1"/>
  <c r="BO230" i="6"/>
  <c r="BO247" i="6"/>
  <c r="BO248" i="6"/>
  <c r="BO227" i="6"/>
  <c r="BN246" i="4"/>
  <c r="BN161" i="4"/>
  <c r="BN217" i="4"/>
  <c r="BN187" i="4"/>
  <c r="BP36" i="6"/>
  <c r="BP38" i="6" s="1"/>
  <c r="BP40" i="6" s="1"/>
  <c r="BQ34" i="6"/>
  <c r="BP243" i="6"/>
  <c r="BP254" i="6" s="1"/>
  <c r="BN54" i="9"/>
  <c r="BN126" i="4"/>
  <c r="BN130" i="4" s="1"/>
  <c r="BN43" i="9"/>
  <c r="BP71" i="6" l="1"/>
  <c r="BP198" i="6"/>
  <c r="BQ198" i="6" s="1"/>
  <c r="BQ40" i="6"/>
  <c r="BN219" i="4"/>
  <c r="BN215" i="4"/>
  <c r="BN166" i="4"/>
  <c r="BN170" i="4" s="1"/>
  <c r="BN185" i="4" s="1"/>
  <c r="BO159" i="4"/>
  <c r="BN89" i="4"/>
  <c r="BN90" i="4" s="1"/>
  <c r="BN44" i="9"/>
  <c r="BN58" i="9"/>
  <c r="BN69" i="9" s="1"/>
  <c r="BQ36" i="6"/>
  <c r="BQ38" i="6" s="1"/>
  <c r="BQ42" i="6" s="1"/>
  <c r="BQ243" i="6"/>
  <c r="BQ254" i="6" s="1"/>
  <c r="BN191" i="4"/>
  <c r="BN209" i="4" s="1"/>
  <c r="BO274" i="6"/>
  <c r="BO74" i="6" s="1"/>
  <c r="BO275" i="6"/>
  <c r="BN242" i="4" l="1"/>
  <c r="BQ46" i="6"/>
  <c r="BP42" i="6"/>
  <c r="BN211" i="4"/>
  <c r="BO107" i="4"/>
  <c r="BN228" i="4"/>
  <c r="BN229" i="4" s="1"/>
  <c r="BN243" i="4"/>
  <c r="BP261" i="6"/>
  <c r="BP263" i="6" s="1"/>
  <c r="BP137" i="4"/>
  <c r="BQ261" i="6"/>
  <c r="BQ263" i="6" s="1"/>
  <c r="BQ71" i="6"/>
  <c r="BQ265" i="6" l="1"/>
  <c r="CG28" i="2"/>
  <c r="CG29" i="2" s="1"/>
  <c r="BP56" i="9"/>
  <c r="BQ137" i="4"/>
  <c r="BP195" i="4"/>
  <c r="BO111" i="4"/>
  <c r="BO42" i="4" s="1"/>
  <c r="BP195" i="6"/>
  <c r="BP46" i="6"/>
  <c r="BN241" i="4"/>
  <c r="BN223" i="4"/>
  <c r="BN240" i="4"/>
  <c r="BN226" i="4"/>
  <c r="BN220" i="4"/>
  <c r="BQ53" i="6"/>
  <c r="BQ48" i="6"/>
  <c r="BQ244" i="6" l="1"/>
  <c r="BQ240" i="6"/>
  <c r="BQ54" i="6"/>
  <c r="BP201" i="6"/>
  <c r="BP215" i="6" s="1"/>
  <c r="BP217" i="6" s="1"/>
  <c r="BQ195" i="6"/>
  <c r="BQ201" i="6" s="1"/>
  <c r="BQ215" i="6" s="1"/>
  <c r="BP232" i="6"/>
  <c r="BO44" i="4"/>
  <c r="BO236" i="4"/>
  <c r="BO247" i="4" s="1"/>
  <c r="BP53" i="6"/>
  <c r="BP48" i="6"/>
  <c r="BQ195" i="4"/>
  <c r="BQ200" i="4" s="1"/>
  <c r="BP200" i="4"/>
  <c r="BP127" i="4"/>
  <c r="BQ56" i="9"/>
  <c r="BQ127" i="4" s="1"/>
  <c r="BP54" i="6" l="1"/>
  <c r="BP240" i="6"/>
  <c r="BP244" i="6"/>
  <c r="BQ232" i="6"/>
  <c r="BP218" i="6"/>
  <c r="BP222" i="6" s="1"/>
  <c r="BQ217" i="6"/>
  <c r="BQ218" i="6" s="1"/>
  <c r="BQ222" i="6" s="1"/>
  <c r="BP224" i="6"/>
  <c r="BQ253" i="6"/>
  <c r="BO46" i="4"/>
  <c r="BO25" i="9"/>
  <c r="BQ55" i="6"/>
  <c r="BQ88" i="4"/>
  <c r="BQ13" i="3" s="1"/>
  <c r="CG51" i="2" s="1"/>
  <c r="CG32" i="2" s="1"/>
  <c r="CG34" i="2" s="1"/>
  <c r="BO48" i="4" l="1"/>
  <c r="BO50" i="4" s="1"/>
  <c r="BO54" i="4" s="1"/>
  <c r="BO27" i="9"/>
  <c r="BP226" i="6"/>
  <c r="BQ224" i="6"/>
  <c r="BQ226" i="6" s="1"/>
  <c r="BP253" i="6"/>
  <c r="BP88" i="4"/>
  <c r="BP55" i="6"/>
  <c r="BO62" i="4" l="1"/>
  <c r="BO56" i="4"/>
  <c r="BO251" i="4"/>
  <c r="BO134" i="4"/>
  <c r="BO204" i="4"/>
  <c r="BO207" i="4" s="1"/>
  <c r="BP249" i="6"/>
  <c r="BP250" i="6"/>
  <c r="BQ235" i="6"/>
  <c r="BQ236" i="6" s="1"/>
  <c r="BQ249" i="6"/>
  <c r="BQ250" i="6"/>
  <c r="BO29" i="9"/>
  <c r="BO31" i="9" s="1"/>
  <c r="BO35" i="9" s="1"/>
  <c r="BO117" i="4"/>
  <c r="BO42" i="9" l="1"/>
  <c r="BO37" i="9"/>
  <c r="BQ230" i="6"/>
  <c r="BP235" i="6"/>
  <c r="BQ247" i="6"/>
  <c r="BQ233" i="6"/>
  <c r="BQ270" i="6" s="1"/>
  <c r="BQ227" i="6"/>
  <c r="BQ248" i="6"/>
  <c r="BO140" i="4"/>
  <c r="BO158" i="4" s="1"/>
  <c r="BO160" i="4" s="1"/>
  <c r="BO225" i="4"/>
  <c r="BO63" i="4"/>
  <c r="BO75" i="4" s="1"/>
  <c r="BO254" i="4"/>
  <c r="BO255" i="4" s="1"/>
  <c r="BO237" i="4"/>
  <c r="BO233" i="4"/>
  <c r="BO246" i="4" l="1"/>
  <c r="BO161" i="4"/>
  <c r="BO217" i="4"/>
  <c r="BO187" i="4"/>
  <c r="BQ274" i="6"/>
  <c r="BQ74" i="6" s="1"/>
  <c r="BQ275" i="6"/>
  <c r="BQ75" i="6" s="1"/>
  <c r="BP236" i="6"/>
  <c r="BP230" i="6"/>
  <c r="BP247" i="6"/>
  <c r="BP233" i="6"/>
  <c r="BP270" i="6" s="1"/>
  <c r="BP227" i="6"/>
  <c r="BP248" i="6"/>
  <c r="BO54" i="9"/>
  <c r="BO126" i="4"/>
  <c r="BO130" i="4" s="1"/>
  <c r="BO43" i="9"/>
  <c r="BO89" i="4" l="1"/>
  <c r="BO90" i="4" s="1"/>
  <c r="BO44" i="9"/>
  <c r="BO58" i="9"/>
  <c r="BO69" i="9" s="1"/>
  <c r="BP274" i="6"/>
  <c r="BP74" i="6" s="1"/>
  <c r="BP275" i="6"/>
  <c r="BO191" i="4"/>
  <c r="BO209" i="4" s="1"/>
  <c r="BO219" i="4"/>
  <c r="BP159" i="4"/>
  <c r="BO166" i="4"/>
  <c r="BO170" i="4" s="1"/>
  <c r="BO185" i="4" s="1"/>
  <c r="BO215" i="4"/>
  <c r="BO211" i="4" l="1"/>
  <c r="BO242" i="4"/>
  <c r="BO243" i="4"/>
  <c r="BO228" i="4"/>
  <c r="BO220" i="4" s="1"/>
  <c r="BP107" i="4"/>
  <c r="BP111" i="4" l="1"/>
  <c r="BP42" i="4" s="1"/>
  <c r="BQ107" i="4"/>
  <c r="BQ111" i="4" s="1"/>
  <c r="BO241" i="4"/>
  <c r="BO223" i="4"/>
  <c r="BO240" i="4"/>
  <c r="BO226" i="4"/>
  <c r="BO229" i="4"/>
  <c r="BP44" i="4" l="1"/>
  <c r="BP236" i="4"/>
  <c r="BP247" i="4" s="1"/>
  <c r="BQ42" i="4"/>
  <c r="BQ236" i="4" l="1"/>
  <c r="BQ247" i="4" s="1"/>
  <c r="EI29" i="3" s="1"/>
  <c r="BQ44" i="4"/>
  <c r="BQ46" i="4" s="1"/>
  <c r="BP25" i="9"/>
  <c r="BP46" i="4"/>
  <c r="BP27" i="9" l="1"/>
  <c r="BQ25" i="9"/>
  <c r="BQ27" i="9" s="1"/>
  <c r="BP48" i="4"/>
  <c r="BP29" i="9" l="1"/>
  <c r="BQ29" i="9" s="1"/>
  <c r="BQ31" i="9" s="1"/>
  <c r="BQ35" i="9" s="1"/>
  <c r="BP117" i="4"/>
  <c r="BQ48" i="4"/>
  <c r="BP50" i="4"/>
  <c r="BP54" i="4" s="1"/>
  <c r="BQ37" i="9" l="1"/>
  <c r="CG35" i="2" s="1"/>
  <c r="CG36" i="2" s="1"/>
  <c r="CG39" i="2" s="1"/>
  <c r="CG45" i="2" s="1"/>
  <c r="CG47" i="2" s="1"/>
  <c r="CG49" i="2" s="1"/>
  <c r="BQ42" i="9"/>
  <c r="BP204" i="4"/>
  <c r="BP62" i="4"/>
  <c r="BP251" i="4"/>
  <c r="BP56" i="4"/>
  <c r="BP134" i="4"/>
  <c r="BP31" i="9"/>
  <c r="BP35" i="9" s="1"/>
  <c r="BQ117" i="4"/>
  <c r="BQ50" i="4"/>
  <c r="BQ54" i="4" s="1"/>
  <c r="BP140" i="4" l="1"/>
  <c r="BP158" i="4" s="1"/>
  <c r="BP160" i="4" s="1"/>
  <c r="BQ134" i="4"/>
  <c r="BQ140" i="4" s="1"/>
  <c r="BP225" i="4"/>
  <c r="BP207" i="4"/>
  <c r="BQ204" i="4"/>
  <c r="BQ207" i="4" s="1"/>
  <c r="BQ225" i="4" s="1"/>
  <c r="EI17" i="3" s="1"/>
  <c r="BQ126" i="4"/>
  <c r="BQ130" i="4" s="1"/>
  <c r="BQ43" i="9"/>
  <c r="BQ251" i="4"/>
  <c r="BQ56" i="4"/>
  <c r="BQ62" i="4"/>
  <c r="BP37" i="9"/>
  <c r="BP42" i="9"/>
  <c r="BP63" i="4"/>
  <c r="BP75" i="4" s="1"/>
  <c r="BP254" i="4"/>
  <c r="BP255" i="4" s="1"/>
  <c r="BP237" i="4"/>
  <c r="BP233" i="4"/>
  <c r="BQ158" i="4" l="1"/>
  <c r="EI44" i="3"/>
  <c r="EI41" i="3" s="1"/>
  <c r="EI53" i="3" s="1"/>
  <c r="EI56" i="3" s="1"/>
  <c r="EI60" i="3" s="1"/>
  <c r="BP54" i="9"/>
  <c r="BP126" i="4"/>
  <c r="BP130" i="4" s="1"/>
  <c r="BP43" i="9"/>
  <c r="BQ63" i="4"/>
  <c r="BQ233" i="4"/>
  <c r="BQ254" i="4"/>
  <c r="BQ255" i="4" s="1"/>
  <c r="BQ237" i="4"/>
  <c r="BQ89" i="4"/>
  <c r="BQ44" i="9"/>
  <c r="BP246" i="4"/>
  <c r="BP161" i="4"/>
  <c r="BQ160" i="4"/>
  <c r="BP187" i="4"/>
  <c r="BP217" i="4"/>
  <c r="BQ8" i="2" l="1"/>
  <c r="BQ14" i="2" s="1"/>
  <c r="BQ17" i="2" s="1"/>
  <c r="BQ19" i="2" s="1"/>
  <c r="BT63" i="4"/>
  <c r="BQ161" i="4"/>
  <c r="BQ215" i="4" s="1"/>
  <c r="EI9" i="3" s="1"/>
  <c r="EI66" i="3"/>
  <c r="EI68" i="3" s="1"/>
  <c r="BQ90" i="4"/>
  <c r="BQ14" i="3"/>
  <c r="BQ246" i="4"/>
  <c r="EI28" i="3" s="1"/>
  <c r="BP58" i="9"/>
  <c r="BP69" i="9" s="1"/>
  <c r="BQ54" i="9"/>
  <c r="BQ58" i="9" s="1"/>
  <c r="BQ69" i="9" s="1"/>
  <c r="BQ187" i="4"/>
  <c r="BQ191" i="4" s="1"/>
  <c r="BQ209" i="4" s="1"/>
  <c r="BP191" i="4"/>
  <c r="BP209" i="4" s="1"/>
  <c r="BP166" i="4"/>
  <c r="BP215" i="4"/>
  <c r="BQ75" i="4"/>
  <c r="BQ64" i="4"/>
  <c r="BP219" i="4"/>
  <c r="BQ217" i="4"/>
  <c r="EI11" i="3" s="1"/>
  <c r="EI14" i="3" s="1"/>
  <c r="BP44" i="9"/>
  <c r="BP89" i="4"/>
  <c r="BP90" i="4" s="1"/>
  <c r="EI19" i="3" l="1"/>
  <c r="BQ67" i="3"/>
  <c r="BQ68" i="3" s="1"/>
  <c r="BQ56" i="3" s="1"/>
  <c r="BQ15" i="3"/>
  <c r="BQ219" i="4"/>
  <c r="BP242" i="4"/>
  <c r="BP228" i="4"/>
  <c r="BP229" i="4" s="1"/>
  <c r="BP243" i="4"/>
  <c r="BQ166" i="4"/>
  <c r="BQ170" i="4" s="1"/>
  <c r="BQ185" i="4" s="1"/>
  <c r="BP170" i="4"/>
  <c r="BP185" i="4" s="1"/>
  <c r="BP211" i="4" s="1"/>
  <c r="BQ62" i="3" l="1"/>
  <c r="BQ60" i="3"/>
  <c r="BQ55" i="3"/>
  <c r="BQ16" i="3"/>
  <c r="BQ42" i="3"/>
  <c r="BQ211" i="4"/>
  <c r="BQ61" i="3"/>
  <c r="BQ20" i="3"/>
  <c r="BP220" i="4"/>
  <c r="BP223" i="4"/>
  <c r="BP240" i="4"/>
  <c r="BP226" i="4"/>
  <c r="BP241" i="4"/>
  <c r="BQ242" i="4"/>
  <c r="EI24" i="3" s="1"/>
  <c r="BQ228" i="4"/>
  <c r="BQ243" i="4"/>
  <c r="EI25" i="3" s="1"/>
  <c r="BQ241" i="4" l="1"/>
  <c r="EI23" i="3" s="1"/>
  <c r="BQ223" i="4"/>
  <c r="BQ240" i="4"/>
  <c r="EI22" i="3" s="1"/>
  <c r="BQ226" i="4"/>
  <c r="BQ229" i="4"/>
  <c r="BQ220" i="4"/>
</calcChain>
</file>

<file path=xl/comments1.xml><?xml version="1.0" encoding="utf-8"?>
<comments xmlns="http://schemas.openxmlformats.org/spreadsheetml/2006/main">
  <authors>
    <author>farrih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卟䙄_x0001_＀＀井	䕘幌牰捩챥_x0018_＀＀_x0018_＀＀_x0008_＀＀_x0001_＀＀_x0001_＀＀竡긔ꅇ䀸井_x000D_䕘幌彐䥄彖䱙채_x0018_＀＀_x0018_＀＀_x0008_＀＀_x0001_＀＀_x0001_＀＀嬐㑺䀐䐊亖_x0011_䕘幌彐佃彍䡓当問챔_x0018_＀＀_x0018_＀＀_x0008_＀＀_x0001_＀＀_x0001_＀＀ﷴ磔䣩䁾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92</t>
        </r>
      </text>
    </comment>
  </commentList>
</comments>
</file>

<file path=xl/comments2.xml><?xml version="1.0" encoding="utf-8"?>
<comments xmlns="http://schemas.openxmlformats.org/spreadsheetml/2006/main">
  <authors>
    <author>Arcaro, David (Research)</author>
    <author>Ellison, Ethan C (Research)</author>
    <author>Ananth, Manoj (Research)</author>
  </authors>
  <commentList>
    <comment ref="BX8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8.5% ROE</t>
        </r>
      </text>
    </comment>
    <comment ref="BZ8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10% ROE</t>
        </r>
      </text>
    </comment>
    <comment ref="BY11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Now assume 5% premium utility in the base case given growth prospect and potential ESG premium</t>
        </r>
      </text>
    </comment>
    <comment ref="BQ15" authorId="2">
      <text>
        <r>
          <rPr>
            <sz val="9"/>
            <color indexed="81"/>
            <rFont val="Tahoma"/>
            <family val="2"/>
          </rPr>
          <t>Share Price as on 04/10/18
Source: Yahoo Finance</t>
        </r>
      </text>
    </comment>
    <comment ref="C21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Thomson Formula:
=TF("XEL","TF.ES.EPS.Mean(period=FY2018)","")</t>
        </r>
      </text>
    </comment>
    <comment ref="CA29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March 2016 Boston Meetings: $22.3b
•2015 Rate Base Adjusted to $22.693B as of Barclays Kohler conference 8-17-16</t>
        </r>
      </text>
    </comment>
    <comment ref="CB29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2016 Rate base = 24B
♦6/12/17 Investor presentation pg. 31-32</t>
        </r>
      </text>
    </comment>
    <comment ref="CC29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$25.2B 
4/11/18 Presentation slide 13
Growing to $34.5 - $35.7 by 2022 depending on CEP</t>
        </r>
      </text>
    </comment>
    <comment ref="CH29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4/11/18 Presentation slide 13
$25.2B in 2017 growing to $34.5 - $35.7 by 2022 depending on CEP</t>
        </r>
      </text>
    </comment>
  </commentList>
</comments>
</file>

<file path=xl/comments3.xml><?xml version="1.0" encoding="utf-8"?>
<comments xmlns="http://schemas.openxmlformats.org/spreadsheetml/2006/main">
  <authors>
    <author>Ellison, Ethan C (Research)</author>
    <author>Arcaro, David (Research)</author>
    <author>Kumar S, Ajay (Research)</author>
    <author>farrih</author>
    <author>shahviv</author>
    <author>ancsan</author>
    <author>sunilt</author>
    <author>Tammannavar, Sunil (Research)</author>
    <author>Kapoor, Vishal (Research)</author>
    <author>K, Hemalatha (Research)</author>
    <author>subbose</author>
  </authors>
  <commentList>
    <comment ref="BB20" authorId="0">
      <text>
        <r>
          <rPr>
            <sz val="9"/>
            <color indexed="81"/>
            <rFont val="Tahoma"/>
            <family val="2"/>
          </rPr>
          <t>Flat
Source: 2017 Year Ending Earings Report Presentation.
Dated: 2/7/18, pg:18</t>
        </r>
      </text>
    </comment>
    <comment ref="BS20" authorId="1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1Q16 earnings slides: +0-1% Y/Y Reiterated 2Q16 10Q: change in O&amp;M prjected to be within a range of 0 to 1 % from '15 levels [pg. 53]</t>
        </r>
      </text>
    </comment>
    <comment ref="BT20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Guide to flat O&amp;M
</t>
        </r>
      </text>
    </comment>
    <comment ref="BU20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flat YoY</t>
        </r>
      </text>
    </comment>
    <comment ref="BB21" authorId="0">
      <text>
        <r>
          <rPr>
            <sz val="9"/>
            <color indexed="81"/>
            <rFont val="Tahoma"/>
            <family val="2"/>
          </rPr>
          <t>Increase $150 million - $160 million; ~$20 million of increase is for renewable development fund, which is earnings neutral
Net 130m - 140m increase
Source: 2017 Year Ending Earings Report Presentation.
Dated: 2/7/18, pg:18</t>
        </r>
      </text>
    </comment>
    <comment ref="BS21" authorId="1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3Q15 earnings slides: Increase $200m Y/Y
Reiterated in 2Q16 10Q [pg. 53]
•Though approx. $20m will be recovered through RDF Rider (not included in capital rider)</t>
        </r>
      </text>
    </comment>
    <comment ref="BT21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Increase $180 - $190m
•2017 Ongoing Earnings Guidamce, EEI Presentation 11/6/17</t>
        </r>
      </text>
    </comment>
    <comment ref="BU21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Increase $130 - $140m</t>
        </r>
      </text>
    </comment>
    <comment ref="BB22" authorId="0">
      <text>
        <r>
          <rPr>
            <sz val="9"/>
            <color indexed="81"/>
            <rFont val="Tahoma"/>
            <family val="2"/>
          </rPr>
          <t xml:space="preserve">
Increase $30 - $40m
Source: 2017 Year Ending Earings Report Presentation.
Dated: 2/7/18, pg:18</t>
        </r>
      </text>
    </comment>
    <comment ref="BS22" authorId="1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3Q15 earnings slides: Increase $40-50m Y/Y Reiterated 2Q16 10Q [pg. 53] "Property Taxes" projected to increase 40-50m over '15 levels</t>
        </r>
      </text>
    </comment>
    <comment ref="BT22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Guide to 0-10m increase</t>
        </r>
      </text>
    </comment>
    <comment ref="BU22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Increase $30 - $40m</t>
        </r>
      </text>
    </comment>
    <comment ref="BB34" authorId="0">
      <text>
        <r>
          <rPr>
            <sz val="9"/>
            <color indexed="81"/>
            <rFont val="Tahoma"/>
            <family val="2"/>
          </rPr>
          <t xml:space="preserve">
Increase $20 - $30m
Source: 2017 Year Ending Earings Report Presentation.
Dated: 2/7/18, pg:18</t>
        </r>
      </text>
    </comment>
    <comment ref="BS34" authorId="1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1Q16 earnings slides: Increase $0-5m Y/Y
•CHANGED 2Q16 10Q [pg.53] increase approximately 0-10m over '15 levels</t>
        </r>
      </text>
    </comment>
    <comment ref="BT34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2017 EEI presentation pg. 25
♦Increase 10-20m</t>
        </r>
      </text>
    </comment>
    <comment ref="BU34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Increase $20 - $30m</t>
        </r>
      </text>
    </comment>
    <comment ref="AI36" authorId="2">
      <text>
        <r>
          <rPr>
            <sz val="9"/>
            <color indexed="81"/>
            <rFont val="Tahoma"/>
            <family val="2"/>
          </rPr>
          <t>$129.463Mn: Loss on Monticello life cycle management/extended power uprate project</t>
        </r>
      </text>
    </comment>
    <comment ref="AM36" authorId="2">
      <text>
        <r>
          <rPr>
            <sz val="9"/>
            <color indexed="81"/>
            <rFont val="Tahoma"/>
            <family val="2"/>
          </rPr>
          <t>$129.463Mn: Loss on Monticello life cycle management/extended power uprate project</t>
        </r>
      </text>
    </comment>
    <comment ref="BS42" authorId="1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3Q15 earnings slides: Increase $40-50m Y/Y
Reiterated 2Q16 10Q [pg. 53]</t>
        </r>
      </text>
    </comment>
    <comment ref="BB44" authorId="0">
      <text>
        <r>
          <rPr>
            <sz val="9"/>
            <color indexed="81"/>
            <rFont val="Tahoma"/>
            <family val="2"/>
          </rPr>
          <t xml:space="preserve">
Increase $20 - $30m (net of AFUDC-debt)
Source: 2017 Year Ending Earings Report Presentation.
Dated: 2/7/18, pg:18</t>
        </r>
      </text>
    </comment>
    <comment ref="BT44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2017 EEI slides pg. 25
♦Int Expense (Net of AFUDC-debt) increase 10-20m</t>
        </r>
      </text>
    </comment>
    <comment ref="BU44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Increase $20 - $30m</t>
        </r>
      </text>
    </comment>
    <comment ref="Q51" authorId="3">
      <text>
        <r>
          <rPr>
            <sz val="8"/>
            <color indexed="81"/>
            <rFont val="Tahoma"/>
            <family val="2"/>
          </rPr>
          <t>Includes premium on redemption of preferred stock</t>
        </r>
      </text>
    </comment>
    <comment ref="S52" authorId="4">
      <text>
        <r>
          <rPr>
            <sz val="8"/>
            <color indexed="81"/>
            <rFont val="Tahoma"/>
            <family val="2"/>
          </rPr>
          <t xml:space="preserve">Dividend on preferred stock: $3.534 mn
Premium on redemption of preferred stock: $3.260 mn
Source: 10-K 2011
</t>
        </r>
      </text>
    </comment>
    <comment ref="V55" authorId="5">
      <text>
        <r>
          <rPr>
            <sz val="8"/>
            <color indexed="81"/>
            <rFont val="Tahoma"/>
            <family val="2"/>
          </rPr>
          <t>$16mn Prescription drug tax benefit
$.041mn discontinued operations
Source : 8k of 3Q12</t>
        </r>
      </text>
    </comment>
    <comment ref="X55" authorId="5">
      <text>
        <r>
          <rPr>
            <sz val="8"/>
            <color indexed="81"/>
            <rFont val="Tahoma"/>
            <family val="2"/>
          </rPr>
          <t>$16,944m Prescription drug tax benefit
$.030mn discontinued operations
Source : 8k of 4Q12</t>
        </r>
      </text>
    </comment>
    <comment ref="AA55" authorId="5">
      <text>
        <r>
          <rPr>
            <sz val="8"/>
            <color indexed="81"/>
            <rFont val="Tahoma"/>
            <family val="2"/>
          </rPr>
          <t>$19.52 mn SPS 2004 FERC complaint case orders
$.216mn discontinued operations
Source : 8k of 3Q13</t>
        </r>
      </text>
    </comment>
    <comment ref="AC55" authorId="6">
      <text>
        <r>
          <rPr>
            <sz val="8"/>
            <color indexed="81"/>
            <rFont val="Tahoma"/>
            <family val="2"/>
          </rPr>
          <t>$20.191m : SPS 2004 FERC complaint case orders</t>
        </r>
        <r>
          <rPr>
            <sz val="8"/>
            <color indexed="81"/>
            <rFont val="Tahoma"/>
            <family val="2"/>
          </rPr>
          <t xml:space="preserve">
Source : 8-K of 4Q13</t>
        </r>
      </text>
    </comment>
    <comment ref="AI55" authorId="2">
      <text>
        <r>
          <rPr>
            <sz val="9"/>
            <color indexed="81"/>
            <rFont val="Tahoma"/>
            <family val="2"/>
          </rPr>
          <t>$79.151 Mn: Loss on Monticello LCM/EPU project
Source: 8K 1Q15, pg. no. 15</t>
        </r>
      </text>
    </comment>
    <comment ref="AM55" authorId="2">
      <text>
        <r>
          <rPr>
            <sz val="9"/>
            <color indexed="81"/>
            <rFont val="Tahoma"/>
            <family val="2"/>
          </rPr>
          <t>$79.15 Mn: Loss on Monticello LCM/EPU project
Source: 8K 4Q15, pg. no. 16 dated 01/28/2016</t>
        </r>
      </text>
    </comment>
    <comment ref="AW55" authorId="7">
      <text>
        <r>
          <rPr>
            <sz val="9"/>
            <color indexed="81"/>
            <rFont val="Tahoma"/>
            <family val="2"/>
          </rPr>
          <t xml:space="preserve">Source : 8-K of 4Q17, dated 02/07/18
</t>
        </r>
      </text>
    </comment>
    <comment ref="BB59" authorId="8">
      <text>
        <r>
          <rPr>
            <sz val="9"/>
            <color indexed="81"/>
            <rFont val="Tahoma"/>
            <family val="2"/>
          </rPr>
          <t>Guidance : 510m shares
Source: 3Q17 Earnings Release Presentation, pg. 16 dated 10/26/17</t>
        </r>
      </text>
    </comment>
    <comment ref="C66" authorId="1">
      <text>
        <r>
          <rPr>
            <b/>
            <sz val="9"/>
            <color indexed="81"/>
            <rFont val="Tahoma"/>
            <family val="2"/>
          </rPr>
          <t>DA:</t>
        </r>
        <r>
          <rPr>
            <sz val="9"/>
            <color indexed="81"/>
            <rFont val="Tahoma"/>
            <family val="2"/>
          </rPr>
          <t xml:space="preserve">
Based on 4Q14 guidance: 4-6% growth off of 2014 ongoing EPS of $2.00</t>
        </r>
      </text>
    </comment>
    <comment ref="BB66" authorId="0">
      <text>
        <r>
          <rPr>
            <sz val="9"/>
            <color indexed="81"/>
            <rFont val="Tahoma"/>
            <family val="2"/>
          </rPr>
          <t>Source: 2017 Year Ending Earings Report Presentation. dated: 2/7/18, pg:18</t>
        </r>
      </text>
    </comment>
    <comment ref="BB67" authorId="0">
      <text>
        <r>
          <rPr>
            <sz val="9"/>
            <color indexed="81"/>
            <rFont val="Tahoma"/>
            <family val="2"/>
          </rPr>
          <t>Source: 2017 Year Ending Earings Report Presentation. dated: 2/7/18, pg:18</t>
        </r>
      </text>
    </comment>
    <comment ref="BB71" authorId="9">
      <text>
        <r>
          <rPr>
            <sz val="9"/>
            <color indexed="81"/>
            <rFont val="Tahoma"/>
            <family val="2"/>
          </rPr>
          <t>$1.52 as per East Coast Investor meeting.
Dated: 02/27/2018, Pg:24</t>
        </r>
      </text>
    </comment>
    <comment ref="BB80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Equity (DRIP) will contribute $385m of capital to the financing plan 2018 -2022, averaging $77m/yr
•2017 EEI Presentation slide 20</t>
        </r>
      </text>
    </comment>
    <comment ref="BG80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Equity (DRIP) will contribute $385m of capital to the financing plan 2018 -2022, averaging $77m/yr
•2017 EEI Presentation slide 20</t>
        </r>
      </text>
    </comment>
    <comment ref="BL80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Equity (DRIP) will contribute $385m of capital to the financing plan 2018 -2022, averaging $77m/yr
•2017 EEI Presentation slide 20</t>
        </r>
      </text>
    </comment>
    <comment ref="BS80" authorId="1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3Q15 earnings slides: Eliminated equity from DRIP programs
</t>
        </r>
      </text>
    </comment>
    <comment ref="BB93" authorId="8">
      <text>
        <r>
          <rPr>
            <sz val="9"/>
            <color indexed="81"/>
            <rFont val="Tahoma"/>
            <family val="2"/>
          </rPr>
          <t>Guidance : $1,370
Source: East Coast Investor Meetings,  dated 02/27/18, Pg: 31</t>
        </r>
      </text>
    </comment>
    <comment ref="BG93" authorId="8">
      <text>
        <r>
          <rPr>
            <sz val="9"/>
            <color indexed="81"/>
            <rFont val="Tahoma"/>
            <family val="2"/>
          </rPr>
          <t>Guidance : $1,910
Source: East Coast Investor Meetings,  dated 02/27/18, Pg: 31</t>
        </r>
      </text>
    </comment>
    <comment ref="BL93" authorId="8">
      <text>
        <r>
          <rPr>
            <sz val="9"/>
            <color indexed="81"/>
            <rFont val="Tahoma"/>
            <family val="2"/>
          </rPr>
          <t>Guidance : $1,450
Source: East Coast Investor Meetings,  dated 02/27/18, Pg: 31</t>
        </r>
      </text>
    </comment>
    <comment ref="C94" authorId="6">
      <text>
        <r>
          <rPr>
            <sz val="8"/>
            <color indexed="81"/>
            <rFont val="Tahoma"/>
            <family val="2"/>
          </rPr>
          <t>Includes WYCO spend in 2013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94" authorId="8">
      <text>
        <r>
          <rPr>
            <sz val="9"/>
            <color indexed="81"/>
            <rFont val="Tahoma"/>
            <family val="2"/>
          </rPr>
          <t>Guidance : $1,650
Source: East Coast Investor Meetings,  dated 02/27/18, Pg: 31</t>
        </r>
      </text>
    </comment>
    <comment ref="BG94" authorId="8">
      <text>
        <r>
          <rPr>
            <sz val="9"/>
            <color indexed="81"/>
            <rFont val="Tahoma"/>
            <family val="2"/>
          </rPr>
          <t>Guidance : $1,020
Source: East Coast Investor Meetings,  dated 02/27/18, Pg: 31</t>
        </r>
      </text>
    </comment>
    <comment ref="BL94" authorId="8">
      <text>
        <r>
          <rPr>
            <sz val="9"/>
            <color indexed="81"/>
            <rFont val="Tahoma"/>
            <family val="2"/>
          </rPr>
          <t>Guidance : $950
Source: East Coast Investor Meetings,  dated 02/27/18, Pg: 31</t>
        </r>
      </text>
    </comment>
    <comment ref="BY94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The capital expenditure forecast reflects $3.5 billion for renewable investment and has not been updated for the NSPM &amp; SPS wind proposals filed in March 2017, which if approved would increase the total renewable investment to $4.2 billion</t>
        </r>
      </text>
    </comment>
    <comment ref="BB95" authorId="8">
      <text>
        <r>
          <rPr>
            <sz val="9"/>
            <color indexed="81"/>
            <rFont val="Tahoma"/>
            <family val="2"/>
          </rPr>
          <t>Guidance : $1,020
Source: East Coast Investor Meetings,  dated 02/27/18, Pg: 31</t>
        </r>
      </text>
    </comment>
    <comment ref="BG95" authorId="8">
      <text>
        <r>
          <rPr>
            <sz val="9"/>
            <color indexed="81"/>
            <rFont val="Tahoma"/>
            <family val="2"/>
          </rPr>
          <t>Guidance : $1,140
Source: East Coast Investor Meetings,  dated 02/27/18, Pg: 31</t>
        </r>
      </text>
    </comment>
    <comment ref="BL95" authorId="8">
      <text>
        <r>
          <rPr>
            <sz val="9"/>
            <color indexed="81"/>
            <rFont val="Tahoma"/>
            <family val="2"/>
          </rPr>
          <t>Guidance : $710
Source: East Coast Investor Meetings,  dated 02/27/18, Pg: 31</t>
        </r>
      </text>
    </comment>
    <comment ref="BB96" authorId="8">
      <text>
        <r>
          <rPr>
            <sz val="9"/>
            <color indexed="81"/>
            <rFont val="Tahoma"/>
            <family val="2"/>
          </rPr>
          <t>Guidance : $250
Source: East Coast Investor Meetings,  dated 02/27/18, Pg: 31</t>
        </r>
      </text>
    </comment>
    <comment ref="BG96" authorId="8">
      <text>
        <r>
          <rPr>
            <sz val="9"/>
            <color indexed="81"/>
            <rFont val="Tahoma"/>
            <family val="2"/>
          </rPr>
          <t>Guidance : $250
Source: East Coast Investor Meetings,  dated 02/27/18, Pg: 31</t>
        </r>
      </text>
    </comment>
    <comment ref="BL96" authorId="8">
      <text>
        <r>
          <rPr>
            <sz val="9"/>
            <color indexed="81"/>
            <rFont val="Tahoma"/>
            <family val="2"/>
          </rPr>
          <t>Guidance : $240
Source: East Coast Investor Meetings,  dated 02/27/18, Pg: 31</t>
        </r>
      </text>
    </comment>
    <comment ref="BB98" authorId="8">
      <text>
        <r>
          <rPr>
            <sz val="9"/>
            <color indexed="81"/>
            <rFont val="Tahoma"/>
            <family val="2"/>
          </rPr>
          <t>Guidance : $4,210m (After estimated capital reduction of $100)
Source: East Coast Investor Meetings,  dated 02/27/18, Pg: 31</t>
        </r>
      </text>
    </comment>
    <comment ref="BG98" authorId="8">
      <text>
        <r>
          <rPr>
            <sz val="9"/>
            <color indexed="81"/>
            <rFont val="Tahoma"/>
            <family val="2"/>
          </rPr>
          <t>Guidance : $4,130m (After estimated capital reduction of $100)
Source: East Coast Investor Meetings,  dated 02/27/18, Pg: 31</t>
        </r>
      </text>
    </comment>
    <comment ref="BL98" authorId="8">
      <text>
        <r>
          <rPr>
            <sz val="9"/>
            <color indexed="81"/>
            <rFont val="Tahoma"/>
            <family val="2"/>
          </rPr>
          <t>Guidance : $3,160m (After estimated capital reduction of $100)
Source: East Coast Investor Meetings,  dated 02/27/18, Pg: 31</t>
        </r>
      </text>
    </comment>
    <comment ref="BT103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•$3,550 refinanced LT debt 2017-2021
•$4,805 incremental debt
•$8,355 total '17 - '21
•10/5/17 IR Pres pg. 10</t>
        </r>
      </text>
    </comment>
    <comment ref="BT104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$3,550 LT debt maturing 2017-2021
•10/5/17 IR Pres pg. 10</t>
        </r>
      </text>
    </comment>
    <comment ref="BB117" authorId="8">
      <text>
        <r>
          <rPr>
            <sz val="9"/>
            <color indexed="81"/>
            <rFont val="Tahoma"/>
            <family val="2"/>
          </rPr>
          <t>Effective tax rate : Approx. 8%-10% (reflecting lower tax rate due to TCJA, including excess deferred taxes and PTCs that flow back to customers through margins. ETR would otherwise be ~21-23%).
Source: 2017 Year End Earnings Release Presentation, pg. 18 dated 02/07/2018</t>
        </r>
      </text>
    </comment>
    <comment ref="BT147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Incremental debt 2018-'22 expected to $5,785. This is above $3,450 of net retirements and refinancings. Total $9,235m</t>
        </r>
      </text>
    </comment>
    <comment ref="DA152" authorId="4">
      <text>
        <r>
          <rPr>
            <sz val="8"/>
            <color indexed="81"/>
            <rFont val="Tahoma"/>
            <family val="2"/>
          </rPr>
          <t xml:space="preserve">Includes purchase of common stock for settlement of equity awards
Source: 10-Q 1Q12 Page: 5
</t>
        </r>
      </text>
    </comment>
    <comment ref="DE152" authorId="4">
      <text>
        <r>
          <rPr>
            <sz val="8"/>
            <color indexed="81"/>
            <rFont val="Tahoma"/>
            <family val="2"/>
          </rPr>
          <t xml:space="preserve">Includes purchase of common stock for settlement of equity awards
</t>
        </r>
      </text>
    </comment>
    <comment ref="DY152" authorId="8">
      <text>
        <r>
          <rPr>
            <sz val="9"/>
            <color indexed="81"/>
            <rFont val="Tahoma"/>
            <family val="2"/>
          </rPr>
          <t>Repurchases of common stock</t>
        </r>
      </text>
    </comment>
    <comment ref="ED152" authorId="8">
      <text>
        <r>
          <rPr>
            <sz val="9"/>
            <color indexed="81"/>
            <rFont val="Tahoma"/>
            <family val="2"/>
          </rPr>
          <t>Repurchases of common stock</t>
        </r>
      </text>
    </comment>
    <comment ref="ED153" authorId="9">
      <text>
        <r>
          <rPr>
            <sz val="9"/>
            <color indexed="81"/>
            <rFont val="Tahoma"/>
            <family val="2"/>
          </rPr>
          <t>$(85-84.476): Adjusted for decimal difference in ending cash and cash equivalent</t>
        </r>
      </text>
    </comment>
    <comment ref="CL156" authorId="10">
      <text>
        <r>
          <rPr>
            <sz val="8"/>
            <color indexed="8"/>
            <rFont val="Tahoma"/>
            <family val="2"/>
          </rPr>
          <t xml:space="preserve">Includes: 
Net increase (decrease) in cash and cash equivalents — discontinued operations. We also make an adjustment for an accounting change.
</t>
        </r>
      </text>
    </comment>
    <comment ref="CM156" authorId="10">
      <text>
        <r>
          <rPr>
            <sz val="8"/>
            <color indexed="8"/>
            <rFont val="Tahoma"/>
            <family val="2"/>
          </rPr>
          <t xml:space="preserve">Includes: 
Net increase (decrease) in cash and cash equivalents — discontinued operations. We also make an adjustment for an accounting change.
</t>
        </r>
      </text>
    </comment>
    <comment ref="CN156" authorId="10">
      <text>
        <r>
          <rPr>
            <sz val="8"/>
            <color indexed="8"/>
            <rFont val="Tahoma"/>
            <family val="2"/>
          </rPr>
          <t xml:space="preserve">Includes: 
Net increase (decrease) in cash and cash equivalents — discontinued operations. We also make an adjustment for an accounting change.
</t>
        </r>
      </text>
    </comment>
  </commentList>
</comments>
</file>

<file path=xl/comments4.xml><?xml version="1.0" encoding="utf-8"?>
<comments xmlns="http://schemas.openxmlformats.org/spreadsheetml/2006/main">
  <authors>
    <author>Kumar S, Ajay (Research)</author>
    <author>Ellison, Ethan C (Research)</author>
    <author>McDermott, Devin (Research)</author>
    <author>Jacob, Abey (Research)</author>
    <author xml:space="preserve">  </author>
    <author>farrih</author>
    <author>sunilt</author>
    <author>Kapoor, Vishal (Research)</author>
    <author>Arcaro, David (Research)</author>
    <author>shahviv</author>
    <author>K, Hemalatha (Research)</author>
  </authors>
  <commentList>
    <comment ref="AI29" authorId="0">
      <text>
        <r>
          <rPr>
            <sz val="9"/>
            <color indexed="81"/>
            <rFont val="Tahoma"/>
            <family val="2"/>
          </rPr>
          <t xml:space="preserve">$124.226 Mn: Loss on Monticello life cycle management/extended power uprate project
</t>
        </r>
      </text>
    </comment>
    <comment ref="AM29" authorId="0">
      <text>
        <r>
          <rPr>
            <sz val="9"/>
            <color indexed="81"/>
            <rFont val="Tahoma"/>
            <family val="2"/>
          </rPr>
          <t xml:space="preserve">$124.226 Mn: Loss on Monticello life cycle management/extended power uprate project
</t>
        </r>
      </text>
    </comment>
    <comment ref="AI48" authorId="0">
      <text>
        <r>
          <rPr>
            <sz val="9"/>
            <color indexed="81"/>
            <rFont val="Tahoma"/>
            <family val="2"/>
          </rPr>
          <t>$79.151 Mn: Loss on Monticello LCM/EPU project. Since the company did not report the split-up of 79.151 Mn into NSP-MN and NSP-WI, the whole sum is considered in NSP-MN.
Source: 8K 1Q15, pg. no. 15</t>
        </r>
      </text>
    </comment>
    <comment ref="AM48" authorId="0">
      <text>
        <r>
          <rPr>
            <sz val="9"/>
            <color indexed="81"/>
            <rFont val="Tahoma"/>
            <family val="2"/>
          </rPr>
          <t>$79.151 Mn: Loss on Monticello LCM/EPU project. Since the company did not report the split-up of 79.151 Mn into NSP-MN and NSP-WI, the whole sum is considered in NSP-MN.
Source: 8K 4Q15 dated 01/28/2016</t>
        </r>
      </text>
    </comment>
    <comment ref="C60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Minnesota decoupled, but North &amp; South Dakota are not</t>
        </r>
      </text>
    </comment>
    <comment ref="BB60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W/A electric sales: increase 0% to 0.5% YoY</t>
        </r>
      </text>
    </comment>
    <comment ref="BB61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W/A Nat Gas sales: decline 0% to 0.5% YoY</t>
        </r>
      </text>
    </comment>
    <comment ref="AR63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Rates includes the interim request of $163.7, which was approved in Dec. 2015 and recovered over 2016</t>
        </r>
      </text>
    </comment>
    <comment ref="BB63" authorId="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Decoupling benefit. Settlement assumes 1-2% load growth, we assume lower growth.
♦With decoupling in MN there is about $10m of incremental margin built in annually</t>
        </r>
      </text>
    </comment>
    <comment ref="BG63" authorId="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Decoupling benefit. Settlement assumes 1-2% load growth, we assume lower growth.
♦With decoupling in MN there is about $10m of incremental margin built in annually</t>
        </r>
      </text>
    </comment>
    <comment ref="BB65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Set to be neutral to earnings, weighted based on shaping of pre-tax income pre-tax reform
•includes both gas and electric</t>
        </r>
      </text>
    </comment>
    <comment ref="BG69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Assumes slight growth in O&amp;M and property taxes related to ramp up in renewables spending</t>
        </r>
      </text>
    </comment>
    <comment ref="BL69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Assumes slight growth in O&amp;M and property taxes related to ramp up in renewables spending</t>
        </r>
      </text>
    </comment>
    <comment ref="BB70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To tie to 2018 Guideance</t>
        </r>
      </text>
    </comment>
    <comment ref="BG70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Assumes slight growth in O&amp;M and property taxes related to ramp up in renewables spending</t>
        </r>
      </text>
    </comment>
    <comment ref="BL70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Assumes slight growth in O&amp;M and property taxes related to ramp up in renewables spending</t>
        </r>
      </text>
    </comment>
    <comment ref="AW77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2017 GAAP ROE 9.05%</t>
        </r>
      </text>
    </comment>
    <comment ref="AP83" authorId="3">
      <text>
        <r>
          <rPr>
            <sz val="9"/>
            <color indexed="81"/>
            <rFont val="Tahoma"/>
            <family val="2"/>
          </rPr>
          <t>Source SNL</t>
        </r>
      </text>
    </comment>
    <comment ref="AS83" authorId="3">
      <text>
        <r>
          <rPr>
            <sz val="9"/>
            <color indexed="81"/>
            <rFont val="Tahoma"/>
            <family val="2"/>
          </rPr>
          <t>Source SNL</t>
        </r>
      </text>
    </comment>
    <comment ref="AT83" authorId="3">
      <text>
        <r>
          <rPr>
            <sz val="9"/>
            <color indexed="81"/>
            <rFont val="Tahoma"/>
            <family val="2"/>
          </rPr>
          <t>Source SNL</t>
        </r>
      </text>
    </comment>
    <comment ref="AU83" authorId="4">
      <text>
        <r>
          <rPr>
            <sz val="9"/>
            <color indexed="81"/>
            <rFont val="Tahoma"/>
            <family val="2"/>
          </rPr>
          <t>Taken from FERC Form 3-Q</t>
        </r>
      </text>
    </comment>
    <comment ref="AP92" authorId="3">
      <text>
        <r>
          <rPr>
            <sz val="9"/>
            <color indexed="81"/>
            <rFont val="Tahoma"/>
            <family val="2"/>
          </rPr>
          <t>Source SNL</t>
        </r>
      </text>
    </comment>
    <comment ref="T124" authorId="5">
      <text>
        <r>
          <rPr>
            <sz val="8"/>
            <color indexed="81"/>
            <rFont val="Tahoma"/>
            <family val="2"/>
          </rPr>
          <t>Firm natural gas actual sales dropped 14.7% YoY according to XEL's Q1-2012 earnings release pg 5.</t>
        </r>
      </text>
    </comment>
    <comment ref="U124" authorId="6">
      <text>
        <r>
          <rPr>
            <sz val="8"/>
            <color indexed="81"/>
            <rFont val="Tahoma"/>
            <family val="2"/>
          </rPr>
          <t>Firm natural gas actual sales dropped 25.9% YoY according to XEL's Q2-2012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24" authorId="6">
      <text>
        <r>
          <rPr>
            <sz val="8"/>
            <color indexed="81"/>
            <rFont val="Tahoma"/>
            <family val="2"/>
          </rPr>
          <t>Firm natural gas actual sales dropped 1.3% YoY according to XEL's Q3-2012 10-Q  pg 41.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24" authorId="6">
      <text>
        <r>
          <rPr>
            <sz val="8"/>
            <color indexed="81"/>
            <rFont val="Tahoma"/>
            <family val="2"/>
          </rPr>
          <t>Firm natural gas actual sales increased 21.7% YoY according to XEL's Q1-2013 10-Q  pg 38.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24" authorId="6">
      <text>
        <r>
          <rPr>
            <sz val="8"/>
            <color indexed="81"/>
            <rFont val="Tahoma"/>
            <family val="2"/>
          </rPr>
          <t>Firm natural gas actual sales increased 66% YoY according to XEL's Q2-2013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24" authorId="6">
      <text>
        <r>
          <rPr>
            <sz val="8"/>
            <color indexed="81"/>
            <rFont val="Tahoma"/>
            <family val="2"/>
          </rPr>
          <t>Firm natural gas actual sales increased 4.9% YoY according to XEL's Q3-2013 10-Q  pg 49.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24" authorId="6">
      <text>
        <r>
          <rPr>
            <sz val="8"/>
            <color indexed="81"/>
            <rFont val="Tahoma"/>
            <family val="2"/>
          </rPr>
          <t>Firm natural gas actual sales increased 17.2% YoY according to XEL's Q1-2014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4" authorId="6">
      <text>
        <r>
          <rPr>
            <sz val="8"/>
            <color indexed="81"/>
            <rFont val="Tahoma"/>
            <family val="2"/>
          </rPr>
          <t>Firm natural gas actual sales increased 0.3% YoY according to XEL's Q2-2014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24" authorId="6">
      <text>
        <r>
          <rPr>
            <sz val="8"/>
            <color indexed="81"/>
            <rFont val="Tahoma"/>
            <family val="2"/>
          </rPr>
          <t>Firm natural gas actual sales increased 6.6% YoY according to XEL's Q3-2014 10-Q  pg 48.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24" authorId="6">
      <text>
        <r>
          <rPr>
            <sz val="8"/>
            <color indexed="81"/>
            <rFont val="Tahoma"/>
            <family val="2"/>
          </rPr>
          <t>Firm natural gas actual sales increased 17.2% YoY according to XEL's Q1-2015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24" authorId="6">
      <text>
        <r>
          <rPr>
            <sz val="8"/>
            <color indexed="81"/>
            <rFont val="Tahoma"/>
            <family val="2"/>
          </rPr>
          <t>Firm natural gas actual sales decreased 31.6% YoY according to XEL's Q2-2015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24" authorId="6">
      <text>
        <r>
          <rPr>
            <sz val="8"/>
            <color indexed="81"/>
            <rFont val="Tahoma"/>
            <family val="2"/>
          </rPr>
          <t>Firm natural gas actual sales decreased 1.4% YoY according to XEL's Q3-2015 10-Q  pg 47.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124" authorId="6">
      <text>
        <r>
          <rPr>
            <sz val="8"/>
            <color indexed="81"/>
            <rFont val="Tahoma"/>
            <family val="2"/>
          </rPr>
          <t xml:space="preserve">Firm natural gas actual sales decreased 12.6% YoY according to XEL's Q1-2016 10-Q  pg 37.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24" authorId="6">
      <text>
        <r>
          <rPr>
            <sz val="8"/>
            <color indexed="81"/>
            <rFont val="Tahoma"/>
            <family val="2"/>
          </rPr>
          <t>Firm natural gas actual sales increased 4.2% YoY according to XEL's Q2-2016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24" authorId="6">
      <text>
        <r>
          <rPr>
            <sz val="8"/>
            <color indexed="81"/>
            <rFont val="Tahoma"/>
            <family val="2"/>
          </rPr>
          <t>Firm natural gas actual sales reduced by 5% YoY according to XEL's Q3-2016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S124" authorId="6">
      <text>
        <r>
          <rPr>
            <sz val="8"/>
            <color indexed="81"/>
            <rFont val="Tahoma"/>
            <family val="2"/>
          </rPr>
          <t xml:space="preserve">Firm natural gas actual sales Increased 4.1% YoY according to XEL's Q1-2017 10-Q  pg 35.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24" authorId="6">
      <text>
        <r>
          <rPr>
            <sz val="8"/>
            <color indexed="81"/>
            <rFont val="Tahoma"/>
            <family val="2"/>
          </rPr>
          <t>Firm natural gas actual sales increased 3.6% YoY according to XEL's Q2-2017 10-Q  pg 37.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24" authorId="6">
      <text>
        <r>
          <rPr>
            <sz val="8"/>
            <color indexed="81"/>
            <rFont val="Tahoma"/>
            <family val="2"/>
          </rPr>
          <t>Firm natural gas actual sales increased 8.5% YoY according to XEL's Q3-2017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25" authorId="5">
      <text>
        <r>
          <rPr>
            <sz val="8"/>
            <color indexed="81"/>
            <rFont val="Tahoma"/>
            <family val="2"/>
          </rPr>
          <t>Firm natural gas actual sales dropped 14.7% YoY according to XEL's Q1-2012 earnings release pg 5.</t>
        </r>
      </text>
    </comment>
    <comment ref="U125" authorId="6">
      <text>
        <r>
          <rPr>
            <sz val="8"/>
            <color indexed="81"/>
            <rFont val="Tahoma"/>
            <family val="2"/>
          </rPr>
          <t>Firm natural gas actual sales dropped 25.9% YoY according to XEL's Q2-2012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25" authorId="6">
      <text>
        <r>
          <rPr>
            <sz val="8"/>
            <color indexed="81"/>
            <rFont val="Tahoma"/>
            <family val="2"/>
          </rPr>
          <t>Firm natural gas actual sales dropped 1.3% YoY according to XEL's Q3-2012 10-Q  pg 41.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25" authorId="6">
      <text>
        <r>
          <rPr>
            <sz val="8"/>
            <color indexed="81"/>
            <rFont val="Tahoma"/>
            <family val="2"/>
          </rPr>
          <t>Firm natural gas actual sales increased 21.7% YoY according to XEL's Q1-2013 10-Q  pg 38.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25" authorId="6">
      <text>
        <r>
          <rPr>
            <sz val="8"/>
            <color indexed="81"/>
            <rFont val="Tahoma"/>
            <family val="2"/>
          </rPr>
          <t>Firm natural gas actual sales increased 66% YoY according to XEL's Q2-2013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25" authorId="6">
      <text>
        <r>
          <rPr>
            <sz val="8"/>
            <color indexed="81"/>
            <rFont val="Tahoma"/>
            <family val="2"/>
          </rPr>
          <t>Firm natural gas actual sales increased 4.9% YoY according to XEL's Q3-2013 10-Q  pg 49.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25" authorId="6">
      <text>
        <r>
          <rPr>
            <sz val="8"/>
            <color indexed="81"/>
            <rFont val="Tahoma"/>
            <family val="2"/>
          </rPr>
          <t>Firm natural gas actual sales increased 17.2% YoY according to XEL's Q1-2014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5" authorId="6">
      <text>
        <r>
          <rPr>
            <sz val="8"/>
            <color indexed="81"/>
            <rFont val="Tahoma"/>
            <family val="2"/>
          </rPr>
          <t>Firm natural gas actual sales increased 0.3% YoY according to XEL's Q2-2014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25" authorId="6">
      <text>
        <r>
          <rPr>
            <sz val="8"/>
            <color indexed="81"/>
            <rFont val="Tahoma"/>
            <family val="2"/>
          </rPr>
          <t>Firm natural gas actual sales increased 6.6% YoY according to XEL's Q3-2014 10-Q  pg 48.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25" authorId="6">
      <text>
        <r>
          <rPr>
            <sz val="8"/>
            <color indexed="81"/>
            <rFont val="Tahoma"/>
            <family val="2"/>
          </rPr>
          <t>Firm natural gas actual sales increased 17.2% YoY according to XEL's Q1-2015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25" authorId="6">
      <text>
        <r>
          <rPr>
            <sz val="8"/>
            <color indexed="81"/>
            <rFont val="Tahoma"/>
            <family val="2"/>
          </rPr>
          <t>Firm natural gas actual sales decreased 31.6% YoY according to XEL's Q2-2015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25" authorId="6">
      <text>
        <r>
          <rPr>
            <sz val="8"/>
            <color indexed="81"/>
            <rFont val="Tahoma"/>
            <family val="2"/>
          </rPr>
          <t>Firm natural gas actual sales decreased 1.4% YoY according to XEL's Q3-2015 10-Q  pg 47.</t>
        </r>
      </text>
    </comment>
    <comment ref="AN125" authorId="6">
      <text>
        <r>
          <rPr>
            <sz val="8"/>
            <color indexed="81"/>
            <rFont val="Tahoma"/>
            <family val="2"/>
          </rPr>
          <t xml:space="preserve">Firm natural gas actual sales decreased 12.6% YoY according to XEL's Q1-2016 10-Q  pg 37.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25" authorId="6">
      <text>
        <r>
          <rPr>
            <sz val="8"/>
            <color indexed="81"/>
            <rFont val="Tahoma"/>
            <family val="2"/>
          </rPr>
          <t>Firm natural gas actual sales increased 4.2% YoY according to XEL's Q2-2016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25" authorId="6">
      <text>
        <r>
          <rPr>
            <sz val="8"/>
            <color indexed="81"/>
            <rFont val="Tahoma"/>
            <family val="2"/>
          </rPr>
          <t>Firm natural gas actual sales reduced by 5% YoY according to XEL's Q3-2016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S125" authorId="6">
      <text>
        <r>
          <rPr>
            <sz val="8"/>
            <color indexed="81"/>
            <rFont val="Tahoma"/>
            <family val="2"/>
          </rPr>
          <t xml:space="preserve">Firm natural gas actual sales Increased 4.1% YoY according to XEL's Q1-2017 10-Q  pg 35.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25" authorId="6">
      <text>
        <r>
          <rPr>
            <sz val="8"/>
            <color indexed="81"/>
            <rFont val="Tahoma"/>
            <family val="2"/>
          </rPr>
          <t>Firm natural gas actual sales increased 3.6% YoY according to XEL's Q2-2017 10-Q  pg 37.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25" authorId="6">
      <text>
        <r>
          <rPr>
            <sz val="8"/>
            <color indexed="81"/>
            <rFont val="Tahoma"/>
            <family val="2"/>
          </rPr>
          <t>Firm natural gas actual sales increased 8.5% YoY according to XEL's Q3-2017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27" authorId="5">
      <text>
        <r>
          <rPr>
            <sz val="8"/>
            <color indexed="81"/>
            <rFont val="Tahoma"/>
            <family val="2"/>
          </rPr>
          <t>Firm natural gas actual sales dropped 14.7% YoY according to XEL's Q1-2012 earnings release pg 5.</t>
        </r>
      </text>
    </comment>
    <comment ref="U127" authorId="6">
      <text>
        <r>
          <rPr>
            <sz val="8"/>
            <color indexed="81"/>
            <rFont val="Tahoma"/>
            <family val="2"/>
          </rPr>
          <t>Firm natural gas actual sales dropped 25.9% YoY according to XEL's Q2-2012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27" authorId="6">
      <text>
        <r>
          <rPr>
            <sz val="8"/>
            <color indexed="81"/>
            <rFont val="Tahoma"/>
            <family val="2"/>
          </rPr>
          <t>Firm natural gas actual sales dropped 1.3% YoY according to XEL's Q3-2012 10-Q  pg 41.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27" authorId="6">
      <text>
        <r>
          <rPr>
            <sz val="8"/>
            <color indexed="81"/>
            <rFont val="Tahoma"/>
            <family val="2"/>
          </rPr>
          <t>Firm natural gas actual sales increased 21.7% YoY according to XEL's Q1-2013 10-Q  pg 38.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27" authorId="6">
      <text>
        <r>
          <rPr>
            <sz val="8"/>
            <color indexed="81"/>
            <rFont val="Tahoma"/>
            <family val="2"/>
          </rPr>
          <t>Firm natural gas actual sales increased 66% YoY according to XEL's Q2-2013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27" authorId="6">
      <text>
        <r>
          <rPr>
            <sz val="8"/>
            <color indexed="81"/>
            <rFont val="Tahoma"/>
            <family val="2"/>
          </rPr>
          <t>Firm natural gas actual sales increased 4.9% YoY according to XEL's Q3-2013 10-Q  pg 49.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27" authorId="6">
      <text>
        <r>
          <rPr>
            <sz val="8"/>
            <color indexed="81"/>
            <rFont val="Tahoma"/>
            <family val="2"/>
          </rPr>
          <t>Firm natural gas actual sales increased 17.2% YoY according to XEL's Q1-2014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7" authorId="6">
      <text>
        <r>
          <rPr>
            <sz val="8"/>
            <color indexed="81"/>
            <rFont val="Tahoma"/>
            <family val="2"/>
          </rPr>
          <t>Firm natural gas actual sales increased 0.3% YoY according to XEL's Q2-2014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27" authorId="6">
      <text>
        <r>
          <rPr>
            <sz val="8"/>
            <color indexed="81"/>
            <rFont val="Tahoma"/>
            <family val="2"/>
          </rPr>
          <t>Firm natural gas actual sales increased 6.6% YoY according to XEL's Q3-2014 10-Q  pg 48.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27" authorId="6">
      <text>
        <r>
          <rPr>
            <sz val="8"/>
            <color indexed="81"/>
            <rFont val="Tahoma"/>
            <family val="2"/>
          </rPr>
          <t>Firm natural gas actual sales increased 17.2% YoY according to XEL's Q1-2015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27" authorId="6">
      <text>
        <r>
          <rPr>
            <sz val="8"/>
            <color indexed="81"/>
            <rFont val="Tahoma"/>
            <family val="2"/>
          </rPr>
          <t>Firm natural gas actual sales decreased 31.6% YoY according to XEL's Q2-2015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27" authorId="6">
      <text>
        <r>
          <rPr>
            <sz val="8"/>
            <color indexed="81"/>
            <rFont val="Tahoma"/>
            <family val="2"/>
          </rPr>
          <t>Firm natural gas actual sales decreased 1.4% YoY according to XEL's Q3-2015 10-Q  pg 47.</t>
        </r>
      </text>
    </comment>
    <comment ref="AN127" authorId="6">
      <text>
        <r>
          <rPr>
            <sz val="8"/>
            <color indexed="81"/>
            <rFont val="Tahoma"/>
            <family val="2"/>
          </rPr>
          <t xml:space="preserve">Firm natural gas actual sales decreased 12.6% YoY according to XEL's Q1-2016 10-Q  pg 37.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27" authorId="6">
      <text>
        <r>
          <rPr>
            <sz val="8"/>
            <color indexed="81"/>
            <rFont val="Tahoma"/>
            <family val="2"/>
          </rPr>
          <t>Firm natural gas actual sales increased 4.2% YoY according to XEL's Q2-2016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27" authorId="6">
      <text>
        <r>
          <rPr>
            <sz val="8"/>
            <color indexed="81"/>
            <rFont val="Tahoma"/>
            <family val="2"/>
          </rPr>
          <t>Firm natural gas actual sales reduced by 5% YoY according to XEL's Q3-2016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S127" authorId="6">
      <text>
        <r>
          <rPr>
            <sz val="8"/>
            <color indexed="81"/>
            <rFont val="Tahoma"/>
            <family val="2"/>
          </rPr>
          <t xml:space="preserve">Firm natural gas actual sales Increased 4.1% YoY according to XEL's Q1-2017 10-Q  pg 35.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27" authorId="6">
      <text>
        <r>
          <rPr>
            <sz val="8"/>
            <color indexed="81"/>
            <rFont val="Tahoma"/>
            <family val="2"/>
          </rPr>
          <t>Firm natural gas actual sales increased 3.6% YoY according to XEL's Q2-2017 10-Q  pg 37.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27" authorId="6">
      <text>
        <r>
          <rPr>
            <sz val="8"/>
            <color indexed="81"/>
            <rFont val="Tahoma"/>
            <family val="2"/>
          </rPr>
          <t>Firm natural gas actual sales increased 8.5% YoY according to XEL's Q3-2017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61" authorId="5">
      <text>
        <r>
          <rPr>
            <sz val="8"/>
            <color indexed="81"/>
            <rFont val="Tahoma"/>
            <family val="2"/>
          </rPr>
          <t>See pg. 7 of 10Q  for detail on Plant in Service.</t>
        </r>
      </text>
    </comment>
    <comment ref="BB172" authorId="7">
      <text>
        <r>
          <rPr>
            <sz val="9"/>
            <color indexed="81"/>
            <rFont val="Tahoma"/>
            <family val="2"/>
          </rPr>
          <t>Guidance : $340
Source : East Coast Investor Meeting, dated 02/27/18, Pg:37</t>
        </r>
      </text>
    </comment>
    <comment ref="BG172" authorId="7">
      <text>
        <r>
          <rPr>
            <sz val="9"/>
            <color indexed="81"/>
            <rFont val="Tahoma"/>
            <family val="2"/>
          </rPr>
          <t>Guidance : $190
Source : East Coast Investor Meeting, dated 02/27/18, Pg:37</t>
        </r>
      </text>
    </comment>
    <comment ref="BL172" authorId="7">
      <text>
        <r>
          <rPr>
            <sz val="9"/>
            <color indexed="81"/>
            <rFont val="Tahoma"/>
            <family val="2"/>
          </rPr>
          <t>Guidance : $170
Source : East Coast Investor Meeting, dated 02/27/18, Pg:37</t>
        </r>
      </text>
    </comment>
    <comment ref="BQ172" authorId="7">
      <text>
        <r>
          <rPr>
            <sz val="9"/>
            <color indexed="81"/>
            <rFont val="Tahoma"/>
            <family val="2"/>
          </rPr>
          <t>Guidance : $310
Source : East Coast Investor Meeting, dated 02/27/18, Pg:37</t>
        </r>
      </text>
    </comment>
    <comment ref="BB173" authorId="7">
      <text>
        <r>
          <rPr>
            <sz val="9"/>
            <color indexed="81"/>
            <rFont val="Tahoma"/>
            <family val="2"/>
          </rPr>
          <t>Guidance : $140
Source : East Coast Investor Meeting, dated 02/27/18, Pg:37</t>
        </r>
      </text>
    </comment>
    <comment ref="BG173" authorId="7">
      <text>
        <r>
          <rPr>
            <sz val="9"/>
            <color indexed="81"/>
            <rFont val="Tahoma"/>
            <family val="2"/>
          </rPr>
          <t>Guidance : $90
Source : East Coast Investor Meeting, dated 02/27/18, Pg:37</t>
        </r>
      </text>
    </comment>
    <comment ref="BL173" authorId="7">
      <text>
        <r>
          <rPr>
            <sz val="9"/>
            <color indexed="81"/>
            <rFont val="Tahoma"/>
            <family val="2"/>
          </rPr>
          <t>Guidance : $220
Source : East Coast Investor Meeting, dated 02/27/18, Pg:37</t>
        </r>
      </text>
    </comment>
    <comment ref="BQ173" authorId="7">
      <text>
        <r>
          <rPr>
            <sz val="9"/>
            <color indexed="81"/>
            <rFont val="Tahoma"/>
            <family val="2"/>
          </rPr>
          <t>Guidance : $280
Source : East Coast Investor Meeting, dated 02/27/18, Pg:37</t>
        </r>
      </text>
    </comment>
    <comment ref="BB174" authorId="7">
      <text>
        <r>
          <rPr>
            <sz val="9"/>
            <color indexed="81"/>
            <rFont val="Tahoma"/>
            <family val="2"/>
          </rPr>
          <t>Guidance : $250
Source : East Coast Investor Meeting, dated 02/27/18, Pg:37</t>
        </r>
      </text>
    </comment>
    <comment ref="BG174" authorId="7">
      <text>
        <r>
          <rPr>
            <sz val="9"/>
            <color indexed="81"/>
            <rFont val="Tahoma"/>
            <family val="2"/>
          </rPr>
          <t>Guidance : $230
Source : East Coast Investor Meeting, dated 02/27/18, Pg:37</t>
        </r>
      </text>
    </comment>
    <comment ref="BL174" authorId="7">
      <text>
        <r>
          <rPr>
            <sz val="9"/>
            <color indexed="81"/>
            <rFont val="Tahoma"/>
            <family val="2"/>
          </rPr>
          <t>Guidance : $300
Source : East Coast Investor Meeting, dated 02/27/18, Pg:37</t>
        </r>
      </text>
    </comment>
    <comment ref="BQ174" authorId="7">
      <text>
        <r>
          <rPr>
            <sz val="9"/>
            <color indexed="81"/>
            <rFont val="Tahoma"/>
            <family val="2"/>
          </rPr>
          <t>Guidance : $480
Source : East Coast Investor Meeting, dated 02/27/18, Pg:37</t>
        </r>
      </text>
    </comment>
    <comment ref="BB175" authorId="7">
      <text>
        <r>
          <rPr>
            <sz val="9"/>
            <color indexed="81"/>
            <rFont val="Tahoma"/>
            <family val="2"/>
          </rPr>
          <t>Guidance : $100
Source : East Coast Investor Meeting, dated 02/27/18, Pg:37</t>
        </r>
      </text>
    </comment>
    <comment ref="BG175" authorId="7">
      <text>
        <r>
          <rPr>
            <sz val="9"/>
            <color indexed="81"/>
            <rFont val="Tahoma"/>
            <family val="2"/>
          </rPr>
          <t>Guidance : $100
Source : East Coast Investor Meeting, dated 02/27/18, Pg:37</t>
        </r>
      </text>
    </comment>
    <comment ref="BL175" authorId="7">
      <text>
        <r>
          <rPr>
            <sz val="9"/>
            <color indexed="81"/>
            <rFont val="Tahoma"/>
            <family val="2"/>
          </rPr>
          <t>Guidance : $100
Source : East Coast Investor Meeting, dated 02/27/18, Pg:37</t>
        </r>
      </text>
    </comment>
    <comment ref="BQ175" authorId="7">
      <text>
        <r>
          <rPr>
            <sz val="9"/>
            <color indexed="81"/>
            <rFont val="Tahoma"/>
            <family val="2"/>
          </rPr>
          <t>Guidance : $120
Source : East Coast Investor Meeting, dated 02/27/18, Pg:37</t>
        </r>
      </text>
    </comment>
    <comment ref="AH177" authorId="8">
      <text>
        <r>
          <rPr>
            <b/>
            <sz val="9"/>
            <color indexed="81"/>
            <rFont val="Tahoma"/>
            <family val="2"/>
          </rPr>
          <t>DA:</t>
        </r>
        <r>
          <rPr>
            <sz val="9"/>
            <color indexed="81"/>
            <rFont val="Tahoma"/>
            <family val="2"/>
          </rPr>
          <t xml:space="preserve">
Increased to $130mn from $90mn to meet mgmt guidance of $1.13bn for the year</t>
        </r>
      </text>
    </comment>
    <comment ref="BB177" authorId="7">
      <text>
        <r>
          <rPr>
            <sz val="9"/>
            <color indexed="81"/>
            <rFont val="Tahoma"/>
            <family val="2"/>
          </rPr>
          <t>Guidance : $140
Source : East Coast Investor Meeting, dated 02/27/18, Pg:37</t>
        </r>
      </text>
    </comment>
    <comment ref="BG177" authorId="7">
      <text>
        <r>
          <rPr>
            <sz val="9"/>
            <color indexed="81"/>
            <rFont val="Tahoma"/>
            <family val="2"/>
          </rPr>
          <t>Guidance : $130
Source : East Coast Investor Meeting, dated 02/27/18, Pg:37</t>
        </r>
      </text>
    </comment>
    <comment ref="BL177" authorId="7">
      <text>
        <r>
          <rPr>
            <sz val="9"/>
            <color indexed="81"/>
            <rFont val="Tahoma"/>
            <family val="2"/>
          </rPr>
          <t>Guidance : $140
Source : East Coast Investor Meeting, dated 02/27/18, Pg:37</t>
        </r>
      </text>
    </comment>
    <comment ref="BQ177" authorId="7">
      <text>
        <r>
          <rPr>
            <sz val="9"/>
            <color indexed="81"/>
            <rFont val="Tahoma"/>
            <family val="2"/>
          </rPr>
          <t>Guidance : $130
Source : East Coast Investor Meeting, dated 02/27/18, Pg:37</t>
        </r>
      </text>
    </comment>
    <comment ref="BB178" authorId="7">
      <text>
        <r>
          <rPr>
            <sz val="9"/>
            <color indexed="81"/>
            <rFont val="Tahoma"/>
            <family val="2"/>
          </rPr>
          <t>Guidance : $400
Source : East Coast Investor Meeting, dated 02/27/18, Pg:37</t>
        </r>
      </text>
    </comment>
    <comment ref="BG178" authorId="7">
      <text>
        <r>
          <rPr>
            <sz val="9"/>
            <color indexed="81"/>
            <rFont val="Tahoma"/>
            <family val="2"/>
          </rPr>
          <t>Guidance : $1170
Source : East Coast Investor Meeting, dated 02/27/18, Pg:37</t>
        </r>
      </text>
    </comment>
    <comment ref="BL178" authorId="7">
      <text>
        <r>
          <rPr>
            <sz val="9"/>
            <color indexed="81"/>
            <rFont val="Tahoma"/>
            <family val="2"/>
          </rPr>
          <t>Guidance : $520
Source : East Coast Investor Meeting, dated 02/27/18, Pg:37</t>
        </r>
      </text>
    </comment>
    <comment ref="BQ178" authorId="7">
      <text>
        <r>
          <rPr>
            <sz val="9"/>
            <color indexed="81"/>
            <rFont val="Tahoma"/>
            <family val="2"/>
          </rPr>
          <t>Guidance : $270
Source : East Coast Investor Meeting, dated 02/27/18, Pg:37</t>
        </r>
      </text>
    </comment>
    <comment ref="BB179" authorId="7">
      <text>
        <r>
          <rPr>
            <sz val="9"/>
            <color indexed="81"/>
            <rFont val="Tahoma"/>
            <family val="2"/>
          </rPr>
          <t>Guidance : $1,370
Source: East Coast Investor Meeting, dated 02/27/18, Pg:37</t>
        </r>
      </text>
    </comment>
    <comment ref="BG179" authorId="7">
      <text>
        <r>
          <rPr>
            <sz val="9"/>
            <color indexed="81"/>
            <rFont val="Tahoma"/>
            <family val="2"/>
          </rPr>
          <t>Guidance : $1,910
Source: East Coast Investor Meeting, dated 02/27/18, Pg:37</t>
        </r>
      </text>
    </comment>
    <comment ref="BL179" authorId="7">
      <text>
        <r>
          <rPr>
            <sz val="9"/>
            <color indexed="81"/>
            <rFont val="Tahoma"/>
            <family val="2"/>
          </rPr>
          <t>Guidance : $1,450
Source: East Coast Investor Meeting, dated 02/27/18, Pg:37</t>
        </r>
      </text>
    </comment>
    <comment ref="BQ179" authorId="7">
      <text>
        <r>
          <rPr>
            <sz val="9"/>
            <color indexed="81"/>
            <rFont val="Tahoma"/>
            <family val="2"/>
          </rPr>
          <t>Guidance : $1,590
Source: East Coast Investor Meeting, dated 02/27/18, Pg:37</t>
        </r>
      </text>
    </comment>
    <comment ref="BB192" authorId="1">
      <text>
        <r>
          <rPr>
            <sz val="9"/>
            <color indexed="81"/>
            <rFont val="Tahoma"/>
            <family val="2"/>
          </rPr>
          <t>2/27/18 Presentation slide 28</t>
        </r>
      </text>
    </comment>
    <comment ref="BG208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Not a cash tax payer through 2021</t>
        </r>
      </text>
    </comment>
    <comment ref="S234" authorId="9">
      <text>
        <r>
          <rPr>
            <sz val="8"/>
            <color indexed="81"/>
            <rFont val="Tahoma"/>
            <family val="2"/>
          </rPr>
          <t xml:space="preserve">Includes borrowing under utility money pool arrangement
</t>
        </r>
      </text>
    </comment>
    <comment ref="AW234" authorId="10">
      <text>
        <r>
          <rPr>
            <sz val="9"/>
            <color indexed="81"/>
            <rFont val="Tahoma"/>
            <family val="2"/>
          </rPr>
          <t>$85mn: Borrowing under utility money pool arrangement</t>
        </r>
      </text>
    </comment>
    <comment ref="AH268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Set to tie to average rate base</t>
        </r>
      </text>
    </comment>
    <comment ref="X272" authorId="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asjustment to tie to actual avg rate base</t>
        </r>
      </text>
    </comment>
    <comment ref="AC272" authorId="8">
      <text>
        <r>
          <rPr>
            <b/>
            <sz val="9"/>
            <color indexed="81"/>
            <rFont val="Tahoma"/>
            <family val="2"/>
          </rPr>
          <t>DA:</t>
        </r>
        <r>
          <rPr>
            <sz val="9"/>
            <color indexed="81"/>
            <rFont val="Tahoma"/>
            <family val="2"/>
          </rPr>
          <t xml:space="preserve">
Adjustment to tie average to reported rate base
</t>
        </r>
      </text>
    </comment>
    <comment ref="AR272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Adjusted to match aggregate rate base guidance</t>
        </r>
      </text>
    </comment>
    <comment ref="C273" authorId="5">
      <text>
        <r>
          <rPr>
            <sz val="8"/>
            <color indexed="81"/>
            <rFont val="Tahoma"/>
            <family val="2"/>
          </rPr>
          <t xml:space="preserve"> IR said 3% of wholesale rate base belongs to NSP. I've split the 3% across NSP-Minnesota and NSP-Wisconsin.</t>
        </r>
      </text>
    </comment>
    <comment ref="X273" authorId="6">
      <text>
        <r>
          <rPr>
            <sz val="8"/>
            <color indexed="81"/>
            <rFont val="Tahoma"/>
            <family val="2"/>
          </rPr>
          <t>FY2012 Rate base $7,277 mn
Source : Xcel Energy Inc 2013 New York Investor Meeting Presentations.
http://investors.xcelenergy.com/file.aspx?iid=4025308&amp;fid=1001181152</t>
        </r>
      </text>
    </comment>
    <comment ref="AH273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Adjusted to tie to actual rate base</t>
        </r>
      </text>
    </comment>
    <comment ref="C276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4/11/18 slide pg. 13</t>
        </r>
      </text>
    </comment>
    <comment ref="AW276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Assuming 17-22 runrate CAGR applies to 16 to 17 until 2017 official numbers published</t>
        </r>
      </text>
    </comment>
    <comment ref="E277" authorId="5">
      <text>
        <r>
          <rPr>
            <sz val="8"/>
            <color indexed="81"/>
            <rFont val="Tahoma"/>
            <family val="2"/>
          </rPr>
          <t>Reported figure was  5921.</t>
        </r>
      </text>
    </comment>
    <comment ref="J277" authorId="5">
      <text>
        <r>
          <rPr>
            <sz val="8"/>
            <color indexed="81"/>
            <rFont val="Tahoma"/>
            <family val="2"/>
          </rPr>
          <t>Reported figure was 6364.</t>
        </r>
      </text>
    </comment>
    <comment ref="C279" authorId="5">
      <text>
        <r>
          <rPr>
            <sz val="8"/>
            <color indexed="81"/>
            <rFont val="Tahoma"/>
            <family val="2"/>
          </rPr>
          <t xml:space="preserve">
Rounded here based mostly on Minnesota Electric figures.</t>
        </r>
      </text>
    </comment>
    <comment ref="AR279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♦Based on most recently litigated or settled rate cases in each state, for both gas/electric, weighted by prior year's rate base</t>
        </r>
      </text>
    </comment>
    <comment ref="AR283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♦Based on most recently litigated or settled rate cases in each state, for both gas/electric, weighted by prior year's rate base</t>
        </r>
      </text>
    </comment>
    <comment ref="AO290" authorId="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based on MN settlement as per 10/4/16 investor slide deck. Slide 26.</t>
        </r>
      </text>
    </comment>
    <comment ref="AM295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2015 Rate Base published 8/17/16 Barclays Kohler Conference = 9319</t>
        </r>
      </text>
    </comment>
    <comment ref="AR295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6/12/17 IR Presentation pg.32</t>
        </r>
      </text>
    </comment>
  </commentList>
</comments>
</file>

<file path=xl/comments5.xml><?xml version="1.0" encoding="utf-8"?>
<comments xmlns="http://schemas.openxmlformats.org/spreadsheetml/2006/main">
  <authors>
    <author>Ellison, Ethan C (Research)</author>
    <author>Jacob, Abey (Research)</author>
    <author xml:space="preserve">  </author>
    <author>farrih</author>
    <author>sunilt</author>
    <author>Kapoor, Vishal (Research)</author>
    <author>Arcaro, David (Research)</author>
    <author>Tammannavar, Sunil (Research)</author>
    <author>rajeevl</author>
    <author>Rajeev Lalwani</author>
  </authors>
  <commentList>
    <comment ref="C60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Decoupling for residential and non-demand SC&amp;I classes</t>
        </r>
      </text>
    </comment>
    <comment ref="BB60" authorId="0">
      <text>
        <r>
          <rPr>
            <sz val="9"/>
            <color indexed="81"/>
            <rFont val="Tahoma"/>
            <family val="2"/>
          </rPr>
          <t xml:space="preserve">
W/A electric sales: increase 0% to 0.5% YoY
Source: 2017 Year End  Earnings report Presentation , Pg:18</t>
        </r>
      </text>
    </comment>
    <comment ref="BB61" authorId="0">
      <text>
        <r>
          <rPr>
            <sz val="9"/>
            <color indexed="81"/>
            <rFont val="Tahoma"/>
            <family val="2"/>
          </rPr>
          <t xml:space="preserve">
W/A Nat Gas sales: decline 0% to (0.5%) YoY
Source: 2017 Year End  Earnings report Presentation , Pg:18</t>
        </r>
      </text>
    </comment>
    <comment ref="BB63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Filed MY electric  rate case in Oct, 2017
•Increase of $244.9m over 4 years
•2018 = $74.6m
•2019 = $74.9m
•2020 = $59.7m
•2021 = $3575m
•Originally expected rates effective by June 2018, but asked to refile rate case in April 2018, delaying process.</t>
        </r>
        <r>
          <rPr>
            <b/>
            <sz val="9"/>
            <color indexed="81"/>
            <rFont val="Tahoma"/>
            <family val="2"/>
          </rPr>
          <t xml:space="preserve"> Now anticipating provisional rates in place by 1Q 2019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G63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Filed MY electric  rate case in Oct, 2017
•Increase of $244.9m over 4 years
•2018 = $74.6m
•2019 = $74.9m
•2020 = $59.7m
•2021 = $3575m
•Originally expected rates effective by June 2018, but asked to refile rate case in April 2018, delaying process.</t>
        </r>
        <r>
          <rPr>
            <b/>
            <sz val="9"/>
            <color indexed="81"/>
            <rFont val="Tahoma"/>
            <family val="2"/>
          </rPr>
          <t xml:space="preserve"> Now anticipating provisional rates in place by 1Q 2019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63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Filed MY electric  rate case in Oct, 2017
•Increase of $244.9m over 4 years
•2018 = $74.6m
•2019 = $74.9m
•2020 = $59.7m
•2021 = $3575m
•Originally expected rates effective by June 2018, but asked to refile rate case in April 2018, delaying process.</t>
        </r>
        <r>
          <rPr>
            <b/>
            <sz val="9"/>
            <color indexed="81"/>
            <rFont val="Tahoma"/>
            <family val="2"/>
          </rPr>
          <t xml:space="preserve"> Now anticipating provisional rates in place by 1Q 2019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63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Filed MY electric  rate case in Oct, 2017
•Increase of $244.9m over 4 years
•2018 = $74.6m
•2019 = $74.9m
•2020 = $59.7m
•2021 = $3575m
•Originally expected rates effective by June 2018, but asked to refile rate case in April 2018, delaying process.</t>
        </r>
        <r>
          <rPr>
            <b/>
            <sz val="9"/>
            <color indexed="81"/>
            <rFont val="Tahoma"/>
            <family val="2"/>
          </rPr>
          <t xml:space="preserve"> Now anticipating provisional rates in place by 1Q 2019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65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Set to be neutral to earnings, weighted based on shaping of pre-tax income pre-tax reform
•includes both gas and electric</t>
        </r>
      </text>
    </comment>
    <comment ref="BB68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Filed MY rate case in June, 2017
•Increase of $139m over 3 years
•2018 = $63.2m
•2019 = $32.9m
• 2020 = $42.9m
•Interim rates in place 1/1/18
•3/1/18 $20 to interim rates to reflect tax reform
•Assume awarded 50% until further notice</t>
        </r>
      </text>
    </comment>
    <comment ref="BG68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Filed MY rate case in June, 2017
•Increase of $139m over 3 years
•2018 = $63.2m
•2019 = $32.9m
• 2020 = $42.9m
•Interim rates in place 1/1/18
•3/1/18 $20 to interim rates to reflect tax reform
•Assume awarded 50% until further notice</t>
        </r>
      </text>
    </comment>
    <comment ref="BL68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Filed MY rate case in June, 2017
•Increase of $139m over 3 years
•2018 = $63.2m
•2019 = $32.9m
• 2020 = $42.9m
•Interim rates in place 1/1/18
•3/1/18 $20 to interim rates to reflect tax reform
•Assume awarded 50% until further notice</t>
        </r>
      </text>
    </comment>
    <comment ref="BQ68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Filed MY rate case in June, 2017
•Increase of $139m over 3 years
•2018 = $63.2m
•2019 = $32.9m
• 2020 = $42.9m
•Interim rates in place 1/1/18
•3/1/18 $20 to interim rates to reflect tax reform
•Assume awarded 50% until further notice</t>
        </r>
      </text>
    </comment>
    <comment ref="AW78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2017 GAAP ROE 8.90%</t>
        </r>
      </text>
    </comment>
    <comment ref="AS84" authorId="1">
      <text>
        <r>
          <rPr>
            <sz val="9"/>
            <color indexed="81"/>
            <rFont val="Tahoma"/>
            <family val="2"/>
          </rPr>
          <t>Source SNL</t>
        </r>
      </text>
    </comment>
    <comment ref="AU84" authorId="2">
      <text>
        <r>
          <rPr>
            <sz val="9"/>
            <color indexed="81"/>
            <rFont val="Tahoma"/>
            <family val="2"/>
          </rPr>
          <t>Taken from FERC Form 3-Q</t>
        </r>
      </text>
    </comment>
    <comment ref="T121" authorId="3">
      <text>
        <r>
          <rPr>
            <sz val="8"/>
            <color indexed="81"/>
            <rFont val="Tahoma"/>
            <family val="2"/>
          </rPr>
          <t>Firm natural gas actual sales dropped 14.7% YoY according to XEL's Q1-2012 earnings release pg 5.</t>
        </r>
      </text>
    </comment>
    <comment ref="U121" authorId="4">
      <text>
        <r>
          <rPr>
            <sz val="8"/>
            <color indexed="81"/>
            <rFont val="Tahoma"/>
            <family val="2"/>
          </rPr>
          <t>Firm natural gas actual sales dropped 25.9% YoY according to XEL's Q2-2012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21" authorId="4">
      <text>
        <r>
          <rPr>
            <sz val="8"/>
            <color indexed="81"/>
            <rFont val="Tahoma"/>
            <family val="2"/>
          </rPr>
          <t>Firm natural gas actual sales dropped 1.3% YoY according to XEL's Q3-2012 10-Q  pg 41.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21" authorId="4">
      <text>
        <r>
          <rPr>
            <sz val="8"/>
            <color indexed="81"/>
            <rFont val="Tahoma"/>
            <family val="2"/>
          </rPr>
          <t>Firm natural gas actual sales increased 21.7% YoY according to XEL's Q1-2013 10-Q  pg 38.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21" authorId="4">
      <text>
        <r>
          <rPr>
            <sz val="8"/>
            <color indexed="81"/>
            <rFont val="Tahoma"/>
            <family val="2"/>
          </rPr>
          <t>Firm natural gas actual sales increased 66% YoY according to XEL's Q2-2013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21" authorId="4">
      <text>
        <r>
          <rPr>
            <sz val="8"/>
            <color indexed="81"/>
            <rFont val="Tahoma"/>
            <family val="2"/>
          </rPr>
          <t>Firm natural gas actual sales increased 4.9% YoY according to XEL's Q3-2013 10-Q  pg 49.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21" authorId="4">
      <text>
        <r>
          <rPr>
            <sz val="8"/>
            <color indexed="81"/>
            <rFont val="Tahoma"/>
            <family val="2"/>
          </rPr>
          <t>Firm natural gas actual sales decreased 0.4% YoY according to XEL's Q1-2014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1" authorId="4">
      <text>
        <r>
          <rPr>
            <sz val="8"/>
            <color indexed="81"/>
            <rFont val="Tahoma"/>
            <family val="2"/>
          </rPr>
          <t>Firm natural gas actual sales decreased 6.0% YoY according to XEL's Q2-2014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21" authorId="4">
      <text>
        <r>
          <rPr>
            <sz val="8"/>
            <color indexed="81"/>
            <rFont val="Tahoma"/>
            <family val="2"/>
          </rPr>
          <t>Firm natural gas actual sales increased 6.2% YoY according to XEL's Q3-2014 10-Q  pg 48.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21" authorId="4">
      <text>
        <r>
          <rPr>
            <sz val="8"/>
            <color indexed="81"/>
            <rFont val="Tahoma"/>
            <family val="2"/>
          </rPr>
          <t>Firm natural gas actual sales decreased 9.6% YoY according to XEL's Q1-2015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21" authorId="4">
      <text>
        <r>
          <rPr>
            <sz val="8"/>
            <color indexed="81"/>
            <rFont val="Tahoma"/>
            <family val="2"/>
          </rPr>
          <t>Firm natural gas actual sales decreased 8.0% YoY according to XEL's Q2-2015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21" authorId="4">
      <text>
        <r>
          <rPr>
            <sz val="8"/>
            <color indexed="81"/>
            <rFont val="Tahoma"/>
            <family val="2"/>
          </rPr>
          <t>Firm natural gas actual sales decreased 7.9% YoY according to XEL's Q3-2015 10-Q  pg 47.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121" authorId="4">
      <text>
        <r>
          <rPr>
            <sz val="8"/>
            <color indexed="81"/>
            <rFont val="Tahoma"/>
            <family val="2"/>
          </rPr>
          <t xml:space="preserve">Firm natural gas actual sales increased 1.6% YoY according to XEL's Q3-2016 10-Q  pg 37.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21" authorId="4">
      <text>
        <r>
          <rPr>
            <sz val="8"/>
            <color indexed="81"/>
            <rFont val="Tahoma"/>
            <family val="2"/>
          </rPr>
          <t>Firm natural gas actual sales increased 7.5% YoY according to XEL's Q2-2016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21" authorId="4">
      <text>
        <r>
          <rPr>
            <sz val="8"/>
            <color indexed="81"/>
            <rFont val="Tahoma"/>
            <family val="2"/>
          </rPr>
          <t>Firm natural gas actual sales increased  3.5% YoY according to XEL's Q3-2016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S121" authorId="4">
      <text>
        <r>
          <rPr>
            <sz val="8"/>
            <color indexed="81"/>
            <rFont val="Tahoma"/>
            <family val="2"/>
          </rPr>
          <t xml:space="preserve">Firm natural gas actual sales Decreased 6.1% YoY according to XEL's Q1-2017 10-Q  pg 35.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21" authorId="4">
      <text>
        <r>
          <rPr>
            <sz val="8"/>
            <color indexed="81"/>
            <rFont val="Tahoma"/>
            <family val="2"/>
          </rPr>
          <t>Firm natural gas actual sales decreased 8.5% YoY according to XEL's Q2-2017 10-Q  pg 37.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21" authorId="4">
      <text>
        <r>
          <rPr>
            <sz val="8"/>
            <color indexed="81"/>
            <rFont val="Tahoma"/>
            <family val="2"/>
          </rPr>
          <t>Firm natural gas actual sales increased  4.7% YoY according to XEL's Q3-2017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22" authorId="3">
      <text>
        <r>
          <rPr>
            <sz val="8"/>
            <color indexed="81"/>
            <rFont val="Tahoma"/>
            <family val="2"/>
          </rPr>
          <t>Firm natural gas actual sales dropped 14.7% YoY according to XEL's Q1-2012 earnings release pg 5.</t>
        </r>
      </text>
    </comment>
    <comment ref="U122" authorId="4">
      <text>
        <r>
          <rPr>
            <sz val="8"/>
            <color indexed="81"/>
            <rFont val="Tahoma"/>
            <family val="2"/>
          </rPr>
          <t>Firm natural gas actual sales dropped 25.9% YoY according to XEL's Q2-2012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22" authorId="4">
      <text>
        <r>
          <rPr>
            <sz val="8"/>
            <color indexed="81"/>
            <rFont val="Tahoma"/>
            <family val="2"/>
          </rPr>
          <t>Firm natural gas actual sales dropped 1.3% YoY according to XEL's Q3-2012 10-Q  pg 41.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22" authorId="4">
      <text>
        <r>
          <rPr>
            <sz val="8"/>
            <color indexed="81"/>
            <rFont val="Tahoma"/>
            <family val="2"/>
          </rPr>
          <t>Firm natural gas actual sales increased 21.7% YoY according to XEL's Q1-2013 10-Q  pg 38.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22" authorId="4">
      <text>
        <r>
          <rPr>
            <sz val="8"/>
            <color indexed="81"/>
            <rFont val="Tahoma"/>
            <family val="2"/>
          </rPr>
          <t>Firm natural gas actual sales increased 66% YoY according to XEL's Q2-2013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22" authorId="4">
      <text>
        <r>
          <rPr>
            <sz val="8"/>
            <color indexed="81"/>
            <rFont val="Tahoma"/>
            <family val="2"/>
          </rPr>
          <t>Firm natural gas actual sales increased 4.9% YoY according to XEL's Q3-2013 10-Q  pg 49.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22" authorId="4">
      <text>
        <r>
          <rPr>
            <sz val="8"/>
            <color indexed="81"/>
            <rFont val="Tahoma"/>
            <family val="2"/>
          </rPr>
          <t>Firm natural gas actual sales decreased 0.4% YoY according to XEL's Q1-2014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2" authorId="4">
      <text>
        <r>
          <rPr>
            <sz val="8"/>
            <color indexed="81"/>
            <rFont val="Tahoma"/>
            <family val="2"/>
          </rPr>
          <t>Firm natural gas actual sales decreased 6.0% YoY according to XEL's Q2-2014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22" authorId="4">
      <text>
        <r>
          <rPr>
            <sz val="8"/>
            <color indexed="81"/>
            <rFont val="Tahoma"/>
            <family val="2"/>
          </rPr>
          <t>Firm natural gas actual sales increased 6.2% YoY according to XEL's Q3-2014 10-Q  pg 48.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22" authorId="4">
      <text>
        <r>
          <rPr>
            <sz val="8"/>
            <color indexed="81"/>
            <rFont val="Tahoma"/>
            <family val="2"/>
          </rPr>
          <t>Firm natural gas actual sales decreased 9.6% YoY according to XEL's Q1-2015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22" authorId="4">
      <text>
        <r>
          <rPr>
            <sz val="8"/>
            <color indexed="81"/>
            <rFont val="Tahoma"/>
            <family val="2"/>
          </rPr>
          <t>Firm natural gas actual sales decreased 8.0% YoY according to XEL's Q2-2015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22" authorId="4">
      <text>
        <r>
          <rPr>
            <sz val="8"/>
            <color indexed="81"/>
            <rFont val="Tahoma"/>
            <family val="2"/>
          </rPr>
          <t>Firm natural gas actual sales decreased 7.9% YoY according to XEL's Q3-2015 10-Q  pg 47.</t>
        </r>
      </text>
    </comment>
    <comment ref="AN122" authorId="4">
      <text>
        <r>
          <rPr>
            <sz val="8"/>
            <color indexed="81"/>
            <rFont val="Tahoma"/>
            <family val="2"/>
          </rPr>
          <t xml:space="preserve">Firm natural gas actual sales increased 1.6% YoY according to XEL's Q3-2016 10-Q  pg 37.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22" authorId="4">
      <text>
        <r>
          <rPr>
            <sz val="8"/>
            <color indexed="81"/>
            <rFont val="Tahoma"/>
            <family val="2"/>
          </rPr>
          <t>Firm natural gas actual sales increased 7.5% YoY according to XEL's Q2-2016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22" authorId="4">
      <text>
        <r>
          <rPr>
            <sz val="8"/>
            <color indexed="81"/>
            <rFont val="Tahoma"/>
            <family val="2"/>
          </rPr>
          <t>Firm natural gas actual sales increased  3.5% YoY according to XEL's Q3-2016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S122" authorId="4">
      <text>
        <r>
          <rPr>
            <sz val="8"/>
            <color indexed="81"/>
            <rFont val="Tahoma"/>
            <family val="2"/>
          </rPr>
          <t xml:space="preserve">Firm natural gas actual sales Decreased 6.1% YoY according to XEL's Q1-2017 10-Q  pg 35.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22" authorId="4">
      <text>
        <r>
          <rPr>
            <sz val="8"/>
            <color indexed="81"/>
            <rFont val="Tahoma"/>
            <family val="2"/>
          </rPr>
          <t>Firm natural gas actual sales decreased 8.5% YoY according to XEL's Q2-2017 10-Q  pg 37.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22" authorId="4">
      <text>
        <r>
          <rPr>
            <sz val="8"/>
            <color indexed="81"/>
            <rFont val="Tahoma"/>
            <family val="2"/>
          </rPr>
          <t>Firm natural gas actual sales increased  4.7% YoY according to XEL's Q3-2017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24" authorId="3">
      <text>
        <r>
          <rPr>
            <sz val="8"/>
            <color indexed="81"/>
            <rFont val="Tahoma"/>
            <family val="2"/>
          </rPr>
          <t>Firm natural gas actual sales dropped 14.7% YoY according to XEL's Q1-2012 earnings release pg 5.</t>
        </r>
      </text>
    </comment>
    <comment ref="U124" authorId="4">
      <text>
        <r>
          <rPr>
            <sz val="8"/>
            <color indexed="81"/>
            <rFont val="Tahoma"/>
            <family val="2"/>
          </rPr>
          <t>Firm natural gas actual sales dropped 25.9% YoY according to XEL's Q2-2012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24" authorId="4">
      <text>
        <r>
          <rPr>
            <sz val="8"/>
            <color indexed="81"/>
            <rFont val="Tahoma"/>
            <family val="2"/>
          </rPr>
          <t>Firm natural gas actual sales dropped 1.3% YoY according to XEL's Q3-2012 10-Q  pg 41.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24" authorId="4">
      <text>
        <r>
          <rPr>
            <sz val="8"/>
            <color indexed="81"/>
            <rFont val="Tahoma"/>
            <family val="2"/>
          </rPr>
          <t>Firm natural gas actual sales increased 21.7% YoY according to XEL's Q1-2013 10-Q  pg 38.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24" authorId="4">
      <text>
        <r>
          <rPr>
            <sz val="8"/>
            <color indexed="81"/>
            <rFont val="Tahoma"/>
            <family val="2"/>
          </rPr>
          <t>Firm natural gas actual sales increased 66% YoY according to XEL's Q2-2013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24" authorId="4">
      <text>
        <r>
          <rPr>
            <sz val="8"/>
            <color indexed="81"/>
            <rFont val="Tahoma"/>
            <family val="2"/>
          </rPr>
          <t>Firm natural gas actual sales increased 4.9% YoY according to XEL's Q3-2013 10-Q  pg 49.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24" authorId="4">
      <text>
        <r>
          <rPr>
            <sz val="8"/>
            <color indexed="81"/>
            <rFont val="Tahoma"/>
            <family val="2"/>
          </rPr>
          <t>Firm natural gas actual sales decreased 0.4% YoY according to XEL's Q1-2014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4" authorId="4">
      <text>
        <r>
          <rPr>
            <sz val="8"/>
            <color indexed="81"/>
            <rFont val="Tahoma"/>
            <family val="2"/>
          </rPr>
          <t>Firm natural gas actual sales decreased 6.0% YoY according to XEL's Q2-2014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24" authorId="4">
      <text>
        <r>
          <rPr>
            <sz val="8"/>
            <color indexed="81"/>
            <rFont val="Tahoma"/>
            <family val="2"/>
          </rPr>
          <t>Firm natural gas actual sales increased 6.2% YoY according to XEL's Q3-2014 10-Q  pg 48.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24" authorId="4">
      <text>
        <r>
          <rPr>
            <sz val="8"/>
            <color indexed="81"/>
            <rFont val="Tahoma"/>
            <family val="2"/>
          </rPr>
          <t>Firm natural gas actual sales decreased 9.6% YoY according to XEL's Q1-2015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24" authorId="4">
      <text>
        <r>
          <rPr>
            <sz val="8"/>
            <color indexed="81"/>
            <rFont val="Tahoma"/>
            <family val="2"/>
          </rPr>
          <t>Firm natural gas actual sales decreased 8.0% YoY according to XEL's Q2-2015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24" authorId="4">
      <text>
        <r>
          <rPr>
            <sz val="8"/>
            <color indexed="81"/>
            <rFont val="Tahoma"/>
            <family val="2"/>
          </rPr>
          <t>Firm natural gas actual sales decreased 7.9% YoY according to XEL's Q3-2015 10-Q  pg 47.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124" authorId="4">
      <text>
        <r>
          <rPr>
            <sz val="8"/>
            <color indexed="81"/>
            <rFont val="Tahoma"/>
            <family val="2"/>
          </rPr>
          <t xml:space="preserve">Firm natural gas actual sales increased 1.6% YoY according to XEL's Q3-2016 10-Q  pg 37.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24" authorId="4">
      <text>
        <r>
          <rPr>
            <sz val="8"/>
            <color indexed="81"/>
            <rFont val="Tahoma"/>
            <family val="2"/>
          </rPr>
          <t>Firm natural gas actual sales increased 7.5% YoY according to XEL's Q2-2016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24" authorId="4">
      <text>
        <r>
          <rPr>
            <sz val="8"/>
            <color indexed="81"/>
            <rFont val="Tahoma"/>
            <family val="2"/>
          </rPr>
          <t>Firm natural gas actual sales increased  3.5% YoY according to XEL's Q3-2016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S124" authorId="4">
      <text>
        <r>
          <rPr>
            <sz val="8"/>
            <color indexed="81"/>
            <rFont val="Tahoma"/>
            <family val="2"/>
          </rPr>
          <t xml:space="preserve">Firm natural gas actual sales Decreased 6.1% YoY according to XEL's Q1-2017 10-Q  pg 35.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24" authorId="4">
      <text>
        <r>
          <rPr>
            <sz val="8"/>
            <color indexed="81"/>
            <rFont val="Tahoma"/>
            <family val="2"/>
          </rPr>
          <t>Firm natural gas actual sales decreased 8.5% YoY according to XEL's Q2-2017 10-Q  pg 37.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24" authorId="4">
      <text>
        <r>
          <rPr>
            <sz val="8"/>
            <color indexed="81"/>
            <rFont val="Tahoma"/>
            <family val="2"/>
          </rPr>
          <t>Firm natural gas actual sales increased  4.7% YoY according to XEL's Q3-2017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66" authorId="5">
      <text>
        <r>
          <rPr>
            <sz val="9"/>
            <color indexed="81"/>
            <rFont val="Tahoma"/>
            <family val="2"/>
          </rPr>
          <t>Guidance : $100
Source: East Coast Investor Meeting, dated 02/27/18, Pg:45</t>
        </r>
      </text>
    </comment>
    <comment ref="BG166" authorId="5">
      <text>
        <r>
          <rPr>
            <sz val="9"/>
            <color indexed="81"/>
            <rFont val="Tahoma"/>
            <family val="2"/>
          </rPr>
          <t>Guidance : $110
Source: East Coast Investor Meeting, dated 02/27/18, Pg:45</t>
        </r>
      </text>
    </comment>
    <comment ref="BL166" authorId="5">
      <text>
        <r>
          <rPr>
            <sz val="9"/>
            <color indexed="81"/>
            <rFont val="Tahoma"/>
            <family val="2"/>
          </rPr>
          <t>Guidance : $60
Source: East Coast Investor Meeting, dated 02/27/18, Pg:45</t>
        </r>
      </text>
    </comment>
    <comment ref="BQ166" authorId="5">
      <text>
        <r>
          <rPr>
            <sz val="9"/>
            <color indexed="81"/>
            <rFont val="Tahoma"/>
            <family val="2"/>
          </rPr>
          <t>Guidance : $150
Source: East Coast Investor Meeting, dated 02/27/18, Pg:45</t>
        </r>
      </text>
    </comment>
    <comment ref="AC167" authorId="4">
      <text>
        <r>
          <rPr>
            <sz val="8"/>
            <color indexed="81"/>
            <rFont val="Tahoma"/>
            <family val="2"/>
          </rPr>
          <t>Excel file sent by the investors relation team</t>
        </r>
      </text>
    </comment>
    <comment ref="BB167" authorId="5">
      <text>
        <r>
          <rPr>
            <sz val="9"/>
            <color indexed="81"/>
            <rFont val="Tahoma"/>
            <family val="2"/>
          </rPr>
          <t>Guidance : $200
Source: East Coast Investor Meeting, dated 02/27/18, Pg:45</t>
        </r>
      </text>
    </comment>
    <comment ref="BG167" authorId="5">
      <text>
        <r>
          <rPr>
            <sz val="9"/>
            <color indexed="81"/>
            <rFont val="Tahoma"/>
            <family val="2"/>
          </rPr>
          <t>Guidance : $100
Source: East Coast Investor Meeting, dated 02/27/18, Pg:45</t>
        </r>
      </text>
    </comment>
    <comment ref="BL167" authorId="5">
      <text>
        <r>
          <rPr>
            <sz val="9"/>
            <color indexed="81"/>
            <rFont val="Tahoma"/>
            <family val="2"/>
          </rPr>
          <t>Guidance : $100
Source: East Coast Investor Meeting, dated 02/27/18, Pg:45</t>
        </r>
      </text>
    </comment>
    <comment ref="BQ167" authorId="5">
      <text>
        <r>
          <rPr>
            <sz val="9"/>
            <color indexed="81"/>
            <rFont val="Tahoma"/>
            <family val="2"/>
          </rPr>
          <t>Guidance : $190
Source: East Coast Investor Meeting, dated 02/27/18, Pg:45</t>
        </r>
      </text>
    </comment>
    <comment ref="BB168" authorId="5">
      <text>
        <r>
          <rPr>
            <sz val="9"/>
            <color indexed="81"/>
            <rFont val="Tahoma"/>
            <family val="2"/>
          </rPr>
          <t>Guidance : $340
Source: East Coast Investor Meeting, dated 02/27/18, Pg:45</t>
        </r>
      </text>
    </comment>
    <comment ref="BG168" authorId="5">
      <text>
        <r>
          <rPr>
            <sz val="9"/>
            <color indexed="81"/>
            <rFont val="Tahoma"/>
            <family val="2"/>
          </rPr>
          <t>Guidance : $390
Source: East Coast Investor Meeting, dated 02/27/18, Pg:45</t>
        </r>
      </text>
    </comment>
    <comment ref="BL168" authorId="5">
      <text>
        <r>
          <rPr>
            <sz val="9"/>
            <color indexed="81"/>
            <rFont val="Tahoma"/>
            <family val="2"/>
          </rPr>
          <t>Guidance : $380
Source: East Coast Investor Meeting, dated 02/27/18, Pg:45</t>
        </r>
      </text>
    </comment>
    <comment ref="BQ168" authorId="5">
      <text>
        <r>
          <rPr>
            <sz val="9"/>
            <color indexed="81"/>
            <rFont val="Tahoma"/>
            <family val="2"/>
          </rPr>
          <t>Guidance : $420
Source: East Coast Investor Meeting, dated 02/27/18, Pg:45</t>
        </r>
      </text>
    </comment>
    <comment ref="BB169" authorId="5">
      <text>
        <r>
          <rPr>
            <sz val="9"/>
            <color indexed="81"/>
            <rFont val="Tahoma"/>
            <family val="2"/>
          </rPr>
          <t>Guidance : $340
Source: East Coast Investor Meeting, dated 02/27/18, Pg:45</t>
        </r>
      </text>
    </comment>
    <comment ref="BG169" authorId="5">
      <text>
        <r>
          <rPr>
            <sz val="9"/>
            <color indexed="81"/>
            <rFont val="Tahoma"/>
            <family val="2"/>
          </rPr>
          <t>Guidance : $280
Source: East Coast Investor Meeting, dated 02/27/18, Pg:45</t>
        </r>
      </text>
    </comment>
    <comment ref="BL169" authorId="5">
      <text>
        <r>
          <rPr>
            <sz val="9"/>
            <color indexed="81"/>
            <rFont val="Tahoma"/>
            <family val="2"/>
          </rPr>
          <t>Guidance : $290
Source: East Coast Investor Meeting, dated 02/27/18, Pg:45</t>
        </r>
      </text>
    </comment>
    <comment ref="BQ169" authorId="5">
      <text>
        <r>
          <rPr>
            <sz val="9"/>
            <color indexed="81"/>
            <rFont val="Tahoma"/>
            <family val="2"/>
          </rPr>
          <t>Guidance : $280
Source: East Coast Investor Meeting, dated 02/27/18, Pg:45</t>
        </r>
      </text>
    </comment>
    <comment ref="AH170" authorId="6">
      <text>
        <r>
          <rPr>
            <b/>
            <sz val="9"/>
            <color indexed="81"/>
            <rFont val="Tahoma"/>
            <family val="2"/>
          </rPr>
          <t>DA:</t>
        </r>
        <r>
          <rPr>
            <sz val="9"/>
            <color indexed="81"/>
            <rFont val="Tahoma"/>
            <family val="2"/>
          </rPr>
          <t xml:space="preserve">
Increased to $145mn from $75mn to meet mgmt guidance of $1.055bn for the year</t>
        </r>
      </text>
    </comment>
    <comment ref="BB170" authorId="5">
      <text>
        <r>
          <rPr>
            <sz val="9"/>
            <color indexed="81"/>
            <rFont val="Tahoma"/>
            <family val="2"/>
          </rPr>
          <t>Guidance : $170
Source: East Coast Investor Meeting, dated 02/27/18, Pg:45</t>
        </r>
      </text>
    </comment>
    <comment ref="BG170" authorId="5">
      <text>
        <r>
          <rPr>
            <sz val="9"/>
            <color indexed="81"/>
            <rFont val="Tahoma"/>
            <family val="2"/>
          </rPr>
          <t>Guidance : $140
Source: East Coast Investor Meeting, dated 02/27/18, Pg:45</t>
        </r>
      </text>
    </comment>
    <comment ref="BL170" authorId="5">
      <text>
        <r>
          <rPr>
            <sz val="9"/>
            <color indexed="81"/>
            <rFont val="Tahoma"/>
            <family val="2"/>
          </rPr>
          <t>Guidance : $120
Source: East Coast Investor Meeting, dated 02/27/18, Pg:45</t>
        </r>
      </text>
    </comment>
    <comment ref="BQ170" authorId="5">
      <text>
        <r>
          <rPr>
            <sz val="9"/>
            <color indexed="81"/>
            <rFont val="Tahoma"/>
            <family val="2"/>
          </rPr>
          <t>Guidance : $110
Source: East Coast Investor Meeting, dated 02/27/18, Pg:45</t>
        </r>
      </text>
    </comment>
    <comment ref="BB171" authorId="5">
      <text>
        <r>
          <rPr>
            <sz val="9"/>
            <color indexed="81"/>
            <rFont val="Tahoma"/>
            <family val="2"/>
          </rPr>
          <t>Guidance : $500
Source: East Coast Investor Meeting, dated 02/27/18, Pg:45</t>
        </r>
      </text>
    </comment>
    <comment ref="BG171" authorId="5">
      <text>
        <r>
          <rPr>
            <sz val="9"/>
            <color indexed="81"/>
            <rFont val="Tahoma"/>
            <family val="2"/>
          </rPr>
          <t>Guidance : $0
Source: East Coast Investor Meeting, dated 02/27/18, Pg:45</t>
        </r>
      </text>
    </comment>
    <comment ref="BL171" authorId="5">
      <text>
        <r>
          <rPr>
            <sz val="9"/>
            <color indexed="81"/>
            <rFont val="Tahoma"/>
            <family val="2"/>
          </rPr>
          <t xml:space="preserve">Guidance : $0
Source: East Coast Investor Meeting, dated 02/27/18, Pg:45
</t>
        </r>
      </text>
    </comment>
    <comment ref="BQ171" authorId="5">
      <text>
        <r>
          <rPr>
            <sz val="9"/>
            <color indexed="81"/>
            <rFont val="Tahoma"/>
            <family val="2"/>
          </rPr>
          <t xml:space="preserve">Guidance : $0
Source: East Coast Investor Meeting, dated 02/27/18, Pg:45
</t>
        </r>
      </text>
    </comment>
    <comment ref="C172" authorId="4">
      <text>
        <r>
          <rPr>
            <sz val="8"/>
            <color indexed="81"/>
            <rFont val="Tahoma"/>
            <family val="2"/>
          </rPr>
          <t>Includes WYCO spend in 2013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72" authorId="5">
      <text>
        <r>
          <rPr>
            <sz val="9"/>
            <color indexed="81"/>
            <rFont val="Tahoma"/>
            <family val="2"/>
          </rPr>
          <t>Guidance : $1,650
Source: East Coast Investor Meeting, dated 02/27/18, Pg:45</t>
        </r>
      </text>
    </comment>
    <comment ref="BG172" authorId="5">
      <text>
        <r>
          <rPr>
            <sz val="9"/>
            <color indexed="81"/>
            <rFont val="Tahoma"/>
            <family val="2"/>
          </rPr>
          <t xml:space="preserve">Guidance : $1,020
Source: East Coast Investor Meeting, dated 02/27/18, Pg:45
</t>
        </r>
      </text>
    </comment>
    <comment ref="BL172" authorId="5">
      <text>
        <r>
          <rPr>
            <sz val="9"/>
            <color indexed="81"/>
            <rFont val="Tahoma"/>
            <family val="2"/>
          </rPr>
          <t>Guidance : $950
Source: East Coast Investor Meeting, dated 02/27/18, Pg:45</t>
        </r>
      </text>
    </comment>
    <comment ref="BQ172" authorId="5">
      <text>
        <r>
          <rPr>
            <sz val="9"/>
            <color indexed="81"/>
            <rFont val="Tahoma"/>
            <family val="2"/>
          </rPr>
          <t>Guidance : $1,150
Source: East Coast Investor Meeting, dated 02/27/18, Pg:45</t>
        </r>
      </text>
    </comment>
    <comment ref="BB185" authorId="0">
      <text>
        <r>
          <rPr>
            <sz val="9"/>
            <color indexed="81"/>
            <rFont val="Tahoma"/>
            <family val="2"/>
          </rPr>
          <t>2/27/18 Presentation slide 28</t>
        </r>
      </text>
    </comment>
    <comment ref="BG201" authorId="6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Not a cash tax payer through 2021</t>
        </r>
      </text>
    </comment>
    <comment ref="BL201" authorId="6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Not a cash tax payer through 2021</t>
        </r>
      </text>
    </comment>
    <comment ref="AO227" authorId="7">
      <text>
        <r>
          <rPr>
            <sz val="9"/>
            <color indexed="81"/>
            <rFont val="Tahoma"/>
            <family val="2"/>
          </rPr>
          <t>Borrowings under utility money pool arrangement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227" authorId="7">
      <text>
        <r>
          <rPr>
            <sz val="9"/>
            <color indexed="81"/>
            <rFont val="Tahoma"/>
            <family val="2"/>
          </rPr>
          <t>Borrowings under utility money pool arrangement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62" authorId="8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we add cpn plants purchased for ~$700mil</t>
        </r>
      </text>
    </comment>
    <comment ref="AC265" authorId="6">
      <text>
        <r>
          <rPr>
            <b/>
            <sz val="9"/>
            <color indexed="81"/>
            <rFont val="Tahoma"/>
            <family val="2"/>
          </rPr>
          <t>DA:</t>
        </r>
        <r>
          <rPr>
            <sz val="9"/>
            <color indexed="81"/>
            <rFont val="Tahoma"/>
            <family val="2"/>
          </rPr>
          <t xml:space="preserve">
Adjustment to tie average to reported rate base of $8140 (includes 60% of wholesale rate base)</t>
        </r>
      </text>
    </comment>
    <comment ref="C266" authorId="3">
      <text>
        <r>
          <rPr>
            <sz val="8"/>
            <color indexed="81"/>
            <rFont val="Tahoma"/>
            <family val="2"/>
          </rPr>
          <t>Includes 60% of wholesale rate base, per disclosure from IR.</t>
        </r>
      </text>
    </comment>
    <comment ref="S266" authorId="9">
      <text>
        <r>
          <rPr>
            <b/>
            <sz val="8"/>
            <color indexed="8"/>
            <rFont val="Tahoma"/>
            <family val="2"/>
          </rPr>
          <t>Rajeev Lalwani:</t>
        </r>
        <r>
          <rPr>
            <sz val="8"/>
            <color indexed="8"/>
            <rFont val="Tahoma"/>
            <family val="2"/>
          </rPr>
          <t xml:space="preserve">
2010 avg RAB was $23.5bil
The breakdown is:
- $3.8bil electric transmission
- $1.8bil gas transmission
- $100mil other
- $1.2bil smartmeter
- $16.6mil CPUC D&amp;G
</t>
        </r>
      </text>
    </comment>
    <comment ref="X266" authorId="4">
      <text>
        <r>
          <rPr>
            <sz val="8"/>
            <color indexed="81"/>
            <rFont val="Tahoma"/>
            <family val="2"/>
          </rPr>
          <t>FY2012 Rate base $7,382 mn
Source : Xcel Energy Inc 2013 New York Investor Meeting Presentations.
http://investors.xcelenergy.com/file.aspx?iid=4025308&amp;fid=1001181160</t>
        </r>
      </text>
    </comment>
    <comment ref="E268" authorId="3">
      <text>
        <r>
          <rPr>
            <sz val="8"/>
            <color indexed="81"/>
            <rFont val="Tahoma"/>
            <family val="2"/>
          </rPr>
          <t>Reported value was 6,144</t>
        </r>
      </text>
    </comment>
    <comment ref="J268" authorId="3">
      <text>
        <r>
          <rPr>
            <sz val="8"/>
            <color indexed="81"/>
            <rFont val="Tahoma"/>
            <family val="2"/>
          </rPr>
          <t>Reported figure was 6,443.</t>
        </r>
      </text>
    </comment>
    <comment ref="AH268" authorId="6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Wolfe presentation 9/29/15: 
Electric $6,277m (13mo average)
Gas: $1,661m (year-end)
Wholesale: $578m
2013 Gas year-end rate base was $1,483m, so average is $1,572m</t>
        </r>
      </text>
    </comment>
    <comment ref="C269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4/11/18 slide pg. 13</t>
        </r>
      </text>
    </comment>
    <comment ref="AW269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Assuming 17-22 runrate CAGR applies to 16 to 17 until 2017 official numbers published</t>
        </r>
      </text>
    </comment>
    <comment ref="C273" authorId="3">
      <text>
        <r>
          <rPr>
            <sz val="8"/>
            <color indexed="81"/>
            <rFont val="Tahoma"/>
            <family val="2"/>
          </rPr>
          <t>Doesn't include Wholesale rate data.</t>
        </r>
      </text>
    </comment>
    <comment ref="AR273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♦Based on fully litigated [2/16/16 decision date] rate case - Vertically Integrated Electric Service - ROE: 9.83% and Equity Ratio: 56.00%
and settled [2/24/15 sttlement date] rate case - Natural Gas Distibution - ROE: 9.5% and Equity Ratio: 56.51%
•weighted by prior years rate base (excluding wholesale)</t>
        </r>
      </text>
    </comment>
    <comment ref="C277" authorId="3">
      <text>
        <r>
          <rPr>
            <sz val="8"/>
            <color indexed="81"/>
            <rFont val="Tahoma"/>
            <family val="2"/>
          </rPr>
          <t>Doesn't include Wholesale rate data.</t>
        </r>
      </text>
    </comment>
    <comment ref="AR277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♦Based on fully litigated [2/16/16 decision date] rate case - Vertically Integrated Electric Service - ROE: 9.83% and Equity Ratio: 56.00%
and settled [2/24/15 sttlement date] rate case - Natural Gas Distibution - ROE: 9.5% and Equity Ratio: 56.51%
•weighted by prior years rate base (excluding wholesale)</t>
        </r>
      </text>
    </comment>
    <comment ref="X286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FY2012 Rate base $7,382 mn
Source : Xcel Energy Inc 2013 New York Investor Meeting Presentations.
http://investors.xcelenergy.com/file.aspx?iid=4025308&amp;fid=1001181160</t>
        </r>
      </text>
    </comment>
    <comment ref="AM286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2015 Rate Base published 8/17/16 Barclays Kohler Conference = 8985</t>
        </r>
      </text>
    </comment>
    <comment ref="AR286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6/12/17 IR Presentation pg. 32</t>
        </r>
      </text>
    </comment>
  </commentList>
</comments>
</file>

<file path=xl/comments6.xml><?xml version="1.0" encoding="utf-8"?>
<comments xmlns="http://schemas.openxmlformats.org/spreadsheetml/2006/main">
  <authors>
    <author>Ellison, Ethan C (Research)</author>
    <author>Jacob, Abey (Research)</author>
    <author xml:space="preserve">  </author>
    <author>rajeevl</author>
    <author>Kapoor, Vishal (Research)</author>
    <author>Arcaro, David (Research)</author>
    <author>shahviv</author>
    <author>Magajwala, Vatsal (Research)</author>
    <author>ancsan</author>
    <author>farrih</author>
    <author>sunilt</author>
  </authors>
  <commentList>
    <comment ref="BB52" authorId="0">
      <text>
        <r>
          <rPr>
            <sz val="9"/>
            <color indexed="81"/>
            <rFont val="Tahoma"/>
            <family val="2"/>
          </rPr>
          <t xml:space="preserve">
W/A electric sales: increase 0% to 0.5% YoY
Source: 2017 year end earings presentation. Dated: 02/07/2018, Pg: 18</t>
        </r>
      </text>
    </comment>
    <comment ref="AX54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Backing out one time payment for 164 days of 2016, realized in 1Q17
•SPS filed a NM electric rate case on 11/1/16
•Requested base rate increase =41.4m
•implementation of final rates anticipated in 2H17
•assume awarded half</t>
        </r>
      </text>
    </comment>
    <comment ref="AY54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•SPS filed a NM electric rate case on 11/1/16
•Requested base rate increase =41.4m
•implementation of final rates anticipated in 2H17
•assume awarded half</t>
        </r>
      </text>
    </comment>
    <comment ref="BB54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Texas rate case filed August 2017 requesting $55m, new rates expected to be effective retroactive to January 2018 (tax reform expected to be addressed in the rate case)
New Mexico rate case filed October 2017 requesting $43m (tax reform expected to be addressed in this rate case)</t>
        </r>
      </text>
    </comment>
    <comment ref="BB55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Set to be neutral to earnings, weighted based on shaping of pre-tax income pre-tax reform
</t>
        </r>
      </text>
    </comment>
    <comment ref="BB59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Set to tie to 2018 guidance
</t>
        </r>
      </text>
    </comment>
    <comment ref="AW66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2017 GAAP ROE 7.84%</t>
        </r>
      </text>
    </comment>
    <comment ref="AS72" authorId="1">
      <text>
        <r>
          <rPr>
            <sz val="9"/>
            <color indexed="81"/>
            <rFont val="Tahoma"/>
            <family val="2"/>
          </rPr>
          <t>Source SNL</t>
        </r>
      </text>
    </comment>
    <comment ref="AU72" authorId="2">
      <text>
        <r>
          <rPr>
            <sz val="9"/>
            <color indexed="81"/>
            <rFont val="Tahoma"/>
            <family val="2"/>
          </rPr>
          <t>Taken from FERC Form 3-Q</t>
        </r>
      </text>
    </comment>
    <comment ref="C86" authorId="3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In NM, non-firm wholesale margins are shared with company (10% company) </t>
        </r>
      </text>
    </comment>
    <comment ref="BB128" authorId="4">
      <text>
        <r>
          <rPr>
            <sz val="9"/>
            <color indexed="81"/>
            <rFont val="Tahoma"/>
            <family val="2"/>
          </rPr>
          <t>Guidance : $320
Source: East Coast Investor Meeting, dated 02/27/18, Pg:50</t>
        </r>
      </text>
    </comment>
    <comment ref="BG128" authorId="4">
      <text>
        <r>
          <rPr>
            <sz val="9"/>
            <color indexed="81"/>
            <rFont val="Tahoma"/>
            <family val="2"/>
          </rPr>
          <t>Guidance : $250
Source: East Coast Investor Meeting, dated 02/27/18, Pg:50</t>
        </r>
      </text>
    </comment>
    <comment ref="BL128" authorId="4">
      <text>
        <r>
          <rPr>
            <sz val="9"/>
            <color indexed="81"/>
            <rFont val="Tahoma"/>
            <family val="2"/>
          </rPr>
          <t>Guidance : $150
Source: East Coast Investor Meeting, dated 02/27/18, Pg:50</t>
        </r>
      </text>
    </comment>
    <comment ref="BQ128" authorId="4">
      <text>
        <r>
          <rPr>
            <sz val="9"/>
            <color indexed="81"/>
            <rFont val="Tahoma"/>
            <family val="2"/>
          </rPr>
          <t>Guidance : $250
Source: East Coast Investor Meeting, dated 02/27/18, Pg:50</t>
        </r>
      </text>
    </comment>
    <comment ref="BB129" authorId="4">
      <text>
        <r>
          <rPr>
            <sz val="9"/>
            <color indexed="81"/>
            <rFont val="Tahoma"/>
            <family val="2"/>
          </rPr>
          <t>Guidance : $100
Source: East Coast Investor Meeting, dated 02/27/18, Pg:50</t>
        </r>
      </text>
    </comment>
    <comment ref="BG129" authorId="4">
      <text>
        <r>
          <rPr>
            <sz val="9"/>
            <color indexed="81"/>
            <rFont val="Tahoma"/>
            <family val="2"/>
          </rPr>
          <t>Guidance : $110
Source: East Coast Investor Meeting, dated 02/27/18, Pg:50</t>
        </r>
      </text>
    </comment>
    <comment ref="BL129" authorId="4">
      <text>
        <r>
          <rPr>
            <sz val="9"/>
            <color indexed="81"/>
            <rFont val="Tahoma"/>
            <family val="2"/>
          </rPr>
          <t>Guidance : $110
Source: East Coast Investor Meeting, dated 02/27/18, Pg:50</t>
        </r>
      </text>
    </comment>
    <comment ref="BQ129" authorId="4">
      <text>
        <r>
          <rPr>
            <sz val="9"/>
            <color indexed="81"/>
            <rFont val="Tahoma"/>
            <family val="2"/>
          </rPr>
          <t>Guidance : $130
Source: East Coast Investor Meeting, dated 02/27/18, Pg:50</t>
        </r>
      </text>
    </comment>
    <comment ref="BB130" authorId="4">
      <text>
        <r>
          <rPr>
            <sz val="9"/>
            <color indexed="81"/>
            <rFont val="Tahoma"/>
            <family val="2"/>
          </rPr>
          <t xml:space="preserve">Guidance : $60
Source: East Coast Investor Meeting, dated 02/27/18, Pg:50
</t>
        </r>
      </text>
    </comment>
    <comment ref="BG130" authorId="4">
      <text>
        <r>
          <rPr>
            <sz val="9"/>
            <color indexed="81"/>
            <rFont val="Tahoma"/>
            <family val="2"/>
          </rPr>
          <t>Guidance : $50
Source: East Coast Investor Meeting, dated 02/27/18, Pg:50</t>
        </r>
      </text>
    </comment>
    <comment ref="BL130" authorId="4">
      <text>
        <r>
          <rPr>
            <sz val="9"/>
            <color indexed="81"/>
            <rFont val="Tahoma"/>
            <family val="2"/>
          </rPr>
          <t>Guidance : $50
Source: East Coast Investor Meeting, dated 02/27/18, Pg:50</t>
        </r>
      </text>
    </comment>
    <comment ref="BQ130" authorId="4">
      <text>
        <r>
          <rPr>
            <sz val="9"/>
            <color indexed="81"/>
            <rFont val="Tahoma"/>
            <family val="2"/>
          </rPr>
          <t>Guidance : $50
Source: East Coast Investor Meeting, dated 02/27/18, Pg:50</t>
        </r>
      </text>
    </comment>
    <comment ref="BB131" authorId="4">
      <text>
        <r>
          <rPr>
            <sz val="9"/>
            <color indexed="81"/>
            <rFont val="Tahoma"/>
            <family val="2"/>
          </rPr>
          <t>Guidance : $30
Source: East Coast Investor Meeting, dated 02/27/18, Pg:50</t>
        </r>
      </text>
    </comment>
    <comment ref="BG131" authorId="4">
      <text>
        <r>
          <rPr>
            <sz val="9"/>
            <color indexed="81"/>
            <rFont val="Tahoma"/>
            <family val="2"/>
          </rPr>
          <t>Guidance : $40
Source: East Coast Investor Meeting, dated 02/27/18, Pg:50</t>
        </r>
      </text>
    </comment>
    <comment ref="BL131" authorId="4">
      <text>
        <r>
          <rPr>
            <sz val="9"/>
            <color indexed="81"/>
            <rFont val="Tahoma"/>
            <family val="2"/>
          </rPr>
          <t>Guidance : $40
Source: East Coast Investor Meeting, dated 02/27/18, Pg:50</t>
        </r>
      </text>
    </comment>
    <comment ref="BQ131" authorId="4">
      <text>
        <r>
          <rPr>
            <sz val="9"/>
            <color indexed="81"/>
            <rFont val="Tahoma"/>
            <family val="2"/>
          </rPr>
          <t>Guidance : $40
Source: East Coast Investor Meeting, dated 02/27/18, Pg:50</t>
        </r>
      </text>
    </comment>
    <comment ref="BB132" authorId="4">
      <text>
        <r>
          <rPr>
            <sz val="9"/>
            <color indexed="81"/>
            <rFont val="Tahoma"/>
            <family val="2"/>
          </rPr>
          <t>Guidance : $510
Source: East Coast Investor Meeting, dated 02/27/18, Pg:50</t>
        </r>
      </text>
    </comment>
    <comment ref="BG132" authorId="4">
      <text>
        <r>
          <rPr>
            <sz val="9"/>
            <color indexed="81"/>
            <rFont val="Tahoma"/>
            <family val="2"/>
          </rPr>
          <t>Guidance : $690
Source: East Coast Investor Meeting, dated 02/27/18, Pg:50</t>
        </r>
      </text>
    </comment>
    <comment ref="BL132" authorId="4">
      <text>
        <r>
          <rPr>
            <sz val="9"/>
            <color indexed="81"/>
            <rFont val="Tahoma"/>
            <family val="2"/>
          </rPr>
          <t>Guidance : $360
Source: East Coast Investor Meeting, dated 02/27/18, Pg:50</t>
        </r>
      </text>
    </comment>
    <comment ref="BQ132" authorId="4">
      <text>
        <r>
          <rPr>
            <sz val="9"/>
            <color indexed="81"/>
            <rFont val="Tahoma"/>
            <family val="2"/>
          </rPr>
          <t>Guidance : $0
Source: East Coast Investor Meeting, dated 02/27/18, Pg:50</t>
        </r>
      </text>
    </comment>
    <comment ref="BB133" authorId="4">
      <text>
        <r>
          <rPr>
            <sz val="9"/>
            <color indexed="81"/>
            <rFont val="Tahoma"/>
            <family val="2"/>
          </rPr>
          <t>Guidance : $1,020
Source: East Coast Investor Meeting, dated 02/27/18, Pg:50</t>
        </r>
      </text>
    </comment>
    <comment ref="BG133" authorId="4">
      <text>
        <r>
          <rPr>
            <sz val="9"/>
            <color indexed="81"/>
            <rFont val="Tahoma"/>
            <family val="2"/>
          </rPr>
          <t>Guidance : $1,140
Source: East Coast Investor Meeting, dated 02/27/18, Pg:50</t>
        </r>
      </text>
    </comment>
    <comment ref="BL133" authorId="4">
      <text>
        <r>
          <rPr>
            <sz val="9"/>
            <color indexed="81"/>
            <rFont val="Tahoma"/>
            <family val="2"/>
          </rPr>
          <t>Guidance : $710
Source: 3Q17 Earnings Release Presentation, dated 10/26/17</t>
        </r>
      </text>
    </comment>
    <comment ref="BQ133" authorId="4">
      <text>
        <r>
          <rPr>
            <sz val="9"/>
            <color indexed="81"/>
            <rFont val="Tahoma"/>
            <family val="2"/>
          </rPr>
          <t>Guidance : $470
Source: 3Q17 Earnings Release Presentation, dated 10/26/17</t>
        </r>
      </text>
    </comment>
    <comment ref="BB146" authorId="0">
      <text>
        <r>
          <rPr>
            <sz val="9"/>
            <color indexed="81"/>
            <rFont val="Tahoma"/>
            <family val="2"/>
          </rPr>
          <t>2/27/18 Presentation slide 28</t>
        </r>
      </text>
    </comment>
    <comment ref="BG162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Not a cash tax payer through 2021</t>
        </r>
      </text>
    </comment>
    <comment ref="BL162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Not a cash tax payer through 2021</t>
        </r>
      </text>
    </comment>
    <comment ref="BQ162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Not a cash tax payer through 2021</t>
        </r>
      </text>
    </comment>
    <comment ref="S188" authorId="6">
      <text>
        <r>
          <rPr>
            <sz val="8"/>
            <color indexed="81"/>
            <rFont val="Tahoma"/>
            <family val="2"/>
          </rPr>
          <t>Borrowing under money pool arrangement</t>
        </r>
      </text>
    </comment>
    <comment ref="AT188" authorId="7">
      <text>
        <r>
          <rPr>
            <sz val="9"/>
            <color indexed="81"/>
            <rFont val="Tahoma"/>
            <family val="2"/>
          </rPr>
          <t xml:space="preserve">Includes $61m of borrowings under utility money pool management
</t>
        </r>
      </text>
    </comment>
    <comment ref="I222" authorId="8">
      <text>
        <r>
          <rPr>
            <sz val="8"/>
            <color indexed="81"/>
            <rFont val="Tahoma"/>
            <family val="2"/>
          </rPr>
          <t>Company reported year end historical figures for New Mexico &amp; Texas operations +37% of wholesale</t>
        </r>
      </text>
    </comment>
    <comment ref="AC226" authorId="5">
      <text>
        <r>
          <rPr>
            <b/>
            <sz val="9"/>
            <color indexed="81"/>
            <rFont val="Tahoma"/>
            <family val="2"/>
          </rPr>
          <t>DA:</t>
        </r>
        <r>
          <rPr>
            <sz val="9"/>
            <color indexed="81"/>
            <rFont val="Tahoma"/>
            <family val="2"/>
          </rPr>
          <t xml:space="preserve">
Adjustment to tie average to reported rate base of $2,165mn</t>
        </r>
      </text>
    </comment>
    <comment ref="AH226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Adjustment to tie to actual year-end rate base</t>
        </r>
      </text>
    </comment>
    <comment ref="AM226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Adjustment to tie out year end rate base</t>
        </r>
      </text>
    </comment>
    <comment ref="AR226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Adjusted to match aggregate rate base guidance</t>
        </r>
      </text>
    </comment>
    <comment ref="C227" authorId="9">
      <text>
        <r>
          <rPr>
            <sz val="8"/>
            <color indexed="81"/>
            <rFont val="Tahoma"/>
            <family val="2"/>
          </rPr>
          <t>Includes 37% of wholesale rate base, per disclosure from IR.</t>
        </r>
      </text>
    </comment>
    <comment ref="X227" authorId="10">
      <text>
        <r>
          <rPr>
            <sz val="8"/>
            <color indexed="81"/>
            <rFont val="Tahoma"/>
            <family val="2"/>
          </rPr>
          <t>FY2012 Rate base $2,114 mn
Source : Xcel Energy Inc 2013 New York Investor Meeting Presentations.
http://investors.xcelenergy.com/file.aspx?iid=4025308&amp;fid=1001181157</t>
        </r>
      </text>
    </comment>
    <comment ref="AH227" authorId="5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Wolfe presentation 9/29/15: $2,678m (year-end)</t>
        </r>
      </text>
    </comment>
    <comment ref="C230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4/11/18 slide pg. 13</t>
        </r>
      </text>
    </comment>
    <comment ref="AW230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Assuming 17-22 runrate CAGR applies to 16 to 17 until 2017 official numbers published</t>
        </r>
      </text>
    </comment>
    <comment ref="C233" authorId="9">
      <text>
        <r>
          <rPr>
            <sz val="8"/>
            <color indexed="81"/>
            <rFont val="Tahoma"/>
            <family val="2"/>
          </rPr>
          <t xml:space="preserve">Texas Rate Case seems a blackbox. Requested authorized equity ratio has been around 51% for the past three rate cases, so we used that figure. </t>
        </r>
      </text>
    </comment>
    <comment ref="AR233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♦Based on most recent fully litigated [12/17/15 decision date] rate case - TX Vertically Integrated Electric Service - ROE: 9.70% and Equity Ratio: 51.00%
and last fully litigated [3/26/14 decision date] rate case - NM Vertically Integrated Electric Service - ROE: 9.96% and Equity Ratio: 53.89% (more recent NM settlement was black box)
•weighted by prior years rate base (excluding wholesale)</t>
        </r>
      </text>
    </comment>
    <comment ref="AR237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♦Based on most recent fully litigated [12/17/15 decision date] rate case - TX Vertically Integrated Electric Service - ROE: 9.70% and Equity Ratio: 51.00%
and last fully litigated [3/26/14 decision date] rate case - NM Vertically Integrated Electric Service - ROE: 9.96% and Equity Ratio: 53.89% (more recent NM settlement was black box)
•weighted by prior years rate base (excluding wholesale)</t>
        </r>
      </text>
    </comment>
    <comment ref="AM246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2015 Rate Base published 8/17/16 Barclays Kohler Conference = 3230</t>
        </r>
      </text>
    </comment>
    <comment ref="AR246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6/12/17 IR Presentation pg.32</t>
        </r>
      </text>
    </comment>
  </commentList>
</comments>
</file>

<file path=xl/comments7.xml><?xml version="1.0" encoding="utf-8"?>
<comments xmlns="http://schemas.openxmlformats.org/spreadsheetml/2006/main">
  <authors>
    <author>Kumar S, Ajay (Research)</author>
    <author>Ellison, Ethan C (Research)</author>
    <author>Jacob, Abey (Research)</author>
    <author xml:space="preserve">  </author>
    <author>farrih</author>
    <author>sunilt</author>
    <author>Kapoor, Vishal (Research)</author>
    <author>Arcaro, David (Research)</author>
  </authors>
  <commentList>
    <comment ref="AI28" authorId="0">
      <text>
        <r>
          <rPr>
            <sz val="9"/>
            <color indexed="81"/>
            <rFont val="Tahoma"/>
            <family val="2"/>
          </rPr>
          <t>$5.237Mn: Loss on Monticello life cycle management/extended power uprate project</t>
        </r>
      </text>
    </comment>
    <comment ref="AM28" authorId="0">
      <text>
        <r>
          <rPr>
            <sz val="9"/>
            <color indexed="81"/>
            <rFont val="Tahoma"/>
            <family val="2"/>
          </rPr>
          <t>$5.237Mn: Loss on Monticello life cycle management/extended power uprate project</t>
        </r>
      </text>
    </comment>
    <comment ref="BB59" authorId="1">
      <text>
        <r>
          <rPr>
            <sz val="9"/>
            <color indexed="81"/>
            <rFont val="Tahoma"/>
            <family val="2"/>
          </rPr>
          <t xml:space="preserve">
W/A electric sales: increase 0% to 0.5% YoY
Source: 2017 Year End  Earnings report Presentation , Pg:18</t>
        </r>
      </text>
    </comment>
    <comment ref="BB60" authorId="1">
      <text>
        <r>
          <rPr>
            <sz val="9"/>
            <color indexed="81"/>
            <rFont val="Tahoma"/>
            <family val="2"/>
          </rPr>
          <t xml:space="preserve">
W/A Nat Gas sales: decline 0% to (0.5%) YoY
Source: 2017 Year End  Earnings report Presentation , Pg:18</t>
        </r>
      </text>
    </comment>
    <comment ref="BB62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Filed electric &amp; nat gas rate case in May 2017
•Requested $24.7M electric; $12M gas
•assumed rates effective Jan 2018
•12/21/17 $9.4m increase specified by commission</t>
        </r>
      </text>
    </comment>
    <comment ref="BB63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Set to be neutral to earnings, weighted based on shaping of pre-tax income pre-tax reform
•includes both gas and electric</t>
        </r>
      </text>
    </comment>
    <comment ref="BB64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Filed electric &amp; nat gas rate case in May 2017
•Requested $24.7M electric; $12M gas
•assumed rates effective Jan 2018
•12/21/17 written order issued, $9.9m rate increase specified</t>
        </r>
      </text>
    </comment>
    <comment ref="AW74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2017 GAAP ROE 9.41%</t>
        </r>
      </text>
    </comment>
    <comment ref="AS81" authorId="2">
      <text>
        <r>
          <rPr>
            <sz val="9"/>
            <color indexed="81"/>
            <rFont val="Tahoma"/>
            <family val="2"/>
          </rPr>
          <t>Source SNL</t>
        </r>
      </text>
    </comment>
    <comment ref="AU81" authorId="3">
      <text>
        <r>
          <rPr>
            <sz val="9"/>
            <color indexed="81"/>
            <rFont val="Tahoma"/>
            <family val="2"/>
          </rPr>
          <t>Taken from FERC Form 3-Q</t>
        </r>
      </text>
    </comment>
    <comment ref="T118" authorId="4">
      <text>
        <r>
          <rPr>
            <sz val="8"/>
            <color indexed="81"/>
            <rFont val="Tahoma"/>
            <family val="2"/>
          </rPr>
          <t>Firm natural gas actual sales dropped 14.7% YoY according to XEL's Q1-2012 earnings release pg 5.</t>
        </r>
      </text>
    </comment>
    <comment ref="U118" authorId="5">
      <text>
        <r>
          <rPr>
            <sz val="8"/>
            <color indexed="81"/>
            <rFont val="Tahoma"/>
            <family val="2"/>
          </rPr>
          <t>Firm natural gas actual sales dropped 25.9% YoY according to XEL's Q2-2012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18" authorId="5">
      <text>
        <r>
          <rPr>
            <sz val="8"/>
            <color indexed="81"/>
            <rFont val="Tahoma"/>
            <family val="2"/>
          </rPr>
          <t>Firm natural gas actual sales dropped 1.3% YoY according to XEL's Q3-2012 10-Q  pg 41.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18" authorId="5">
      <text>
        <r>
          <rPr>
            <sz val="8"/>
            <color indexed="81"/>
            <rFont val="Tahoma"/>
            <family val="2"/>
          </rPr>
          <t>Firm natural gas actual sales increased 21.7% YoY according to XEL's Q1-2013 10-Q  pg 38.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18" authorId="5">
      <text>
        <r>
          <rPr>
            <sz val="8"/>
            <color indexed="81"/>
            <rFont val="Tahoma"/>
            <family val="2"/>
          </rPr>
          <t>Firm natural gas actual sales increased 66% YoY according to XEL's Q2-2013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18" authorId="5">
      <text>
        <r>
          <rPr>
            <sz val="8"/>
            <color indexed="81"/>
            <rFont val="Tahoma"/>
            <family val="2"/>
          </rPr>
          <t>Firm natural gas actual sales increased 4.9% YoY according to XEL's Q3-2013 10-Q  pg 49.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18" authorId="5">
      <text>
        <r>
          <rPr>
            <sz val="8"/>
            <color indexed="81"/>
            <rFont val="Tahoma"/>
            <family val="2"/>
          </rPr>
          <t>Firm natural gas actual sales increased 19.8% YoY according to XEL's Q1-2014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18" authorId="5">
      <text>
        <r>
          <rPr>
            <sz val="8"/>
            <color indexed="81"/>
            <rFont val="Tahoma"/>
            <family val="2"/>
          </rPr>
          <t>Firm natural gas actual sales decreased 0.8% YoY according to XEL's Q2-2014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18" authorId="5">
      <text>
        <r>
          <rPr>
            <sz val="8"/>
            <color indexed="81"/>
            <rFont val="Tahoma"/>
            <family val="2"/>
          </rPr>
          <t>Firm natural gas actual sales increased (1.6)% YoY according to XEL's Q3-2014 10-Q  pg 48.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18" authorId="5">
      <text>
        <r>
          <rPr>
            <sz val="8"/>
            <color indexed="81"/>
            <rFont val="Tahoma"/>
            <family val="2"/>
          </rPr>
          <t>Firm natural gas actual sales decreased 9.3% YoY according to XEL's Q1-2015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18" authorId="5">
      <text>
        <r>
          <rPr>
            <sz val="8"/>
            <color indexed="81"/>
            <rFont val="Tahoma"/>
            <family val="2"/>
          </rPr>
          <t>Firm natural gas actual sales decreased 26% YoY according to XEL's Q2-2015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18" authorId="5">
      <text>
        <r>
          <rPr>
            <sz val="8"/>
            <color indexed="81"/>
            <rFont val="Tahoma"/>
            <family val="2"/>
          </rPr>
          <t>Firm natural gas actual sales decreased 3.1% according to 3Q15 earnings press release</t>
        </r>
      </text>
    </comment>
    <comment ref="AN118" authorId="5">
      <text>
        <r>
          <rPr>
            <sz val="8"/>
            <color indexed="81"/>
            <rFont val="Tahoma"/>
            <family val="2"/>
          </rPr>
          <t>Firm natural gas actual sales decreased 14.1% according to XEL's Q1-2016 10-Q  pg 37.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18" authorId="5">
      <text>
        <r>
          <rPr>
            <sz val="8"/>
            <color indexed="81"/>
            <rFont val="Tahoma"/>
            <family val="2"/>
          </rPr>
          <t>Firm natural gas actual sales decreased 6.4% YoY according to XEL's Q2-2016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18" authorId="5">
      <text>
        <r>
          <rPr>
            <sz val="8"/>
            <color indexed="81"/>
            <rFont val="Tahoma"/>
            <family val="2"/>
          </rPr>
          <t>Firm natural gas actual sales decreased 12.8% YoY according to XEL's Q3-2016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S118" authorId="5">
      <text>
        <r>
          <rPr>
            <sz val="8"/>
            <color indexed="81"/>
            <rFont val="Tahoma"/>
            <family val="2"/>
          </rPr>
          <t>Firm natural gas actual sales increased 3.5% according to XEL's Q1-2017 10-Q  pg 35.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18" authorId="5">
      <text>
        <r>
          <rPr>
            <sz val="8"/>
            <color indexed="81"/>
            <rFont val="Tahoma"/>
            <family val="2"/>
          </rPr>
          <t>Firm natural gas actual sales increased 4.2% YoY according to XEL's Q2-2017 10-Q  pg 37.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18" authorId="5">
      <text>
        <r>
          <rPr>
            <sz val="8"/>
            <color indexed="81"/>
            <rFont val="Tahoma"/>
            <family val="2"/>
          </rPr>
          <t>Firm natural gas actual sales increased 11.4% YoY according to XEL's Q3-2017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19" authorId="4">
      <text>
        <r>
          <rPr>
            <sz val="8"/>
            <color indexed="81"/>
            <rFont val="Tahoma"/>
            <family val="2"/>
          </rPr>
          <t>Firm natural gas actual sales dropped 14.7% YoY according to XEL's Q1-2012 earnings release pg 5.</t>
        </r>
      </text>
    </comment>
    <comment ref="U119" authorId="5">
      <text>
        <r>
          <rPr>
            <sz val="8"/>
            <color indexed="81"/>
            <rFont val="Tahoma"/>
            <family val="2"/>
          </rPr>
          <t>Firm natural gas actual sales dropped 25.9% YoY according to XEL's Q2-2012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19" authorId="5">
      <text>
        <r>
          <rPr>
            <sz val="8"/>
            <color indexed="81"/>
            <rFont val="Tahoma"/>
            <family val="2"/>
          </rPr>
          <t>Firm natural gas actual sales dropped 1.3% YoY according to XEL's Q3-2012 10-Q  pg 41.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19" authorId="5">
      <text>
        <r>
          <rPr>
            <sz val="8"/>
            <color indexed="81"/>
            <rFont val="Tahoma"/>
            <family val="2"/>
          </rPr>
          <t>Firm natural gas actual sales increased 21.7% YoY according to XEL's Q1-2013 10-Q  pg 38.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19" authorId="5">
      <text>
        <r>
          <rPr>
            <sz val="8"/>
            <color indexed="81"/>
            <rFont val="Tahoma"/>
            <family val="2"/>
          </rPr>
          <t>Firm natural gas actual sales increased 66% YoY according to XEL's Q2-2013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19" authorId="5">
      <text>
        <r>
          <rPr>
            <sz val="8"/>
            <color indexed="81"/>
            <rFont val="Tahoma"/>
            <family val="2"/>
          </rPr>
          <t>Firm natural gas actual sales increased 4.9% YoY according to XEL's Q3-2013 10-Q  pg 49.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19" authorId="5">
      <text>
        <r>
          <rPr>
            <sz val="8"/>
            <color indexed="81"/>
            <rFont val="Tahoma"/>
            <family val="2"/>
          </rPr>
          <t>Firm natural gas actual sales increased 19.8% YoY according to XEL's Q1-2014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19" authorId="5">
      <text>
        <r>
          <rPr>
            <sz val="8"/>
            <color indexed="81"/>
            <rFont val="Tahoma"/>
            <family val="2"/>
          </rPr>
          <t>Firm natural gas actual sales decreased 0.8% YoY according to XEL's Q2-2014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19" authorId="5">
      <text>
        <r>
          <rPr>
            <sz val="8"/>
            <color indexed="81"/>
            <rFont val="Tahoma"/>
            <family val="2"/>
          </rPr>
          <t>Firm natural gas actual sales increased (1.6)% YoY according to XEL's Q3-2014 10-Q  pg 48.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19" authorId="5">
      <text>
        <r>
          <rPr>
            <sz val="8"/>
            <color indexed="81"/>
            <rFont val="Tahoma"/>
            <family val="2"/>
          </rPr>
          <t>Firm natural gas actual sales decreased 9.3% YoY according to XEL's Q1-2015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19" authorId="5">
      <text>
        <r>
          <rPr>
            <sz val="8"/>
            <color indexed="81"/>
            <rFont val="Tahoma"/>
            <family val="2"/>
          </rPr>
          <t>Firm natural gas actual sales decreased 26% YoY according to XEL's Q2-2015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19" authorId="5">
      <text>
        <r>
          <rPr>
            <sz val="8"/>
            <color indexed="81"/>
            <rFont val="Tahoma"/>
            <family val="2"/>
          </rPr>
          <t>Firm natural gas actual sales decreased 3.1% according to 3Q15 earnings press release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119" authorId="5">
      <text>
        <r>
          <rPr>
            <sz val="8"/>
            <color indexed="81"/>
            <rFont val="Tahoma"/>
            <family val="2"/>
          </rPr>
          <t>Firm natural gas actual sales decreased 14.1% according to XEL's Q1-2016 10-Q  pg 37.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19" authorId="5">
      <text>
        <r>
          <rPr>
            <sz val="8"/>
            <color indexed="81"/>
            <rFont val="Tahoma"/>
            <family val="2"/>
          </rPr>
          <t>Firm natural gas actual sales decreased 6.4% YoY according to XEL's Q2-2016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19" authorId="5">
      <text>
        <r>
          <rPr>
            <sz val="8"/>
            <color indexed="81"/>
            <rFont val="Tahoma"/>
            <family val="2"/>
          </rPr>
          <t>Firm natural gas actual sales decreased 12.8% YoY according to XEL's Q3-2016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S119" authorId="5">
      <text>
        <r>
          <rPr>
            <sz val="8"/>
            <color indexed="81"/>
            <rFont val="Tahoma"/>
            <family val="2"/>
          </rPr>
          <t>Firm natural gas actual sales increased 3.5% according to XEL's Q1-2017 10-Q  pg 35.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19" authorId="5">
      <text>
        <r>
          <rPr>
            <sz val="8"/>
            <color indexed="81"/>
            <rFont val="Tahoma"/>
            <family val="2"/>
          </rPr>
          <t>Firm natural gas actual sales increased 4.2% YoY according to XEL's Q2-2017 10-Q  pg 37.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19" authorId="5">
      <text>
        <r>
          <rPr>
            <sz val="8"/>
            <color indexed="81"/>
            <rFont val="Tahoma"/>
            <family val="2"/>
          </rPr>
          <t>Firm natural gas actual sales increased 11.4% YoY according to XEL's Q3-2017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21" authorId="4">
      <text>
        <r>
          <rPr>
            <sz val="8"/>
            <color indexed="81"/>
            <rFont val="Tahoma"/>
            <family val="2"/>
          </rPr>
          <t>Firm natural gas actual sales dropped 14.7% YoY according to XEL's Q1-2012 earnings release pg 5.</t>
        </r>
      </text>
    </comment>
    <comment ref="U121" authorId="5">
      <text>
        <r>
          <rPr>
            <sz val="8"/>
            <color indexed="81"/>
            <rFont val="Tahoma"/>
            <family val="2"/>
          </rPr>
          <t>Firm natural gas actual sales dropped 25.9% YoY according to XEL's Q2-2012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21" authorId="5">
      <text>
        <r>
          <rPr>
            <sz val="8"/>
            <color indexed="81"/>
            <rFont val="Tahoma"/>
            <family val="2"/>
          </rPr>
          <t>Firm natural gas actual sales dropped 1.3% YoY according to XEL's Q3-2012 10-Q  pg 41.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21" authorId="5">
      <text>
        <r>
          <rPr>
            <sz val="8"/>
            <color indexed="81"/>
            <rFont val="Tahoma"/>
            <family val="2"/>
          </rPr>
          <t>Firm natural gas actual sales increased 21.7% YoY according to XEL's Q1-2013 10-Q  pg 38.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21" authorId="5">
      <text>
        <r>
          <rPr>
            <sz val="8"/>
            <color indexed="81"/>
            <rFont val="Tahoma"/>
            <family val="2"/>
          </rPr>
          <t>Firm natural gas actual sales increased 66% YoY according to XEL's Q2-2013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21" authorId="5">
      <text>
        <r>
          <rPr>
            <sz val="8"/>
            <color indexed="81"/>
            <rFont val="Tahoma"/>
            <family val="2"/>
          </rPr>
          <t>Firm natural gas actual sales increased 4.9% YoY according to XEL's Q3-2013 10-Q  pg 49.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21" authorId="5">
      <text>
        <r>
          <rPr>
            <sz val="8"/>
            <color indexed="81"/>
            <rFont val="Tahoma"/>
            <family val="2"/>
          </rPr>
          <t>Firm natural gas actual sales increased 19.8% YoY according to XEL's Q1-2014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1" authorId="5">
      <text>
        <r>
          <rPr>
            <sz val="8"/>
            <color indexed="81"/>
            <rFont val="Tahoma"/>
            <family val="2"/>
          </rPr>
          <t>Firm natural gas actual sales decreased 0.8% YoY according to XEL's Q2-2014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21" authorId="5">
      <text>
        <r>
          <rPr>
            <sz val="8"/>
            <color indexed="81"/>
            <rFont val="Tahoma"/>
            <family val="2"/>
          </rPr>
          <t>Firm natural gas actual sales increased (1.6)% YoY according to XEL's Q3-2014 10-Q  pg 48.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21" authorId="5">
      <text>
        <r>
          <rPr>
            <sz val="8"/>
            <color indexed="81"/>
            <rFont val="Tahoma"/>
            <family val="2"/>
          </rPr>
          <t>Firm natural gas actual sales decreased 9.3% YoY according to XEL's Q1-2015 10-Q  pg 39.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21" authorId="5">
      <text>
        <r>
          <rPr>
            <sz val="8"/>
            <color indexed="81"/>
            <rFont val="Tahoma"/>
            <family val="2"/>
          </rPr>
          <t>Firm natural gas actual sales decreased 26% YoY according to XEL's Q2-2015 10-Q  pg 46.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21" authorId="5">
      <text>
        <r>
          <rPr>
            <sz val="8"/>
            <color indexed="81"/>
            <rFont val="Tahoma"/>
            <family val="2"/>
          </rPr>
          <t>Firm natural gas actual sales decreased 3.1% according to 3Q15 earnings press release</t>
        </r>
      </text>
    </comment>
    <comment ref="AN121" authorId="5">
      <text>
        <r>
          <rPr>
            <sz val="8"/>
            <color indexed="81"/>
            <rFont val="Tahoma"/>
            <family val="2"/>
          </rPr>
          <t>Firm natural gas actual sales decreased 14.1% according to XEL's Q1-2016 10-Q  pg 37.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21" authorId="5">
      <text>
        <r>
          <rPr>
            <sz val="8"/>
            <color indexed="81"/>
            <rFont val="Tahoma"/>
            <family val="2"/>
          </rPr>
          <t>Firm natural gas actual sales decreased 6.4% YoY according to XEL's Q2-2016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21" authorId="5">
      <text>
        <r>
          <rPr>
            <sz val="8"/>
            <color indexed="81"/>
            <rFont val="Tahoma"/>
            <family val="2"/>
          </rPr>
          <t>Firm natural gas actual sales decreased 12.8% YoY according to XEL's Q3-2016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S121" authorId="5">
      <text>
        <r>
          <rPr>
            <sz val="8"/>
            <color indexed="81"/>
            <rFont val="Tahoma"/>
            <family val="2"/>
          </rPr>
          <t>Firm natural gas actual sales increased 3.5% according to XEL's Q1-2017 10-Q  pg 35.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21" authorId="5">
      <text>
        <r>
          <rPr>
            <sz val="8"/>
            <color indexed="81"/>
            <rFont val="Tahoma"/>
            <family val="2"/>
          </rPr>
          <t>Firm natural gas actual sales increased 4.2% YoY according to XEL's Q2-2017 10-Q  pg 37.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21" authorId="5">
      <text>
        <r>
          <rPr>
            <sz val="8"/>
            <color indexed="81"/>
            <rFont val="Tahoma"/>
            <family val="2"/>
          </rPr>
          <t>Firm natural gas actual sales increased 11.4% YoY according to XEL's Q3-2017 10-Q  pg 40.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22" authorId="4">
      <text>
        <r>
          <rPr>
            <sz val="8"/>
            <color indexed="81"/>
            <rFont val="Tahoma"/>
            <family val="2"/>
          </rPr>
          <t>Firm natural gas actual sales dropped 14.7% YoY according to XEL's Q1-2012 earnings release pg 5.</t>
        </r>
      </text>
    </comment>
    <comment ref="BB163" authorId="6">
      <text>
        <r>
          <rPr>
            <sz val="9"/>
            <color indexed="81"/>
            <rFont val="Tahoma"/>
            <family val="2"/>
          </rPr>
          <t>Guidance : $20
Source: East Coast Investor Meeting, dated 02/27/18, Pg:41</t>
        </r>
      </text>
    </comment>
    <comment ref="BG163" authorId="6">
      <text>
        <r>
          <rPr>
            <sz val="9"/>
            <color indexed="81"/>
            <rFont val="Tahoma"/>
            <family val="2"/>
          </rPr>
          <t>Guidance : $20
Source: East Coast Investor Meeting, dated 02/27/18, Pg:41</t>
        </r>
      </text>
    </comment>
    <comment ref="BL163" authorId="6">
      <text>
        <r>
          <rPr>
            <sz val="9"/>
            <color indexed="81"/>
            <rFont val="Tahoma"/>
            <family val="2"/>
          </rPr>
          <t>Guidance : $10
Source: East Coast Investor Meeting, dated 02/27/18, Pg:41</t>
        </r>
      </text>
    </comment>
    <comment ref="BQ163" authorId="6">
      <text>
        <r>
          <rPr>
            <sz val="9"/>
            <color indexed="81"/>
            <rFont val="Tahoma"/>
            <family val="2"/>
          </rPr>
          <t>Guidance : $10
Source: East Coast Investor Meeting, dated 02/27/18, Pg:41</t>
        </r>
      </text>
    </comment>
    <comment ref="BB164" authorId="6">
      <text>
        <r>
          <rPr>
            <sz val="9"/>
            <color indexed="81"/>
            <rFont val="Tahoma"/>
            <family val="2"/>
          </rPr>
          <t>Guidance : $110
Source: East Coast Investor Meeting, dated 02/27/18, Pg:41</t>
        </r>
      </text>
    </comment>
    <comment ref="BG164" authorId="6">
      <text>
        <r>
          <rPr>
            <sz val="9"/>
            <color indexed="81"/>
            <rFont val="Tahoma"/>
            <family val="2"/>
          </rPr>
          <t>Guidance : $100
Source: East Coast Investor Meeting, dated 02/27/18, Pg:41</t>
        </r>
      </text>
    </comment>
    <comment ref="BL164" authorId="6">
      <text>
        <r>
          <rPr>
            <sz val="9"/>
            <color indexed="81"/>
            <rFont val="Tahoma"/>
            <family val="2"/>
          </rPr>
          <t>Guidance : $100
Source: East Coast Investor Meeting, dated 02/27/18, Pg:41</t>
        </r>
      </text>
    </comment>
    <comment ref="BQ164" authorId="6">
      <text>
        <r>
          <rPr>
            <sz val="9"/>
            <color indexed="81"/>
            <rFont val="Tahoma"/>
            <family val="2"/>
          </rPr>
          <t>Guidance : $140
Source: East Coast Investor Meeting, dated 02/27/18, Pg:41</t>
        </r>
      </text>
    </comment>
    <comment ref="BB165" authorId="6">
      <text>
        <r>
          <rPr>
            <sz val="9"/>
            <color indexed="81"/>
            <rFont val="Tahoma"/>
            <family val="2"/>
          </rPr>
          <t>Guidance : $60
Source: East Coast Investor Meeting, dated 02/27/18, Pg:41</t>
        </r>
      </text>
    </comment>
    <comment ref="BG165" authorId="6">
      <text>
        <r>
          <rPr>
            <sz val="9"/>
            <color indexed="81"/>
            <rFont val="Tahoma"/>
            <family val="2"/>
          </rPr>
          <t>Guidance : $80
Source: East Coast Investor Meeting, dated 02/27/18, Pg:41</t>
        </r>
      </text>
    </comment>
    <comment ref="BL165" authorId="6">
      <text>
        <r>
          <rPr>
            <sz val="9"/>
            <color indexed="81"/>
            <rFont val="Tahoma"/>
            <family val="2"/>
          </rPr>
          <t>Guidance : $80
Source: East Coast Investor Meeting, dated 02/27/18, Pg:41</t>
        </r>
      </text>
    </comment>
    <comment ref="BQ165" authorId="6">
      <text>
        <r>
          <rPr>
            <sz val="9"/>
            <color indexed="81"/>
            <rFont val="Tahoma"/>
            <family val="2"/>
          </rPr>
          <t>Guidance : $80
Source: East Coast Investor Meeting, dated 02/27/18, Pg:41</t>
        </r>
      </text>
    </comment>
    <comment ref="BB166" authorId="6">
      <text>
        <r>
          <rPr>
            <sz val="9"/>
            <color indexed="81"/>
            <rFont val="Tahoma"/>
            <family val="2"/>
          </rPr>
          <t>Guidance : $20
Source: East Coast Investor Meeting, dated 02/27/18, Pg:41</t>
        </r>
      </text>
    </comment>
    <comment ref="BG166" authorId="6">
      <text>
        <r>
          <rPr>
            <sz val="9"/>
            <color indexed="81"/>
            <rFont val="Tahoma"/>
            <family val="2"/>
          </rPr>
          <t>Guidance : $20
Source: East Coast Investor Meeting, dated 02/27/18, Pg:41</t>
        </r>
      </text>
    </comment>
    <comment ref="BL166" authorId="6">
      <text>
        <r>
          <rPr>
            <sz val="9"/>
            <color indexed="81"/>
            <rFont val="Tahoma"/>
            <family val="2"/>
          </rPr>
          <t>Guidance : $20
Source: East Coast Investor Meeting, dated 02/27/18, Pg:41</t>
        </r>
      </text>
    </comment>
    <comment ref="BQ166" authorId="6">
      <text>
        <r>
          <rPr>
            <sz val="9"/>
            <color indexed="81"/>
            <rFont val="Tahoma"/>
            <family val="2"/>
          </rPr>
          <t>Guidance : $20
Source: East Coast Investor Meeting, dated 02/27/18, Pg:41</t>
        </r>
      </text>
    </comment>
    <comment ref="AH167" authorId="7">
      <text>
        <r>
          <rPr>
            <b/>
            <sz val="9"/>
            <color indexed="81"/>
            <rFont val="Tahoma"/>
            <family val="2"/>
          </rPr>
          <t>DA:</t>
        </r>
        <r>
          <rPr>
            <sz val="9"/>
            <color indexed="81"/>
            <rFont val="Tahoma"/>
            <family val="2"/>
          </rPr>
          <t xml:space="preserve">
Lowered to $5mn from $15mn to meet mgmt guidance of $280mn for the year</t>
        </r>
      </text>
    </comment>
    <comment ref="BB167" authorId="6">
      <text>
        <r>
          <rPr>
            <sz val="9"/>
            <color indexed="81"/>
            <rFont val="Tahoma"/>
            <family val="2"/>
          </rPr>
          <t>Guidance : $40
Source: East Coast Investor Meeting, dated 02/27/18, Pg:41</t>
        </r>
      </text>
    </comment>
    <comment ref="BG167" authorId="6">
      <text>
        <r>
          <rPr>
            <sz val="9"/>
            <color indexed="81"/>
            <rFont val="Tahoma"/>
            <family val="2"/>
          </rPr>
          <t>Guidance : $30
Source: East Coast Investor Meeting, dated 02/27/18, Pg:41</t>
        </r>
      </text>
    </comment>
    <comment ref="BL167" authorId="6">
      <text>
        <r>
          <rPr>
            <sz val="9"/>
            <color indexed="81"/>
            <rFont val="Tahoma"/>
            <family val="2"/>
          </rPr>
          <t>Guidance : $30
Source: East Coast Investor Meeting, dated 02/27/18, Pg:41</t>
        </r>
      </text>
    </comment>
    <comment ref="BQ167" authorId="6">
      <text>
        <r>
          <rPr>
            <sz val="9"/>
            <color indexed="81"/>
            <rFont val="Tahoma"/>
            <family val="2"/>
          </rPr>
          <t>Guidance : $30
Source: East Coast Investor Meeting, dated 02/27/18, Pg:41</t>
        </r>
      </text>
    </comment>
    <comment ref="BB169" authorId="6">
      <text>
        <r>
          <rPr>
            <sz val="9"/>
            <color indexed="81"/>
            <rFont val="Tahoma"/>
            <family val="2"/>
          </rPr>
          <t>Guidance : $250
Source: East Coast Investor Meeting, dated 02/27/18, Pg:41</t>
        </r>
      </text>
    </comment>
    <comment ref="BG169" authorId="6">
      <text>
        <r>
          <rPr>
            <sz val="9"/>
            <color indexed="81"/>
            <rFont val="Tahoma"/>
            <family val="2"/>
          </rPr>
          <t>Guidance : $250
Source: East Coast Investor Meeting, dated 02/27/18, Pg:41</t>
        </r>
      </text>
    </comment>
    <comment ref="BL169" authorId="6">
      <text>
        <r>
          <rPr>
            <sz val="9"/>
            <color indexed="81"/>
            <rFont val="Tahoma"/>
            <family val="2"/>
          </rPr>
          <t>Guidance : $240
Source: East Coast Investor Meeting, dated 02/27/18, Pg:41</t>
        </r>
      </text>
    </comment>
    <comment ref="BQ169" authorId="6">
      <text>
        <r>
          <rPr>
            <sz val="9"/>
            <color indexed="81"/>
            <rFont val="Tahoma"/>
            <family val="2"/>
          </rPr>
          <t>Guidance : $280
Source: East Coast Investor Meeting, dated 02/27/18, Pg:41</t>
        </r>
      </text>
    </comment>
    <comment ref="BB174" authorId="1">
      <text>
        <r>
          <rPr>
            <sz val="9"/>
            <color indexed="81"/>
            <rFont val="Tahoma"/>
            <family val="2"/>
          </rPr>
          <t>Lever to get AFUDC-equity to increase 20-30m in 2018, as per guidance in 2017 year end earings presentation.
Dated: 02/07/18,  pg:18</t>
        </r>
      </text>
    </comment>
    <comment ref="BB177" authorId="1">
      <text>
        <r>
          <rPr>
            <sz val="9"/>
            <color indexed="81"/>
            <rFont val="Tahoma"/>
            <family val="2"/>
          </rPr>
          <t>Lever to get Interest expense (net of AFUDC-debt) to increase 20-30m in 2018, as 2017 year end earings presentation.
Dated: 02/07/18,  pg:18</t>
        </r>
      </text>
    </comment>
    <comment ref="BB182" authorId="1">
      <text>
        <r>
          <rPr>
            <sz val="9"/>
            <color indexed="81"/>
            <rFont val="Tahoma"/>
            <family val="2"/>
          </rPr>
          <t>2/27/18 Presentation slide 28</t>
        </r>
      </text>
    </comment>
    <comment ref="BG198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Not a cash tax payer through 2021</t>
        </r>
      </text>
    </comment>
    <comment ref="BL198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Not a cash tax payer through 2021</t>
        </r>
      </text>
    </comment>
    <comment ref="BQ198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Not a cash tax payer through 2021</t>
        </r>
      </text>
    </comment>
    <comment ref="AH262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Adjustment to match average rate base</t>
        </r>
      </text>
    </comment>
    <comment ref="AM262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Ties out rate base</t>
        </r>
      </text>
    </comment>
    <comment ref="AH265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Wolfe presentation 9/29/15: $1,028m (average)</t>
        </r>
      </text>
    </comment>
    <comment ref="C266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4/11/18 slide pg. 13</t>
        </r>
      </text>
    </comment>
    <comment ref="E267" authorId="4">
      <text>
        <r>
          <rPr>
            <sz val="8"/>
            <color indexed="81"/>
            <rFont val="Tahoma"/>
            <family val="2"/>
          </rPr>
          <t>Reported figure was 673</t>
        </r>
      </text>
    </comment>
    <comment ref="J267" authorId="4">
      <text>
        <r>
          <rPr>
            <sz val="8"/>
            <color indexed="81"/>
            <rFont val="Tahoma"/>
            <family val="2"/>
          </rPr>
          <t>Reported figure was 709.</t>
        </r>
      </text>
    </comment>
    <comment ref="AR269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♦Last Fully Litigated WI Electric Vertically Integrated, and Natural Gas Distribution rate cases, both decided on 12/3/15
•ROE=10%, Equity Ratio=52.49%</t>
        </r>
      </text>
    </comment>
    <comment ref="AR273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♦Last Fully Litigated WI Electric Vertically Integrated, and Natural Gas Distribution rate cases, both decided on 12/3/15
•ROE=10%, Equity Ratio=52.49%</t>
        </r>
      </text>
    </comment>
    <comment ref="AM283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2015 Rate Base published 8/17/16 Barclays Kohler Conference = 1159</t>
        </r>
      </text>
    </comment>
    <comment ref="AR283" authorId="1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6/12/17 IR Presentation pg.32</t>
        </r>
      </text>
    </comment>
  </commentList>
</comments>
</file>

<file path=xl/comments8.xml><?xml version="1.0" encoding="utf-8"?>
<comments xmlns="http://schemas.openxmlformats.org/spreadsheetml/2006/main">
  <authors>
    <author>Ellison, Ethan C (Research)</author>
    <author>Kapoor, Vishal (Research)</author>
  </authors>
  <commentList>
    <comment ref="BB49" authorId="0">
      <text>
        <r>
          <rPr>
            <b/>
            <sz val="9"/>
            <color indexed="81"/>
            <rFont val="Tahoma"/>
            <family val="2"/>
          </rPr>
          <t>Ellison, Ethan C (Research):</t>
        </r>
        <r>
          <rPr>
            <sz val="9"/>
            <color indexed="81"/>
            <rFont val="Tahoma"/>
            <family val="2"/>
          </rPr>
          <t xml:space="preserve">
2017 EEI Presentation slide 28</t>
        </r>
      </text>
    </comment>
    <comment ref="BB60" authorId="1">
      <text>
        <r>
          <rPr>
            <sz val="9"/>
            <color indexed="81"/>
            <rFont val="Tahoma"/>
            <family val="2"/>
          </rPr>
          <t>Guidance : $20m
Source :East Coast Investor Meetings dated 02/28/18, Pg:31</t>
        </r>
      </text>
    </comment>
    <comment ref="BG60" authorId="1">
      <text>
        <r>
          <rPr>
            <sz val="9"/>
            <color indexed="81"/>
            <rFont val="Tahoma"/>
            <family val="2"/>
          </rPr>
          <t>Guidance : -$90m
Source :East Coast Investor Meetings dated 02/28/18, Pg:31</t>
        </r>
      </text>
    </comment>
    <comment ref="BL60" authorId="1">
      <text>
        <r>
          <rPr>
            <sz val="9"/>
            <color indexed="81"/>
            <rFont val="Tahoma"/>
            <family val="2"/>
          </rPr>
          <t>Guidance : -$90m
Source :East Coast Investor Meetings dated 02/28/18, Pg:31</t>
        </r>
      </text>
    </comment>
    <comment ref="BQ60" authorId="1">
      <text>
        <r>
          <rPr>
            <sz val="9"/>
            <color indexed="81"/>
            <rFont val="Tahoma"/>
            <family val="2"/>
          </rPr>
          <t>Guidance : -$90m
Source :East Coast Investor Meetings dated 02/28/18, Pg:31</t>
        </r>
      </text>
    </comment>
  </commentList>
</comments>
</file>

<file path=xl/comments9.xml><?xml version="1.0" encoding="utf-8"?>
<comments xmlns="http://schemas.openxmlformats.org/spreadsheetml/2006/main">
  <authors>
    <author>Tammannavar, Sunil (Research)</author>
  </authors>
  <commentList>
    <comment ref="H49" authorId="0">
      <text>
        <r>
          <rPr>
            <sz val="9"/>
            <color indexed="81"/>
            <rFont val="Tahoma"/>
            <family val="2"/>
          </rPr>
          <t>Source : 10-Q of 3Q17,page no. 56</t>
        </r>
      </text>
    </comment>
  </commentList>
</comments>
</file>

<file path=xl/sharedStrings.xml><?xml version="1.0" encoding="utf-8"?>
<sst xmlns="http://schemas.openxmlformats.org/spreadsheetml/2006/main" count="2714" uniqueCount="1049">
  <si>
    <t>Valuation Summary</t>
  </si>
  <si>
    <t>$m, unless stated otherwise</t>
  </si>
  <si>
    <t>P/E VALUATION</t>
  </si>
  <si>
    <t>2010A</t>
  </si>
  <si>
    <t>2012E</t>
  </si>
  <si>
    <t>BULL-BEAR CASE VALUATION</t>
  </si>
  <si>
    <t>BEAR</t>
  </si>
  <si>
    <t>BASE</t>
  </si>
  <si>
    <t>BULL</t>
  </si>
  <si>
    <t>Valuation Year</t>
  </si>
  <si>
    <t>Group Average P/E</t>
  </si>
  <si>
    <t>Assumed Premium/Discount</t>
  </si>
  <si>
    <t>Adjusted P/E</t>
  </si>
  <si>
    <t>Assumed Premium</t>
  </si>
  <si>
    <t>Implied Valuation</t>
  </si>
  <si>
    <t>Group Average P/E w/ Premium</t>
  </si>
  <si>
    <t>Current Stock Price</t>
  </si>
  <si>
    <t>Price Return Potential</t>
  </si>
  <si>
    <t>Dividend</t>
  </si>
  <si>
    <t>Total Return Potential</t>
  </si>
  <si>
    <t>UTILITY SUMMARY</t>
  </si>
  <si>
    <t>RATE BASE AND ROE SENSITIVITY</t>
  </si>
  <si>
    <t>Assumed Allowed Equity Ratio</t>
  </si>
  <si>
    <t>Assumed Earned ROE</t>
  </si>
  <si>
    <t>Implied Utility Earnings Potential ($mil)</t>
  </si>
  <si>
    <t>Parent Loss ($mi)</t>
  </si>
  <si>
    <t>Projected Diluted Shares Count ($mil)</t>
  </si>
  <si>
    <t>Implied EPS</t>
  </si>
  <si>
    <t>O&amp;M Growth</t>
  </si>
  <si>
    <t>Earned ROE</t>
  </si>
  <si>
    <t>Modeled Utility Equity Ratio</t>
  </si>
  <si>
    <t>EPS</t>
  </si>
  <si>
    <t>RB</t>
  </si>
  <si>
    <t>Equity</t>
  </si>
  <si>
    <t>Parent</t>
  </si>
  <si>
    <t>Dividend Yield</t>
  </si>
  <si>
    <t>Growth</t>
  </si>
  <si>
    <t>Dividend Payout Ratio</t>
  </si>
  <si>
    <t>Dividend Growth Rate</t>
  </si>
  <si>
    <t>Dividend Per Share</t>
  </si>
  <si>
    <t>Financial Summary</t>
  </si>
  <si>
    <t>Period Ended</t>
  </si>
  <si>
    <t>EPS AND EBITDA PROFILE</t>
  </si>
  <si>
    <t>CAPITALIZATION PROFILE</t>
  </si>
  <si>
    <t>EPS by Business Segment</t>
  </si>
  <si>
    <t>Cash</t>
  </si>
  <si>
    <t>Short Term Debt</t>
  </si>
  <si>
    <t>Long Term Debt</t>
  </si>
  <si>
    <t>Total Debt</t>
  </si>
  <si>
    <t>Consolidated EPS</t>
  </si>
  <si>
    <t>Preferred Equity</t>
  </si>
  <si>
    <t>Common Equity</t>
  </si>
  <si>
    <t>Regulated / Unregulated EPS</t>
  </si>
  <si>
    <t>Regulated Utilities (includes Parent)</t>
  </si>
  <si>
    <t>Total Capitalization</t>
  </si>
  <si>
    <t>Merchant Power / Retail Supply</t>
  </si>
  <si>
    <t>Other (Non-Utility / Power operations)</t>
  </si>
  <si>
    <t>Leverage Ratios</t>
  </si>
  <si>
    <t>LT Debt  / Total Cap</t>
  </si>
  <si>
    <t>EBITDA by Business Segment</t>
  </si>
  <si>
    <t>Total Debt / Total Cap</t>
  </si>
  <si>
    <t>Net Debt / LTM EBITDA</t>
  </si>
  <si>
    <t>FFO / Total Debt</t>
  </si>
  <si>
    <t>Coverage Ratios</t>
  </si>
  <si>
    <t>Consolidated EBITDA</t>
  </si>
  <si>
    <t>FFO Interest Coverage ((FFO + Int.) / Int.)</t>
  </si>
  <si>
    <t>Pretax Interest Coverage (EBIT / Int.)</t>
  </si>
  <si>
    <t>Regulated / Unregulated EBITDA</t>
  </si>
  <si>
    <t>DIVIDEND AND SHARE COUNT DATA</t>
  </si>
  <si>
    <t>CASH FLOW PROFILE</t>
  </si>
  <si>
    <t>Regulated / Unregulated OCF</t>
  </si>
  <si>
    <t>Consolidated OCF</t>
  </si>
  <si>
    <t>Actual Shares Outstanding</t>
  </si>
  <si>
    <t>Average Shares Outstanding</t>
  </si>
  <si>
    <t>Regulated / Unregulated CapEx</t>
  </si>
  <si>
    <t>Diluted Average Shares Outstanding</t>
  </si>
  <si>
    <t>Consolidated CapEx</t>
  </si>
  <si>
    <t>VALUATION PROFILE</t>
  </si>
  <si>
    <t>Free Cash Flow</t>
  </si>
  <si>
    <t>Price to Earnings</t>
  </si>
  <si>
    <t>EV / EBITDA</t>
  </si>
  <si>
    <t>Consolidated FCF (Pre-Dividends)</t>
  </si>
  <si>
    <t>Book Value Per Share</t>
  </si>
  <si>
    <t>Dividends</t>
  </si>
  <si>
    <t>Return on Average Equity</t>
  </si>
  <si>
    <t>Free Cash Flow (Post Dividends)</t>
  </si>
  <si>
    <t>Return on Invested Capital</t>
  </si>
  <si>
    <t>Return on Average Assets</t>
  </si>
  <si>
    <t>Other Financing Activities</t>
  </si>
  <si>
    <t>Equity Issuance / Buyback, Net</t>
  </si>
  <si>
    <t>Current Share Price:</t>
  </si>
  <si>
    <t>LT Debt Issuance</t>
  </si>
  <si>
    <t>Current Shares Outstanding</t>
  </si>
  <si>
    <t>LT Debt Retirement</t>
  </si>
  <si>
    <t>Equity Market Capitalization</t>
  </si>
  <si>
    <t>ST Debt Change, Net</t>
  </si>
  <si>
    <t>Net Debt (Forecasted)</t>
  </si>
  <si>
    <t>Other</t>
  </si>
  <si>
    <t>Enterprise Value</t>
  </si>
  <si>
    <t>Annual Change in Cash</t>
  </si>
  <si>
    <t>Consolidated</t>
  </si>
  <si>
    <t>1Q2009A</t>
  </si>
  <si>
    <t>2Q2009A</t>
  </si>
  <si>
    <t>3Q2009A</t>
  </si>
  <si>
    <t>4Q2009A</t>
  </si>
  <si>
    <t>1Q2010A</t>
  </si>
  <si>
    <t>2Q2010A</t>
  </si>
  <si>
    <t>3Q2010A</t>
  </si>
  <si>
    <t>4Q2010A</t>
  </si>
  <si>
    <t>1Q2011A</t>
  </si>
  <si>
    <t>2Q2011A</t>
  </si>
  <si>
    <t>INCOME STATEMENT</t>
  </si>
  <si>
    <t>Electric</t>
  </si>
  <si>
    <t>Natural Gas</t>
  </si>
  <si>
    <t>Total Operating Revenue</t>
  </si>
  <si>
    <t>Fuel and Purchased Power</t>
  </si>
  <si>
    <t>Cost of Natural Gas Sold and Transported</t>
  </si>
  <si>
    <t>Other Cost of Sales</t>
  </si>
  <si>
    <t>COGS</t>
  </si>
  <si>
    <t>Gross Margin</t>
  </si>
  <si>
    <t>Operating and Maintenance</t>
  </si>
  <si>
    <t>Depreciation &amp; Amortization</t>
  </si>
  <si>
    <t>Taxes Other Than Income</t>
  </si>
  <si>
    <t>Operating Expense</t>
  </si>
  <si>
    <t>Total Operating Income</t>
  </si>
  <si>
    <t>Check</t>
  </si>
  <si>
    <t>AFUDC - Equity</t>
  </si>
  <si>
    <t>Equity Earnings of Unconsolidated Subsidiaries</t>
  </si>
  <si>
    <t>Other Income, Net</t>
  </si>
  <si>
    <t>Total Other Income</t>
  </si>
  <si>
    <t>EBIT</t>
  </si>
  <si>
    <t>EBITDA</t>
  </si>
  <si>
    <t>Interest Expense</t>
  </si>
  <si>
    <t>AFUDC - Debt</t>
  </si>
  <si>
    <t>Total Interest Expense</t>
  </si>
  <si>
    <t>Profit Before Taxes</t>
  </si>
  <si>
    <t>Income Tax</t>
  </si>
  <si>
    <t>Income After Taxes</t>
  </si>
  <si>
    <t>Preferred Stock Dividend</t>
  </si>
  <si>
    <t>Reported Net Income</t>
  </si>
  <si>
    <t>Adjustments/Non-Recurring Items</t>
  </si>
  <si>
    <t>Adjusted/On-Going Net Income</t>
  </si>
  <si>
    <t>GAAP Reported EPS (diluted)</t>
  </si>
  <si>
    <t>Adjusted / Operating EPS (diluted)</t>
  </si>
  <si>
    <t>YoY EPS Growth</t>
  </si>
  <si>
    <t>DIVIDEND AND EQUITY ASSUMPTIONS</t>
  </si>
  <si>
    <t>Growth Rate (YoY)</t>
  </si>
  <si>
    <t>Dividends Paid</t>
  </si>
  <si>
    <t>Stock Price Estimate</t>
  </si>
  <si>
    <t>Share Issuance/(Repurchase) - mil shares</t>
  </si>
  <si>
    <t>Share Issuance/(Repurchase)</t>
  </si>
  <si>
    <t>EPS AND CAPEX BY BUSINESS SEGMENT</t>
  </si>
  <si>
    <t>Segment EPS</t>
  </si>
  <si>
    <t>Total EPS</t>
  </si>
  <si>
    <t>Segment CapEx</t>
  </si>
  <si>
    <t>Total CapEx</t>
  </si>
  <si>
    <t>DEBT AND TAX ASSUMPTIONS</t>
  </si>
  <si>
    <t>Long-Term Debt Issuance/Maturity</t>
  </si>
  <si>
    <t>Long-Term Debt Issuance</t>
  </si>
  <si>
    <t>Long-Term Debt Maturity/Redemption</t>
  </si>
  <si>
    <t>Interest on Short Term Debt</t>
  </si>
  <si>
    <t>Increased Interest from LT Debt Issuance</t>
  </si>
  <si>
    <t>Decreased Interest from LT Debt Reduction</t>
  </si>
  <si>
    <t>Net Change in Interest Expense</t>
  </si>
  <si>
    <t>Interest Rate on Short Term Debt/Cash</t>
  </si>
  <si>
    <t>Tax Items</t>
  </si>
  <si>
    <t>Tax Rate (adjusted for AFUDC - Equity)</t>
  </si>
  <si>
    <t>Reported Tax Rate</t>
  </si>
  <si>
    <t>Debt Maturity / Issuance, Net (Parent)</t>
  </si>
  <si>
    <t>Corporate Dividend Requirement</t>
  </si>
  <si>
    <t>Total</t>
  </si>
  <si>
    <t>YTD CF Data (to calculate quarterly)</t>
  </si>
  <si>
    <t>CASHFLOW STATEMENT</t>
  </si>
  <si>
    <t>FY2009A</t>
  </si>
  <si>
    <t>FY2010A</t>
  </si>
  <si>
    <t>4Q2011A</t>
  </si>
  <si>
    <t>FY2011A</t>
  </si>
  <si>
    <t>Net Income</t>
  </si>
  <si>
    <t>D&amp;A</t>
  </si>
  <si>
    <t>AFUDC</t>
  </si>
  <si>
    <t>Deferred Income Taxes</t>
  </si>
  <si>
    <t>Working Capital, Net</t>
  </si>
  <si>
    <t>Operating Cash Flow</t>
  </si>
  <si>
    <t>Capital Expenditures</t>
  </si>
  <si>
    <t>Other (includes asset sales)</t>
  </si>
  <si>
    <t>Investing Cash Flow</t>
  </si>
  <si>
    <t>Issuance of LT Debt</t>
  </si>
  <si>
    <t>Retirement of LT Debt</t>
  </si>
  <si>
    <t>Change in ST Debt</t>
  </si>
  <si>
    <t>Common Dividends</t>
  </si>
  <si>
    <t>Common Equity Issuance/Buyback</t>
  </si>
  <si>
    <t>Other, Net</t>
  </si>
  <si>
    <t>Financing Cash Flow</t>
  </si>
  <si>
    <t>Net Change in Cash</t>
  </si>
  <si>
    <t>Beginning Cash Balance</t>
  </si>
  <si>
    <t>Ending Cash Balance</t>
  </si>
  <si>
    <t>BALANCE SHEET</t>
  </si>
  <si>
    <t>Cash and Equivalents</t>
  </si>
  <si>
    <t>Accounts Receivable</t>
  </si>
  <si>
    <t>Materials / Supplies / Fuel</t>
  </si>
  <si>
    <t>Other Current Assets</t>
  </si>
  <si>
    <t>Total Current Assets</t>
  </si>
  <si>
    <t>Plant in Service</t>
  </si>
  <si>
    <t>Accumulated Depreciation</t>
  </si>
  <si>
    <t>Nuclear, net of amortization</t>
  </si>
  <si>
    <t>CWIP</t>
  </si>
  <si>
    <t>Net PP&amp;E</t>
  </si>
  <si>
    <t>Goodwill and Other Intangibles, Net</t>
  </si>
  <si>
    <t>Unrecorded Goodwill from Poolings, Net</t>
  </si>
  <si>
    <t>Non-Current Regulatory Assets</t>
  </si>
  <si>
    <t>Deferred Charges related to Income Taxes</t>
  </si>
  <si>
    <t>Other Non-Current Assets</t>
  </si>
  <si>
    <t>Total Other Assets</t>
  </si>
  <si>
    <t>Total Assets</t>
  </si>
  <si>
    <t>Current Portion of Long Term Debt</t>
  </si>
  <si>
    <t>Accounts Payable</t>
  </si>
  <si>
    <t>Other Current Liabilities</t>
  </si>
  <si>
    <t>Total Current Liabilities</t>
  </si>
  <si>
    <t>Accumulated Deferred Income Taxes</t>
  </si>
  <si>
    <t>Deferred Income Taxes and Credits</t>
  </si>
  <si>
    <t>Deferred Reguatory Liabilities</t>
  </si>
  <si>
    <t>Provisions</t>
  </si>
  <si>
    <t>Other Non-Current Liabilities</t>
  </si>
  <si>
    <t>Total Other Liabilities</t>
  </si>
  <si>
    <t>Redeemable Preferred Stock of Subsidiaries</t>
  </si>
  <si>
    <t>Retained Earnings</t>
  </si>
  <si>
    <t>Paid-In Capital</t>
  </si>
  <si>
    <t>Total Common Equity</t>
  </si>
  <si>
    <t>Total Liabilities and Equity</t>
  </si>
  <si>
    <t>Balance Check</t>
  </si>
  <si>
    <t>CAPITALIZATION</t>
  </si>
  <si>
    <t>Cash &amp; Equivalents</t>
  </si>
  <si>
    <t>Short-Term Debt</t>
  </si>
  <si>
    <t>Long-Term Debt</t>
  </si>
  <si>
    <t xml:space="preserve">      % of Total</t>
  </si>
  <si>
    <t>Preferred Stock</t>
  </si>
  <si>
    <t>CREDIT STATS</t>
  </si>
  <si>
    <t>LTM FFO (Net Income + D&amp;A)</t>
  </si>
  <si>
    <t>LTM EBIT</t>
  </si>
  <si>
    <t>LTM EBITDA</t>
  </si>
  <si>
    <t>LTM Interest Expense</t>
  </si>
  <si>
    <t>LTM Net Income</t>
  </si>
  <si>
    <t>LT Debt  / Total Capitaliztion</t>
  </si>
  <si>
    <t>Total Debt / Total Capitalization</t>
  </si>
  <si>
    <t>NSP-Minnesota</t>
  </si>
  <si>
    <t>Operating Income</t>
  </si>
  <si>
    <t>GAAP Reported EPS</t>
  </si>
  <si>
    <t>Adjusted / Operating EPS</t>
  </si>
  <si>
    <t>ASSUMPTIONS AND DRIVERS</t>
  </si>
  <si>
    <t>Electric Rate Change</t>
  </si>
  <si>
    <t>Gas Rate Change</t>
  </si>
  <si>
    <t>O&amp;M Growth (YoY)</t>
  </si>
  <si>
    <t>Taxes Other Than Income (YoY)</t>
  </si>
  <si>
    <t>Allowed ROE</t>
  </si>
  <si>
    <t>Earned ROE (includes AFUDC)</t>
  </si>
  <si>
    <t>Earned ROE (excludes AFUDC)</t>
  </si>
  <si>
    <t>ELECTRIC MARGINS</t>
  </si>
  <si>
    <t>Total Electric Revenues</t>
  </si>
  <si>
    <t>Electric Sales (GWh)</t>
  </si>
  <si>
    <t>Residential</t>
  </si>
  <si>
    <t>Total Retail</t>
  </si>
  <si>
    <t>Sales for Resale</t>
  </si>
  <si>
    <t>Total Electric Sales</t>
  </si>
  <si>
    <t>Retail Sales Growth (YoY)</t>
  </si>
  <si>
    <t>Electric Rate Change (YoY)</t>
  </si>
  <si>
    <t>Fuel and Puchased Power Costs</t>
  </si>
  <si>
    <t>Fuel/Purchased Power and Deferred Costs</t>
  </si>
  <si>
    <t>Avg Fuel and Purchased Power Rate ($/mwh)</t>
  </si>
  <si>
    <t>Electric Margins</t>
  </si>
  <si>
    <t>Change in Margins (YoY)</t>
  </si>
  <si>
    <t>GAS MARGINS</t>
  </si>
  <si>
    <t>Total Gas Revenues</t>
  </si>
  <si>
    <t>Gas Sales (thousand mmBTU)</t>
  </si>
  <si>
    <t xml:space="preserve">Residential     </t>
  </si>
  <si>
    <t>Commercial and Industrial</t>
  </si>
  <si>
    <t>Total Bundled Gas Sales</t>
  </si>
  <si>
    <t>Transportation and Other</t>
  </si>
  <si>
    <t>Interdepartment Deliveries</t>
  </si>
  <si>
    <t>Total Sales</t>
  </si>
  <si>
    <t>Retail Sales Growth</t>
  </si>
  <si>
    <t>Average Total Gas Rate ($/mmbtu)</t>
  </si>
  <si>
    <t>Gas Rate Change (YoY)</t>
  </si>
  <si>
    <t>Purchased Gas Costs</t>
  </si>
  <si>
    <t>Average Purchased Gas Rate ($/MMcf)</t>
  </si>
  <si>
    <t>Gas Margins</t>
  </si>
  <si>
    <t>O&amp;M</t>
  </si>
  <si>
    <t>Total O&amp;M</t>
  </si>
  <si>
    <t>Growth (YoY)</t>
  </si>
  <si>
    <t>PP&amp;E, D&amp;A, AND CAPEX</t>
  </si>
  <si>
    <t>Plant In Service</t>
  </si>
  <si>
    <t>Nuclear Fuel</t>
  </si>
  <si>
    <t>D&amp;A Rate</t>
  </si>
  <si>
    <t>CapEx</t>
  </si>
  <si>
    <t>AFUDC DEBT AND EQUITY</t>
  </si>
  <si>
    <t>AFUDC - Equity as % of CWIP</t>
  </si>
  <si>
    <t>AFUDC - Debt as % of CWIP</t>
  </si>
  <si>
    <t>DEBT AND PREFERRED CALCULATIONS</t>
  </si>
  <si>
    <t>CASH FLOW STATEMENT</t>
  </si>
  <si>
    <t>Dividends and Capital Infusions</t>
  </si>
  <si>
    <t>Long-Term Debt (w/ current maturities &amp; leases)</t>
  </si>
  <si>
    <t>RATE BASE AND ROEs</t>
  </si>
  <si>
    <t>Beginning Rate Base</t>
  </si>
  <si>
    <t>Capex</t>
  </si>
  <si>
    <t>Deferred Taxes</t>
  </si>
  <si>
    <t>Other Adjustments (AFUDC + Removal Cost)</t>
  </si>
  <si>
    <t>Ending Rate Base</t>
  </si>
  <si>
    <t>Equity Ratio</t>
  </si>
  <si>
    <t>Authorized Equity Ratio</t>
  </si>
  <si>
    <t>Modeled Equity Ratio</t>
  </si>
  <si>
    <t>ROEs</t>
  </si>
  <si>
    <t>Authorized/Assumed ROE</t>
  </si>
  <si>
    <t>Modeled ROE (includes AFUDC)</t>
  </si>
  <si>
    <t>Modeled ROE (excludes AFUDC)</t>
  </si>
  <si>
    <t>Steam and Other</t>
  </si>
  <si>
    <t>Cost of Sales - Steam &amp; Other</t>
  </si>
  <si>
    <t xml:space="preserve"> </t>
  </si>
  <si>
    <t>Total COGS</t>
  </si>
  <si>
    <t>DEBT CALCULATIONS</t>
  </si>
  <si>
    <t>W/C and Other</t>
  </si>
  <si>
    <t>Other (includes utility capital infusion and equity)</t>
  </si>
  <si>
    <t>Debt Profile</t>
  </si>
  <si>
    <t>Model</t>
  </si>
  <si>
    <t>Mty/Issue</t>
  </si>
  <si>
    <t>Rate</t>
  </si>
  <si>
    <t>Month</t>
  </si>
  <si>
    <t>Principal</t>
  </si>
  <si>
    <t>Interest</t>
  </si>
  <si>
    <t>XEL (CONSOLIDATED)</t>
  </si>
  <si>
    <t>Total Debt Issuances/Maturties and Interst Change</t>
  </si>
  <si>
    <t>Maturities</t>
  </si>
  <si>
    <t>New Issues</t>
  </si>
  <si>
    <t>Net Annual Change</t>
  </si>
  <si>
    <t>Parent &amp; Other</t>
  </si>
  <si>
    <t>Debt Maturities/Retirements</t>
  </si>
  <si>
    <t>Net Issuances (Maturities) and Interest Change</t>
  </si>
  <si>
    <t>NSP-Wisconsin</t>
  </si>
  <si>
    <t>PSCO</t>
  </si>
  <si>
    <t>Blank</t>
  </si>
  <si>
    <t>SPS</t>
  </si>
  <si>
    <t>.</t>
  </si>
  <si>
    <t>Shares</t>
  </si>
  <si>
    <t>EPS WALK DETAIL</t>
  </si>
  <si>
    <t>Pre-Tax</t>
  </si>
  <si>
    <t>After-Tax</t>
  </si>
  <si>
    <t>2011E EPS</t>
  </si>
  <si>
    <t>Tax Rate</t>
  </si>
  <si>
    <t>Share Count</t>
  </si>
  <si>
    <t>2012E EPS</t>
  </si>
  <si>
    <t>2013E EPS</t>
  </si>
  <si>
    <t>EPS WALK SUMMARY</t>
  </si>
  <si>
    <t>Currency</t>
  </si>
  <si>
    <t>USD</t>
  </si>
  <si>
    <t>NA</t>
  </si>
  <si>
    <t>PCG.N,mscalc:sedolCodeCalc</t>
  </si>
  <si>
    <t>PNW.N,mscalc:targetPrice,,,,USD</t>
  </si>
  <si>
    <t>PCG.N,mscalc:closePriceCurrencyCalc</t>
  </si>
  <si>
    <t>PEG.N,mscalc:closePriceCurrencyCalc</t>
  </si>
  <si>
    <t>PEG.N,mscalc:targetPrice,,,,USD</t>
  </si>
  <si>
    <t>PEG.N,mscalc:sedolCodeCalc</t>
  </si>
  <si>
    <t>PNW.N,mscalc:closePriceCurrencyCalc</t>
  </si>
  <si>
    <t>PNW.N,mscalc:sedolCodeCalc</t>
  </si>
  <si>
    <t>First Mortgage Bonds</t>
  </si>
  <si>
    <t>March 1, 2018, 5.25%</t>
  </si>
  <si>
    <t>July 1, 2025, 7.125%</t>
  </si>
  <si>
    <t>March 1, 2028, 6.5%</t>
  </si>
  <si>
    <t>July 15, 2035, 5.25%</t>
  </si>
  <si>
    <t>June 1, 2036, 6.25%</t>
  </si>
  <si>
    <t>July 1, 2037, 6.2%</t>
  </si>
  <si>
    <t>Nov. 1, 2039, 5.35%</t>
  </si>
  <si>
    <t>Aug. 15, 2040, 4.85%</t>
  </si>
  <si>
    <t>Oct. 1, 2018, 5.25%</t>
  </si>
  <si>
    <t>Sept. 1, 2038, 6.375%</t>
  </si>
  <si>
    <t>City of La Crosse Resource Recovery Bond, Series due Nov. 1, 2021, 6%</t>
  </si>
  <si>
    <t>Fort McCoy System Acquisition, due Oct. 15, 2030, 7%</t>
  </si>
  <si>
    <t>Aug. 1, 2018, 5.8%</t>
  </si>
  <si>
    <t>June 1, 2019, 5.125%</t>
  </si>
  <si>
    <t>Nov. 15, 2020, 3.2%</t>
  </si>
  <si>
    <t>Sept. 1, 2037, 6.25%</t>
  </si>
  <si>
    <t>Aug. 1, 2038, 6.5%</t>
  </si>
  <si>
    <t>Unsecured Senior G Notes, due Dec. 1, 2018, 8.75%</t>
  </si>
  <si>
    <t>Unsecured Senior C and D Notes, due Oct. 1, 2033, 6%</t>
  </si>
  <si>
    <t>Unsecured Senior F Notes, due Oct. 1, 2036, 6%</t>
  </si>
  <si>
    <t>Various Eloigne Co. Affordable Housing Project Notes:</t>
  </si>
  <si>
    <t>Unsecured Senior Notes, Series due:</t>
  </si>
  <si>
    <t>May 15, 2020, 4.7%</t>
  </si>
  <si>
    <t>July 1, 2036, 6.5%</t>
  </si>
  <si>
    <t>Operating Income - NSP-Minnesota</t>
  </si>
  <si>
    <t>Operating Income - NSP-Wisconsin</t>
  </si>
  <si>
    <t>Operating Income - PSCO</t>
  </si>
  <si>
    <t>Operating Income - SPS</t>
  </si>
  <si>
    <t>Operating Income - Parent&amp;Other</t>
  </si>
  <si>
    <t>SOUTHWESTERN PUBLIC SERVICE CO.</t>
  </si>
  <si>
    <t>Xcel Energy</t>
  </si>
  <si>
    <t>NSP Minnesota</t>
  </si>
  <si>
    <t>NSP Wisconsin</t>
  </si>
  <si>
    <t>Ticker:</t>
  </si>
  <si>
    <t>Rating:</t>
  </si>
  <si>
    <t>Price Target:</t>
  </si>
  <si>
    <t>Date:</t>
  </si>
  <si>
    <t>XEL</t>
  </si>
  <si>
    <t>Stephen Byrd</t>
  </si>
  <si>
    <t>(212) 761-3865</t>
  </si>
  <si>
    <t>stephen.byrd@morganstanley.com</t>
  </si>
  <si>
    <t>XEL EPS</t>
  </si>
  <si>
    <t>XEL Net Income ($mil)</t>
  </si>
  <si>
    <t>This sheet contains Factset binary data for use with this workbook's =FDS codes.  Modifying the worksheet's contents may damage the workbook's =FDS functionality.</t>
  </si>
  <si>
    <t>NSP Minnesota Dividend, Net</t>
  </si>
  <si>
    <t>NSP Wisconsin Dividend, Net</t>
  </si>
  <si>
    <t>PSCO Dividend, Net</t>
  </si>
  <si>
    <t>SPS Dividend, Net</t>
  </si>
  <si>
    <t>XEL.N,mscalc:targetPrice,,,,USD</t>
  </si>
  <si>
    <t>Electric Revenues</t>
  </si>
  <si>
    <t>Commercial</t>
  </si>
  <si>
    <t>Industrial</t>
  </si>
  <si>
    <t>Total Retail Revenues</t>
  </si>
  <si>
    <t>Public St. &amp; Highway, Other Auth., Rails</t>
  </si>
  <si>
    <t>Electric Sales for Resale</t>
  </si>
  <si>
    <t>Quarter Revenue / Annual Revenue</t>
  </si>
  <si>
    <t>Electric Operating Revenue</t>
  </si>
  <si>
    <t>CWIP Rate (% of FY capex)</t>
  </si>
  <si>
    <t>OPERATING EXPENSES</t>
  </si>
  <si>
    <t>Transmission</t>
  </si>
  <si>
    <t>Generation</t>
  </si>
  <si>
    <t>Distribution</t>
  </si>
  <si>
    <t>Electric Rate Change - MN</t>
  </si>
  <si>
    <t>Electric Rate Change - ND and SD</t>
  </si>
  <si>
    <t>Rider Revenue</t>
  </si>
  <si>
    <t>Electric Retail Sales Growth (YoY)</t>
  </si>
  <si>
    <t>Gas Retail Sales Growth (YoY)</t>
  </si>
  <si>
    <t>Electric Rate Change - Retail</t>
  </si>
  <si>
    <t>Electric Rate Change - Wholesale</t>
  </si>
  <si>
    <t>Puchased Gas Costs</t>
  </si>
  <si>
    <t>Total Sales Growth</t>
  </si>
  <si>
    <t>Other (includes asset acquisitions)</t>
  </si>
  <si>
    <t>Income Tax (adjusted for PTC)</t>
  </si>
  <si>
    <t>Discontinued Operations, Net</t>
  </si>
  <si>
    <t>Parent Level Equity Issuance</t>
  </si>
  <si>
    <t>Parent Net Loss</t>
  </si>
  <si>
    <t>Change in Preferred Stock</t>
  </si>
  <si>
    <t>PARENT LEVEL CASH FLOWS</t>
  </si>
  <si>
    <t>Discontinued Operations and Accounting</t>
  </si>
  <si>
    <t>Parent NOLs - continued deferral due to bonus D&amp;A</t>
  </si>
  <si>
    <t>Conservation / DSM</t>
  </si>
  <si>
    <t>Conservation / DSM (YoY)</t>
  </si>
  <si>
    <t>Conservation / DSM (YoY) - full recovery</t>
  </si>
  <si>
    <t>Conservation / DSM (YoY) - partial recovery</t>
  </si>
  <si>
    <t>Other Investing Activities</t>
  </si>
  <si>
    <t>Total Avg Rate Base</t>
  </si>
  <si>
    <t>NSP-MN</t>
  </si>
  <si>
    <t>Electric &amp; Gas Rate Change</t>
  </si>
  <si>
    <t>Electric Sales Growth</t>
  </si>
  <si>
    <t>PSCo</t>
  </si>
  <si>
    <t>Earned ROE (w/ AFUDC)</t>
  </si>
  <si>
    <t>Chart Data</t>
  </si>
  <si>
    <t>Growth Off Base</t>
  </si>
  <si>
    <t>XEL Rate Base Growth</t>
  </si>
  <si>
    <t>Electric Rate Cases</t>
  </si>
  <si>
    <t>Gas Rate Cases</t>
  </si>
  <si>
    <t>Rider Recovery</t>
  </si>
  <si>
    <t>O&amp;M and Property Taxes</t>
  </si>
  <si>
    <t>AFUDC and Other Income</t>
  </si>
  <si>
    <t>Tax Rate and Other</t>
  </si>
  <si>
    <t>Sales Growth</t>
  </si>
  <si>
    <t>Rate Cases</t>
  </si>
  <si>
    <t>Riders</t>
  </si>
  <si>
    <t>Operating Costs</t>
  </si>
  <si>
    <t>Interest and Other</t>
  </si>
  <si>
    <t>Consensus</t>
  </si>
  <si>
    <t>Last Allowed Electric ROE</t>
  </si>
  <si>
    <t>Allowed Electric ROE - MS View</t>
  </si>
  <si>
    <t>Average Retail Rate ($/mwh)</t>
  </si>
  <si>
    <t>-</t>
  </si>
  <si>
    <t>Price Target</t>
  </si>
  <si>
    <t>Count</t>
  </si>
  <si>
    <t>XEL.N,mscalc:closePriceCurrencyCalc</t>
  </si>
  <si>
    <t>XEL.N,mscalc:sedolCodeCalc</t>
  </si>
  <si>
    <t>Discontinued Operations / Unusual Items</t>
  </si>
  <si>
    <t>Sep. 15 2041, 4.8%</t>
  </si>
  <si>
    <t>Aug. 15, 2041, 4.75%</t>
  </si>
  <si>
    <t>3Q2011A</t>
  </si>
  <si>
    <t>,mscalc:closePriceCurrencyCalc</t>
  </si>
  <si>
    <t>,mscalc:sedolCodeCalc</t>
  </si>
  <si>
    <t>,mscalc:targetPrice,,,,USD</t>
  </si>
  <si>
    <t>XEL.N,mscalc:targetPrice</t>
  </si>
  <si>
    <t>SRE.N,mscalc:closePriceCurrencyCalc</t>
  </si>
  <si>
    <t>EIX.N,mscalc:closePriceCurrencyCalc</t>
  </si>
  <si>
    <t>AEE.N,mscalc:targetPrice,,,,USD</t>
  </si>
  <si>
    <t>SRE.N,mscalc:sedolCodeCalc</t>
  </si>
  <si>
    <t>EIX.N,mscalc:sedolCodeCalc</t>
  </si>
  <si>
    <t>NVE.N,mscalc:sedolCodeCalc</t>
  </si>
  <si>
    <t>AEE.N,mscalc:closePriceCurrencyCalc</t>
  </si>
  <si>
    <t>ED.N,mscalc:closePriceCurrencyCalc</t>
  </si>
  <si>
    <t>ED.N,mscalc:targetPrice,,,,USD</t>
  </si>
  <si>
    <t>EIX.N,mscalc:targetPrice,,,,USD</t>
  </si>
  <si>
    <t>NVE.N,mscalc:closePriceCurrencyCalc</t>
  </si>
  <si>
    <t>ED.N,mscalc:sedolCodeCalc</t>
  </si>
  <si>
    <t>SRE.N,mscalc:targetPrice,,,,USD</t>
  </si>
  <si>
    <t>AEE.N,mscalc:sedolCodeCalc</t>
  </si>
  <si>
    <t>NVE.N,mscalc:targetPrice,,,,USD</t>
  </si>
  <si>
    <t>Net Income Reported</t>
  </si>
  <si>
    <t>Net Issuances</t>
  </si>
  <si>
    <t>ModelWare EPS</t>
  </si>
  <si>
    <t>ModelWare Net Income</t>
  </si>
  <si>
    <t>Statutory Tax rate</t>
  </si>
  <si>
    <t>One times</t>
  </si>
  <si>
    <t>2011A</t>
  </si>
  <si>
    <t>CAGR</t>
  </si>
  <si>
    <t>2614807</t>
  </si>
  <si>
    <t>1Q2012A</t>
  </si>
  <si>
    <t>2Q2012A</t>
  </si>
  <si>
    <t>3Q2012A</t>
  </si>
  <si>
    <t>3.4% First Mortgage Bonds due Aug. 15, 2042</t>
  </si>
  <si>
    <t>Sales growth due to weather</t>
  </si>
  <si>
    <t>Consolidated EPS Impact, reported</t>
  </si>
  <si>
    <t>Consolidated EPS Impact, calculated</t>
  </si>
  <si>
    <t>Equal-weight</t>
  </si>
  <si>
    <t>PUBLIC SERVICE CO. OF COLORADO</t>
  </si>
  <si>
    <t>Average Rate Base</t>
  </si>
  <si>
    <t>Equity Ratio Change (%)</t>
  </si>
  <si>
    <t>Net Income Impact</t>
  </si>
  <si>
    <t>EPS Impact</t>
  </si>
  <si>
    <t>ROE (%)</t>
  </si>
  <si>
    <t>4Q2012A</t>
  </si>
  <si>
    <t>2012A</t>
  </si>
  <si>
    <t>1Q2013A</t>
  </si>
  <si>
    <t>FY2012A</t>
  </si>
  <si>
    <t>Capital lease obligations, through 2060, 11.2% — 14.3% - split mty</t>
  </si>
  <si>
    <t>2Q2013A</t>
  </si>
  <si>
    <t>3Q2013A</t>
  </si>
  <si>
    <t>1Q2018E</t>
  </si>
  <si>
    <t>2Q2018E</t>
  </si>
  <si>
    <t>3Q2018E</t>
  </si>
  <si>
    <t>4Q2018E</t>
  </si>
  <si>
    <t>Assumed Issuance 2018</t>
  </si>
  <si>
    <t>CAGR to 2018</t>
  </si>
  <si>
    <t>2018E</t>
  </si>
  <si>
    <t>Utility Income</t>
  </si>
  <si>
    <t>4Q2013A</t>
  </si>
  <si>
    <t>2013A</t>
  </si>
  <si>
    <t>1Q2014A</t>
  </si>
  <si>
    <t>FY2013A</t>
  </si>
  <si>
    <t>Guidance Low</t>
  </si>
  <si>
    <t>Guidance High</t>
  </si>
  <si>
    <t>2Q2014A</t>
  </si>
  <si>
    <t>3Q2014A</t>
  </si>
  <si>
    <t>4.125% First Mortgage bonds, due May 15, 2044</t>
  </si>
  <si>
    <t>CACJA rider</t>
  </si>
  <si>
    <t>David Arcaro</t>
  </si>
  <si>
    <t>(212) 761-1817</t>
  </si>
  <si>
    <t>david.arcaro@morganstanley.com</t>
  </si>
  <si>
    <t>4Q2014A</t>
  </si>
  <si>
    <t>2014A</t>
  </si>
  <si>
    <t>FY2014A</t>
  </si>
  <si>
    <t>1Q2015A</t>
  </si>
  <si>
    <t>2Q2015A</t>
  </si>
  <si>
    <t>1Q2019E</t>
  </si>
  <si>
    <t>2Q2019E</t>
  </si>
  <si>
    <t>3Q2019E</t>
  </si>
  <si>
    <t>4Q2019E</t>
  </si>
  <si>
    <t>2019E</t>
  </si>
  <si>
    <t>Assumed Issuance 2019</t>
  </si>
  <si>
    <t xml:space="preserve"> 0% — 10.5%, Due 2015-2052 - split mty</t>
  </si>
  <si>
    <t>1.20% Senior notes, due June 1, 2017</t>
  </si>
  <si>
    <t>Oct. 1, 2042, 3.70%</t>
  </si>
  <si>
    <t>June 15, 2024, 3.30%</t>
  </si>
  <si>
    <t>Guidance</t>
  </si>
  <si>
    <t>Arman Tabatabai</t>
  </si>
  <si>
    <t>arman.tabatabai@morganstanley.com</t>
  </si>
  <si>
    <t>(212) 761-6358</t>
  </si>
  <si>
    <t>3Q2015A</t>
  </si>
  <si>
    <t>4Q2015A</t>
  </si>
  <si>
    <t>2015A</t>
  </si>
  <si>
    <t>4% First Mortgage bonds due Aug. 15, 2045</t>
  </si>
  <si>
    <t>FY2015A</t>
  </si>
  <si>
    <t>1Q2016A</t>
  </si>
  <si>
    <t>MN Electric</t>
  </si>
  <si>
    <t>MN Gas</t>
  </si>
  <si>
    <t>ND Electric</t>
  </si>
  <si>
    <t>ND Gas</t>
  </si>
  <si>
    <t>SD Electric</t>
  </si>
  <si>
    <t>CO Electric</t>
  </si>
  <si>
    <t>CO Gas</t>
  </si>
  <si>
    <t>PSCo Wholesale</t>
  </si>
  <si>
    <t>TX Electric</t>
  </si>
  <si>
    <t>NM Electric</t>
  </si>
  <si>
    <t>SPS Wholesale</t>
  </si>
  <si>
    <t>WI Electric</t>
  </si>
  <si>
    <t>WI Gas</t>
  </si>
  <si>
    <t>MI Electric &amp; Gas</t>
  </si>
  <si>
    <t>2Q2016A</t>
  </si>
  <si>
    <t>Ethan Ellison</t>
  </si>
  <si>
    <t>(212) 296-5124</t>
  </si>
  <si>
    <t>ethan.ellison@morganstanley.com</t>
  </si>
  <si>
    <t>Total Wholesale</t>
  </si>
  <si>
    <t>3.6% Senior notes, due May 15, 2046</t>
  </si>
  <si>
    <t>Renewables + Upside Capex</t>
  </si>
  <si>
    <t>Renewables + Upside capex</t>
  </si>
  <si>
    <t>3Q2016A</t>
  </si>
  <si>
    <t>2020E</t>
  </si>
  <si>
    <t>1Q2020E</t>
  </si>
  <si>
    <t>2Q2020E</t>
  </si>
  <si>
    <t>3Q2020E</t>
  </si>
  <si>
    <t>4Q2020E</t>
  </si>
  <si>
    <t>Assumed Issuance 2020</t>
  </si>
  <si>
    <t>2016A</t>
  </si>
  <si>
    <t>4Q2016A</t>
  </si>
  <si>
    <t>FY2016A</t>
  </si>
  <si>
    <t>March 15, 2022, 2.6%</t>
  </si>
  <si>
    <t>Dec. 1, 2026, 3.35%</t>
  </si>
  <si>
    <t>June 1, 2025, 3.3%</t>
  </si>
  <si>
    <t>March 15, 2021, 2.4%</t>
  </si>
  <si>
    <t>Aug. 15, 2020, 2.2%</t>
  </si>
  <si>
    <t>Aug. 15, 2022, 2.15%</t>
  </si>
  <si>
    <t>May 15, 2023, 2.6%</t>
  </si>
  <si>
    <t>Sept. 15, 2022, 2.25%</t>
  </si>
  <si>
    <t>June 15, 2024, 3.3%</t>
  </si>
  <si>
    <t>Aug. 15, 2041, 4.5%</t>
  </si>
  <si>
    <t>Aug. 15, 2046, 3.4%</t>
  </si>
  <si>
    <t>March 15, 2023, 2.5%</t>
  </si>
  <si>
    <t>May 15, 2025, 2.9%</t>
  </si>
  <si>
    <t>Sept. 15, 2042, 3.6%</t>
  </si>
  <si>
    <t>March 15, 2043, 3.95%</t>
  </si>
  <si>
    <t>March 15, 2044, 4.30%</t>
  </si>
  <si>
    <t>June 15, 2046, 3.55%</t>
  </si>
  <si>
    <t>Renewables</t>
  </si>
  <si>
    <t>CAGR 2016-2021</t>
  </si>
  <si>
    <t>Rate Base</t>
  </si>
  <si>
    <t>Electric Distribution</t>
  </si>
  <si>
    <t>Electric Transmission</t>
  </si>
  <si>
    <t>Electric Generation</t>
  </si>
  <si>
    <t>1Q2017</t>
  </si>
  <si>
    <t>1Q2017A</t>
  </si>
  <si>
    <t>BB</t>
  </si>
  <si>
    <t>Elec. D</t>
  </si>
  <si>
    <t>Elec. G</t>
  </si>
  <si>
    <t>Renew</t>
  </si>
  <si>
    <t>Elec. T</t>
  </si>
  <si>
    <t>Nat Gas</t>
  </si>
  <si>
    <t>2Q2017A</t>
  </si>
  <si>
    <t>June 15, 2047, 3.80%</t>
  </si>
  <si>
    <t>3Q2017A</t>
  </si>
  <si>
    <t>Aug. 15, 2047, 3.7%</t>
  </si>
  <si>
    <t>3.6% First Mortgage Bonds due Sep. 15, 2047</t>
  </si>
  <si>
    <t>3.7% First Mortgage bonds, due Aug 15, 2047</t>
  </si>
  <si>
    <t>50</t>
  </si>
  <si>
    <t>elliseth</t>
  </si>
  <si>
    <t>XEL.O</t>
  </si>
  <si>
    <t>Xcel Energy Inc</t>
  </si>
  <si>
    <t>XEL.O,mscalc:targetPrice,,,,USD</t>
  </si>
  <si>
    <t>XEL.O,mscalc:sedolCodeCalc</t>
  </si>
  <si>
    <t>XEL.O,mscalc:closePriceCurrencyCalc</t>
  </si>
  <si>
    <t>$BN$2</t>
  </si>
  <si>
    <t>CO Energy Plan</t>
  </si>
  <si>
    <t>ROE</t>
  </si>
  <si>
    <t>Net Income Benefit</t>
  </si>
  <si>
    <t>Actual Equity</t>
  </si>
  <si>
    <t>Cost of Debt</t>
  </si>
  <si>
    <t>Tax rate</t>
  </si>
  <si>
    <t>Change in Share Count</t>
  </si>
  <si>
    <t>2020 Multiple</t>
  </si>
  <si>
    <t>Implied '21 Multiple</t>
  </si>
  <si>
    <t>Accretion</t>
  </si>
  <si>
    <t>'21 EPS Benefit</t>
  </si>
  <si>
    <t>Price Target Adder</t>
  </si>
  <si>
    <t>4Q2017A</t>
  </si>
  <si>
    <t>2017A</t>
  </si>
  <si>
    <t>FY2017A</t>
  </si>
  <si>
    <t>48</t>
  </si>
  <si>
    <t>Dec. 1, 2047, 3.75%</t>
  </si>
  <si>
    <t>2021E</t>
  </si>
  <si>
    <t>1Q2021E</t>
  </si>
  <si>
    <t>2Q2021E</t>
  </si>
  <si>
    <t>3Q2021E</t>
  </si>
  <si>
    <t>4Q2021E</t>
  </si>
  <si>
    <t>Assumed Issuance 2021</t>
  </si>
  <si>
    <t>Tax Reform Adjustment</t>
  </si>
  <si>
    <t>Guidance (Year-End): 5.8% CAGR '17-'22</t>
  </si>
  <si>
    <t>Guidance (Year-End): 4.5% CAGR '17-'22</t>
  </si>
  <si>
    <t>Guidance (Year-End): 7% CAGR - CEP Upside</t>
  </si>
  <si>
    <t>Guidance (Year-End): 12.2% CAGR '17-'22</t>
  </si>
  <si>
    <t>Guidance (Year-End): 7.6% CAGR '17-'22</t>
  </si>
  <si>
    <t xml:space="preserve">  &lt;&lt;4-year CAGR (2014-2019)</t>
  </si>
  <si>
    <t>Research</t>
  </si>
  <si>
    <t>MSA54148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</si>
  <si>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</si>
  <si>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</si>
  <si>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</si>
  <si>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</si>
  <si>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</si>
  <si>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</si>
  <si>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</si>
  <si>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Stephen Byrd</t>
  </si>
  <si>
    <t>Date: 13 Apr 2018</t>
  </si>
  <si>
    <t>Ticker: XEL.O</t>
  </si>
  <si>
    <t>Stock Rating: Overweight</t>
  </si>
  <si>
    <t>Industry: Regulated Utilities</t>
  </si>
  <si>
    <t>Industry View: In-Line</t>
  </si>
  <si>
    <t>Price as of 13 Apr 2018: 44.48</t>
  </si>
  <si>
    <t>Target Price: 50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</si>
  <si>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</si>
  <si>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</si>
  <si>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</si>
  <si>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</si>
  <si>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Xcel Energy Inc.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</si>
  <si>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</si>
  <si>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</si>
  <si>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</si>
  <si>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</si>
  <si>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</si>
  <si>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</si>
  <si>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</si>
  <si>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</si>
  <si>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</si>
  <si>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</si>
  <si>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</si>
  <si>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</si>
  <si>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</si>
  <si>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</si>
  <si>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</si>
  <si>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</si>
  <si>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</si>
  <si>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</si>
  <si>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</si>
  <si>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</si>
  <si>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</si>
  <si>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</si>
  <si>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</si>
  <si>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</si>
  <si>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</si>
  <si>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</si>
  <si>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</si>
  <si>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</si>
  <si>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</si>
  <si>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</si>
  <si>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</si>
  <si>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</si>
  <si>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</si>
  <si>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</si>
  <si>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</si>
  <si>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</si>
  <si>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</si>
  <si>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</si>
  <si>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</si>
  <si>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</si>
  <si>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</si>
  <si>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</si>
  <si>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</si>
  <si>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</si>
  <si>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</si>
  <si>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</si>
  <si>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</si>
  <si>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</si>
  <si>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</si>
  <si>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</si>
  <si>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</si>
  <si>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</si>
  <si>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</si>
  <si>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</si>
  <si>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</si>
  <si>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</si>
  <si>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</si>
  <si>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</si>
  <si>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</si>
  <si>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</si>
  <si>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</si>
  <si>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</si>
  <si>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</si>
  <si>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</si>
  <si>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</si>
  <si>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</si>
  <si>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</si>
  <si>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</si>
  <si>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</si>
  <si>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</si>
  <si>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</si>
  <si>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</si>
  <si>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</si>
  <si>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</si>
  <si>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</si>
  <si>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</si>
  <si>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</si>
  <si>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</si>
  <si>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</si>
  <si>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</si>
  <si>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</si>
  <si>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</si>
  <si>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</si>
  <si>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</si>
  <si>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</si>
  <si>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</si>
  <si>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</si>
  <si>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</si>
  <si>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</si>
  <si>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</si>
  <si>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</si>
  <si>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</si>
  <si>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</si>
  <si>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</si>
  <si>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</si>
  <si>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</si>
  <si>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</si>
  <si>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</si>
  <si>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</si>
  <si>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</si>
  <si>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</si>
  <si>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</si>
  <si>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</si>
  <si>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</si>
  <si>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</si>
  <si>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</si>
  <si>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</si>
  <si>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</si>
  <si>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</si>
  <si>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</si>
  <si>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</si>
  <si>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</si>
  <si>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</si>
  <si>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</si>
  <si>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</si>
  <si>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</si>
  <si>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</si>
  <si>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</si>
  <si>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</si>
  <si>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</si>
  <si>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</si>
  <si>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</si>
  <si>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</si>
  <si>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</si>
  <si>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</si>
  <si>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</si>
  <si>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</si>
  <si>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</si>
  <si>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</si>
  <si>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</si>
  <si>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</si>
  <si>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</si>
  <si>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</si>
  <si>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</si>
  <si>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</si>
  <si>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</si>
  <si>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</si>
  <si>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</si>
  <si>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</si>
  <si>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</si>
  <si>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</si>
  <si>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</si>
  <si>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</si>
  <si>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</si>
  <si>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</si>
  <si>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</si>
  <si>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</si>
  <si>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</si>
  <si>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</si>
  <si>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</si>
  <si>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</si>
  <si>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</si>
  <si>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</si>
  <si>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</si>
  <si>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</si>
  <si>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</si>
  <si>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</si>
  <si>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</si>
  <si>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</si>
  <si>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</si>
  <si>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</si>
  <si>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</si>
  <si>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</si>
  <si>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</si>
  <si>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</si>
  <si>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</si>
  <si>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</si>
  <si>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</si>
  <si>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</si>
  <si>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</si>
  <si>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</si>
  <si>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</si>
  <si>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</si>
  <si>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</si>
  <si>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</si>
  <si>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Xcel Energy Inc.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</si>
  <si>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</si>
  <si>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</si>
  <si>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</si>
  <si>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</si>
  <si>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</si>
  <si>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</si>
  <si>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</si>
  <si>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</si>
  <si>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</si>
  <si>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</si>
  <si>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</si>
  <si>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</si>
  <si>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</si>
  <si>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</si>
  <si>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</si>
  <si>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</si>
  <si>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</si>
  <si>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</si>
  <si>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</si>
  <si>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</si>
  <si>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</si>
  <si>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</si>
  <si>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</si>
  <si>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</si>
  <si>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</si>
  <si>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</si>
  <si>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</si>
  <si>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</si>
  <si>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</si>
  <si>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</si>
  <si>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</si>
  <si>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</si>
  <si>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</si>
  <si>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</si>
  <si>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</si>
  <si>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</si>
  <si>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</si>
  <si>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</si>
  <si>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</si>
  <si>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</si>
  <si>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</si>
  <si>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</si>
  <si>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</si>
  <si>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</si>
  <si>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</si>
  <si>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</si>
  <si>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</si>
  <si>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</si>
  <si>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</si>
  <si>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</si>
  <si>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</si>
  <si>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</si>
  <si>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</si>
  <si>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</si>
  <si>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</si>
  <si>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</si>
  <si>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</si>
  <si>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</si>
  <si>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</si>
  <si>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</si>
  <si>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</si>
  <si>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</si>
  <si>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</si>
  <si>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</si>
  <si>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</si>
  <si>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</si>
  <si>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</si>
  <si>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</si>
  <si>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Xcel Energy Inc.</t>
  </si>
  <si>
    <t>Within the last 12 months, Morgan Stanley has provided or is providing investment banking services to,</t>
  </si>
  <si>
    <t>or has an investment banking client relationship with, the following company: Xcel Energy Inc.</t>
  </si>
  <si>
    <t>Within the last 12 months, Morgan Stanley has received compensation for products and services other than</t>
  </si>
  <si>
    <t>investment banking services from Xcel Energy Inc.</t>
  </si>
  <si>
    <t>In the next 3 months, Morgan Stanley expects to receive or intends to seek compensation for investment</t>
  </si>
  <si>
    <t>banking services from Xcel Energy Inc.</t>
  </si>
  <si>
    <t>Within the last 12 months, Morgan Stanley has received compensation for investment banking services from</t>
  </si>
  <si>
    <t>Xcel Energy Inc.</t>
  </si>
  <si>
    <t>Within the last 12 months, Morgan Stanley managed or co-managed a public offering (or 144A offering) of</t>
  </si>
  <si>
    <t>securities of Xcel Energy Inc.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</si>
  <si>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</si>
  <si>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</si>
  <si>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</si>
  <si>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</si>
  <si>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</si>
  <si>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Stephen C Byrd.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</si>
  <si>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</si>
  <si>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</si>
  <si>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</si>
  <si>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</si>
  <si>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</si>
  <si>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</si>
  <si>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</si>
  <si>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</si>
  <si>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</si>
  <si>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</si>
  <si>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</si>
  <si>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</si>
  <si>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</si>
  <si>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</si>
  <si>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</si>
  <si>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</si>
  <si>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</si>
  <si>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</si>
  <si>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</si>
  <si>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</si>
  <si>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</si>
  <si>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</si>
  <si>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</si>
  <si>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</si>
  <si>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</si>
  <si>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</si>
  <si>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</si>
  <si>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</si>
  <si>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</si>
  <si>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</si>
  <si>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</si>
  <si>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</si>
  <si>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</si>
  <si>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</si>
  <si>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</si>
  <si>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</si>
  <si>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</si>
  <si>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</si>
  <si>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</si>
  <si>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</si>
  <si>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</si>
  <si>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</si>
  <si>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</si>
  <si>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</si>
  <si>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</si>
  <si>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</si>
  <si>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</si>
  <si>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</si>
  <si>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</si>
  <si>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</si>
  <si>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</si>
  <si>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</si>
  <si>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</si>
  <si>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</si>
  <si>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</si>
  <si>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</si>
  <si>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</si>
  <si>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</si>
  <si>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</si>
  <si>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</si>
  <si>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</si>
  <si>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</si>
  <si>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</si>
  <si>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</si>
  <si>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</si>
  <si>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</si>
  <si>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</si>
  <si>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Quarterly Update</t>
  </si>
  <si>
    <t>NorthAmerica</t>
  </si>
  <si>
    <t>98389B100</t>
  </si>
  <si>
    <t>L:\UTILITIES\Models\XEL\Published\XEL Model.xlsm</t>
  </si>
  <si>
    <t>[BRO MSA]</t>
  </si>
  <si>
    <t>[PRODUCT MODEL]</t>
  </si>
  <si>
    <t>[EMAIL_ALERT YES]</t>
  </si>
  <si>
    <t>[DISCIPLINE Company]</t>
  </si>
  <si>
    <t>[SUPPRESSED NO]</t>
  </si>
  <si>
    <t>[DOCDAT 2018-04-13]</t>
  </si>
  <si>
    <t>[DOCTIME 17:21]</t>
  </si>
  <si>
    <t>[PSYM XEL.O(S&amp;P) (None)]</t>
  </si>
  <si>
    <t>[COU 1]</t>
  </si>
  <si>
    <t>[ANA ]</t>
  </si>
  <si>
    <t>[HL XEL.O Model]</t>
  </si>
  <si>
    <t>[IND ELECCO]</t>
  </si>
  <si>
    <t>[PANA MSA54148]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</si>
</sst>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[$-F400]h:mm:ss\ AM/PM"/>
    <numFmt numFmtId="167" formatCode="mmm\ yy"/>
    <numFmt numFmtId="168" formatCode="0.0\x"/>
    <numFmt numFmtId="169" formatCode="0.0%"/>
    <numFmt numFmtId="170" formatCode="_(* #,##0_);_(* \(#,##0\);_(* &quot;-&quot;??_);_(@_)"/>
    <numFmt numFmtId="171" formatCode="0&quot;A&quot;"/>
    <numFmt numFmtId="172" formatCode="0&quot;E&quot;"/>
    <numFmt numFmtId="173" formatCode="#,##0.0_);[Red]\(#,##0.0\)"/>
    <numFmt numFmtId="174" formatCode="0000&quot;A&quot;"/>
    <numFmt numFmtId="175" formatCode="0000&quot;E&quot;"/>
    <numFmt numFmtId="176" formatCode="#,##0.0%_);\(#,##0.0%\)"/>
    <numFmt numFmtId="177" formatCode="_(* #,##0.0_);_(* \(#,##0.0\);_(* &quot;-&quot;??_);_(@_)"/>
    <numFmt numFmtId="178" formatCode="0_);\(0\)"/>
    <numFmt numFmtId="179" formatCode="_(* #,##0.000_);_(* \(#,##0.000\);_(* &quot;-&quot;??_);_(@_)"/>
    <numFmt numFmtId="180" formatCode="&quot;$&quot;#,##0.0_);[Red]\(&quot;$&quot;#,##0.0\)"/>
    <numFmt numFmtId="181" formatCode="&quot;$&quot;#,##0.0"/>
    <numFmt numFmtId="182" formatCode="####&quot;A&quot;"/>
    <numFmt numFmtId="183" formatCode="0.0"/>
    <numFmt numFmtId="184" formatCode="0.0_);[Red]\(0.0\)"/>
    <numFmt numFmtId="185" formatCode="0_);[Red]\(0\)"/>
    <numFmt numFmtId="186" formatCode="m/d/yy;@"/>
    <numFmt numFmtId="193" formatCode="#,##0.0_);\(#,##0.0\)"/>
    <numFmt numFmtId="194" formatCode="#,##0.000"/>
    <numFmt numFmtId="195" formatCode="0.0_);\(0.0\)"/>
    <numFmt numFmtId="196" formatCode="0.000_);\(0.000\)"/>
    <numFmt numFmtId="197" formatCode="_(* #,##0.0000_);_(* \(#,##0.0000\);_(* &quot;-&quot;??_);_(@_)"/>
    <numFmt numFmtId="198" formatCode="#,##0.00000000000000000"/>
    <numFmt numFmtId="199" formatCode="0.000"/>
    <numFmt numFmtId="205" formatCode="mm/dd/yy\ hh:mm"/>
  </numFmts>
  <fonts count="107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4"/>
      <color indexed="9"/>
      <name val="Arial"/>
      <family val="2"/>
    </font>
    <font>
      <b/>
      <sz val="12"/>
      <color indexed="16"/>
      <name val="Arial"/>
      <family val="2"/>
    </font>
    <font>
      <sz val="12"/>
      <color indexed="16"/>
      <name val="Arial"/>
      <family val="2"/>
    </font>
    <font>
      <b/>
      <sz val="12"/>
      <color indexed="12"/>
      <name val="Arial"/>
      <family val="2"/>
    </font>
    <font>
      <b/>
      <sz val="12"/>
      <color indexed="9"/>
      <name val="Arial"/>
      <family val="2"/>
    </font>
    <font>
      <b/>
      <sz val="10"/>
      <color indexed="16"/>
      <name val="Arial"/>
      <family val="2"/>
    </font>
    <font>
      <i/>
      <sz val="10"/>
      <color indexed="9"/>
      <name val="Arial"/>
      <family val="2"/>
    </font>
    <font>
      <sz val="10"/>
      <color indexed="16"/>
      <name val="Arial"/>
      <family val="2"/>
    </font>
    <font>
      <b/>
      <sz val="10"/>
      <color indexed="9"/>
      <name val="Arial"/>
      <family val="2"/>
    </font>
    <font>
      <b/>
      <sz val="8"/>
      <color indexed="16"/>
      <name val="Arial"/>
      <family val="2"/>
    </font>
    <font>
      <sz val="10"/>
      <color indexed="10"/>
      <name val="Arial"/>
      <family val="2"/>
    </font>
    <font>
      <sz val="10"/>
      <color indexed="63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10"/>
      <color indexed="63"/>
      <name val="Arial"/>
      <family val="2"/>
    </font>
    <font>
      <b/>
      <sz val="8"/>
      <color indexed="8"/>
      <name val="Tahoma"/>
      <family val="2"/>
    </font>
    <font>
      <sz val="8"/>
      <color indexed="8"/>
      <name val="Tahoma"/>
      <family val="2"/>
    </font>
    <font>
      <sz val="10"/>
      <color indexed="9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sz val="7"/>
      <name val="Arial"/>
      <family val="2"/>
    </font>
    <font>
      <sz val="12"/>
      <name val="Arial"/>
      <family val="2"/>
    </font>
    <font>
      <sz val="10"/>
      <color indexed="46"/>
      <name val="Arial"/>
      <family val="2"/>
    </font>
    <font>
      <sz val="10"/>
      <color indexed="5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i/>
      <sz val="10"/>
      <color indexed="55"/>
      <name val="Arial"/>
      <family val="2"/>
    </font>
    <font>
      <sz val="10"/>
      <color indexed="63"/>
      <name val="Arial"/>
      <family val="2"/>
    </font>
    <font>
      <sz val="10"/>
      <color indexed="60"/>
      <name val="Arial"/>
      <family val="2"/>
    </font>
    <font>
      <sz val="10"/>
      <color indexed="8"/>
      <name val="Arial"/>
      <family val="2"/>
    </font>
    <font>
      <sz val="10"/>
      <color indexed="52"/>
      <name val="Arial"/>
      <family val="2"/>
    </font>
    <font>
      <sz val="10"/>
      <color indexed="54"/>
      <name val="Arial"/>
      <family val="2"/>
    </font>
    <font>
      <b/>
      <sz val="10"/>
      <color indexed="52"/>
      <name val="Arial"/>
      <family val="2"/>
    </font>
    <font>
      <b/>
      <u/>
      <sz val="10"/>
      <name val="Arial"/>
      <family val="2"/>
    </font>
    <font>
      <b/>
      <sz val="10"/>
      <color indexed="24"/>
      <name val="Arial"/>
      <family val="2"/>
    </font>
    <font>
      <b/>
      <i/>
      <sz val="10"/>
      <name val="Arial"/>
      <family val="2"/>
    </font>
    <font>
      <sz val="10"/>
      <color indexed="13"/>
      <name val="Arial"/>
      <family val="2"/>
    </font>
    <font>
      <u/>
      <sz val="10"/>
      <color indexed="63"/>
      <name val="Arial"/>
      <family val="2"/>
    </font>
    <font>
      <sz val="9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9"/>
      <name val="Arial"/>
      <family val="2"/>
    </font>
    <font>
      <b/>
      <sz val="18"/>
      <color indexed="9"/>
      <name val="Arial"/>
      <family val="2"/>
    </font>
    <font>
      <sz val="10"/>
      <color indexed="16"/>
      <name val="Arial"/>
      <family val="2"/>
    </font>
    <font>
      <b/>
      <sz val="11"/>
      <color indexed="16"/>
      <name val="Arial"/>
      <family val="2"/>
    </font>
    <font>
      <u/>
      <sz val="10"/>
      <color indexed="52"/>
      <name val="Arial"/>
      <family val="2"/>
    </font>
    <font>
      <b/>
      <u/>
      <sz val="10"/>
      <color indexed="52"/>
      <name val="Arial"/>
      <family val="2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63"/>
      <name val="Arial"/>
      <family val="2"/>
    </font>
    <font>
      <i/>
      <sz val="10"/>
      <color indexed="63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24"/>
      <name val="Arial"/>
      <family val="2"/>
    </font>
    <font>
      <sz val="10"/>
      <color indexed="8"/>
      <name val="Arial"/>
      <family val="2"/>
    </font>
    <font>
      <sz val="10"/>
      <color indexed="63"/>
      <name val="Arial"/>
      <family val="2"/>
    </font>
    <font>
      <sz val="10"/>
      <name val="Arial"/>
      <family val="2"/>
    </font>
    <font>
      <sz val="10"/>
      <name val="Segoe UI"/>
      <family val="2"/>
    </font>
    <font>
      <sz val="10"/>
      <color indexed="4"/>
      <name val="Segoe UI"/>
      <family val="2"/>
    </font>
    <font>
      <b/>
      <sz val="10"/>
      <color indexed="0"/>
      <name val="Segoe UI"/>
      <family val="2"/>
    </font>
    <font>
      <sz val="10"/>
      <color indexed="2"/>
      <name val="Segoe UI"/>
      <family val="2"/>
    </font>
    <font>
      <b/>
      <i/>
      <sz val="10"/>
      <color indexed="4"/>
      <name val="Segoe UI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8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ED5D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53"/>
      </bottom>
      <diagonal/>
    </border>
    <border>
      <left style="thin">
        <color indexed="16"/>
      </left>
      <right/>
      <top style="thin">
        <color indexed="9"/>
      </top>
      <bottom style="thin">
        <color indexed="16"/>
      </bottom>
      <diagonal/>
    </border>
    <border>
      <left/>
      <right/>
      <top style="thin">
        <color indexed="9"/>
      </top>
      <bottom style="thin">
        <color indexed="16"/>
      </bottom>
      <diagonal/>
    </border>
    <border>
      <left style="thin">
        <color indexed="64"/>
      </left>
      <right/>
      <top style="thin">
        <color indexed="64"/>
      </top>
      <bottom style="thin">
        <color indexed="16"/>
      </bottom>
      <diagonal/>
    </border>
    <border>
      <left/>
      <right/>
      <top style="thin">
        <color indexed="64"/>
      </top>
      <bottom style="thin">
        <color indexed="16"/>
      </bottom>
      <diagonal/>
    </border>
    <border>
      <left/>
      <right style="thin">
        <color indexed="64"/>
      </right>
      <top style="thin">
        <color indexed="64"/>
      </top>
      <bottom style="thin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89">
    <xf numFmtId="0" fontId="0" fillId="0" borderId="0" applyNumberFormat="0" applyFont="0" applyFill="0" applyBorder="0" applyAlignment="0" applyProtection="0"/>
    <xf numFmtId="0" fontId="8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1" fillId="0" borderId="0"/>
    <xf numFmtId="0" fontId="2" fillId="0" borderId="0"/>
    <xf numFmtId="0" fontId="46" fillId="0" borderId="0"/>
    <xf numFmtId="0" fontId="61" fillId="0" borderId="0"/>
    <xf numFmtId="0" fontId="46" fillId="0" borderId="0"/>
    <xf numFmtId="0" fontId="61" fillId="0" borderId="0"/>
    <xf numFmtId="0" fontId="46" fillId="0" borderId="0"/>
    <xf numFmtId="0" fontId="46" fillId="0" borderId="0"/>
    <xf numFmtId="0" fontId="62" fillId="2" borderId="0" applyNumberFormat="0" applyBorder="0" applyAlignment="0" applyProtection="0"/>
    <xf numFmtId="0" fontId="62" fillId="3" borderId="0" applyNumberFormat="0" applyBorder="0" applyAlignment="0" applyProtection="0"/>
    <xf numFmtId="0" fontId="62" fillId="4" borderId="0" applyNumberFormat="0" applyBorder="0" applyAlignment="0" applyProtection="0"/>
    <xf numFmtId="0" fontId="62" fillId="2" borderId="0" applyNumberFormat="0" applyBorder="0" applyAlignment="0" applyProtection="0"/>
    <xf numFmtId="0" fontId="62" fillId="5" borderId="0" applyNumberFormat="0" applyBorder="0" applyAlignment="0" applyProtection="0"/>
    <xf numFmtId="0" fontId="62" fillId="4" borderId="0" applyNumberFormat="0" applyBorder="0" applyAlignment="0" applyProtection="0"/>
    <xf numFmtId="0" fontId="62" fillId="6" borderId="0" applyNumberFormat="0" applyBorder="0" applyAlignment="0" applyProtection="0"/>
    <xf numFmtId="0" fontId="62" fillId="3" borderId="0" applyNumberFormat="0" applyBorder="0" applyAlignment="0" applyProtection="0"/>
    <xf numFmtId="0" fontId="62" fillId="4" borderId="0" applyNumberFormat="0" applyBorder="0" applyAlignment="0" applyProtection="0"/>
    <xf numFmtId="0" fontId="62" fillId="6" borderId="0" applyNumberFormat="0" applyBorder="0" applyAlignment="0" applyProtection="0"/>
    <xf numFmtId="0" fontId="62" fillId="7" borderId="0" applyNumberFormat="0" applyBorder="0" applyAlignment="0" applyProtection="0"/>
    <xf numFmtId="0" fontId="62" fillId="4" borderId="0" applyNumberFormat="0" applyBorder="0" applyAlignment="0" applyProtection="0"/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0" fontId="63" fillId="9" borderId="0" applyNumberFormat="0" applyBorder="0" applyAlignment="0" applyProtection="0"/>
    <xf numFmtId="0" fontId="63" fillId="6" borderId="0" applyNumberFormat="0" applyBorder="0" applyAlignment="0" applyProtection="0"/>
    <xf numFmtId="0" fontId="63" fillId="8" borderId="0" applyNumberFormat="0" applyBorder="0" applyAlignment="0" applyProtection="0"/>
    <xf numFmtId="0" fontId="63" fillId="4" borderId="0" applyNumberFormat="0" applyBorder="0" applyAlignment="0" applyProtection="0"/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0" fontId="63" fillId="9" borderId="0" applyNumberFormat="0" applyBorder="0" applyAlignment="0" applyProtection="0"/>
    <xf numFmtId="0" fontId="63" fillId="10" borderId="0" applyNumberFormat="0" applyBorder="0" applyAlignment="0" applyProtection="0"/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0" fontId="64" fillId="11" borderId="0" applyNumberFormat="0" applyBorder="0" applyAlignment="0" applyProtection="0"/>
    <xf numFmtId="0" fontId="47" fillId="0" borderId="0"/>
    <xf numFmtId="0" fontId="65" fillId="12" borderId="1" applyNumberFormat="0" applyAlignment="0" applyProtection="0"/>
    <xf numFmtId="0" fontId="66" fillId="13" borderId="2" applyNumberFormat="0" applyAlignment="0" applyProtection="0"/>
    <xf numFmtId="43" fontId="82" fillId="0" borderId="0" applyFont="0" applyFill="0" applyBorder="0" applyAlignment="0" applyProtection="0"/>
    <xf numFmtId="41" fontId="82" fillId="0" borderId="0" applyFont="0" applyFill="0" applyBorder="0" applyAlignment="0" applyProtection="0"/>
    <xf numFmtId="41" fontId="2" fillId="0" borderId="0" applyFont="0" applyFill="0" applyBorder="0" applyAlignment="0" applyProtection="0"/>
    <xf numFmtId="38" fontId="8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82" fillId="0" borderId="0" applyFont="0" applyFill="0" applyBorder="0" applyAlignment="0" applyProtection="0"/>
    <xf numFmtId="6" fontId="82" fillId="0" borderId="0" applyFont="0" applyFill="0" applyBorder="0" applyAlignment="0" applyProtection="0"/>
    <xf numFmtId="44" fontId="90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67" fillId="0" borderId="0" applyNumberFormat="0" applyFill="0" applyBorder="0" applyAlignment="0" applyProtection="0"/>
    <xf numFmtId="0" fontId="94" fillId="0" borderId="0"/>
    <xf numFmtId="0" fontId="93" fillId="14" borderId="0"/>
    <xf numFmtId="0" fontId="68" fillId="15" borderId="0" applyNumberFormat="0" applyBorder="0" applyAlignment="0" applyProtection="0"/>
    <xf numFmtId="0" fontId="69" fillId="0" borderId="3" applyNumberFormat="0" applyFill="0" applyAlignment="0" applyProtection="0"/>
    <xf numFmtId="0" fontId="70" fillId="0" borderId="4" applyNumberFormat="0" applyFill="0" applyAlignment="0" applyProtection="0"/>
    <xf numFmtId="0" fontId="71" fillId="0" borderId="5" applyNumberFormat="0" applyFill="0" applyAlignment="0" applyProtection="0"/>
    <xf numFmtId="0" fontId="71" fillId="0" borderId="0" applyNumberFormat="0" applyFill="0" applyBorder="0" applyAlignment="0" applyProtection="0"/>
    <xf numFmtId="0" fontId="91" fillId="0" borderId="0">
      <alignment wrapText="1"/>
    </xf>
    <xf numFmtId="0" fontId="72" fillId="4" borderId="1" applyNumberFormat="0" applyAlignment="0" applyProtection="0"/>
    <xf numFmtId="0" fontId="73" fillId="0" borderId="6" applyNumberFormat="0" applyFill="0" applyAlignment="0" applyProtection="0"/>
    <xf numFmtId="0" fontId="93" fillId="0" borderId="0"/>
    <xf numFmtId="0" fontId="95" fillId="0" borderId="0"/>
    <xf numFmtId="0" fontId="92" fillId="0" borderId="0"/>
    <xf numFmtId="0" fontId="74" fillId="4" borderId="0" applyNumberFormat="0" applyBorder="0" applyAlignment="0" applyProtection="0"/>
    <xf numFmtId="0" fontId="90" fillId="0" borderId="0"/>
    <xf numFmtId="0" fontId="2" fillId="0" borderId="0"/>
    <xf numFmtId="0" fontId="2" fillId="0" borderId="0"/>
    <xf numFmtId="0" fontId="91" fillId="0" borderId="0"/>
    <xf numFmtId="0" fontId="2" fillId="0" borderId="0" applyNumberFormat="0" applyFont="0" applyFill="0" applyBorder="0" applyAlignment="0" applyProtection="0"/>
    <xf numFmtId="0" fontId="1" fillId="4" borderId="7" applyNumberFormat="0" applyFont="0" applyAlignment="0" applyProtection="0"/>
    <xf numFmtId="0" fontId="2" fillId="4" borderId="7" applyNumberFormat="0" applyFont="0" applyAlignment="0" applyProtection="0"/>
    <xf numFmtId="0" fontId="75" fillId="12" borderId="8" applyNumberFormat="0" applyAlignment="0" applyProtection="0"/>
    <xf numFmtId="0" fontId="48" fillId="0" borderId="0">
      <alignment vertical="center"/>
    </xf>
    <xf numFmtId="0" fontId="92" fillId="0" borderId="0"/>
    <xf numFmtId="9" fontId="8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16" borderId="0" applyNumberFormat="0" applyFont="0" applyBorder="0" applyAlignment="0" applyProtection="0"/>
    <xf numFmtId="0" fontId="49" fillId="0" borderId="0"/>
    <xf numFmtId="0" fontId="49" fillId="0" borderId="9">
      <alignment horizontal="centerContinuous"/>
    </xf>
    <xf numFmtId="0" fontId="50" fillId="0" borderId="9"/>
    <xf numFmtId="0" fontId="76" fillId="0" borderId="0" applyNumberFormat="0" applyFill="0" applyBorder="0" applyAlignment="0" applyProtection="0"/>
    <xf numFmtId="0" fontId="77" fillId="0" borderId="10" applyNumberFormat="0" applyFill="0" applyAlignment="0" applyProtection="0"/>
    <xf numFmtId="0" fontId="78" fillId="0" borderId="0" applyNumberFormat="0" applyFill="0" applyBorder="0" applyAlignment="0" applyProtection="0"/>
    <xf numFmtId="0" fontId="1" fillId="0" borderId="0"/>
    <xf numFmtId="0" fontId="1" fillId="16" borderId="0" applyNumberFormat="0" applyFont="0" applyBorder="0" applyAlignment="0" applyProtection="0"/>
    <xf numFmtId="44" fontId="1" fillId="0" borderId="0" applyFont="0" applyFill="0" applyBorder="0" applyAlignment="0" applyProtection="0"/>
    <xf numFmtId="0" fontId="104" fillId="0" borderId="0"/>
  </cellStyleXfs>
  <cellXfs count="1029">
    <xf numFmtId="0" fontId="0" fillId="0" borderId="0" xfId="0"/>
    <xf numFmtId="0" fontId="3" fillId="0" borderId="0" xfId="1" applyFont="1" applyAlignment="1"/>
    <xf numFmtId="166" fontId="4" fillId="17" borderId="0" xfId="1" applyNumberFormat="1" applyFont="1" applyFill="1"/>
    <xf numFmtId="166" fontId="5" fillId="17" borderId="0" xfId="1" applyNumberFormat="1" applyFont="1" applyFill="1"/>
    <xf numFmtId="166" fontId="6" fillId="17" borderId="0" xfId="1" applyNumberFormat="1" applyFont="1" applyFill="1"/>
    <xf numFmtId="166" fontId="7" fillId="17" borderId="0" xfId="1" applyNumberFormat="1" applyFont="1" applyFill="1"/>
    <xf numFmtId="166" fontId="8" fillId="17" borderId="0" xfId="1" applyNumberFormat="1" applyFont="1" applyFill="1"/>
    <xf numFmtId="0" fontId="9" fillId="0" borderId="0" xfId="1" applyFont="1"/>
    <xf numFmtId="166" fontId="9" fillId="17" borderId="0" xfId="1" applyNumberFormat="1" applyFont="1" applyFill="1"/>
    <xf numFmtId="166" fontId="10" fillId="17" borderId="0" xfId="1" applyNumberFormat="1" applyFont="1" applyFill="1"/>
    <xf numFmtId="0" fontId="11" fillId="0" borderId="0" xfId="1" applyFont="1"/>
    <xf numFmtId="166" fontId="11" fillId="17" borderId="0" xfId="1" applyNumberFormat="1" applyFont="1" applyFill="1"/>
    <xf numFmtId="167" fontId="9" fillId="0" borderId="0" xfId="1" applyNumberFormat="1" applyFont="1"/>
    <xf numFmtId="167" fontId="12" fillId="0" borderId="0" xfId="1" applyNumberFormat="1" applyFont="1"/>
    <xf numFmtId="167" fontId="13" fillId="0" borderId="0" xfId="1" applyNumberFormat="1" applyFont="1" applyAlignment="1">
      <alignment horizontal="right"/>
    </xf>
    <xf numFmtId="167" fontId="0" fillId="0" borderId="0" xfId="1" applyNumberFormat="1" applyFont="1"/>
    <xf numFmtId="0" fontId="12" fillId="17" borderId="0" xfId="1" applyFont="1" applyFill="1"/>
    <xf numFmtId="0" fontId="0" fillId="17" borderId="0" xfId="1" applyFont="1" applyFill="1"/>
    <xf numFmtId="0" fontId="9" fillId="0" borderId="0" xfId="1" applyFont="1" applyAlignment="1">
      <alignment horizontal="right"/>
    </xf>
    <xf numFmtId="8" fontId="0" fillId="0" borderId="0" xfId="1" applyNumberFormat="1" applyFont="1" applyAlignment="1">
      <alignment horizontal="right"/>
    </xf>
    <xf numFmtId="0" fontId="3" fillId="0" borderId="0" xfId="1" applyFont="1"/>
    <xf numFmtId="168" fontId="14" fillId="0" borderId="0" xfId="1" applyNumberFormat="1" applyFont="1" applyAlignment="1">
      <alignment horizontal="right"/>
    </xf>
    <xf numFmtId="168" fontId="15" fillId="0" borderId="0" xfId="1" applyNumberFormat="1" applyFont="1" applyAlignment="1">
      <alignment horizontal="right"/>
    </xf>
    <xf numFmtId="169" fontId="16" fillId="0" borderId="0" xfId="1" applyNumberFormat="1" applyFont="1" applyAlignment="1">
      <alignment horizontal="right"/>
    </xf>
    <xf numFmtId="169" fontId="15" fillId="0" borderId="0" xfId="1" applyNumberFormat="1" applyFont="1" applyAlignment="1">
      <alignment horizontal="right"/>
    </xf>
    <xf numFmtId="168" fontId="0" fillId="0" borderId="0" xfId="1" applyNumberFormat="1" applyFont="1" applyAlignment="1">
      <alignment horizontal="right"/>
    </xf>
    <xf numFmtId="0" fontId="17" fillId="0" borderId="0" xfId="1" applyFont="1"/>
    <xf numFmtId="0" fontId="17" fillId="18" borderId="12" xfId="1" applyFont="1" applyFill="1" applyBorder="1"/>
    <xf numFmtId="0" fontId="17" fillId="18" borderId="13" xfId="1" applyFont="1" applyFill="1" applyBorder="1"/>
    <xf numFmtId="8" fontId="17" fillId="18" borderId="13" xfId="1" applyNumberFormat="1" applyFont="1" applyFill="1" applyBorder="1" applyAlignment="1">
      <alignment horizontal="right"/>
    </xf>
    <xf numFmtId="8" fontId="17" fillId="18" borderId="14" xfId="1" applyNumberFormat="1" applyFont="1" applyFill="1" applyBorder="1" applyAlignment="1">
      <alignment horizontal="right"/>
    </xf>
    <xf numFmtId="3" fontId="0" fillId="0" borderId="0" xfId="1" applyNumberFormat="1" applyFont="1"/>
    <xf numFmtId="8" fontId="15" fillId="0" borderId="0" xfId="1" applyNumberFormat="1" applyFont="1"/>
    <xf numFmtId="8" fontId="0" fillId="0" borderId="0" xfId="1" applyNumberFormat="1" applyFont="1"/>
    <xf numFmtId="170" fontId="15" fillId="0" borderId="0" xfId="39" applyNumberFormat="1" applyFont="1"/>
    <xf numFmtId="169" fontId="0" fillId="0" borderId="0" xfId="1" applyNumberFormat="1" applyFont="1"/>
    <xf numFmtId="169" fontId="15" fillId="0" borderId="0" xfId="1" applyNumberFormat="1" applyFont="1"/>
    <xf numFmtId="43" fontId="0" fillId="0" borderId="0" xfId="1" applyNumberFormat="1" applyFont="1"/>
    <xf numFmtId="0" fontId="0" fillId="18" borderId="13" xfId="1" applyFont="1" applyFill="1" applyBorder="1"/>
    <xf numFmtId="169" fontId="17" fillId="18" borderId="13" xfId="1" applyNumberFormat="1" applyFont="1" applyFill="1" applyBorder="1"/>
    <xf numFmtId="169" fontId="17" fillId="18" borderId="14" xfId="1" applyNumberFormat="1" applyFont="1" applyFill="1" applyBorder="1"/>
    <xf numFmtId="37" fontId="17" fillId="0" borderId="0" xfId="1" applyNumberFormat="1" applyFont="1"/>
    <xf numFmtId="170" fontId="0" fillId="0" borderId="0" xfId="39" applyNumberFormat="1" applyFont="1"/>
    <xf numFmtId="43" fontId="0" fillId="0" borderId="0" xfId="39" applyFont="1" applyBorder="1"/>
    <xf numFmtId="170" fontId="0" fillId="0" borderId="0" xfId="39" applyNumberFormat="1" applyFont="1" applyBorder="1"/>
    <xf numFmtId="0" fontId="18" fillId="0" borderId="0" xfId="1" applyFont="1"/>
    <xf numFmtId="169" fontId="18" fillId="0" borderId="0" xfId="1" applyNumberFormat="1" applyFont="1"/>
    <xf numFmtId="37" fontId="17" fillId="0" borderId="0" xfId="39" applyNumberFormat="1" applyFont="1"/>
    <xf numFmtId="37" fontId="0" fillId="0" borderId="0" xfId="1" applyNumberFormat="1" applyFont="1"/>
    <xf numFmtId="169" fontId="0" fillId="0" borderId="0" xfId="1" applyNumberFormat="1" applyFont="1" applyAlignment="1">
      <alignment horizontal="right"/>
    </xf>
    <xf numFmtId="169" fontId="0" fillId="0" borderId="0" xfId="39" applyNumberFormat="1" applyFont="1"/>
    <xf numFmtId="8" fontId="3" fillId="0" borderId="0" xfId="1" applyNumberFormat="1" applyFont="1"/>
    <xf numFmtId="0" fontId="3" fillId="0" borderId="0" xfId="1" applyFont="1" applyAlignment="1">
      <alignment horizontal="left"/>
    </xf>
    <xf numFmtId="9" fontId="0" fillId="0" borderId="0" xfId="1" applyNumberFormat="1" applyFont="1"/>
    <xf numFmtId="0" fontId="0" fillId="0" borderId="0" xfId="1" applyFont="1" applyAlignment="1">
      <alignment horizontal="left"/>
    </xf>
    <xf numFmtId="8" fontId="17" fillId="0" borderId="0" xfId="1" applyNumberFormat="1" applyFont="1"/>
    <xf numFmtId="7" fontId="0" fillId="0" borderId="0" xfId="1" applyNumberFormat="1" applyFont="1"/>
    <xf numFmtId="0" fontId="17" fillId="0" borderId="0" xfId="1" applyFont="1" applyAlignment="1">
      <alignment horizontal="left"/>
    </xf>
    <xf numFmtId="0" fontId="0" fillId="0" borderId="13" xfId="1" applyFont="1" applyBorder="1"/>
    <xf numFmtId="167" fontId="9" fillId="0" borderId="15" xfId="1" applyNumberFormat="1" applyFont="1" applyBorder="1"/>
    <xf numFmtId="167" fontId="11" fillId="0" borderId="15" xfId="1" applyNumberFormat="1" applyFont="1" applyBorder="1"/>
    <xf numFmtId="171" fontId="9" fillId="0" borderId="15" xfId="1" applyNumberFormat="1" applyFont="1" applyBorder="1" applyAlignment="1">
      <alignment horizontal="center"/>
    </xf>
    <xf numFmtId="172" fontId="9" fillId="0" borderId="15" xfId="1" applyNumberFormat="1" applyFont="1" applyBorder="1" applyAlignment="1">
      <alignment horizontal="center"/>
    </xf>
    <xf numFmtId="0" fontId="22" fillId="17" borderId="0" xfId="1" applyFont="1" applyFill="1"/>
    <xf numFmtId="4" fontId="0" fillId="0" borderId="0" xfId="1" applyNumberFormat="1" applyFont="1"/>
    <xf numFmtId="0" fontId="23" fillId="0" borderId="0" xfId="1" applyFont="1"/>
    <xf numFmtId="0" fontId="23" fillId="0" borderId="0" xfId="1" applyFont="1" applyAlignment="1">
      <alignment horizontal="left"/>
    </xf>
    <xf numFmtId="0" fontId="24" fillId="0" borderId="0" xfId="1" applyFont="1" applyAlignment="1">
      <alignment horizontal="center"/>
    </xf>
    <xf numFmtId="3" fontId="17" fillId="0" borderId="0" xfId="1" applyNumberFormat="1" applyFont="1"/>
    <xf numFmtId="0" fontId="25" fillId="0" borderId="0" xfId="1" applyFont="1" applyAlignment="1">
      <alignment horizontal="left"/>
    </xf>
    <xf numFmtId="38" fontId="3" fillId="0" borderId="0" xfId="42" applyFont="1"/>
    <xf numFmtId="9" fontId="11" fillId="0" borderId="0" xfId="1" applyNumberFormat="1" applyFont="1" applyAlignment="1">
      <alignment horizontal="center"/>
    </xf>
    <xf numFmtId="0" fontId="3" fillId="0" borderId="0" xfId="1" applyFont="1" applyAlignment="1">
      <alignment horizontal="left" indent="1"/>
    </xf>
    <xf numFmtId="0" fontId="17" fillId="18" borderId="12" xfId="1" applyFont="1" applyFill="1" applyBorder="1" applyAlignment="1">
      <alignment horizontal="left"/>
    </xf>
    <xf numFmtId="0" fontId="3" fillId="18" borderId="13" xfId="1" applyFont="1" applyFill="1" applyBorder="1"/>
    <xf numFmtId="8" fontId="17" fillId="18" borderId="13" xfId="1" applyNumberFormat="1" applyFont="1" applyFill="1" applyBorder="1"/>
    <xf numFmtId="7" fontId="17" fillId="18" borderId="13" xfId="1" applyNumberFormat="1" applyFont="1" applyFill="1" applyBorder="1"/>
    <xf numFmtId="7" fontId="17" fillId="18" borderId="14" xfId="1" applyNumberFormat="1" applyFont="1" applyFill="1" applyBorder="1"/>
    <xf numFmtId="0" fontId="17" fillId="0" borderId="0" xfId="1" applyFont="1" applyAlignment="1">
      <alignment horizontal="left" indent="1"/>
    </xf>
    <xf numFmtId="9" fontId="3" fillId="0" borderId="0" xfId="1" applyNumberFormat="1" applyFont="1"/>
    <xf numFmtId="0" fontId="0" fillId="0" borderId="0" xfId="1" applyFont="1" applyAlignment="1">
      <alignment horizontal="left" indent="1"/>
    </xf>
    <xf numFmtId="168" fontId="3" fillId="0" borderId="0" xfId="1" applyNumberFormat="1" applyFont="1"/>
    <xf numFmtId="170" fontId="3" fillId="0" borderId="0" xfId="39" applyNumberFormat="1" applyFont="1"/>
    <xf numFmtId="170" fontId="17" fillId="18" borderId="13" xfId="39" applyNumberFormat="1" applyFont="1" applyFill="1" applyBorder="1"/>
    <xf numFmtId="0" fontId="9" fillId="0" borderId="0" xfId="1" applyFont="1" applyAlignment="1">
      <alignment horizontal="left"/>
    </xf>
    <xf numFmtId="170" fontId="17" fillId="0" borderId="0" xfId="39" applyNumberFormat="1" applyFont="1" applyBorder="1"/>
    <xf numFmtId="170" fontId="17" fillId="0" borderId="0" xfId="39" applyNumberFormat="1" applyFont="1"/>
    <xf numFmtId="173" fontId="3" fillId="0" borderId="0" xfId="42" quotePrefix="1" applyNumberFormat="1" applyFont="1" applyAlignment="1">
      <alignment horizontal="left"/>
    </xf>
    <xf numFmtId="169" fontId="3" fillId="0" borderId="0" xfId="1" applyNumberFormat="1" applyFont="1"/>
    <xf numFmtId="170" fontId="3" fillId="0" borderId="0" xfId="39" applyNumberFormat="1" applyFont="1" applyAlignment="1">
      <alignment horizontal="left" indent="1"/>
    </xf>
    <xf numFmtId="170" fontId="9" fillId="0" borderId="0" xfId="39" applyNumberFormat="1" applyFont="1"/>
    <xf numFmtId="170" fontId="9" fillId="0" borderId="0" xfId="39" applyNumberFormat="1" applyFont="1" applyBorder="1"/>
    <xf numFmtId="4" fontId="15" fillId="0" borderId="0" xfId="1" applyNumberFormat="1" applyFont="1"/>
    <xf numFmtId="170" fontId="17" fillId="0" borderId="0" xfId="1" applyNumberFormat="1" applyFont="1"/>
    <xf numFmtId="0" fontId="26" fillId="0" borderId="0" xfId="1" applyFont="1"/>
    <xf numFmtId="0" fontId="27" fillId="0" borderId="0" xfId="1" applyFont="1"/>
    <xf numFmtId="167" fontId="9" fillId="0" borderId="16" xfId="1" applyNumberFormat="1" applyFont="1" applyBorder="1"/>
    <xf numFmtId="167" fontId="9" fillId="0" borderId="17" xfId="1" applyNumberFormat="1" applyFont="1" applyBorder="1"/>
    <xf numFmtId="167" fontId="13" fillId="0" borderId="17" xfId="1" applyNumberFormat="1" applyFont="1" applyBorder="1" applyAlignment="1">
      <alignment horizontal="right"/>
    </xf>
    <xf numFmtId="167" fontId="9" fillId="18" borderId="18" xfId="1" applyNumberFormat="1" applyFont="1" applyFill="1" applyBorder="1" applyAlignment="1">
      <alignment horizontal="right"/>
    </xf>
    <xf numFmtId="167" fontId="9" fillId="18" borderId="19" xfId="1" applyNumberFormat="1" applyFont="1" applyFill="1" applyBorder="1" applyAlignment="1">
      <alignment horizontal="right"/>
    </xf>
    <xf numFmtId="167" fontId="9" fillId="18" borderId="20" xfId="1" applyNumberFormat="1" applyFont="1" applyFill="1" applyBorder="1" applyAlignment="1">
      <alignment horizontal="right"/>
    </xf>
    <xf numFmtId="174" fontId="9" fillId="0" borderId="17" xfId="1" applyNumberFormat="1" applyFont="1" applyBorder="1" applyAlignment="1">
      <alignment horizontal="right"/>
    </xf>
    <xf numFmtId="175" fontId="9" fillId="0" borderId="17" xfId="1" applyNumberFormat="1" applyFont="1" applyBorder="1" applyAlignment="1">
      <alignment horizontal="right"/>
    </xf>
    <xf numFmtId="167" fontId="9" fillId="18" borderId="21" xfId="1" applyNumberFormat="1" applyFont="1" applyFill="1" applyBorder="1" applyAlignment="1">
      <alignment horizontal="right"/>
    </xf>
    <xf numFmtId="167" fontId="9" fillId="18" borderId="22" xfId="1" applyNumberFormat="1" applyFont="1" applyFill="1" applyBorder="1" applyAlignment="1">
      <alignment horizontal="right"/>
    </xf>
    <xf numFmtId="167" fontId="9" fillId="18" borderId="23" xfId="1" applyNumberFormat="1" applyFont="1" applyFill="1" applyBorder="1" applyAlignment="1">
      <alignment horizontal="right"/>
    </xf>
    <xf numFmtId="167" fontId="0" fillId="0" borderId="17" xfId="1" applyNumberFormat="1" applyFont="1" applyBorder="1"/>
    <xf numFmtId="3" fontId="0" fillId="18" borderId="24" xfId="1" applyNumberFormat="1" applyFont="1" applyFill="1" applyBorder="1"/>
    <xf numFmtId="3" fontId="0" fillId="18" borderId="0" xfId="1" applyNumberFormat="1" applyFont="1" applyFill="1"/>
    <xf numFmtId="3" fontId="0" fillId="18" borderId="25" xfId="1" applyNumberFormat="1" applyFont="1" applyFill="1" applyBorder="1"/>
    <xf numFmtId="3" fontId="0" fillId="18" borderId="21" xfId="1" applyNumberFormat="1" applyFont="1" applyFill="1" applyBorder="1"/>
    <xf numFmtId="3" fontId="0" fillId="18" borderId="22" xfId="1" applyNumberFormat="1" applyFont="1" applyFill="1" applyBorder="1"/>
    <xf numFmtId="3" fontId="0" fillId="18" borderId="23" xfId="1" applyNumberFormat="1" applyFont="1" applyFill="1" applyBorder="1"/>
    <xf numFmtId="170" fontId="28" fillId="18" borderId="24" xfId="39" applyNumberFormat="1" applyFont="1" applyFill="1" applyBorder="1"/>
    <xf numFmtId="170" fontId="28" fillId="18" borderId="0" xfId="39" applyNumberFormat="1" applyFont="1" applyFill="1"/>
    <xf numFmtId="170" fontId="3" fillId="18" borderId="25" xfId="39" applyNumberFormat="1" applyFont="1" applyFill="1" applyBorder="1"/>
    <xf numFmtId="170" fontId="28" fillId="0" borderId="0" xfId="39" applyNumberFormat="1" applyFont="1"/>
    <xf numFmtId="170" fontId="0" fillId="18" borderId="0" xfId="39" applyNumberFormat="1" applyFont="1" applyFill="1"/>
    <xf numFmtId="170" fontId="0" fillId="18" borderId="25" xfId="39" applyNumberFormat="1" applyFont="1" applyFill="1" applyBorder="1"/>
    <xf numFmtId="170" fontId="0" fillId="18" borderId="24" xfId="39" applyNumberFormat="1" applyFont="1" applyFill="1" applyBorder="1"/>
    <xf numFmtId="170" fontId="17" fillId="18" borderId="24" xfId="39" applyNumberFormat="1" applyFont="1" applyFill="1" applyBorder="1"/>
    <xf numFmtId="170" fontId="17" fillId="18" borderId="0" xfId="39" applyNumberFormat="1" applyFont="1" applyFill="1"/>
    <xf numFmtId="170" fontId="17" fillId="18" borderId="25" xfId="39" applyNumberFormat="1" applyFont="1" applyFill="1" applyBorder="1"/>
    <xf numFmtId="170" fontId="29" fillId="18" borderId="24" xfId="39" applyNumberFormat="1" applyFont="1" applyFill="1" applyBorder="1"/>
    <xf numFmtId="170" fontId="29" fillId="18" borderId="0" xfId="39" applyNumberFormat="1" applyFont="1" applyFill="1" applyBorder="1"/>
    <xf numFmtId="170" fontId="29" fillId="18" borderId="25" xfId="39" applyNumberFormat="1" applyFont="1" applyFill="1" applyBorder="1"/>
    <xf numFmtId="170" fontId="29" fillId="0" borderId="0" xfId="39" applyNumberFormat="1" applyFont="1"/>
    <xf numFmtId="1" fontId="29" fillId="18" borderId="0" xfId="39" applyNumberFormat="1" applyFont="1" applyFill="1"/>
    <xf numFmtId="170" fontId="29" fillId="18" borderId="0" xfId="39" applyNumberFormat="1" applyFont="1" applyFill="1"/>
    <xf numFmtId="170" fontId="17" fillId="18" borderId="0" xfId="39" applyNumberFormat="1" applyFont="1" applyFill="1" applyBorder="1"/>
    <xf numFmtId="170" fontId="30" fillId="18" borderId="25" xfId="39" applyNumberFormat="1" applyFont="1" applyFill="1" applyBorder="1"/>
    <xf numFmtId="170" fontId="28" fillId="18" borderId="25" xfId="39" applyNumberFormat="1" applyFont="1" applyFill="1" applyBorder="1"/>
    <xf numFmtId="170" fontId="28" fillId="18" borderId="0" xfId="39" applyNumberFormat="1" applyFont="1" applyFill="1" applyBorder="1"/>
    <xf numFmtId="1" fontId="28" fillId="18" borderId="0" xfId="39" applyNumberFormat="1" applyFont="1" applyFill="1"/>
    <xf numFmtId="170" fontId="3" fillId="18" borderId="0" xfId="39" applyNumberFormat="1" applyFont="1" applyFill="1"/>
    <xf numFmtId="170" fontId="3" fillId="18" borderId="24" xfId="39" applyNumberFormat="1" applyFont="1" applyFill="1" applyBorder="1"/>
    <xf numFmtId="170" fontId="3" fillId="18" borderId="0" xfId="39" applyNumberFormat="1" applyFont="1" applyFill="1" applyBorder="1"/>
    <xf numFmtId="1" fontId="17" fillId="18" borderId="0" xfId="39" applyNumberFormat="1" applyFont="1" applyFill="1"/>
    <xf numFmtId="170" fontId="0" fillId="18" borderId="0" xfId="39" applyNumberFormat="1" applyFont="1" applyFill="1" applyBorder="1"/>
    <xf numFmtId="1" fontId="0" fillId="18" borderId="0" xfId="39" applyNumberFormat="1" applyFont="1" applyFill="1"/>
    <xf numFmtId="38" fontId="17" fillId="0" borderId="0" xfId="42" applyFont="1"/>
    <xf numFmtId="38" fontId="31" fillId="0" borderId="0" xfId="42" applyFont="1"/>
    <xf numFmtId="170" fontId="31" fillId="0" borderId="0" xfId="39" applyNumberFormat="1" applyFont="1"/>
    <xf numFmtId="170" fontId="31" fillId="18" borderId="24" xfId="39" applyNumberFormat="1" applyFont="1" applyFill="1" applyBorder="1"/>
    <xf numFmtId="170" fontId="31" fillId="18" borderId="0" xfId="39" applyNumberFormat="1" applyFont="1" applyFill="1"/>
    <xf numFmtId="170" fontId="31" fillId="18" borderId="25" xfId="39" applyNumberFormat="1" applyFont="1" applyFill="1" applyBorder="1"/>
    <xf numFmtId="0" fontId="31" fillId="0" borderId="0" xfId="1" applyFont="1"/>
    <xf numFmtId="170" fontId="15" fillId="18" borderId="24" xfId="39" applyNumberFormat="1" applyFont="1" applyFill="1" applyBorder="1"/>
    <xf numFmtId="170" fontId="15" fillId="18" borderId="0" xfId="39" applyNumberFormat="1" applyFont="1" applyFill="1" applyBorder="1"/>
    <xf numFmtId="170" fontId="15" fillId="18" borderId="25" xfId="39" applyNumberFormat="1" applyFont="1" applyFill="1" applyBorder="1"/>
    <xf numFmtId="7" fontId="3" fillId="18" borderId="24" xfId="1" applyNumberFormat="1" applyFont="1" applyFill="1" applyBorder="1"/>
    <xf numFmtId="7" fontId="3" fillId="18" borderId="0" xfId="1" applyNumberFormat="1" applyFont="1" applyFill="1"/>
    <xf numFmtId="7" fontId="3" fillId="18" borderId="25" xfId="1" applyNumberFormat="1" applyFont="1" applyFill="1" applyBorder="1"/>
    <xf numFmtId="7" fontId="3" fillId="0" borderId="0" xfId="1" applyNumberFormat="1" applyFont="1"/>
    <xf numFmtId="0" fontId="17" fillId="0" borderId="12" xfId="1" applyFont="1" applyBorder="1"/>
    <xf numFmtId="0" fontId="3" fillId="0" borderId="13" xfId="1" applyFont="1" applyBorder="1"/>
    <xf numFmtId="7" fontId="17" fillId="18" borderId="12" xfId="1" applyNumberFormat="1" applyFont="1" applyFill="1" applyBorder="1"/>
    <xf numFmtId="7" fontId="17" fillId="0" borderId="13" xfId="1" applyNumberFormat="1" applyFont="1" applyBorder="1"/>
    <xf numFmtId="0" fontId="3" fillId="0" borderId="14" xfId="1" applyFont="1" applyBorder="1"/>
    <xf numFmtId="169" fontId="3" fillId="18" borderId="24" xfId="76" applyNumberFormat="1" applyFont="1" applyFill="1" applyBorder="1"/>
    <xf numFmtId="169" fontId="3" fillId="18" borderId="0" xfId="76" applyNumberFormat="1" applyFont="1" applyFill="1" applyBorder="1"/>
    <xf numFmtId="169" fontId="3" fillId="18" borderId="25" xfId="76" applyNumberFormat="1" applyFont="1" applyFill="1" applyBorder="1"/>
    <xf numFmtId="169" fontId="30" fillId="0" borderId="0" xfId="76" applyNumberFormat="1" applyFont="1"/>
    <xf numFmtId="169" fontId="3" fillId="18" borderId="0" xfId="76" applyNumberFormat="1" applyFont="1" applyFill="1"/>
    <xf numFmtId="176" fontId="30" fillId="0" borderId="0" xfId="1" applyNumberFormat="1" applyFont="1"/>
    <xf numFmtId="0" fontId="0" fillId="18" borderId="24" xfId="1" applyFont="1" applyFill="1" applyBorder="1"/>
    <xf numFmtId="0" fontId="0" fillId="18" borderId="0" xfId="1" applyFont="1" applyFill="1"/>
    <xf numFmtId="0" fontId="0" fillId="18" borderId="25" xfId="1" applyFont="1" applyFill="1" applyBorder="1"/>
    <xf numFmtId="4" fontId="17" fillId="0" borderId="0" xfId="1" applyNumberFormat="1" applyFont="1"/>
    <xf numFmtId="0" fontId="17" fillId="18" borderId="24" xfId="1" applyFont="1" applyFill="1" applyBorder="1"/>
    <xf numFmtId="0" fontId="17" fillId="18" borderId="0" xfId="1" applyFont="1" applyFill="1"/>
    <xf numFmtId="0" fontId="17" fillId="18" borderId="25" xfId="1" applyFont="1" applyFill="1" applyBorder="1"/>
    <xf numFmtId="0" fontId="28" fillId="0" borderId="0" xfId="1" applyFont="1"/>
    <xf numFmtId="8" fontId="28" fillId="18" borderId="24" xfId="1" applyNumberFormat="1" applyFont="1" applyFill="1" applyBorder="1"/>
    <xf numFmtId="8" fontId="28" fillId="18" borderId="0" xfId="1" applyNumberFormat="1" applyFont="1" applyFill="1"/>
    <xf numFmtId="8" fontId="0" fillId="18" borderId="25" xfId="1" applyNumberFormat="1" applyFont="1" applyFill="1" applyBorder="1"/>
    <xf numFmtId="8" fontId="0" fillId="18" borderId="0" xfId="1" applyNumberFormat="1" applyFont="1" applyFill="1"/>
    <xf numFmtId="38" fontId="18" fillId="0" borderId="0" xfId="42" applyFont="1"/>
    <xf numFmtId="169" fontId="0" fillId="18" borderId="24" xfId="1" applyNumberFormat="1" applyFont="1" applyFill="1" applyBorder="1"/>
    <xf numFmtId="169" fontId="0" fillId="18" borderId="0" xfId="1" applyNumberFormat="1" applyFont="1" applyFill="1"/>
    <xf numFmtId="169" fontId="0" fillId="18" borderId="25" xfId="1" applyNumberFormat="1" applyFont="1" applyFill="1" applyBorder="1"/>
    <xf numFmtId="9" fontId="0" fillId="18" borderId="24" xfId="1" applyNumberFormat="1" applyFont="1" applyFill="1" applyBorder="1"/>
    <xf numFmtId="9" fontId="0" fillId="18" borderId="0" xfId="1" applyNumberFormat="1" applyFont="1" applyFill="1"/>
    <xf numFmtId="9" fontId="0" fillId="18" borderId="25" xfId="1" applyNumberFormat="1" applyFont="1" applyFill="1" applyBorder="1"/>
    <xf numFmtId="8" fontId="0" fillId="18" borderId="24" xfId="1" applyNumberFormat="1" applyFont="1" applyFill="1" applyBorder="1"/>
    <xf numFmtId="177" fontId="0" fillId="0" borderId="0" xfId="39" applyNumberFormat="1" applyFont="1"/>
    <xf numFmtId="177" fontId="0" fillId="18" borderId="24" xfId="39" applyNumberFormat="1" applyFont="1" applyFill="1" applyBorder="1"/>
    <xf numFmtId="177" fontId="0" fillId="18" borderId="0" xfId="39" applyNumberFormat="1" applyFont="1" applyFill="1" applyBorder="1"/>
    <xf numFmtId="177" fontId="0" fillId="18" borderId="25" xfId="39" applyNumberFormat="1" applyFont="1" applyFill="1" applyBorder="1"/>
    <xf numFmtId="177" fontId="15" fillId="18" borderId="24" xfId="39" applyNumberFormat="1" applyFont="1" applyFill="1" applyBorder="1"/>
    <xf numFmtId="177" fontId="15" fillId="18" borderId="0" xfId="39" applyNumberFormat="1" applyFont="1" applyFill="1"/>
    <xf numFmtId="177" fontId="15" fillId="18" borderId="25" xfId="39" applyNumberFormat="1" applyFont="1" applyFill="1" applyBorder="1"/>
    <xf numFmtId="7" fontId="0" fillId="18" borderId="24" xfId="1" applyNumberFormat="1" applyFont="1" applyFill="1" applyBorder="1"/>
    <xf numFmtId="7" fontId="0" fillId="18" borderId="0" xfId="1" applyNumberFormat="1" applyFont="1" applyFill="1"/>
    <xf numFmtId="7" fontId="0" fillId="18" borderId="25" xfId="1" applyNumberFormat="1" applyFont="1" applyFill="1" applyBorder="1"/>
    <xf numFmtId="7" fontId="17" fillId="18" borderId="24" xfId="1" applyNumberFormat="1" applyFont="1" applyFill="1" applyBorder="1"/>
    <xf numFmtId="7" fontId="17" fillId="18" borderId="0" xfId="1" applyNumberFormat="1" applyFont="1" applyFill="1"/>
    <xf numFmtId="7" fontId="17" fillId="18" borderId="25" xfId="1" applyNumberFormat="1" applyFont="1" applyFill="1" applyBorder="1"/>
    <xf numFmtId="7" fontId="17" fillId="0" borderId="0" xfId="1" applyNumberFormat="1" applyFont="1"/>
    <xf numFmtId="170" fontId="30" fillId="18" borderId="0" xfId="39" applyNumberFormat="1" applyFont="1" applyFill="1"/>
    <xf numFmtId="170" fontId="33" fillId="18" borderId="24" xfId="39" applyNumberFormat="1" applyFont="1" applyFill="1" applyBorder="1"/>
    <xf numFmtId="170" fontId="33" fillId="18" borderId="0" xfId="39" applyNumberFormat="1" applyFont="1" applyFill="1"/>
    <xf numFmtId="4" fontId="3" fillId="18" borderId="24" xfId="1" applyNumberFormat="1" applyFont="1" applyFill="1" applyBorder="1"/>
    <xf numFmtId="4" fontId="3" fillId="18" borderId="0" xfId="1" applyNumberFormat="1" applyFont="1" applyFill="1"/>
    <xf numFmtId="4" fontId="3" fillId="18" borderId="25" xfId="1" applyNumberFormat="1" applyFont="1" applyFill="1" applyBorder="1"/>
    <xf numFmtId="4" fontId="3" fillId="0" borderId="0" xfId="1" applyNumberFormat="1" applyFont="1"/>
    <xf numFmtId="169" fontId="3" fillId="18" borderId="24" xfId="1" applyNumberFormat="1" applyFont="1" applyFill="1" applyBorder="1"/>
    <xf numFmtId="169" fontId="3" fillId="18" borderId="0" xfId="1" applyNumberFormat="1" applyFont="1" applyFill="1"/>
    <xf numFmtId="169" fontId="3" fillId="18" borderId="25" xfId="1" applyNumberFormat="1" applyFont="1" applyFill="1" applyBorder="1"/>
    <xf numFmtId="169" fontId="15" fillId="18" borderId="0" xfId="1" applyNumberFormat="1" applyFont="1" applyFill="1"/>
    <xf numFmtId="169" fontId="15" fillId="18" borderId="25" xfId="1" applyNumberFormat="1" applyFont="1" applyFill="1" applyBorder="1"/>
    <xf numFmtId="3" fontId="11" fillId="18" borderId="24" xfId="1" applyNumberFormat="1" applyFont="1" applyFill="1" applyBorder="1"/>
    <xf numFmtId="3" fontId="11" fillId="18" borderId="0" xfId="1" applyNumberFormat="1" applyFont="1" applyFill="1"/>
    <xf numFmtId="3" fontId="11" fillId="18" borderId="25" xfId="1" applyNumberFormat="1" applyFont="1" applyFill="1" applyBorder="1"/>
    <xf numFmtId="3" fontId="15" fillId="18" borderId="24" xfId="1" applyNumberFormat="1" applyFont="1" applyFill="1" applyBorder="1"/>
    <xf numFmtId="3" fontId="15" fillId="18" borderId="0" xfId="1" applyNumberFormat="1" applyFont="1" applyFill="1"/>
    <xf numFmtId="3" fontId="15" fillId="18" borderId="25" xfId="1" applyNumberFormat="1" applyFont="1" applyFill="1" applyBorder="1"/>
    <xf numFmtId="178" fontId="9" fillId="18" borderId="0" xfId="1" applyNumberFormat="1" applyFont="1" applyFill="1" applyAlignment="1">
      <alignment horizontal="right"/>
    </xf>
    <xf numFmtId="170" fontId="28" fillId="0" borderId="0" xfId="39" applyNumberFormat="1" applyFont="1" applyBorder="1"/>
    <xf numFmtId="170" fontId="3" fillId="0" borderId="0" xfId="39" applyNumberFormat="1" applyFont="1" applyBorder="1"/>
    <xf numFmtId="170" fontId="15" fillId="18" borderId="0" xfId="39" applyNumberFormat="1" applyFont="1" applyFill="1"/>
    <xf numFmtId="170" fontId="30" fillId="18" borderId="24" xfId="39" applyNumberFormat="1" applyFont="1" applyFill="1" applyBorder="1"/>
    <xf numFmtId="170" fontId="30" fillId="0" borderId="0" xfId="39" applyNumberFormat="1" applyFont="1"/>
    <xf numFmtId="170" fontId="0" fillId="0" borderId="0" xfId="1" applyNumberFormat="1" applyFont="1"/>
    <xf numFmtId="170" fontId="0" fillId="17" borderId="0" xfId="39" applyNumberFormat="1" applyFont="1" applyFill="1"/>
    <xf numFmtId="170" fontId="11" fillId="18" borderId="24" xfId="39" applyNumberFormat="1" applyFont="1" applyFill="1" applyBorder="1"/>
    <xf numFmtId="170" fontId="11" fillId="18" borderId="0" xfId="39" applyNumberFormat="1" applyFont="1" applyFill="1" applyBorder="1"/>
    <xf numFmtId="170" fontId="11" fillId="18" borderId="25" xfId="39" applyNumberFormat="1" applyFont="1" applyFill="1" applyBorder="1"/>
    <xf numFmtId="170" fontId="34" fillId="18" borderId="24" xfId="39" applyNumberFormat="1" applyFont="1" applyFill="1" applyBorder="1"/>
    <xf numFmtId="170" fontId="36" fillId="18" borderId="24" xfId="39" applyNumberFormat="1" applyFont="1" applyFill="1" applyBorder="1"/>
    <xf numFmtId="170" fontId="36" fillId="18" borderId="0" xfId="39" applyNumberFormat="1" applyFont="1" applyFill="1" applyBorder="1"/>
    <xf numFmtId="170" fontId="36" fillId="18" borderId="25" xfId="39" applyNumberFormat="1" applyFont="1" applyFill="1" applyBorder="1"/>
    <xf numFmtId="170" fontId="36" fillId="0" borderId="0" xfId="39" applyNumberFormat="1" applyFont="1"/>
    <xf numFmtId="0" fontId="0" fillId="18" borderId="0" xfId="39" applyNumberFormat="1" applyFont="1" applyFill="1"/>
    <xf numFmtId="170" fontId="37" fillId="18" borderId="24" xfId="39" applyNumberFormat="1" applyFont="1" applyFill="1" applyBorder="1"/>
    <xf numFmtId="170" fontId="37" fillId="18" borderId="0" xfId="39" applyNumberFormat="1" applyFont="1" applyFill="1"/>
    <xf numFmtId="170" fontId="37" fillId="0" borderId="0" xfId="39" applyNumberFormat="1" applyFont="1"/>
    <xf numFmtId="4" fontId="0" fillId="18" borderId="24" xfId="1" applyNumberFormat="1" applyFont="1" applyFill="1" applyBorder="1"/>
    <xf numFmtId="4" fontId="0" fillId="18" borderId="0" xfId="1" applyNumberFormat="1" applyFont="1" applyFill="1"/>
    <xf numFmtId="38" fontId="38" fillId="0" borderId="0" xfId="42" applyFont="1"/>
    <xf numFmtId="38" fontId="38" fillId="0" borderId="0" xfId="42" applyFont="1" applyAlignment="1">
      <alignment horizontal="right"/>
    </xf>
    <xf numFmtId="4" fontId="14" fillId="18" borderId="24" xfId="1" applyNumberFormat="1" applyFont="1" applyFill="1" applyBorder="1"/>
    <xf numFmtId="4" fontId="14" fillId="18" borderId="0" xfId="1" applyNumberFormat="1" applyFont="1" applyFill="1"/>
    <xf numFmtId="4" fontId="14" fillId="18" borderId="25" xfId="1" applyNumberFormat="1" applyFont="1" applyFill="1" applyBorder="1"/>
    <xf numFmtId="4" fontId="14" fillId="0" borderId="0" xfId="1" applyNumberFormat="1" applyFont="1"/>
    <xf numFmtId="6" fontId="3" fillId="0" borderId="0" xfId="46" applyFont="1"/>
    <xf numFmtId="6" fontId="17" fillId="0" borderId="0" xfId="46" applyFont="1"/>
    <xf numFmtId="9" fontId="18" fillId="0" borderId="0" xfId="76" applyFont="1"/>
    <xf numFmtId="9" fontId="18" fillId="18" borderId="24" xfId="1" applyNumberFormat="1" applyFont="1" applyFill="1" applyBorder="1"/>
    <xf numFmtId="9" fontId="18" fillId="18" borderId="0" xfId="1" applyNumberFormat="1" applyFont="1" applyFill="1"/>
    <xf numFmtId="9" fontId="18" fillId="18" borderId="25" xfId="1" applyNumberFormat="1" applyFont="1" applyFill="1" applyBorder="1"/>
    <xf numFmtId="9" fontId="18" fillId="0" borderId="0" xfId="1" applyNumberFormat="1" applyFont="1"/>
    <xf numFmtId="168" fontId="0" fillId="0" borderId="0" xfId="1" applyNumberFormat="1" applyFont="1"/>
    <xf numFmtId="9" fontId="3" fillId="18" borderId="24" xfId="1" applyNumberFormat="1" applyFont="1" applyFill="1" applyBorder="1"/>
    <xf numFmtId="9" fontId="3" fillId="18" borderId="0" xfId="1" applyNumberFormat="1" applyFont="1" applyFill="1"/>
    <xf numFmtId="9" fontId="3" fillId="18" borderId="25" xfId="1" applyNumberFormat="1" applyFont="1" applyFill="1" applyBorder="1"/>
    <xf numFmtId="168" fontId="3" fillId="18" borderId="25" xfId="1" applyNumberFormat="1" applyFont="1" applyFill="1" applyBorder="1"/>
    <xf numFmtId="168" fontId="3" fillId="18" borderId="24" xfId="1" applyNumberFormat="1" applyFont="1" applyFill="1" applyBorder="1"/>
    <xf numFmtId="168" fontId="3" fillId="18" borderId="0" xfId="1" applyNumberFormat="1" applyFont="1" applyFill="1"/>
    <xf numFmtId="4" fontId="3" fillId="18" borderId="26" xfId="1" applyNumberFormat="1" applyFont="1" applyFill="1" applyBorder="1"/>
    <xf numFmtId="4" fontId="3" fillId="18" borderId="27" xfId="1" applyNumberFormat="1" applyFont="1" applyFill="1" applyBorder="1"/>
    <xf numFmtId="4" fontId="3" fillId="18" borderId="28" xfId="1" applyNumberFormat="1" applyFont="1" applyFill="1" applyBorder="1"/>
    <xf numFmtId="166" fontId="39" fillId="17" borderId="0" xfId="1" applyNumberFormat="1" applyFont="1" applyFill="1"/>
    <xf numFmtId="167" fontId="9" fillId="0" borderId="29" xfId="1" applyNumberFormat="1" applyFont="1" applyBorder="1"/>
    <xf numFmtId="167" fontId="13" fillId="0" borderId="29" xfId="1" applyNumberFormat="1" applyFont="1" applyBorder="1" applyAlignment="1">
      <alignment horizontal="right"/>
    </xf>
    <xf numFmtId="174" fontId="9" fillId="0" borderId="29" xfId="1" applyNumberFormat="1" applyFont="1" applyBorder="1" applyAlignment="1">
      <alignment horizontal="right"/>
    </xf>
    <xf numFmtId="175" fontId="9" fillId="0" borderId="29" xfId="1" applyNumberFormat="1" applyFont="1" applyBorder="1" applyAlignment="1">
      <alignment horizontal="right"/>
    </xf>
    <xf numFmtId="167" fontId="0" fillId="0" borderId="29" xfId="1" applyNumberFormat="1" applyFont="1" applyBorder="1"/>
    <xf numFmtId="179" fontId="0" fillId="0" borderId="0" xfId="39" applyNumberFormat="1" applyFont="1" applyBorder="1"/>
    <xf numFmtId="8" fontId="0" fillId="0" borderId="0" xfId="39" applyNumberFormat="1" applyFont="1"/>
    <xf numFmtId="0" fontId="3" fillId="0" borderId="24" xfId="1" applyFont="1" applyBorder="1"/>
    <xf numFmtId="9" fontId="30" fillId="0" borderId="0" xfId="1" applyNumberFormat="1" applyFont="1"/>
    <xf numFmtId="4" fontId="17" fillId="18" borderId="24" xfId="1" applyNumberFormat="1" applyFont="1" applyFill="1" applyBorder="1"/>
    <xf numFmtId="4" fontId="17" fillId="18" borderId="0" xfId="1" applyNumberFormat="1" applyFont="1" applyFill="1"/>
    <xf numFmtId="4" fontId="17" fillId="18" borderId="25" xfId="1" applyNumberFormat="1" applyFont="1" applyFill="1" applyBorder="1"/>
    <xf numFmtId="8" fontId="3" fillId="0" borderId="0" xfId="39" applyNumberFormat="1" applyFont="1"/>
    <xf numFmtId="0" fontId="3" fillId="0" borderId="21" xfId="1" applyFont="1" applyBorder="1"/>
    <xf numFmtId="0" fontId="0" fillId="0" borderId="22" xfId="1" applyFont="1" applyBorder="1"/>
    <xf numFmtId="4" fontId="17" fillId="18" borderId="21" xfId="1" applyNumberFormat="1" applyFont="1" applyFill="1" applyBorder="1"/>
    <xf numFmtId="4" fontId="17" fillId="18" borderId="22" xfId="1" applyNumberFormat="1" applyFont="1" applyFill="1" applyBorder="1"/>
    <xf numFmtId="4" fontId="17" fillId="18" borderId="23" xfId="1" applyNumberFormat="1" applyFont="1" applyFill="1" applyBorder="1"/>
    <xf numFmtId="4" fontId="17" fillId="0" borderId="22" xfId="1" applyNumberFormat="1" applyFont="1" applyBorder="1"/>
    <xf numFmtId="169" fontId="3" fillId="18" borderId="21" xfId="1" applyNumberFormat="1" applyFont="1" applyFill="1" applyBorder="1"/>
    <xf numFmtId="169" fontId="3" fillId="18" borderId="22" xfId="1" applyNumberFormat="1" applyFont="1" applyFill="1" applyBorder="1"/>
    <xf numFmtId="169" fontId="3" fillId="18" borderId="23" xfId="1" applyNumberFormat="1" applyFont="1" applyFill="1" applyBorder="1"/>
    <xf numFmtId="169" fontId="3" fillId="0" borderId="22" xfId="1" applyNumberFormat="1" applyFont="1" applyBorder="1"/>
    <xf numFmtId="169" fontId="15" fillId="0" borderId="22" xfId="1" applyNumberFormat="1" applyFont="1" applyBorder="1"/>
    <xf numFmtId="0" fontId="0" fillId="0" borderId="24" xfId="1" applyFont="1" applyBorder="1"/>
    <xf numFmtId="178" fontId="3" fillId="0" borderId="0" xfId="1" applyNumberFormat="1" applyFont="1"/>
    <xf numFmtId="178" fontId="3" fillId="0" borderId="24" xfId="42" applyNumberFormat="1" applyFont="1" applyBorder="1" applyAlignment="1">
      <alignment horizontal="left"/>
    </xf>
    <xf numFmtId="178" fontId="3" fillId="18" borderId="24" xfId="1" applyNumberFormat="1" applyFont="1" applyFill="1" applyBorder="1"/>
    <xf numFmtId="178" fontId="3" fillId="18" borderId="0" xfId="1" applyNumberFormat="1" applyFont="1" applyFill="1"/>
    <xf numFmtId="178" fontId="3" fillId="18" borderId="25" xfId="1" applyNumberFormat="1" applyFont="1" applyFill="1" applyBorder="1"/>
    <xf numFmtId="178" fontId="3" fillId="18" borderId="24" xfId="39" applyNumberFormat="1" applyFont="1" applyFill="1" applyBorder="1"/>
    <xf numFmtId="178" fontId="3" fillId="18" borderId="0" xfId="39" applyNumberFormat="1" applyFont="1" applyFill="1"/>
    <xf numFmtId="178" fontId="3" fillId="18" borderId="25" xfId="39" applyNumberFormat="1" applyFont="1" applyFill="1" applyBorder="1"/>
    <xf numFmtId="178" fontId="15" fillId="0" borderId="0" xfId="39" applyNumberFormat="1" applyFont="1"/>
    <xf numFmtId="178" fontId="3" fillId="0" borderId="24" xfId="1" applyNumberFormat="1" applyFont="1" applyBorder="1"/>
    <xf numFmtId="173" fontId="3" fillId="0" borderId="24" xfId="42" applyNumberFormat="1" applyFont="1" applyBorder="1" applyAlignment="1">
      <alignment horizontal="left"/>
    </xf>
    <xf numFmtId="38" fontId="3" fillId="0" borderId="24" xfId="42" applyFont="1" applyBorder="1"/>
    <xf numFmtId="173" fontId="3" fillId="0" borderId="26" xfId="42" applyNumberFormat="1" applyFont="1" applyBorder="1" applyAlignment="1">
      <alignment horizontal="left"/>
    </xf>
    <xf numFmtId="0" fontId="0" fillId="0" borderId="27" xfId="1" applyFont="1" applyBorder="1"/>
    <xf numFmtId="4" fontId="17" fillId="18" borderId="26" xfId="1" applyNumberFormat="1" applyFont="1" applyFill="1" applyBorder="1"/>
    <xf numFmtId="4" fontId="17" fillId="18" borderId="27" xfId="1" applyNumberFormat="1" applyFont="1" applyFill="1" applyBorder="1"/>
    <xf numFmtId="4" fontId="17" fillId="18" borderId="28" xfId="1" applyNumberFormat="1" applyFont="1" applyFill="1" applyBorder="1"/>
    <xf numFmtId="169" fontId="3" fillId="0" borderId="27" xfId="1" applyNumberFormat="1" applyFont="1" applyBorder="1"/>
    <xf numFmtId="169" fontId="3" fillId="18" borderId="26" xfId="1" applyNumberFormat="1" applyFont="1" applyFill="1" applyBorder="1"/>
    <xf numFmtId="169" fontId="3" fillId="18" borderId="27" xfId="1" applyNumberFormat="1" applyFont="1" applyFill="1" applyBorder="1"/>
    <xf numFmtId="169" fontId="3" fillId="18" borderId="28" xfId="1" applyNumberFormat="1" applyFont="1" applyFill="1" applyBorder="1"/>
    <xf numFmtId="170" fontId="28" fillId="18" borderId="24" xfId="1" applyNumberFormat="1" applyFont="1" applyFill="1" applyBorder="1"/>
    <xf numFmtId="170" fontId="28" fillId="18" borderId="0" xfId="1" applyNumberFormat="1" applyFont="1" applyFill="1"/>
    <xf numFmtId="170" fontId="3" fillId="18" borderId="25" xfId="1" applyNumberFormat="1" applyFont="1" applyFill="1" applyBorder="1"/>
    <xf numFmtId="170" fontId="28" fillId="0" borderId="0" xfId="1" applyNumberFormat="1" applyFont="1"/>
    <xf numFmtId="170" fontId="17" fillId="18" borderId="25" xfId="1" applyNumberFormat="1" applyFont="1" applyFill="1" applyBorder="1"/>
    <xf numFmtId="170" fontId="29" fillId="0" borderId="0" xfId="1" applyNumberFormat="1" applyFont="1"/>
    <xf numFmtId="9" fontId="3" fillId="0" borderId="0" xfId="40" applyNumberFormat="1" applyFont="1"/>
    <xf numFmtId="180" fontId="17" fillId="18" borderId="24" xfId="45" applyNumberFormat="1" applyFont="1" applyFill="1" applyBorder="1"/>
    <xf numFmtId="180" fontId="17" fillId="18" borderId="0" xfId="45" applyNumberFormat="1" applyFont="1" applyFill="1"/>
    <xf numFmtId="180" fontId="17" fillId="18" borderId="25" xfId="45" applyNumberFormat="1" applyFont="1" applyFill="1" applyBorder="1"/>
    <xf numFmtId="180" fontId="17" fillId="0" borderId="0" xfId="45" applyNumberFormat="1" applyFont="1"/>
    <xf numFmtId="181" fontId="3" fillId="0" borderId="0" xfId="1" applyNumberFormat="1" applyFont="1"/>
    <xf numFmtId="180" fontId="17" fillId="18" borderId="24" xfId="1" applyNumberFormat="1" applyFont="1" applyFill="1" applyBorder="1"/>
    <xf numFmtId="180" fontId="17" fillId="18" borderId="0" xfId="1" applyNumberFormat="1" applyFont="1" applyFill="1"/>
    <xf numFmtId="180" fontId="17" fillId="18" borderId="25" xfId="1" applyNumberFormat="1" applyFont="1" applyFill="1" applyBorder="1"/>
    <xf numFmtId="180" fontId="17" fillId="0" borderId="0" xfId="1" applyNumberFormat="1" applyFont="1"/>
    <xf numFmtId="170" fontId="17" fillId="18" borderId="24" xfId="1" applyNumberFormat="1" applyFont="1" applyFill="1" applyBorder="1"/>
    <xf numFmtId="170" fontId="17" fillId="18" borderId="0" xfId="1" applyNumberFormat="1" applyFont="1" applyFill="1"/>
    <xf numFmtId="4" fontId="40" fillId="18" borderId="24" xfId="1" applyNumberFormat="1" applyFont="1" applyFill="1" applyBorder="1"/>
    <xf numFmtId="4" fontId="40" fillId="18" borderId="0" xfId="1" applyNumberFormat="1" applyFont="1" applyFill="1"/>
    <xf numFmtId="4" fontId="40" fillId="18" borderId="25" xfId="1" applyNumberFormat="1" applyFont="1" applyFill="1" applyBorder="1"/>
    <xf numFmtId="4" fontId="40" fillId="0" borderId="0" xfId="1" applyNumberFormat="1" applyFont="1"/>
    <xf numFmtId="169" fontId="18" fillId="18" borderId="24" xfId="1" applyNumberFormat="1" applyFont="1" applyFill="1" applyBorder="1"/>
    <xf numFmtId="169" fontId="18" fillId="18" borderId="0" xfId="1" applyNumberFormat="1" applyFont="1" applyFill="1"/>
    <xf numFmtId="169" fontId="18" fillId="18" borderId="25" xfId="1" applyNumberFormat="1" applyFont="1" applyFill="1" applyBorder="1"/>
    <xf numFmtId="8" fontId="17" fillId="18" borderId="24" xfId="1" applyNumberFormat="1" applyFont="1" applyFill="1" applyBorder="1"/>
    <xf numFmtId="178" fontId="17" fillId="0" borderId="0" xfId="1" applyNumberFormat="1" applyFont="1"/>
    <xf numFmtId="170" fontId="14" fillId="18" borderId="0" xfId="39" applyNumberFormat="1" applyFont="1" applyFill="1"/>
    <xf numFmtId="178" fontId="18" fillId="0" borderId="0" xfId="1" applyNumberFormat="1" applyFont="1"/>
    <xf numFmtId="4" fontId="18" fillId="18" borderId="24" xfId="1" applyNumberFormat="1" applyFont="1" applyFill="1" applyBorder="1"/>
    <xf numFmtId="4" fontId="18" fillId="18" borderId="0" xfId="1" applyNumberFormat="1" applyFont="1" applyFill="1"/>
    <xf numFmtId="4" fontId="18" fillId="18" borderId="25" xfId="1" applyNumberFormat="1" applyFont="1" applyFill="1" applyBorder="1"/>
    <xf numFmtId="169" fontId="30" fillId="18" borderId="0" xfId="1" applyNumberFormat="1" applyFont="1" applyFill="1"/>
    <xf numFmtId="169" fontId="30" fillId="18" borderId="25" xfId="1" applyNumberFormat="1" applyFont="1" applyFill="1" applyBorder="1"/>
    <xf numFmtId="169" fontId="30" fillId="18" borderId="24" xfId="1" applyNumberFormat="1" applyFont="1" applyFill="1" applyBorder="1"/>
    <xf numFmtId="178" fontId="3" fillId="18" borderId="0" xfId="39" applyNumberFormat="1" applyFont="1" applyFill="1" applyBorder="1"/>
    <xf numFmtId="178" fontId="3" fillId="0" borderId="0" xfId="39" applyNumberFormat="1" applyFont="1"/>
    <xf numFmtId="178" fontId="12" fillId="17" borderId="0" xfId="1" applyNumberFormat="1" applyFont="1" applyFill="1"/>
    <xf numFmtId="178" fontId="0" fillId="17" borderId="0" xfId="1" applyNumberFormat="1" applyFont="1" applyFill="1"/>
    <xf numFmtId="178" fontId="14" fillId="0" borderId="0" xfId="39" applyNumberFormat="1" applyFont="1" applyBorder="1"/>
    <xf numFmtId="38" fontId="3" fillId="0" borderId="0" xfId="42" applyFont="1" applyBorder="1"/>
    <xf numFmtId="170" fontId="14" fillId="18" borderId="24" xfId="39" applyNumberFormat="1" applyFont="1" applyFill="1" applyBorder="1"/>
    <xf numFmtId="170" fontId="14" fillId="18" borderId="0" xfId="39" applyNumberFormat="1" applyFont="1" applyFill="1" applyBorder="1"/>
    <xf numFmtId="170" fontId="14" fillId="18" borderId="25" xfId="39" applyNumberFormat="1" applyFont="1" applyFill="1" applyBorder="1"/>
    <xf numFmtId="170" fontId="14" fillId="0" borderId="0" xfId="39" applyNumberFormat="1" applyFont="1"/>
    <xf numFmtId="178" fontId="3" fillId="0" borderId="0" xfId="42" applyNumberFormat="1" applyFont="1"/>
    <xf numFmtId="170" fontId="19" fillId="18" borderId="24" xfId="39" applyNumberFormat="1" applyFont="1" applyFill="1" applyBorder="1"/>
    <xf numFmtId="169" fontId="15" fillId="18" borderId="24" xfId="1" applyNumberFormat="1" applyFont="1" applyFill="1" applyBorder="1"/>
    <xf numFmtId="169" fontId="30" fillId="0" borderId="0" xfId="1" applyNumberFormat="1" applyFont="1"/>
    <xf numFmtId="170" fontId="17" fillId="18" borderId="26" xfId="39" applyNumberFormat="1" applyFont="1" applyFill="1" applyBorder="1"/>
    <xf numFmtId="170" fontId="17" fillId="18" borderId="27" xfId="39" applyNumberFormat="1" applyFont="1" applyFill="1" applyBorder="1"/>
    <xf numFmtId="170" fontId="17" fillId="18" borderId="28" xfId="39" applyNumberFormat="1" applyFont="1" applyFill="1" applyBorder="1"/>
    <xf numFmtId="166" fontId="6" fillId="17" borderId="0" xfId="1" applyNumberFormat="1" applyFont="1" applyFill="1" applyAlignment="1">
      <alignment horizontal="right"/>
    </xf>
    <xf numFmtId="166" fontId="11" fillId="17" borderId="0" xfId="1" applyNumberFormat="1" applyFont="1" applyFill="1" applyAlignment="1">
      <alignment horizontal="right"/>
    </xf>
    <xf numFmtId="167" fontId="9" fillId="0" borderId="27" xfId="1" applyNumberFormat="1" applyFont="1" applyBorder="1"/>
    <xf numFmtId="167" fontId="13" fillId="0" borderId="27" xfId="1" applyNumberFormat="1" applyFont="1" applyBorder="1" applyAlignment="1">
      <alignment horizontal="right"/>
    </xf>
    <xf numFmtId="0" fontId="9" fillId="0" borderId="26" xfId="42" applyNumberFormat="1" applyFont="1" applyBorder="1" applyAlignment="1">
      <alignment horizontal="center"/>
    </xf>
    <xf numFmtId="0" fontId="9" fillId="0" borderId="27" xfId="42" applyNumberFormat="1" applyFont="1" applyBorder="1" applyAlignment="1">
      <alignment horizontal="center"/>
    </xf>
    <xf numFmtId="169" fontId="9" fillId="0" borderId="27" xfId="42" applyNumberFormat="1" applyFont="1" applyBorder="1" applyAlignment="1">
      <alignment horizontal="center"/>
    </xf>
    <xf numFmtId="38" fontId="9" fillId="0" borderId="27" xfId="42" applyFont="1" applyBorder="1" applyAlignment="1">
      <alignment horizontal="center"/>
    </xf>
    <xf numFmtId="167" fontId="0" fillId="0" borderId="27" xfId="1" applyNumberFormat="1" applyFont="1" applyBorder="1"/>
    <xf numFmtId="182" fontId="9" fillId="0" borderId="30" xfId="1" applyNumberFormat="1" applyFont="1" applyBorder="1" applyAlignment="1">
      <alignment horizontal="right"/>
    </xf>
    <xf numFmtId="167" fontId="9" fillId="18" borderId="12" xfId="1" applyNumberFormat="1" applyFont="1" applyFill="1" applyBorder="1" applyAlignment="1">
      <alignment horizontal="right"/>
    </xf>
    <xf numFmtId="167" fontId="9" fillId="18" borderId="13" xfId="1" applyNumberFormat="1" applyFont="1" applyFill="1" applyBorder="1" applyAlignment="1">
      <alignment horizontal="right"/>
    </xf>
    <xf numFmtId="167" fontId="9" fillId="18" borderId="14" xfId="1" applyNumberFormat="1" applyFont="1" applyFill="1" applyBorder="1" applyAlignment="1">
      <alignment horizontal="right"/>
    </xf>
    <xf numFmtId="175" fontId="9" fillId="0" borderId="30" xfId="1" applyNumberFormat="1" applyFont="1" applyBorder="1" applyAlignment="1">
      <alignment horizontal="right"/>
    </xf>
    <xf numFmtId="0" fontId="9" fillId="0" borderId="31" xfId="1" applyFont="1" applyBorder="1" applyAlignment="1">
      <alignment horizontal="right"/>
    </xf>
    <xf numFmtId="0" fontId="17" fillId="0" borderId="11" xfId="1" applyFont="1" applyBorder="1"/>
    <xf numFmtId="0" fontId="18" fillId="0" borderId="11" xfId="1" applyFont="1" applyBorder="1"/>
    <xf numFmtId="0" fontId="18" fillId="0" borderId="32" xfId="42" applyNumberFormat="1" applyFont="1" applyBorder="1" applyAlignment="1">
      <alignment horizontal="center"/>
    </xf>
    <xf numFmtId="0" fontId="18" fillId="0" borderId="11" xfId="42" applyNumberFormat="1" applyFont="1" applyBorder="1" applyAlignment="1">
      <alignment horizontal="center"/>
    </xf>
    <xf numFmtId="169" fontId="18" fillId="0" borderId="11" xfId="42" applyNumberFormat="1" applyFont="1" applyBorder="1" applyAlignment="1">
      <alignment horizontal="center"/>
    </xf>
    <xf numFmtId="38" fontId="18" fillId="0" borderId="11" xfId="42" applyFont="1" applyBorder="1" applyAlignment="1">
      <alignment horizontal="center"/>
    </xf>
    <xf numFmtId="0" fontId="18" fillId="0" borderId="33" xfId="1" applyFont="1" applyBorder="1" applyAlignment="1">
      <alignment horizontal="left"/>
    </xf>
    <xf numFmtId="0" fontId="18" fillId="0" borderId="11" xfId="1" applyFont="1" applyBorder="1" applyAlignment="1">
      <alignment horizontal="right"/>
    </xf>
    <xf numFmtId="0" fontId="18" fillId="18" borderId="32" xfId="1" applyFont="1" applyFill="1" applyBorder="1" applyAlignment="1">
      <alignment horizontal="right"/>
    </xf>
    <xf numFmtId="0" fontId="18" fillId="18" borderId="11" xfId="1" applyFont="1" applyFill="1" applyBorder="1" applyAlignment="1">
      <alignment horizontal="right"/>
    </xf>
    <xf numFmtId="0" fontId="18" fillId="18" borderId="33" xfId="1" applyFont="1" applyFill="1" applyBorder="1" applyAlignment="1">
      <alignment horizontal="right"/>
    </xf>
    <xf numFmtId="0" fontId="18" fillId="0" borderId="33" xfId="1" applyFont="1" applyBorder="1" applyAlignment="1">
      <alignment horizontal="right"/>
    </xf>
    <xf numFmtId="1" fontId="3" fillId="0" borderId="0" xfId="1" applyNumberFormat="1" applyFont="1" applyAlignment="1">
      <alignment horizontal="center"/>
    </xf>
    <xf numFmtId="169" fontId="3" fillId="0" borderId="0" xfId="1" applyNumberFormat="1" applyFont="1" applyAlignment="1">
      <alignment horizontal="center"/>
    </xf>
    <xf numFmtId="183" fontId="3" fillId="0" borderId="0" xfId="1" applyNumberFormat="1" applyFont="1" applyAlignment="1">
      <alignment horizontal="center"/>
    </xf>
    <xf numFmtId="170" fontId="3" fillId="0" borderId="25" xfId="39" applyNumberFormat="1" applyFont="1" applyBorder="1"/>
    <xf numFmtId="170" fontId="3" fillId="0" borderId="0" xfId="39" applyNumberFormat="1" applyFont="1" applyBorder="1" applyAlignment="1">
      <alignment horizontal="right"/>
    </xf>
    <xf numFmtId="170" fontId="3" fillId="18" borderId="24" xfId="39" applyNumberFormat="1" applyFont="1" applyFill="1" applyBorder="1" applyAlignment="1">
      <alignment horizontal="right"/>
    </xf>
    <xf numFmtId="170" fontId="3" fillId="18" borderId="0" xfId="39" applyNumberFormat="1" applyFont="1" applyFill="1" applyBorder="1" applyAlignment="1">
      <alignment horizontal="right"/>
    </xf>
    <xf numFmtId="170" fontId="3" fillId="18" borderId="25" xfId="39" applyNumberFormat="1" applyFont="1" applyFill="1" applyBorder="1" applyAlignment="1">
      <alignment horizontal="right"/>
    </xf>
    <xf numFmtId="170" fontId="3" fillId="0" borderId="0" xfId="39" applyNumberFormat="1" applyFont="1" applyAlignment="1">
      <alignment horizontal="right"/>
    </xf>
    <xf numFmtId="184" fontId="3" fillId="0" borderId="25" xfId="1" applyNumberFormat="1" applyFont="1" applyBorder="1" applyAlignment="1">
      <alignment horizontal="right"/>
    </xf>
    <xf numFmtId="177" fontId="3" fillId="0" borderId="0" xfId="39" applyNumberFormat="1" applyFont="1" applyBorder="1" applyAlignment="1">
      <alignment horizontal="right"/>
    </xf>
    <xf numFmtId="177" fontId="3" fillId="18" borderId="24" xfId="39" applyNumberFormat="1" applyFont="1" applyFill="1" applyBorder="1" applyAlignment="1">
      <alignment horizontal="right"/>
    </xf>
    <xf numFmtId="177" fontId="3" fillId="18" borderId="0" xfId="39" applyNumberFormat="1" applyFont="1" applyFill="1" applyBorder="1" applyAlignment="1">
      <alignment horizontal="right"/>
    </xf>
    <xf numFmtId="177" fontId="3" fillId="18" borderId="25" xfId="39" applyNumberFormat="1" applyFont="1" applyFill="1" applyBorder="1" applyAlignment="1">
      <alignment horizontal="right"/>
    </xf>
    <xf numFmtId="177" fontId="3" fillId="0" borderId="0" xfId="39" applyNumberFormat="1" applyFont="1" applyAlignment="1">
      <alignment horizontal="right"/>
    </xf>
    <xf numFmtId="170" fontId="3" fillId="18" borderId="0" xfId="39" applyNumberFormat="1" applyFont="1" applyFill="1" applyAlignment="1">
      <alignment horizontal="right"/>
    </xf>
    <xf numFmtId="185" fontId="3" fillId="0" borderId="25" xfId="39" applyNumberFormat="1" applyFont="1" applyBorder="1" applyAlignment="1">
      <alignment horizontal="right"/>
    </xf>
    <xf numFmtId="177" fontId="3" fillId="18" borderId="0" xfId="39" applyNumberFormat="1" applyFont="1" applyFill="1" applyAlignment="1">
      <alignment horizontal="right"/>
    </xf>
    <xf numFmtId="0" fontId="3" fillId="0" borderId="27" xfId="1" applyFont="1" applyBorder="1"/>
    <xf numFmtId="1" fontId="3" fillId="0" borderId="27" xfId="1" applyNumberFormat="1" applyFont="1" applyBorder="1" applyAlignment="1">
      <alignment horizontal="center"/>
    </xf>
    <xf numFmtId="169" fontId="3" fillId="0" borderId="27" xfId="1" applyNumberFormat="1" applyFont="1" applyBorder="1" applyAlignment="1">
      <alignment horizontal="center"/>
    </xf>
    <xf numFmtId="183" fontId="3" fillId="0" borderId="27" xfId="1" applyNumberFormat="1" applyFont="1" applyBorder="1" applyAlignment="1">
      <alignment horizontal="center"/>
    </xf>
    <xf numFmtId="170" fontId="3" fillId="0" borderId="28" xfId="39" applyNumberFormat="1" applyFont="1" applyBorder="1"/>
    <xf numFmtId="170" fontId="3" fillId="0" borderId="27" xfId="39" applyNumberFormat="1" applyFont="1" applyBorder="1" applyAlignment="1">
      <alignment horizontal="right"/>
    </xf>
    <xf numFmtId="170" fontId="3" fillId="18" borderId="26" xfId="39" applyNumberFormat="1" applyFont="1" applyFill="1" applyBorder="1" applyAlignment="1">
      <alignment horizontal="right"/>
    </xf>
    <xf numFmtId="170" fontId="3" fillId="18" borderId="27" xfId="39" applyNumberFormat="1" applyFont="1" applyFill="1" applyBorder="1" applyAlignment="1">
      <alignment horizontal="right"/>
    </xf>
    <xf numFmtId="170" fontId="3" fillId="18" borderId="28" xfId="39" applyNumberFormat="1" applyFont="1" applyFill="1" applyBorder="1" applyAlignment="1">
      <alignment horizontal="right"/>
    </xf>
    <xf numFmtId="184" fontId="3" fillId="0" borderId="28" xfId="39" applyNumberFormat="1" applyFont="1" applyBorder="1" applyAlignment="1">
      <alignment horizontal="right"/>
    </xf>
    <xf numFmtId="177" fontId="3" fillId="0" borderId="27" xfId="39" applyNumberFormat="1" applyFont="1" applyBorder="1" applyAlignment="1">
      <alignment horizontal="right"/>
    </xf>
    <xf numFmtId="177" fontId="3" fillId="18" borderId="26" xfId="39" applyNumberFormat="1" applyFont="1" applyFill="1" applyBorder="1" applyAlignment="1">
      <alignment horizontal="right"/>
    </xf>
    <xf numFmtId="177" fontId="3" fillId="18" borderId="27" xfId="39" applyNumberFormat="1" applyFont="1" applyFill="1" applyBorder="1" applyAlignment="1">
      <alignment horizontal="right"/>
    </xf>
    <xf numFmtId="177" fontId="3" fillId="18" borderId="28" xfId="39" applyNumberFormat="1" applyFont="1" applyFill="1" applyBorder="1" applyAlignment="1">
      <alignment horizontal="right"/>
    </xf>
    <xf numFmtId="1" fontId="17" fillId="0" borderId="0" xfId="1" applyNumberFormat="1" applyFont="1" applyAlignment="1">
      <alignment horizontal="center"/>
    </xf>
    <xf numFmtId="169" fontId="17" fillId="0" borderId="0" xfId="1" applyNumberFormat="1" applyFont="1" applyAlignment="1">
      <alignment horizontal="center"/>
    </xf>
    <xf numFmtId="183" fontId="17" fillId="0" borderId="0" xfId="1" applyNumberFormat="1" applyFont="1" applyAlignment="1">
      <alignment horizontal="center"/>
    </xf>
    <xf numFmtId="170" fontId="17" fillId="0" borderId="0" xfId="39" applyNumberFormat="1" applyFont="1" applyAlignment="1">
      <alignment horizontal="right"/>
    </xf>
    <xf numFmtId="170" fontId="17" fillId="18" borderId="24" xfId="39" applyNumberFormat="1" applyFont="1" applyFill="1" applyBorder="1" applyAlignment="1">
      <alignment horizontal="right"/>
    </xf>
    <xf numFmtId="170" fontId="17" fillId="18" borderId="0" xfId="39" applyNumberFormat="1" applyFont="1" applyFill="1" applyAlignment="1">
      <alignment horizontal="right"/>
    </xf>
    <xf numFmtId="170" fontId="17" fillId="18" borderId="25" xfId="39" applyNumberFormat="1" applyFont="1" applyFill="1" applyBorder="1" applyAlignment="1">
      <alignment horizontal="right"/>
    </xf>
    <xf numFmtId="177" fontId="17" fillId="0" borderId="25" xfId="39" applyNumberFormat="1" applyFont="1" applyBorder="1" applyAlignment="1">
      <alignment horizontal="right"/>
    </xf>
    <xf numFmtId="177" fontId="17" fillId="0" borderId="0" xfId="39" applyNumberFormat="1" applyFont="1" applyAlignment="1">
      <alignment horizontal="right"/>
    </xf>
    <xf numFmtId="177" fontId="17" fillId="18" borderId="24" xfId="39" applyNumberFormat="1" applyFont="1" applyFill="1" applyBorder="1" applyAlignment="1">
      <alignment horizontal="right"/>
    </xf>
    <xf numFmtId="177" fontId="17" fillId="18" borderId="0" xfId="39" applyNumberFormat="1" applyFont="1" applyFill="1" applyAlignment="1">
      <alignment horizontal="right"/>
    </xf>
    <xf numFmtId="177" fontId="17" fillId="18" borderId="25" xfId="39" applyNumberFormat="1" applyFont="1" applyFill="1" applyBorder="1" applyAlignment="1">
      <alignment horizontal="right"/>
    </xf>
    <xf numFmtId="170" fontId="17" fillId="18" borderId="0" xfId="39" applyNumberFormat="1" applyFont="1" applyFill="1" applyBorder="1" applyAlignment="1">
      <alignment horizontal="right"/>
    </xf>
    <xf numFmtId="177" fontId="17" fillId="0" borderId="0" xfId="39" applyNumberFormat="1" applyFont="1" applyBorder="1" applyAlignment="1">
      <alignment horizontal="right"/>
    </xf>
    <xf numFmtId="177" fontId="17" fillId="18" borderId="0" xfId="39" applyNumberFormat="1" applyFont="1" applyFill="1" applyBorder="1" applyAlignment="1">
      <alignment horizontal="right"/>
    </xf>
    <xf numFmtId="0" fontId="3" fillId="0" borderId="11" xfId="1" applyFont="1" applyBorder="1"/>
    <xf numFmtId="1" fontId="3" fillId="0" borderId="11" xfId="1" applyNumberFormat="1" applyFont="1" applyBorder="1" applyAlignment="1">
      <alignment horizontal="center"/>
    </xf>
    <xf numFmtId="169" fontId="3" fillId="0" borderId="11" xfId="1" applyNumberFormat="1" applyFont="1" applyBorder="1" applyAlignment="1">
      <alignment horizontal="center"/>
    </xf>
    <xf numFmtId="183" fontId="3" fillId="0" borderId="11" xfId="1" applyNumberFormat="1" applyFont="1" applyBorder="1" applyAlignment="1">
      <alignment horizontal="center"/>
    </xf>
    <xf numFmtId="170" fontId="3" fillId="0" borderId="11" xfId="39" applyNumberFormat="1" applyFont="1" applyBorder="1" applyAlignment="1">
      <alignment horizontal="right"/>
    </xf>
    <xf numFmtId="0" fontId="3" fillId="0" borderId="33" xfId="1" applyFont="1" applyBorder="1" applyAlignment="1">
      <alignment horizontal="right"/>
    </xf>
    <xf numFmtId="177" fontId="3" fillId="0" borderId="11" xfId="39" applyNumberFormat="1" applyFont="1" applyBorder="1" applyAlignment="1">
      <alignment horizontal="right"/>
    </xf>
    <xf numFmtId="38" fontId="24" fillId="0" borderId="0" xfId="42" applyFont="1" applyBorder="1" applyAlignment="1">
      <alignment horizontal="center"/>
    </xf>
    <xf numFmtId="183" fontId="24" fillId="0" borderId="0" xfId="42" applyNumberFormat="1" applyFont="1" applyAlignment="1">
      <alignment horizontal="center"/>
    </xf>
    <xf numFmtId="38" fontId="3" fillId="0" borderId="25" xfId="1" applyNumberFormat="1" applyFont="1" applyBorder="1" applyAlignment="1">
      <alignment horizontal="right"/>
    </xf>
    <xf numFmtId="38" fontId="24" fillId="0" borderId="0" xfId="42" applyFont="1" applyAlignment="1">
      <alignment horizontal="center"/>
    </xf>
    <xf numFmtId="1" fontId="3" fillId="0" borderId="0" xfId="42" applyNumberFormat="1" applyFont="1" applyAlignment="1">
      <alignment horizontal="center"/>
    </xf>
    <xf numFmtId="170" fontId="24" fillId="0" borderId="25" xfId="39" applyNumberFormat="1" applyFont="1" applyBorder="1" applyAlignment="1">
      <alignment horizontal="center"/>
    </xf>
    <xf numFmtId="1" fontId="28" fillId="0" borderId="0" xfId="42" applyNumberFormat="1" applyFont="1" applyAlignment="1">
      <alignment horizontal="center"/>
    </xf>
    <xf numFmtId="169" fontId="28" fillId="0" borderId="0" xfId="76" applyNumberFormat="1" applyFont="1" applyAlignment="1">
      <alignment horizontal="center"/>
    </xf>
    <xf numFmtId="183" fontId="28" fillId="0" borderId="0" xfId="42" applyNumberFormat="1" applyFont="1" applyAlignment="1">
      <alignment horizontal="center"/>
    </xf>
    <xf numFmtId="38" fontId="3" fillId="0" borderId="25" xfId="42" applyFont="1" applyBorder="1" applyAlignment="1">
      <alignment horizontal="right"/>
    </xf>
    <xf numFmtId="38" fontId="3" fillId="0" borderId="27" xfId="42" applyFont="1" applyBorder="1"/>
    <xf numFmtId="1" fontId="3" fillId="0" borderId="27" xfId="42" applyNumberFormat="1" applyFont="1" applyBorder="1" applyAlignment="1">
      <alignment horizontal="center"/>
    </xf>
    <xf numFmtId="169" fontId="3" fillId="0" borderId="27" xfId="76" applyNumberFormat="1" applyFont="1" applyBorder="1" applyAlignment="1">
      <alignment horizontal="center"/>
    </xf>
    <xf numFmtId="183" fontId="3" fillId="0" borderId="27" xfId="42" applyNumberFormat="1" applyFont="1" applyBorder="1" applyAlignment="1">
      <alignment horizontal="center"/>
    </xf>
    <xf numFmtId="170" fontId="3" fillId="0" borderId="28" xfId="39" applyNumberFormat="1" applyFont="1" applyBorder="1" applyAlignment="1">
      <alignment horizontal="right"/>
    </xf>
    <xf numFmtId="38" fontId="3" fillId="0" borderId="28" xfId="42" applyFont="1" applyBorder="1" applyAlignment="1">
      <alignment horizontal="right"/>
    </xf>
    <xf numFmtId="1" fontId="17" fillId="0" borderId="0" xfId="42" applyNumberFormat="1" applyFont="1" applyAlignment="1">
      <alignment horizontal="center"/>
    </xf>
    <xf numFmtId="169" fontId="17" fillId="0" borderId="0" xfId="42" applyNumberFormat="1" applyFont="1" applyAlignment="1">
      <alignment horizontal="center"/>
    </xf>
    <xf numFmtId="183" fontId="17" fillId="0" borderId="0" xfId="42" applyNumberFormat="1" applyFont="1" applyAlignment="1">
      <alignment horizontal="center"/>
    </xf>
    <xf numFmtId="170" fontId="17" fillId="0" borderId="25" xfId="39" applyNumberFormat="1" applyFont="1" applyBorder="1"/>
    <xf numFmtId="38" fontId="17" fillId="0" borderId="25" xfId="42" applyFont="1" applyBorder="1" applyAlignment="1">
      <alignment horizontal="right"/>
    </xf>
    <xf numFmtId="38" fontId="17" fillId="0" borderId="0" xfId="42" applyFont="1" applyBorder="1"/>
    <xf numFmtId="169" fontId="3" fillId="0" borderId="0" xfId="42" applyNumberFormat="1" applyFont="1" applyAlignment="1">
      <alignment horizontal="center"/>
    </xf>
    <xf numFmtId="183" fontId="3" fillId="0" borderId="0" xfId="42" applyNumberFormat="1" applyFont="1" applyAlignment="1">
      <alignment horizontal="center"/>
    </xf>
    <xf numFmtId="0" fontId="38" fillId="0" borderId="0" xfId="1" applyFont="1"/>
    <xf numFmtId="1" fontId="15" fillId="0" borderId="0" xfId="42" applyNumberFormat="1" applyFont="1" applyAlignment="1">
      <alignment horizontal="center"/>
    </xf>
    <xf numFmtId="169" fontId="15" fillId="0" borderId="0" xfId="76" applyNumberFormat="1" applyFont="1" applyAlignment="1">
      <alignment horizontal="center"/>
    </xf>
    <xf numFmtId="183" fontId="15" fillId="0" borderId="0" xfId="42" applyNumberFormat="1" applyFont="1" applyAlignment="1">
      <alignment horizontal="center"/>
    </xf>
    <xf numFmtId="0" fontId="3" fillId="0" borderId="27" xfId="1" applyFont="1" applyBorder="1" applyAlignment="1">
      <alignment horizontal="left"/>
    </xf>
    <xf numFmtId="0" fontId="41" fillId="0" borderId="27" xfId="1" applyFont="1" applyBorder="1" applyAlignment="1">
      <alignment horizontal="left"/>
    </xf>
    <xf numFmtId="169" fontId="41" fillId="0" borderId="27" xfId="1" applyNumberFormat="1" applyFont="1" applyBorder="1" applyAlignment="1">
      <alignment horizontal="center"/>
    </xf>
    <xf numFmtId="183" fontId="41" fillId="0" borderId="27" xfId="1" applyNumberFormat="1" applyFont="1" applyBorder="1" applyAlignment="1">
      <alignment horizontal="center"/>
    </xf>
    <xf numFmtId="170" fontId="41" fillId="0" borderId="28" xfId="39" applyNumberFormat="1" applyFont="1" applyBorder="1"/>
    <xf numFmtId="170" fontId="41" fillId="0" borderId="27" xfId="39" applyNumberFormat="1" applyFont="1" applyBorder="1" applyAlignment="1">
      <alignment horizontal="right"/>
    </xf>
    <xf numFmtId="170" fontId="41" fillId="18" borderId="26" xfId="39" applyNumberFormat="1" applyFont="1" applyFill="1" applyBorder="1" applyAlignment="1">
      <alignment horizontal="right"/>
    </xf>
    <xf numFmtId="170" fontId="41" fillId="18" borderId="27" xfId="39" applyNumberFormat="1" applyFont="1" applyFill="1" applyBorder="1" applyAlignment="1">
      <alignment horizontal="right"/>
    </xf>
    <xf numFmtId="170" fontId="41" fillId="18" borderId="28" xfId="39" applyNumberFormat="1" applyFont="1" applyFill="1" applyBorder="1" applyAlignment="1">
      <alignment horizontal="right"/>
    </xf>
    <xf numFmtId="38" fontId="41" fillId="0" borderId="28" xfId="1" applyNumberFormat="1" applyFont="1" applyBorder="1" applyAlignment="1">
      <alignment horizontal="right"/>
    </xf>
    <xf numFmtId="38" fontId="17" fillId="0" borderId="25" xfId="1" applyNumberFormat="1" applyFont="1" applyBorder="1" applyAlignment="1">
      <alignment horizontal="right"/>
    </xf>
    <xf numFmtId="170" fontId="17" fillId="0" borderId="0" xfId="39" applyNumberFormat="1" applyFont="1" applyBorder="1" applyAlignment="1">
      <alignment horizontal="right"/>
    </xf>
    <xf numFmtId="170" fontId="3" fillId="0" borderId="33" xfId="39" applyNumberFormat="1" applyFont="1" applyBorder="1"/>
    <xf numFmtId="170" fontId="3" fillId="18" borderId="32" xfId="39" applyNumberFormat="1" applyFont="1" applyFill="1" applyBorder="1" applyAlignment="1">
      <alignment horizontal="right"/>
    </xf>
    <xf numFmtId="170" fontId="3" fillId="18" borderId="11" xfId="39" applyNumberFormat="1" applyFont="1" applyFill="1" applyBorder="1" applyAlignment="1">
      <alignment horizontal="right"/>
    </xf>
    <xf numFmtId="170" fontId="3" fillId="18" borderId="33" xfId="39" applyNumberFormat="1" applyFont="1" applyFill="1" applyBorder="1" applyAlignment="1">
      <alignment horizontal="right"/>
    </xf>
    <xf numFmtId="38" fontId="3" fillId="0" borderId="33" xfId="1" applyNumberFormat="1" applyFont="1" applyBorder="1" applyAlignment="1">
      <alignment horizontal="right"/>
    </xf>
    <xf numFmtId="177" fontId="3" fillId="18" borderId="32" xfId="39" applyNumberFormat="1" applyFont="1" applyFill="1" applyBorder="1" applyAlignment="1">
      <alignment horizontal="right"/>
    </xf>
    <xf numFmtId="177" fontId="3" fillId="18" borderId="11" xfId="39" applyNumberFormat="1" applyFont="1" applyFill="1" applyBorder="1" applyAlignment="1">
      <alignment horizontal="right"/>
    </xf>
    <xf numFmtId="177" fontId="3" fillId="18" borderId="33" xfId="39" applyNumberFormat="1" applyFont="1" applyFill="1" applyBorder="1" applyAlignment="1">
      <alignment horizontal="right"/>
    </xf>
    <xf numFmtId="0" fontId="3" fillId="0" borderId="0" xfId="1" applyFont="1" applyAlignment="1">
      <alignment horizontal="center"/>
    </xf>
    <xf numFmtId="169" fontId="24" fillId="0" borderId="0" xfId="42" applyNumberFormat="1" applyFont="1" applyAlignment="1">
      <alignment horizontal="center"/>
    </xf>
    <xf numFmtId="0" fontId="3" fillId="0" borderId="25" xfId="1" applyFont="1" applyBorder="1" applyAlignment="1">
      <alignment horizontal="center"/>
    </xf>
    <xf numFmtId="0" fontId="3" fillId="0" borderId="25" xfId="1" applyFont="1" applyBorder="1" applyAlignment="1">
      <alignment horizontal="right"/>
    </xf>
    <xf numFmtId="38" fontId="3" fillId="0" borderId="25" xfId="1" applyNumberFormat="1" applyFont="1" applyBorder="1" applyAlignment="1">
      <alignment horizontal="center"/>
    </xf>
    <xf numFmtId="38" fontId="24" fillId="0" borderId="25" xfId="42" applyFont="1" applyBorder="1" applyAlignment="1">
      <alignment horizontal="center"/>
    </xf>
    <xf numFmtId="183" fontId="15" fillId="0" borderId="27" xfId="42" applyNumberFormat="1" applyFont="1" applyBorder="1" applyAlignment="1">
      <alignment horizontal="center"/>
    </xf>
    <xf numFmtId="170" fontId="3" fillId="0" borderId="0" xfId="39" applyNumberFormat="1" applyFont="1" applyAlignment="1">
      <alignment horizontal="center"/>
    </xf>
    <xf numFmtId="183" fontId="15" fillId="0" borderId="0" xfId="1" applyNumberFormat="1" applyFont="1" applyAlignment="1">
      <alignment horizontal="center"/>
    </xf>
    <xf numFmtId="183" fontId="15" fillId="0" borderId="27" xfId="1" applyNumberFormat="1" applyFont="1" applyBorder="1" applyAlignment="1">
      <alignment horizontal="center"/>
    </xf>
    <xf numFmtId="183" fontId="19" fillId="0" borderId="0" xfId="1" applyNumberFormat="1" applyFont="1" applyAlignment="1">
      <alignment horizontal="center"/>
    </xf>
    <xf numFmtId="183" fontId="15" fillId="0" borderId="11" xfId="1" applyNumberFormat="1" applyFont="1" applyBorder="1" applyAlignment="1">
      <alignment horizontal="center"/>
    </xf>
    <xf numFmtId="183" fontId="42" fillId="0" borderId="0" xfId="42" applyNumberFormat="1" applyFont="1" applyAlignment="1">
      <alignment horizontal="center"/>
    </xf>
    <xf numFmtId="169" fontId="15" fillId="0" borderId="27" xfId="76" applyNumberFormat="1" applyFont="1" applyBorder="1" applyAlignment="1">
      <alignment horizontal="center"/>
    </xf>
    <xf numFmtId="38" fontId="3" fillId="0" borderId="28" xfId="1" applyNumberFormat="1" applyFont="1" applyBorder="1" applyAlignment="1">
      <alignment horizontal="right"/>
    </xf>
    <xf numFmtId="169" fontId="38" fillId="0" borderId="0" xfId="42" applyNumberFormat="1" applyFont="1" applyAlignment="1">
      <alignment horizontal="center"/>
    </xf>
    <xf numFmtId="183" fontId="38" fillId="0" borderId="0" xfId="42" applyNumberFormat="1" applyFont="1" applyAlignment="1">
      <alignment horizontal="center"/>
    </xf>
    <xf numFmtId="0" fontId="0" fillId="19" borderId="0" xfId="1" applyFont="1" applyFill="1"/>
    <xf numFmtId="0" fontId="8" fillId="17" borderId="0" xfId="1" applyFont="1" applyFill="1"/>
    <xf numFmtId="49" fontId="0" fillId="0" borderId="0" xfId="1" applyNumberFormat="1" applyFont="1"/>
    <xf numFmtId="0" fontId="3" fillId="0" borderId="0" xfId="1" applyFont="1" applyAlignment="1">
      <alignment horizontal="left" indent="2"/>
    </xf>
    <xf numFmtId="169" fontId="28" fillId="0" borderId="27" xfId="76" applyNumberFormat="1" applyFont="1" applyBorder="1" applyAlignment="1">
      <alignment horizontal="center"/>
    </xf>
    <xf numFmtId="9" fontId="0" fillId="0" borderId="0" xfId="76" applyFont="1"/>
    <xf numFmtId="9" fontId="3" fillId="0" borderId="0" xfId="76" applyFont="1"/>
    <xf numFmtId="9" fontId="3" fillId="18" borderId="24" xfId="76" applyFont="1" applyFill="1" applyBorder="1"/>
    <xf numFmtId="9" fontId="3" fillId="18" borderId="0" xfId="76" applyFont="1" applyFill="1"/>
    <xf numFmtId="9" fontId="3" fillId="18" borderId="25" xfId="76" applyFont="1" applyFill="1" applyBorder="1"/>
    <xf numFmtId="9" fontId="30" fillId="0" borderId="0" xfId="76" applyFont="1"/>
    <xf numFmtId="167" fontId="3" fillId="0" borderId="17" xfId="1" applyNumberFormat="1" applyFont="1" applyBorder="1"/>
    <xf numFmtId="37" fontId="3" fillId="0" borderId="0" xfId="1" applyNumberFormat="1" applyFont="1"/>
    <xf numFmtId="170" fontId="17" fillId="0" borderId="0" xfId="39" applyNumberFormat="1" applyFont="1" applyFill="1" applyBorder="1"/>
    <xf numFmtId="169" fontId="3" fillId="0" borderId="0" xfId="76" applyNumberFormat="1" applyFont="1"/>
    <xf numFmtId="170" fontId="17" fillId="0" borderId="0" xfId="1" applyNumberFormat="1" applyFont="1" applyFill="1"/>
    <xf numFmtId="170" fontId="28" fillId="0" borderId="0" xfId="39" applyNumberFormat="1" applyFont="1" applyFill="1"/>
    <xf numFmtId="0" fontId="0" fillId="0" borderId="0" xfId="1" applyFont="1" applyFill="1"/>
    <xf numFmtId="170" fontId="0" fillId="0" borderId="0" xfId="39" applyNumberFormat="1" applyFont="1" applyFill="1" applyBorder="1"/>
    <xf numFmtId="8" fontId="17" fillId="0" borderId="0" xfId="39" applyNumberFormat="1" applyFont="1" applyFill="1"/>
    <xf numFmtId="8" fontId="0" fillId="0" borderId="0" xfId="39" applyNumberFormat="1" applyFont="1" applyFill="1"/>
    <xf numFmtId="179" fontId="0" fillId="0" borderId="0" xfId="39" applyNumberFormat="1" applyFont="1" applyFill="1" applyBorder="1"/>
    <xf numFmtId="170" fontId="3" fillId="0" borderId="24" xfId="39" applyNumberFormat="1" applyFont="1" applyBorder="1" applyAlignment="1">
      <alignment horizontal="center"/>
    </xf>
    <xf numFmtId="170" fontId="28" fillId="0" borderId="0" xfId="39" applyNumberFormat="1" applyFont="1" applyBorder="1" applyAlignment="1">
      <alignment horizontal="center"/>
    </xf>
    <xf numFmtId="170" fontId="28" fillId="0" borderId="0" xfId="39" applyNumberFormat="1" applyFont="1" applyAlignment="1">
      <alignment horizontal="center"/>
    </xf>
    <xf numFmtId="170" fontId="3" fillId="0" borderId="26" xfId="39" applyNumberFormat="1" applyFont="1" applyBorder="1" applyAlignment="1">
      <alignment horizontal="center"/>
    </xf>
    <xf numFmtId="170" fontId="28" fillId="0" borderId="27" xfId="39" applyNumberFormat="1" applyFont="1" applyBorder="1" applyAlignment="1">
      <alignment horizontal="center"/>
    </xf>
    <xf numFmtId="170" fontId="17" fillId="0" borderId="24" xfId="39" applyNumberFormat="1" applyFont="1" applyBorder="1" applyAlignment="1">
      <alignment horizontal="center"/>
    </xf>
    <xf numFmtId="170" fontId="17" fillId="0" borderId="0" xfId="39" applyNumberFormat="1" applyFont="1" applyAlignment="1">
      <alignment horizontal="center"/>
    </xf>
    <xf numFmtId="170" fontId="3" fillId="0" borderId="0" xfId="39" applyNumberFormat="1" applyFont="1" applyBorder="1" applyAlignment="1">
      <alignment horizontal="center"/>
    </xf>
    <xf numFmtId="170" fontId="3" fillId="0" borderId="27" xfId="39" applyNumberFormat="1" applyFont="1" applyBorder="1" applyAlignment="1">
      <alignment horizontal="center"/>
    </xf>
    <xf numFmtId="170" fontId="3" fillId="0" borderId="32" xfId="39" applyNumberFormat="1" applyFont="1" applyBorder="1" applyAlignment="1">
      <alignment horizontal="center"/>
    </xf>
    <xf numFmtId="170" fontId="3" fillId="0" borderId="11" xfId="39" applyNumberFormat="1" applyFont="1" applyBorder="1" applyAlignment="1">
      <alignment horizontal="center"/>
    </xf>
    <xf numFmtId="170" fontId="24" fillId="0" borderId="0" xfId="39" applyNumberFormat="1" applyFont="1" applyBorder="1" applyAlignment="1">
      <alignment horizontal="center"/>
    </xf>
    <xf numFmtId="170" fontId="24" fillId="0" borderId="24" xfId="39" applyNumberFormat="1" applyFont="1" applyBorder="1" applyAlignment="1">
      <alignment horizontal="center"/>
    </xf>
    <xf numFmtId="170" fontId="1" fillId="0" borderId="0" xfId="39" applyNumberFormat="1" applyFont="1" applyBorder="1"/>
    <xf numFmtId="0" fontId="51" fillId="0" borderId="0" xfId="1" applyFont="1"/>
    <xf numFmtId="170" fontId="52" fillId="0" borderId="0" xfId="39" applyNumberFormat="1" applyFont="1"/>
    <xf numFmtId="170" fontId="51" fillId="18" borderId="24" xfId="1" applyNumberFormat="1" applyFont="1" applyFill="1" applyBorder="1"/>
    <xf numFmtId="170" fontId="51" fillId="18" borderId="0" xfId="1" applyNumberFormat="1" applyFont="1" applyFill="1"/>
    <xf numFmtId="170" fontId="51" fillId="18" borderId="25" xfId="1" applyNumberFormat="1" applyFont="1" applyFill="1" applyBorder="1"/>
    <xf numFmtId="170" fontId="51" fillId="0" borderId="0" xfId="1" applyNumberFormat="1" applyFont="1"/>
    <xf numFmtId="170" fontId="51" fillId="18" borderId="0" xfId="39" applyNumberFormat="1" applyFont="1" applyFill="1"/>
    <xf numFmtId="170" fontId="51" fillId="18" borderId="25" xfId="39" applyNumberFormat="1" applyFont="1" applyFill="1" applyBorder="1"/>
    <xf numFmtId="170" fontId="51" fillId="0" borderId="0" xfId="39" applyNumberFormat="1" applyFont="1"/>
    <xf numFmtId="170" fontId="51" fillId="18" borderId="24" xfId="39" applyNumberFormat="1" applyFont="1" applyFill="1" applyBorder="1"/>
    <xf numFmtId="170" fontId="52" fillId="0" borderId="0" xfId="39" applyNumberFormat="1" applyFont="1" applyBorder="1"/>
    <xf numFmtId="0" fontId="52" fillId="0" borderId="0" xfId="1" applyFont="1"/>
    <xf numFmtId="178" fontId="3" fillId="18" borderId="26" xfId="1" applyNumberFormat="1" applyFont="1" applyFill="1" applyBorder="1"/>
    <xf numFmtId="178" fontId="3" fillId="18" borderId="27" xfId="1" applyNumberFormat="1" applyFont="1" applyFill="1" applyBorder="1"/>
    <xf numFmtId="178" fontId="3" fillId="18" borderId="28" xfId="1" applyNumberFormat="1" applyFont="1" applyFill="1" applyBorder="1"/>
    <xf numFmtId="169" fontId="30" fillId="18" borderId="26" xfId="1" applyNumberFormat="1" applyFont="1" applyFill="1" applyBorder="1"/>
    <xf numFmtId="169" fontId="30" fillId="18" borderId="27" xfId="1" applyNumberFormat="1" applyFont="1" applyFill="1" applyBorder="1"/>
    <xf numFmtId="169" fontId="30" fillId="18" borderId="28" xfId="1" applyNumberFormat="1" applyFont="1" applyFill="1" applyBorder="1"/>
    <xf numFmtId="0" fontId="17" fillId="0" borderId="0" xfId="1" applyFont="1" applyFill="1"/>
    <xf numFmtId="178" fontId="15" fillId="18" borderId="24" xfId="1" applyNumberFormat="1" applyFont="1" applyFill="1" applyBorder="1"/>
    <xf numFmtId="0" fontId="55" fillId="17" borderId="0" xfId="1" applyFont="1" applyFill="1"/>
    <xf numFmtId="0" fontId="56" fillId="17" borderId="0" xfId="1" applyFont="1" applyFill="1"/>
    <xf numFmtId="0" fontId="57" fillId="19" borderId="0" xfId="1" applyFont="1" applyFill="1"/>
    <xf numFmtId="0" fontId="9" fillId="19" borderId="0" xfId="1" applyFont="1" applyFill="1"/>
    <xf numFmtId="0" fontId="17" fillId="19" borderId="0" xfId="1" applyFont="1" applyFill="1"/>
    <xf numFmtId="0" fontId="58" fillId="19" borderId="0" xfId="1" applyFont="1" applyFill="1"/>
    <xf numFmtId="0" fontId="26" fillId="0" borderId="0" xfId="1" applyFont="1" applyFill="1"/>
    <xf numFmtId="0" fontId="27" fillId="0" borderId="0" xfId="1" applyFont="1" applyFill="1"/>
    <xf numFmtId="167" fontId="0" fillId="0" borderId="17" xfId="1" applyNumberFormat="1" applyFont="1" applyFill="1" applyBorder="1"/>
    <xf numFmtId="0" fontId="3" fillId="0" borderId="0" xfId="1" applyFont="1" applyFill="1"/>
    <xf numFmtId="0" fontId="31" fillId="0" borderId="0" xfId="1" applyFont="1" applyFill="1"/>
    <xf numFmtId="3" fontId="0" fillId="0" borderId="0" xfId="1" applyNumberFormat="1" applyFont="1" applyFill="1"/>
    <xf numFmtId="3" fontId="3" fillId="0" borderId="0" xfId="1" applyNumberFormat="1" applyFont="1" applyFill="1"/>
    <xf numFmtId="1" fontId="28" fillId="0" borderId="27" xfId="42" applyNumberFormat="1" applyFont="1" applyBorder="1" applyAlignment="1">
      <alignment horizontal="center"/>
    </xf>
    <xf numFmtId="1" fontId="28" fillId="0" borderId="27" xfId="1" applyNumberFormat="1" applyFont="1" applyBorder="1" applyAlignment="1">
      <alignment horizontal="center"/>
    </xf>
    <xf numFmtId="1" fontId="37" fillId="0" borderId="0" xfId="1" applyNumberFormat="1" applyFont="1" applyAlignment="1">
      <alignment horizontal="center"/>
    </xf>
    <xf numFmtId="1" fontId="28" fillId="0" borderId="0" xfId="1" applyNumberFormat="1" applyFont="1" applyAlignment="1">
      <alignment horizontal="center"/>
    </xf>
    <xf numFmtId="1" fontId="28" fillId="0" borderId="11" xfId="1" applyNumberFormat="1" applyFont="1" applyBorder="1" applyAlignment="1">
      <alignment horizontal="center"/>
    </xf>
    <xf numFmtId="0" fontId="28" fillId="0" borderId="0" xfId="1" applyFont="1" applyAlignment="1">
      <alignment horizontal="center"/>
    </xf>
    <xf numFmtId="37" fontId="28" fillId="0" borderId="0" xfId="42" applyNumberFormat="1" applyFont="1" applyBorder="1" applyAlignment="1">
      <alignment horizontal="center"/>
    </xf>
    <xf numFmtId="1" fontId="37" fillId="0" borderId="0" xfId="42" applyNumberFormat="1" applyFont="1" applyAlignment="1">
      <alignment horizontal="center"/>
    </xf>
    <xf numFmtId="38" fontId="59" fillId="0" borderId="0" xfId="42" applyFont="1" applyBorder="1" applyAlignment="1">
      <alignment horizontal="center"/>
    </xf>
    <xf numFmtId="1" fontId="59" fillId="0" borderId="0" xfId="42" applyNumberFormat="1" applyFont="1" applyAlignment="1">
      <alignment horizontal="center"/>
    </xf>
    <xf numFmtId="1" fontId="60" fillId="0" borderId="0" xfId="42" applyNumberFormat="1" applyFont="1" applyAlignment="1">
      <alignment horizontal="center"/>
    </xf>
    <xf numFmtId="169" fontId="28" fillId="0" borderId="27" xfId="1" applyNumberFormat="1" applyFont="1" applyBorder="1" applyAlignment="1">
      <alignment horizontal="center"/>
    </xf>
    <xf numFmtId="38" fontId="17" fillId="0" borderId="22" xfId="42" applyFont="1" applyBorder="1"/>
    <xf numFmtId="170" fontId="17" fillId="0" borderId="22" xfId="39" applyNumberFormat="1" applyFont="1" applyBorder="1" applyAlignment="1">
      <alignment horizontal="center"/>
    </xf>
    <xf numFmtId="1" fontId="37" fillId="0" borderId="22" xfId="42" applyNumberFormat="1" applyFont="1" applyBorder="1" applyAlignment="1">
      <alignment horizontal="center"/>
    </xf>
    <xf numFmtId="169" fontId="17" fillId="0" borderId="22" xfId="42" applyNumberFormat="1" applyFont="1" applyBorder="1" applyAlignment="1">
      <alignment horizontal="center"/>
    </xf>
    <xf numFmtId="183" fontId="17" fillId="0" borderId="22" xfId="42" applyNumberFormat="1" applyFont="1" applyBorder="1" applyAlignment="1">
      <alignment horizontal="center"/>
    </xf>
    <xf numFmtId="170" fontId="17" fillId="0" borderId="23" xfId="39" applyNumberFormat="1" applyFont="1" applyBorder="1"/>
    <xf numFmtId="170" fontId="17" fillId="0" borderId="22" xfId="39" applyNumberFormat="1" applyFont="1" applyBorder="1" applyAlignment="1">
      <alignment horizontal="right"/>
    </xf>
    <xf numFmtId="170" fontId="17" fillId="18" borderId="21" xfId="39" applyNumberFormat="1" applyFont="1" applyFill="1" applyBorder="1" applyAlignment="1">
      <alignment horizontal="right"/>
    </xf>
    <xf numFmtId="170" fontId="17" fillId="18" borderId="22" xfId="39" applyNumberFormat="1" applyFont="1" applyFill="1" applyBorder="1" applyAlignment="1">
      <alignment horizontal="right"/>
    </xf>
    <xf numFmtId="170" fontId="17" fillId="18" borderId="23" xfId="39" applyNumberFormat="1" applyFont="1" applyFill="1" applyBorder="1" applyAlignment="1">
      <alignment horizontal="right"/>
    </xf>
    <xf numFmtId="38" fontId="17" fillId="0" borderId="23" xfId="42" applyFont="1" applyBorder="1" applyAlignment="1">
      <alignment horizontal="right"/>
    </xf>
    <xf numFmtId="177" fontId="17" fillId="0" borderId="22" xfId="39" applyNumberFormat="1" applyFont="1" applyBorder="1" applyAlignment="1">
      <alignment horizontal="right"/>
    </xf>
    <xf numFmtId="177" fontId="17" fillId="18" borderId="21" xfId="39" applyNumberFormat="1" applyFont="1" applyFill="1" applyBorder="1" applyAlignment="1">
      <alignment horizontal="right"/>
    </xf>
    <xf numFmtId="177" fontId="17" fillId="18" borderId="22" xfId="39" applyNumberFormat="1" applyFont="1" applyFill="1" applyBorder="1" applyAlignment="1">
      <alignment horizontal="right"/>
    </xf>
    <xf numFmtId="177" fontId="17" fillId="18" borderId="23" xfId="39" applyNumberFormat="1" applyFont="1" applyFill="1" applyBorder="1" applyAlignment="1">
      <alignment horizontal="right"/>
    </xf>
    <xf numFmtId="170" fontId="17" fillId="0" borderId="21" xfId="39" applyNumberFormat="1" applyFont="1" applyBorder="1" applyAlignment="1">
      <alignment horizontal="center"/>
    </xf>
    <xf numFmtId="178" fontId="3" fillId="0" borderId="0" xfId="1" applyNumberFormat="1" applyFont="1" applyFill="1"/>
    <xf numFmtId="8" fontId="35" fillId="18" borderId="25" xfId="1" applyNumberFormat="1" applyFont="1" applyFill="1" applyBorder="1"/>
    <xf numFmtId="8" fontId="28" fillId="18" borderId="25" xfId="1" applyNumberFormat="1" applyFont="1" applyFill="1" applyBorder="1"/>
    <xf numFmtId="8" fontId="30" fillId="0" borderId="0" xfId="1" applyNumberFormat="1" applyFont="1"/>
    <xf numFmtId="38" fontId="3" fillId="0" borderId="0" xfId="42" applyFont="1" applyFill="1"/>
    <xf numFmtId="0" fontId="0" fillId="0" borderId="0" xfId="1" applyFont="1" applyFill="1" applyBorder="1"/>
    <xf numFmtId="4" fontId="17" fillId="18" borderId="0" xfId="1" applyNumberFormat="1" applyFont="1" applyFill="1" applyBorder="1"/>
    <xf numFmtId="4" fontId="17" fillId="0" borderId="0" xfId="1" applyNumberFormat="1" applyFont="1" applyFill="1" applyBorder="1"/>
    <xf numFmtId="170" fontId="28" fillId="0" borderId="0" xfId="39" applyNumberFormat="1" applyFont="1" applyFill="1" applyBorder="1"/>
    <xf numFmtId="0" fontId="17" fillId="0" borderId="0" xfId="1" applyFont="1" applyFill="1" applyBorder="1"/>
    <xf numFmtId="170" fontId="3" fillId="0" borderId="0" xfId="39" applyNumberFormat="1" applyFont="1" applyFill="1" applyBorder="1"/>
    <xf numFmtId="4" fontId="3" fillId="18" borderId="0" xfId="1" applyNumberFormat="1" applyFont="1" applyFill="1" applyBorder="1"/>
    <xf numFmtId="3" fontId="3" fillId="18" borderId="0" xfId="1" applyNumberFormat="1" applyFont="1" applyFill="1" applyBorder="1"/>
    <xf numFmtId="169" fontId="3" fillId="18" borderId="24" xfId="39" applyNumberFormat="1" applyFont="1" applyFill="1" applyBorder="1"/>
    <xf numFmtId="169" fontId="3" fillId="18" borderId="0" xfId="39" applyNumberFormat="1" applyFont="1" applyFill="1"/>
    <xf numFmtId="169" fontId="3" fillId="18" borderId="25" xfId="39" applyNumberFormat="1" applyFont="1" applyFill="1" applyBorder="1"/>
    <xf numFmtId="169" fontId="3" fillId="0" borderId="0" xfId="39" applyNumberFormat="1" applyFont="1"/>
    <xf numFmtId="170" fontId="3" fillId="18" borderId="24" xfId="1" applyNumberFormat="1" applyFont="1" applyFill="1" applyBorder="1"/>
    <xf numFmtId="170" fontId="3" fillId="18" borderId="0" xfId="1" applyNumberFormat="1" applyFont="1" applyFill="1"/>
    <xf numFmtId="3" fontId="17" fillId="18" borderId="25" xfId="1" applyNumberFormat="1" applyFont="1" applyFill="1" applyBorder="1"/>
    <xf numFmtId="3" fontId="17" fillId="18" borderId="24" xfId="1" applyNumberFormat="1" applyFont="1" applyFill="1" applyBorder="1"/>
    <xf numFmtId="3" fontId="17" fillId="18" borderId="0" xfId="1" applyNumberFormat="1" applyFont="1" applyFill="1"/>
    <xf numFmtId="9" fontId="3" fillId="18" borderId="0" xfId="39" applyNumberFormat="1" applyFont="1" applyFill="1" applyBorder="1"/>
    <xf numFmtId="169" fontId="3" fillId="18" borderId="0" xfId="1" applyNumberFormat="1" applyFont="1" applyFill="1" applyBorder="1"/>
    <xf numFmtId="9" fontId="52" fillId="0" borderId="0" xfId="39" applyNumberFormat="1" applyFont="1" applyBorder="1"/>
    <xf numFmtId="10" fontId="52" fillId="0" borderId="0" xfId="39" applyNumberFormat="1" applyFont="1" applyBorder="1"/>
    <xf numFmtId="9" fontId="0" fillId="0" borderId="0" xfId="39" applyNumberFormat="1" applyFont="1" applyBorder="1"/>
    <xf numFmtId="10" fontId="17" fillId="0" borderId="0" xfId="39" applyNumberFormat="1" applyFont="1" applyBorder="1"/>
    <xf numFmtId="43" fontId="3" fillId="0" borderId="0" xfId="1" applyNumberFormat="1" applyFont="1"/>
    <xf numFmtId="178" fontId="17" fillId="0" borderId="0" xfId="1" applyNumberFormat="1" applyFont="1" applyAlignment="1">
      <alignment horizontal="center"/>
    </xf>
    <xf numFmtId="17" fontId="0" fillId="0" borderId="0" xfId="1" applyNumberFormat="1" applyFont="1" applyAlignment="1">
      <alignment horizontal="center"/>
    </xf>
    <xf numFmtId="178" fontId="3" fillId="0" borderId="0" xfId="1" applyNumberFormat="1" applyFont="1" applyAlignment="1">
      <alignment horizontal="left"/>
    </xf>
    <xf numFmtId="8" fontId="32" fillId="18" borderId="0" xfId="1" applyNumberFormat="1" applyFont="1" applyFill="1"/>
    <xf numFmtId="38" fontId="3" fillId="0" borderId="0" xfId="42" applyNumberFormat="1" applyFont="1" applyFill="1"/>
    <xf numFmtId="0" fontId="0" fillId="18" borderId="0" xfId="39" applyNumberFormat="1" applyFont="1" applyFill="1" applyBorder="1"/>
    <xf numFmtId="170" fontId="0" fillId="0" borderId="0" xfId="1" applyNumberFormat="1" applyFont="1" applyFill="1"/>
    <xf numFmtId="3" fontId="17" fillId="0" borderId="0" xfId="1" applyNumberFormat="1" applyFont="1" applyFill="1" applyAlignment="1">
      <alignment horizontal="right"/>
    </xf>
    <xf numFmtId="0" fontId="17" fillId="0" borderId="0" xfId="1" applyFont="1" applyFill="1" applyAlignment="1">
      <alignment horizontal="right"/>
    </xf>
    <xf numFmtId="170" fontId="0" fillId="0" borderId="0" xfId="39" applyNumberFormat="1" applyFont="1" applyFill="1"/>
    <xf numFmtId="170" fontId="32" fillId="0" borderId="0" xfId="39" applyNumberFormat="1" applyFont="1" applyFill="1"/>
    <xf numFmtId="0" fontId="32" fillId="0" borderId="0" xfId="1" applyFont="1" applyFill="1"/>
    <xf numFmtId="0" fontId="3" fillId="0" borderId="0" xfId="1" applyFont="1" applyFill="1" applyBorder="1"/>
    <xf numFmtId="9" fontId="0" fillId="0" borderId="0" xfId="39" applyNumberFormat="1" applyFont="1"/>
    <xf numFmtId="169" fontId="0" fillId="0" borderId="0" xfId="39" applyNumberFormat="1" applyFont="1" applyBorder="1"/>
    <xf numFmtId="0" fontId="43" fillId="0" borderId="0" xfId="1" applyFont="1" applyFill="1" applyBorder="1" applyAlignment="1">
      <alignment horizontal="right" wrapText="1"/>
    </xf>
    <xf numFmtId="0" fontId="12" fillId="17" borderId="0" xfId="1" applyFont="1" applyFill="1" applyBorder="1"/>
    <xf numFmtId="0" fontId="22" fillId="17" borderId="0" xfId="1" applyFont="1" applyFill="1" applyBorder="1"/>
    <xf numFmtId="7" fontId="17" fillId="0" borderId="0" xfId="1" applyNumberFormat="1" applyFont="1" applyFill="1"/>
    <xf numFmtId="0" fontId="17" fillId="0" borderId="12" xfId="1" applyFont="1" applyFill="1" applyBorder="1" applyAlignment="1"/>
    <xf numFmtId="170" fontId="17" fillId="0" borderId="13" xfId="39" applyNumberFormat="1" applyFont="1" applyFill="1" applyBorder="1" applyAlignment="1"/>
    <xf numFmtId="37" fontId="17" fillId="0" borderId="13" xfId="1" applyNumberFormat="1" applyFont="1" applyFill="1" applyBorder="1" applyAlignment="1"/>
    <xf numFmtId="7" fontId="17" fillId="0" borderId="14" xfId="1" applyNumberFormat="1" applyFont="1" applyFill="1" applyBorder="1"/>
    <xf numFmtId="173" fontId="3" fillId="0" borderId="0" xfId="42" applyNumberFormat="1" applyFont="1" applyFill="1" applyAlignment="1">
      <alignment horizontal="left"/>
    </xf>
    <xf numFmtId="7" fontId="0" fillId="0" borderId="0" xfId="1" applyNumberFormat="1" applyFont="1" applyFill="1"/>
    <xf numFmtId="170" fontId="1" fillId="0" borderId="0" xfId="39" applyNumberFormat="1" applyFont="1" applyFill="1" applyAlignment="1"/>
    <xf numFmtId="7" fontId="1" fillId="0" borderId="0" xfId="1" applyNumberFormat="1" applyFont="1" applyFill="1" applyAlignment="1"/>
    <xf numFmtId="170" fontId="1" fillId="0" borderId="0" xfId="39" applyNumberFormat="1" applyFont="1" applyFill="1"/>
    <xf numFmtId="8" fontId="32" fillId="0" borderId="0" xfId="1" applyNumberFormat="1" applyFont="1"/>
    <xf numFmtId="0" fontId="1" fillId="0" borderId="0" xfId="1" applyFont="1" applyFill="1"/>
    <xf numFmtId="7" fontId="17" fillId="0" borderId="14" xfId="1" applyNumberFormat="1" applyFont="1" applyFill="1" applyBorder="1" applyAlignment="1"/>
    <xf numFmtId="0" fontId="17" fillId="0" borderId="0" xfId="1" applyFont="1" applyFill="1" applyAlignment="1">
      <alignment horizontal="center"/>
    </xf>
    <xf numFmtId="0" fontId="0" fillId="0" borderId="0" xfId="1" applyFont="1" applyFill="1" applyAlignment="1">
      <alignment horizontal="left"/>
    </xf>
    <xf numFmtId="9" fontId="0" fillId="0" borderId="0" xfId="1" applyNumberFormat="1" applyFont="1" applyFill="1"/>
    <xf numFmtId="9" fontId="17" fillId="0" borderId="0" xfId="1" applyNumberFormat="1" applyFont="1" applyFill="1"/>
    <xf numFmtId="7" fontId="32" fillId="0" borderId="0" xfId="1" applyNumberFormat="1" applyFont="1" applyFill="1"/>
    <xf numFmtId="0" fontId="0" fillId="0" borderId="0" xfId="1" applyFont="1" applyFill="1" applyAlignment="1">
      <alignment wrapText="1"/>
    </xf>
    <xf numFmtId="170" fontId="1" fillId="0" borderId="0" xfId="39" applyNumberFormat="1" applyFont="1"/>
    <xf numFmtId="43" fontId="0" fillId="0" borderId="0" xfId="1" applyNumberFormat="1" applyFont="1" applyFill="1"/>
    <xf numFmtId="7" fontId="1" fillId="0" borderId="0" xfId="39" applyNumberFormat="1" applyFont="1" applyFill="1" applyAlignment="1"/>
    <xf numFmtId="8" fontId="18" fillId="0" borderId="0" xfId="1" applyNumberFormat="1" applyFont="1"/>
    <xf numFmtId="170" fontId="32" fillId="18" borderId="25" xfId="39" applyNumberFormat="1" applyFont="1" applyFill="1" applyBorder="1"/>
    <xf numFmtId="170" fontId="32" fillId="18" borderId="24" xfId="39" applyNumberFormat="1" applyFont="1" applyFill="1" applyBorder="1"/>
    <xf numFmtId="170" fontId="32" fillId="18" borderId="0" xfId="39" applyNumberFormat="1" applyFont="1" applyFill="1" applyBorder="1"/>
    <xf numFmtId="9" fontId="1" fillId="0" borderId="0" xfId="76" applyNumberFormat="1" applyFont="1"/>
    <xf numFmtId="8" fontId="35" fillId="18" borderId="0" xfId="1" applyNumberFormat="1" applyFont="1" applyFill="1"/>
    <xf numFmtId="8" fontId="17" fillId="18" borderId="0" xfId="1" applyNumberFormat="1" applyFont="1" applyFill="1"/>
    <xf numFmtId="8" fontId="32" fillId="18" borderId="25" xfId="1" applyNumberFormat="1" applyFont="1" applyFill="1" applyBorder="1"/>
    <xf numFmtId="8" fontId="79" fillId="0" borderId="0" xfId="1" applyNumberFormat="1" applyFont="1"/>
    <xf numFmtId="8" fontId="32" fillId="18" borderId="24" xfId="1" applyNumberFormat="1" applyFont="1" applyFill="1" applyBorder="1"/>
    <xf numFmtId="8" fontId="17" fillId="18" borderId="25" xfId="1" applyNumberFormat="1" applyFont="1" applyFill="1" applyBorder="1"/>
    <xf numFmtId="0" fontId="8" fillId="17" borderId="0" xfId="1" applyFont="1" applyFill="1" applyAlignment="1">
      <alignment horizontal="left"/>
    </xf>
    <xf numFmtId="8" fontId="8" fillId="17" borderId="0" xfId="1" applyNumberFormat="1" applyFont="1" applyFill="1" applyAlignment="1">
      <alignment horizontal="left"/>
    </xf>
    <xf numFmtId="14" fontId="8" fillId="17" borderId="0" xfId="1" applyNumberFormat="1" applyFont="1" applyFill="1" applyAlignment="1">
      <alignment horizontal="left"/>
    </xf>
    <xf numFmtId="193" fontId="0" fillId="0" borderId="0" xfId="1" applyNumberFormat="1" applyFont="1"/>
    <xf numFmtId="193" fontId="1" fillId="0" borderId="0" xfId="1" applyNumberFormat="1" applyFont="1"/>
    <xf numFmtId="193" fontId="0" fillId="0" borderId="0" xfId="1" applyNumberFormat="1" applyFont="1" applyFill="1"/>
    <xf numFmtId="193" fontId="3" fillId="0" borderId="0" xfId="1" applyNumberFormat="1" applyFont="1"/>
    <xf numFmtId="193" fontId="34" fillId="0" borderId="0" xfId="1" applyNumberFormat="1" applyFont="1"/>
    <xf numFmtId="170" fontId="1" fillId="18" borderId="24" xfId="39" applyNumberFormat="1" applyFont="1" applyFill="1" applyBorder="1" applyAlignment="1"/>
    <xf numFmtId="43" fontId="32" fillId="0" borderId="0" xfId="1" applyNumberFormat="1" applyFont="1"/>
    <xf numFmtId="7" fontId="1" fillId="0" borderId="0" xfId="1" applyNumberFormat="1" applyFont="1"/>
    <xf numFmtId="7" fontId="34" fillId="0" borderId="0" xfId="1" applyNumberFormat="1" applyFont="1"/>
    <xf numFmtId="0" fontId="34" fillId="19" borderId="0" xfId="1" applyFont="1" applyFill="1"/>
    <xf numFmtId="169" fontId="0" fillId="0" borderId="0" xfId="76" applyNumberFormat="1" applyFont="1"/>
    <xf numFmtId="193" fontId="0" fillId="0" borderId="0" xfId="76" applyNumberFormat="1" applyFont="1"/>
    <xf numFmtId="8" fontId="19" fillId="0" borderId="0" xfId="1" applyNumberFormat="1" applyFont="1"/>
    <xf numFmtId="43" fontId="3" fillId="18" borderId="24" xfId="39" applyFont="1" applyFill="1" applyBorder="1"/>
    <xf numFmtId="43" fontId="3" fillId="18" borderId="0" xfId="39" applyFont="1" applyFill="1"/>
    <xf numFmtId="43" fontId="3" fillId="18" borderId="25" xfId="39" applyFont="1" applyFill="1" applyBorder="1"/>
    <xf numFmtId="43" fontId="3" fillId="0" borderId="0" xfId="39" applyFont="1"/>
    <xf numFmtId="170" fontId="17" fillId="0" borderId="0" xfId="39" applyNumberFormat="1" applyFont="1" applyBorder="1" applyAlignment="1">
      <alignment horizontal="center"/>
    </xf>
    <xf numFmtId="8" fontId="80" fillId="0" borderId="0" xfId="1" applyNumberFormat="1" applyFont="1"/>
    <xf numFmtId="0" fontId="81" fillId="0" borderId="0" xfId="1" applyFont="1" applyFill="1"/>
    <xf numFmtId="10" fontId="0" fillId="0" borderId="0" xfId="1" applyNumberFormat="1" applyFont="1"/>
    <xf numFmtId="178" fontId="3" fillId="0" borderId="0" xfId="1" quotePrefix="1" applyNumberFormat="1" applyFont="1"/>
    <xf numFmtId="43" fontId="0" fillId="18" borderId="24" xfId="39" applyFont="1" applyFill="1" applyBorder="1"/>
    <xf numFmtId="38" fontId="17" fillId="0" borderId="0" xfId="42" applyFont="1" applyFill="1"/>
    <xf numFmtId="178" fontId="15" fillId="0" borderId="0" xfId="1" applyNumberFormat="1" applyFont="1"/>
    <xf numFmtId="8" fontId="15" fillId="0" borderId="0" xfId="1" applyNumberFormat="1" applyFont="1" applyFill="1" applyAlignment="1">
      <alignment horizontal="right"/>
    </xf>
    <xf numFmtId="178" fontId="3" fillId="18" borderId="0" xfId="1" applyNumberFormat="1" applyFont="1" applyFill="1" applyBorder="1"/>
    <xf numFmtId="170" fontId="28" fillId="0" borderId="0" xfId="39" applyNumberFormat="1" applyFont="1" applyFill="1" applyAlignment="1">
      <alignment horizontal="center"/>
    </xf>
    <xf numFmtId="180" fontId="17" fillId="18" borderId="0" xfId="1" applyNumberFormat="1" applyFont="1" applyFill="1" applyBorder="1"/>
    <xf numFmtId="170" fontId="17" fillId="18" borderId="0" xfId="1" applyNumberFormat="1" applyFont="1" applyFill="1" applyBorder="1"/>
    <xf numFmtId="169" fontId="18" fillId="18" borderId="0" xfId="1" applyNumberFormat="1" applyFont="1" applyFill="1" applyBorder="1"/>
    <xf numFmtId="7" fontId="3" fillId="18" borderId="0" xfId="1" applyNumberFormat="1" applyFont="1" applyFill="1" applyBorder="1"/>
    <xf numFmtId="9" fontId="3" fillId="18" borderId="0" xfId="1" applyNumberFormat="1" applyFont="1" applyFill="1" applyBorder="1"/>
    <xf numFmtId="8" fontId="17" fillId="18" borderId="0" xfId="1" applyNumberFormat="1" applyFont="1" applyFill="1" applyBorder="1"/>
    <xf numFmtId="170" fontId="3" fillId="18" borderId="0" xfId="1" applyNumberFormat="1" applyFont="1" applyFill="1" applyBorder="1"/>
    <xf numFmtId="170" fontId="51" fillId="18" borderId="0" xfId="1" applyNumberFormat="1" applyFont="1" applyFill="1" applyBorder="1"/>
    <xf numFmtId="180" fontId="17" fillId="18" borderId="0" xfId="45" applyNumberFormat="1" applyFont="1" applyFill="1" applyBorder="1"/>
    <xf numFmtId="169" fontId="3" fillId="18" borderId="0" xfId="39" applyNumberFormat="1" applyFont="1" applyFill="1" applyBorder="1"/>
    <xf numFmtId="9" fontId="18" fillId="18" borderId="0" xfId="1" applyNumberFormat="1" applyFont="1" applyFill="1" applyBorder="1"/>
    <xf numFmtId="170" fontId="37" fillId="18" borderId="0" xfId="39" applyNumberFormat="1" applyFont="1" applyFill="1" applyBorder="1"/>
    <xf numFmtId="170" fontId="15" fillId="0" borderId="0" xfId="39" applyNumberFormat="1" applyFont="1" applyBorder="1"/>
    <xf numFmtId="7" fontId="3" fillId="0" borderId="0" xfId="1" applyNumberFormat="1" applyFont="1" applyBorder="1"/>
    <xf numFmtId="9" fontId="30" fillId="0" borderId="0" xfId="1" applyNumberFormat="1" applyFont="1" applyBorder="1"/>
    <xf numFmtId="8" fontId="17" fillId="0" borderId="0" xfId="1" applyNumberFormat="1" applyFont="1" applyBorder="1"/>
    <xf numFmtId="4" fontId="17" fillId="0" borderId="0" xfId="1" applyNumberFormat="1" applyFont="1" applyBorder="1"/>
    <xf numFmtId="169" fontId="3" fillId="0" borderId="0" xfId="1" applyNumberFormat="1" applyFont="1" applyBorder="1"/>
    <xf numFmtId="169" fontId="15" fillId="0" borderId="0" xfId="1" applyNumberFormat="1" applyFont="1" applyBorder="1"/>
    <xf numFmtId="178" fontId="15" fillId="0" borderId="0" xfId="39" applyNumberFormat="1" applyFont="1" applyBorder="1"/>
    <xf numFmtId="170" fontId="28" fillId="0" borderId="0" xfId="1" applyNumberFormat="1" applyFont="1" applyBorder="1"/>
    <xf numFmtId="170" fontId="51" fillId="0" borderId="0" xfId="1" applyNumberFormat="1" applyFont="1" applyBorder="1"/>
    <xf numFmtId="180" fontId="17" fillId="0" borderId="0" xfId="45" applyNumberFormat="1" applyFont="1" applyBorder="1"/>
    <xf numFmtId="180" fontId="17" fillId="0" borderId="0" xfId="1" applyNumberFormat="1" applyFont="1" applyBorder="1"/>
    <xf numFmtId="169" fontId="18" fillId="0" borderId="0" xfId="1" applyNumberFormat="1" applyFont="1" applyBorder="1"/>
    <xf numFmtId="170" fontId="29" fillId="0" borderId="0" xfId="1" applyNumberFormat="1" applyFont="1" applyBorder="1"/>
    <xf numFmtId="170" fontId="17" fillId="0" borderId="0" xfId="1" applyNumberFormat="1" applyFont="1" applyBorder="1"/>
    <xf numFmtId="9" fontId="18" fillId="0" borderId="0" xfId="1" applyNumberFormat="1" applyFont="1" applyBorder="1"/>
    <xf numFmtId="4" fontId="3" fillId="0" borderId="0" xfId="1" applyNumberFormat="1" applyFont="1" applyBorder="1"/>
    <xf numFmtId="170" fontId="37" fillId="0" borderId="0" xfId="39" applyNumberFormat="1" applyFont="1" applyBorder="1"/>
    <xf numFmtId="170" fontId="28" fillId="18" borderId="0" xfId="1" applyNumberFormat="1" applyFont="1" applyFill="1" applyBorder="1"/>
    <xf numFmtId="9" fontId="3" fillId="0" borderId="0" xfId="1" applyNumberFormat="1" applyFont="1" applyBorder="1"/>
    <xf numFmtId="178" fontId="3" fillId="0" borderId="0" xfId="1" applyNumberFormat="1" applyFont="1" applyBorder="1"/>
    <xf numFmtId="170" fontId="3" fillId="0" borderId="0" xfId="39" applyNumberFormat="1" applyFont="1" applyBorder="1" applyAlignment="1">
      <alignment horizontal="left"/>
    </xf>
    <xf numFmtId="0" fontId="80" fillId="0" borderId="0" xfId="1" applyFont="1"/>
    <xf numFmtId="169" fontId="15" fillId="18" borderId="25" xfId="76" applyNumberFormat="1" applyFont="1" applyFill="1" applyBorder="1"/>
    <xf numFmtId="169" fontId="15" fillId="18" borderId="24" xfId="76" applyNumberFormat="1" applyFont="1" applyFill="1" applyBorder="1"/>
    <xf numFmtId="169" fontId="15" fillId="18" borderId="0" xfId="76" applyNumberFormat="1" applyFont="1" applyFill="1" applyBorder="1"/>
    <xf numFmtId="169" fontId="15" fillId="18" borderId="0" xfId="76" applyNumberFormat="1" applyFont="1" applyFill="1"/>
    <xf numFmtId="169" fontId="32" fillId="0" borderId="0" xfId="1" applyNumberFormat="1" applyFont="1"/>
    <xf numFmtId="10" fontId="32" fillId="0" borderId="0" xfId="1" applyNumberFormat="1" applyFont="1"/>
    <xf numFmtId="178" fontId="17" fillId="0" borderId="0" xfId="1" applyNumberFormat="1" applyFont="1" applyAlignment="1">
      <alignment horizontal="left"/>
    </xf>
    <xf numFmtId="174" fontId="9" fillId="0" borderId="30" xfId="1" applyNumberFormat="1" applyFont="1" applyBorder="1" applyAlignment="1">
      <alignment horizontal="right"/>
    </xf>
    <xf numFmtId="1" fontId="0" fillId="0" borderId="0" xfId="1" applyNumberFormat="1" applyFont="1"/>
    <xf numFmtId="9" fontId="17" fillId="18" borderId="24" xfId="76" applyFont="1" applyFill="1" applyBorder="1"/>
    <xf numFmtId="8" fontId="0" fillId="0" borderId="0" xfId="1" applyNumberFormat="1" applyFont="1" applyFill="1" applyAlignment="1">
      <alignment horizontal="right"/>
    </xf>
    <xf numFmtId="8" fontId="80" fillId="0" borderId="0" xfId="1" applyNumberFormat="1" applyFont="1" applyFill="1"/>
    <xf numFmtId="169" fontId="15" fillId="0" borderId="0" xfId="76" applyNumberFormat="1" applyFont="1"/>
    <xf numFmtId="169" fontId="17" fillId="0" borderId="34" xfId="1" applyNumberFormat="1" applyFont="1" applyFill="1" applyBorder="1" applyAlignment="1">
      <alignment horizontal="center"/>
    </xf>
    <xf numFmtId="7" fontId="28" fillId="18" borderId="25" xfId="1" applyNumberFormat="1" applyFont="1" applyFill="1" applyBorder="1"/>
    <xf numFmtId="7" fontId="17" fillId="0" borderId="0" xfId="1" applyNumberFormat="1" applyFont="1" applyBorder="1"/>
    <xf numFmtId="7" fontId="28" fillId="18" borderId="24" xfId="1" applyNumberFormat="1" applyFont="1" applyFill="1" applyBorder="1"/>
    <xf numFmtId="7" fontId="28" fillId="18" borderId="0" xfId="1" applyNumberFormat="1" applyFont="1" applyFill="1" applyBorder="1"/>
    <xf numFmtId="7" fontId="28" fillId="18" borderId="0" xfId="1" applyNumberFormat="1" applyFont="1" applyFill="1"/>
    <xf numFmtId="7" fontId="28" fillId="0" borderId="0" xfId="1" applyNumberFormat="1" applyFont="1"/>
    <xf numFmtId="8" fontId="17" fillId="0" borderId="13" xfId="1" applyNumberFormat="1" applyFont="1" applyBorder="1"/>
    <xf numFmtId="0" fontId="2" fillId="0" borderId="0" xfId="1" applyFont="1" applyFill="1" applyAlignment="1">
      <alignment horizontal="right"/>
    </xf>
    <xf numFmtId="179" fontId="3" fillId="0" borderId="0" xfId="39" applyNumberFormat="1" applyFont="1" applyBorder="1"/>
    <xf numFmtId="196" fontId="3" fillId="18" borderId="24" xfId="1" applyNumberFormat="1" applyFont="1" applyFill="1" applyBorder="1"/>
    <xf numFmtId="43" fontId="0" fillId="0" borderId="0" xfId="0" applyNumberFormat="1"/>
    <xf numFmtId="0" fontId="2" fillId="0" borderId="0" xfId="1" applyFont="1" applyFill="1"/>
    <xf numFmtId="169" fontId="0" fillId="0" borderId="0" xfId="76" applyNumberFormat="1" applyFont="1" applyFill="1" applyAlignment="1">
      <alignment horizontal="center"/>
    </xf>
    <xf numFmtId="0" fontId="85" fillId="0" borderId="0" xfId="1" applyFont="1"/>
    <xf numFmtId="0" fontId="85" fillId="0" borderId="0" xfId="0" applyFont="1"/>
    <xf numFmtId="0" fontId="85" fillId="18" borderId="24" xfId="1" applyFont="1" applyFill="1" applyBorder="1"/>
    <xf numFmtId="0" fontId="85" fillId="18" borderId="0" xfId="1" applyFont="1" applyFill="1"/>
    <xf numFmtId="0" fontId="85" fillId="18" borderId="25" xfId="1" applyFont="1" applyFill="1" applyBorder="1"/>
    <xf numFmtId="4" fontId="86" fillId="0" borderId="0" xfId="1" applyNumberFormat="1" applyFont="1"/>
    <xf numFmtId="8" fontId="85" fillId="18" borderId="0" xfId="1" applyNumberFormat="1" applyFont="1" applyFill="1"/>
    <xf numFmtId="8" fontId="85" fillId="18" borderId="25" xfId="1" applyNumberFormat="1" applyFont="1" applyFill="1" applyBorder="1"/>
    <xf numFmtId="8" fontId="86" fillId="0" borderId="0" xfId="1" applyNumberFormat="1" applyFont="1"/>
    <xf numFmtId="8" fontId="85" fillId="18" borderId="24" xfId="1" applyNumberFormat="1" applyFont="1" applyFill="1" applyBorder="1"/>
    <xf numFmtId="8" fontId="85" fillId="0" borderId="0" xfId="1" applyNumberFormat="1" applyFont="1"/>
    <xf numFmtId="170" fontId="87" fillId="0" borderId="0" xfId="39" applyNumberFormat="1" applyFont="1"/>
    <xf numFmtId="170" fontId="2" fillId="0" borderId="0" xfId="39" applyNumberFormat="1" applyFont="1"/>
    <xf numFmtId="168" fontId="88" fillId="0" borderId="0" xfId="1" applyNumberFormat="1" applyFont="1" applyAlignment="1">
      <alignment horizontal="right"/>
    </xf>
    <xf numFmtId="0" fontId="58" fillId="19" borderId="0" xfId="2" applyFont="1" applyFill="1"/>
    <xf numFmtId="43" fontId="11" fillId="18" borderId="0" xfId="39" applyFont="1" applyFill="1" applyBorder="1"/>
    <xf numFmtId="196" fontId="3" fillId="18" borderId="0" xfId="1" applyNumberFormat="1" applyFont="1" applyFill="1"/>
    <xf numFmtId="170" fontId="0" fillId="0" borderId="0" xfId="0" applyNumberFormat="1"/>
    <xf numFmtId="178" fontId="2" fillId="0" borderId="24" xfId="42" applyNumberFormat="1" applyFont="1" applyBorder="1" applyAlignment="1">
      <alignment horizontal="left"/>
    </xf>
    <xf numFmtId="169" fontId="15" fillId="0" borderId="0" xfId="1" applyNumberFormat="1" applyFont="1" applyFill="1"/>
    <xf numFmtId="170" fontId="89" fillId="0" borderId="0" xfId="39" applyNumberFormat="1" applyFont="1"/>
    <xf numFmtId="8" fontId="89" fillId="18" borderId="24" xfId="1" applyNumberFormat="1" applyFont="1" applyFill="1" applyBorder="1"/>
    <xf numFmtId="8" fontId="2" fillId="18" borderId="0" xfId="1" applyNumberFormat="1" applyFont="1" applyFill="1"/>
    <xf numFmtId="178" fontId="3" fillId="0" borderId="0" xfId="39" applyNumberFormat="1" applyFont="1" applyFill="1"/>
    <xf numFmtId="2" fontId="0" fillId="0" borderId="0" xfId="0" applyNumberFormat="1"/>
    <xf numFmtId="178" fontId="15" fillId="0" borderId="0" xfId="39" applyNumberFormat="1" applyFont="1" applyFill="1"/>
    <xf numFmtId="0" fontId="0" fillId="0" borderId="0" xfId="0" applyFill="1"/>
    <xf numFmtId="170" fontId="0" fillId="0" borderId="0" xfId="0" applyNumberFormat="1" applyFill="1"/>
    <xf numFmtId="0" fontId="2" fillId="0" borderId="0" xfId="1" applyFont="1" applyFill="1" applyAlignment="1">
      <alignment horizontal="left"/>
    </xf>
    <xf numFmtId="0" fontId="3" fillId="0" borderId="0" xfId="1" applyFont="1" applyFill="1" applyAlignment="1">
      <alignment horizontal="left"/>
    </xf>
    <xf numFmtId="1" fontId="28" fillId="0" borderId="0" xfId="42" applyNumberFormat="1" applyFont="1" applyFill="1" applyAlignment="1">
      <alignment horizontal="center"/>
    </xf>
    <xf numFmtId="169" fontId="28" fillId="0" borderId="0" xfId="76" applyNumberFormat="1" applyFont="1" applyFill="1" applyAlignment="1">
      <alignment horizontal="center"/>
    </xf>
    <xf numFmtId="183" fontId="28" fillId="0" borderId="0" xfId="42" applyNumberFormat="1" applyFont="1" applyFill="1" applyAlignment="1">
      <alignment horizontal="center"/>
    </xf>
    <xf numFmtId="38" fontId="3" fillId="0" borderId="27" xfId="42" applyFont="1" applyFill="1" applyBorder="1"/>
    <xf numFmtId="170" fontId="3" fillId="0" borderId="26" xfId="39" applyNumberFormat="1" applyFont="1" applyFill="1" applyBorder="1" applyAlignment="1">
      <alignment horizontal="center"/>
    </xf>
    <xf numFmtId="170" fontId="3" fillId="0" borderId="27" xfId="39" applyNumberFormat="1" applyFont="1" applyFill="1" applyBorder="1" applyAlignment="1">
      <alignment horizontal="center"/>
    </xf>
    <xf numFmtId="1" fontId="28" fillId="0" borderId="27" xfId="42" applyNumberFormat="1" applyFont="1" applyFill="1" applyBorder="1" applyAlignment="1">
      <alignment horizontal="center"/>
    </xf>
    <xf numFmtId="169" fontId="15" fillId="0" borderId="27" xfId="76" applyNumberFormat="1" applyFont="1" applyFill="1" applyBorder="1" applyAlignment="1">
      <alignment horizontal="center"/>
    </xf>
    <xf numFmtId="183" fontId="15" fillId="0" borderId="27" xfId="42" applyNumberFormat="1" applyFont="1" applyFill="1" applyBorder="1" applyAlignment="1">
      <alignment horizontal="center"/>
    </xf>
    <xf numFmtId="170" fontId="17" fillId="0" borderId="24" xfId="39" applyNumberFormat="1" applyFont="1" applyFill="1" applyBorder="1" applyAlignment="1">
      <alignment horizontal="center"/>
    </xf>
    <xf numFmtId="170" fontId="17" fillId="0" borderId="0" xfId="39" applyNumberFormat="1" applyFont="1" applyFill="1" applyAlignment="1">
      <alignment horizontal="center"/>
    </xf>
    <xf numFmtId="1" fontId="37" fillId="0" borderId="0" xfId="42" applyNumberFormat="1" applyFont="1" applyFill="1" applyAlignment="1">
      <alignment horizontal="center"/>
    </xf>
    <xf numFmtId="169" fontId="17" fillId="0" borderId="0" xfId="42" applyNumberFormat="1" applyFont="1" applyFill="1" applyAlignment="1">
      <alignment horizontal="center"/>
    </xf>
    <xf numFmtId="183" fontId="17" fillId="0" borderId="0" xfId="42" applyNumberFormat="1" applyFont="1" applyFill="1" applyAlignment="1">
      <alignment horizontal="center"/>
    </xf>
    <xf numFmtId="38" fontId="3" fillId="0" borderId="0" xfId="42" applyFont="1" applyFill="1" applyBorder="1"/>
    <xf numFmtId="170" fontId="3" fillId="0" borderId="24" xfId="39" applyNumberFormat="1" applyFont="1" applyFill="1" applyBorder="1" applyAlignment="1">
      <alignment horizontal="center"/>
    </xf>
    <xf numFmtId="169" fontId="3" fillId="0" borderId="0" xfId="42" applyNumberFormat="1" applyFont="1" applyFill="1" applyAlignment="1">
      <alignment horizontal="center"/>
    </xf>
    <xf numFmtId="183" fontId="3" fillId="0" borderId="0" xfId="42" applyNumberFormat="1" applyFont="1" applyFill="1" applyAlignment="1">
      <alignment horizontal="center"/>
    </xf>
    <xf numFmtId="0" fontId="38" fillId="0" borderId="0" xfId="1" applyFont="1" applyFill="1"/>
    <xf numFmtId="1" fontId="28" fillId="0" borderId="0" xfId="1" applyNumberFormat="1" applyFont="1" applyFill="1" applyAlignment="1">
      <alignment horizontal="center"/>
    </xf>
    <xf numFmtId="169" fontId="3" fillId="0" borderId="0" xfId="1" applyNumberFormat="1" applyFont="1" applyFill="1" applyAlignment="1">
      <alignment horizontal="center"/>
    </xf>
    <xf numFmtId="183" fontId="3" fillId="0" borderId="0" xfId="1" applyNumberFormat="1" applyFont="1" applyFill="1" applyAlignment="1">
      <alignment horizontal="center"/>
    </xf>
    <xf numFmtId="0" fontId="3" fillId="0" borderId="0" xfId="1" applyFont="1" applyFill="1" applyAlignment="1">
      <alignment horizontal="left" indent="2"/>
    </xf>
    <xf numFmtId="170" fontId="28" fillId="0" borderId="0" xfId="39" applyNumberFormat="1" applyFont="1" applyFill="1" applyBorder="1" applyAlignment="1">
      <alignment horizontal="center"/>
    </xf>
    <xf numFmtId="186" fontId="3" fillId="0" borderId="27" xfId="1" applyNumberFormat="1" applyFont="1" applyFill="1" applyBorder="1"/>
    <xf numFmtId="169" fontId="28" fillId="0" borderId="27" xfId="76" applyNumberFormat="1" applyFont="1" applyFill="1" applyBorder="1" applyAlignment="1">
      <alignment horizontal="center"/>
    </xf>
    <xf numFmtId="183" fontId="28" fillId="0" borderId="27" xfId="42" applyNumberFormat="1" applyFont="1" applyFill="1" applyBorder="1" applyAlignment="1">
      <alignment horizontal="center"/>
    </xf>
    <xf numFmtId="169" fontId="37" fillId="0" borderId="0" xfId="42" applyNumberFormat="1" applyFont="1" applyFill="1" applyAlignment="1">
      <alignment horizontal="center"/>
    </xf>
    <xf numFmtId="183" fontId="19" fillId="0" borderId="0" xfId="42" applyNumberFormat="1" applyFont="1" applyFill="1" applyAlignment="1">
      <alignment horizontal="center"/>
    </xf>
    <xf numFmtId="183" fontId="15" fillId="0" borderId="0" xfId="42" applyNumberFormat="1" applyFont="1" applyFill="1" applyAlignment="1">
      <alignment horizontal="center"/>
    </xf>
    <xf numFmtId="169" fontId="28" fillId="0" borderId="0" xfId="1" applyNumberFormat="1" applyFont="1" applyFill="1" applyAlignment="1">
      <alignment horizontal="center"/>
    </xf>
    <xf numFmtId="183" fontId="15" fillId="0" borderId="0" xfId="1" applyNumberFormat="1" applyFont="1" applyFill="1" applyAlignment="1">
      <alignment horizontal="center"/>
    </xf>
    <xf numFmtId="0" fontId="2" fillId="0" borderId="0" xfId="1" applyFont="1" applyFill="1" applyAlignment="1"/>
    <xf numFmtId="170" fontId="15" fillId="0" borderId="0" xfId="43" applyNumberFormat="1" applyFont="1"/>
    <xf numFmtId="170" fontId="2" fillId="18" borderId="24" xfId="43" applyNumberFormat="1" applyFont="1" applyFill="1" applyBorder="1"/>
    <xf numFmtId="170" fontId="2" fillId="18" borderId="0" xfId="43" applyNumberFormat="1" applyFont="1" applyFill="1"/>
    <xf numFmtId="170" fontId="2" fillId="18" borderId="25" xfId="43" applyNumberFormat="1" applyFont="1" applyFill="1" applyBorder="1"/>
    <xf numFmtId="8" fontId="28" fillId="18" borderId="0" xfId="1" applyNumberFormat="1" applyFont="1" applyFill="1" applyBorder="1"/>
    <xf numFmtId="0" fontId="2" fillId="0" borderId="0" xfId="0" applyFont="1"/>
    <xf numFmtId="0" fontId="2" fillId="0" borderId="0" xfId="1" applyFont="1" applyAlignment="1">
      <alignment horizontal="left"/>
    </xf>
    <xf numFmtId="38" fontId="2" fillId="0" borderId="0" xfId="42" applyFont="1" applyAlignment="1">
      <alignment horizontal="left" indent="1"/>
    </xf>
    <xf numFmtId="170" fontId="100" fillId="18" borderId="25" xfId="39" applyNumberFormat="1" applyFont="1" applyFill="1" applyBorder="1"/>
    <xf numFmtId="0" fontId="2" fillId="0" borderId="0" xfId="1" applyFont="1" applyAlignment="1">
      <alignment horizontal="left" indent="2"/>
    </xf>
    <xf numFmtId="3" fontId="0" fillId="0" borderId="0" xfId="0" applyNumberFormat="1"/>
    <xf numFmtId="43" fontId="0" fillId="0" borderId="0" xfId="39" applyFont="1"/>
    <xf numFmtId="170" fontId="15" fillId="0" borderId="0" xfId="39" applyNumberFormat="1" applyFont="1" applyFill="1"/>
    <xf numFmtId="170" fontId="32" fillId="18" borderId="25" xfId="1" applyNumberFormat="1" applyFont="1" applyFill="1" applyBorder="1"/>
    <xf numFmtId="169" fontId="100" fillId="18" borderId="0" xfId="1" applyNumberFormat="1" applyFont="1" applyFill="1"/>
    <xf numFmtId="169" fontId="100" fillId="18" borderId="25" xfId="1" applyNumberFormat="1" applyFont="1" applyFill="1" applyBorder="1"/>
    <xf numFmtId="169" fontId="100" fillId="0" borderId="0" xfId="1" applyNumberFormat="1" applyFont="1"/>
    <xf numFmtId="169" fontId="100" fillId="18" borderId="24" xfId="1" applyNumberFormat="1" applyFont="1" applyFill="1" applyBorder="1"/>
    <xf numFmtId="170" fontId="101" fillId="0" borderId="0" xfId="39" applyNumberFormat="1" applyFont="1"/>
    <xf numFmtId="170" fontId="100" fillId="0" borderId="0" xfId="39" applyNumberFormat="1" applyFont="1"/>
    <xf numFmtId="197" fontId="0" fillId="0" borderId="0" xfId="0" applyNumberFormat="1"/>
    <xf numFmtId="195" fontId="3" fillId="18" borderId="0" xfId="1" applyNumberFormat="1" applyFont="1" applyFill="1"/>
    <xf numFmtId="169" fontId="17" fillId="18" borderId="0" xfId="76" applyNumberFormat="1" applyFont="1" applyFill="1"/>
    <xf numFmtId="38" fontId="2" fillId="0" borderId="0" xfId="42" applyFont="1"/>
    <xf numFmtId="169" fontId="17" fillId="0" borderId="0" xfId="76" applyNumberFormat="1" applyFont="1"/>
    <xf numFmtId="9" fontId="3" fillId="0" borderId="0" xfId="76" applyFont="1" applyBorder="1"/>
    <xf numFmtId="170" fontId="100" fillId="18" borderId="24" xfId="39" applyNumberFormat="1" applyFont="1" applyFill="1" applyBorder="1"/>
    <xf numFmtId="167" fontId="18" fillId="0" borderId="17" xfId="1" applyNumberFormat="1" applyFont="1" applyBorder="1"/>
    <xf numFmtId="194" fontId="17" fillId="18" borderId="0" xfId="1" applyNumberFormat="1" applyFont="1" applyFill="1"/>
    <xf numFmtId="194" fontId="17" fillId="18" borderId="24" xfId="1" applyNumberFormat="1" applyFont="1" applyFill="1" applyBorder="1"/>
    <xf numFmtId="165" fontId="3" fillId="0" borderId="0" xfId="39" applyNumberFormat="1" applyFont="1" applyBorder="1" applyAlignment="1">
      <alignment horizontal="center"/>
    </xf>
    <xf numFmtId="170" fontId="0" fillId="18" borderId="24" xfId="1" applyNumberFormat="1" applyFont="1" applyFill="1" applyBorder="1"/>
    <xf numFmtId="170" fontId="0" fillId="18" borderId="0" xfId="1" applyNumberFormat="1" applyFont="1" applyFill="1"/>
    <xf numFmtId="170" fontId="0" fillId="18" borderId="25" xfId="1" applyNumberFormat="1" applyFont="1" applyFill="1" applyBorder="1"/>
    <xf numFmtId="169" fontId="18" fillId="20" borderId="25" xfId="1" applyNumberFormat="1" applyFont="1" applyFill="1" applyBorder="1"/>
    <xf numFmtId="169" fontId="15" fillId="20" borderId="25" xfId="76" applyNumberFormat="1" applyFont="1" applyFill="1" applyBorder="1"/>
    <xf numFmtId="7" fontId="28" fillId="20" borderId="25" xfId="1" applyNumberFormat="1" applyFont="1" applyFill="1" applyBorder="1"/>
    <xf numFmtId="7" fontId="3" fillId="20" borderId="25" xfId="1" applyNumberFormat="1" applyFont="1" applyFill="1" applyBorder="1"/>
    <xf numFmtId="198" fontId="17" fillId="18" borderId="25" xfId="1" applyNumberFormat="1" applyFont="1" applyFill="1" applyBorder="1"/>
    <xf numFmtId="169" fontId="100" fillId="0" borderId="0" xfId="76" applyNumberFormat="1" applyFont="1" applyAlignment="1">
      <alignment horizontal="center"/>
    </xf>
    <xf numFmtId="183" fontId="100" fillId="0" borderId="0" xfId="42" applyNumberFormat="1" applyFont="1" applyAlignment="1">
      <alignment horizontal="center"/>
    </xf>
    <xf numFmtId="37" fontId="0" fillId="0" borderId="0" xfId="0" applyNumberFormat="1"/>
    <xf numFmtId="170" fontId="100" fillId="18" borderId="0" xfId="39" applyNumberFormat="1" applyFont="1" applyFill="1" applyBorder="1"/>
    <xf numFmtId="1" fontId="17" fillId="18" borderId="24" xfId="39" applyNumberFormat="1" applyFont="1" applyFill="1" applyBorder="1"/>
    <xf numFmtId="1" fontId="3" fillId="18" borderId="24" xfId="39" applyNumberFormat="1" applyFont="1" applyFill="1" applyBorder="1"/>
    <xf numFmtId="170" fontId="3" fillId="0" borderId="25" xfId="39" applyNumberFormat="1" applyFont="1" applyFill="1" applyBorder="1"/>
    <xf numFmtId="170" fontId="3" fillId="0" borderId="0" xfId="39" applyNumberFormat="1" applyFont="1" applyFill="1" applyAlignment="1">
      <alignment horizontal="right"/>
    </xf>
    <xf numFmtId="38" fontId="3" fillId="0" borderId="25" xfId="1" applyNumberFormat="1" applyFont="1" applyFill="1" applyBorder="1" applyAlignment="1">
      <alignment horizontal="right"/>
    </xf>
    <xf numFmtId="177" fontId="3" fillId="0" borderId="0" xfId="39" applyNumberFormat="1" applyFont="1" applyFill="1" applyAlignment="1">
      <alignment horizontal="right"/>
    </xf>
    <xf numFmtId="178" fontId="2" fillId="0" borderId="0" xfId="1" applyNumberFormat="1" applyFont="1"/>
    <xf numFmtId="43" fontId="100" fillId="18" borderId="0" xfId="39" applyNumberFormat="1" applyFont="1" applyFill="1" applyBorder="1"/>
    <xf numFmtId="43" fontId="100" fillId="18" borderId="25" xfId="39" applyNumberFormat="1" applyFont="1" applyFill="1" applyBorder="1"/>
    <xf numFmtId="10" fontId="17" fillId="0" borderId="0" xfId="76" applyNumberFormat="1" applyFont="1" applyBorder="1"/>
    <xf numFmtId="1" fontId="0" fillId="0" borderId="0" xfId="0" applyNumberFormat="1"/>
    <xf numFmtId="169" fontId="17" fillId="18" borderId="24" xfId="76" applyNumberFormat="1" applyFont="1" applyFill="1" applyBorder="1"/>
    <xf numFmtId="169" fontId="17" fillId="18" borderId="25" xfId="76" applyNumberFormat="1" applyFont="1" applyFill="1" applyBorder="1"/>
    <xf numFmtId="10" fontId="17" fillId="0" borderId="0" xfId="76" applyNumberFormat="1" applyFont="1"/>
    <xf numFmtId="10" fontId="17" fillId="0" borderId="0" xfId="1" applyNumberFormat="1" applyFont="1"/>
    <xf numFmtId="10" fontId="17" fillId="18" borderId="24" xfId="1" applyNumberFormat="1" applyFont="1" applyFill="1" applyBorder="1"/>
    <xf numFmtId="10" fontId="17" fillId="18" borderId="0" xfId="1" applyNumberFormat="1" applyFont="1" applyFill="1"/>
    <xf numFmtId="10" fontId="17" fillId="18" borderId="25" xfId="1" applyNumberFormat="1" applyFont="1" applyFill="1" applyBorder="1"/>
    <xf numFmtId="10" fontId="17" fillId="18" borderId="24" xfId="76" applyNumberFormat="1" applyFont="1" applyFill="1" applyBorder="1"/>
    <xf numFmtId="10" fontId="17" fillId="18" borderId="0" xfId="76" applyNumberFormat="1" applyFont="1" applyFill="1"/>
    <xf numFmtId="10" fontId="17" fillId="18" borderId="25" xfId="76" applyNumberFormat="1" applyFont="1" applyFill="1" applyBorder="1"/>
    <xf numFmtId="169" fontId="17" fillId="0" borderId="0" xfId="1" applyNumberFormat="1" applyFont="1"/>
    <xf numFmtId="169" fontId="17" fillId="18" borderId="24" xfId="1" applyNumberFormat="1" applyFont="1" applyFill="1" applyBorder="1"/>
    <xf numFmtId="169" fontId="17" fillId="18" borderId="0" xfId="1" applyNumberFormat="1" applyFont="1" applyFill="1"/>
    <xf numFmtId="169" fontId="17" fillId="18" borderId="25" xfId="1" applyNumberFormat="1" applyFont="1" applyFill="1" applyBorder="1"/>
    <xf numFmtId="1" fontId="0" fillId="0" borderId="0" xfId="76" applyNumberFormat="1" applyFont="1"/>
    <xf numFmtId="170" fontId="100" fillId="0" borderId="0" xfId="39" applyNumberFormat="1" applyFont="1" applyFill="1"/>
    <xf numFmtId="43" fontId="15" fillId="18" borderId="24" xfId="39" applyNumberFormat="1" applyFont="1" applyFill="1" applyBorder="1"/>
    <xf numFmtId="10" fontId="15" fillId="0" borderId="0" xfId="1" applyNumberFormat="1" applyFont="1"/>
    <xf numFmtId="10" fontId="0" fillId="0" borderId="0" xfId="0" applyNumberFormat="1"/>
    <xf numFmtId="10" fontId="0" fillId="0" borderId="0" xfId="76" applyNumberFormat="1" applyFont="1"/>
    <xf numFmtId="178" fontId="0" fillId="0" borderId="0" xfId="0" applyNumberFormat="1"/>
    <xf numFmtId="10" fontId="100" fillId="0" borderId="0" xfId="76" applyNumberFormat="1" applyFont="1"/>
    <xf numFmtId="37" fontId="17" fillId="0" borderId="0" xfId="1" applyNumberFormat="1" applyFont="1" applyFill="1"/>
    <xf numFmtId="170" fontId="96" fillId="0" borderId="0" xfId="1" applyNumberFormat="1" applyFont="1" applyFill="1"/>
    <xf numFmtId="170" fontId="97" fillId="0" borderId="0" xfId="1" applyNumberFormat="1" applyFont="1" applyFill="1" applyBorder="1"/>
    <xf numFmtId="178" fontId="100" fillId="0" borderId="0" xfId="1" applyNumberFormat="1" applyFont="1" applyFill="1"/>
    <xf numFmtId="170" fontId="89" fillId="0" borderId="0" xfId="39" applyNumberFormat="1" applyFont="1" applyFill="1"/>
    <xf numFmtId="0" fontId="2" fillId="0" borderId="0" xfId="1" applyFont="1" applyFill="1" applyAlignment="1">
      <alignment horizontal="left" indent="1"/>
    </xf>
    <xf numFmtId="0" fontId="2" fillId="0" borderId="0" xfId="1" applyFont="1"/>
    <xf numFmtId="170" fontId="2" fillId="0" borderId="0" xfId="39" applyNumberFormat="1" applyFont="1" applyBorder="1"/>
    <xf numFmtId="10" fontId="3" fillId="0" borderId="0" xfId="76" applyNumberFormat="1" applyFont="1"/>
    <xf numFmtId="10" fontId="2" fillId="0" borderId="0" xfId="76" applyNumberFormat="1" applyFont="1" applyBorder="1"/>
    <xf numFmtId="10" fontId="2" fillId="0" borderId="0" xfId="76" applyNumberFormat="1" applyFont="1"/>
    <xf numFmtId="178" fontId="3" fillId="0" borderId="0" xfId="1" applyNumberFormat="1" applyFont="1" applyFill="1" applyBorder="1"/>
    <xf numFmtId="178" fontId="2" fillId="0" borderId="0" xfId="1" applyNumberFormat="1" applyFont="1" applyFill="1" applyBorder="1"/>
    <xf numFmtId="170" fontId="2" fillId="0" borderId="0" xfId="39" applyNumberFormat="1" applyFont="1" applyFill="1" applyBorder="1"/>
    <xf numFmtId="0" fontId="0" fillId="0" borderId="0" xfId="0" applyFill="1" applyBorder="1"/>
    <xf numFmtId="178" fontId="2" fillId="0" borderId="0" xfId="1" applyNumberFormat="1" applyFont="1" applyFill="1"/>
    <xf numFmtId="167" fontId="2" fillId="0" borderId="17" xfId="1" applyNumberFormat="1" applyFont="1" applyFill="1" applyBorder="1"/>
    <xf numFmtId="170" fontId="28" fillId="18" borderId="0" xfId="43" applyNumberFormat="1" applyFont="1" applyFill="1"/>
    <xf numFmtId="170" fontId="17" fillId="18" borderId="0" xfId="43" applyNumberFormat="1" applyFont="1" applyFill="1"/>
    <xf numFmtId="170" fontId="2" fillId="18" borderId="0" xfId="43" applyNumberFormat="1" applyFont="1" applyFill="1" applyBorder="1"/>
    <xf numFmtId="170" fontId="0" fillId="18" borderId="0" xfId="43" applyNumberFormat="1" applyFont="1" applyFill="1" applyBorder="1"/>
    <xf numFmtId="170" fontId="0" fillId="18" borderId="0" xfId="43" applyNumberFormat="1" applyFont="1" applyFill="1"/>
    <xf numFmtId="7" fontId="2" fillId="18" borderId="0" xfId="2" applyNumberFormat="1" applyFont="1" applyFill="1"/>
    <xf numFmtId="7" fontId="17" fillId="18" borderId="13" xfId="2" applyNumberFormat="1" applyFont="1" applyFill="1" applyBorder="1"/>
    <xf numFmtId="9" fontId="2" fillId="18" borderId="0" xfId="2" applyNumberFormat="1" applyFont="1" applyFill="1"/>
    <xf numFmtId="196" fontId="3" fillId="18" borderId="25" xfId="1" applyNumberFormat="1" applyFont="1" applyFill="1" applyBorder="1"/>
    <xf numFmtId="196" fontId="3" fillId="0" borderId="0" xfId="1" applyNumberFormat="1" applyFont="1"/>
    <xf numFmtId="179" fontId="17" fillId="18" borderId="0" xfId="39" applyNumberFormat="1" applyFont="1" applyFill="1" applyBorder="1"/>
    <xf numFmtId="178" fontId="2" fillId="0" borderId="0" xfId="39" applyNumberFormat="1" applyFont="1"/>
    <xf numFmtId="169" fontId="2" fillId="0" borderId="0" xfId="1" applyNumberFormat="1" applyFont="1"/>
    <xf numFmtId="178" fontId="2" fillId="0" borderId="0" xfId="39" applyNumberFormat="1" applyFont="1" applyFill="1"/>
    <xf numFmtId="178" fontId="2" fillId="0" borderId="0" xfId="1" applyNumberFormat="1" applyFont="1" applyFill="1" applyBorder="1" applyAlignment="1">
      <alignment horizontal="left"/>
    </xf>
    <xf numFmtId="170" fontId="2" fillId="0" borderId="0" xfId="39" applyNumberFormat="1" applyFont="1" applyFill="1" applyBorder="1" applyAlignment="1">
      <alignment horizontal="left"/>
    </xf>
    <xf numFmtId="0" fontId="2" fillId="0" borderId="0" xfId="0" applyFont="1" applyFill="1" applyBorder="1"/>
    <xf numFmtId="170" fontId="17" fillId="0" borderId="0" xfId="39" applyNumberFormat="1" applyFont="1" applyFill="1" applyBorder="1" applyAlignment="1">
      <alignment horizontal="left"/>
    </xf>
    <xf numFmtId="0" fontId="2" fillId="0" borderId="0" xfId="1" applyFont="1" applyFill="1" applyBorder="1" applyAlignment="1">
      <alignment horizontal="left"/>
    </xf>
    <xf numFmtId="0" fontId="2" fillId="0" borderId="0" xfId="1" applyFont="1" applyFill="1" applyBorder="1"/>
    <xf numFmtId="0" fontId="2" fillId="0" borderId="0" xfId="0" applyFont="1" applyFill="1" applyBorder="1" applyAlignment="1">
      <alignment horizontal="left"/>
    </xf>
    <xf numFmtId="178" fontId="3" fillId="0" borderId="0" xfId="1" applyNumberFormat="1" applyFont="1" applyFill="1" applyBorder="1" applyAlignment="1">
      <alignment horizontal="left"/>
    </xf>
    <xf numFmtId="9" fontId="3" fillId="0" borderId="0" xfId="76" applyFont="1" applyFill="1" applyBorder="1"/>
    <xf numFmtId="9" fontId="98" fillId="0" borderId="0" xfId="76" applyFont="1" applyFill="1" applyBorder="1"/>
    <xf numFmtId="170" fontId="98" fillId="0" borderId="0" xfId="39" applyNumberFormat="1" applyFont="1" applyFill="1" applyBorder="1"/>
    <xf numFmtId="170" fontId="0" fillId="0" borderId="0" xfId="0" applyNumberFormat="1" applyFill="1" applyBorder="1"/>
    <xf numFmtId="178" fontId="0" fillId="0" borderId="0" xfId="0" applyNumberFormat="1" applyFill="1" applyBorder="1"/>
    <xf numFmtId="8" fontId="15" fillId="0" borderId="0" xfId="1" applyNumberFormat="1" applyFont="1" applyAlignment="1">
      <alignment horizontal="right"/>
    </xf>
    <xf numFmtId="170" fontId="99" fillId="0" borderId="0" xfId="39" applyNumberFormat="1" applyFont="1" applyFill="1" applyBorder="1"/>
    <xf numFmtId="170" fontId="2" fillId="0" borderId="0" xfId="44" applyNumberFormat="1" applyFont="1" applyBorder="1"/>
    <xf numFmtId="170" fontId="17" fillId="0" borderId="0" xfId="44" applyNumberFormat="1" applyFont="1" applyBorder="1"/>
    <xf numFmtId="7" fontId="2" fillId="0" borderId="0" xfId="2" applyNumberFormat="1" applyFont="1" applyBorder="1"/>
    <xf numFmtId="7" fontId="17" fillId="0" borderId="0" xfId="2" applyNumberFormat="1" applyFont="1" applyBorder="1"/>
    <xf numFmtId="43" fontId="3" fillId="18" borderId="24" xfId="39" applyNumberFormat="1" applyFont="1" applyFill="1" applyBorder="1"/>
    <xf numFmtId="9" fontId="0" fillId="0" borderId="0" xfId="0" applyNumberFormat="1"/>
    <xf numFmtId="170" fontId="17" fillId="0" borderId="0" xfId="39" applyNumberFormat="1" applyFont="1" applyFill="1"/>
    <xf numFmtId="178" fontId="100" fillId="18" borderId="24" xfId="39" applyNumberFormat="1" applyFont="1" applyFill="1" applyBorder="1"/>
    <xf numFmtId="178" fontId="100" fillId="18" borderId="0" xfId="39" applyNumberFormat="1" applyFont="1" applyFill="1"/>
    <xf numFmtId="178" fontId="100" fillId="18" borderId="25" xfId="39" applyNumberFormat="1" applyFont="1" applyFill="1" applyBorder="1"/>
    <xf numFmtId="178" fontId="102" fillId="0" borderId="0" xfId="39" applyNumberFormat="1" applyFont="1" applyFill="1"/>
    <xf numFmtId="170" fontId="0" fillId="0" borderId="34" xfId="1" applyNumberFormat="1" applyFont="1" applyFill="1" applyBorder="1"/>
    <xf numFmtId="9" fontId="100" fillId="18" borderId="24" xfId="1" applyNumberFormat="1" applyFont="1" applyFill="1" applyBorder="1"/>
    <xf numFmtId="10" fontId="3" fillId="0" borderId="0" xfId="1" applyNumberFormat="1" applyFont="1" applyFill="1"/>
    <xf numFmtId="9" fontId="0" fillId="0" borderId="0" xfId="76" applyFont="1" applyFill="1"/>
    <xf numFmtId="169" fontId="0" fillId="0" borderId="0" xfId="76" applyNumberFormat="1" applyFont="1" applyFill="1"/>
    <xf numFmtId="0" fontId="2" fillId="0" borderId="21" xfId="1" applyFont="1" applyBorder="1"/>
    <xf numFmtId="177" fontId="100" fillId="18" borderId="24" xfId="39" applyNumberFormat="1" applyFont="1" applyFill="1" applyBorder="1"/>
    <xf numFmtId="177" fontId="100" fillId="18" borderId="0" xfId="39" applyNumberFormat="1" applyFont="1" applyFill="1"/>
    <xf numFmtId="177" fontId="100" fillId="18" borderId="25" xfId="39" applyNumberFormat="1" applyFont="1" applyFill="1" applyBorder="1"/>
    <xf numFmtId="49" fontId="0" fillId="0" borderId="0" xfId="0" applyNumberFormat="1"/>
    <xf numFmtId="0" fontId="1" fillId="0" borderId="0" xfId="85"/>
    <xf numFmtId="49" fontId="1" fillId="0" borderId="0" xfId="1" applyNumberFormat="1" applyFont="1"/>
    <xf numFmtId="0" fontId="1" fillId="0" borderId="0" xfId="0" applyFont="1"/>
    <xf numFmtId="8" fontId="0" fillId="0" borderId="0" xfId="0" applyNumberFormat="1"/>
    <xf numFmtId="0" fontId="17" fillId="0" borderId="0" xfId="0" applyFont="1"/>
    <xf numFmtId="199" fontId="0" fillId="0" borderId="0" xfId="0" applyNumberFormat="1"/>
    <xf numFmtId="168" fontId="100" fillId="0" borderId="0" xfId="1" applyNumberFormat="1" applyFont="1" applyAlignment="1">
      <alignment horizontal="right"/>
    </xf>
    <xf numFmtId="0" fontId="1" fillId="0" borderId="0" xfId="0" quotePrefix="1" applyFont="1"/>
    <xf numFmtId="0" fontId="3" fillId="21" borderId="0" xfId="1" applyFont="1" applyFill="1" applyBorder="1"/>
    <xf numFmtId="170" fontId="29" fillId="0" borderId="0" xfId="39" applyNumberFormat="1" applyFont="1" applyFill="1"/>
    <xf numFmtId="170" fontId="37" fillId="0" borderId="0" xfId="39" applyNumberFormat="1" applyFont="1" applyFill="1"/>
    <xf numFmtId="169" fontId="1" fillId="0" borderId="0" xfId="1" applyNumberFormat="1" applyFont="1"/>
    <xf numFmtId="0" fontId="1" fillId="0" borderId="0" xfId="1" applyFont="1" applyAlignment="1">
      <alignment horizontal="left"/>
    </xf>
    <xf numFmtId="0" fontId="0" fillId="0" borderId="24" xfId="0" applyBorder="1"/>
    <xf numFmtId="9" fontId="17" fillId="18" borderId="0" xfId="76" applyFont="1" applyFill="1"/>
    <xf numFmtId="9" fontId="17" fillId="18" borderId="25" xfId="76" applyFont="1" applyFill="1" applyBorder="1"/>
    <xf numFmtId="178" fontId="1" fillId="0" borderId="24" xfId="42" applyNumberFormat="1" applyFont="1" applyBorder="1" applyAlignment="1">
      <alignment horizontal="left"/>
    </xf>
    <xf numFmtId="38" fontId="1" fillId="0" borderId="0" xfId="42" applyFont="1"/>
    <xf numFmtId="170" fontId="103" fillId="0" borderId="0" xfId="39" applyNumberFormat="1" applyFont="1"/>
    <xf numFmtId="0" fontId="1" fillId="22" borderId="0" xfId="88" applyFont="1" applyFill="1" applyAlignment="1">
      <alignment vertical="top"/>
    </xf>
    <xf numFmtId="0" fontId="1" fillId="22" borderId="0" xfId="85" applyFill="1" applyAlignment="1">
      <alignment vertical="top"/>
    </xf>
    <xf numFmtId="0" fontId="1" fillId="22" borderId="0" xfId="85" applyFill="1"/>
    <xf numFmtId="0" fontId="44" fillId="22" borderId="0" xfId="88" applyFont="1" applyFill="1" applyAlignment="1">
      <alignment horizontal="left" vertical="top"/>
    </xf>
    <xf numFmtId="0" fontId="1" fillId="22" borderId="0" xfId="85" applyFont="1" applyFill="1" applyAlignment="1">
      <alignment vertical="top"/>
    </xf>
    <xf numFmtId="0" fontId="18" fillId="22" borderId="0" xfId="88" applyFont="1" applyFill="1" applyAlignment="1">
      <alignment vertical="top"/>
    </xf>
    <xf numFmtId="0" fontId="0" fillId="22" borderId="0" xfId="0" applyFill="1" applyAlignment="1">
      <alignment vertical="top"/>
    </xf>
    <xf numFmtId="0" fontId="105" fillId="22" borderId="0" xfId="0" applyFont="1" applyFill="1" applyAlignment="1">
      <alignment vertical="top"/>
    </xf>
    <xf numFmtId="0" fontId="106" fillId="22" borderId="0" xfId="0" applyFont="1" applyFill="1" applyAlignment="1">
      <alignment vertical="top"/>
    </xf>
    <xf numFmtId="0" fontId="106" fillId="22" borderId="0" xfId="0" applyFont="1" applyFill="1" applyAlignment="1">
      <alignment vertical="top"/>
    </xf>
    <xf numFmtId="0" fontId="105" fillId="22" borderId="0" xfId="0" applyFont="1" applyFill="1" applyAlignment="1">
      <alignment vertical="top"/>
    </xf>
    <xf numFmtId="0" fontId="0" fillId="22" borderId="0" xfId="0" applyFill="1" applyAlignment="1">
      <alignment vertical="top"/>
    </xf>
    <xf numFmtId="0" fontId="0" fillId="22" borderId="39" xfId="0" applyFill="1" applyBorder="1" applyAlignment="1">
      <alignment vertical="top"/>
    </xf>
    <xf numFmtId="0" fontId="105" fillId="22" borderId="35" xfId="0" applyFont="1" applyFill="1" applyBorder="1" applyAlignment="1">
      <alignment vertical="top"/>
    </xf>
    <xf numFmtId="0" fontId="105" fillId="22" borderId="36" xfId="0" applyFont="1" applyFill="1" applyBorder="1" applyAlignment="1">
      <alignment vertical="top"/>
    </xf>
    <xf numFmtId="0" fontId="105" fillId="22" borderId="37" xfId="0" applyFont="1" applyFill="1" applyBorder="1" applyAlignment="1">
      <alignment vertical="top"/>
    </xf>
    <xf numFmtId="0" fontId="105" fillId="22" borderId="38" xfId="0" applyFont="1" applyFill="1" applyBorder="1" applyAlignment="1">
      <alignment vertical="top"/>
    </xf>
    <xf numFmtId="9" fontId="105" fillId="22" borderId="35" xfId="0" applyNumberFormat="1" applyFont="1" applyFill="1" applyBorder="1" applyAlignment="1">
      <alignment vertical="top"/>
    </xf>
    <xf numFmtId="3" fontId="105" fillId="22" borderId="35" xfId="0" applyNumberFormat="1" applyFont="1" applyFill="1" applyBorder="1" applyAlignment="1">
      <alignment vertical="top"/>
    </xf>
    <xf numFmtId="0" fontId="0" fillId="22" borderId="40" xfId="0" applyFill="1" applyBorder="1" applyAlignment="1">
      <alignment vertical="top"/>
    </xf>
    <xf numFmtId="2" fontId="1" fillId="0" borderId="0" xfId="85" applyNumberFormat="1" applyAlignment="1">
      <alignment horizontal="left"/>
    </xf>
    <xf numFmtId="0" fontId="1" fillId="0" borderId="0" xfId="85" applyNumberFormat="1" applyAlignment="1">
      <alignment horizontal="left"/>
    </xf>
    <xf numFmtId="1" fontId="1" fillId="0" borderId="0" xfId="85" applyNumberFormat="1" applyAlignment="1">
      <alignment horizontal="left"/>
    </xf>
    <xf numFmtId="0" fontId="1" fillId="0" borderId="0" xfId="85" applyFont="1"/>
    <xf numFmtId="205" fontId="1" fillId="0" borderId="0" xfId="85" applyNumberFormat="1" applyAlignment="1">
      <alignment horizontal="left"/>
    </xf>
    <xf numFmtId="49" fontId="1" fillId="0" borderId="0" xfId="85" applyNumberFormat="1"/>
  </cellXfs>
  <cellStyles count="89">
    <cellStyle name="******************************************" xfId="1"/>
    <cellStyle name="****************************************** 3" xfId="2"/>
    <cellStyle name="_SUMMARY " xfId="3"/>
    <cellStyle name="_SUMMARY  2" xfId="4"/>
    <cellStyle name="0_Capex &amp; Depreciation " xfId="5"/>
    <cellStyle name="0_P&amp;L-adj " xfId="6"/>
    <cellStyle name="0_P&amp;L-adj  2" xfId="7"/>
    <cellStyle name="0_Quarterly " xfId="8"/>
    <cellStyle name="0_Quarterly  2" xfId="9"/>
    <cellStyle name="0_Valuing BP " xfId="10"/>
    <cellStyle name="20% - Accent1" xfId="11" builtinId="30" customBuiltin="1"/>
    <cellStyle name="20% - Accent2" xfId="12" builtinId="34" customBuiltin="1"/>
    <cellStyle name="20% - Accent3" xfId="13" builtinId="38" customBuiltin="1"/>
    <cellStyle name="20% - Accent4" xfId="14" builtinId="42" customBuiltin="1"/>
    <cellStyle name="20% - Accent5" xfId="15" builtinId="46" customBuiltin="1"/>
    <cellStyle name="20% - Accent6" xfId="16" builtinId="50" customBuiltin="1"/>
    <cellStyle name="40% - Accent1" xfId="17" builtinId="31" customBuiltin="1"/>
    <cellStyle name="40% - Accent2" xfId="18" builtinId="35" customBuiltin="1"/>
    <cellStyle name="40% - Accent3" xfId="19" builtinId="39" customBuiltin="1"/>
    <cellStyle name="40% - Accent4" xfId="20" builtinId="43" customBuiltin="1"/>
    <cellStyle name="40% - Accent5" xfId="21" builtinId="47" customBuiltin="1"/>
    <cellStyle name="40% - Accent6" xfId="22" builtinId="51" customBuiltin="1"/>
    <cellStyle name="60% - Accent1" xfId="23" builtinId="32" customBuiltin="1"/>
    <cellStyle name="60% - Accent2" xfId="24" builtinId="36" customBuiltin="1"/>
    <cellStyle name="60% - Accent3" xfId="25" builtinId="40" customBuiltin="1"/>
    <cellStyle name="60% - Accent4" xfId="26" builtinId="44" customBuiltin="1"/>
    <cellStyle name="60% - Accent5" xfId="27" builtinId="48" customBuiltin="1"/>
    <cellStyle name="60% - Accent6" xfId="28" builtinId="52" customBuiltin="1"/>
    <cellStyle name="Accent1" xfId="29" builtinId="29" customBuiltin="1"/>
    <cellStyle name="Accent2" xfId="30" builtinId="33" customBuiltin="1"/>
    <cellStyle name="Accent3" xfId="31" builtinId="37" customBuiltin="1"/>
    <cellStyle name="Accent4" xfId="32" builtinId="41" customBuiltin="1"/>
    <cellStyle name="Accent5" xfId="33" builtinId="45" customBuiltin="1"/>
    <cellStyle name="Accent6" xfId="34" builtinId="49" customBuiltin="1"/>
    <cellStyle name="Bad" xfId="35" builtinId="27" customBuiltin="1"/>
    <cellStyle name="c_HardInc " xfId="36"/>
    <cellStyle name="Calculation" xfId="37" builtinId="22" customBuiltin="1"/>
    <cellStyle name="Check Cell" xfId="38" builtinId="23" customBuiltin="1"/>
    <cellStyle name="Comma" xfId="39" builtinId="3"/>
    <cellStyle name="Comma [0]" xfId="40" builtinId="6"/>
    <cellStyle name="Comma [0] 2" xfId="41"/>
    <cellStyle name="Comma [0]_FORECAST" xfId="42"/>
    <cellStyle name="Comma 2" xfId="43"/>
    <cellStyle name="Comma 3" xfId="44"/>
    <cellStyle name="Currency" xfId="45" builtinId="4"/>
    <cellStyle name="Currency [0]_FORECAST" xfId="46"/>
    <cellStyle name="Currency 2" xfId="47"/>
    <cellStyle name="Currency 2 2" xfId="48"/>
    <cellStyle name="Currency 3" xfId="49"/>
    <cellStyle name="Currency 4" xfId="50"/>
    <cellStyle name="Currency 5" xfId="87"/>
    <cellStyle name="Explanatory Text" xfId="51" builtinId="53" customBuiltin="1"/>
    <cellStyle name="Fail" xfId="52"/>
    <cellStyle name="FiscalPeriod" xfId="53"/>
    <cellStyle name="Good" xfId="54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idden" xfId="59"/>
    <cellStyle name="Input" xfId="60" builtinId="20" customBuiltin="1"/>
    <cellStyle name="Linked Cell" xfId="61" builtinId="24" customBuiltin="1"/>
    <cellStyle name="MetricLabel" xfId="62"/>
    <cellStyle name="MetricLabelBlue" xfId="63"/>
    <cellStyle name="MetricValue" xfId="64"/>
    <cellStyle name="Neutral" xfId="65" builtinId="28" customBuiltin="1"/>
    <cellStyle name="Normal" xfId="0" builtinId="0"/>
    <cellStyle name="Normal 2" xfId="66"/>
    <cellStyle name="Normal 2 2" xfId="67"/>
    <cellStyle name="Normal 3" xfId="68"/>
    <cellStyle name="Normal 4" xfId="69"/>
    <cellStyle name="Normal 5" xfId="70"/>
    <cellStyle name="Normal 6" xfId="85"/>
    <cellStyle name="Normal_DisclaimerSheet Samples" xfId="88"/>
    <cellStyle name="Note" xfId="71" builtinId="10" customBuiltin="1"/>
    <cellStyle name="Note 2" xfId="72"/>
    <cellStyle name="Output" xfId="73" builtinId="21" customBuiltin="1"/>
    <cellStyle name="p " xfId="74"/>
    <cellStyle name="Pass" xfId="75"/>
    <cellStyle name="Percent" xfId="76" builtinId="5"/>
    <cellStyle name="Percent 2" xfId="77"/>
    <cellStyle name="RRSInstruction" xfId="78"/>
    <cellStyle name="RRSInstruction 2" xfId="86"/>
    <cellStyle name="s_HardInc " xfId="79"/>
    <cellStyle name="s_Valuation " xfId="80"/>
    <cellStyle name="ssp " xfId="81"/>
    <cellStyle name="Title" xfId="82" builtinId="15" customBuiltin="1"/>
    <cellStyle name="Total" xfId="83" builtinId="25" customBuiltin="1"/>
    <cellStyle name="Warning Text" xfId="84" builtinId="11" customBuiltin="1"/>
  </cellStyles>
  <dxfs count="1">
    <dxf>
      <font>
        <i val="0"/>
        <condense val="0"/>
        <extend val="0"/>
        <color indexed="63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125A31"/>
      <rgbColor rgb="00E2E7E8"/>
      <rgbColor rgb="009DC9DC"/>
      <rgbColor rgb="00B2122B"/>
      <rgbColor rgb="00FC7114"/>
      <rgbColor rgb="00F8CD14"/>
      <rgbColor rgb="00003366"/>
      <rgbColor rgb="004091BF"/>
      <rgbColor rgb="00FCAE91"/>
      <rgbColor rgb="002270AB"/>
      <rgbColor rgb="00E3EEDE"/>
      <rgbColor rgb="0069ADCA"/>
      <rgbColor rgb="00CED5D7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800080"/>
      <rgbColor rgb="00FFFFCC"/>
      <rgbColor rgb="0097A5BB"/>
      <rgbColor rgb="00F7BEBF"/>
      <rgbColor rgb="00EFC1D2"/>
      <rgbColor rgb="00EFC49F"/>
      <rgbColor rgb="00ECD7B2"/>
      <rgbColor rgb="00A6DAC5"/>
      <rgbColor rgb="00C7E5BE"/>
      <rgbColor rgb="00A1D399"/>
      <rgbColor rgb="0041A95C"/>
      <rgbColor rgb="00E5EEF7"/>
      <rgbColor rgb="00238B45"/>
      <rgbColor rgb="001B4694"/>
      <rgbColor rgb="00C6D9E2"/>
      <rgbColor rgb="00969696"/>
      <rgbColor rgb="00FB9A7A"/>
      <rgbColor rgb="0074BE74"/>
      <rgbColor rgb="00EE7F81"/>
      <rgbColor rgb="00F26163"/>
      <rgbColor rgb="00FF0000"/>
      <rgbColor rgb="00A55628"/>
      <rgbColor rgb="00FDCDB8"/>
      <rgbColor rgb="000000FF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worksheets/sheet14.xml" Type="http://schemas.openxmlformats.org/officeDocument/2006/relationships/worksheet"/>
<Relationship Id="rId15" Target="worksheets/sheet15.xml" Type="http://schemas.openxmlformats.org/officeDocument/2006/relationships/worksheet"/>
<Relationship Id="rId16" Target="worksheets/sheet16.xml" Type="http://schemas.openxmlformats.org/officeDocument/2006/relationships/worksheet"/>
<Relationship Id="rId17" Target="worksheets/sheet17.xml" Type="http://schemas.openxmlformats.org/officeDocument/2006/relationships/worksheet"/>
<Relationship Id="rId18" Target="externalLinks/externalLink1.xml" Type="http://schemas.openxmlformats.org/officeDocument/2006/relationships/externalLink"/>
<Relationship Id="rId19" Target="externalLinks/externalLink2.xml" Type="http://schemas.openxmlformats.org/officeDocument/2006/relationships/externalLink"/>
<Relationship Id="rId2" Target="worksheets/sheet2.xml" Type="http://schemas.openxmlformats.org/officeDocument/2006/relationships/worksheet"/>
<Relationship Id="rId20" Target="externalLinks/externalLink3.xml" Type="http://schemas.openxmlformats.org/officeDocument/2006/relationships/externalLink"/>
<Relationship Id="rId21" Target="externalLinks/externalLink4.xml" Type="http://schemas.openxmlformats.org/officeDocument/2006/relationships/externalLink"/>
<Relationship Id="rId22" Target="externalLinks/externalLink5.xml" Type="http://schemas.openxmlformats.org/officeDocument/2006/relationships/externalLink"/>
<Relationship Id="rId23" Target="externalLinks/externalLink6.xml" Type="http://schemas.openxmlformats.org/officeDocument/2006/relationships/externalLink"/>
<Relationship Id="rId24" Target="externalLinks/externalLink7.xml" Type="http://schemas.openxmlformats.org/officeDocument/2006/relationships/externalLink"/>
<Relationship Id="rId25" Target="externalLinks/externalLink8.xml" Type="http://schemas.openxmlformats.org/officeDocument/2006/relationships/externalLink"/>
<Relationship Id="rId26" Target="theme/theme1.xml" Type="http://schemas.openxmlformats.org/officeDocument/2006/relationships/theme"/>
<Relationship Id="rId27" Target="styles.xml" Type="http://schemas.openxmlformats.org/officeDocument/2006/relationships/styles"/>
<Relationship Id="rId28" Target="sharedStrings.xml" Type="http://schemas.openxmlformats.org/officeDocument/2006/relationships/sharedStrings"/>
<Relationship Id="rId29" Target="calcChain.xml" Type="http://schemas.openxmlformats.org/officeDocument/2006/relationships/calcChain"/>
<Relationship Id="rId3" Target="worksheets/sheet3.xml" Type="http://schemas.openxmlformats.org/officeDocument/2006/relationships/worksheet"/>
<Relationship Id="rId30" Target="../customXml/item1.xml" Type="http://schemas.openxmlformats.org/officeDocument/2006/relationships/customXml"/>
<Relationship Id="rId31" Target="../customXml/item2.xml" Type="http://schemas.openxmlformats.org/officeDocument/2006/relationships/customXml"/>
<Relationship Id="rId32" Target="vbaProject.bin" Type="http://schemas.microsoft.com/office/2006/relationships/vbaProjec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5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6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7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8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9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10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11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1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7</xdr:col>
      <xdr:colOff>390525</xdr:colOff>
      <xdr:row>203</xdr:row>
      <xdr:rowOff>104775</xdr:rowOff>
    </xdr:to>
    <xdr:pic>
      <xdr:nvPicPr>
        <xdr:cNvPr id="4245505" name="Picture 1" descr="C:\Users\elliseth\AppData\Local\Temp\MercuryPriceRatingHistoryChart\XEL.O_2018_04_13_10_21_15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2</xdr:row>
      <xdr:rowOff>38100</xdr:rowOff>
    </xdr:from>
    <xdr:to>
      <xdr:col>10</xdr:col>
      <xdr:colOff>257175</xdr:colOff>
      <xdr:row>4</xdr:row>
      <xdr:rowOff>0</xdr:rowOff>
    </xdr:to>
    <xdr:pic>
      <xdr:nvPicPr>
        <xdr:cNvPr id="3266466" name="Picture 2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0" y="561975"/>
          <a:ext cx="35433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75</xdr:col>
      <xdr:colOff>133350</xdr:colOff>
      <xdr:row>1</xdr:row>
      <xdr:rowOff>57150</xdr:rowOff>
    </xdr:from>
    <xdr:to>
      <xdr:col>79</xdr:col>
      <xdr:colOff>609600</xdr:colOff>
      <xdr:row>2</xdr:row>
      <xdr:rowOff>152400</xdr:rowOff>
    </xdr:to>
    <xdr:pic>
      <xdr:nvPicPr>
        <xdr:cNvPr id="3229643" name="Picture 6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53950" y="247650"/>
          <a:ext cx="29908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88</xdr:col>
      <xdr:colOff>314325</xdr:colOff>
      <xdr:row>1</xdr:row>
      <xdr:rowOff>76200</xdr:rowOff>
    </xdr:from>
    <xdr:to>
      <xdr:col>118</xdr:col>
      <xdr:colOff>238124</xdr:colOff>
      <xdr:row>2</xdr:row>
      <xdr:rowOff>171450</xdr:rowOff>
    </xdr:to>
    <xdr:pic>
      <xdr:nvPicPr>
        <xdr:cNvPr id="3255210" name="Picture 6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266700"/>
          <a:ext cx="30003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0</xdr:colOff>
      <xdr:row>1</xdr:row>
      <xdr:rowOff>38100</xdr:rowOff>
    </xdr:from>
    <xdr:to>
      <xdr:col>53</xdr:col>
      <xdr:colOff>590550</xdr:colOff>
      <xdr:row>2</xdr:row>
      <xdr:rowOff>133350</xdr:rowOff>
    </xdr:to>
    <xdr:pic>
      <xdr:nvPicPr>
        <xdr:cNvPr id="4063412" name="Picture 82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81775" y="228600"/>
          <a:ext cx="29908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571500</xdr:colOff>
      <xdr:row>1</xdr:row>
      <xdr:rowOff>57150</xdr:rowOff>
    </xdr:from>
    <xdr:to>
      <xdr:col>53</xdr:col>
      <xdr:colOff>542925</xdr:colOff>
      <xdr:row>2</xdr:row>
      <xdr:rowOff>152400</xdr:rowOff>
    </xdr:to>
    <xdr:pic>
      <xdr:nvPicPr>
        <xdr:cNvPr id="4160590" name="Picture 121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5" y="247650"/>
          <a:ext cx="30003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590550</xdr:colOff>
      <xdr:row>1</xdr:row>
      <xdr:rowOff>47625</xdr:rowOff>
    </xdr:from>
    <xdr:to>
      <xdr:col>53</xdr:col>
      <xdr:colOff>352425</xdr:colOff>
      <xdr:row>2</xdr:row>
      <xdr:rowOff>142875</xdr:rowOff>
    </xdr:to>
    <xdr:pic>
      <xdr:nvPicPr>
        <xdr:cNvPr id="3340287" name="Picture 121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238125"/>
          <a:ext cx="29527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590550</xdr:colOff>
      <xdr:row>1</xdr:row>
      <xdr:rowOff>38100</xdr:rowOff>
    </xdr:from>
    <xdr:to>
      <xdr:col>54</xdr:col>
      <xdr:colOff>0</xdr:colOff>
      <xdr:row>2</xdr:row>
      <xdr:rowOff>133350</xdr:rowOff>
    </xdr:to>
    <xdr:pic>
      <xdr:nvPicPr>
        <xdr:cNvPr id="3861898" name="Picture 121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3175" y="228600"/>
          <a:ext cx="30099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561975</xdr:colOff>
      <xdr:row>1</xdr:row>
      <xdr:rowOff>47625</xdr:rowOff>
    </xdr:from>
    <xdr:to>
      <xdr:col>53</xdr:col>
      <xdr:colOff>571500</xdr:colOff>
      <xdr:row>2</xdr:row>
      <xdr:rowOff>142875</xdr:rowOff>
    </xdr:to>
    <xdr:pic>
      <xdr:nvPicPr>
        <xdr:cNvPr id="4026590" name="Picture 121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24600" y="238125"/>
          <a:ext cx="30099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0</xdr:colOff>
      <xdr:row>1</xdr:row>
      <xdr:rowOff>57150</xdr:rowOff>
    </xdr:from>
    <xdr:to>
      <xdr:col>49</xdr:col>
      <xdr:colOff>0</xdr:colOff>
      <xdr:row>2</xdr:row>
      <xdr:rowOff>152400</xdr:rowOff>
    </xdr:to>
    <xdr:pic>
      <xdr:nvPicPr>
        <xdr:cNvPr id="3243973" name="Picture 1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1175" y="247650"/>
          <a:ext cx="30003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142875</xdr:colOff>
      <xdr:row>1</xdr:row>
      <xdr:rowOff>85725</xdr:rowOff>
    </xdr:from>
    <xdr:to>
      <xdr:col>9</xdr:col>
      <xdr:colOff>66675</xdr:colOff>
      <xdr:row>2</xdr:row>
      <xdr:rowOff>180975</xdr:rowOff>
    </xdr:to>
    <xdr:pic>
      <xdr:nvPicPr>
        <xdr:cNvPr id="4145239" name="Picture 4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4900" y="276225"/>
          <a:ext cx="29908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</xdr:row>
      <xdr:rowOff>85725</xdr:rowOff>
    </xdr:from>
    <xdr:to>
      <xdr:col>9</xdr:col>
      <xdr:colOff>228600</xdr:colOff>
      <xdr:row>3</xdr:row>
      <xdr:rowOff>0</xdr:rowOff>
    </xdr:to>
    <xdr:pic>
      <xdr:nvPicPr>
        <xdr:cNvPr id="3260326" name="Picture 5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276225"/>
          <a:ext cx="29908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file://///msad/root/NA/NY/LIB/ER/UTILITIES/Models/Rebuild/NVE/NVE%2010.4.11.xls" TargetMode="External" Type="http://schemas.openxmlformats.org/officeDocument/2006/relationships/externalLinkPath"/>
</Relationships>

</file>

<file path=xl/externalLinks/_rels/externalLink2.xml.rels><?xml version="1.0" encoding="UTF-8" standalone="yes"?>
<Relationships xmlns="http://schemas.openxmlformats.org/package/2006/relationships">
<Relationship Id="rId1" Target="UTILITIES/Models/Rebuild/EIX/EMG%205.xls" TargetMode="External" Type="http://schemas.microsoft.com/office/2006/relationships/xlExternalLinkPath/xlStartup"/>
</Relationships>

</file>

<file path=xl/externalLinks/_rels/externalLink3.xml.rels><?xml version="1.0" encoding="UTF-8" standalone="yes"?>
<Relationships xmlns="http://schemas.openxmlformats.org/package/2006/relationships">
<Relationship Id="rId1" Target="file://///msad/root/C/UTILITY/Power/Utilities/WEC/Models/Initiation/Previous%20JPM%20WEC%20Model%2007%20Apr%2004.xls" TargetMode="External" Type="http://schemas.openxmlformats.org/officeDocument/2006/relationships/externalLinkPath"/>
</Relationships>

</file>

<file path=xl/externalLinks/_rels/externalLink4.xml.rels><?xml version="1.0" encoding="UTF-8" standalone="yes"?>
<Relationships xmlns="http://schemas.openxmlformats.org/package/2006/relationships">
<Relationship Id="rId1" Target="file://///msad/root/C/UTILITY/Power/Models/Working/PNW%20Model%20Jen.xls" TargetMode="External" Type="http://schemas.openxmlformats.org/officeDocument/2006/relationships/externalLinkPath"/>
</Relationships>

</file>

<file path=xl/externalLinks/_rels/externalLink5.xml.rels><?xml version="1.0" encoding="UTF-8" standalone="yes"?>
<Relationships xmlns="http://schemas.openxmlformats.org/package/2006/relationships">
<Relationship Id="rId1" Target="file://///msad/root/Volumes/NO%20NAME/UTILITY/Power/Utilities/WEC/Models/Initiation/Previous%20JPM%20WEC%20Model%2007%20Apr%2004.xls" TargetMode="External" Type="http://schemas.openxmlformats.org/officeDocument/2006/relationships/externalLinkPath"/>
</Relationships>

</file>

<file path=xl/externalLinks/_rels/externalLink6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_rels/externalLink7.xml.rels><?xml version="1.0" encoding="UTF-8" standalone="yes"?>
<Relationships xmlns="http://schemas.openxmlformats.org/package/2006/relationships">
<Relationship Id="rId1" Target="UTILITIES/Price%20Deck/MS%20New%20Price%20Deck%20122811.xls" TargetMode="External" Type="http://schemas.microsoft.com/office/2006/relationships/xlExternalLinkPath/xlStartup"/>
</Relationships>

</file>

<file path=xl/externalLinks/_rels/externalLink8.xml.rels><?xml version="1.0" encoding="UTF-8" standalone="yes"?>
<Relationships xmlns="http://schemas.openxmlformats.org/package/2006/relationships">
<Relationship Id="rId1" Target="TEMPLATE/Excel/LINKTAB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Valuation Summary"/>
      <sheetName val="__FDSCACHE__"/>
      <sheetName val="Financial Summary"/>
      <sheetName val="NVE - Consolidated"/>
      <sheetName val="Nevada Power"/>
      <sheetName val="Sierra Power"/>
      <sheetName val="Parent"/>
      <sheetName val="Debt"/>
      <sheetName val="EPS Walk"/>
      <sheetName val="MWA RR"/>
      <sheetName val="Note Tables"/>
      <sheetName val="mwareDates"/>
      <sheetName val="Capex Chart"/>
      <sheetName val="FCF-Div. Working Chart"/>
      <sheetName val="MW FDS"/>
      <sheetName val="mwareSettings"/>
      <sheetName val="MW-Cache"/>
      <sheetName val="Summary"/>
      <sheetName val="misc"/>
      <sheetName val="Margi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">
          <cell r="A1" t="str">
            <v>RRS-5.13</v>
          </cell>
          <cell r="D1" t="str">
            <v>RISK-REWARD SNAPSHOT
(You must upload your model to ModelWare to capture changes to your scenario values and NOT delete this worksheet.)</v>
          </cell>
          <cell r="I1" t="str">
            <v>Select Language</v>
          </cell>
          <cell r="N1" t="str">
            <v>http://ChartGallery</v>
          </cell>
          <cell r="O1" t="str">
            <v>http://ChartGallery</v>
          </cell>
          <cell r="AA1" t="str">
            <v>ElementName</v>
          </cell>
          <cell r="AB1" t="str">
            <v>ScaleOverride</v>
          </cell>
          <cell r="AC1" t="str">
            <v>UnitOverride</v>
          </cell>
          <cell r="AD1" t="str">
            <v>ReverseSign</v>
          </cell>
          <cell r="AE1" t="str">
            <v>IsDrivingAssumption</v>
          </cell>
          <cell r="AF1" t="str">
            <v>SegmentID</v>
          </cell>
        </row>
        <row r="2">
          <cell r="B2" t="str">
            <v>Instructions:</v>
          </cell>
          <cell r="G2" t="str">
            <v>Is refreshing chart data too slow? Read below to improve performance.</v>
          </cell>
          <cell r="AQ2" t="str">
            <v>Refer to cell G2 to learn about improving chart refresh performance</v>
          </cell>
        </row>
        <row r="4">
          <cell r="B4" t="str">
            <v>Ticker:</v>
          </cell>
          <cell r="C4" t="str">
            <v>NVE.N</v>
          </cell>
          <cell r="E4" t="str">
            <v>Company Name:</v>
          </cell>
          <cell r="F4" t="str">
            <v>NV Energy Inc.</v>
          </cell>
          <cell r="I4" t="str">
            <v>Sedol:</v>
          </cell>
          <cell r="J4">
            <v>244379</v>
          </cell>
          <cell r="K4" t="str">
            <v>NA</v>
          </cell>
        </row>
        <row r="5">
          <cell r="B5" t="str">
            <v xml:space="preserve">Chart Data Inputs (decimal formats will reflect on chart): </v>
          </cell>
          <cell r="H5" t="str">
            <v>Risk Reward Chart Gallery 
(Click on the below image for other Risk-Reward Charts)</v>
          </cell>
        </row>
        <row r="6">
          <cell r="B6" t="str">
            <v>Bull Case</v>
          </cell>
          <cell r="C6">
            <v>17.5</v>
          </cell>
          <cell r="AA6" t="str">
            <v>mstag:bullCaseValueEstimatePerShare</v>
          </cell>
          <cell r="AB6">
            <v>0</v>
          </cell>
          <cell r="AC6" t="str">
            <v>ISO4217:USD</v>
          </cell>
          <cell r="AD6" t="b">
            <v>0</v>
          </cell>
        </row>
        <row r="7">
          <cell r="B7" t="str">
            <v>Base Case</v>
          </cell>
          <cell r="C7">
            <v>16.5</v>
          </cell>
          <cell r="AA7" t="str">
            <v>mstag:met_12monthIntrinsicValueEstimate</v>
          </cell>
          <cell r="AB7">
            <v>0</v>
          </cell>
          <cell r="AC7" t="str">
            <v>ISO4217:USD</v>
          </cell>
          <cell r="AD7" t="b">
            <v>0</v>
          </cell>
        </row>
        <row r="8">
          <cell r="B8" t="str">
            <v>Bear Case</v>
          </cell>
          <cell r="C8">
            <v>14</v>
          </cell>
          <cell r="K8" t="str">
            <v>日本語</v>
          </cell>
          <cell r="M8" t="str">
            <v>-</v>
          </cell>
          <cell r="AA8" t="str">
            <v>mstag:bearCaseValueEstimatePerShare</v>
          </cell>
          <cell r="AB8">
            <v>0</v>
          </cell>
          <cell r="AC8" t="str">
            <v>ISO4217:USD</v>
          </cell>
          <cell r="AD8" t="b">
            <v>0</v>
          </cell>
        </row>
        <row r="9">
          <cell r="B9" t="str">
            <v>Extreme Upside</v>
          </cell>
          <cell r="K9" t="str">
            <v>English</v>
          </cell>
          <cell r="L9" t="str">
            <v>年</v>
          </cell>
          <cell r="M9" t="str">
            <v>月</v>
          </cell>
          <cell r="N9" t="str">
            <v>-</v>
          </cell>
          <cell r="AA9" t="str">
            <v>mstag:extremeBullCaseValueEstimatePerShare</v>
          </cell>
          <cell r="AB9">
            <v>0</v>
          </cell>
          <cell r="AC9" t="str">
            <v>ISO4217:USD</v>
          </cell>
          <cell r="AD9" t="b">
            <v>0</v>
          </cell>
          <cell r="AH9" t="str">
            <v>Other Refresh Chart Option</v>
          </cell>
        </row>
        <row r="10">
          <cell r="B10" t="str">
            <v>Extreme Downside</v>
          </cell>
          <cell r="O10" t="b">
            <v>0</v>
          </cell>
          <cell r="AA10" t="str">
            <v>mstag:extremeBearCaseValueEstimatePerShare</v>
          </cell>
          <cell r="AB10">
            <v>0</v>
          </cell>
          <cell r="AC10" t="str">
            <v>ISO4217:USD</v>
          </cell>
          <cell r="AD10" t="b">
            <v>0</v>
          </cell>
        </row>
        <row r="11">
          <cell r="B11" t="str">
            <v>Price Target</v>
          </cell>
          <cell r="O11" t="b">
            <v>1</v>
          </cell>
        </row>
        <row r="12">
          <cell r="B12" t="str">
            <v>Currency</v>
          </cell>
          <cell r="C12" t="str">
            <v>USD American Dollar</v>
          </cell>
          <cell r="F12">
            <v>0</v>
          </cell>
        </row>
        <row r="13">
          <cell r="B13" t="str">
            <v>Currency Symbol</v>
          </cell>
          <cell r="C13" t="str">
            <v>$</v>
          </cell>
          <cell r="F13">
            <v>0</v>
          </cell>
          <cell r="I13" t="str">
            <v xml:space="preserve">WARNINGDONOTEDIT_RRS4RL~NVE.N~ </v>
          </cell>
        </row>
        <row r="14">
          <cell r="B14" t="str">
            <v>"Refresh RR Chart" updates chart dates below, as of today. If your PT time horizon is &gt; 1yr. or price history is &lt; 2yrs., adjust Start/End dates and select "Apply Manually Adjusted Dates" option.</v>
          </cell>
        </row>
        <row r="15">
          <cell r="B15" t="str">
            <v>Start Date (-2 Yrs)</v>
          </cell>
          <cell r="C15">
            <v>40050</v>
          </cell>
          <cell r="E15" t="str">
            <v>NA</v>
          </cell>
          <cell r="F15" t="str">
            <v>USD</v>
          </cell>
        </row>
        <row r="16">
          <cell r="B16" t="str">
            <v>End Date (+1 Yr)</v>
          </cell>
          <cell r="C16">
            <v>41146</v>
          </cell>
          <cell r="E16" t="str">
            <v>NA</v>
          </cell>
          <cell r="F16" t="str">
            <v>USD</v>
          </cell>
        </row>
        <row r="17">
          <cell r="B17">
            <v>14.35</v>
          </cell>
          <cell r="C17" t="str">
            <v>Hand entert Share Price</v>
          </cell>
          <cell r="H17" t="str">
            <v>2007-FY</v>
          </cell>
        </row>
        <row r="18">
          <cell r="B18" t="b">
            <v>0</v>
          </cell>
          <cell r="C18">
            <v>40780</v>
          </cell>
        </row>
        <row r="19">
          <cell r="C19" t="str">
            <v>2009-FY</v>
          </cell>
        </row>
        <row r="34">
          <cell r="A34" t="str">
            <v>BullCase</v>
          </cell>
        </row>
        <row r="52">
          <cell r="A52">
            <v>41146</v>
          </cell>
          <cell r="B52">
            <v>764</v>
          </cell>
          <cell r="N52" t="str">
            <v>Aug-12</v>
          </cell>
          <cell r="R52" t="b">
            <v>1</v>
          </cell>
        </row>
        <row r="53">
          <cell r="A53" t="str">
            <v>Header</v>
          </cell>
          <cell r="B53" t="str">
            <v>Date</v>
          </cell>
          <cell r="C53" t="str">
            <v>Past/Future</v>
          </cell>
          <cell r="D53" t="str">
            <v>Historical Stock Performance</v>
          </cell>
          <cell r="E53" t="str">
            <v>Extreme Upside Cone</v>
          </cell>
          <cell r="F53" t="str">
            <v>Blue Cone</v>
          </cell>
          <cell r="G53" t="str">
            <v>Extreme Downside Cone</v>
          </cell>
          <cell r="H53" t="str">
            <v>White Mask</v>
          </cell>
          <cell r="I53" t="str">
            <v>Current Stock Price</v>
          </cell>
          <cell r="J53" t="str">
            <v>Extreme Upside Price(Aug-12)</v>
          </cell>
          <cell r="K53" t="str">
            <v>Bull Price(Aug-12)</v>
          </cell>
          <cell r="L53" t="str">
            <v>Bear Price(Aug-12)</v>
          </cell>
          <cell r="M53" t="str">
            <v>Extreme Downside Price(Aug-12)</v>
          </cell>
          <cell r="N53" t="str">
            <v>Base Case  (Aug-12)</v>
          </cell>
          <cell r="O53" t="str">
            <v>Gray Line</v>
          </cell>
          <cell r="P53" t="str">
            <v>Prices</v>
          </cell>
          <cell r="Q53" t="str">
            <v>Volume</v>
          </cell>
          <cell r="R53" t="str">
            <v>Base Case(Aug-12)</v>
          </cell>
          <cell r="S53" t="str">
            <v>Header Row</v>
          </cell>
          <cell r="T53">
            <v>53</v>
          </cell>
          <cell r="U53">
            <v>0</v>
          </cell>
          <cell r="AI53" t="str">
            <v xml:space="preserve">Display </v>
          </cell>
          <cell r="AJ53" t="str">
            <v>Symbol</v>
          </cell>
          <cell r="AK53" t="str">
            <v>Unit</v>
          </cell>
          <cell r="AL53" t="str">
            <v>FactsetUnit</v>
          </cell>
          <cell r="AM53" t="str">
            <v>Right alligned</v>
          </cell>
          <cell r="AN53" t="str">
            <v>Display 2 Decimal Places for Currency Amount</v>
          </cell>
        </row>
        <row r="54">
          <cell r="A54">
            <v>40050</v>
          </cell>
          <cell r="B54">
            <v>40050</v>
          </cell>
          <cell r="C54" t="str">
            <v>Past</v>
          </cell>
          <cell r="D54">
            <v>12.21</v>
          </cell>
          <cell r="E54" t="e">
            <v>#N/A</v>
          </cell>
          <cell r="F54" t="e">
            <v>#N/A</v>
          </cell>
          <cell r="G54" t="e">
            <v>#N/A</v>
          </cell>
          <cell r="H54" t="e">
            <v>#N/A</v>
          </cell>
          <cell r="I54" t="e">
            <v>#N/A</v>
          </cell>
          <cell r="J54" t="e">
            <v>#N/A</v>
          </cell>
          <cell r="K54" t="e">
            <v>#N/A</v>
          </cell>
          <cell r="L54" t="e">
            <v>#N/A</v>
          </cell>
          <cell r="M54" t="e">
            <v>#N/A</v>
          </cell>
          <cell r="N54" t="e">
            <v>#N/A</v>
          </cell>
          <cell r="O54" t="e">
            <v>#N/A</v>
          </cell>
          <cell r="P54">
            <v>12.21</v>
          </cell>
          <cell r="Q54">
            <v>1.3155129999999999</v>
          </cell>
          <cell r="R54" t="e">
            <v>#N/A</v>
          </cell>
          <cell r="S54" t="str">
            <v>Count</v>
          </cell>
          <cell r="T54">
            <v>764</v>
          </cell>
          <cell r="U54">
            <v>17.5</v>
          </cell>
          <cell r="AI54" t="str">
            <v>AED UAE Dirham</v>
          </cell>
          <cell r="AJ54" t="str">
            <v>AED</v>
          </cell>
          <cell r="AK54" t="str">
            <v>AED</v>
          </cell>
          <cell r="AL54" t="str">
            <v>AED</v>
          </cell>
          <cell r="AM54">
            <v>0</v>
          </cell>
          <cell r="AN54">
            <v>2</v>
          </cell>
        </row>
        <row r="55">
          <cell r="A55">
            <v>40051</v>
          </cell>
          <cell r="B55">
            <v>40051</v>
          </cell>
          <cell r="C55" t="str">
            <v>Past</v>
          </cell>
          <cell r="D55">
            <v>12.3</v>
          </cell>
          <cell r="E55" t="e">
            <v>#N/A</v>
          </cell>
          <cell r="F55" t="e">
            <v>#N/A</v>
          </cell>
          <cell r="G55" t="e">
            <v>#N/A</v>
          </cell>
          <cell r="H55" t="e">
            <v>#N/A</v>
          </cell>
          <cell r="I55" t="e">
            <v>#N/A</v>
          </cell>
          <cell r="J55" t="e">
            <v>#N/A</v>
          </cell>
          <cell r="K55" t="e">
            <v>#N/A</v>
          </cell>
          <cell r="L55" t="e">
            <v>#N/A</v>
          </cell>
          <cell r="M55" t="e">
            <v>#N/A</v>
          </cell>
          <cell r="N55" t="e">
            <v>#N/A</v>
          </cell>
          <cell r="O55" t="e">
            <v>#N/A</v>
          </cell>
          <cell r="P55">
            <v>12.3</v>
          </cell>
          <cell r="Q55">
            <v>1.131678</v>
          </cell>
          <cell r="R55" t="e">
            <v>#N/A</v>
          </cell>
          <cell r="S55" t="str">
            <v>Curr Price</v>
          </cell>
          <cell r="T55">
            <v>14.35</v>
          </cell>
          <cell r="U55">
            <v>506</v>
          </cell>
          <cell r="V55">
            <v>55.094300000000004</v>
          </cell>
          <cell r="AI55" t="str">
            <v>ARS Argentinian Pesos</v>
          </cell>
          <cell r="AJ55" t="str">
            <v>Ar$</v>
          </cell>
          <cell r="AK55" t="str">
            <v>ARS</v>
          </cell>
          <cell r="AL55" t="str">
            <v>ARS</v>
          </cell>
          <cell r="AM55">
            <v>0</v>
          </cell>
          <cell r="AN55">
            <v>2</v>
          </cell>
        </row>
        <row r="56">
          <cell r="A56">
            <v>40052</v>
          </cell>
          <cell r="B56">
            <v>40052</v>
          </cell>
          <cell r="C56" t="str">
            <v>Past</v>
          </cell>
          <cell r="D56">
            <v>12.22</v>
          </cell>
          <cell r="E56" t="e">
            <v>#N/A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>
            <v>12.22</v>
          </cell>
          <cell r="Q56">
            <v>0.87458399999999992</v>
          </cell>
          <cell r="R56" t="e">
            <v>#N/A</v>
          </cell>
          <cell r="S56" t="str">
            <v>Curr Price Date</v>
          </cell>
          <cell r="T56">
            <v>40780</v>
          </cell>
          <cell r="U56">
            <v>40519.771412037036</v>
          </cell>
          <cell r="AI56" t="str">
            <v>AUD Australian Dollar</v>
          </cell>
          <cell r="AJ56" t="str">
            <v>A$</v>
          </cell>
          <cell r="AK56" t="str">
            <v>AUD</v>
          </cell>
          <cell r="AL56" t="str">
            <v>AUD</v>
          </cell>
          <cell r="AM56">
            <v>0</v>
          </cell>
          <cell r="AN56">
            <v>2</v>
          </cell>
        </row>
        <row r="57">
          <cell r="A57">
            <v>40053</v>
          </cell>
          <cell r="B57">
            <v>40053</v>
          </cell>
          <cell r="C57" t="str">
            <v>Past</v>
          </cell>
          <cell r="D57">
            <v>12.22</v>
          </cell>
          <cell r="E57" t="e">
            <v>#N/A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>
            <v>12.22</v>
          </cell>
          <cell r="Q57">
            <v>1.1191689999999999</v>
          </cell>
          <cell r="R57" t="e">
            <v>#N/A</v>
          </cell>
          <cell r="S57" t="str">
            <v>Bull-Curr</v>
          </cell>
          <cell r="T57">
            <v>3.1500000000000004</v>
          </cell>
          <cell r="U57">
            <v>1.2162162162162163E-2</v>
          </cell>
          <cell r="AI57" t="str">
            <v>BGL Bulgarian levs</v>
          </cell>
          <cell r="AJ57" t="str">
            <v>BGL</v>
          </cell>
          <cell r="AK57" t="str">
            <v>BGL</v>
          </cell>
          <cell r="AL57" t="str">
            <v>BGN</v>
          </cell>
          <cell r="AM57">
            <v>0</v>
          </cell>
          <cell r="AN57">
            <v>2</v>
          </cell>
        </row>
        <row r="58">
          <cell r="A58">
            <v>40056</v>
          </cell>
          <cell r="B58">
            <v>40056</v>
          </cell>
          <cell r="C58" t="str">
            <v>Past</v>
          </cell>
          <cell r="D58">
            <v>12.06</v>
          </cell>
          <cell r="E58" t="e">
            <v>#N/A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>
            <v>12.06</v>
          </cell>
          <cell r="Q58">
            <v>1.369715</v>
          </cell>
          <cell r="R58" t="e">
            <v>#N/A</v>
          </cell>
          <cell r="S58" t="str">
            <v>Upp-Cur</v>
          </cell>
          <cell r="T58">
            <v>-14.35</v>
          </cell>
          <cell r="U58">
            <v>-5.5405405405405402E-2</v>
          </cell>
          <cell r="AI58" t="str">
            <v>BMD Bermudan Dollars</v>
          </cell>
          <cell r="AJ58" t="str">
            <v>BMD</v>
          </cell>
          <cell r="AK58" t="str">
            <v>BMD</v>
          </cell>
          <cell r="AL58" t="str">
            <v>BMD</v>
          </cell>
          <cell r="AM58">
            <v>0</v>
          </cell>
          <cell r="AN58">
            <v>2</v>
          </cell>
        </row>
        <row r="59">
          <cell r="A59">
            <v>40057</v>
          </cell>
          <cell r="B59">
            <v>40057</v>
          </cell>
          <cell r="C59" t="str">
            <v>Past</v>
          </cell>
          <cell r="D59">
            <v>11.93</v>
          </cell>
          <cell r="E59" t="e">
            <v>#N/A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>
            <v>11.93</v>
          </cell>
          <cell r="Q59">
            <v>1.273631</v>
          </cell>
          <cell r="R59" t="e">
            <v>#N/A</v>
          </cell>
          <cell r="S59" t="str">
            <v>Curr-Bear</v>
          </cell>
          <cell r="T59">
            <v>0.34999999999999964</v>
          </cell>
          <cell r="U59">
            <v>1.3513513513513499E-3</v>
          </cell>
          <cell r="AI59" t="str">
            <v>BRL Brazilian Real</v>
          </cell>
          <cell r="AJ59" t="str">
            <v>R$</v>
          </cell>
          <cell r="AK59" t="str">
            <v>BRL</v>
          </cell>
          <cell r="AL59" t="str">
            <v>BRL</v>
          </cell>
          <cell r="AM59">
            <v>0</v>
          </cell>
          <cell r="AN59">
            <v>2</v>
          </cell>
        </row>
        <row r="60">
          <cell r="A60">
            <v>40058</v>
          </cell>
          <cell r="B60">
            <v>40058</v>
          </cell>
          <cell r="C60" t="str">
            <v>Past</v>
          </cell>
          <cell r="D60">
            <v>11.86</v>
          </cell>
          <cell r="E60" t="e">
            <v>#N/A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>
            <v>11.86</v>
          </cell>
          <cell r="Q60">
            <v>0.99380199999999996</v>
          </cell>
          <cell r="R60" t="e">
            <v>#N/A</v>
          </cell>
          <cell r="S60" t="str">
            <v>Curr-Lower</v>
          </cell>
          <cell r="T60">
            <v>14.35</v>
          </cell>
          <cell r="U60">
            <v>5.5405405405405402E-2</v>
          </cell>
          <cell r="AI60" t="str">
            <v>CAD Canadian Dollars</v>
          </cell>
          <cell r="AJ60" t="str">
            <v>C$</v>
          </cell>
          <cell r="AK60" t="str">
            <v>CAD</v>
          </cell>
          <cell r="AL60" t="str">
            <v>CAD</v>
          </cell>
          <cell r="AM60">
            <v>0</v>
          </cell>
          <cell r="AN60">
            <v>2</v>
          </cell>
        </row>
        <row r="61">
          <cell r="A61">
            <v>40059</v>
          </cell>
          <cell r="B61">
            <v>40059</v>
          </cell>
          <cell r="C61" t="str">
            <v>Past</v>
          </cell>
          <cell r="D61">
            <v>11.82</v>
          </cell>
          <cell r="E61" t="e">
            <v>#N/A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>
            <v>11.82</v>
          </cell>
          <cell r="Q61">
            <v>1.1897</v>
          </cell>
          <cell r="R61" t="e">
            <v>#N/A</v>
          </cell>
          <cell r="S61" t="str">
            <v>PriceFoundAt</v>
          </cell>
          <cell r="T61">
            <v>506</v>
          </cell>
          <cell r="AI61" t="str">
            <v>CHF Swiss Francs</v>
          </cell>
          <cell r="AJ61" t="str">
            <v>SFr</v>
          </cell>
          <cell r="AK61" t="str">
            <v>CHF</v>
          </cell>
          <cell r="AL61" t="str">
            <v>CHF</v>
          </cell>
          <cell r="AM61">
            <v>0</v>
          </cell>
          <cell r="AN61">
            <v>2</v>
          </cell>
        </row>
        <row r="62">
          <cell r="A62">
            <v>40060</v>
          </cell>
          <cell r="B62">
            <v>40060</v>
          </cell>
          <cell r="C62" t="str">
            <v>Past</v>
          </cell>
          <cell r="D62">
            <v>11.81</v>
          </cell>
          <cell r="E62" t="e">
            <v>#N/A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>
            <v>11.81</v>
          </cell>
          <cell r="Q62">
            <v>1.1005549999999999</v>
          </cell>
          <cell r="R62" t="e">
            <v>#N/A</v>
          </cell>
          <cell r="S62" t="str">
            <v>Starting Point</v>
          </cell>
          <cell r="T62">
            <v>559</v>
          </cell>
          <cell r="AI62" t="str">
            <v>CLP Chilean Pesos</v>
          </cell>
          <cell r="AJ62" t="str">
            <v>CLP</v>
          </cell>
          <cell r="AK62" t="str">
            <v>CLP</v>
          </cell>
          <cell r="AL62" t="str">
            <v>CLP</v>
          </cell>
          <cell r="AM62">
            <v>0</v>
          </cell>
          <cell r="AN62">
            <v>2</v>
          </cell>
        </row>
        <row r="63">
          <cell r="A63">
            <v>40064</v>
          </cell>
          <cell r="B63">
            <v>40064</v>
          </cell>
          <cell r="C63" t="str">
            <v>Past</v>
          </cell>
          <cell r="D63">
            <v>11.83</v>
          </cell>
          <cell r="E63" t="e">
            <v>#N/A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>
            <v>11.83</v>
          </cell>
          <cell r="Q63">
            <v>1.2291809999999999</v>
          </cell>
          <cell r="R63" t="e">
            <v>#N/A</v>
          </cell>
          <cell r="S63" t="str">
            <v>Saved</v>
          </cell>
          <cell r="T63">
            <v>259</v>
          </cell>
          <cell r="AI63" t="str">
            <v>CNY Chinese Renminbi Yuan</v>
          </cell>
          <cell r="AJ63" t="str">
            <v>Rmb</v>
          </cell>
          <cell r="AK63" t="str">
            <v>CNY</v>
          </cell>
          <cell r="AL63" t="str">
            <v>CNY</v>
          </cell>
          <cell r="AM63">
            <v>0</v>
          </cell>
          <cell r="AN63">
            <v>2</v>
          </cell>
        </row>
        <row r="64">
          <cell r="A64">
            <v>40065</v>
          </cell>
          <cell r="B64">
            <v>40065</v>
          </cell>
          <cell r="C64" t="str">
            <v>Past</v>
          </cell>
          <cell r="D64">
            <v>11.85</v>
          </cell>
          <cell r="E64" t="e">
            <v>#N/A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>
            <v>11.85</v>
          </cell>
          <cell r="Q64">
            <v>1.3311300000000001</v>
          </cell>
          <cell r="R64" t="e">
            <v>#N/A</v>
          </cell>
          <cell r="S64" t="str">
            <v>Right alligned</v>
          </cell>
          <cell r="T64">
            <v>0</v>
          </cell>
          <cell r="AI64" t="str">
            <v>COP Colombian Peso</v>
          </cell>
          <cell r="AJ64" t="str">
            <v>COP</v>
          </cell>
          <cell r="AK64" t="str">
            <v>COP</v>
          </cell>
          <cell r="AL64" t="str">
            <v>COP</v>
          </cell>
          <cell r="AM64">
            <v>0</v>
          </cell>
          <cell r="AN64">
            <v>2</v>
          </cell>
        </row>
        <row r="65">
          <cell r="A65">
            <v>40066</v>
          </cell>
          <cell r="B65">
            <v>40066</v>
          </cell>
          <cell r="C65" t="str">
            <v>Past</v>
          </cell>
          <cell r="D65">
            <v>11.88</v>
          </cell>
          <cell r="E65" t="e">
            <v>#N/A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>
            <v>11.88</v>
          </cell>
          <cell r="Q65">
            <v>2.2897369999999997</v>
          </cell>
          <cell r="R65" t="e">
            <v>#N/A</v>
          </cell>
          <cell r="S65" t="str">
            <v>Decimal</v>
          </cell>
          <cell r="T65">
            <v>2</v>
          </cell>
          <cell r="AI65" t="str">
            <v>CZK Czech Krona</v>
          </cell>
          <cell r="AJ65" t="str">
            <v>Kcs</v>
          </cell>
          <cell r="AK65" t="str">
            <v>CZK</v>
          </cell>
          <cell r="AL65" t="str">
            <v>CZK</v>
          </cell>
          <cell r="AM65">
            <v>0</v>
          </cell>
          <cell r="AN65">
            <v>2</v>
          </cell>
        </row>
        <row r="66">
          <cell r="A66">
            <v>40067</v>
          </cell>
          <cell r="B66">
            <v>40067</v>
          </cell>
          <cell r="C66" t="str">
            <v>Past</v>
          </cell>
          <cell r="D66">
            <v>11.56</v>
          </cell>
          <cell r="E66" t="e">
            <v>#N/A</v>
          </cell>
          <cell r="F66" t="e">
            <v>#N/A</v>
          </cell>
          <cell r="G66" t="e">
            <v>#N/A</v>
          </cell>
          <cell r="H66" t="e">
            <v>#N/A</v>
          </cell>
          <cell r="I66" t="e">
            <v>#N/A</v>
          </cell>
          <cell r="J66" t="e">
            <v>#N/A</v>
          </cell>
          <cell r="K66" t="e">
            <v>#N/A</v>
          </cell>
          <cell r="L66" t="e">
            <v>#N/A</v>
          </cell>
          <cell r="M66" t="e">
            <v>#N/A</v>
          </cell>
          <cell r="N66" t="e">
            <v>#N/A</v>
          </cell>
          <cell r="O66" t="e">
            <v>#N/A</v>
          </cell>
          <cell r="P66">
            <v>11.56</v>
          </cell>
          <cell r="Q66">
            <v>4.1574999999999998</v>
          </cell>
          <cell r="R66" t="e">
            <v>#N/A</v>
          </cell>
          <cell r="S66" t="str">
            <v>default StartDate</v>
          </cell>
          <cell r="T66">
            <v>40050</v>
          </cell>
          <cell r="AI66" t="str">
            <v>DKK Danish Krone</v>
          </cell>
          <cell r="AJ66" t="str">
            <v>DKr</v>
          </cell>
          <cell r="AK66" t="str">
            <v>DKK</v>
          </cell>
          <cell r="AL66" t="str">
            <v>DKK</v>
          </cell>
          <cell r="AM66">
            <v>0</v>
          </cell>
          <cell r="AN66">
            <v>2</v>
          </cell>
        </row>
        <row r="67">
          <cell r="A67">
            <v>40070</v>
          </cell>
          <cell r="B67">
            <v>40070</v>
          </cell>
          <cell r="C67" t="str">
            <v>Past</v>
          </cell>
          <cell r="D67">
            <v>11.76</v>
          </cell>
          <cell r="E67" t="e">
            <v>#N/A</v>
          </cell>
          <cell r="F67" t="e">
            <v>#N/A</v>
          </cell>
          <cell r="G67" t="e">
            <v>#N/A</v>
          </cell>
          <cell r="H67" t="e">
            <v>#N/A</v>
          </cell>
          <cell r="I67" t="e">
            <v>#N/A</v>
          </cell>
          <cell r="J67" t="e">
            <v>#N/A</v>
          </cell>
          <cell r="K67" t="e">
            <v>#N/A</v>
          </cell>
          <cell r="L67" t="e">
            <v>#N/A</v>
          </cell>
          <cell r="M67" t="e">
            <v>#N/A</v>
          </cell>
          <cell r="N67" t="e">
            <v>#N/A</v>
          </cell>
          <cell r="O67" t="e">
            <v>#N/A</v>
          </cell>
          <cell r="P67">
            <v>11.76</v>
          </cell>
          <cell r="Q67">
            <v>3.4181539999999999</v>
          </cell>
          <cell r="R67" t="e">
            <v>#N/A</v>
          </cell>
          <cell r="S67" t="str">
            <v>default EndDate</v>
          </cell>
          <cell r="T67">
            <v>41146</v>
          </cell>
          <cell r="AI67" t="str">
            <v>DZD Algerian Dinar</v>
          </cell>
          <cell r="AJ67" t="str">
            <v>DZD</v>
          </cell>
          <cell r="AK67" t="str">
            <v>DZD</v>
          </cell>
          <cell r="AL67" t="str">
            <v>DZD</v>
          </cell>
          <cell r="AM67">
            <v>0</v>
          </cell>
          <cell r="AN67">
            <v>2</v>
          </cell>
        </row>
        <row r="68">
          <cell r="A68">
            <v>40071</v>
          </cell>
          <cell r="B68">
            <v>40071</v>
          </cell>
          <cell r="C68" t="str">
            <v>Past</v>
          </cell>
          <cell r="D68">
            <v>11.71</v>
          </cell>
          <cell r="E68" t="e">
            <v>#N/A</v>
          </cell>
          <cell r="F68" t="e">
            <v>#N/A</v>
          </cell>
          <cell r="G68" t="e">
            <v>#N/A</v>
          </cell>
          <cell r="H68" t="e">
            <v>#N/A</v>
          </cell>
          <cell r="I68" t="e">
            <v>#N/A</v>
          </cell>
          <cell r="J68" t="e">
            <v>#N/A</v>
          </cell>
          <cell r="K68" t="e">
            <v>#N/A</v>
          </cell>
          <cell r="L68" t="e">
            <v>#N/A</v>
          </cell>
          <cell r="M68" t="e">
            <v>#N/A</v>
          </cell>
          <cell r="N68" t="e">
            <v>#N/A</v>
          </cell>
          <cell r="O68" t="e">
            <v>#N/A</v>
          </cell>
          <cell r="P68">
            <v>11.71</v>
          </cell>
          <cell r="Q68">
            <v>3.6388000000000003</v>
          </cell>
          <cell r="R68" t="e">
            <v>#N/A</v>
          </cell>
          <cell r="S68" t="str">
            <v>Max sharePrice</v>
          </cell>
          <cell r="T68">
            <v>15.89</v>
          </cell>
          <cell r="AI68" t="str">
            <v>EGP Egyptian Pound</v>
          </cell>
          <cell r="AJ68" t="str">
            <v>EGP</v>
          </cell>
          <cell r="AK68" t="str">
            <v>EGP</v>
          </cell>
          <cell r="AL68" t="str">
            <v>EGP</v>
          </cell>
          <cell r="AM68">
            <v>0</v>
          </cell>
          <cell r="AN68">
            <v>2</v>
          </cell>
        </row>
        <row r="69">
          <cell r="A69">
            <v>40072</v>
          </cell>
          <cell r="B69">
            <v>40072</v>
          </cell>
          <cell r="C69" t="str">
            <v>Past</v>
          </cell>
          <cell r="D69">
            <v>11.76</v>
          </cell>
          <cell r="E69" t="e">
            <v>#N/A</v>
          </cell>
          <cell r="F69" t="e">
            <v>#N/A</v>
          </cell>
          <cell r="G69" t="e">
            <v>#N/A</v>
          </cell>
          <cell r="H69" t="e">
            <v>#N/A</v>
          </cell>
          <cell r="I69" t="e">
            <v>#N/A</v>
          </cell>
          <cell r="J69" t="e">
            <v>#N/A</v>
          </cell>
          <cell r="K69" t="e">
            <v>#N/A</v>
          </cell>
          <cell r="L69" t="e">
            <v>#N/A</v>
          </cell>
          <cell r="M69" t="e">
            <v>#N/A</v>
          </cell>
          <cell r="N69" t="e">
            <v>#N/A</v>
          </cell>
          <cell r="O69" t="e">
            <v>#N/A</v>
          </cell>
          <cell r="P69">
            <v>11.76</v>
          </cell>
          <cell r="Q69">
            <v>2.8619700000000003</v>
          </cell>
          <cell r="R69" t="e">
            <v>#N/A</v>
          </cell>
          <cell r="AI69" t="str">
            <v>EUR Euro</v>
          </cell>
          <cell r="AJ69" t="str">
            <v>€</v>
          </cell>
          <cell r="AK69" t="str">
            <v>EUR</v>
          </cell>
          <cell r="AL69" t="str">
            <v>EUR</v>
          </cell>
          <cell r="AM69">
            <v>0</v>
          </cell>
          <cell r="AN69">
            <v>2</v>
          </cell>
        </row>
        <row r="70">
          <cell r="A70">
            <v>40073</v>
          </cell>
          <cell r="B70">
            <v>40073</v>
          </cell>
          <cell r="C70" t="str">
            <v>Past</v>
          </cell>
          <cell r="D70">
            <v>11.85</v>
          </cell>
          <cell r="E70" t="e">
            <v>#N/A</v>
          </cell>
          <cell r="F70" t="e">
            <v>#N/A</v>
          </cell>
          <cell r="G70" t="e">
            <v>#N/A</v>
          </cell>
          <cell r="H70" t="e">
            <v>#N/A</v>
          </cell>
          <cell r="I70" t="e">
            <v>#N/A</v>
          </cell>
          <cell r="J70" t="e">
            <v>#N/A</v>
          </cell>
          <cell r="K70" t="e">
            <v>#N/A</v>
          </cell>
          <cell r="L70" t="e">
            <v>#N/A</v>
          </cell>
          <cell r="M70" t="e">
            <v>#N/A</v>
          </cell>
          <cell r="N70" t="e">
            <v>#N/A</v>
          </cell>
          <cell r="O70" t="e">
            <v>#N/A</v>
          </cell>
          <cell r="P70">
            <v>11.85</v>
          </cell>
          <cell r="Q70">
            <v>2.6357729999999999</v>
          </cell>
          <cell r="R70" t="e">
            <v>#N/A</v>
          </cell>
          <cell r="AI70" t="str">
            <v>GBp British Pence</v>
          </cell>
          <cell r="AJ70" t="str">
            <v>p</v>
          </cell>
          <cell r="AK70" t="str">
            <v>GBp</v>
          </cell>
          <cell r="AL70" t="str">
            <v>GBX</v>
          </cell>
          <cell r="AM70">
            <v>1</v>
          </cell>
          <cell r="AN70">
            <v>0</v>
          </cell>
        </row>
        <row r="71">
          <cell r="A71">
            <v>40074</v>
          </cell>
          <cell r="B71">
            <v>40074</v>
          </cell>
          <cell r="C71" t="str">
            <v>Past</v>
          </cell>
          <cell r="D71">
            <v>11.8</v>
          </cell>
          <cell r="E71" t="e">
            <v>#N/A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>
            <v>11.8</v>
          </cell>
          <cell r="Q71">
            <v>2.2391289999999997</v>
          </cell>
          <cell r="R71" t="e">
            <v>#N/A</v>
          </cell>
          <cell r="AI71" t="str">
            <v>GBP British Pound</v>
          </cell>
          <cell r="AJ71" t="str">
            <v>₤</v>
          </cell>
          <cell r="AK71" t="str">
            <v>GBP</v>
          </cell>
          <cell r="AL71" t="str">
            <v>GBP</v>
          </cell>
          <cell r="AM71">
            <v>0</v>
          </cell>
          <cell r="AN71">
            <v>2</v>
          </cell>
        </row>
        <row r="72">
          <cell r="A72">
            <v>40077</v>
          </cell>
          <cell r="B72">
            <v>40077</v>
          </cell>
          <cell r="C72" t="str">
            <v>Past</v>
          </cell>
          <cell r="D72">
            <v>11.82</v>
          </cell>
          <cell r="E72" t="e">
            <v>#N/A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>
            <v>11.82</v>
          </cell>
          <cell r="Q72">
            <v>2.264758</v>
          </cell>
          <cell r="R72" t="e">
            <v>#N/A</v>
          </cell>
          <cell r="AI72" t="str">
            <v>HKD Hong Kong Dollar</v>
          </cell>
          <cell r="AJ72" t="str">
            <v>HK$</v>
          </cell>
          <cell r="AK72" t="str">
            <v>HKD</v>
          </cell>
          <cell r="AL72" t="str">
            <v>HKD</v>
          </cell>
          <cell r="AM72">
            <v>0</v>
          </cell>
          <cell r="AN72">
            <v>2</v>
          </cell>
        </row>
        <row r="73">
          <cell r="A73">
            <v>40078</v>
          </cell>
          <cell r="B73">
            <v>40078</v>
          </cell>
          <cell r="C73" t="str">
            <v>Past</v>
          </cell>
          <cell r="D73">
            <v>11.72</v>
          </cell>
          <cell r="E73" t="e">
            <v>#N/A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>
            <v>11.72</v>
          </cell>
          <cell r="Q73">
            <v>1.6808400000000001</v>
          </cell>
          <cell r="R73" t="e">
            <v>#N/A</v>
          </cell>
          <cell r="AI73" t="str">
            <v>HUF Hungarian forint</v>
          </cell>
          <cell r="AJ73" t="str">
            <v>Ft</v>
          </cell>
          <cell r="AK73" t="str">
            <v>HUF</v>
          </cell>
          <cell r="AL73" t="str">
            <v>HUF</v>
          </cell>
          <cell r="AM73">
            <v>0</v>
          </cell>
          <cell r="AN73">
            <v>2</v>
          </cell>
        </row>
        <row r="74">
          <cell r="A74">
            <v>40079</v>
          </cell>
          <cell r="B74">
            <v>40079</v>
          </cell>
          <cell r="C74" t="str">
            <v>Past</v>
          </cell>
          <cell r="D74">
            <v>11.64</v>
          </cell>
          <cell r="E74" t="e">
            <v>#N/A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>
            <v>11.64</v>
          </cell>
          <cell r="Q74">
            <v>2.3194809999999997</v>
          </cell>
          <cell r="R74" t="e">
            <v>#N/A</v>
          </cell>
          <cell r="AI74" t="str">
            <v>IDR Indonesian Rupiah</v>
          </cell>
          <cell r="AJ74" t="str">
            <v>Rp</v>
          </cell>
          <cell r="AK74" t="str">
            <v>IDR</v>
          </cell>
          <cell r="AL74" t="str">
            <v>IDR</v>
          </cell>
          <cell r="AM74">
            <v>0</v>
          </cell>
          <cell r="AN74">
            <v>0</v>
          </cell>
        </row>
        <row r="75">
          <cell r="A75">
            <v>40080</v>
          </cell>
          <cell r="B75">
            <v>40080</v>
          </cell>
          <cell r="C75" t="str">
            <v>Past</v>
          </cell>
          <cell r="D75">
            <v>11.54</v>
          </cell>
          <cell r="E75" t="e">
            <v>#N/A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>
            <v>11.54</v>
          </cell>
          <cell r="Q75">
            <v>2.1152579999999999</v>
          </cell>
          <cell r="R75" t="e">
            <v>#N/A</v>
          </cell>
          <cell r="AI75" t="str">
            <v>ILS Israeli shekel</v>
          </cell>
          <cell r="AJ75" t="str">
            <v>ILS</v>
          </cell>
          <cell r="AK75" t="str">
            <v>ILS</v>
          </cell>
          <cell r="AL75" t="str">
            <v>ILS</v>
          </cell>
          <cell r="AM75">
            <v>0</v>
          </cell>
          <cell r="AN75">
            <v>2</v>
          </cell>
        </row>
        <row r="76">
          <cell r="A76">
            <v>40081</v>
          </cell>
          <cell r="B76">
            <v>40081</v>
          </cell>
          <cell r="C76" t="str">
            <v>Past</v>
          </cell>
          <cell r="D76">
            <v>11.49</v>
          </cell>
          <cell r="E76" t="e">
            <v>#N/A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>
            <v>11.49</v>
          </cell>
          <cell r="Q76">
            <v>3.0800739999999998</v>
          </cell>
          <cell r="R76" t="e">
            <v>#N/A</v>
          </cell>
          <cell r="AI76" t="str">
            <v>INR Indian Rupee</v>
          </cell>
          <cell r="AJ76" t="str">
            <v>Rs.</v>
          </cell>
          <cell r="AK76" t="str">
            <v>INR</v>
          </cell>
          <cell r="AL76" t="str">
            <v>INR</v>
          </cell>
          <cell r="AM76">
            <v>0</v>
          </cell>
          <cell r="AN76">
            <v>2</v>
          </cell>
        </row>
        <row r="77">
          <cell r="A77">
            <v>40084</v>
          </cell>
          <cell r="B77">
            <v>40084</v>
          </cell>
          <cell r="C77" t="str">
            <v>Past</v>
          </cell>
          <cell r="D77">
            <v>11.6</v>
          </cell>
          <cell r="E77" t="e">
            <v>#N/A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>
            <v>11.6</v>
          </cell>
          <cell r="Q77">
            <v>1.955897</v>
          </cell>
          <cell r="R77" t="e">
            <v>#N/A</v>
          </cell>
          <cell r="AI77" t="str">
            <v>IQD Iraqi Dinar</v>
          </cell>
          <cell r="AJ77" t="str">
            <v>IQD</v>
          </cell>
          <cell r="AK77" t="str">
            <v>IQD</v>
          </cell>
          <cell r="AL77" t="str">
            <v>IQD</v>
          </cell>
          <cell r="AM77">
            <v>0</v>
          </cell>
          <cell r="AN77">
            <v>2</v>
          </cell>
        </row>
        <row r="78">
          <cell r="A78">
            <v>40085</v>
          </cell>
          <cell r="B78">
            <v>40085</v>
          </cell>
          <cell r="C78" t="str">
            <v>Past</v>
          </cell>
          <cell r="D78">
            <v>11.58</v>
          </cell>
          <cell r="E78" t="e">
            <v>#N/A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>
            <v>11.58</v>
          </cell>
          <cell r="Q78">
            <v>1.5703909999999999</v>
          </cell>
          <cell r="R78" t="e">
            <v>#N/A</v>
          </cell>
          <cell r="AI78" t="str">
            <v>IRR Iranian Rial</v>
          </cell>
          <cell r="AJ78" t="str">
            <v>IRR</v>
          </cell>
          <cell r="AK78" t="str">
            <v>IRR</v>
          </cell>
          <cell r="AL78" t="str">
            <v>IRR</v>
          </cell>
          <cell r="AM78">
            <v>0</v>
          </cell>
          <cell r="AN78">
            <v>2</v>
          </cell>
        </row>
        <row r="79">
          <cell r="A79">
            <v>40086</v>
          </cell>
          <cell r="B79">
            <v>40086</v>
          </cell>
          <cell r="C79" t="str">
            <v>Past</v>
          </cell>
          <cell r="D79">
            <v>11.59</v>
          </cell>
          <cell r="E79" t="e">
            <v>#N/A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>
            <v>11.59</v>
          </cell>
          <cell r="Q79">
            <v>2.2237610000000001</v>
          </cell>
          <cell r="R79" t="e">
            <v>#N/A</v>
          </cell>
          <cell r="AI79" t="str">
            <v>ISK Iceland Krona</v>
          </cell>
          <cell r="AJ79" t="str">
            <v>kr</v>
          </cell>
          <cell r="AK79" t="str">
            <v>ISK</v>
          </cell>
          <cell r="AL79" t="str">
            <v>ISK</v>
          </cell>
          <cell r="AM79">
            <v>0</v>
          </cell>
          <cell r="AN79">
            <v>2</v>
          </cell>
        </row>
        <row r="80">
          <cell r="A80">
            <v>40087</v>
          </cell>
          <cell r="B80">
            <v>40087</v>
          </cell>
          <cell r="C80" t="str">
            <v>Past</v>
          </cell>
          <cell r="D80">
            <v>11.47</v>
          </cell>
          <cell r="E80" t="e">
            <v>#N/A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>
            <v>11.47</v>
          </cell>
          <cell r="Q80">
            <v>3.3032800000000004</v>
          </cell>
          <cell r="R80" t="e">
            <v>#N/A</v>
          </cell>
          <cell r="AI80" t="str">
            <v>JMD Jamaican Dollars</v>
          </cell>
          <cell r="AJ80" t="str">
            <v>JMD</v>
          </cell>
          <cell r="AK80" t="str">
            <v>JMD</v>
          </cell>
          <cell r="AL80" t="str">
            <v>JMD</v>
          </cell>
          <cell r="AM80">
            <v>0</v>
          </cell>
          <cell r="AN80">
            <v>2</v>
          </cell>
        </row>
        <row r="81">
          <cell r="A81">
            <v>40088</v>
          </cell>
          <cell r="B81">
            <v>40088</v>
          </cell>
          <cell r="C81" t="str">
            <v>Past</v>
          </cell>
          <cell r="D81">
            <v>11.26</v>
          </cell>
          <cell r="E81" t="e">
            <v>#N/A</v>
          </cell>
          <cell r="F81" t="e">
            <v>#N/A</v>
          </cell>
          <cell r="G81" t="e">
            <v>#N/A</v>
          </cell>
          <cell r="H81" t="e">
            <v>#N/A</v>
          </cell>
          <cell r="I81" t="e">
            <v>#N/A</v>
          </cell>
          <cell r="J81" t="e">
            <v>#N/A</v>
          </cell>
          <cell r="K81" t="e">
            <v>#N/A</v>
          </cell>
          <cell r="L81" t="e">
            <v>#N/A</v>
          </cell>
          <cell r="M81" t="e">
            <v>#N/A</v>
          </cell>
          <cell r="N81" t="e">
            <v>#N/A</v>
          </cell>
          <cell r="O81" t="e">
            <v>#N/A</v>
          </cell>
          <cell r="P81">
            <v>11.26</v>
          </cell>
          <cell r="Q81">
            <v>3.5768739999999997</v>
          </cell>
          <cell r="R81" t="e">
            <v>#N/A</v>
          </cell>
          <cell r="AI81" t="str">
            <v>JPY Japanese Yen</v>
          </cell>
          <cell r="AJ81" t="str">
            <v>¥</v>
          </cell>
          <cell r="AK81" t="str">
            <v>JPY</v>
          </cell>
          <cell r="AL81" t="str">
            <v>JPY</v>
          </cell>
          <cell r="AM81">
            <v>0</v>
          </cell>
          <cell r="AN81">
            <v>0</v>
          </cell>
        </row>
        <row r="82">
          <cell r="A82">
            <v>40091</v>
          </cell>
          <cell r="B82">
            <v>40091</v>
          </cell>
          <cell r="C82" t="str">
            <v>Past</v>
          </cell>
          <cell r="D82">
            <v>11.39</v>
          </cell>
          <cell r="E82" t="e">
            <v>#N/A</v>
          </cell>
          <cell r="F82" t="e">
            <v>#N/A</v>
          </cell>
          <cell r="G82" t="e">
            <v>#N/A</v>
          </cell>
          <cell r="H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  <cell r="L82" t="e">
            <v>#N/A</v>
          </cell>
          <cell r="M82" t="e">
            <v>#N/A</v>
          </cell>
          <cell r="N82" t="e">
            <v>#N/A</v>
          </cell>
          <cell r="O82" t="e">
            <v>#N/A</v>
          </cell>
          <cell r="P82">
            <v>11.39</v>
          </cell>
          <cell r="Q82">
            <v>3.0325839999999999</v>
          </cell>
          <cell r="R82" t="e">
            <v>#N/A</v>
          </cell>
          <cell r="AI82" t="str">
            <v>KES Kenyan Shilling</v>
          </cell>
          <cell r="AJ82" t="str">
            <v>KES</v>
          </cell>
          <cell r="AK82" t="str">
            <v>KES</v>
          </cell>
          <cell r="AL82" t="str">
            <v>KES</v>
          </cell>
          <cell r="AM82">
            <v>0</v>
          </cell>
          <cell r="AN82">
            <v>0</v>
          </cell>
        </row>
        <row r="83">
          <cell r="A83">
            <v>40092</v>
          </cell>
          <cell r="B83">
            <v>40092</v>
          </cell>
          <cell r="C83" t="str">
            <v>Past</v>
          </cell>
          <cell r="D83">
            <v>11.43</v>
          </cell>
          <cell r="E83" t="e">
            <v>#N/A</v>
          </cell>
          <cell r="F83" t="e">
            <v>#N/A</v>
          </cell>
          <cell r="G83" t="e">
            <v>#N/A</v>
          </cell>
          <cell r="H83" t="e">
            <v>#N/A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 t="e">
            <v>#N/A</v>
          </cell>
          <cell r="O83" t="e">
            <v>#N/A</v>
          </cell>
          <cell r="P83">
            <v>11.43</v>
          </cell>
          <cell r="Q83">
            <v>2.647376</v>
          </cell>
          <cell r="R83" t="e">
            <v>#N/A</v>
          </cell>
          <cell r="AI83" t="str">
            <v>KRW South Korean Won</v>
          </cell>
          <cell r="AJ83" t="str">
            <v>₩</v>
          </cell>
          <cell r="AK83" t="str">
            <v>KRW</v>
          </cell>
          <cell r="AL83" t="str">
            <v>KRW</v>
          </cell>
          <cell r="AM83">
            <v>0</v>
          </cell>
          <cell r="AN83">
            <v>0</v>
          </cell>
        </row>
        <row r="84">
          <cell r="A84">
            <v>40093</v>
          </cell>
          <cell r="B84">
            <v>40093</v>
          </cell>
          <cell r="C84" t="str">
            <v>Past</v>
          </cell>
          <cell r="D84">
            <v>11.36</v>
          </cell>
          <cell r="E84" t="e">
            <v>#N/A</v>
          </cell>
          <cell r="F84" t="e">
            <v>#N/A</v>
          </cell>
          <cell r="G84" t="e">
            <v>#N/A</v>
          </cell>
          <cell r="H84" t="e">
            <v>#N/A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 t="e">
            <v>#N/A</v>
          </cell>
          <cell r="O84" t="e">
            <v>#N/A</v>
          </cell>
          <cell r="P84">
            <v>11.36</v>
          </cell>
          <cell r="Q84">
            <v>2.1541139999999999</v>
          </cell>
          <cell r="R84" t="e">
            <v>#N/A</v>
          </cell>
          <cell r="AI84" t="str">
            <v>KWD Kuwaiti Dinar</v>
          </cell>
          <cell r="AJ84" t="str">
            <v>KWD</v>
          </cell>
          <cell r="AK84" t="str">
            <v>KWD</v>
          </cell>
          <cell r="AL84" t="str">
            <v>KWD</v>
          </cell>
          <cell r="AM84">
            <v>0</v>
          </cell>
          <cell r="AN84">
            <v>2</v>
          </cell>
        </row>
        <row r="85">
          <cell r="A85">
            <v>40094</v>
          </cell>
          <cell r="B85">
            <v>40094</v>
          </cell>
          <cell r="C85" t="str">
            <v>Past</v>
          </cell>
          <cell r="D85">
            <v>11.37</v>
          </cell>
          <cell r="E85" t="e">
            <v>#N/A</v>
          </cell>
          <cell r="F85" t="e">
            <v>#N/A</v>
          </cell>
          <cell r="G85" t="e">
            <v>#N/A</v>
          </cell>
          <cell r="H85" t="e">
            <v>#N/A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 t="e">
            <v>#N/A</v>
          </cell>
          <cell r="O85" t="e">
            <v>#N/A</v>
          </cell>
          <cell r="P85">
            <v>11.37</v>
          </cell>
          <cell r="Q85">
            <v>3.583091</v>
          </cell>
          <cell r="R85" t="e">
            <v>#N/A</v>
          </cell>
          <cell r="AI85" t="str">
            <v>KYD Cayman Dollars</v>
          </cell>
          <cell r="AJ85" t="str">
            <v>KYD</v>
          </cell>
          <cell r="AK85" t="str">
            <v>KYD</v>
          </cell>
          <cell r="AL85" t="str">
            <v>KYD</v>
          </cell>
          <cell r="AM85">
            <v>0</v>
          </cell>
          <cell r="AN85">
            <v>2</v>
          </cell>
        </row>
        <row r="86">
          <cell r="A86">
            <v>40095</v>
          </cell>
          <cell r="B86">
            <v>40095</v>
          </cell>
          <cell r="C86" t="str">
            <v>Past</v>
          </cell>
          <cell r="D86">
            <v>11.54</v>
          </cell>
          <cell r="E86" t="e">
            <v>#N/A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>
            <v>11.54</v>
          </cell>
          <cell r="Q86">
            <v>3.244996</v>
          </cell>
          <cell r="R86" t="e">
            <v>#N/A</v>
          </cell>
          <cell r="AI86" t="str">
            <v>LKR Sri Lankan Rupee</v>
          </cell>
          <cell r="AJ86" t="str">
            <v>LKR</v>
          </cell>
          <cell r="AK86" t="str">
            <v>LKR</v>
          </cell>
          <cell r="AL86" t="str">
            <v>LKR</v>
          </cell>
          <cell r="AM86">
            <v>0</v>
          </cell>
          <cell r="AN86">
            <v>2</v>
          </cell>
        </row>
        <row r="87">
          <cell r="A87">
            <v>40098</v>
          </cell>
          <cell r="B87">
            <v>40098</v>
          </cell>
          <cell r="C87" t="str">
            <v>Past</v>
          </cell>
          <cell r="D87">
            <v>11.6</v>
          </cell>
          <cell r="E87" t="e">
            <v>#N/A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>
            <v>11.6</v>
          </cell>
          <cell r="Q87">
            <v>1.45696</v>
          </cell>
          <cell r="R87" t="e">
            <v>#N/A</v>
          </cell>
          <cell r="AI87" t="str">
            <v>MAD Moroccan Dirham</v>
          </cell>
          <cell r="AJ87" t="str">
            <v>MAD</v>
          </cell>
          <cell r="AK87" t="str">
            <v>MAD</v>
          </cell>
          <cell r="AL87" t="str">
            <v>MAD</v>
          </cell>
          <cell r="AM87">
            <v>0</v>
          </cell>
          <cell r="AN87">
            <v>2</v>
          </cell>
        </row>
        <row r="88">
          <cell r="A88">
            <v>40099</v>
          </cell>
          <cell r="B88">
            <v>40099</v>
          </cell>
          <cell r="C88" t="str">
            <v>Past</v>
          </cell>
          <cell r="D88">
            <v>11.46</v>
          </cell>
          <cell r="E88" t="e">
            <v>#N/A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>
            <v>11.46</v>
          </cell>
          <cell r="Q88">
            <v>2.1492249999999999</v>
          </cell>
          <cell r="R88" t="e">
            <v>#N/A</v>
          </cell>
          <cell r="AI88" t="str">
            <v>MXN Mexican Pesos (new)</v>
          </cell>
          <cell r="AJ88" t="str">
            <v>M$</v>
          </cell>
          <cell r="AK88" t="str">
            <v>MXN</v>
          </cell>
          <cell r="AL88" t="str">
            <v>MXN</v>
          </cell>
          <cell r="AM88">
            <v>0</v>
          </cell>
          <cell r="AN88">
            <v>2</v>
          </cell>
        </row>
        <row r="89">
          <cell r="A89">
            <v>40100</v>
          </cell>
          <cell r="B89">
            <v>40100</v>
          </cell>
          <cell r="C89" t="str">
            <v>Past</v>
          </cell>
          <cell r="D89">
            <v>11.58</v>
          </cell>
          <cell r="E89" t="e">
            <v>#N/A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>
            <v>11.58</v>
          </cell>
          <cell r="Q89">
            <v>2.0291129999999997</v>
          </cell>
          <cell r="R89" t="e">
            <v>#N/A</v>
          </cell>
          <cell r="AI89" t="str">
            <v>MYR Malaysian Ringgit</v>
          </cell>
          <cell r="AJ89" t="str">
            <v>RM</v>
          </cell>
          <cell r="AK89" t="str">
            <v>MYR</v>
          </cell>
          <cell r="AL89" t="str">
            <v>MYR</v>
          </cell>
          <cell r="AM89">
            <v>0</v>
          </cell>
          <cell r="AN89">
            <v>2</v>
          </cell>
        </row>
        <row r="90">
          <cell r="A90">
            <v>40101</v>
          </cell>
          <cell r="B90">
            <v>40101</v>
          </cell>
          <cell r="C90" t="str">
            <v>Past</v>
          </cell>
          <cell r="D90">
            <v>11.64</v>
          </cell>
          <cell r="E90" t="e">
            <v>#N/A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>
            <v>11.64</v>
          </cell>
          <cell r="Q90">
            <v>1.4275819999999999</v>
          </cell>
          <cell r="R90" t="e">
            <v>#N/A</v>
          </cell>
          <cell r="AI90" t="str">
            <v>NOK Norwegian Krone</v>
          </cell>
          <cell r="AJ90" t="str">
            <v>NKr</v>
          </cell>
          <cell r="AK90" t="str">
            <v>NOK</v>
          </cell>
          <cell r="AL90" t="str">
            <v>NOK</v>
          </cell>
          <cell r="AM90">
            <v>0</v>
          </cell>
          <cell r="AN90">
            <v>2</v>
          </cell>
        </row>
        <row r="91">
          <cell r="A91">
            <v>40102</v>
          </cell>
          <cell r="B91">
            <v>40102</v>
          </cell>
          <cell r="C91" t="str">
            <v>Past</v>
          </cell>
          <cell r="D91">
            <v>11.56</v>
          </cell>
          <cell r="E91" t="e">
            <v>#N/A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>
            <v>11.56</v>
          </cell>
          <cell r="Q91">
            <v>1.6266229999999999</v>
          </cell>
          <cell r="R91" t="e">
            <v>#N/A</v>
          </cell>
          <cell r="AI91" t="str">
            <v>NZD New Zealand Dollars</v>
          </cell>
          <cell r="AJ91" t="str">
            <v>NZ$</v>
          </cell>
          <cell r="AK91" t="str">
            <v>NZD</v>
          </cell>
          <cell r="AL91" t="str">
            <v>NZD</v>
          </cell>
          <cell r="AM91">
            <v>0</v>
          </cell>
          <cell r="AN91">
            <v>2</v>
          </cell>
        </row>
        <row r="92">
          <cell r="A92">
            <v>40105</v>
          </cell>
          <cell r="B92">
            <v>40105</v>
          </cell>
          <cell r="C92" t="str">
            <v>Past</v>
          </cell>
          <cell r="D92">
            <v>11.61</v>
          </cell>
          <cell r="E92" t="e">
            <v>#N/A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>
            <v>11.61</v>
          </cell>
          <cell r="Q92">
            <v>1.6260700000000001</v>
          </cell>
          <cell r="R92" t="e">
            <v>#N/A</v>
          </cell>
          <cell r="AI92" t="str">
            <v>OMR Rial Omani</v>
          </cell>
          <cell r="AJ92" t="str">
            <v>OMR</v>
          </cell>
          <cell r="AK92" t="str">
            <v>OMR</v>
          </cell>
          <cell r="AL92" t="str">
            <v>OMR</v>
          </cell>
          <cell r="AM92">
            <v>0</v>
          </cell>
          <cell r="AN92">
            <v>2</v>
          </cell>
        </row>
        <row r="93">
          <cell r="A93">
            <v>40106</v>
          </cell>
          <cell r="B93">
            <v>40106</v>
          </cell>
          <cell r="C93" t="str">
            <v>Past</v>
          </cell>
          <cell r="D93">
            <v>11.46</v>
          </cell>
          <cell r="E93" t="e">
            <v>#N/A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>
            <v>11.46</v>
          </cell>
          <cell r="Q93">
            <v>1.2816339999999999</v>
          </cell>
          <cell r="R93" t="e">
            <v>#N/A</v>
          </cell>
          <cell r="AI93" t="str">
            <v>PAB Panamanian Balboa</v>
          </cell>
          <cell r="AJ93" t="str">
            <v>PAB</v>
          </cell>
          <cell r="AK93" t="str">
            <v>PAB</v>
          </cell>
          <cell r="AL93" t="str">
            <v>PAB</v>
          </cell>
          <cell r="AM93">
            <v>0</v>
          </cell>
          <cell r="AN93">
            <v>2</v>
          </cell>
        </row>
        <row r="94">
          <cell r="A94">
            <v>40107</v>
          </cell>
          <cell r="B94">
            <v>40107</v>
          </cell>
          <cell r="C94" t="str">
            <v>Past</v>
          </cell>
          <cell r="D94">
            <v>11.34</v>
          </cell>
          <cell r="E94" t="e">
            <v>#N/A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>
            <v>11.34</v>
          </cell>
          <cell r="Q94">
            <v>1.940421</v>
          </cell>
          <cell r="R94" t="e">
            <v>#N/A</v>
          </cell>
          <cell r="AI94" t="str">
            <v>PEN Peruvian PEN</v>
          </cell>
          <cell r="AJ94" t="str">
            <v>PEN</v>
          </cell>
          <cell r="AK94" t="str">
            <v>PEN</v>
          </cell>
          <cell r="AL94" t="str">
            <v>PEN</v>
          </cell>
          <cell r="AM94">
            <v>0</v>
          </cell>
          <cell r="AN94">
            <v>2</v>
          </cell>
        </row>
        <row r="95">
          <cell r="A95">
            <v>40108</v>
          </cell>
          <cell r="B95">
            <v>40108</v>
          </cell>
          <cell r="C95" t="str">
            <v>Past</v>
          </cell>
          <cell r="D95">
            <v>11.33</v>
          </cell>
          <cell r="E95" t="e">
            <v>#N/A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>
            <v>11.33</v>
          </cell>
          <cell r="Q95">
            <v>2.0317000000000003</v>
          </cell>
          <cell r="R95" t="e">
            <v>#N/A</v>
          </cell>
          <cell r="AI95" t="str">
            <v>PHP Philippino Peso</v>
          </cell>
          <cell r="AJ95" t="str">
            <v>PP</v>
          </cell>
          <cell r="AK95" t="str">
            <v>PHP</v>
          </cell>
          <cell r="AL95" t="str">
            <v>PHP</v>
          </cell>
          <cell r="AM95">
            <v>0</v>
          </cell>
          <cell r="AN95">
            <v>2</v>
          </cell>
        </row>
        <row r="96">
          <cell r="A96">
            <v>40109</v>
          </cell>
          <cell r="B96">
            <v>40109</v>
          </cell>
          <cell r="C96" t="str">
            <v>Past</v>
          </cell>
          <cell r="D96">
            <v>11.28</v>
          </cell>
          <cell r="E96" t="e">
            <v>#N/A</v>
          </cell>
          <cell r="F96" t="e">
            <v>#N/A</v>
          </cell>
          <cell r="G96" t="e">
            <v>#N/A</v>
          </cell>
          <cell r="H96" t="e">
            <v>#N/A</v>
          </cell>
          <cell r="I96" t="e">
            <v>#N/A</v>
          </cell>
          <cell r="J96" t="e">
            <v>#N/A</v>
          </cell>
          <cell r="K96" t="e">
            <v>#N/A</v>
          </cell>
          <cell r="L96" t="e">
            <v>#N/A</v>
          </cell>
          <cell r="M96" t="e">
            <v>#N/A</v>
          </cell>
          <cell r="N96" t="e">
            <v>#N/A</v>
          </cell>
          <cell r="O96" t="e">
            <v>#N/A</v>
          </cell>
          <cell r="P96">
            <v>11.28</v>
          </cell>
          <cell r="Q96">
            <v>2.386104</v>
          </cell>
          <cell r="R96" t="e">
            <v>#N/A</v>
          </cell>
          <cell r="AI96" t="str">
            <v>PKR Pakistani Rupee</v>
          </cell>
          <cell r="AJ96" t="str">
            <v>Rs.</v>
          </cell>
          <cell r="AK96" t="str">
            <v>PKR</v>
          </cell>
          <cell r="AL96" t="str">
            <v>PKR</v>
          </cell>
          <cell r="AM96">
            <v>0</v>
          </cell>
          <cell r="AN96">
            <v>2</v>
          </cell>
        </row>
        <row r="97">
          <cell r="A97">
            <v>40112</v>
          </cell>
          <cell r="B97">
            <v>40112</v>
          </cell>
          <cell r="C97" t="str">
            <v>Past</v>
          </cell>
          <cell r="D97">
            <v>11.37</v>
          </cell>
          <cell r="E97" t="e">
            <v>#N/A</v>
          </cell>
          <cell r="F97" t="e">
            <v>#N/A</v>
          </cell>
          <cell r="G97" t="e">
            <v>#N/A</v>
          </cell>
          <cell r="H97" t="e">
            <v>#N/A</v>
          </cell>
          <cell r="I97" t="e">
            <v>#N/A</v>
          </cell>
          <cell r="J97" t="e">
            <v>#N/A</v>
          </cell>
          <cell r="K97" t="e">
            <v>#N/A</v>
          </cell>
          <cell r="L97" t="e">
            <v>#N/A</v>
          </cell>
          <cell r="M97" t="e">
            <v>#N/A</v>
          </cell>
          <cell r="N97" t="e">
            <v>#N/A</v>
          </cell>
          <cell r="O97" t="e">
            <v>#N/A</v>
          </cell>
          <cell r="P97">
            <v>11.37</v>
          </cell>
          <cell r="Q97">
            <v>3.054189</v>
          </cell>
          <cell r="R97" t="e">
            <v>#N/A</v>
          </cell>
          <cell r="AI97" t="str">
            <v>PLN Polish Zloty</v>
          </cell>
          <cell r="AJ97" t="str">
            <v>zł</v>
          </cell>
          <cell r="AK97" t="str">
            <v>PLN</v>
          </cell>
          <cell r="AL97" t="str">
            <v>PLN</v>
          </cell>
          <cell r="AM97">
            <v>0</v>
          </cell>
          <cell r="AN97">
            <v>2</v>
          </cell>
        </row>
        <row r="98">
          <cell r="A98">
            <v>40113</v>
          </cell>
          <cell r="B98">
            <v>40113</v>
          </cell>
          <cell r="C98" t="str">
            <v>Past</v>
          </cell>
          <cell r="D98">
            <v>11.44</v>
          </cell>
          <cell r="E98" t="e">
            <v>#N/A</v>
          </cell>
          <cell r="F98" t="e">
            <v>#N/A</v>
          </cell>
          <cell r="G98" t="e">
            <v>#N/A</v>
          </cell>
          <cell r="H98" t="e">
            <v>#N/A</v>
          </cell>
          <cell r="I98" t="e">
            <v>#N/A</v>
          </cell>
          <cell r="J98" t="e">
            <v>#N/A</v>
          </cell>
          <cell r="K98" t="e">
            <v>#N/A</v>
          </cell>
          <cell r="L98" t="e">
            <v>#N/A</v>
          </cell>
          <cell r="M98" t="e">
            <v>#N/A</v>
          </cell>
          <cell r="N98" t="e">
            <v>#N/A</v>
          </cell>
          <cell r="O98" t="e">
            <v>#N/A</v>
          </cell>
          <cell r="P98">
            <v>11.44</v>
          </cell>
          <cell r="Q98">
            <v>2.2041369999999998</v>
          </cell>
          <cell r="R98" t="e">
            <v>#N/A</v>
          </cell>
          <cell r="AI98" t="str">
            <v>QAR Qatari Riyal</v>
          </cell>
          <cell r="AJ98" t="str">
            <v>QAR</v>
          </cell>
          <cell r="AK98" t="str">
            <v>QAR</v>
          </cell>
          <cell r="AL98" t="str">
            <v>QAR</v>
          </cell>
          <cell r="AM98">
            <v>0</v>
          </cell>
          <cell r="AN98">
            <v>2</v>
          </cell>
        </row>
        <row r="99">
          <cell r="A99">
            <v>40114</v>
          </cell>
          <cell r="B99">
            <v>40114</v>
          </cell>
          <cell r="C99" t="str">
            <v>Past</v>
          </cell>
          <cell r="D99">
            <v>11.46</v>
          </cell>
          <cell r="E99" t="e">
            <v>#N/A</v>
          </cell>
          <cell r="F99" t="e">
            <v>#N/A</v>
          </cell>
          <cell r="G99" t="e">
            <v>#N/A</v>
          </cell>
          <cell r="H99" t="e">
            <v>#N/A</v>
          </cell>
          <cell r="I99" t="e">
            <v>#N/A</v>
          </cell>
          <cell r="J99" t="e">
            <v>#N/A</v>
          </cell>
          <cell r="K99" t="e">
            <v>#N/A</v>
          </cell>
          <cell r="L99" t="e">
            <v>#N/A</v>
          </cell>
          <cell r="M99" t="e">
            <v>#N/A</v>
          </cell>
          <cell r="N99" t="e">
            <v>#N/A</v>
          </cell>
          <cell r="O99" t="e">
            <v>#N/A</v>
          </cell>
          <cell r="P99">
            <v>11.46</v>
          </cell>
          <cell r="Q99">
            <v>3.8279000000000001</v>
          </cell>
          <cell r="R99" t="e">
            <v>#N/A</v>
          </cell>
          <cell r="AI99" t="str">
            <v>RUB Russian Rouble</v>
          </cell>
          <cell r="AJ99" t="str">
            <v>RUB</v>
          </cell>
          <cell r="AK99" t="str">
            <v>RUB</v>
          </cell>
          <cell r="AL99" t="str">
            <v>RUB</v>
          </cell>
          <cell r="AM99">
            <v>0</v>
          </cell>
          <cell r="AN99">
            <v>2</v>
          </cell>
        </row>
        <row r="100">
          <cell r="A100">
            <v>40115</v>
          </cell>
          <cell r="B100">
            <v>40115</v>
          </cell>
          <cell r="C100" t="str">
            <v>Past</v>
          </cell>
          <cell r="D100">
            <v>11.71</v>
          </cell>
          <cell r="E100" t="e">
            <v>#N/A</v>
          </cell>
          <cell r="F100" t="e">
            <v>#N/A</v>
          </cell>
          <cell r="G100" t="e">
            <v>#N/A</v>
          </cell>
          <cell r="H100" t="e">
            <v>#N/A</v>
          </cell>
          <cell r="I100" t="e">
            <v>#N/A</v>
          </cell>
          <cell r="J100" t="e">
            <v>#N/A</v>
          </cell>
          <cell r="K100" t="e">
            <v>#N/A</v>
          </cell>
          <cell r="L100" t="e">
            <v>#N/A</v>
          </cell>
          <cell r="M100" t="e">
            <v>#N/A</v>
          </cell>
          <cell r="N100" t="e">
            <v>#N/A</v>
          </cell>
          <cell r="O100" t="e">
            <v>#N/A</v>
          </cell>
          <cell r="P100">
            <v>11.71</v>
          </cell>
          <cell r="Q100">
            <v>2.7270479999999999</v>
          </cell>
          <cell r="R100" t="e">
            <v>#N/A</v>
          </cell>
          <cell r="AI100" t="str">
            <v>SAR Saudi Riyal</v>
          </cell>
          <cell r="AJ100" t="str">
            <v>SAR</v>
          </cell>
          <cell r="AK100" t="str">
            <v>SAR</v>
          </cell>
          <cell r="AL100" t="str">
            <v>SAR</v>
          </cell>
          <cell r="AM100">
            <v>0</v>
          </cell>
          <cell r="AN100">
            <v>2</v>
          </cell>
        </row>
        <row r="101">
          <cell r="A101">
            <v>40116</v>
          </cell>
          <cell r="B101">
            <v>40116</v>
          </cell>
          <cell r="C101" t="str">
            <v>Past</v>
          </cell>
          <cell r="D101">
            <v>11.46</v>
          </cell>
          <cell r="E101" t="e">
            <v>#N/A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>
            <v>11.46</v>
          </cell>
          <cell r="Q101">
            <v>3.0121819999999997</v>
          </cell>
          <cell r="R101" t="e">
            <v>#N/A</v>
          </cell>
          <cell r="AI101" t="str">
            <v>SEK Swedish Krona</v>
          </cell>
          <cell r="AJ101" t="str">
            <v>SKr</v>
          </cell>
          <cell r="AK101" t="str">
            <v>SEK</v>
          </cell>
          <cell r="AL101" t="str">
            <v>SEK</v>
          </cell>
          <cell r="AM101">
            <v>0</v>
          </cell>
          <cell r="AN101">
            <v>2</v>
          </cell>
        </row>
        <row r="102">
          <cell r="A102">
            <v>40119</v>
          </cell>
          <cell r="B102">
            <v>40119</v>
          </cell>
          <cell r="C102" t="str">
            <v>Past</v>
          </cell>
          <cell r="D102">
            <v>11.34</v>
          </cell>
          <cell r="E102" t="e">
            <v>#N/A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>
            <v>11.34</v>
          </cell>
          <cell r="Q102">
            <v>3.8830300000000002</v>
          </cell>
          <cell r="R102" t="e">
            <v>#N/A</v>
          </cell>
          <cell r="AI102" t="str">
            <v>SGD Singapore Dollar</v>
          </cell>
          <cell r="AJ102" t="str">
            <v>S$</v>
          </cell>
          <cell r="AK102" t="str">
            <v>SGD</v>
          </cell>
          <cell r="AL102" t="str">
            <v>SGD</v>
          </cell>
          <cell r="AM102">
            <v>0</v>
          </cell>
          <cell r="AN102">
            <v>2</v>
          </cell>
        </row>
        <row r="103">
          <cell r="A103">
            <v>40120</v>
          </cell>
          <cell r="B103">
            <v>40120</v>
          </cell>
          <cell r="C103" t="str">
            <v>Past</v>
          </cell>
          <cell r="D103">
            <v>11.46</v>
          </cell>
          <cell r="E103" t="e">
            <v>#N/A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>
            <v>11.46</v>
          </cell>
          <cell r="Q103">
            <v>2.5635779999999997</v>
          </cell>
          <cell r="R103" t="e">
            <v>#N/A</v>
          </cell>
          <cell r="AI103" t="str">
            <v>THB Thailand Baht</v>
          </cell>
          <cell r="AJ103" t="str">
            <v>Bt</v>
          </cell>
          <cell r="AK103" t="str">
            <v>THB</v>
          </cell>
          <cell r="AL103" t="str">
            <v>THB</v>
          </cell>
          <cell r="AM103">
            <v>0</v>
          </cell>
          <cell r="AN103">
            <v>2</v>
          </cell>
        </row>
        <row r="104">
          <cell r="A104">
            <v>40121</v>
          </cell>
          <cell r="B104">
            <v>40121</v>
          </cell>
          <cell r="C104" t="str">
            <v>Past</v>
          </cell>
          <cell r="D104">
            <v>11.5</v>
          </cell>
          <cell r="E104" t="e">
            <v>#N/A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>
            <v>11.5</v>
          </cell>
          <cell r="Q104">
            <v>2.1466309999999997</v>
          </cell>
          <cell r="R104" t="e">
            <v>#N/A</v>
          </cell>
          <cell r="AI104" t="str">
            <v>TND Tunisian Dinar</v>
          </cell>
          <cell r="AJ104" t="str">
            <v>TND</v>
          </cell>
          <cell r="AK104" t="str">
            <v>TND</v>
          </cell>
          <cell r="AL104" t="str">
            <v>TND</v>
          </cell>
          <cell r="AM104">
            <v>0</v>
          </cell>
          <cell r="AN104">
            <v>2</v>
          </cell>
        </row>
        <row r="105">
          <cell r="A105">
            <v>40122</v>
          </cell>
          <cell r="B105">
            <v>40122</v>
          </cell>
          <cell r="C105" t="str">
            <v>Past</v>
          </cell>
          <cell r="D105">
            <v>11.73</v>
          </cell>
          <cell r="E105" t="e">
            <v>#N/A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>
            <v>11.73</v>
          </cell>
          <cell r="Q105">
            <v>1.6737000000000002</v>
          </cell>
          <cell r="R105" t="e">
            <v>#N/A</v>
          </cell>
          <cell r="AI105" t="str">
            <v>TRY Turkish Lira</v>
          </cell>
          <cell r="AJ105" t="str">
            <v>TL</v>
          </cell>
          <cell r="AK105" t="str">
            <v>TRY</v>
          </cell>
          <cell r="AL105" t="str">
            <v>TRY</v>
          </cell>
          <cell r="AM105">
            <v>0</v>
          </cell>
          <cell r="AN105">
            <v>2</v>
          </cell>
        </row>
        <row r="106">
          <cell r="A106">
            <v>40123</v>
          </cell>
          <cell r="B106">
            <v>40123</v>
          </cell>
          <cell r="C106" t="str">
            <v>Past</v>
          </cell>
          <cell r="D106">
            <v>11.76</v>
          </cell>
          <cell r="E106" t="e">
            <v>#N/A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>
            <v>11.76</v>
          </cell>
          <cell r="Q106">
            <v>1.227522</v>
          </cell>
          <cell r="R106" t="e">
            <v>#N/A</v>
          </cell>
          <cell r="AI106" t="str">
            <v>TWD New Taiwan Dollar</v>
          </cell>
          <cell r="AJ106" t="str">
            <v>NT$</v>
          </cell>
          <cell r="AK106" t="str">
            <v>TWD</v>
          </cell>
          <cell r="AL106" t="str">
            <v>TWD</v>
          </cell>
          <cell r="AM106">
            <v>0</v>
          </cell>
          <cell r="AN106">
            <v>2</v>
          </cell>
        </row>
        <row r="107">
          <cell r="A107">
            <v>40126</v>
          </cell>
          <cell r="B107">
            <v>40126</v>
          </cell>
          <cell r="C107" t="str">
            <v>Past</v>
          </cell>
          <cell r="D107">
            <v>11.76</v>
          </cell>
          <cell r="E107" t="e">
            <v>#N/A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>
            <v>11.76</v>
          </cell>
          <cell r="Q107">
            <v>2.7558609999999999</v>
          </cell>
          <cell r="R107" t="e">
            <v>#N/A</v>
          </cell>
          <cell r="AI107" t="str">
            <v>UAH Ukrainian Hryvnia</v>
          </cell>
          <cell r="AJ107" t="str">
            <v>UAH</v>
          </cell>
          <cell r="AK107" t="str">
            <v>UAH</v>
          </cell>
          <cell r="AL107" t="str">
            <v>UAH</v>
          </cell>
          <cell r="AM107">
            <v>0</v>
          </cell>
          <cell r="AN107">
            <v>2</v>
          </cell>
        </row>
        <row r="108">
          <cell r="A108">
            <v>40127</v>
          </cell>
          <cell r="B108">
            <v>40127</v>
          </cell>
          <cell r="C108" t="str">
            <v>Past</v>
          </cell>
          <cell r="D108">
            <v>12.04</v>
          </cell>
          <cell r="E108" t="e">
            <v>#N/A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>
            <v>12.04</v>
          </cell>
          <cell r="Q108">
            <v>5.5502000000000002</v>
          </cell>
          <cell r="R108" t="e">
            <v>#N/A</v>
          </cell>
          <cell r="AI108" t="str">
            <v>USD American Dollar</v>
          </cell>
          <cell r="AJ108" t="str">
            <v>$</v>
          </cell>
          <cell r="AK108" t="str">
            <v>USD</v>
          </cell>
          <cell r="AL108" t="str">
            <v>USD</v>
          </cell>
          <cell r="AM108">
            <v>0</v>
          </cell>
          <cell r="AN108">
            <v>2</v>
          </cell>
        </row>
        <row r="109">
          <cell r="A109">
            <v>40128</v>
          </cell>
          <cell r="B109">
            <v>40128</v>
          </cell>
          <cell r="C109" t="str">
            <v>Past</v>
          </cell>
          <cell r="D109">
            <v>11.87</v>
          </cell>
          <cell r="E109" t="e">
            <v>#N/A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>
            <v>11.87</v>
          </cell>
          <cell r="Q109">
            <v>1.5279600000000002</v>
          </cell>
          <cell r="R109" t="e">
            <v>#N/A</v>
          </cell>
          <cell r="AI109" t="str">
            <v>VEB Venezuelan Bolivar</v>
          </cell>
          <cell r="AJ109" t="str">
            <v>VEB</v>
          </cell>
          <cell r="AK109" t="str">
            <v>VEB</v>
          </cell>
          <cell r="AL109" t="str">
            <v>VEB</v>
          </cell>
          <cell r="AM109">
            <v>0</v>
          </cell>
          <cell r="AN109">
            <v>2</v>
          </cell>
        </row>
        <row r="110">
          <cell r="A110">
            <v>40129</v>
          </cell>
          <cell r="B110">
            <v>40129</v>
          </cell>
          <cell r="C110" t="str">
            <v>Past</v>
          </cell>
          <cell r="D110">
            <v>11.68</v>
          </cell>
          <cell r="E110" t="e">
            <v>#N/A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>
            <v>11.68</v>
          </cell>
          <cell r="Q110">
            <v>1.0482609999999999</v>
          </cell>
          <cell r="R110" t="e">
            <v>#N/A</v>
          </cell>
          <cell r="AI110" t="str">
            <v>ZAc South African Cent</v>
          </cell>
          <cell r="AJ110" t="str">
            <v>ZAc</v>
          </cell>
          <cell r="AK110" t="str">
            <v>ZAc</v>
          </cell>
          <cell r="AL110" t="str">
            <v>ZAc</v>
          </cell>
          <cell r="AM110">
            <v>0</v>
          </cell>
          <cell r="AN110">
            <v>0</v>
          </cell>
        </row>
        <row r="111">
          <cell r="A111">
            <v>40130</v>
          </cell>
          <cell r="B111">
            <v>40130</v>
          </cell>
          <cell r="C111" t="str">
            <v>Past</v>
          </cell>
          <cell r="D111">
            <v>11.79</v>
          </cell>
          <cell r="E111" t="e">
            <v>#N/A</v>
          </cell>
          <cell r="F111" t="e">
            <v>#N/A</v>
          </cell>
          <cell r="G111" t="e">
            <v>#N/A</v>
          </cell>
          <cell r="H111" t="e">
            <v>#N/A</v>
          </cell>
          <cell r="I111" t="e">
            <v>#N/A</v>
          </cell>
          <cell r="J111" t="e">
            <v>#N/A</v>
          </cell>
          <cell r="K111" t="e">
            <v>#N/A</v>
          </cell>
          <cell r="L111" t="e">
            <v>#N/A</v>
          </cell>
          <cell r="M111" t="e">
            <v>#N/A</v>
          </cell>
          <cell r="N111" t="e">
            <v>#N/A</v>
          </cell>
          <cell r="O111" t="e">
            <v>#N/A</v>
          </cell>
          <cell r="P111">
            <v>11.79</v>
          </cell>
          <cell r="Q111">
            <v>1.274297</v>
          </cell>
          <cell r="R111" t="e">
            <v>#N/A</v>
          </cell>
          <cell r="AI111" t="str">
            <v>ZAR South African rand</v>
          </cell>
          <cell r="AJ111" t="str">
            <v>ZAR</v>
          </cell>
          <cell r="AK111" t="str">
            <v>ZAR</v>
          </cell>
          <cell r="AL111" t="str">
            <v>ZAR</v>
          </cell>
          <cell r="AM111">
            <v>0</v>
          </cell>
          <cell r="AN111">
            <v>2</v>
          </cell>
        </row>
        <row r="112">
          <cell r="A112">
            <v>40133</v>
          </cell>
          <cell r="B112">
            <v>40133</v>
          </cell>
          <cell r="C112" t="str">
            <v>Past</v>
          </cell>
          <cell r="D112">
            <v>11.94</v>
          </cell>
          <cell r="E112" t="e">
            <v>#N/A</v>
          </cell>
          <cell r="F112" t="e">
            <v>#N/A</v>
          </cell>
          <cell r="G112" t="e">
            <v>#N/A</v>
          </cell>
          <cell r="H112" t="e">
            <v>#N/A</v>
          </cell>
          <cell r="I112" t="e">
            <v>#N/A</v>
          </cell>
          <cell r="J112" t="e">
            <v>#N/A</v>
          </cell>
          <cell r="K112" t="e">
            <v>#N/A</v>
          </cell>
          <cell r="L112" t="e">
            <v>#N/A</v>
          </cell>
          <cell r="M112" t="e">
            <v>#N/A</v>
          </cell>
          <cell r="N112" t="e">
            <v>#N/A</v>
          </cell>
          <cell r="O112" t="e">
            <v>#N/A</v>
          </cell>
          <cell r="P112">
            <v>11.94</v>
          </cell>
          <cell r="Q112">
            <v>0.62196399999999996</v>
          </cell>
          <cell r="R112" t="e">
            <v>#N/A</v>
          </cell>
          <cell r="AI112" t="str">
            <v xml:space="preserve">ZMK Zambian Kwacha </v>
          </cell>
          <cell r="AJ112" t="str">
            <v>ZMK</v>
          </cell>
          <cell r="AK112" t="str">
            <v>ZMK</v>
          </cell>
          <cell r="AL112" t="str">
            <v>ZMK</v>
          </cell>
          <cell r="AM112">
            <v>0</v>
          </cell>
          <cell r="AN112">
            <v>2</v>
          </cell>
        </row>
        <row r="113">
          <cell r="A113">
            <v>40134</v>
          </cell>
          <cell r="B113">
            <v>40134</v>
          </cell>
          <cell r="C113" t="str">
            <v>Past</v>
          </cell>
          <cell r="D113">
            <v>11.9</v>
          </cell>
          <cell r="E113" t="e">
            <v>#N/A</v>
          </cell>
          <cell r="F113" t="e">
            <v>#N/A</v>
          </cell>
          <cell r="G113" t="e">
            <v>#N/A</v>
          </cell>
          <cell r="H113" t="e">
            <v>#N/A</v>
          </cell>
          <cell r="I113" t="e">
            <v>#N/A</v>
          </cell>
          <cell r="J113" t="e">
            <v>#N/A</v>
          </cell>
          <cell r="K113" t="e">
            <v>#N/A</v>
          </cell>
          <cell r="L113" t="e">
            <v>#N/A</v>
          </cell>
          <cell r="M113" t="e">
            <v>#N/A</v>
          </cell>
          <cell r="N113" t="e">
            <v>#N/A</v>
          </cell>
          <cell r="O113" t="e">
            <v>#N/A</v>
          </cell>
          <cell r="P113">
            <v>11.9</v>
          </cell>
          <cell r="Q113">
            <v>0.67125299999999999</v>
          </cell>
          <cell r="R113" t="e">
            <v>#N/A</v>
          </cell>
        </row>
        <row r="114">
          <cell r="A114">
            <v>40135</v>
          </cell>
          <cell r="B114">
            <v>40135</v>
          </cell>
          <cell r="C114" t="str">
            <v>Past</v>
          </cell>
          <cell r="D114">
            <v>11.76</v>
          </cell>
          <cell r="E114" t="e">
            <v>#N/A</v>
          </cell>
          <cell r="F114" t="e">
            <v>#N/A</v>
          </cell>
          <cell r="G114" t="e">
            <v>#N/A</v>
          </cell>
          <cell r="H114" t="e">
            <v>#N/A</v>
          </cell>
          <cell r="I114" t="e">
            <v>#N/A</v>
          </cell>
          <cell r="J114" t="e">
            <v>#N/A</v>
          </cell>
          <cell r="K114" t="e">
            <v>#N/A</v>
          </cell>
          <cell r="L114" t="e">
            <v>#N/A</v>
          </cell>
          <cell r="M114" t="e">
            <v>#N/A</v>
          </cell>
          <cell r="N114" t="e">
            <v>#N/A</v>
          </cell>
          <cell r="O114" t="e">
            <v>#N/A</v>
          </cell>
          <cell r="P114">
            <v>11.76</v>
          </cell>
          <cell r="Q114">
            <v>0.64498599999999995</v>
          </cell>
          <cell r="R114" t="e">
            <v>#N/A</v>
          </cell>
        </row>
        <row r="115">
          <cell r="A115">
            <v>40136</v>
          </cell>
          <cell r="B115">
            <v>40136</v>
          </cell>
          <cell r="C115" t="str">
            <v>Past</v>
          </cell>
          <cell r="D115">
            <v>11.56</v>
          </cell>
          <cell r="E115" t="e">
            <v>#N/A</v>
          </cell>
          <cell r="F115" t="e">
            <v>#N/A</v>
          </cell>
          <cell r="G115" t="e">
            <v>#N/A</v>
          </cell>
          <cell r="H115" t="e">
            <v>#N/A</v>
          </cell>
          <cell r="I115" t="e">
            <v>#N/A</v>
          </cell>
          <cell r="J115" t="e">
            <v>#N/A</v>
          </cell>
          <cell r="K115" t="e">
            <v>#N/A</v>
          </cell>
          <cell r="L115" t="e">
            <v>#N/A</v>
          </cell>
          <cell r="M115" t="e">
            <v>#N/A</v>
          </cell>
          <cell r="N115" t="e">
            <v>#N/A</v>
          </cell>
          <cell r="O115" t="e">
            <v>#N/A</v>
          </cell>
          <cell r="P115">
            <v>11.56</v>
          </cell>
          <cell r="Q115">
            <v>1.2904279999999999</v>
          </cell>
          <cell r="R115" t="e">
            <v>#N/A</v>
          </cell>
        </row>
        <row r="116">
          <cell r="A116">
            <v>40137</v>
          </cell>
          <cell r="B116">
            <v>40137</v>
          </cell>
          <cell r="C116" t="str">
            <v>Past</v>
          </cell>
          <cell r="D116">
            <v>11.49</v>
          </cell>
          <cell r="E116" t="e">
            <v>#N/A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>
            <v>11.49</v>
          </cell>
          <cell r="Q116">
            <v>0.70999499999999993</v>
          </cell>
          <cell r="R116" t="e">
            <v>#N/A</v>
          </cell>
        </row>
        <row r="117">
          <cell r="A117">
            <v>40140</v>
          </cell>
          <cell r="B117">
            <v>40140</v>
          </cell>
          <cell r="C117" t="str">
            <v>Past</v>
          </cell>
          <cell r="D117">
            <v>11.67</v>
          </cell>
          <cell r="E117" t="e">
            <v>#N/A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>
            <v>11.67</v>
          </cell>
          <cell r="Q117">
            <v>1.04413</v>
          </cell>
          <cell r="R117" t="e">
            <v>#N/A</v>
          </cell>
        </row>
        <row r="118">
          <cell r="A118">
            <v>40141</v>
          </cell>
          <cell r="B118">
            <v>40141</v>
          </cell>
          <cell r="C118" t="str">
            <v>Past</v>
          </cell>
          <cell r="D118">
            <v>11.61</v>
          </cell>
          <cell r="E118" t="e">
            <v>#N/A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>
            <v>11.61</v>
          </cell>
          <cell r="Q118">
            <v>1.9307329999999998</v>
          </cell>
          <cell r="R118" t="e">
            <v>#N/A</v>
          </cell>
        </row>
        <row r="119">
          <cell r="A119">
            <v>40142</v>
          </cell>
          <cell r="B119">
            <v>40142</v>
          </cell>
          <cell r="C119" t="str">
            <v>Past</v>
          </cell>
          <cell r="D119">
            <v>11.65</v>
          </cell>
          <cell r="E119" t="e">
            <v>#N/A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>
            <v>11.65</v>
          </cell>
          <cell r="Q119">
            <v>0.93092900000000001</v>
          </cell>
          <cell r="R119" t="e">
            <v>#N/A</v>
          </cell>
        </row>
        <row r="120">
          <cell r="A120">
            <v>40144</v>
          </cell>
          <cell r="B120">
            <v>40144</v>
          </cell>
          <cell r="C120" t="str">
            <v>Past</v>
          </cell>
          <cell r="D120">
            <v>11.44</v>
          </cell>
          <cell r="E120" t="e">
            <v>#N/A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>
            <v>11.44</v>
          </cell>
          <cell r="Q120">
            <v>0.54460500000000001</v>
          </cell>
          <cell r="R120" t="e">
            <v>#N/A</v>
          </cell>
        </row>
        <row r="121">
          <cell r="A121">
            <v>40147</v>
          </cell>
          <cell r="B121">
            <v>40147</v>
          </cell>
          <cell r="C121" t="str">
            <v>Past</v>
          </cell>
          <cell r="D121">
            <v>11.64</v>
          </cell>
          <cell r="E121" t="e">
            <v>#N/A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>
            <v>11.64</v>
          </cell>
          <cell r="Q121">
            <v>3.259204</v>
          </cell>
          <cell r="R121" t="e">
            <v>#N/A</v>
          </cell>
        </row>
        <row r="122">
          <cell r="A122">
            <v>40148</v>
          </cell>
          <cell r="B122">
            <v>40148</v>
          </cell>
          <cell r="C122" t="str">
            <v>Past</v>
          </cell>
          <cell r="D122">
            <v>11.92</v>
          </cell>
          <cell r="E122" t="e">
            <v>#N/A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>
            <v>11.92</v>
          </cell>
          <cell r="Q122">
            <v>4.5483539999999998</v>
          </cell>
          <cell r="R122" t="e">
            <v>#N/A</v>
          </cell>
        </row>
        <row r="123">
          <cell r="A123">
            <v>40149</v>
          </cell>
          <cell r="B123">
            <v>40149</v>
          </cell>
          <cell r="C123" t="str">
            <v>Past</v>
          </cell>
          <cell r="D123">
            <v>12.08</v>
          </cell>
          <cell r="E123" t="e">
            <v>#N/A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>
            <v>12.08</v>
          </cell>
          <cell r="Q123">
            <v>1.643826</v>
          </cell>
          <cell r="R123" t="e">
            <v>#N/A</v>
          </cell>
        </row>
        <row r="124">
          <cell r="A124">
            <v>40150</v>
          </cell>
          <cell r="B124">
            <v>40150</v>
          </cell>
          <cell r="C124" t="str">
            <v>Past</v>
          </cell>
          <cell r="D124">
            <v>12.01</v>
          </cell>
          <cell r="E124" t="e">
            <v>#N/A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>
            <v>12.01</v>
          </cell>
          <cell r="Q124">
            <v>2.0495200000000002</v>
          </cell>
          <cell r="R124" t="e">
            <v>#N/A</v>
          </cell>
        </row>
        <row r="125">
          <cell r="A125">
            <v>40151</v>
          </cell>
          <cell r="B125">
            <v>40151</v>
          </cell>
          <cell r="C125" t="str">
            <v>Past</v>
          </cell>
          <cell r="D125">
            <v>12</v>
          </cell>
          <cell r="E125" t="e">
            <v>#N/A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>
            <v>12</v>
          </cell>
          <cell r="Q125">
            <v>1.6330449999999999</v>
          </cell>
          <cell r="R125" t="e">
            <v>#N/A</v>
          </cell>
        </row>
        <row r="126">
          <cell r="A126">
            <v>40154</v>
          </cell>
          <cell r="B126">
            <v>40154</v>
          </cell>
          <cell r="C126" t="str">
            <v>Past</v>
          </cell>
          <cell r="D126">
            <v>11.98</v>
          </cell>
          <cell r="E126" t="e">
            <v>#N/A</v>
          </cell>
          <cell r="F126" t="e">
            <v>#N/A</v>
          </cell>
          <cell r="G126" t="e">
            <v>#N/A</v>
          </cell>
          <cell r="H126" t="e">
            <v>#N/A</v>
          </cell>
          <cell r="I126" t="e">
            <v>#N/A</v>
          </cell>
          <cell r="J126" t="e">
            <v>#N/A</v>
          </cell>
          <cell r="K126" t="e">
            <v>#N/A</v>
          </cell>
          <cell r="L126" t="e">
            <v>#N/A</v>
          </cell>
          <cell r="M126" t="e">
            <v>#N/A</v>
          </cell>
          <cell r="N126" t="e">
            <v>#N/A</v>
          </cell>
          <cell r="O126" t="e">
            <v>#N/A</v>
          </cell>
          <cell r="P126">
            <v>11.98</v>
          </cell>
          <cell r="Q126">
            <v>1.9720549999999999</v>
          </cell>
          <cell r="R126" t="e">
            <v>#N/A</v>
          </cell>
        </row>
        <row r="127">
          <cell r="A127">
            <v>40155</v>
          </cell>
          <cell r="B127">
            <v>40155</v>
          </cell>
          <cell r="C127" t="str">
            <v>Past</v>
          </cell>
          <cell r="D127">
            <v>11.96</v>
          </cell>
          <cell r="E127" t="e">
            <v>#N/A</v>
          </cell>
          <cell r="F127" t="e">
            <v>#N/A</v>
          </cell>
          <cell r="G127" t="e">
            <v>#N/A</v>
          </cell>
          <cell r="H127" t="e">
            <v>#N/A</v>
          </cell>
          <cell r="I127" t="e">
            <v>#N/A</v>
          </cell>
          <cell r="J127" t="e">
            <v>#N/A</v>
          </cell>
          <cell r="K127" t="e">
            <v>#N/A</v>
          </cell>
          <cell r="L127" t="e">
            <v>#N/A</v>
          </cell>
          <cell r="M127" t="e">
            <v>#N/A</v>
          </cell>
          <cell r="N127" t="e">
            <v>#N/A</v>
          </cell>
          <cell r="O127" t="e">
            <v>#N/A</v>
          </cell>
          <cell r="P127">
            <v>11.96</v>
          </cell>
          <cell r="Q127">
            <v>1.403686</v>
          </cell>
          <cell r="R127" t="e">
            <v>#N/A</v>
          </cell>
        </row>
        <row r="128">
          <cell r="A128">
            <v>40156</v>
          </cell>
          <cell r="B128">
            <v>40156</v>
          </cell>
          <cell r="C128" t="str">
            <v>Past</v>
          </cell>
          <cell r="D128">
            <v>11.9</v>
          </cell>
          <cell r="E128" t="e">
            <v>#N/A</v>
          </cell>
          <cell r="F128" t="e">
            <v>#N/A</v>
          </cell>
          <cell r="G128" t="e">
            <v>#N/A</v>
          </cell>
          <cell r="H128" t="e">
            <v>#N/A</v>
          </cell>
          <cell r="I128" t="e">
            <v>#N/A</v>
          </cell>
          <cell r="J128" t="e">
            <v>#N/A</v>
          </cell>
          <cell r="K128" t="e">
            <v>#N/A</v>
          </cell>
          <cell r="L128" t="e">
            <v>#N/A</v>
          </cell>
          <cell r="M128" t="e">
            <v>#N/A</v>
          </cell>
          <cell r="N128" t="e">
            <v>#N/A</v>
          </cell>
          <cell r="O128" t="e">
            <v>#N/A</v>
          </cell>
          <cell r="P128">
            <v>11.9</v>
          </cell>
          <cell r="Q128">
            <v>1.402925</v>
          </cell>
          <cell r="R128" t="e">
            <v>#N/A</v>
          </cell>
        </row>
        <row r="129">
          <cell r="A129">
            <v>40157</v>
          </cell>
          <cell r="B129">
            <v>40157</v>
          </cell>
          <cell r="C129" t="str">
            <v>Past</v>
          </cell>
          <cell r="D129">
            <v>11.92</v>
          </cell>
          <cell r="E129" t="e">
            <v>#N/A</v>
          </cell>
          <cell r="F129" t="e">
            <v>#N/A</v>
          </cell>
          <cell r="G129" t="e">
            <v>#N/A</v>
          </cell>
          <cell r="H129" t="e">
            <v>#N/A</v>
          </cell>
          <cell r="I129" t="e">
            <v>#N/A</v>
          </cell>
          <cell r="J129" t="e">
            <v>#N/A</v>
          </cell>
          <cell r="K129" t="e">
            <v>#N/A</v>
          </cell>
          <cell r="L129" t="e">
            <v>#N/A</v>
          </cell>
          <cell r="M129" t="e">
            <v>#N/A</v>
          </cell>
          <cell r="N129" t="e">
            <v>#N/A</v>
          </cell>
          <cell r="O129" t="e">
            <v>#N/A</v>
          </cell>
          <cell r="P129">
            <v>11.92</v>
          </cell>
          <cell r="Q129">
            <v>1.6281049999999999</v>
          </cell>
          <cell r="R129" t="e">
            <v>#N/A</v>
          </cell>
        </row>
        <row r="130">
          <cell r="A130">
            <v>40158</v>
          </cell>
          <cell r="B130">
            <v>40158</v>
          </cell>
          <cell r="C130" t="str">
            <v>Past</v>
          </cell>
          <cell r="D130">
            <v>12.26</v>
          </cell>
          <cell r="E130" t="e">
            <v>#N/A</v>
          </cell>
          <cell r="F130" t="e">
            <v>#N/A</v>
          </cell>
          <cell r="G130" t="e">
            <v>#N/A</v>
          </cell>
          <cell r="H130" t="e">
            <v>#N/A</v>
          </cell>
          <cell r="I130" t="e">
            <v>#N/A</v>
          </cell>
          <cell r="J130" t="e">
            <v>#N/A</v>
          </cell>
          <cell r="K130" t="e">
            <v>#N/A</v>
          </cell>
          <cell r="L130" t="e">
            <v>#N/A</v>
          </cell>
          <cell r="M130" t="e">
            <v>#N/A</v>
          </cell>
          <cell r="N130" t="e">
            <v>#N/A</v>
          </cell>
          <cell r="O130" t="e">
            <v>#N/A</v>
          </cell>
          <cell r="P130">
            <v>12.26</v>
          </cell>
          <cell r="Q130">
            <v>2.5341459999999998</v>
          </cell>
          <cell r="R130" t="e">
            <v>#N/A</v>
          </cell>
        </row>
        <row r="131">
          <cell r="A131">
            <v>40161</v>
          </cell>
          <cell r="B131">
            <v>40161</v>
          </cell>
          <cell r="C131" t="str">
            <v>Past</v>
          </cell>
          <cell r="D131">
            <v>12.39</v>
          </cell>
          <cell r="E131" t="e">
            <v>#N/A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>
            <v>12.39</v>
          </cell>
          <cell r="Q131">
            <v>1.5428109999999999</v>
          </cell>
          <cell r="R131" t="e">
            <v>#N/A</v>
          </cell>
        </row>
        <row r="132">
          <cell r="A132">
            <v>40162</v>
          </cell>
          <cell r="B132">
            <v>40162</v>
          </cell>
          <cell r="C132" t="str">
            <v>Past</v>
          </cell>
          <cell r="D132">
            <v>12.49</v>
          </cell>
          <cell r="E132" t="e">
            <v>#N/A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>
            <v>12.49</v>
          </cell>
          <cell r="Q132">
            <v>1.816954</v>
          </cell>
          <cell r="R132" t="e">
            <v>#N/A</v>
          </cell>
        </row>
        <row r="133">
          <cell r="A133">
            <v>40163</v>
          </cell>
          <cell r="B133">
            <v>40163</v>
          </cell>
          <cell r="C133" t="str">
            <v>Past</v>
          </cell>
          <cell r="D133">
            <v>12.67</v>
          </cell>
          <cell r="E133" t="e">
            <v>#N/A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>
            <v>12.67</v>
          </cell>
          <cell r="Q133">
            <v>3.4078200000000001</v>
          </cell>
          <cell r="R133" t="e">
            <v>#N/A</v>
          </cell>
        </row>
        <row r="134">
          <cell r="A134">
            <v>40164</v>
          </cell>
          <cell r="B134">
            <v>40164</v>
          </cell>
          <cell r="C134" t="str">
            <v>Past</v>
          </cell>
          <cell r="D134">
            <v>12.37</v>
          </cell>
          <cell r="E134" t="e">
            <v>#N/A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>
            <v>12.37</v>
          </cell>
          <cell r="Q134">
            <v>2.987034</v>
          </cell>
          <cell r="R134" t="e">
            <v>#N/A</v>
          </cell>
        </row>
        <row r="135">
          <cell r="A135">
            <v>40165</v>
          </cell>
          <cell r="B135">
            <v>40165</v>
          </cell>
          <cell r="C135" t="str">
            <v>Past</v>
          </cell>
          <cell r="D135">
            <v>12.39</v>
          </cell>
          <cell r="E135" t="e">
            <v>#N/A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>
            <v>12.39</v>
          </cell>
          <cell r="Q135">
            <v>2.0287000000000002</v>
          </cell>
          <cell r="R135" t="e">
            <v>#N/A</v>
          </cell>
        </row>
        <row r="136">
          <cell r="A136">
            <v>40168</v>
          </cell>
          <cell r="B136">
            <v>40168</v>
          </cell>
          <cell r="C136" t="str">
            <v>Past</v>
          </cell>
          <cell r="D136">
            <v>12.55</v>
          </cell>
          <cell r="E136" t="e">
            <v>#N/A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>
            <v>12.55</v>
          </cell>
          <cell r="Q136">
            <v>1.2931679999999999</v>
          </cell>
          <cell r="R136" t="e">
            <v>#N/A</v>
          </cell>
        </row>
        <row r="137">
          <cell r="A137">
            <v>40169</v>
          </cell>
          <cell r="B137">
            <v>40169</v>
          </cell>
          <cell r="C137" t="str">
            <v>Past</v>
          </cell>
          <cell r="D137">
            <v>12.51</v>
          </cell>
          <cell r="E137" t="e">
            <v>#N/A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>
            <v>12.51</v>
          </cell>
          <cell r="Q137">
            <v>0.98313899999999999</v>
          </cell>
          <cell r="R137" t="e">
            <v>#N/A</v>
          </cell>
        </row>
        <row r="138">
          <cell r="A138">
            <v>40170</v>
          </cell>
          <cell r="B138">
            <v>40170</v>
          </cell>
          <cell r="C138" t="str">
            <v>Past</v>
          </cell>
          <cell r="D138">
            <v>12.53</v>
          </cell>
          <cell r="E138" t="e">
            <v>#N/A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>
            <v>12.53</v>
          </cell>
          <cell r="Q138">
            <v>1.043939</v>
          </cell>
          <cell r="R138" t="e">
            <v>#N/A</v>
          </cell>
        </row>
        <row r="139">
          <cell r="A139">
            <v>40171</v>
          </cell>
          <cell r="B139">
            <v>40171</v>
          </cell>
          <cell r="C139" t="str">
            <v>Past</v>
          </cell>
          <cell r="D139">
            <v>12.54</v>
          </cell>
          <cell r="E139" t="e">
            <v>#N/A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>
            <v>12.54</v>
          </cell>
          <cell r="Q139">
            <v>0.188083</v>
          </cell>
          <cell r="R139" t="e">
            <v>#N/A</v>
          </cell>
        </row>
        <row r="140">
          <cell r="A140">
            <v>40175</v>
          </cell>
          <cell r="B140">
            <v>40175</v>
          </cell>
          <cell r="C140" t="str">
            <v>Past</v>
          </cell>
          <cell r="D140">
            <v>12.52</v>
          </cell>
          <cell r="E140" t="e">
            <v>#N/A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>
            <v>12.52</v>
          </cell>
          <cell r="Q140">
            <v>1.007449</v>
          </cell>
          <cell r="R140" t="e">
            <v>#N/A</v>
          </cell>
        </row>
        <row r="141">
          <cell r="A141">
            <v>40176</v>
          </cell>
          <cell r="B141">
            <v>40176</v>
          </cell>
          <cell r="C141" t="str">
            <v>Past</v>
          </cell>
          <cell r="D141">
            <v>12.53</v>
          </cell>
          <cell r="E141" t="e">
            <v>#N/A</v>
          </cell>
          <cell r="F141" t="e">
            <v>#N/A</v>
          </cell>
          <cell r="G141" t="e">
            <v>#N/A</v>
          </cell>
          <cell r="H141" t="e">
            <v>#N/A</v>
          </cell>
          <cell r="I141" t="e">
            <v>#N/A</v>
          </cell>
          <cell r="J141" t="e">
            <v>#N/A</v>
          </cell>
          <cell r="K141" t="e">
            <v>#N/A</v>
          </cell>
          <cell r="L141" t="e">
            <v>#N/A</v>
          </cell>
          <cell r="M141" t="e">
            <v>#N/A</v>
          </cell>
          <cell r="N141" t="e">
            <v>#N/A</v>
          </cell>
          <cell r="O141" t="e">
            <v>#N/A</v>
          </cell>
          <cell r="P141">
            <v>12.53</v>
          </cell>
          <cell r="Q141">
            <v>1.2915209999999999</v>
          </cell>
          <cell r="R141" t="e">
            <v>#N/A</v>
          </cell>
        </row>
        <row r="142">
          <cell r="A142">
            <v>40177</v>
          </cell>
          <cell r="B142">
            <v>40177</v>
          </cell>
          <cell r="C142" t="str">
            <v>Past</v>
          </cell>
          <cell r="D142">
            <v>12.57</v>
          </cell>
          <cell r="E142" t="e">
            <v>#N/A</v>
          </cell>
          <cell r="F142" t="e">
            <v>#N/A</v>
          </cell>
          <cell r="G142" t="e">
            <v>#N/A</v>
          </cell>
          <cell r="H142" t="e">
            <v>#N/A</v>
          </cell>
          <cell r="I142" t="e">
            <v>#N/A</v>
          </cell>
          <cell r="J142" t="e">
            <v>#N/A</v>
          </cell>
          <cell r="K142" t="e">
            <v>#N/A</v>
          </cell>
          <cell r="L142" t="e">
            <v>#N/A</v>
          </cell>
          <cell r="M142" t="e">
            <v>#N/A</v>
          </cell>
          <cell r="N142" t="e">
            <v>#N/A</v>
          </cell>
          <cell r="O142" t="e">
            <v>#N/A</v>
          </cell>
          <cell r="P142">
            <v>12.57</v>
          </cell>
          <cell r="Q142">
            <v>0.81364099999999995</v>
          </cell>
          <cell r="R142" t="e">
            <v>#N/A</v>
          </cell>
        </row>
        <row r="143">
          <cell r="A143">
            <v>40178</v>
          </cell>
          <cell r="B143">
            <v>40178</v>
          </cell>
          <cell r="C143" t="str">
            <v>Past</v>
          </cell>
          <cell r="D143">
            <v>12.38</v>
          </cell>
          <cell r="E143" t="e">
            <v>#N/A</v>
          </cell>
          <cell r="F143" t="e">
            <v>#N/A</v>
          </cell>
          <cell r="G143" t="e">
            <v>#N/A</v>
          </cell>
          <cell r="H143" t="e">
            <v>#N/A</v>
          </cell>
          <cell r="I143" t="e">
            <v>#N/A</v>
          </cell>
          <cell r="J143" t="e">
            <v>#N/A</v>
          </cell>
          <cell r="K143" t="e">
            <v>#N/A</v>
          </cell>
          <cell r="L143" t="e">
            <v>#N/A</v>
          </cell>
          <cell r="M143" t="e">
            <v>#N/A</v>
          </cell>
          <cell r="N143" t="e">
            <v>#N/A</v>
          </cell>
          <cell r="O143" t="e">
            <v>#N/A</v>
          </cell>
          <cell r="P143">
            <v>12.38</v>
          </cell>
          <cell r="Q143">
            <v>0.75707799999999992</v>
          </cell>
          <cell r="R143" t="e">
            <v>#N/A</v>
          </cell>
        </row>
        <row r="144">
          <cell r="A144">
            <v>40182</v>
          </cell>
          <cell r="B144">
            <v>40182</v>
          </cell>
          <cell r="C144" t="str">
            <v>Past</v>
          </cell>
          <cell r="D144">
            <v>12.49</v>
          </cell>
          <cell r="E144" t="e">
            <v>#N/A</v>
          </cell>
          <cell r="F144" t="e">
            <v>#N/A</v>
          </cell>
          <cell r="G144" t="e">
            <v>#N/A</v>
          </cell>
          <cell r="H144" t="e">
            <v>#N/A</v>
          </cell>
          <cell r="I144" t="e">
            <v>#N/A</v>
          </cell>
          <cell r="J144" t="e">
            <v>#N/A</v>
          </cell>
          <cell r="K144" t="e">
            <v>#N/A</v>
          </cell>
          <cell r="L144" t="e">
            <v>#N/A</v>
          </cell>
          <cell r="M144" t="e">
            <v>#N/A</v>
          </cell>
          <cell r="N144" t="e">
            <v>#N/A</v>
          </cell>
          <cell r="O144" t="e">
            <v>#N/A</v>
          </cell>
          <cell r="P144">
            <v>12.49</v>
          </cell>
          <cell r="Q144">
            <v>1.3208600000000001</v>
          </cell>
          <cell r="R144" t="e">
            <v>#N/A</v>
          </cell>
        </row>
        <row r="145">
          <cell r="A145">
            <v>40183</v>
          </cell>
          <cell r="B145">
            <v>40183</v>
          </cell>
          <cell r="C145" t="str">
            <v>Past</v>
          </cell>
          <cell r="D145">
            <v>12.22</v>
          </cell>
          <cell r="E145" t="e">
            <v>#N/A</v>
          </cell>
          <cell r="F145" t="e">
            <v>#N/A</v>
          </cell>
          <cell r="G145" t="e">
            <v>#N/A</v>
          </cell>
          <cell r="H145" t="e">
            <v>#N/A</v>
          </cell>
          <cell r="I145" t="e">
            <v>#N/A</v>
          </cell>
          <cell r="J145" t="e">
            <v>#N/A</v>
          </cell>
          <cell r="K145" t="e">
            <v>#N/A</v>
          </cell>
          <cell r="L145" t="e">
            <v>#N/A</v>
          </cell>
          <cell r="M145" t="e">
            <v>#N/A</v>
          </cell>
          <cell r="N145" t="e">
            <v>#N/A</v>
          </cell>
          <cell r="O145" t="e">
            <v>#N/A</v>
          </cell>
          <cell r="P145">
            <v>12.22</v>
          </cell>
          <cell r="Q145">
            <v>2.594293</v>
          </cell>
          <cell r="R145" t="e">
            <v>#N/A</v>
          </cell>
        </row>
        <row r="146">
          <cell r="A146">
            <v>40184</v>
          </cell>
          <cell r="B146">
            <v>40184</v>
          </cell>
          <cell r="C146" t="str">
            <v>Past</v>
          </cell>
          <cell r="D146">
            <v>12.18</v>
          </cell>
          <cell r="E146" t="e">
            <v>#N/A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>
            <v>12.18</v>
          </cell>
          <cell r="Q146">
            <v>2.7537319999999998</v>
          </cell>
          <cell r="R146" t="e">
            <v>#N/A</v>
          </cell>
        </row>
        <row r="147">
          <cell r="A147">
            <v>40185</v>
          </cell>
          <cell r="B147">
            <v>40185</v>
          </cell>
          <cell r="C147" t="str">
            <v>Past</v>
          </cell>
          <cell r="D147">
            <v>11.95</v>
          </cell>
          <cell r="E147" t="e">
            <v>#N/A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>
            <v>11.95</v>
          </cell>
          <cell r="Q147">
            <v>2.590455</v>
          </cell>
          <cell r="R147" t="e">
            <v>#N/A</v>
          </cell>
        </row>
        <row r="148">
          <cell r="A148">
            <v>40186</v>
          </cell>
          <cell r="B148">
            <v>40186</v>
          </cell>
          <cell r="C148" t="str">
            <v>Past</v>
          </cell>
          <cell r="D148">
            <v>11.88</v>
          </cell>
          <cell r="E148" t="e">
            <v>#N/A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>
            <v>11.88</v>
          </cell>
          <cell r="Q148">
            <v>2.3484229999999999</v>
          </cell>
          <cell r="R148" t="e">
            <v>#N/A</v>
          </cell>
        </row>
        <row r="149">
          <cell r="A149">
            <v>40189</v>
          </cell>
          <cell r="B149">
            <v>40189</v>
          </cell>
          <cell r="C149" t="str">
            <v>Past</v>
          </cell>
          <cell r="D149">
            <v>11.93</v>
          </cell>
          <cell r="E149" t="e">
            <v>#N/A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>
            <v>11.93</v>
          </cell>
          <cell r="Q149">
            <v>5.0173579999999998</v>
          </cell>
          <cell r="R149" t="e">
            <v>#N/A</v>
          </cell>
        </row>
        <row r="150">
          <cell r="A150">
            <v>40190</v>
          </cell>
          <cell r="B150">
            <v>40190</v>
          </cell>
          <cell r="C150" t="str">
            <v>Past</v>
          </cell>
          <cell r="D150">
            <v>12.17</v>
          </cell>
          <cell r="E150" t="e">
            <v>#N/A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>
            <v>12.17</v>
          </cell>
          <cell r="Q150">
            <v>6.0215049999999994</v>
          </cell>
          <cell r="R150" t="e">
            <v>#N/A</v>
          </cell>
        </row>
        <row r="151">
          <cell r="A151">
            <v>40191</v>
          </cell>
          <cell r="B151">
            <v>40191</v>
          </cell>
          <cell r="C151" t="str">
            <v>Past</v>
          </cell>
          <cell r="D151">
            <v>12.36</v>
          </cell>
          <cell r="E151" t="e">
            <v>#N/A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>
            <v>12.36</v>
          </cell>
          <cell r="Q151">
            <v>2.7192000000000003</v>
          </cell>
          <cell r="R151" t="e">
            <v>#N/A</v>
          </cell>
        </row>
        <row r="152">
          <cell r="A152">
            <v>40192</v>
          </cell>
          <cell r="B152">
            <v>40192</v>
          </cell>
          <cell r="C152" t="str">
            <v>Past</v>
          </cell>
          <cell r="D152">
            <v>12.37</v>
          </cell>
          <cell r="E152" t="e">
            <v>#N/A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>
            <v>12.37</v>
          </cell>
          <cell r="Q152">
            <v>1.4913419999999999</v>
          </cell>
          <cell r="R152" t="e">
            <v>#N/A</v>
          </cell>
        </row>
        <row r="153">
          <cell r="A153">
            <v>40193</v>
          </cell>
          <cell r="B153">
            <v>40193</v>
          </cell>
          <cell r="C153" t="str">
            <v>Past</v>
          </cell>
          <cell r="D153">
            <v>12.31</v>
          </cell>
          <cell r="E153" t="e">
            <v>#N/A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>
            <v>12.31</v>
          </cell>
          <cell r="Q153">
            <v>2.846365</v>
          </cell>
          <cell r="R153" t="e">
            <v>#N/A</v>
          </cell>
        </row>
        <row r="154">
          <cell r="A154">
            <v>40197</v>
          </cell>
          <cell r="B154">
            <v>40197</v>
          </cell>
          <cell r="C154" t="str">
            <v>Past</v>
          </cell>
          <cell r="D154">
            <v>12.5</v>
          </cell>
          <cell r="E154" t="e">
            <v>#N/A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>
            <v>12.5</v>
          </cell>
          <cell r="Q154">
            <v>2.921125</v>
          </cell>
          <cell r="R154" t="e">
            <v>#N/A</v>
          </cell>
        </row>
        <row r="155">
          <cell r="A155">
            <v>40198</v>
          </cell>
          <cell r="B155">
            <v>40198</v>
          </cell>
          <cell r="C155" t="str">
            <v>Past</v>
          </cell>
          <cell r="D155">
            <v>12.54</v>
          </cell>
          <cell r="E155" t="e">
            <v>#N/A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>
            <v>12.54</v>
          </cell>
          <cell r="Q155">
            <v>5.5452529999999998</v>
          </cell>
          <cell r="R155" t="e">
            <v>#N/A</v>
          </cell>
        </row>
        <row r="156">
          <cell r="A156">
            <v>40199</v>
          </cell>
          <cell r="B156">
            <v>40199</v>
          </cell>
          <cell r="C156" t="str">
            <v>Past</v>
          </cell>
          <cell r="D156">
            <v>12.28</v>
          </cell>
          <cell r="E156" t="e">
            <v>#N/A</v>
          </cell>
          <cell r="F156" t="e">
            <v>#N/A</v>
          </cell>
          <cell r="G156" t="e">
            <v>#N/A</v>
          </cell>
          <cell r="H156" t="e">
            <v>#N/A</v>
          </cell>
          <cell r="I156" t="e">
            <v>#N/A</v>
          </cell>
          <cell r="J156" t="e">
            <v>#N/A</v>
          </cell>
          <cell r="K156" t="e">
            <v>#N/A</v>
          </cell>
          <cell r="L156" t="e">
            <v>#N/A</v>
          </cell>
          <cell r="M156" t="e">
            <v>#N/A</v>
          </cell>
          <cell r="N156" t="e">
            <v>#N/A</v>
          </cell>
          <cell r="O156" t="e">
            <v>#N/A</v>
          </cell>
          <cell r="P156">
            <v>12.28</v>
          </cell>
          <cell r="Q156">
            <v>3.254715</v>
          </cell>
          <cell r="R156" t="e">
            <v>#N/A</v>
          </cell>
        </row>
        <row r="157">
          <cell r="A157">
            <v>40200</v>
          </cell>
          <cell r="B157">
            <v>40200</v>
          </cell>
          <cell r="C157" t="str">
            <v>Past</v>
          </cell>
          <cell r="D157">
            <v>11.99</v>
          </cell>
          <cell r="E157" t="e">
            <v>#N/A</v>
          </cell>
          <cell r="F157" t="e">
            <v>#N/A</v>
          </cell>
          <cell r="G157" t="e">
            <v>#N/A</v>
          </cell>
          <cell r="H157" t="e">
            <v>#N/A</v>
          </cell>
          <cell r="I157" t="e">
            <v>#N/A</v>
          </cell>
          <cell r="J157" t="e">
            <v>#N/A</v>
          </cell>
          <cell r="K157" t="e">
            <v>#N/A</v>
          </cell>
          <cell r="L157" t="e">
            <v>#N/A</v>
          </cell>
          <cell r="M157" t="e">
            <v>#N/A</v>
          </cell>
          <cell r="N157" t="e">
            <v>#N/A</v>
          </cell>
          <cell r="O157" t="e">
            <v>#N/A</v>
          </cell>
          <cell r="P157">
            <v>11.99</v>
          </cell>
          <cell r="Q157">
            <v>2.027603</v>
          </cell>
          <cell r="R157" t="e">
            <v>#N/A</v>
          </cell>
        </row>
        <row r="158">
          <cell r="A158">
            <v>40203</v>
          </cell>
          <cell r="B158">
            <v>40203</v>
          </cell>
          <cell r="C158" t="str">
            <v>Past</v>
          </cell>
          <cell r="D158">
            <v>12.01</v>
          </cell>
          <cell r="E158" t="e">
            <v>#N/A</v>
          </cell>
          <cell r="F158" t="e">
            <v>#N/A</v>
          </cell>
          <cell r="G158" t="e">
            <v>#N/A</v>
          </cell>
          <cell r="H158" t="e">
            <v>#N/A</v>
          </cell>
          <cell r="I158" t="e">
            <v>#N/A</v>
          </cell>
          <cell r="J158" t="e">
            <v>#N/A</v>
          </cell>
          <cell r="K158" t="e">
            <v>#N/A</v>
          </cell>
          <cell r="L158" t="e">
            <v>#N/A</v>
          </cell>
          <cell r="M158" t="e">
            <v>#N/A</v>
          </cell>
          <cell r="N158" t="e">
            <v>#N/A</v>
          </cell>
          <cell r="O158" t="e">
            <v>#N/A</v>
          </cell>
          <cell r="P158">
            <v>12.01</v>
          </cell>
          <cell r="Q158">
            <v>2.0521279999999997</v>
          </cell>
          <cell r="R158" t="e">
            <v>#N/A</v>
          </cell>
        </row>
        <row r="159">
          <cell r="A159">
            <v>40204</v>
          </cell>
          <cell r="B159">
            <v>40204</v>
          </cell>
          <cell r="C159" t="str">
            <v>Past</v>
          </cell>
          <cell r="D159">
            <v>11.98</v>
          </cell>
          <cell r="E159" t="e">
            <v>#N/A</v>
          </cell>
          <cell r="F159" t="e">
            <v>#N/A</v>
          </cell>
          <cell r="G159" t="e">
            <v>#N/A</v>
          </cell>
          <cell r="H159" t="e">
            <v>#N/A</v>
          </cell>
          <cell r="I159" t="e">
            <v>#N/A</v>
          </cell>
          <cell r="J159" t="e">
            <v>#N/A</v>
          </cell>
          <cell r="K159" t="e">
            <v>#N/A</v>
          </cell>
          <cell r="L159" t="e">
            <v>#N/A</v>
          </cell>
          <cell r="M159" t="e">
            <v>#N/A</v>
          </cell>
          <cell r="N159" t="e">
            <v>#N/A</v>
          </cell>
          <cell r="O159" t="e">
            <v>#N/A</v>
          </cell>
          <cell r="P159">
            <v>11.98</v>
          </cell>
          <cell r="Q159">
            <v>1.741779</v>
          </cell>
          <cell r="R159" t="e">
            <v>#N/A</v>
          </cell>
        </row>
        <row r="160">
          <cell r="A160">
            <v>40205</v>
          </cell>
          <cell r="B160">
            <v>40205</v>
          </cell>
          <cell r="C160" t="str">
            <v>Past</v>
          </cell>
          <cell r="D160">
            <v>11.85</v>
          </cell>
          <cell r="E160" t="e">
            <v>#N/A</v>
          </cell>
          <cell r="F160" t="e">
            <v>#N/A</v>
          </cell>
          <cell r="G160" t="e">
            <v>#N/A</v>
          </cell>
          <cell r="H160" t="e">
            <v>#N/A</v>
          </cell>
          <cell r="I160" t="e">
            <v>#N/A</v>
          </cell>
          <cell r="J160" t="e">
            <v>#N/A</v>
          </cell>
          <cell r="K160" t="e">
            <v>#N/A</v>
          </cell>
          <cell r="L160" t="e">
            <v>#N/A</v>
          </cell>
          <cell r="M160" t="e">
            <v>#N/A</v>
          </cell>
          <cell r="N160" t="e">
            <v>#N/A</v>
          </cell>
          <cell r="O160" t="e">
            <v>#N/A</v>
          </cell>
          <cell r="P160">
            <v>11.85</v>
          </cell>
          <cell r="Q160">
            <v>2.2158500000000001</v>
          </cell>
          <cell r="R160" t="e">
            <v>#N/A</v>
          </cell>
        </row>
        <row r="161">
          <cell r="A161">
            <v>40206</v>
          </cell>
          <cell r="B161">
            <v>40206</v>
          </cell>
          <cell r="C161" t="str">
            <v>Past</v>
          </cell>
          <cell r="D161">
            <v>11.74</v>
          </cell>
          <cell r="E161" t="e">
            <v>#N/A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>
            <v>11.74</v>
          </cell>
          <cell r="Q161">
            <v>2.1453059999999997</v>
          </cell>
          <cell r="R161" t="e">
            <v>#N/A</v>
          </cell>
        </row>
        <row r="162">
          <cell r="A162">
            <v>40207</v>
          </cell>
          <cell r="B162">
            <v>40207</v>
          </cell>
          <cell r="C162" t="str">
            <v>Past</v>
          </cell>
          <cell r="D162">
            <v>11.52</v>
          </cell>
          <cell r="E162" t="e">
            <v>#N/A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>
            <v>11.52</v>
          </cell>
          <cell r="Q162">
            <v>2.407451</v>
          </cell>
          <cell r="R162" t="e">
            <v>#N/A</v>
          </cell>
        </row>
        <row r="163">
          <cell r="A163">
            <v>40210</v>
          </cell>
          <cell r="B163">
            <v>40210</v>
          </cell>
          <cell r="C163" t="str">
            <v>Past</v>
          </cell>
          <cell r="D163">
            <v>11.58</v>
          </cell>
          <cell r="E163" t="e">
            <v>#N/A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>
            <v>11.58</v>
          </cell>
          <cell r="Q163">
            <v>1.7375529999999999</v>
          </cell>
          <cell r="R163" t="e">
            <v>#N/A</v>
          </cell>
        </row>
        <row r="164">
          <cell r="A164">
            <v>40211</v>
          </cell>
          <cell r="B164">
            <v>40211</v>
          </cell>
          <cell r="C164" t="str">
            <v>Past</v>
          </cell>
          <cell r="D164">
            <v>11.71</v>
          </cell>
          <cell r="E164" t="e">
            <v>#N/A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>
            <v>11.71</v>
          </cell>
          <cell r="Q164">
            <v>2.8388329999999997</v>
          </cell>
          <cell r="R164" t="e">
            <v>#N/A</v>
          </cell>
        </row>
        <row r="165">
          <cell r="A165">
            <v>40212</v>
          </cell>
          <cell r="B165">
            <v>40212</v>
          </cell>
          <cell r="C165" t="str">
            <v>Past</v>
          </cell>
          <cell r="D165">
            <v>11.47</v>
          </cell>
          <cell r="E165" t="e">
            <v>#N/A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>
            <v>11.47</v>
          </cell>
          <cell r="Q165">
            <v>8.2753759999999996</v>
          </cell>
          <cell r="R165" t="e">
            <v>#N/A</v>
          </cell>
        </row>
        <row r="166">
          <cell r="A166">
            <v>40213</v>
          </cell>
          <cell r="B166">
            <v>40213</v>
          </cell>
          <cell r="C166" t="str">
            <v>Past</v>
          </cell>
          <cell r="D166">
            <v>11.44</v>
          </cell>
          <cell r="E166" t="e">
            <v>#N/A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>
            <v>11.44</v>
          </cell>
          <cell r="Q166">
            <v>5.2136639999999996</v>
          </cell>
          <cell r="R166" t="e">
            <v>#N/A</v>
          </cell>
        </row>
        <row r="167">
          <cell r="A167">
            <v>40214</v>
          </cell>
          <cell r="B167">
            <v>40214</v>
          </cell>
          <cell r="C167" t="str">
            <v>Past</v>
          </cell>
          <cell r="D167">
            <v>11.36</v>
          </cell>
          <cell r="E167" t="e">
            <v>#N/A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>
            <v>11.36</v>
          </cell>
          <cell r="Q167">
            <v>3.9470300000000003</v>
          </cell>
          <cell r="R167" t="e">
            <v>#N/A</v>
          </cell>
        </row>
        <row r="168">
          <cell r="A168">
            <v>40217</v>
          </cell>
          <cell r="B168">
            <v>40217</v>
          </cell>
          <cell r="C168" t="str">
            <v>Past</v>
          </cell>
          <cell r="D168">
            <v>11.17</v>
          </cell>
          <cell r="E168" t="e">
            <v>#N/A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>
            <v>11.17</v>
          </cell>
          <cell r="Q168">
            <v>2.7023820000000001</v>
          </cell>
          <cell r="R168" t="e">
            <v>#N/A</v>
          </cell>
        </row>
        <row r="169">
          <cell r="A169">
            <v>40218</v>
          </cell>
          <cell r="B169">
            <v>40218</v>
          </cell>
          <cell r="C169" t="str">
            <v>Past</v>
          </cell>
          <cell r="D169">
            <v>11.17</v>
          </cell>
          <cell r="E169" t="e">
            <v>#N/A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>
            <v>11.17</v>
          </cell>
          <cell r="Q169">
            <v>2.2356449999999999</v>
          </cell>
          <cell r="R169" t="e">
            <v>#N/A</v>
          </cell>
        </row>
        <row r="170">
          <cell r="A170">
            <v>40219</v>
          </cell>
          <cell r="B170">
            <v>40219</v>
          </cell>
          <cell r="C170" t="str">
            <v>Past</v>
          </cell>
          <cell r="D170">
            <v>11.08</v>
          </cell>
          <cell r="E170" t="e">
            <v>#N/A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>
            <v>11.08</v>
          </cell>
          <cell r="Q170">
            <v>1.5576589999999999</v>
          </cell>
          <cell r="R170" t="e">
            <v>#N/A</v>
          </cell>
        </row>
        <row r="171">
          <cell r="A171">
            <v>40220</v>
          </cell>
          <cell r="B171">
            <v>40220</v>
          </cell>
          <cell r="C171" t="str">
            <v>Past</v>
          </cell>
          <cell r="D171">
            <v>11.1</v>
          </cell>
          <cell r="E171" t="e">
            <v>#N/A</v>
          </cell>
          <cell r="F171" t="e">
            <v>#N/A</v>
          </cell>
          <cell r="G171" t="e">
            <v>#N/A</v>
          </cell>
          <cell r="H171" t="e">
            <v>#N/A</v>
          </cell>
          <cell r="I171" t="e">
            <v>#N/A</v>
          </cell>
          <cell r="J171" t="e">
            <v>#N/A</v>
          </cell>
          <cell r="K171" t="e">
            <v>#N/A</v>
          </cell>
          <cell r="L171" t="e">
            <v>#N/A</v>
          </cell>
          <cell r="M171" t="e">
            <v>#N/A</v>
          </cell>
          <cell r="N171" t="e">
            <v>#N/A</v>
          </cell>
          <cell r="O171" t="e">
            <v>#N/A</v>
          </cell>
          <cell r="P171">
            <v>11.1</v>
          </cell>
          <cell r="Q171">
            <v>3.0232400000000004</v>
          </cell>
          <cell r="R171" t="e">
            <v>#N/A</v>
          </cell>
        </row>
        <row r="172">
          <cell r="A172">
            <v>40221</v>
          </cell>
          <cell r="B172">
            <v>40221</v>
          </cell>
          <cell r="C172" t="str">
            <v>Past</v>
          </cell>
          <cell r="D172">
            <v>11.09</v>
          </cell>
          <cell r="E172" t="e">
            <v>#N/A</v>
          </cell>
          <cell r="F172" t="e">
            <v>#N/A</v>
          </cell>
          <cell r="G172" t="e">
            <v>#N/A</v>
          </cell>
          <cell r="H172" t="e">
            <v>#N/A</v>
          </cell>
          <cell r="I172" t="e">
            <v>#N/A</v>
          </cell>
          <cell r="J172" t="e">
            <v>#N/A</v>
          </cell>
          <cell r="K172" t="e">
            <v>#N/A</v>
          </cell>
          <cell r="L172" t="e">
            <v>#N/A</v>
          </cell>
          <cell r="M172" t="e">
            <v>#N/A</v>
          </cell>
          <cell r="N172" t="e">
            <v>#N/A</v>
          </cell>
          <cell r="O172" t="e">
            <v>#N/A</v>
          </cell>
          <cell r="P172">
            <v>11.09</v>
          </cell>
          <cell r="Q172">
            <v>2.0410629999999998</v>
          </cell>
          <cell r="R172" t="e">
            <v>#N/A</v>
          </cell>
        </row>
        <row r="173">
          <cell r="A173">
            <v>40225</v>
          </cell>
          <cell r="B173">
            <v>40225</v>
          </cell>
          <cell r="C173" t="str">
            <v>Past</v>
          </cell>
          <cell r="D173">
            <v>11.34</v>
          </cell>
          <cell r="E173" t="e">
            <v>#N/A</v>
          </cell>
          <cell r="F173" t="e">
            <v>#N/A</v>
          </cell>
          <cell r="G173" t="e">
            <v>#N/A</v>
          </cell>
          <cell r="H173" t="e">
            <v>#N/A</v>
          </cell>
          <cell r="I173" t="e">
            <v>#N/A</v>
          </cell>
          <cell r="J173" t="e">
            <v>#N/A</v>
          </cell>
          <cell r="K173" t="e">
            <v>#N/A</v>
          </cell>
          <cell r="L173" t="e">
            <v>#N/A</v>
          </cell>
          <cell r="M173" t="e">
            <v>#N/A</v>
          </cell>
          <cell r="N173" t="e">
            <v>#N/A</v>
          </cell>
          <cell r="O173" t="e">
            <v>#N/A</v>
          </cell>
          <cell r="P173">
            <v>11.34</v>
          </cell>
          <cell r="Q173">
            <v>1.205857</v>
          </cell>
          <cell r="R173" t="e">
            <v>#N/A</v>
          </cell>
        </row>
        <row r="174">
          <cell r="A174">
            <v>40226</v>
          </cell>
          <cell r="B174">
            <v>40226</v>
          </cell>
          <cell r="C174" t="str">
            <v>Past</v>
          </cell>
          <cell r="D174">
            <v>11.39</v>
          </cell>
          <cell r="E174" t="e">
            <v>#N/A</v>
          </cell>
          <cell r="F174" t="e">
            <v>#N/A</v>
          </cell>
          <cell r="G174" t="e">
            <v>#N/A</v>
          </cell>
          <cell r="H174" t="e">
            <v>#N/A</v>
          </cell>
          <cell r="I174" t="e">
            <v>#N/A</v>
          </cell>
          <cell r="J174" t="e">
            <v>#N/A</v>
          </cell>
          <cell r="K174" t="e">
            <v>#N/A</v>
          </cell>
          <cell r="L174" t="e">
            <v>#N/A</v>
          </cell>
          <cell r="M174" t="e">
            <v>#N/A</v>
          </cell>
          <cell r="N174" t="e">
            <v>#N/A</v>
          </cell>
          <cell r="O174" t="e">
            <v>#N/A</v>
          </cell>
          <cell r="P174">
            <v>11.39</v>
          </cell>
          <cell r="Q174">
            <v>1.968005</v>
          </cell>
          <cell r="R174" t="e">
            <v>#N/A</v>
          </cell>
        </row>
        <row r="175">
          <cell r="A175">
            <v>40227</v>
          </cell>
          <cell r="B175">
            <v>40227</v>
          </cell>
          <cell r="C175" t="str">
            <v>Past</v>
          </cell>
          <cell r="D175">
            <v>11.4</v>
          </cell>
          <cell r="E175" t="e">
            <v>#N/A</v>
          </cell>
          <cell r="F175" t="e">
            <v>#N/A</v>
          </cell>
          <cell r="G175" t="e">
            <v>#N/A</v>
          </cell>
          <cell r="H175" t="e">
            <v>#N/A</v>
          </cell>
          <cell r="I175" t="e">
            <v>#N/A</v>
          </cell>
          <cell r="J175" t="e">
            <v>#N/A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  <cell r="O175" t="e">
            <v>#N/A</v>
          </cell>
          <cell r="P175">
            <v>11.4</v>
          </cell>
          <cell r="Q175">
            <v>1.733876</v>
          </cell>
          <cell r="R175" t="e">
            <v>#N/A</v>
          </cell>
        </row>
        <row r="176">
          <cell r="A176">
            <v>40228</v>
          </cell>
          <cell r="B176">
            <v>40228</v>
          </cell>
          <cell r="C176" t="str">
            <v>Past</v>
          </cell>
          <cell r="D176">
            <v>11.56</v>
          </cell>
          <cell r="E176" t="e">
            <v>#N/A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>
            <v>11.56</v>
          </cell>
          <cell r="Q176">
            <v>1.7208400000000001</v>
          </cell>
          <cell r="R176" t="e">
            <v>#N/A</v>
          </cell>
        </row>
        <row r="177">
          <cell r="A177">
            <v>40231</v>
          </cell>
          <cell r="B177">
            <v>40231</v>
          </cell>
          <cell r="C177" t="str">
            <v>Past</v>
          </cell>
          <cell r="D177">
            <v>11.49</v>
          </cell>
          <cell r="E177" t="e">
            <v>#N/A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>
            <v>11.49</v>
          </cell>
          <cell r="Q177">
            <v>0.80953000000000008</v>
          </cell>
          <cell r="R177" t="e">
            <v>#N/A</v>
          </cell>
        </row>
        <row r="178">
          <cell r="A178">
            <v>40232</v>
          </cell>
          <cell r="B178">
            <v>40232</v>
          </cell>
          <cell r="C178" t="str">
            <v>Past</v>
          </cell>
          <cell r="D178">
            <v>11.31</v>
          </cell>
          <cell r="E178" t="e">
            <v>#N/A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>
            <v>11.31</v>
          </cell>
          <cell r="Q178">
            <v>2.328532</v>
          </cell>
          <cell r="R178" t="e">
            <v>#N/A</v>
          </cell>
        </row>
        <row r="179">
          <cell r="A179">
            <v>40233</v>
          </cell>
          <cell r="B179">
            <v>40233</v>
          </cell>
          <cell r="C179" t="str">
            <v>Past</v>
          </cell>
          <cell r="D179">
            <v>11.28</v>
          </cell>
          <cell r="E179" t="e">
            <v>#N/A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>
            <v>11.28</v>
          </cell>
          <cell r="Q179">
            <v>2.9020509999999997</v>
          </cell>
          <cell r="R179" t="e">
            <v>#N/A</v>
          </cell>
        </row>
        <row r="180">
          <cell r="A180">
            <v>40234</v>
          </cell>
          <cell r="B180">
            <v>40234</v>
          </cell>
          <cell r="C180" t="str">
            <v>Past</v>
          </cell>
          <cell r="D180">
            <v>11.23</v>
          </cell>
          <cell r="E180" t="e">
            <v>#N/A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>
            <v>11.23</v>
          </cell>
          <cell r="Q180">
            <v>2.0132189999999999</v>
          </cell>
          <cell r="R180" t="e">
            <v>#N/A</v>
          </cell>
        </row>
        <row r="181">
          <cell r="A181">
            <v>40235</v>
          </cell>
          <cell r="B181">
            <v>40235</v>
          </cell>
          <cell r="C181" t="str">
            <v>Past</v>
          </cell>
          <cell r="D181">
            <v>11.11</v>
          </cell>
          <cell r="E181" t="e">
            <v>#N/A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>
            <v>11.11</v>
          </cell>
          <cell r="Q181">
            <v>2.0343549999999997</v>
          </cell>
          <cell r="R181" t="e">
            <v>#N/A</v>
          </cell>
        </row>
        <row r="182">
          <cell r="A182">
            <v>40238</v>
          </cell>
          <cell r="B182">
            <v>40238</v>
          </cell>
          <cell r="C182" t="str">
            <v>Past</v>
          </cell>
          <cell r="D182">
            <v>11.55</v>
          </cell>
          <cell r="E182" t="e">
            <v>#N/A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>
            <v>11.55</v>
          </cell>
          <cell r="Q182">
            <v>3.2926409999999997</v>
          </cell>
          <cell r="R182" t="e">
            <v>#N/A</v>
          </cell>
        </row>
        <row r="183">
          <cell r="A183">
            <v>40239</v>
          </cell>
          <cell r="B183">
            <v>40239</v>
          </cell>
          <cell r="C183" t="str">
            <v>Past</v>
          </cell>
          <cell r="D183">
            <v>11.68</v>
          </cell>
          <cell r="E183" t="e">
            <v>#N/A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>
            <v>11.68</v>
          </cell>
          <cell r="Q183">
            <v>1.8359489999999998</v>
          </cell>
          <cell r="R183" t="e">
            <v>#N/A</v>
          </cell>
        </row>
        <row r="184">
          <cell r="A184">
            <v>40240</v>
          </cell>
          <cell r="B184">
            <v>40240</v>
          </cell>
          <cell r="C184" t="str">
            <v>Past</v>
          </cell>
          <cell r="D184">
            <v>11.62</v>
          </cell>
          <cell r="E184" t="e">
            <v>#N/A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>
            <v>11.62</v>
          </cell>
          <cell r="Q184">
            <v>1.013161</v>
          </cell>
          <cell r="R184" t="e">
            <v>#N/A</v>
          </cell>
        </row>
        <row r="185">
          <cell r="A185">
            <v>40241</v>
          </cell>
          <cell r="B185">
            <v>40241</v>
          </cell>
          <cell r="C185" t="str">
            <v>Past</v>
          </cell>
          <cell r="D185">
            <v>11.6</v>
          </cell>
          <cell r="E185" t="e">
            <v>#N/A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>
            <v>11.6</v>
          </cell>
          <cell r="Q185">
            <v>0.86625799999999997</v>
          </cell>
          <cell r="R185" t="e">
            <v>#N/A</v>
          </cell>
        </row>
        <row r="186">
          <cell r="A186">
            <v>40242</v>
          </cell>
          <cell r="B186">
            <v>40242</v>
          </cell>
          <cell r="C186" t="str">
            <v>Past</v>
          </cell>
          <cell r="D186">
            <v>11.7</v>
          </cell>
          <cell r="E186" t="e">
            <v>#N/A</v>
          </cell>
          <cell r="F186" t="e">
            <v>#N/A</v>
          </cell>
          <cell r="G186" t="e">
            <v>#N/A</v>
          </cell>
          <cell r="H186" t="e">
            <v>#N/A</v>
          </cell>
          <cell r="I186" t="e">
            <v>#N/A</v>
          </cell>
          <cell r="J186" t="e">
            <v>#N/A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  <cell r="O186" t="e">
            <v>#N/A</v>
          </cell>
          <cell r="P186">
            <v>11.7</v>
          </cell>
          <cell r="Q186">
            <v>0.73514099999999993</v>
          </cell>
          <cell r="R186" t="e">
            <v>#N/A</v>
          </cell>
        </row>
        <row r="187">
          <cell r="A187">
            <v>40245</v>
          </cell>
          <cell r="B187">
            <v>40245</v>
          </cell>
          <cell r="C187" t="str">
            <v>Past</v>
          </cell>
          <cell r="D187">
            <v>11.65</v>
          </cell>
          <cell r="E187" t="e">
            <v>#N/A</v>
          </cell>
          <cell r="F187" t="e">
            <v>#N/A</v>
          </cell>
          <cell r="G187" t="e">
            <v>#N/A</v>
          </cell>
          <cell r="H187" t="e">
            <v>#N/A</v>
          </cell>
          <cell r="I187" t="e">
            <v>#N/A</v>
          </cell>
          <cell r="J187" t="e">
            <v>#N/A</v>
          </cell>
          <cell r="K187" t="e">
            <v>#N/A</v>
          </cell>
          <cell r="L187" t="e">
            <v>#N/A</v>
          </cell>
          <cell r="M187" t="e">
            <v>#N/A</v>
          </cell>
          <cell r="N187" t="e">
            <v>#N/A</v>
          </cell>
          <cell r="O187" t="e">
            <v>#N/A</v>
          </cell>
          <cell r="P187">
            <v>11.65</v>
          </cell>
          <cell r="Q187">
            <v>0.86661699999999997</v>
          </cell>
          <cell r="R187" t="e">
            <v>#N/A</v>
          </cell>
        </row>
        <row r="188">
          <cell r="A188">
            <v>40246</v>
          </cell>
          <cell r="B188">
            <v>40246</v>
          </cell>
          <cell r="C188" t="str">
            <v>Past</v>
          </cell>
          <cell r="D188">
            <v>11.72</v>
          </cell>
          <cell r="E188" t="e">
            <v>#N/A</v>
          </cell>
          <cell r="F188" t="e">
            <v>#N/A</v>
          </cell>
          <cell r="G188" t="e">
            <v>#N/A</v>
          </cell>
          <cell r="H188" t="e">
            <v>#N/A</v>
          </cell>
          <cell r="I188" t="e">
            <v>#N/A</v>
          </cell>
          <cell r="J188" t="e">
            <v>#N/A</v>
          </cell>
          <cell r="K188" t="e">
            <v>#N/A</v>
          </cell>
          <cell r="L188" t="e">
            <v>#N/A</v>
          </cell>
          <cell r="M188" t="e">
            <v>#N/A</v>
          </cell>
          <cell r="N188" t="e">
            <v>#N/A</v>
          </cell>
          <cell r="O188" t="e">
            <v>#N/A</v>
          </cell>
          <cell r="P188">
            <v>11.72</v>
          </cell>
          <cell r="Q188">
            <v>1.2221309999999999</v>
          </cell>
          <cell r="R188" t="e">
            <v>#N/A</v>
          </cell>
        </row>
        <row r="189">
          <cell r="A189">
            <v>40247</v>
          </cell>
          <cell r="B189">
            <v>40247</v>
          </cell>
          <cell r="C189" t="str">
            <v>Past</v>
          </cell>
          <cell r="D189">
            <v>11.6</v>
          </cell>
          <cell r="E189" t="e">
            <v>#N/A</v>
          </cell>
          <cell r="F189" t="e">
            <v>#N/A</v>
          </cell>
          <cell r="G189" t="e">
            <v>#N/A</v>
          </cell>
          <cell r="H189" t="e">
            <v>#N/A</v>
          </cell>
          <cell r="I189" t="e">
            <v>#N/A</v>
          </cell>
          <cell r="J189" t="e">
            <v>#N/A</v>
          </cell>
          <cell r="K189" t="e">
            <v>#N/A</v>
          </cell>
          <cell r="L189" t="e">
            <v>#N/A</v>
          </cell>
          <cell r="M189" t="e">
            <v>#N/A</v>
          </cell>
          <cell r="N189" t="e">
            <v>#N/A</v>
          </cell>
          <cell r="O189" t="e">
            <v>#N/A</v>
          </cell>
          <cell r="P189">
            <v>11.6</v>
          </cell>
          <cell r="Q189">
            <v>2.0219130000000001</v>
          </cell>
          <cell r="R189" t="e">
            <v>#N/A</v>
          </cell>
        </row>
        <row r="190">
          <cell r="A190">
            <v>40248</v>
          </cell>
          <cell r="B190">
            <v>40248</v>
          </cell>
          <cell r="C190" t="str">
            <v>Past</v>
          </cell>
          <cell r="D190">
            <v>11.72</v>
          </cell>
          <cell r="E190" t="e">
            <v>#N/A</v>
          </cell>
          <cell r="F190" t="e">
            <v>#N/A</v>
          </cell>
          <cell r="G190" t="e">
            <v>#N/A</v>
          </cell>
          <cell r="H190" t="e">
            <v>#N/A</v>
          </cell>
          <cell r="I190" t="e">
            <v>#N/A</v>
          </cell>
          <cell r="J190" t="e">
            <v>#N/A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  <cell r="O190" t="e">
            <v>#N/A</v>
          </cell>
          <cell r="P190">
            <v>11.72</v>
          </cell>
          <cell r="Q190">
            <v>1.8552769999999998</v>
          </cell>
          <cell r="R190" t="e">
            <v>#N/A</v>
          </cell>
        </row>
        <row r="191">
          <cell r="A191">
            <v>40249</v>
          </cell>
          <cell r="B191">
            <v>40249</v>
          </cell>
          <cell r="C191" t="str">
            <v>Past</v>
          </cell>
          <cell r="D191">
            <v>11.69</v>
          </cell>
          <cell r="E191" t="e">
            <v>#N/A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>
            <v>11.69</v>
          </cell>
          <cell r="Q191">
            <v>1.565866</v>
          </cell>
          <cell r="R191" t="e">
            <v>#N/A</v>
          </cell>
        </row>
        <row r="192">
          <cell r="A192">
            <v>40252</v>
          </cell>
          <cell r="B192">
            <v>40252</v>
          </cell>
          <cell r="C192" t="str">
            <v>Past</v>
          </cell>
          <cell r="D192">
            <v>11.76</v>
          </cell>
          <cell r="E192" t="e">
            <v>#N/A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>
            <v>11.76</v>
          </cell>
          <cell r="Q192">
            <v>1.1150229999999999</v>
          </cell>
          <cell r="R192" t="e">
            <v>#N/A</v>
          </cell>
        </row>
        <row r="193">
          <cell r="A193">
            <v>40253</v>
          </cell>
          <cell r="B193">
            <v>40253</v>
          </cell>
          <cell r="C193" t="str">
            <v>Past</v>
          </cell>
          <cell r="D193">
            <v>11.93</v>
          </cell>
          <cell r="E193" t="e">
            <v>#N/A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>
            <v>11.93</v>
          </cell>
          <cell r="Q193">
            <v>1.731938</v>
          </cell>
          <cell r="R193" t="e">
            <v>#N/A</v>
          </cell>
        </row>
        <row r="194">
          <cell r="A194">
            <v>40254</v>
          </cell>
          <cell r="B194">
            <v>40254</v>
          </cell>
          <cell r="C194" t="str">
            <v>Past</v>
          </cell>
          <cell r="D194">
            <v>12.02</v>
          </cell>
          <cell r="E194" t="e">
            <v>#N/A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>
            <v>12.02</v>
          </cell>
          <cell r="Q194">
            <v>1.4566429999999999</v>
          </cell>
          <cell r="R194" t="e">
            <v>#N/A</v>
          </cell>
        </row>
        <row r="195">
          <cell r="A195">
            <v>40255</v>
          </cell>
          <cell r="B195">
            <v>40255</v>
          </cell>
          <cell r="C195" t="str">
            <v>Past</v>
          </cell>
          <cell r="D195">
            <v>12.03</v>
          </cell>
          <cell r="E195" t="e">
            <v>#N/A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>
            <v>12.03</v>
          </cell>
          <cell r="Q195">
            <v>0.810307</v>
          </cell>
          <cell r="R195" t="e">
            <v>#N/A</v>
          </cell>
        </row>
        <row r="196">
          <cell r="A196">
            <v>40256</v>
          </cell>
          <cell r="B196">
            <v>40256</v>
          </cell>
          <cell r="C196" t="str">
            <v>Past</v>
          </cell>
          <cell r="D196">
            <v>12</v>
          </cell>
          <cell r="E196" t="e">
            <v>#N/A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>
            <v>12</v>
          </cell>
          <cell r="Q196">
            <v>1.940742</v>
          </cell>
          <cell r="R196" t="e">
            <v>#N/A</v>
          </cell>
        </row>
        <row r="197">
          <cell r="A197">
            <v>40259</v>
          </cell>
          <cell r="B197">
            <v>40259</v>
          </cell>
          <cell r="C197" t="str">
            <v>Past</v>
          </cell>
          <cell r="D197">
            <v>12.07</v>
          </cell>
          <cell r="E197" t="e">
            <v>#N/A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>
            <v>12.07</v>
          </cell>
          <cell r="Q197">
            <v>2.8972189999999998</v>
          </cell>
          <cell r="R197" t="e">
            <v>#N/A</v>
          </cell>
        </row>
        <row r="198">
          <cell r="A198">
            <v>40260</v>
          </cell>
          <cell r="B198">
            <v>40260</v>
          </cell>
          <cell r="C198" t="str">
            <v>Past</v>
          </cell>
          <cell r="D198">
            <v>12.1</v>
          </cell>
          <cell r="E198" t="e">
            <v>#N/A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>
            <v>12.1</v>
          </cell>
          <cell r="Q198">
            <v>1.913257</v>
          </cell>
          <cell r="R198" t="e">
            <v>#N/A</v>
          </cell>
        </row>
        <row r="199">
          <cell r="A199">
            <v>40261</v>
          </cell>
          <cell r="B199">
            <v>40261</v>
          </cell>
          <cell r="C199" t="str">
            <v>Past</v>
          </cell>
          <cell r="D199">
            <v>11.93</v>
          </cell>
          <cell r="E199" t="e">
            <v>#N/A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>
            <v>11.93</v>
          </cell>
          <cell r="Q199">
            <v>1.8157200000000002</v>
          </cell>
          <cell r="R199" t="e">
            <v>#N/A</v>
          </cell>
        </row>
        <row r="200">
          <cell r="A200">
            <v>40262</v>
          </cell>
          <cell r="B200">
            <v>40262</v>
          </cell>
          <cell r="C200" t="str">
            <v>Past</v>
          </cell>
          <cell r="D200">
            <v>11.8</v>
          </cell>
          <cell r="E200" t="e">
            <v>#N/A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>
            <v>11.8</v>
          </cell>
          <cell r="Q200">
            <v>1.4980149999999999</v>
          </cell>
          <cell r="R200" t="e">
            <v>#N/A</v>
          </cell>
        </row>
        <row r="201">
          <cell r="A201">
            <v>40263</v>
          </cell>
          <cell r="B201">
            <v>40263</v>
          </cell>
          <cell r="C201" t="str">
            <v>Past</v>
          </cell>
          <cell r="D201">
            <v>12.2</v>
          </cell>
          <cell r="E201" t="e">
            <v>#N/A</v>
          </cell>
          <cell r="F201" t="e">
            <v>#N/A</v>
          </cell>
          <cell r="G201" t="e">
            <v>#N/A</v>
          </cell>
          <cell r="H201" t="e">
            <v>#N/A</v>
          </cell>
          <cell r="I201" t="e">
            <v>#N/A</v>
          </cell>
          <cell r="J201" t="e">
            <v>#N/A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  <cell r="O201" t="e">
            <v>#N/A</v>
          </cell>
          <cell r="P201">
            <v>12.2</v>
          </cell>
          <cell r="Q201">
            <v>3.5113669999999999</v>
          </cell>
          <cell r="R201" t="e">
            <v>#N/A</v>
          </cell>
        </row>
        <row r="202">
          <cell r="A202">
            <v>40266</v>
          </cell>
          <cell r="B202">
            <v>40266</v>
          </cell>
          <cell r="C202" t="str">
            <v>Past</v>
          </cell>
          <cell r="D202">
            <v>12.33</v>
          </cell>
          <cell r="E202" t="e">
            <v>#N/A</v>
          </cell>
          <cell r="F202" t="e">
            <v>#N/A</v>
          </cell>
          <cell r="G202" t="e">
            <v>#N/A</v>
          </cell>
          <cell r="H202" t="e">
            <v>#N/A</v>
          </cell>
          <cell r="I202" t="e">
            <v>#N/A</v>
          </cell>
          <cell r="J202" t="e">
            <v>#N/A</v>
          </cell>
          <cell r="K202" t="e">
            <v>#N/A</v>
          </cell>
          <cell r="L202" t="e">
            <v>#N/A</v>
          </cell>
          <cell r="M202" t="e">
            <v>#N/A</v>
          </cell>
          <cell r="N202" t="e">
            <v>#N/A</v>
          </cell>
          <cell r="O202" t="e">
            <v>#N/A</v>
          </cell>
          <cell r="P202">
            <v>12.33</v>
          </cell>
          <cell r="Q202">
            <v>0.98394199999999998</v>
          </cell>
          <cell r="R202" t="e">
            <v>#N/A</v>
          </cell>
        </row>
        <row r="203">
          <cell r="A203">
            <v>40267</v>
          </cell>
          <cell r="B203">
            <v>40267</v>
          </cell>
          <cell r="C203" t="str">
            <v>Past</v>
          </cell>
          <cell r="D203">
            <v>12.39</v>
          </cell>
          <cell r="E203" t="e">
            <v>#N/A</v>
          </cell>
          <cell r="F203" t="e">
            <v>#N/A</v>
          </cell>
          <cell r="G203" t="e">
            <v>#N/A</v>
          </cell>
          <cell r="H203" t="e">
            <v>#N/A</v>
          </cell>
          <cell r="I203" t="e">
            <v>#N/A</v>
          </cell>
          <cell r="J203" t="e">
            <v>#N/A</v>
          </cell>
          <cell r="K203" t="e">
            <v>#N/A</v>
          </cell>
          <cell r="L203" t="e">
            <v>#N/A</v>
          </cell>
          <cell r="M203" t="e">
            <v>#N/A</v>
          </cell>
          <cell r="N203" t="e">
            <v>#N/A</v>
          </cell>
          <cell r="O203" t="e">
            <v>#N/A</v>
          </cell>
          <cell r="P203">
            <v>12.39</v>
          </cell>
          <cell r="Q203">
            <v>1.0866149999999999</v>
          </cell>
          <cell r="R203" t="e">
            <v>#N/A</v>
          </cell>
        </row>
        <row r="204">
          <cell r="A204">
            <v>40268</v>
          </cell>
          <cell r="B204">
            <v>40268</v>
          </cell>
          <cell r="C204" t="str">
            <v>Past</v>
          </cell>
          <cell r="D204">
            <v>12.33</v>
          </cell>
          <cell r="E204" t="e">
            <v>#N/A</v>
          </cell>
          <cell r="F204" t="e">
            <v>#N/A</v>
          </cell>
          <cell r="G204" t="e">
            <v>#N/A</v>
          </cell>
          <cell r="H204" t="e">
            <v>#N/A</v>
          </cell>
          <cell r="I204" t="e">
            <v>#N/A</v>
          </cell>
          <cell r="J204" t="e">
            <v>#N/A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  <cell r="O204" t="e">
            <v>#N/A</v>
          </cell>
          <cell r="P204">
            <v>12.33</v>
          </cell>
          <cell r="Q204">
            <v>1.941349</v>
          </cell>
          <cell r="R204" t="e">
            <v>#N/A</v>
          </cell>
        </row>
        <row r="205">
          <cell r="A205">
            <v>40269</v>
          </cell>
          <cell r="B205">
            <v>40269</v>
          </cell>
          <cell r="C205" t="str">
            <v>Past</v>
          </cell>
          <cell r="D205">
            <v>12.37</v>
          </cell>
          <cell r="E205" t="e">
            <v>#N/A</v>
          </cell>
          <cell r="F205" t="e">
            <v>#N/A</v>
          </cell>
          <cell r="G205" t="e">
            <v>#N/A</v>
          </cell>
          <cell r="H205" t="e">
            <v>#N/A</v>
          </cell>
          <cell r="I205" t="e">
            <v>#N/A</v>
          </cell>
          <cell r="J205" t="e">
            <v>#N/A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  <cell r="O205" t="e">
            <v>#N/A</v>
          </cell>
          <cell r="P205">
            <v>12.37</v>
          </cell>
          <cell r="Q205">
            <v>1.3437249999999998</v>
          </cell>
          <cell r="R205" t="e">
            <v>#N/A</v>
          </cell>
        </row>
        <row r="206">
          <cell r="A206">
            <v>40273</v>
          </cell>
          <cell r="B206">
            <v>40273</v>
          </cell>
          <cell r="C206" t="str">
            <v>Past</v>
          </cell>
          <cell r="D206">
            <v>12.49</v>
          </cell>
          <cell r="E206" t="e">
            <v>#N/A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>
            <v>12.49</v>
          </cell>
          <cell r="Q206">
            <v>0.89013000000000009</v>
          </cell>
          <cell r="R206" t="e">
            <v>#N/A</v>
          </cell>
        </row>
        <row r="207">
          <cell r="A207">
            <v>40274</v>
          </cell>
          <cell r="B207">
            <v>40274</v>
          </cell>
          <cell r="C207" t="str">
            <v>Past</v>
          </cell>
          <cell r="D207">
            <v>12.58</v>
          </cell>
          <cell r="E207" t="e">
            <v>#N/A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>
            <v>12.58</v>
          </cell>
          <cell r="Q207">
            <v>1.018416</v>
          </cell>
          <cell r="R207" t="e">
            <v>#N/A</v>
          </cell>
        </row>
        <row r="208">
          <cell r="A208">
            <v>40275</v>
          </cell>
          <cell r="B208">
            <v>40275</v>
          </cell>
          <cell r="C208" t="str">
            <v>Past</v>
          </cell>
          <cell r="D208">
            <v>12.44</v>
          </cell>
          <cell r="E208" t="e">
            <v>#N/A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>
            <v>12.44</v>
          </cell>
          <cell r="Q208">
            <v>0.93972099999999992</v>
          </cell>
          <cell r="R208" t="e">
            <v>#N/A</v>
          </cell>
        </row>
        <row r="209">
          <cell r="A209">
            <v>40276</v>
          </cell>
          <cell r="B209">
            <v>40276</v>
          </cell>
          <cell r="C209" t="str">
            <v>Past</v>
          </cell>
          <cell r="D209">
            <v>12.3</v>
          </cell>
          <cell r="E209" t="e">
            <v>#N/A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>
            <v>12.3</v>
          </cell>
          <cell r="Q209">
            <v>0.7571500000000001</v>
          </cell>
          <cell r="R209" t="e">
            <v>#N/A</v>
          </cell>
        </row>
        <row r="210">
          <cell r="A210">
            <v>40277</v>
          </cell>
          <cell r="B210">
            <v>40277</v>
          </cell>
          <cell r="C210" t="str">
            <v>Past</v>
          </cell>
          <cell r="D210">
            <v>12.29</v>
          </cell>
          <cell r="E210" t="e">
            <v>#N/A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>
            <v>12.29</v>
          </cell>
          <cell r="Q210">
            <v>1.188437</v>
          </cell>
          <cell r="R210" t="e">
            <v>#N/A</v>
          </cell>
        </row>
        <row r="211">
          <cell r="A211">
            <v>40280</v>
          </cell>
          <cell r="B211">
            <v>40280</v>
          </cell>
          <cell r="C211" t="str">
            <v>Past</v>
          </cell>
          <cell r="D211">
            <v>12.45</v>
          </cell>
          <cell r="E211" t="e">
            <v>#N/A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>
            <v>12.45</v>
          </cell>
          <cell r="Q211">
            <v>1.376951</v>
          </cell>
          <cell r="R211" t="e">
            <v>#N/A</v>
          </cell>
        </row>
        <row r="212">
          <cell r="A212">
            <v>40281</v>
          </cell>
          <cell r="B212">
            <v>40281</v>
          </cell>
          <cell r="C212" t="str">
            <v>Past</v>
          </cell>
          <cell r="D212">
            <v>12.35</v>
          </cell>
          <cell r="E212" t="e">
            <v>#N/A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>
            <v>12.35</v>
          </cell>
          <cell r="Q212">
            <v>1.2989089999999999</v>
          </cell>
          <cell r="R212" t="e">
            <v>#N/A</v>
          </cell>
        </row>
        <row r="213">
          <cell r="A213">
            <v>40282</v>
          </cell>
          <cell r="B213">
            <v>40282</v>
          </cell>
          <cell r="C213" t="str">
            <v>Past</v>
          </cell>
          <cell r="D213">
            <v>12.52</v>
          </cell>
          <cell r="E213" t="e">
            <v>#N/A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>
            <v>12.52</v>
          </cell>
          <cell r="Q213">
            <v>2.1197759999999999</v>
          </cell>
          <cell r="R213" t="e">
            <v>#N/A</v>
          </cell>
        </row>
        <row r="214">
          <cell r="A214">
            <v>40283</v>
          </cell>
          <cell r="B214">
            <v>40283</v>
          </cell>
          <cell r="C214" t="str">
            <v>Past</v>
          </cell>
          <cell r="D214">
            <v>12.46</v>
          </cell>
          <cell r="E214" t="e">
            <v>#N/A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>
            <v>12.46</v>
          </cell>
          <cell r="Q214">
            <v>1.5679889999999999</v>
          </cell>
          <cell r="R214" t="e">
            <v>#N/A</v>
          </cell>
        </row>
        <row r="215">
          <cell r="A215">
            <v>40284</v>
          </cell>
          <cell r="B215">
            <v>40284</v>
          </cell>
          <cell r="C215" t="str">
            <v>Past</v>
          </cell>
          <cell r="D215">
            <v>12.26</v>
          </cell>
          <cell r="E215" t="e">
            <v>#N/A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>
            <v>12.26</v>
          </cell>
          <cell r="Q215">
            <v>1.6249600000000002</v>
          </cell>
          <cell r="R215" t="e">
            <v>#N/A</v>
          </cell>
        </row>
        <row r="216">
          <cell r="A216">
            <v>40287</v>
          </cell>
          <cell r="B216">
            <v>40287</v>
          </cell>
          <cell r="C216" t="str">
            <v>Past</v>
          </cell>
          <cell r="D216">
            <v>12.32</v>
          </cell>
          <cell r="E216" t="e">
            <v>#N/A</v>
          </cell>
          <cell r="F216" t="e">
            <v>#N/A</v>
          </cell>
          <cell r="G216" t="e">
            <v>#N/A</v>
          </cell>
          <cell r="H216" t="e">
            <v>#N/A</v>
          </cell>
          <cell r="I216" t="e">
            <v>#N/A</v>
          </cell>
          <cell r="J216" t="e">
            <v>#N/A</v>
          </cell>
          <cell r="K216" t="e">
            <v>#N/A</v>
          </cell>
          <cell r="L216" t="e">
            <v>#N/A</v>
          </cell>
          <cell r="M216" t="e">
            <v>#N/A</v>
          </cell>
          <cell r="N216" t="e">
            <v>#N/A</v>
          </cell>
          <cell r="O216" t="e">
            <v>#N/A</v>
          </cell>
          <cell r="P216">
            <v>12.32</v>
          </cell>
          <cell r="Q216">
            <v>2.0003889999999998</v>
          </cell>
          <cell r="R216" t="e">
            <v>#N/A</v>
          </cell>
        </row>
        <row r="217">
          <cell r="A217">
            <v>40288</v>
          </cell>
          <cell r="B217">
            <v>40288</v>
          </cell>
          <cell r="C217" t="str">
            <v>Past</v>
          </cell>
          <cell r="D217">
            <v>12.52</v>
          </cell>
          <cell r="E217" t="e">
            <v>#N/A</v>
          </cell>
          <cell r="F217" t="e">
            <v>#N/A</v>
          </cell>
          <cell r="G217" t="e">
            <v>#N/A</v>
          </cell>
          <cell r="H217" t="e">
            <v>#N/A</v>
          </cell>
          <cell r="I217" t="e">
            <v>#N/A</v>
          </cell>
          <cell r="J217" t="e">
            <v>#N/A</v>
          </cell>
          <cell r="K217" t="e">
            <v>#N/A</v>
          </cell>
          <cell r="L217" t="e">
            <v>#N/A</v>
          </cell>
          <cell r="M217" t="e">
            <v>#N/A</v>
          </cell>
          <cell r="N217" t="e">
            <v>#N/A</v>
          </cell>
          <cell r="O217" t="e">
            <v>#N/A</v>
          </cell>
          <cell r="P217">
            <v>12.52</v>
          </cell>
          <cell r="Q217">
            <v>1.9799049999999998</v>
          </cell>
          <cell r="R217" t="e">
            <v>#N/A</v>
          </cell>
        </row>
        <row r="218">
          <cell r="A218">
            <v>40289</v>
          </cell>
          <cell r="B218">
            <v>40289</v>
          </cell>
          <cell r="C218" t="str">
            <v>Past</v>
          </cell>
          <cell r="D218">
            <v>12.68</v>
          </cell>
          <cell r="E218" t="e">
            <v>#N/A</v>
          </cell>
          <cell r="F218" t="e">
            <v>#N/A</v>
          </cell>
          <cell r="G218" t="e">
            <v>#N/A</v>
          </cell>
          <cell r="H218" t="e">
            <v>#N/A</v>
          </cell>
          <cell r="I218" t="e">
            <v>#N/A</v>
          </cell>
          <cell r="J218" t="e">
            <v>#N/A</v>
          </cell>
          <cell r="K218" t="e">
            <v>#N/A</v>
          </cell>
          <cell r="L218" t="e">
            <v>#N/A</v>
          </cell>
          <cell r="M218" t="e">
            <v>#N/A</v>
          </cell>
          <cell r="N218" t="e">
            <v>#N/A</v>
          </cell>
          <cell r="O218" t="e">
            <v>#N/A</v>
          </cell>
          <cell r="P218">
            <v>12.68</v>
          </cell>
          <cell r="Q218">
            <v>1.3910549999999999</v>
          </cell>
          <cell r="R218" t="e">
            <v>#N/A</v>
          </cell>
        </row>
        <row r="219">
          <cell r="A219">
            <v>40290</v>
          </cell>
          <cell r="B219">
            <v>40290</v>
          </cell>
          <cell r="C219" t="str">
            <v>Past</v>
          </cell>
          <cell r="D219">
            <v>12.67</v>
          </cell>
          <cell r="E219" t="e">
            <v>#N/A</v>
          </cell>
          <cell r="F219" t="e">
            <v>#N/A</v>
          </cell>
          <cell r="G219" t="e">
            <v>#N/A</v>
          </cell>
          <cell r="H219" t="e">
            <v>#N/A</v>
          </cell>
          <cell r="I219" t="e">
            <v>#N/A</v>
          </cell>
          <cell r="J219" t="e">
            <v>#N/A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  <cell r="O219" t="e">
            <v>#N/A</v>
          </cell>
          <cell r="P219">
            <v>12.67</v>
          </cell>
          <cell r="Q219">
            <v>1.328667</v>
          </cell>
          <cell r="R219" t="e">
            <v>#N/A</v>
          </cell>
        </row>
        <row r="220">
          <cell r="A220">
            <v>40291</v>
          </cell>
          <cell r="B220">
            <v>40291</v>
          </cell>
          <cell r="C220" t="str">
            <v>Past</v>
          </cell>
          <cell r="D220">
            <v>12.8</v>
          </cell>
          <cell r="E220" t="e">
            <v>#N/A</v>
          </cell>
          <cell r="F220" t="e">
            <v>#N/A</v>
          </cell>
          <cell r="G220" t="e">
            <v>#N/A</v>
          </cell>
          <cell r="H220" t="e">
            <v>#N/A</v>
          </cell>
          <cell r="I220" t="e">
            <v>#N/A</v>
          </cell>
          <cell r="J220" t="e">
            <v>#N/A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  <cell r="O220" t="e">
            <v>#N/A</v>
          </cell>
          <cell r="P220">
            <v>12.8</v>
          </cell>
          <cell r="Q220">
            <v>1.840479</v>
          </cell>
          <cell r="R220" t="e">
            <v>#N/A</v>
          </cell>
        </row>
        <row r="221">
          <cell r="A221">
            <v>40294</v>
          </cell>
          <cell r="B221">
            <v>40294</v>
          </cell>
          <cell r="C221" t="str">
            <v>Past</v>
          </cell>
          <cell r="D221">
            <v>12.83</v>
          </cell>
          <cell r="E221" t="e">
            <v>#N/A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>
            <v>12.83</v>
          </cell>
          <cell r="Q221">
            <v>1.8009769999999998</v>
          </cell>
          <cell r="R221" t="e">
            <v>#N/A</v>
          </cell>
        </row>
        <row r="222">
          <cell r="A222">
            <v>40295</v>
          </cell>
          <cell r="B222">
            <v>40295</v>
          </cell>
          <cell r="C222" t="str">
            <v>Past</v>
          </cell>
          <cell r="D222">
            <v>12.5</v>
          </cell>
          <cell r="E222" t="e">
            <v>#N/A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>
            <v>12.5</v>
          </cell>
          <cell r="Q222">
            <v>2.283982</v>
          </cell>
          <cell r="R222" t="e">
            <v>#N/A</v>
          </cell>
        </row>
        <row r="223">
          <cell r="A223">
            <v>40296</v>
          </cell>
          <cell r="B223">
            <v>40296</v>
          </cell>
          <cell r="C223" t="str">
            <v>Past</v>
          </cell>
          <cell r="D223">
            <v>12.57</v>
          </cell>
          <cell r="E223" t="e">
            <v>#N/A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>
            <v>12.57</v>
          </cell>
          <cell r="Q223">
            <v>1.881316</v>
          </cell>
          <cell r="R223" t="e">
            <v>#N/A</v>
          </cell>
        </row>
        <row r="224">
          <cell r="A224">
            <v>40297</v>
          </cell>
          <cell r="B224">
            <v>40297</v>
          </cell>
          <cell r="C224" t="str">
            <v>Past</v>
          </cell>
          <cell r="D224">
            <v>12.61</v>
          </cell>
          <cell r="E224" t="e">
            <v>#N/A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>
            <v>12.61</v>
          </cell>
          <cell r="Q224">
            <v>1.0299</v>
          </cell>
          <cell r="R224" t="e">
            <v>#N/A</v>
          </cell>
        </row>
        <row r="225">
          <cell r="A225">
            <v>40298</v>
          </cell>
          <cell r="B225">
            <v>40298</v>
          </cell>
          <cell r="C225" t="str">
            <v>Past</v>
          </cell>
          <cell r="D225">
            <v>12.49</v>
          </cell>
          <cell r="E225" t="e">
            <v>#N/A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>
            <v>12.49</v>
          </cell>
          <cell r="Q225">
            <v>1.550983</v>
          </cell>
          <cell r="R225" t="e">
            <v>#N/A</v>
          </cell>
        </row>
        <row r="226">
          <cell r="A226">
            <v>40301</v>
          </cell>
          <cell r="B226">
            <v>40301</v>
          </cell>
          <cell r="C226" t="str">
            <v>Past</v>
          </cell>
          <cell r="D226">
            <v>12.74</v>
          </cell>
          <cell r="E226" t="e">
            <v>#N/A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>
            <v>12.74</v>
          </cell>
          <cell r="Q226">
            <v>0.98091000000000006</v>
          </cell>
          <cell r="R226" t="e">
            <v>#N/A</v>
          </cell>
        </row>
        <row r="227">
          <cell r="A227">
            <v>40302</v>
          </cell>
          <cell r="B227">
            <v>40302</v>
          </cell>
          <cell r="C227" t="str">
            <v>Past</v>
          </cell>
          <cell r="D227">
            <v>12.55</v>
          </cell>
          <cell r="E227" t="e">
            <v>#N/A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>
            <v>12.55</v>
          </cell>
          <cell r="Q227">
            <v>2.0831219999999999</v>
          </cell>
          <cell r="R227" t="e">
            <v>#N/A</v>
          </cell>
        </row>
        <row r="228">
          <cell r="A228">
            <v>40303</v>
          </cell>
          <cell r="B228">
            <v>40303</v>
          </cell>
          <cell r="C228" t="str">
            <v>Past</v>
          </cell>
          <cell r="D228">
            <v>12.32</v>
          </cell>
          <cell r="E228" t="e">
            <v>#N/A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>
            <v>12.32</v>
          </cell>
          <cell r="Q228">
            <v>1.9299929999999998</v>
          </cell>
          <cell r="R228" t="e">
            <v>#N/A</v>
          </cell>
        </row>
        <row r="229">
          <cell r="A229">
            <v>40304</v>
          </cell>
          <cell r="B229">
            <v>40304</v>
          </cell>
          <cell r="C229" t="str">
            <v>Past</v>
          </cell>
          <cell r="D229">
            <v>11.84</v>
          </cell>
          <cell r="E229" t="e">
            <v>#N/A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>
            <v>11.84</v>
          </cell>
          <cell r="Q229">
            <v>3.275773</v>
          </cell>
          <cell r="R229" t="e">
            <v>#N/A</v>
          </cell>
        </row>
        <row r="230">
          <cell r="A230">
            <v>40305</v>
          </cell>
          <cell r="B230">
            <v>40305</v>
          </cell>
          <cell r="C230" t="str">
            <v>Past</v>
          </cell>
          <cell r="D230">
            <v>11.95</v>
          </cell>
          <cell r="E230" t="e">
            <v>#N/A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>
            <v>11.95</v>
          </cell>
          <cell r="Q230">
            <v>3.9817559999999999</v>
          </cell>
          <cell r="R230" t="e">
            <v>#N/A</v>
          </cell>
        </row>
        <row r="231">
          <cell r="A231">
            <v>40308</v>
          </cell>
          <cell r="B231">
            <v>40308</v>
          </cell>
          <cell r="C231" t="str">
            <v>Past</v>
          </cell>
          <cell r="D231">
            <v>12.42</v>
          </cell>
          <cell r="E231" t="e">
            <v>#N/A</v>
          </cell>
          <cell r="F231" t="e">
            <v>#N/A</v>
          </cell>
          <cell r="G231" t="e">
            <v>#N/A</v>
          </cell>
          <cell r="H231" t="e">
            <v>#N/A</v>
          </cell>
          <cell r="I231" t="e">
            <v>#N/A</v>
          </cell>
          <cell r="J231" t="e">
            <v>#N/A</v>
          </cell>
          <cell r="K231" t="e">
            <v>#N/A</v>
          </cell>
          <cell r="L231" t="e">
            <v>#N/A</v>
          </cell>
          <cell r="M231" t="e">
            <v>#N/A</v>
          </cell>
          <cell r="N231" t="e">
            <v>#N/A</v>
          </cell>
          <cell r="O231" t="e">
            <v>#N/A</v>
          </cell>
          <cell r="P231">
            <v>12.42</v>
          </cell>
          <cell r="Q231">
            <v>1.6023179999999999</v>
          </cell>
          <cell r="R231" t="e">
            <v>#N/A</v>
          </cell>
        </row>
        <row r="232">
          <cell r="A232">
            <v>40309</v>
          </cell>
          <cell r="B232">
            <v>40309</v>
          </cell>
          <cell r="C232" t="str">
            <v>Past</v>
          </cell>
          <cell r="D232">
            <v>12.46</v>
          </cell>
          <cell r="E232" t="e">
            <v>#N/A</v>
          </cell>
          <cell r="F232" t="e">
            <v>#N/A</v>
          </cell>
          <cell r="G232" t="e">
            <v>#N/A</v>
          </cell>
          <cell r="H232" t="e">
            <v>#N/A</v>
          </cell>
          <cell r="I232" t="e">
            <v>#N/A</v>
          </cell>
          <cell r="J232" t="e">
            <v>#N/A</v>
          </cell>
          <cell r="K232" t="e">
            <v>#N/A</v>
          </cell>
          <cell r="L232" t="e">
            <v>#N/A</v>
          </cell>
          <cell r="M232" t="e">
            <v>#N/A</v>
          </cell>
          <cell r="N232" t="e">
            <v>#N/A</v>
          </cell>
          <cell r="O232" t="e">
            <v>#N/A</v>
          </cell>
          <cell r="P232">
            <v>12.46</v>
          </cell>
          <cell r="Q232">
            <v>1.645672</v>
          </cell>
          <cell r="R232" t="e">
            <v>#N/A</v>
          </cell>
        </row>
        <row r="233">
          <cell r="A233">
            <v>40310</v>
          </cell>
          <cell r="B233">
            <v>40310</v>
          </cell>
          <cell r="C233" t="str">
            <v>Past</v>
          </cell>
          <cell r="D233">
            <v>12.74</v>
          </cell>
          <cell r="E233" t="e">
            <v>#N/A</v>
          </cell>
          <cell r="F233" t="e">
            <v>#N/A</v>
          </cell>
          <cell r="G233" t="e">
            <v>#N/A</v>
          </cell>
          <cell r="H233" t="e">
            <v>#N/A</v>
          </cell>
          <cell r="I233" t="e">
            <v>#N/A</v>
          </cell>
          <cell r="J233" t="e">
            <v>#N/A</v>
          </cell>
          <cell r="K233" t="e">
            <v>#N/A</v>
          </cell>
          <cell r="L233" t="e">
            <v>#N/A</v>
          </cell>
          <cell r="M233" t="e">
            <v>#N/A</v>
          </cell>
          <cell r="N233" t="e">
            <v>#N/A</v>
          </cell>
          <cell r="O233" t="e">
            <v>#N/A</v>
          </cell>
          <cell r="P233">
            <v>12.74</v>
          </cell>
          <cell r="Q233">
            <v>1.823553</v>
          </cell>
          <cell r="R233" t="e">
            <v>#N/A</v>
          </cell>
        </row>
        <row r="234">
          <cell r="A234">
            <v>40311</v>
          </cell>
          <cell r="B234">
            <v>40311</v>
          </cell>
          <cell r="C234" t="str">
            <v>Past</v>
          </cell>
          <cell r="D234">
            <v>12.56</v>
          </cell>
          <cell r="E234" t="e">
            <v>#N/A</v>
          </cell>
          <cell r="F234" t="e">
            <v>#N/A</v>
          </cell>
          <cell r="G234" t="e">
            <v>#N/A</v>
          </cell>
          <cell r="H234" t="e">
            <v>#N/A</v>
          </cell>
          <cell r="I234" t="e">
            <v>#N/A</v>
          </cell>
          <cell r="J234" t="e">
            <v>#N/A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  <cell r="O234" t="e">
            <v>#N/A</v>
          </cell>
          <cell r="P234">
            <v>12.56</v>
          </cell>
          <cell r="Q234">
            <v>1.317496</v>
          </cell>
          <cell r="R234" t="e">
            <v>#N/A</v>
          </cell>
        </row>
        <row r="235">
          <cell r="A235">
            <v>40312</v>
          </cell>
          <cell r="B235">
            <v>40312</v>
          </cell>
          <cell r="C235" t="str">
            <v>Past</v>
          </cell>
          <cell r="D235">
            <v>12.41</v>
          </cell>
          <cell r="E235" t="e">
            <v>#N/A</v>
          </cell>
          <cell r="F235" t="e">
            <v>#N/A</v>
          </cell>
          <cell r="G235" t="e">
            <v>#N/A</v>
          </cell>
          <cell r="H235" t="e">
            <v>#N/A</v>
          </cell>
          <cell r="I235" t="e">
            <v>#N/A</v>
          </cell>
          <cell r="J235" t="e">
            <v>#N/A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  <cell r="O235" t="e">
            <v>#N/A</v>
          </cell>
          <cell r="P235">
            <v>12.41</v>
          </cell>
          <cell r="Q235">
            <v>1.7794029999999998</v>
          </cell>
          <cell r="R235" t="e">
            <v>#N/A</v>
          </cell>
        </row>
        <row r="236">
          <cell r="A236">
            <v>40315</v>
          </cell>
          <cell r="B236">
            <v>40315</v>
          </cell>
          <cell r="C236" t="str">
            <v>Past</v>
          </cell>
          <cell r="D236">
            <v>12.35</v>
          </cell>
          <cell r="E236" t="e">
            <v>#N/A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>
            <v>12.35</v>
          </cell>
          <cell r="Q236">
            <v>1.611421</v>
          </cell>
          <cell r="R236" t="e">
            <v>#N/A</v>
          </cell>
        </row>
        <row r="237">
          <cell r="A237">
            <v>40316</v>
          </cell>
          <cell r="B237">
            <v>40316</v>
          </cell>
          <cell r="C237" t="str">
            <v>Past</v>
          </cell>
          <cell r="D237">
            <v>12.25</v>
          </cell>
          <cell r="E237" t="e">
            <v>#N/A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>
            <v>12.25</v>
          </cell>
          <cell r="Q237">
            <v>1.4101409999999999</v>
          </cell>
          <cell r="R237" t="e">
            <v>#N/A</v>
          </cell>
        </row>
        <row r="238">
          <cell r="A238">
            <v>40317</v>
          </cell>
          <cell r="B238">
            <v>40317</v>
          </cell>
          <cell r="C238" t="str">
            <v>Past</v>
          </cell>
          <cell r="D238">
            <v>12.12</v>
          </cell>
          <cell r="E238" t="e">
            <v>#N/A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>
            <v>12.12</v>
          </cell>
          <cell r="Q238">
            <v>2.0616829999999999</v>
          </cell>
          <cell r="R238" t="e">
            <v>#N/A</v>
          </cell>
        </row>
        <row r="239">
          <cell r="A239">
            <v>40318</v>
          </cell>
          <cell r="B239">
            <v>40318</v>
          </cell>
          <cell r="C239" t="str">
            <v>Past</v>
          </cell>
          <cell r="D239">
            <v>11.77</v>
          </cell>
          <cell r="E239" t="e">
            <v>#N/A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>
            <v>11.77</v>
          </cell>
          <cell r="Q239">
            <v>2.752262</v>
          </cell>
          <cell r="R239" t="e">
            <v>#N/A</v>
          </cell>
        </row>
        <row r="240">
          <cell r="A240">
            <v>40319</v>
          </cell>
          <cell r="B240">
            <v>40319</v>
          </cell>
          <cell r="C240" t="str">
            <v>Past</v>
          </cell>
          <cell r="D240">
            <v>11.89</v>
          </cell>
          <cell r="E240" t="e">
            <v>#N/A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>
            <v>11.89</v>
          </cell>
          <cell r="Q240">
            <v>2.8777209999999998</v>
          </cell>
          <cell r="R240" t="e">
            <v>#N/A</v>
          </cell>
        </row>
        <row r="241">
          <cell r="A241">
            <v>40322</v>
          </cell>
          <cell r="B241">
            <v>40322</v>
          </cell>
          <cell r="C241" t="str">
            <v>Past</v>
          </cell>
          <cell r="D241">
            <v>11.81</v>
          </cell>
          <cell r="E241" t="e">
            <v>#N/A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>
            <v>11.81</v>
          </cell>
          <cell r="Q241">
            <v>2.0820590000000001</v>
          </cell>
          <cell r="R241" t="e">
            <v>#N/A</v>
          </cell>
        </row>
        <row r="242">
          <cell r="A242">
            <v>40323</v>
          </cell>
          <cell r="B242">
            <v>40323</v>
          </cell>
          <cell r="C242" t="str">
            <v>Past</v>
          </cell>
          <cell r="D242">
            <v>11.69</v>
          </cell>
          <cell r="E242" t="e">
            <v>#N/A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>
            <v>11.69</v>
          </cell>
          <cell r="Q242">
            <v>4.9853079999999999</v>
          </cell>
          <cell r="R242" t="e">
            <v>#N/A</v>
          </cell>
        </row>
        <row r="243">
          <cell r="A243">
            <v>40324</v>
          </cell>
          <cell r="B243">
            <v>40324</v>
          </cell>
          <cell r="C243" t="str">
            <v>Past</v>
          </cell>
          <cell r="D243">
            <v>11.78</v>
          </cell>
          <cell r="E243" t="e">
            <v>#N/A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>
            <v>11.78</v>
          </cell>
          <cell r="Q243">
            <v>3.5629729999999999</v>
          </cell>
          <cell r="R243" t="e">
            <v>#N/A</v>
          </cell>
        </row>
        <row r="244">
          <cell r="A244">
            <v>40325</v>
          </cell>
          <cell r="B244">
            <v>40325</v>
          </cell>
          <cell r="C244" t="str">
            <v>Past</v>
          </cell>
          <cell r="D244">
            <v>11.69</v>
          </cell>
          <cell r="E244" t="e">
            <v>#N/A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>
            <v>11.69</v>
          </cell>
          <cell r="Q244">
            <v>1.725136</v>
          </cell>
          <cell r="R244" t="e">
            <v>#N/A</v>
          </cell>
        </row>
        <row r="245">
          <cell r="A245">
            <v>40326</v>
          </cell>
          <cell r="B245">
            <v>40326</v>
          </cell>
          <cell r="C245" t="str">
            <v>Past</v>
          </cell>
          <cell r="D245">
            <v>11.79</v>
          </cell>
          <cell r="E245" t="e">
            <v>#N/A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>
            <v>11.79</v>
          </cell>
          <cell r="Q245">
            <v>2.8304469999999999</v>
          </cell>
          <cell r="R245" t="e">
            <v>#N/A</v>
          </cell>
        </row>
        <row r="246">
          <cell r="A246">
            <v>40330</v>
          </cell>
          <cell r="B246">
            <v>40330</v>
          </cell>
          <cell r="C246" t="str">
            <v>Past</v>
          </cell>
          <cell r="D246">
            <v>11.6</v>
          </cell>
          <cell r="E246" t="e">
            <v>#N/A</v>
          </cell>
          <cell r="F246" t="e">
            <v>#N/A</v>
          </cell>
          <cell r="G246" t="e">
            <v>#N/A</v>
          </cell>
          <cell r="H246" t="e">
            <v>#N/A</v>
          </cell>
          <cell r="I246" t="e">
            <v>#N/A</v>
          </cell>
          <cell r="J246" t="e">
            <v>#N/A</v>
          </cell>
          <cell r="K246" t="e">
            <v>#N/A</v>
          </cell>
          <cell r="L246" t="e">
            <v>#N/A</v>
          </cell>
          <cell r="M246" t="e">
            <v>#N/A</v>
          </cell>
          <cell r="N246" t="e">
            <v>#N/A</v>
          </cell>
          <cell r="O246" t="e">
            <v>#N/A</v>
          </cell>
          <cell r="P246">
            <v>11.6</v>
          </cell>
          <cell r="Q246">
            <v>1.8102</v>
          </cell>
          <cell r="R246" t="e">
            <v>#N/A</v>
          </cell>
        </row>
        <row r="247">
          <cell r="A247">
            <v>40331</v>
          </cell>
          <cell r="B247">
            <v>40331</v>
          </cell>
          <cell r="C247" t="str">
            <v>Past</v>
          </cell>
          <cell r="D247">
            <v>11.87</v>
          </cell>
          <cell r="E247" t="e">
            <v>#N/A</v>
          </cell>
          <cell r="F247" t="e">
            <v>#N/A</v>
          </cell>
          <cell r="G247" t="e">
            <v>#N/A</v>
          </cell>
          <cell r="H247" t="e">
            <v>#N/A</v>
          </cell>
          <cell r="I247" t="e">
            <v>#N/A</v>
          </cell>
          <cell r="J247" t="e">
            <v>#N/A</v>
          </cell>
          <cell r="K247" t="e">
            <v>#N/A</v>
          </cell>
          <cell r="L247" t="e">
            <v>#N/A</v>
          </cell>
          <cell r="M247" t="e">
            <v>#N/A</v>
          </cell>
          <cell r="N247" t="e">
            <v>#N/A</v>
          </cell>
          <cell r="O247" t="e">
            <v>#N/A</v>
          </cell>
          <cell r="P247">
            <v>11.87</v>
          </cell>
          <cell r="Q247">
            <v>1.2998000000000001</v>
          </cell>
          <cell r="R247" t="e">
            <v>#N/A</v>
          </cell>
        </row>
        <row r="248">
          <cell r="A248">
            <v>40332</v>
          </cell>
          <cell r="B248">
            <v>40332</v>
          </cell>
          <cell r="C248" t="str">
            <v>Past</v>
          </cell>
          <cell r="D248">
            <v>12.14</v>
          </cell>
          <cell r="E248" t="e">
            <v>#N/A</v>
          </cell>
          <cell r="F248" t="e">
            <v>#N/A</v>
          </cell>
          <cell r="G248" t="e">
            <v>#N/A</v>
          </cell>
          <cell r="H248" t="e">
            <v>#N/A</v>
          </cell>
          <cell r="I248" t="e">
            <v>#N/A</v>
          </cell>
          <cell r="J248" t="e">
            <v>#N/A</v>
          </cell>
          <cell r="K248" t="e">
            <v>#N/A</v>
          </cell>
          <cell r="L248" t="e">
            <v>#N/A</v>
          </cell>
          <cell r="M248" t="e">
            <v>#N/A</v>
          </cell>
          <cell r="N248" t="e">
            <v>#N/A</v>
          </cell>
          <cell r="O248" t="e">
            <v>#N/A</v>
          </cell>
          <cell r="P248">
            <v>12.14</v>
          </cell>
          <cell r="Q248">
            <v>1.155041</v>
          </cell>
          <cell r="R248" t="e">
            <v>#N/A</v>
          </cell>
        </row>
        <row r="249">
          <cell r="A249">
            <v>40333</v>
          </cell>
          <cell r="B249">
            <v>40333</v>
          </cell>
          <cell r="C249" t="str">
            <v>Past</v>
          </cell>
          <cell r="D249">
            <v>11.7</v>
          </cell>
          <cell r="E249" t="e">
            <v>#N/A</v>
          </cell>
          <cell r="F249" t="e">
            <v>#N/A</v>
          </cell>
          <cell r="G249" t="e">
            <v>#N/A</v>
          </cell>
          <cell r="H249" t="e">
            <v>#N/A</v>
          </cell>
          <cell r="I249" t="e">
            <v>#N/A</v>
          </cell>
          <cell r="J249" t="e">
            <v>#N/A</v>
          </cell>
          <cell r="K249" t="e">
            <v>#N/A</v>
          </cell>
          <cell r="L249" t="e">
            <v>#N/A</v>
          </cell>
          <cell r="M249" t="e">
            <v>#N/A</v>
          </cell>
          <cell r="N249" t="e">
            <v>#N/A</v>
          </cell>
          <cell r="O249" t="e">
            <v>#N/A</v>
          </cell>
          <cell r="P249">
            <v>11.7</v>
          </cell>
          <cell r="Q249">
            <v>2.746337</v>
          </cell>
          <cell r="R249" t="e">
            <v>#N/A</v>
          </cell>
        </row>
        <row r="250">
          <cell r="A250">
            <v>40336</v>
          </cell>
          <cell r="B250">
            <v>40336</v>
          </cell>
          <cell r="C250" t="str">
            <v>Past</v>
          </cell>
          <cell r="D250">
            <v>11.88</v>
          </cell>
          <cell r="E250" t="e">
            <v>#N/A</v>
          </cell>
          <cell r="F250" t="e">
            <v>#N/A</v>
          </cell>
          <cell r="G250" t="e">
            <v>#N/A</v>
          </cell>
          <cell r="H250" t="e">
            <v>#N/A</v>
          </cell>
          <cell r="I250" t="e">
            <v>#N/A</v>
          </cell>
          <cell r="J250" t="e">
            <v>#N/A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  <cell r="O250" t="e">
            <v>#N/A</v>
          </cell>
          <cell r="P250">
            <v>11.88</v>
          </cell>
          <cell r="Q250">
            <v>2.357313</v>
          </cell>
          <cell r="R250" t="e">
            <v>#N/A</v>
          </cell>
        </row>
        <row r="251">
          <cell r="A251">
            <v>40337</v>
          </cell>
          <cell r="B251">
            <v>40337</v>
          </cell>
          <cell r="C251" t="str">
            <v>Past</v>
          </cell>
          <cell r="D251">
            <v>11.96</v>
          </cell>
          <cell r="E251" t="e">
            <v>#N/A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>
            <v>11.96</v>
          </cell>
          <cell r="Q251">
            <v>2.3212519999999999</v>
          </cell>
          <cell r="R251" t="e">
            <v>#N/A</v>
          </cell>
        </row>
        <row r="252">
          <cell r="A252">
            <v>40338</v>
          </cell>
          <cell r="B252">
            <v>40338</v>
          </cell>
          <cell r="C252" t="str">
            <v>Past</v>
          </cell>
          <cell r="D252">
            <v>11.75</v>
          </cell>
          <cell r="E252" t="e">
            <v>#N/A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>
            <v>11.75</v>
          </cell>
          <cell r="Q252">
            <v>1.6222349999999999</v>
          </cell>
          <cell r="R252" t="e">
            <v>#N/A</v>
          </cell>
        </row>
        <row r="253">
          <cell r="A253">
            <v>40339</v>
          </cell>
          <cell r="B253">
            <v>40339</v>
          </cell>
          <cell r="C253" t="str">
            <v>Past</v>
          </cell>
          <cell r="D253">
            <v>12.06</v>
          </cell>
          <cell r="E253" t="e">
            <v>#N/A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>
            <v>12.06</v>
          </cell>
          <cell r="Q253">
            <v>1.7997719999999999</v>
          </cell>
          <cell r="R253" t="e">
            <v>#N/A</v>
          </cell>
        </row>
        <row r="254">
          <cell r="A254">
            <v>40340</v>
          </cell>
          <cell r="B254">
            <v>40340</v>
          </cell>
          <cell r="C254" t="str">
            <v>Past</v>
          </cell>
          <cell r="D254">
            <v>12.06</v>
          </cell>
          <cell r="E254" t="e">
            <v>#N/A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>
            <v>12.06</v>
          </cell>
          <cell r="Q254">
            <v>1.7262029999999999</v>
          </cell>
          <cell r="R254" t="e">
            <v>#N/A</v>
          </cell>
        </row>
        <row r="255">
          <cell r="A255">
            <v>40343</v>
          </cell>
          <cell r="B255">
            <v>40343</v>
          </cell>
          <cell r="C255" t="str">
            <v>Past</v>
          </cell>
          <cell r="D255">
            <v>12.21</v>
          </cell>
          <cell r="E255" t="e">
            <v>#N/A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>
            <v>12.21</v>
          </cell>
          <cell r="Q255">
            <v>2.7275359999999997</v>
          </cell>
          <cell r="R255" t="e">
            <v>#N/A</v>
          </cell>
        </row>
        <row r="256">
          <cell r="A256">
            <v>40344</v>
          </cell>
          <cell r="B256">
            <v>40344</v>
          </cell>
          <cell r="C256" t="str">
            <v>Past</v>
          </cell>
          <cell r="D256">
            <v>12.52</v>
          </cell>
          <cell r="E256" t="e">
            <v>#N/A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>
            <v>12.52</v>
          </cell>
          <cell r="Q256">
            <v>3.219265</v>
          </cell>
          <cell r="R256" t="e">
            <v>#N/A</v>
          </cell>
        </row>
        <row r="257">
          <cell r="A257">
            <v>40345</v>
          </cell>
          <cell r="B257">
            <v>40345</v>
          </cell>
          <cell r="C257" t="str">
            <v>Past</v>
          </cell>
          <cell r="D257">
            <v>12.6</v>
          </cell>
          <cell r="E257" t="e">
            <v>#N/A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>
            <v>12.6</v>
          </cell>
          <cell r="Q257">
            <v>2.083361</v>
          </cell>
          <cell r="R257" t="e">
            <v>#N/A</v>
          </cell>
        </row>
        <row r="258">
          <cell r="A258">
            <v>40346</v>
          </cell>
          <cell r="B258">
            <v>40346</v>
          </cell>
          <cell r="C258" t="str">
            <v>Past</v>
          </cell>
          <cell r="D258">
            <v>12.72</v>
          </cell>
          <cell r="E258" t="e">
            <v>#N/A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>
            <v>12.72</v>
          </cell>
          <cell r="Q258">
            <v>2.4469629999999998</v>
          </cell>
          <cell r="R258" t="e">
            <v>#N/A</v>
          </cell>
        </row>
        <row r="259">
          <cell r="A259">
            <v>40347</v>
          </cell>
          <cell r="B259">
            <v>40347</v>
          </cell>
          <cell r="C259" t="str">
            <v>Past</v>
          </cell>
          <cell r="D259">
            <v>12.59</v>
          </cell>
          <cell r="E259" t="e">
            <v>#N/A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>
            <v>12.59</v>
          </cell>
          <cell r="Q259">
            <v>1.9597</v>
          </cell>
          <cell r="R259" t="e">
            <v>#N/A</v>
          </cell>
        </row>
        <row r="260">
          <cell r="A260">
            <v>40350</v>
          </cell>
          <cell r="B260">
            <v>40350</v>
          </cell>
          <cell r="C260" t="str">
            <v>Past</v>
          </cell>
          <cell r="D260">
            <v>12.49</v>
          </cell>
          <cell r="E260" t="e">
            <v>#N/A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>
            <v>12.49</v>
          </cell>
          <cell r="Q260">
            <v>3.2103129999999998</v>
          </cell>
          <cell r="R260" t="e">
            <v>#N/A</v>
          </cell>
        </row>
        <row r="261">
          <cell r="A261">
            <v>40351</v>
          </cell>
          <cell r="B261">
            <v>40351</v>
          </cell>
          <cell r="C261" t="str">
            <v>Past</v>
          </cell>
          <cell r="D261">
            <v>12.19</v>
          </cell>
          <cell r="E261" t="e">
            <v>#N/A</v>
          </cell>
          <cell r="F261" t="e">
            <v>#N/A</v>
          </cell>
          <cell r="G261" t="e">
            <v>#N/A</v>
          </cell>
          <cell r="H261" t="e">
            <v>#N/A</v>
          </cell>
          <cell r="I261" t="e">
            <v>#N/A</v>
          </cell>
          <cell r="J261" t="e">
            <v>#N/A</v>
          </cell>
          <cell r="K261" t="e">
            <v>#N/A</v>
          </cell>
          <cell r="L261" t="e">
            <v>#N/A</v>
          </cell>
          <cell r="M261" t="e">
            <v>#N/A</v>
          </cell>
          <cell r="N261" t="e">
            <v>#N/A</v>
          </cell>
          <cell r="O261" t="e">
            <v>#N/A</v>
          </cell>
          <cell r="P261">
            <v>12.19</v>
          </cell>
          <cell r="Q261">
            <v>1.522295</v>
          </cell>
          <cell r="R261" t="e">
            <v>#N/A</v>
          </cell>
        </row>
        <row r="262">
          <cell r="A262">
            <v>40352</v>
          </cell>
          <cell r="B262">
            <v>40352</v>
          </cell>
          <cell r="C262" t="str">
            <v>Past</v>
          </cell>
          <cell r="D262">
            <v>12.02</v>
          </cell>
          <cell r="E262" t="e">
            <v>#N/A</v>
          </cell>
          <cell r="F262" t="e">
            <v>#N/A</v>
          </cell>
          <cell r="G262" t="e">
            <v>#N/A</v>
          </cell>
          <cell r="H262" t="e">
            <v>#N/A</v>
          </cell>
          <cell r="I262" t="e">
            <v>#N/A</v>
          </cell>
          <cell r="J262" t="e">
            <v>#N/A</v>
          </cell>
          <cell r="K262" t="e">
            <v>#N/A</v>
          </cell>
          <cell r="L262" t="e">
            <v>#N/A</v>
          </cell>
          <cell r="M262" t="e">
            <v>#N/A</v>
          </cell>
          <cell r="N262" t="e">
            <v>#N/A</v>
          </cell>
          <cell r="O262" t="e">
            <v>#N/A</v>
          </cell>
          <cell r="P262">
            <v>12.02</v>
          </cell>
          <cell r="Q262">
            <v>0.87350099999999997</v>
          </cell>
          <cell r="R262" t="e">
            <v>#N/A</v>
          </cell>
        </row>
        <row r="263">
          <cell r="A263">
            <v>40353</v>
          </cell>
          <cell r="B263">
            <v>40353</v>
          </cell>
          <cell r="C263" t="str">
            <v>Past</v>
          </cell>
          <cell r="D263">
            <v>11.96</v>
          </cell>
          <cell r="E263" t="e">
            <v>#N/A</v>
          </cell>
          <cell r="F263" t="e">
            <v>#N/A</v>
          </cell>
          <cell r="G263" t="e">
            <v>#N/A</v>
          </cell>
          <cell r="H263" t="e">
            <v>#N/A</v>
          </cell>
          <cell r="I263" t="e">
            <v>#N/A</v>
          </cell>
          <cell r="J263" t="e">
            <v>#N/A</v>
          </cell>
          <cell r="K263" t="e">
            <v>#N/A</v>
          </cell>
          <cell r="L263" t="e">
            <v>#N/A</v>
          </cell>
          <cell r="M263" t="e">
            <v>#N/A</v>
          </cell>
          <cell r="N263" t="e">
            <v>#N/A</v>
          </cell>
          <cell r="O263" t="e">
            <v>#N/A</v>
          </cell>
          <cell r="P263">
            <v>11.96</v>
          </cell>
          <cell r="Q263">
            <v>2.462377</v>
          </cell>
          <cell r="R263" t="e">
            <v>#N/A</v>
          </cell>
        </row>
        <row r="264">
          <cell r="A264">
            <v>40354</v>
          </cell>
          <cell r="B264">
            <v>40354</v>
          </cell>
          <cell r="C264" t="str">
            <v>Past</v>
          </cell>
          <cell r="D264">
            <v>12.07</v>
          </cell>
          <cell r="E264" t="e">
            <v>#N/A</v>
          </cell>
          <cell r="F264" t="e">
            <v>#N/A</v>
          </cell>
          <cell r="G264" t="e">
            <v>#N/A</v>
          </cell>
          <cell r="H264" t="e">
            <v>#N/A</v>
          </cell>
          <cell r="I264" t="e">
            <v>#N/A</v>
          </cell>
          <cell r="J264" t="e">
            <v>#N/A</v>
          </cell>
          <cell r="K264" t="e">
            <v>#N/A</v>
          </cell>
          <cell r="L264" t="e">
            <v>#N/A</v>
          </cell>
          <cell r="M264" t="e">
            <v>#N/A</v>
          </cell>
          <cell r="N264" t="e">
            <v>#N/A</v>
          </cell>
          <cell r="O264" t="e">
            <v>#N/A</v>
          </cell>
          <cell r="P264">
            <v>12.07</v>
          </cell>
          <cell r="Q264">
            <v>3.9080569999999999</v>
          </cell>
          <cell r="R264" t="e">
            <v>#N/A</v>
          </cell>
        </row>
        <row r="265">
          <cell r="A265">
            <v>40357</v>
          </cell>
          <cell r="B265">
            <v>40357</v>
          </cell>
          <cell r="C265" t="str">
            <v>Past</v>
          </cell>
          <cell r="D265">
            <v>12.13</v>
          </cell>
          <cell r="E265" t="e">
            <v>#N/A</v>
          </cell>
          <cell r="F265" t="e">
            <v>#N/A</v>
          </cell>
          <cell r="G265" t="e">
            <v>#N/A</v>
          </cell>
          <cell r="H265" t="e">
            <v>#N/A</v>
          </cell>
          <cell r="I265" t="e">
            <v>#N/A</v>
          </cell>
          <cell r="J265" t="e">
            <v>#N/A</v>
          </cell>
          <cell r="K265" t="e">
            <v>#N/A</v>
          </cell>
          <cell r="L265" t="e">
            <v>#N/A</v>
          </cell>
          <cell r="M265" t="e">
            <v>#N/A</v>
          </cell>
          <cell r="N265" t="e">
            <v>#N/A</v>
          </cell>
          <cell r="O265" t="e">
            <v>#N/A</v>
          </cell>
          <cell r="P265">
            <v>12.13</v>
          </cell>
          <cell r="Q265">
            <v>1.9079279999999998</v>
          </cell>
          <cell r="R265" t="e">
            <v>#N/A</v>
          </cell>
        </row>
        <row r="266">
          <cell r="A266">
            <v>40358</v>
          </cell>
          <cell r="B266">
            <v>40358</v>
          </cell>
          <cell r="C266" t="str">
            <v>Past</v>
          </cell>
          <cell r="D266">
            <v>11.93</v>
          </cell>
          <cell r="E266" t="e">
            <v>#N/A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>
            <v>11.93</v>
          </cell>
          <cell r="Q266">
            <v>2.6454580000000001</v>
          </cell>
          <cell r="R266" t="e">
            <v>#N/A</v>
          </cell>
        </row>
        <row r="267">
          <cell r="A267">
            <v>40359</v>
          </cell>
          <cell r="B267">
            <v>40359</v>
          </cell>
          <cell r="C267" t="str">
            <v>Past</v>
          </cell>
          <cell r="D267">
            <v>11.81</v>
          </cell>
          <cell r="E267" t="e">
            <v>#N/A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>
            <v>11.81</v>
          </cell>
          <cell r="Q267">
            <v>3.2041879999999998</v>
          </cell>
          <cell r="R267" t="e">
            <v>#N/A</v>
          </cell>
        </row>
        <row r="268">
          <cell r="A268">
            <v>40360</v>
          </cell>
          <cell r="B268">
            <v>40360</v>
          </cell>
          <cell r="C268" t="str">
            <v>Past</v>
          </cell>
          <cell r="D268">
            <v>11.75</v>
          </cell>
          <cell r="E268" t="e">
            <v>#N/A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>
            <v>11.75</v>
          </cell>
          <cell r="Q268">
            <v>2.2558889999999998</v>
          </cell>
          <cell r="R268" t="e">
            <v>#N/A</v>
          </cell>
        </row>
        <row r="269">
          <cell r="A269">
            <v>40361</v>
          </cell>
          <cell r="B269">
            <v>40361</v>
          </cell>
          <cell r="C269" t="str">
            <v>Past</v>
          </cell>
          <cell r="D269">
            <v>11.79</v>
          </cell>
          <cell r="E269" t="e">
            <v>#N/A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>
            <v>11.79</v>
          </cell>
          <cell r="Q269">
            <v>1.5568379999999999</v>
          </cell>
          <cell r="R269" t="e">
            <v>#N/A</v>
          </cell>
        </row>
        <row r="270">
          <cell r="A270">
            <v>40365</v>
          </cell>
          <cell r="B270">
            <v>40365</v>
          </cell>
          <cell r="C270" t="str">
            <v>Past</v>
          </cell>
          <cell r="D270">
            <v>11.95</v>
          </cell>
          <cell r="E270" t="e">
            <v>#N/A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>
            <v>11.95</v>
          </cell>
          <cell r="Q270">
            <v>2.0747359999999997</v>
          </cell>
          <cell r="R270" t="e">
            <v>#N/A</v>
          </cell>
        </row>
        <row r="271">
          <cell r="A271">
            <v>40366</v>
          </cell>
          <cell r="B271">
            <v>40366</v>
          </cell>
          <cell r="C271" t="str">
            <v>Past</v>
          </cell>
          <cell r="D271">
            <v>12.3</v>
          </cell>
          <cell r="E271" t="e">
            <v>#N/A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>
            <v>12.3</v>
          </cell>
          <cell r="Q271">
            <v>1.5029669999999999</v>
          </cell>
          <cell r="R271" t="e">
            <v>#N/A</v>
          </cell>
        </row>
        <row r="272">
          <cell r="A272">
            <v>40367</v>
          </cell>
          <cell r="B272">
            <v>40367</v>
          </cell>
          <cell r="C272" t="str">
            <v>Past</v>
          </cell>
          <cell r="D272">
            <v>12.26</v>
          </cell>
          <cell r="E272" t="e">
            <v>#N/A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>
            <v>12.26</v>
          </cell>
          <cell r="Q272">
            <v>1.6987000000000001</v>
          </cell>
          <cell r="R272" t="e">
            <v>#N/A</v>
          </cell>
        </row>
        <row r="273">
          <cell r="A273">
            <v>40368</v>
          </cell>
          <cell r="B273">
            <v>40368</v>
          </cell>
          <cell r="C273" t="str">
            <v>Past</v>
          </cell>
          <cell r="D273">
            <v>12.6</v>
          </cell>
          <cell r="E273" t="e">
            <v>#N/A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>
            <v>12.6</v>
          </cell>
          <cell r="Q273">
            <v>2.9425400000000002</v>
          </cell>
          <cell r="R273" t="e">
            <v>#N/A</v>
          </cell>
        </row>
        <row r="274">
          <cell r="A274">
            <v>40371</v>
          </cell>
          <cell r="B274">
            <v>40371</v>
          </cell>
          <cell r="C274" t="str">
            <v>Past</v>
          </cell>
          <cell r="D274">
            <v>12.68</v>
          </cell>
          <cell r="E274" t="e">
            <v>#N/A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>
            <v>12.68</v>
          </cell>
          <cell r="Q274">
            <v>1.863105</v>
          </cell>
          <cell r="R274" t="e">
            <v>#N/A</v>
          </cell>
        </row>
        <row r="275">
          <cell r="A275">
            <v>40372</v>
          </cell>
          <cell r="B275">
            <v>40372</v>
          </cell>
          <cell r="C275" t="str">
            <v>Past</v>
          </cell>
          <cell r="D275">
            <v>12.68</v>
          </cell>
          <cell r="E275" t="e">
            <v>#N/A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>
            <v>12.68</v>
          </cell>
          <cell r="Q275">
            <v>1.8854229999999998</v>
          </cell>
          <cell r="R275" t="e">
            <v>#N/A</v>
          </cell>
        </row>
        <row r="276">
          <cell r="A276">
            <v>40373</v>
          </cell>
          <cell r="B276">
            <v>40373</v>
          </cell>
          <cell r="C276" t="str">
            <v>Past</v>
          </cell>
          <cell r="D276">
            <v>12.76</v>
          </cell>
          <cell r="E276" t="e">
            <v>#N/A</v>
          </cell>
          <cell r="F276" t="e">
            <v>#N/A</v>
          </cell>
          <cell r="G276" t="e">
            <v>#N/A</v>
          </cell>
          <cell r="H276" t="e">
            <v>#N/A</v>
          </cell>
          <cell r="I276" t="e">
            <v>#N/A</v>
          </cell>
          <cell r="J276" t="e">
            <v>#N/A</v>
          </cell>
          <cell r="K276" t="e">
            <v>#N/A</v>
          </cell>
          <cell r="L276" t="e">
            <v>#N/A</v>
          </cell>
          <cell r="M276" t="e">
            <v>#N/A</v>
          </cell>
          <cell r="N276" t="e">
            <v>#N/A</v>
          </cell>
          <cell r="O276" t="e">
            <v>#N/A</v>
          </cell>
          <cell r="P276">
            <v>12.76</v>
          </cell>
          <cell r="Q276">
            <v>3.8541569999999998</v>
          </cell>
          <cell r="R276" t="e">
            <v>#N/A</v>
          </cell>
        </row>
        <row r="277">
          <cell r="A277">
            <v>40374</v>
          </cell>
          <cell r="B277">
            <v>40374</v>
          </cell>
          <cell r="C277" t="str">
            <v>Past</v>
          </cell>
          <cell r="D277">
            <v>12.77</v>
          </cell>
          <cell r="E277" t="e">
            <v>#N/A</v>
          </cell>
          <cell r="F277" t="e">
            <v>#N/A</v>
          </cell>
          <cell r="G277" t="e">
            <v>#N/A</v>
          </cell>
          <cell r="H277" t="e">
            <v>#N/A</v>
          </cell>
          <cell r="I277" t="e">
            <v>#N/A</v>
          </cell>
          <cell r="J277" t="e">
            <v>#N/A</v>
          </cell>
          <cell r="K277" t="e">
            <v>#N/A</v>
          </cell>
          <cell r="L277" t="e">
            <v>#N/A</v>
          </cell>
          <cell r="M277" t="e">
            <v>#N/A</v>
          </cell>
          <cell r="N277" t="e">
            <v>#N/A</v>
          </cell>
          <cell r="O277" t="e">
            <v>#N/A</v>
          </cell>
          <cell r="P277">
            <v>12.77</v>
          </cell>
          <cell r="Q277">
            <v>1.5362</v>
          </cell>
          <cell r="R277" t="e">
            <v>#N/A</v>
          </cell>
        </row>
        <row r="278">
          <cell r="A278">
            <v>40375</v>
          </cell>
          <cell r="B278">
            <v>40375</v>
          </cell>
          <cell r="C278" t="str">
            <v>Past</v>
          </cell>
          <cell r="D278">
            <v>12.39</v>
          </cell>
          <cell r="E278" t="e">
            <v>#N/A</v>
          </cell>
          <cell r="F278" t="e">
            <v>#N/A</v>
          </cell>
          <cell r="G278" t="e">
            <v>#N/A</v>
          </cell>
          <cell r="H278" t="e">
            <v>#N/A</v>
          </cell>
          <cell r="I278" t="e">
            <v>#N/A</v>
          </cell>
          <cell r="J278" t="e">
            <v>#N/A</v>
          </cell>
          <cell r="K278" t="e">
            <v>#N/A</v>
          </cell>
          <cell r="L278" t="e">
            <v>#N/A</v>
          </cell>
          <cell r="M278" t="e">
            <v>#N/A</v>
          </cell>
          <cell r="N278" t="e">
            <v>#N/A</v>
          </cell>
          <cell r="O278" t="e">
            <v>#N/A</v>
          </cell>
          <cell r="P278">
            <v>12.39</v>
          </cell>
          <cell r="Q278">
            <v>2.187497</v>
          </cell>
          <cell r="R278" t="e">
            <v>#N/A</v>
          </cell>
        </row>
        <row r="279">
          <cell r="A279">
            <v>40378</v>
          </cell>
          <cell r="B279">
            <v>40378</v>
          </cell>
          <cell r="C279" t="str">
            <v>Past</v>
          </cell>
          <cell r="D279">
            <v>12.57</v>
          </cell>
          <cell r="E279" t="e">
            <v>#N/A</v>
          </cell>
          <cell r="F279" t="e">
            <v>#N/A</v>
          </cell>
          <cell r="G279" t="e">
            <v>#N/A</v>
          </cell>
          <cell r="H279" t="e">
            <v>#N/A</v>
          </cell>
          <cell r="I279" t="e">
            <v>#N/A</v>
          </cell>
          <cell r="J279" t="e">
            <v>#N/A</v>
          </cell>
          <cell r="K279" t="e">
            <v>#N/A</v>
          </cell>
          <cell r="L279" t="e">
            <v>#N/A</v>
          </cell>
          <cell r="M279" t="e">
            <v>#N/A</v>
          </cell>
          <cell r="N279" t="e">
            <v>#N/A</v>
          </cell>
          <cell r="O279" t="e">
            <v>#N/A</v>
          </cell>
          <cell r="P279">
            <v>12.57</v>
          </cell>
          <cell r="Q279">
            <v>1.995854</v>
          </cell>
          <cell r="R279" t="e">
            <v>#N/A</v>
          </cell>
        </row>
        <row r="280">
          <cell r="A280">
            <v>40379</v>
          </cell>
          <cell r="B280">
            <v>40379</v>
          </cell>
          <cell r="C280" t="str">
            <v>Past</v>
          </cell>
          <cell r="D280">
            <v>12.63</v>
          </cell>
          <cell r="E280" t="e">
            <v>#N/A</v>
          </cell>
          <cell r="F280" t="e">
            <v>#N/A</v>
          </cell>
          <cell r="G280" t="e">
            <v>#N/A</v>
          </cell>
          <cell r="H280" t="e">
            <v>#N/A</v>
          </cell>
          <cell r="I280" t="e">
            <v>#N/A</v>
          </cell>
          <cell r="J280" t="e">
            <v>#N/A</v>
          </cell>
          <cell r="K280" t="e">
            <v>#N/A</v>
          </cell>
          <cell r="L280" t="e">
            <v>#N/A</v>
          </cell>
          <cell r="M280" t="e">
            <v>#N/A</v>
          </cell>
          <cell r="N280" t="e">
            <v>#N/A</v>
          </cell>
          <cell r="O280" t="e">
            <v>#N/A</v>
          </cell>
          <cell r="P280">
            <v>12.63</v>
          </cell>
          <cell r="Q280">
            <v>2.4046590000000001</v>
          </cell>
          <cell r="R280" t="e">
            <v>#N/A</v>
          </cell>
        </row>
        <row r="281">
          <cell r="A281">
            <v>40380</v>
          </cell>
          <cell r="B281">
            <v>40380</v>
          </cell>
          <cell r="C281" t="str">
            <v>Past</v>
          </cell>
          <cell r="D281">
            <v>12.55</v>
          </cell>
          <cell r="E281" t="e">
            <v>#N/A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>
            <v>12.55</v>
          </cell>
          <cell r="Q281">
            <v>3.4714669999999996</v>
          </cell>
          <cell r="R281" t="e">
            <v>#N/A</v>
          </cell>
        </row>
        <row r="282">
          <cell r="A282">
            <v>40381</v>
          </cell>
          <cell r="B282">
            <v>40381</v>
          </cell>
          <cell r="C282" t="str">
            <v>Past</v>
          </cell>
          <cell r="D282">
            <v>12.78</v>
          </cell>
          <cell r="E282" t="e">
            <v>#N/A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>
            <v>12.78</v>
          </cell>
          <cell r="Q282">
            <v>1.318586</v>
          </cell>
          <cell r="R282" t="e">
            <v>#N/A</v>
          </cell>
        </row>
        <row r="283">
          <cell r="A283">
            <v>40382</v>
          </cell>
          <cell r="B283">
            <v>40382</v>
          </cell>
          <cell r="C283" t="str">
            <v>Past</v>
          </cell>
          <cell r="D283">
            <v>12.82</v>
          </cell>
          <cell r="E283" t="e">
            <v>#N/A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>
            <v>12.82</v>
          </cell>
          <cell r="Q283">
            <v>1.328279</v>
          </cell>
          <cell r="R283" t="e">
            <v>#N/A</v>
          </cell>
        </row>
        <row r="284">
          <cell r="A284">
            <v>40385</v>
          </cell>
          <cell r="B284">
            <v>40385</v>
          </cell>
          <cell r="C284" t="str">
            <v>Past</v>
          </cell>
          <cell r="D284">
            <v>12.88</v>
          </cell>
          <cell r="E284" t="e">
            <v>#N/A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>
            <v>12.88</v>
          </cell>
          <cell r="Q284">
            <v>1.9803439999999999</v>
          </cell>
          <cell r="R284" t="e">
            <v>#N/A</v>
          </cell>
        </row>
        <row r="285">
          <cell r="A285">
            <v>40386</v>
          </cell>
          <cell r="B285">
            <v>40386</v>
          </cell>
          <cell r="C285" t="str">
            <v>Past</v>
          </cell>
          <cell r="D285">
            <v>13.12</v>
          </cell>
          <cell r="E285" t="e">
            <v>#N/A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>
            <v>13.12</v>
          </cell>
          <cell r="Q285">
            <v>2.9478309999999999</v>
          </cell>
          <cell r="R285" t="e">
            <v>#N/A</v>
          </cell>
        </row>
        <row r="286">
          <cell r="A286">
            <v>40387</v>
          </cell>
          <cell r="B286">
            <v>40387</v>
          </cell>
          <cell r="C286" t="str">
            <v>Past</v>
          </cell>
          <cell r="D286">
            <v>12.93</v>
          </cell>
          <cell r="E286" t="e">
            <v>#N/A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>
            <v>12.93</v>
          </cell>
          <cell r="Q286">
            <v>1.091621</v>
          </cell>
          <cell r="R286" t="e">
            <v>#N/A</v>
          </cell>
        </row>
        <row r="287">
          <cell r="A287">
            <v>40388</v>
          </cell>
          <cell r="B287">
            <v>40388</v>
          </cell>
          <cell r="C287" t="str">
            <v>Past</v>
          </cell>
          <cell r="D287">
            <v>12.73</v>
          </cell>
          <cell r="E287" t="e">
            <v>#N/A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>
            <v>12.73</v>
          </cell>
          <cell r="Q287">
            <v>1.718626</v>
          </cell>
          <cell r="R287" t="e">
            <v>#N/A</v>
          </cell>
        </row>
        <row r="288">
          <cell r="A288">
            <v>40389</v>
          </cell>
          <cell r="B288">
            <v>40389</v>
          </cell>
          <cell r="C288" t="str">
            <v>Past</v>
          </cell>
          <cell r="D288">
            <v>12.7</v>
          </cell>
          <cell r="E288" t="e">
            <v>#N/A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>
            <v>12.7</v>
          </cell>
          <cell r="Q288">
            <v>1.846115</v>
          </cell>
          <cell r="R288" t="e">
            <v>#N/A</v>
          </cell>
        </row>
        <row r="289">
          <cell r="A289">
            <v>40392</v>
          </cell>
          <cell r="B289">
            <v>40392</v>
          </cell>
          <cell r="C289" t="str">
            <v>Past</v>
          </cell>
          <cell r="D289">
            <v>12.82</v>
          </cell>
          <cell r="E289" t="e">
            <v>#N/A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>
            <v>12.82</v>
          </cell>
          <cell r="Q289">
            <v>1.8807369999999999</v>
          </cell>
          <cell r="R289" t="e">
            <v>#N/A</v>
          </cell>
        </row>
        <row r="290">
          <cell r="A290">
            <v>40393</v>
          </cell>
          <cell r="B290">
            <v>40393</v>
          </cell>
          <cell r="C290" t="str">
            <v>Past</v>
          </cell>
          <cell r="D290">
            <v>12.77</v>
          </cell>
          <cell r="E290" t="e">
            <v>#N/A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>
            <v>12.77</v>
          </cell>
          <cell r="Q290">
            <v>1.263906</v>
          </cell>
          <cell r="R290" t="e">
            <v>#N/A</v>
          </cell>
        </row>
        <row r="291">
          <cell r="A291">
            <v>40394</v>
          </cell>
          <cell r="B291">
            <v>40394</v>
          </cell>
          <cell r="C291" t="str">
            <v>Past</v>
          </cell>
          <cell r="D291">
            <v>12.78</v>
          </cell>
          <cell r="E291" t="e">
            <v>#N/A</v>
          </cell>
          <cell r="F291" t="e">
            <v>#N/A</v>
          </cell>
          <cell r="G291" t="e">
            <v>#N/A</v>
          </cell>
          <cell r="H291" t="e">
            <v>#N/A</v>
          </cell>
          <cell r="I291" t="e">
            <v>#N/A</v>
          </cell>
          <cell r="J291" t="e">
            <v>#N/A</v>
          </cell>
          <cell r="K291" t="e">
            <v>#N/A</v>
          </cell>
          <cell r="L291" t="e">
            <v>#N/A</v>
          </cell>
          <cell r="M291" t="e">
            <v>#N/A</v>
          </cell>
          <cell r="N291" t="e">
            <v>#N/A</v>
          </cell>
          <cell r="O291" t="e">
            <v>#N/A</v>
          </cell>
          <cell r="P291">
            <v>12.78</v>
          </cell>
          <cell r="Q291">
            <v>1.3239029999999998</v>
          </cell>
          <cell r="R291" t="e">
            <v>#N/A</v>
          </cell>
        </row>
        <row r="292">
          <cell r="A292">
            <v>40395</v>
          </cell>
          <cell r="B292">
            <v>40395</v>
          </cell>
          <cell r="C292" t="str">
            <v>Past</v>
          </cell>
          <cell r="D292">
            <v>12.9</v>
          </cell>
          <cell r="E292" t="e">
            <v>#N/A</v>
          </cell>
          <cell r="F292" t="e">
            <v>#N/A</v>
          </cell>
          <cell r="G292" t="e">
            <v>#N/A</v>
          </cell>
          <cell r="H292" t="e">
            <v>#N/A</v>
          </cell>
          <cell r="I292" t="e">
            <v>#N/A</v>
          </cell>
          <cell r="J292" t="e">
            <v>#N/A</v>
          </cell>
          <cell r="K292" t="e">
            <v>#N/A</v>
          </cell>
          <cell r="L292" t="e">
            <v>#N/A</v>
          </cell>
          <cell r="M292" t="e">
            <v>#N/A</v>
          </cell>
          <cell r="N292" t="e">
            <v>#N/A</v>
          </cell>
          <cell r="O292" t="e">
            <v>#N/A</v>
          </cell>
          <cell r="P292">
            <v>12.9</v>
          </cell>
          <cell r="Q292">
            <v>0.96239399999999997</v>
          </cell>
          <cell r="R292" t="e">
            <v>#N/A</v>
          </cell>
        </row>
        <row r="293">
          <cell r="A293">
            <v>40396</v>
          </cell>
          <cell r="B293">
            <v>40396</v>
          </cell>
          <cell r="C293" t="str">
            <v>Past</v>
          </cell>
          <cell r="D293">
            <v>12.86</v>
          </cell>
          <cell r="E293" t="e">
            <v>#N/A</v>
          </cell>
          <cell r="F293" t="e">
            <v>#N/A</v>
          </cell>
          <cell r="G293" t="e">
            <v>#N/A</v>
          </cell>
          <cell r="H293" t="e">
            <v>#N/A</v>
          </cell>
          <cell r="I293" t="e">
            <v>#N/A</v>
          </cell>
          <cell r="J293" t="e">
            <v>#N/A</v>
          </cell>
          <cell r="K293" t="e">
            <v>#N/A</v>
          </cell>
          <cell r="L293" t="e">
            <v>#N/A</v>
          </cell>
          <cell r="M293" t="e">
            <v>#N/A</v>
          </cell>
          <cell r="N293" t="e">
            <v>#N/A</v>
          </cell>
          <cell r="O293" t="e">
            <v>#N/A</v>
          </cell>
          <cell r="P293">
            <v>12.86</v>
          </cell>
          <cell r="Q293">
            <v>1.220923</v>
          </cell>
          <cell r="R293" t="e">
            <v>#N/A</v>
          </cell>
        </row>
        <row r="294">
          <cell r="A294">
            <v>40399</v>
          </cell>
          <cell r="B294">
            <v>40399</v>
          </cell>
          <cell r="C294" t="str">
            <v>Past</v>
          </cell>
          <cell r="D294">
            <v>12.99</v>
          </cell>
          <cell r="E294" t="e">
            <v>#N/A</v>
          </cell>
          <cell r="F294" t="e">
            <v>#N/A</v>
          </cell>
          <cell r="G294" t="e">
            <v>#N/A</v>
          </cell>
          <cell r="H294" t="e">
            <v>#N/A</v>
          </cell>
          <cell r="I294" t="e">
            <v>#N/A</v>
          </cell>
          <cell r="J294" t="e">
            <v>#N/A</v>
          </cell>
          <cell r="K294" t="e">
            <v>#N/A</v>
          </cell>
          <cell r="L294" t="e">
            <v>#N/A</v>
          </cell>
          <cell r="M294" t="e">
            <v>#N/A</v>
          </cell>
          <cell r="N294" t="e">
            <v>#N/A</v>
          </cell>
          <cell r="O294" t="e">
            <v>#N/A</v>
          </cell>
          <cell r="P294">
            <v>12.99</v>
          </cell>
          <cell r="Q294">
            <v>1.9647569999999999</v>
          </cell>
          <cell r="R294" t="e">
            <v>#N/A</v>
          </cell>
        </row>
        <row r="295">
          <cell r="A295">
            <v>40400</v>
          </cell>
          <cell r="B295">
            <v>40400</v>
          </cell>
          <cell r="C295" t="str">
            <v>Past</v>
          </cell>
          <cell r="D295">
            <v>12.96</v>
          </cell>
          <cell r="E295" t="e">
            <v>#N/A</v>
          </cell>
          <cell r="F295" t="e">
            <v>#N/A</v>
          </cell>
          <cell r="G295" t="e">
            <v>#N/A</v>
          </cell>
          <cell r="H295" t="e">
            <v>#N/A</v>
          </cell>
          <cell r="I295" t="e">
            <v>#N/A</v>
          </cell>
          <cell r="J295" t="e">
            <v>#N/A</v>
          </cell>
          <cell r="K295" t="e">
            <v>#N/A</v>
          </cell>
          <cell r="L295" t="e">
            <v>#N/A</v>
          </cell>
          <cell r="M295" t="e">
            <v>#N/A</v>
          </cell>
          <cell r="N295" t="e">
            <v>#N/A</v>
          </cell>
          <cell r="O295" t="e">
            <v>#N/A</v>
          </cell>
          <cell r="P295">
            <v>12.96</v>
          </cell>
          <cell r="Q295">
            <v>1.34331</v>
          </cell>
          <cell r="R295" t="e">
            <v>#N/A</v>
          </cell>
        </row>
        <row r="296">
          <cell r="A296">
            <v>40401</v>
          </cell>
          <cell r="B296">
            <v>40401</v>
          </cell>
          <cell r="C296" t="str">
            <v>Past</v>
          </cell>
          <cell r="D296">
            <v>12.69</v>
          </cell>
          <cell r="E296" t="e">
            <v>#N/A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>
            <v>12.69</v>
          </cell>
          <cell r="Q296">
            <v>1.5584</v>
          </cell>
          <cell r="R296" t="e">
            <v>#N/A</v>
          </cell>
        </row>
        <row r="297">
          <cell r="A297">
            <v>40402</v>
          </cell>
          <cell r="B297">
            <v>40402</v>
          </cell>
          <cell r="C297" t="str">
            <v>Past</v>
          </cell>
          <cell r="D297">
            <v>12.75</v>
          </cell>
          <cell r="E297" t="e">
            <v>#N/A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>
            <v>12.75</v>
          </cell>
          <cell r="Q297">
            <v>2.0656810000000001</v>
          </cell>
          <cell r="R297" t="e">
            <v>#N/A</v>
          </cell>
        </row>
        <row r="298">
          <cell r="A298">
            <v>40403</v>
          </cell>
          <cell r="B298">
            <v>40403</v>
          </cell>
          <cell r="C298" t="str">
            <v>Past</v>
          </cell>
          <cell r="D298">
            <v>12.82</v>
          </cell>
          <cell r="E298" t="e">
            <v>#N/A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>
            <v>12.82</v>
          </cell>
          <cell r="Q298">
            <v>0.93745000000000012</v>
          </cell>
          <cell r="R298" t="e">
            <v>#N/A</v>
          </cell>
        </row>
        <row r="299">
          <cell r="A299">
            <v>40406</v>
          </cell>
          <cell r="B299">
            <v>40406</v>
          </cell>
          <cell r="C299" t="str">
            <v>Past</v>
          </cell>
          <cell r="D299">
            <v>12.82</v>
          </cell>
          <cell r="E299" t="e">
            <v>#N/A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>
            <v>12.82</v>
          </cell>
          <cell r="Q299">
            <v>0.783667</v>
          </cell>
          <cell r="R299" t="e">
            <v>#N/A</v>
          </cell>
        </row>
        <row r="300">
          <cell r="A300">
            <v>40407</v>
          </cell>
          <cell r="B300">
            <v>40407</v>
          </cell>
          <cell r="C300" t="str">
            <v>Past</v>
          </cell>
          <cell r="D300">
            <v>12.95</v>
          </cell>
          <cell r="E300" t="e">
            <v>#N/A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>
            <v>12.95</v>
          </cell>
          <cell r="Q300">
            <v>0.81975599999999993</v>
          </cell>
          <cell r="R300" t="e">
            <v>#N/A</v>
          </cell>
        </row>
        <row r="301">
          <cell r="A301">
            <v>40408</v>
          </cell>
          <cell r="B301">
            <v>40408</v>
          </cell>
          <cell r="C301" t="str">
            <v>Past</v>
          </cell>
          <cell r="D301">
            <v>12.84</v>
          </cell>
          <cell r="E301" t="e">
            <v>#N/A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>
            <v>12.84</v>
          </cell>
          <cell r="Q301">
            <v>1.089143</v>
          </cell>
          <cell r="R301" t="e">
            <v>#N/A</v>
          </cell>
        </row>
        <row r="302">
          <cell r="A302">
            <v>40409</v>
          </cell>
          <cell r="B302">
            <v>40409</v>
          </cell>
          <cell r="C302" t="str">
            <v>Past</v>
          </cell>
          <cell r="D302">
            <v>12.6</v>
          </cell>
          <cell r="E302" t="e">
            <v>#N/A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>
            <v>12.6</v>
          </cell>
          <cell r="Q302">
            <v>0.71370099999999992</v>
          </cell>
          <cell r="R302" t="e">
            <v>#N/A</v>
          </cell>
        </row>
        <row r="303">
          <cell r="A303">
            <v>40410</v>
          </cell>
          <cell r="B303">
            <v>40410</v>
          </cell>
          <cell r="C303" t="str">
            <v>Past</v>
          </cell>
          <cell r="D303">
            <v>12.57</v>
          </cell>
          <cell r="E303" t="e">
            <v>#N/A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>
            <v>12.57</v>
          </cell>
          <cell r="Q303">
            <v>1.371812</v>
          </cell>
          <cell r="R303" t="e">
            <v>#N/A</v>
          </cell>
        </row>
        <row r="304">
          <cell r="A304">
            <v>40413</v>
          </cell>
          <cell r="B304">
            <v>40413</v>
          </cell>
          <cell r="C304" t="str">
            <v>Past</v>
          </cell>
          <cell r="D304">
            <v>12.56</v>
          </cell>
          <cell r="E304" t="e">
            <v>#N/A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>
            <v>12.56</v>
          </cell>
          <cell r="Q304">
            <v>1.7882069999999999</v>
          </cell>
          <cell r="R304" t="e">
            <v>#N/A</v>
          </cell>
        </row>
        <row r="305">
          <cell r="A305">
            <v>40414</v>
          </cell>
          <cell r="B305">
            <v>40414</v>
          </cell>
          <cell r="C305" t="str">
            <v>Past</v>
          </cell>
          <cell r="D305">
            <v>12.51</v>
          </cell>
          <cell r="E305" t="e">
            <v>#N/A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>
            <v>12.51</v>
          </cell>
          <cell r="Q305">
            <v>1.018284</v>
          </cell>
          <cell r="R305" t="e">
            <v>#N/A</v>
          </cell>
        </row>
        <row r="306">
          <cell r="A306">
            <v>40415</v>
          </cell>
          <cell r="B306">
            <v>40415</v>
          </cell>
          <cell r="C306" t="str">
            <v>Past</v>
          </cell>
          <cell r="D306">
            <v>12.51</v>
          </cell>
          <cell r="E306" t="e">
            <v>#N/A</v>
          </cell>
          <cell r="F306" t="e">
            <v>#N/A</v>
          </cell>
          <cell r="G306" t="e">
            <v>#N/A</v>
          </cell>
          <cell r="H306" t="e">
            <v>#N/A</v>
          </cell>
          <cell r="I306" t="e">
            <v>#N/A</v>
          </cell>
          <cell r="J306" t="e">
            <v>#N/A</v>
          </cell>
          <cell r="K306" t="e">
            <v>#N/A</v>
          </cell>
          <cell r="L306" t="e">
            <v>#N/A</v>
          </cell>
          <cell r="M306" t="e">
            <v>#N/A</v>
          </cell>
          <cell r="N306" t="e">
            <v>#N/A</v>
          </cell>
          <cell r="O306" t="e">
            <v>#N/A</v>
          </cell>
          <cell r="P306">
            <v>12.51</v>
          </cell>
          <cell r="Q306">
            <v>1.948426</v>
          </cell>
          <cell r="R306" t="e">
            <v>#N/A</v>
          </cell>
        </row>
        <row r="307">
          <cell r="A307">
            <v>40416</v>
          </cell>
          <cell r="B307">
            <v>40416</v>
          </cell>
          <cell r="C307" t="str">
            <v>Past</v>
          </cell>
          <cell r="D307">
            <v>12.51</v>
          </cell>
          <cell r="E307" t="e">
            <v>#N/A</v>
          </cell>
          <cell r="F307" t="e">
            <v>#N/A</v>
          </cell>
          <cell r="G307" t="e">
            <v>#N/A</v>
          </cell>
          <cell r="H307" t="e">
            <v>#N/A</v>
          </cell>
          <cell r="I307" t="e">
            <v>#N/A</v>
          </cell>
          <cell r="J307" t="e">
            <v>#N/A</v>
          </cell>
          <cell r="K307" t="e">
            <v>#N/A</v>
          </cell>
          <cell r="L307" t="e">
            <v>#N/A</v>
          </cell>
          <cell r="M307" t="e">
            <v>#N/A</v>
          </cell>
          <cell r="N307" t="e">
            <v>#N/A</v>
          </cell>
          <cell r="O307" t="e">
            <v>#N/A</v>
          </cell>
          <cell r="P307">
            <v>12.51</v>
          </cell>
          <cell r="Q307">
            <v>1.2078149999999999</v>
          </cell>
          <cell r="R307" t="e">
            <v>#N/A</v>
          </cell>
        </row>
        <row r="308">
          <cell r="A308">
            <v>40417</v>
          </cell>
          <cell r="B308">
            <v>40417</v>
          </cell>
          <cell r="C308" t="str">
            <v>Past</v>
          </cell>
          <cell r="D308">
            <v>12.8</v>
          </cell>
          <cell r="E308" t="e">
            <v>#N/A</v>
          </cell>
          <cell r="F308" t="e">
            <v>#N/A</v>
          </cell>
          <cell r="G308" t="e">
            <v>#N/A</v>
          </cell>
          <cell r="H308" t="e">
            <v>#N/A</v>
          </cell>
          <cell r="I308" t="e">
            <v>#N/A</v>
          </cell>
          <cell r="J308" t="e">
            <v>#N/A</v>
          </cell>
          <cell r="K308" t="e">
            <v>#N/A</v>
          </cell>
          <cell r="L308" t="e">
            <v>#N/A</v>
          </cell>
          <cell r="M308" t="e">
            <v>#N/A</v>
          </cell>
          <cell r="N308" t="e">
            <v>#N/A</v>
          </cell>
          <cell r="O308" t="e">
            <v>#N/A</v>
          </cell>
          <cell r="P308">
            <v>12.8</v>
          </cell>
          <cell r="Q308">
            <v>2.2369500000000002</v>
          </cell>
          <cell r="R308" t="e">
            <v>#N/A</v>
          </cell>
        </row>
        <row r="309">
          <cell r="A309">
            <v>40420</v>
          </cell>
          <cell r="B309">
            <v>40420</v>
          </cell>
          <cell r="C309" t="str">
            <v>Past</v>
          </cell>
          <cell r="D309">
            <v>12.64</v>
          </cell>
          <cell r="E309" t="e">
            <v>#N/A</v>
          </cell>
          <cell r="F309" t="e">
            <v>#N/A</v>
          </cell>
          <cell r="G309" t="e">
            <v>#N/A</v>
          </cell>
          <cell r="H309" t="e">
            <v>#N/A</v>
          </cell>
          <cell r="I309" t="e">
            <v>#N/A</v>
          </cell>
          <cell r="J309" t="e">
            <v>#N/A</v>
          </cell>
          <cell r="K309" t="e">
            <v>#N/A</v>
          </cell>
          <cell r="L309" t="e">
            <v>#N/A</v>
          </cell>
          <cell r="M309" t="e">
            <v>#N/A</v>
          </cell>
          <cell r="N309" t="e">
            <v>#N/A</v>
          </cell>
          <cell r="O309" t="e">
            <v>#N/A</v>
          </cell>
          <cell r="P309">
            <v>12.64</v>
          </cell>
          <cell r="Q309">
            <v>1.491317</v>
          </cell>
          <cell r="R309" t="e">
            <v>#N/A</v>
          </cell>
        </row>
        <row r="310">
          <cell r="A310">
            <v>40421</v>
          </cell>
          <cell r="B310">
            <v>40421</v>
          </cell>
          <cell r="C310" t="str">
            <v>Past</v>
          </cell>
          <cell r="D310">
            <v>12.8</v>
          </cell>
          <cell r="E310" t="e">
            <v>#N/A</v>
          </cell>
          <cell r="F310" t="e">
            <v>#N/A</v>
          </cell>
          <cell r="G310" t="e">
            <v>#N/A</v>
          </cell>
          <cell r="H310" t="e">
            <v>#N/A</v>
          </cell>
          <cell r="I310" t="e">
            <v>#N/A</v>
          </cell>
          <cell r="J310" t="e">
            <v>#N/A</v>
          </cell>
          <cell r="K310" t="e">
            <v>#N/A</v>
          </cell>
          <cell r="L310" t="e">
            <v>#N/A</v>
          </cell>
          <cell r="M310" t="e">
            <v>#N/A</v>
          </cell>
          <cell r="N310" t="e">
            <v>#N/A</v>
          </cell>
          <cell r="O310" t="e">
            <v>#N/A</v>
          </cell>
          <cell r="P310">
            <v>12.8</v>
          </cell>
          <cell r="Q310">
            <v>1.946672</v>
          </cell>
          <cell r="R310" t="e">
            <v>#N/A</v>
          </cell>
        </row>
        <row r="311">
          <cell r="A311">
            <v>40422</v>
          </cell>
          <cell r="B311">
            <v>40422</v>
          </cell>
          <cell r="C311" t="str">
            <v>Past</v>
          </cell>
          <cell r="D311">
            <v>13.13</v>
          </cell>
          <cell r="E311" t="e">
            <v>#N/A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>
            <v>13.13</v>
          </cell>
          <cell r="Q311">
            <v>2.65388</v>
          </cell>
          <cell r="R311" t="e">
            <v>#N/A</v>
          </cell>
        </row>
        <row r="312">
          <cell r="A312">
            <v>40423</v>
          </cell>
          <cell r="B312">
            <v>40423</v>
          </cell>
          <cell r="C312" t="str">
            <v>Past</v>
          </cell>
          <cell r="D312">
            <v>13.07</v>
          </cell>
          <cell r="E312" t="e">
            <v>#N/A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>
            <v>13.07</v>
          </cell>
          <cell r="Q312">
            <v>3.9073409999999997</v>
          </cell>
          <cell r="R312" t="e">
            <v>#N/A</v>
          </cell>
        </row>
        <row r="313">
          <cell r="A313">
            <v>40424</v>
          </cell>
          <cell r="B313">
            <v>40424</v>
          </cell>
          <cell r="C313" t="str">
            <v>Past</v>
          </cell>
          <cell r="D313">
            <v>13.21</v>
          </cell>
          <cell r="E313" t="e">
            <v>#N/A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>
            <v>13.21</v>
          </cell>
          <cell r="Q313">
            <v>1.7133909999999999</v>
          </cell>
          <cell r="R313" t="e">
            <v>#N/A</v>
          </cell>
        </row>
        <row r="314">
          <cell r="A314">
            <v>40428</v>
          </cell>
          <cell r="B314">
            <v>40428</v>
          </cell>
          <cell r="C314" t="str">
            <v>Past</v>
          </cell>
          <cell r="D314">
            <v>13.13</v>
          </cell>
          <cell r="E314" t="e">
            <v>#N/A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>
            <v>13.13</v>
          </cell>
          <cell r="Q314">
            <v>1.388282</v>
          </cell>
          <cell r="R314" t="e">
            <v>#N/A</v>
          </cell>
        </row>
        <row r="315">
          <cell r="A315">
            <v>40429</v>
          </cell>
          <cell r="B315">
            <v>40429</v>
          </cell>
          <cell r="C315" t="str">
            <v>Past</v>
          </cell>
          <cell r="D315">
            <v>12.95</v>
          </cell>
          <cell r="E315" t="e">
            <v>#N/A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>
            <v>12.95</v>
          </cell>
          <cell r="Q315">
            <v>1.844096</v>
          </cell>
          <cell r="R315" t="e">
            <v>#N/A</v>
          </cell>
        </row>
        <row r="316">
          <cell r="A316">
            <v>40430</v>
          </cell>
          <cell r="B316">
            <v>40430</v>
          </cell>
          <cell r="C316" t="str">
            <v>Past</v>
          </cell>
          <cell r="D316">
            <v>13</v>
          </cell>
          <cell r="E316" t="e">
            <v>#N/A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>
            <v>13</v>
          </cell>
          <cell r="Q316">
            <v>2.1684220000000001</v>
          </cell>
          <cell r="R316" t="e">
            <v>#N/A</v>
          </cell>
        </row>
        <row r="317">
          <cell r="A317">
            <v>40431</v>
          </cell>
          <cell r="B317">
            <v>40431</v>
          </cell>
          <cell r="C317" t="str">
            <v>Past</v>
          </cell>
          <cell r="D317">
            <v>12.95</v>
          </cell>
          <cell r="E317" t="e">
            <v>#N/A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>
            <v>12.95</v>
          </cell>
          <cell r="Q317">
            <v>3.4128089999999998</v>
          </cell>
          <cell r="R317" t="e">
            <v>#N/A</v>
          </cell>
        </row>
        <row r="318">
          <cell r="A318">
            <v>40434</v>
          </cell>
          <cell r="B318">
            <v>40434</v>
          </cell>
          <cell r="C318" t="str">
            <v>Past</v>
          </cell>
          <cell r="D318">
            <v>13.13</v>
          </cell>
          <cell r="E318" t="e">
            <v>#N/A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>
            <v>13.13</v>
          </cell>
          <cell r="Q318">
            <v>1.9109800000000001</v>
          </cell>
          <cell r="R318" t="e">
            <v>#N/A</v>
          </cell>
        </row>
        <row r="319">
          <cell r="A319">
            <v>40435</v>
          </cell>
          <cell r="B319">
            <v>40435</v>
          </cell>
          <cell r="C319" t="str">
            <v>Past</v>
          </cell>
          <cell r="D319">
            <v>13.1</v>
          </cell>
          <cell r="E319" t="e">
            <v>#N/A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>
            <v>13.1</v>
          </cell>
          <cell r="Q319">
            <v>1.5091000000000001</v>
          </cell>
          <cell r="R319" t="e">
            <v>#N/A</v>
          </cell>
        </row>
        <row r="320">
          <cell r="A320">
            <v>40436</v>
          </cell>
          <cell r="B320">
            <v>40436</v>
          </cell>
          <cell r="C320" t="str">
            <v>Past</v>
          </cell>
          <cell r="D320">
            <v>12.92</v>
          </cell>
          <cell r="E320" t="e">
            <v>#N/A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>
            <v>12.92</v>
          </cell>
          <cell r="Q320">
            <v>2.0562860000000001</v>
          </cell>
          <cell r="R320" t="e">
            <v>#N/A</v>
          </cell>
        </row>
        <row r="321">
          <cell r="A321">
            <v>40437</v>
          </cell>
          <cell r="B321">
            <v>40437</v>
          </cell>
          <cell r="C321" t="str">
            <v>Past</v>
          </cell>
          <cell r="D321">
            <v>12.71</v>
          </cell>
          <cell r="E321" t="e">
            <v>#N/A</v>
          </cell>
          <cell r="F321" t="e">
            <v>#N/A</v>
          </cell>
          <cell r="G321" t="e">
            <v>#N/A</v>
          </cell>
          <cell r="H321" t="e">
            <v>#N/A</v>
          </cell>
          <cell r="I321" t="e">
            <v>#N/A</v>
          </cell>
          <cell r="J321" t="e">
            <v>#N/A</v>
          </cell>
          <cell r="K321" t="e">
            <v>#N/A</v>
          </cell>
          <cell r="L321" t="e">
            <v>#N/A</v>
          </cell>
          <cell r="M321" t="e">
            <v>#N/A</v>
          </cell>
          <cell r="N321" t="e">
            <v>#N/A</v>
          </cell>
          <cell r="O321" t="e">
            <v>#N/A</v>
          </cell>
          <cell r="P321">
            <v>12.71</v>
          </cell>
          <cell r="Q321">
            <v>1.4083539999999999</v>
          </cell>
          <cell r="R321" t="e">
            <v>#N/A</v>
          </cell>
        </row>
        <row r="322">
          <cell r="A322">
            <v>40438</v>
          </cell>
          <cell r="B322">
            <v>40438</v>
          </cell>
          <cell r="C322" t="str">
            <v>Past</v>
          </cell>
          <cell r="D322">
            <v>12.68</v>
          </cell>
          <cell r="E322" t="e">
            <v>#N/A</v>
          </cell>
          <cell r="F322" t="e">
            <v>#N/A</v>
          </cell>
          <cell r="G322" t="e">
            <v>#N/A</v>
          </cell>
          <cell r="H322" t="e">
            <v>#N/A</v>
          </cell>
          <cell r="I322" t="e">
            <v>#N/A</v>
          </cell>
          <cell r="J322" t="e">
            <v>#N/A</v>
          </cell>
          <cell r="K322" t="e">
            <v>#N/A</v>
          </cell>
          <cell r="L322" t="e">
            <v>#N/A</v>
          </cell>
          <cell r="M322" t="e">
            <v>#N/A</v>
          </cell>
          <cell r="N322" t="e">
            <v>#N/A</v>
          </cell>
          <cell r="O322" t="e">
            <v>#N/A</v>
          </cell>
          <cell r="P322">
            <v>12.68</v>
          </cell>
          <cell r="Q322">
            <v>1.7802609999999999</v>
          </cell>
          <cell r="R322" t="e">
            <v>#N/A</v>
          </cell>
        </row>
        <row r="323">
          <cell r="A323">
            <v>40441</v>
          </cell>
          <cell r="B323">
            <v>40441</v>
          </cell>
          <cell r="C323" t="str">
            <v>Past</v>
          </cell>
          <cell r="D323">
            <v>12.91</v>
          </cell>
          <cell r="E323" t="e">
            <v>#N/A</v>
          </cell>
          <cell r="F323" t="e">
            <v>#N/A</v>
          </cell>
          <cell r="G323" t="e">
            <v>#N/A</v>
          </cell>
          <cell r="H323" t="e">
            <v>#N/A</v>
          </cell>
          <cell r="I323" t="e">
            <v>#N/A</v>
          </cell>
          <cell r="J323" t="e">
            <v>#N/A</v>
          </cell>
          <cell r="K323" t="e">
            <v>#N/A</v>
          </cell>
          <cell r="L323" t="e">
            <v>#N/A</v>
          </cell>
          <cell r="M323" t="e">
            <v>#N/A</v>
          </cell>
          <cell r="N323" t="e">
            <v>#N/A</v>
          </cell>
          <cell r="O323" t="e">
            <v>#N/A</v>
          </cell>
          <cell r="P323">
            <v>12.91</v>
          </cell>
          <cell r="Q323">
            <v>1.297507</v>
          </cell>
          <cell r="R323" t="e">
            <v>#N/A</v>
          </cell>
        </row>
        <row r="324">
          <cell r="A324">
            <v>40442</v>
          </cell>
          <cell r="B324">
            <v>40442</v>
          </cell>
          <cell r="C324" t="str">
            <v>Past</v>
          </cell>
          <cell r="D324">
            <v>12.81</v>
          </cell>
          <cell r="E324" t="e">
            <v>#N/A</v>
          </cell>
          <cell r="F324" t="e">
            <v>#N/A</v>
          </cell>
          <cell r="G324" t="e">
            <v>#N/A</v>
          </cell>
          <cell r="H324" t="e">
            <v>#N/A</v>
          </cell>
          <cell r="I324" t="e">
            <v>#N/A</v>
          </cell>
          <cell r="J324" t="e">
            <v>#N/A</v>
          </cell>
          <cell r="K324" t="e">
            <v>#N/A</v>
          </cell>
          <cell r="L324" t="e">
            <v>#N/A</v>
          </cell>
          <cell r="M324" t="e">
            <v>#N/A</v>
          </cell>
          <cell r="N324" t="e">
            <v>#N/A</v>
          </cell>
          <cell r="O324" t="e">
            <v>#N/A</v>
          </cell>
          <cell r="P324">
            <v>12.81</v>
          </cell>
          <cell r="Q324">
            <v>1.4411429999999998</v>
          </cell>
          <cell r="R324" t="e">
            <v>#N/A</v>
          </cell>
        </row>
        <row r="325">
          <cell r="A325">
            <v>40443</v>
          </cell>
          <cell r="B325">
            <v>40443</v>
          </cell>
          <cell r="C325" t="str">
            <v>Past</v>
          </cell>
          <cell r="D325">
            <v>12.88</v>
          </cell>
          <cell r="E325" t="e">
            <v>#N/A</v>
          </cell>
          <cell r="F325" t="e">
            <v>#N/A</v>
          </cell>
          <cell r="G325" t="e">
            <v>#N/A</v>
          </cell>
          <cell r="H325" t="e">
            <v>#N/A</v>
          </cell>
          <cell r="I325" t="e">
            <v>#N/A</v>
          </cell>
          <cell r="J325" t="e">
            <v>#N/A</v>
          </cell>
          <cell r="K325" t="e">
            <v>#N/A</v>
          </cell>
          <cell r="L325" t="e">
            <v>#N/A</v>
          </cell>
          <cell r="M325" t="e">
            <v>#N/A</v>
          </cell>
          <cell r="N325" t="e">
            <v>#N/A</v>
          </cell>
          <cell r="O325" t="e">
            <v>#N/A</v>
          </cell>
          <cell r="P325">
            <v>12.88</v>
          </cell>
          <cell r="Q325">
            <v>0.79303000000000001</v>
          </cell>
          <cell r="R325" t="e">
            <v>#N/A</v>
          </cell>
        </row>
        <row r="326">
          <cell r="A326">
            <v>40444</v>
          </cell>
          <cell r="B326">
            <v>40444</v>
          </cell>
          <cell r="C326" t="str">
            <v>Past</v>
          </cell>
          <cell r="D326">
            <v>12.95</v>
          </cell>
          <cell r="E326" t="e">
            <v>#N/A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>
            <v>12.95</v>
          </cell>
          <cell r="Q326">
            <v>1.457676</v>
          </cell>
          <cell r="R326" t="e">
            <v>#N/A</v>
          </cell>
        </row>
        <row r="327">
          <cell r="A327">
            <v>40445</v>
          </cell>
          <cell r="B327">
            <v>40445</v>
          </cell>
          <cell r="C327" t="str">
            <v>Past</v>
          </cell>
          <cell r="D327">
            <v>13.16</v>
          </cell>
          <cell r="E327" t="e">
            <v>#N/A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>
            <v>13.16</v>
          </cell>
          <cell r="Q327">
            <v>0.86191600000000002</v>
          </cell>
          <cell r="R327" t="e">
            <v>#N/A</v>
          </cell>
        </row>
        <row r="328">
          <cell r="A328">
            <v>40448</v>
          </cell>
          <cell r="B328">
            <v>40448</v>
          </cell>
          <cell r="C328" t="str">
            <v>Past</v>
          </cell>
          <cell r="D328">
            <v>13.18</v>
          </cell>
          <cell r="E328" t="e">
            <v>#N/A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>
            <v>13.18</v>
          </cell>
          <cell r="Q328">
            <v>1.1820059999999999</v>
          </cell>
          <cell r="R328" t="e">
            <v>#N/A</v>
          </cell>
        </row>
        <row r="329">
          <cell r="A329">
            <v>40449</v>
          </cell>
          <cell r="B329">
            <v>40449</v>
          </cell>
          <cell r="C329" t="str">
            <v>Past</v>
          </cell>
          <cell r="D329">
            <v>13.02</v>
          </cell>
          <cell r="E329" t="e">
            <v>#N/A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>
            <v>13.02</v>
          </cell>
          <cell r="Q329">
            <v>2.1931620000000001</v>
          </cell>
          <cell r="R329" t="e">
            <v>#N/A</v>
          </cell>
        </row>
        <row r="330">
          <cell r="A330">
            <v>40450</v>
          </cell>
          <cell r="B330">
            <v>40450</v>
          </cell>
          <cell r="C330" t="str">
            <v>Past</v>
          </cell>
          <cell r="D330">
            <v>12.99</v>
          </cell>
          <cell r="E330" t="e">
            <v>#N/A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>
            <v>12.99</v>
          </cell>
          <cell r="Q330">
            <v>1.350544</v>
          </cell>
          <cell r="R330" t="e">
            <v>#N/A</v>
          </cell>
        </row>
        <row r="331">
          <cell r="A331">
            <v>40451</v>
          </cell>
          <cell r="B331">
            <v>40451</v>
          </cell>
          <cell r="C331" t="str">
            <v>Past</v>
          </cell>
          <cell r="D331">
            <v>13.15</v>
          </cell>
          <cell r="E331" t="e">
            <v>#N/A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>
            <v>13.15</v>
          </cell>
          <cell r="Q331">
            <v>1.4850939999999999</v>
          </cell>
          <cell r="R331" t="e">
            <v>#N/A</v>
          </cell>
        </row>
        <row r="332">
          <cell r="A332">
            <v>40452</v>
          </cell>
          <cell r="B332">
            <v>40452</v>
          </cell>
          <cell r="C332" t="str">
            <v>Past</v>
          </cell>
          <cell r="D332">
            <v>13.13</v>
          </cell>
          <cell r="E332" t="e">
            <v>#N/A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>
            <v>13.13</v>
          </cell>
          <cell r="Q332">
            <v>1.921621</v>
          </cell>
          <cell r="R332" t="e">
            <v>#N/A</v>
          </cell>
        </row>
        <row r="333">
          <cell r="A333">
            <v>40455</v>
          </cell>
          <cell r="B333">
            <v>40455</v>
          </cell>
          <cell r="C333" t="str">
            <v>Past</v>
          </cell>
          <cell r="D333">
            <v>12.94</v>
          </cell>
          <cell r="E333" t="e">
            <v>#N/A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>
            <v>12.94</v>
          </cell>
          <cell r="Q333">
            <v>1.977595</v>
          </cell>
          <cell r="R333" t="e">
            <v>#N/A</v>
          </cell>
        </row>
        <row r="334">
          <cell r="A334">
            <v>40456</v>
          </cell>
          <cell r="B334">
            <v>40456</v>
          </cell>
          <cell r="C334" t="str">
            <v>Past</v>
          </cell>
          <cell r="D334">
            <v>12.94</v>
          </cell>
          <cell r="E334" t="e">
            <v>#N/A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>
            <v>12.94</v>
          </cell>
          <cell r="Q334">
            <v>2.0961650000000001</v>
          </cell>
          <cell r="R334" t="e">
            <v>#N/A</v>
          </cell>
        </row>
        <row r="335">
          <cell r="A335">
            <v>40457</v>
          </cell>
          <cell r="B335">
            <v>40457</v>
          </cell>
          <cell r="C335" t="str">
            <v>Past</v>
          </cell>
          <cell r="D335">
            <v>12.87</v>
          </cell>
          <cell r="E335" t="e">
            <v>#N/A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>
            <v>12.87</v>
          </cell>
          <cell r="Q335">
            <v>1.6934449999999999</v>
          </cell>
          <cell r="R335" t="e">
            <v>#N/A</v>
          </cell>
        </row>
        <row r="336">
          <cell r="A336">
            <v>40458</v>
          </cell>
          <cell r="B336">
            <v>40458</v>
          </cell>
          <cell r="C336" t="str">
            <v>Past</v>
          </cell>
          <cell r="D336">
            <v>12.95</v>
          </cell>
          <cell r="E336" t="e">
            <v>#N/A</v>
          </cell>
          <cell r="F336" t="e">
            <v>#N/A</v>
          </cell>
          <cell r="G336" t="e">
            <v>#N/A</v>
          </cell>
          <cell r="H336" t="e">
            <v>#N/A</v>
          </cell>
          <cell r="I336" t="e">
            <v>#N/A</v>
          </cell>
          <cell r="J336" t="e">
            <v>#N/A</v>
          </cell>
          <cell r="K336" t="e">
            <v>#N/A</v>
          </cell>
          <cell r="L336" t="e">
            <v>#N/A</v>
          </cell>
          <cell r="M336" t="e">
            <v>#N/A</v>
          </cell>
          <cell r="N336" t="e">
            <v>#N/A</v>
          </cell>
          <cell r="O336" t="e">
            <v>#N/A</v>
          </cell>
          <cell r="P336">
            <v>12.95</v>
          </cell>
          <cell r="Q336">
            <v>1.0372839999999999</v>
          </cell>
          <cell r="R336" t="e">
            <v>#N/A</v>
          </cell>
        </row>
        <row r="337">
          <cell r="A337">
            <v>40459</v>
          </cell>
          <cell r="B337">
            <v>40459</v>
          </cell>
          <cell r="C337" t="str">
            <v>Past</v>
          </cell>
          <cell r="D337">
            <v>13.07</v>
          </cell>
          <cell r="E337" t="e">
            <v>#N/A</v>
          </cell>
          <cell r="F337" t="e">
            <v>#N/A</v>
          </cell>
          <cell r="G337" t="e">
            <v>#N/A</v>
          </cell>
          <cell r="H337" t="e">
            <v>#N/A</v>
          </cell>
          <cell r="I337" t="e">
            <v>#N/A</v>
          </cell>
          <cell r="J337" t="e">
            <v>#N/A</v>
          </cell>
          <cell r="K337" t="e">
            <v>#N/A</v>
          </cell>
          <cell r="L337" t="e">
            <v>#N/A</v>
          </cell>
          <cell r="M337" t="e">
            <v>#N/A</v>
          </cell>
          <cell r="N337" t="e">
            <v>#N/A</v>
          </cell>
          <cell r="O337" t="e">
            <v>#N/A</v>
          </cell>
          <cell r="P337">
            <v>13.07</v>
          </cell>
          <cell r="Q337">
            <v>1.3130230000000001</v>
          </cell>
          <cell r="R337" t="e">
            <v>#N/A</v>
          </cell>
        </row>
        <row r="338">
          <cell r="A338">
            <v>40462</v>
          </cell>
          <cell r="B338">
            <v>40462</v>
          </cell>
          <cell r="C338" t="str">
            <v>Past</v>
          </cell>
          <cell r="D338">
            <v>12.99</v>
          </cell>
          <cell r="E338" t="e">
            <v>#N/A</v>
          </cell>
          <cell r="F338" t="e">
            <v>#N/A</v>
          </cell>
          <cell r="G338" t="e">
            <v>#N/A</v>
          </cell>
          <cell r="H338" t="e">
            <v>#N/A</v>
          </cell>
          <cell r="I338" t="e">
            <v>#N/A</v>
          </cell>
          <cell r="J338" t="e">
            <v>#N/A</v>
          </cell>
          <cell r="K338" t="e">
            <v>#N/A</v>
          </cell>
          <cell r="L338" t="e">
            <v>#N/A</v>
          </cell>
          <cell r="M338" t="e">
            <v>#N/A</v>
          </cell>
          <cell r="N338" t="e">
            <v>#N/A</v>
          </cell>
          <cell r="O338" t="e">
            <v>#N/A</v>
          </cell>
          <cell r="P338">
            <v>12.99</v>
          </cell>
          <cell r="Q338">
            <v>2.0637059999999998</v>
          </cell>
          <cell r="R338" t="e">
            <v>#N/A</v>
          </cell>
        </row>
        <row r="339">
          <cell r="A339">
            <v>40463</v>
          </cell>
          <cell r="B339">
            <v>40463</v>
          </cell>
          <cell r="C339" t="str">
            <v>Past</v>
          </cell>
          <cell r="D339">
            <v>13.06</v>
          </cell>
          <cell r="E339" t="e">
            <v>#N/A</v>
          </cell>
          <cell r="F339" t="e">
            <v>#N/A</v>
          </cell>
          <cell r="G339" t="e">
            <v>#N/A</v>
          </cell>
          <cell r="H339" t="e">
            <v>#N/A</v>
          </cell>
          <cell r="I339" t="e">
            <v>#N/A</v>
          </cell>
          <cell r="J339" t="e">
            <v>#N/A</v>
          </cell>
          <cell r="K339" t="e">
            <v>#N/A</v>
          </cell>
          <cell r="L339" t="e">
            <v>#N/A</v>
          </cell>
          <cell r="M339" t="e">
            <v>#N/A</v>
          </cell>
          <cell r="N339" t="e">
            <v>#N/A</v>
          </cell>
          <cell r="O339" t="e">
            <v>#N/A</v>
          </cell>
          <cell r="P339">
            <v>13.06</v>
          </cell>
          <cell r="Q339">
            <v>1.4325909999999999</v>
          </cell>
          <cell r="R339" t="e">
            <v>#N/A</v>
          </cell>
        </row>
        <row r="340">
          <cell r="A340">
            <v>40464</v>
          </cell>
          <cell r="B340">
            <v>40464</v>
          </cell>
          <cell r="C340" t="str">
            <v>Past</v>
          </cell>
          <cell r="D340">
            <v>13.01</v>
          </cell>
          <cell r="E340" t="e">
            <v>#N/A</v>
          </cell>
          <cell r="F340" t="e">
            <v>#N/A</v>
          </cell>
          <cell r="G340" t="e">
            <v>#N/A</v>
          </cell>
          <cell r="H340" t="e">
            <v>#N/A</v>
          </cell>
          <cell r="I340" t="e">
            <v>#N/A</v>
          </cell>
          <cell r="J340" t="e">
            <v>#N/A</v>
          </cell>
          <cell r="K340" t="e">
            <v>#N/A</v>
          </cell>
          <cell r="L340" t="e">
            <v>#N/A</v>
          </cell>
          <cell r="M340" t="e">
            <v>#N/A</v>
          </cell>
          <cell r="N340" t="e">
            <v>#N/A</v>
          </cell>
          <cell r="O340" t="e">
            <v>#N/A</v>
          </cell>
          <cell r="P340">
            <v>13.01</v>
          </cell>
          <cell r="Q340">
            <v>1.2016229999999999</v>
          </cell>
          <cell r="R340" t="e">
            <v>#N/A</v>
          </cell>
        </row>
        <row r="341">
          <cell r="A341">
            <v>40465</v>
          </cell>
          <cell r="B341">
            <v>40465</v>
          </cell>
          <cell r="C341" t="str">
            <v>Past</v>
          </cell>
          <cell r="D341">
            <v>13.09</v>
          </cell>
          <cell r="E341" t="e">
            <v>#N/A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>
            <v>13.09</v>
          </cell>
          <cell r="Q341">
            <v>0.89577699999999993</v>
          </cell>
          <cell r="R341" t="e">
            <v>#N/A</v>
          </cell>
        </row>
        <row r="342">
          <cell r="A342">
            <v>40466</v>
          </cell>
          <cell r="B342">
            <v>40466</v>
          </cell>
          <cell r="C342" t="str">
            <v>Past</v>
          </cell>
          <cell r="D342">
            <v>13.16</v>
          </cell>
          <cell r="E342" t="e">
            <v>#N/A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>
            <v>13.16</v>
          </cell>
          <cell r="Q342">
            <v>1.373721</v>
          </cell>
          <cell r="R342" t="e">
            <v>#N/A</v>
          </cell>
        </row>
        <row r="343">
          <cell r="A343">
            <v>40469</v>
          </cell>
          <cell r="B343">
            <v>40469</v>
          </cell>
          <cell r="C343" t="str">
            <v>Past</v>
          </cell>
          <cell r="D343">
            <v>13.25</v>
          </cell>
          <cell r="E343" t="e">
            <v>#N/A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>
            <v>13.25</v>
          </cell>
          <cell r="Q343">
            <v>0.72126899999999994</v>
          </cell>
          <cell r="R343" t="e">
            <v>#N/A</v>
          </cell>
        </row>
        <row r="344">
          <cell r="A344">
            <v>40470</v>
          </cell>
          <cell r="B344">
            <v>40470</v>
          </cell>
          <cell r="C344" t="str">
            <v>Past</v>
          </cell>
          <cell r="D344">
            <v>13.14</v>
          </cell>
          <cell r="E344" t="e">
            <v>#N/A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>
            <v>13.14</v>
          </cell>
          <cell r="Q344">
            <v>3.069394</v>
          </cell>
          <cell r="R344" t="e">
            <v>#N/A</v>
          </cell>
        </row>
        <row r="345">
          <cell r="A345">
            <v>40471</v>
          </cell>
          <cell r="B345">
            <v>40471</v>
          </cell>
          <cell r="C345" t="str">
            <v>Past</v>
          </cell>
          <cell r="D345">
            <v>13.19</v>
          </cell>
          <cell r="E345" t="e">
            <v>#N/A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>
            <v>13.19</v>
          </cell>
          <cell r="Q345">
            <v>1.592768</v>
          </cell>
          <cell r="R345" t="e">
            <v>#N/A</v>
          </cell>
        </row>
        <row r="346">
          <cell r="A346">
            <v>40472</v>
          </cell>
          <cell r="B346">
            <v>40472</v>
          </cell>
          <cell r="C346" t="str">
            <v>Past</v>
          </cell>
          <cell r="D346">
            <v>13.17</v>
          </cell>
          <cell r="E346" t="e">
            <v>#N/A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>
            <v>13.17</v>
          </cell>
          <cell r="Q346">
            <v>2.0111460000000001</v>
          </cell>
          <cell r="R346" t="e">
            <v>#N/A</v>
          </cell>
        </row>
        <row r="347">
          <cell r="A347">
            <v>40473</v>
          </cell>
          <cell r="B347">
            <v>40473</v>
          </cell>
          <cell r="C347" t="str">
            <v>Past</v>
          </cell>
          <cell r="D347">
            <v>13.08</v>
          </cell>
          <cell r="E347" t="e">
            <v>#N/A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>
            <v>13.08</v>
          </cell>
          <cell r="Q347">
            <v>3.1426209999999997</v>
          </cell>
          <cell r="R347" t="e">
            <v>#N/A</v>
          </cell>
        </row>
        <row r="348">
          <cell r="A348">
            <v>40476</v>
          </cell>
          <cell r="B348">
            <v>40476</v>
          </cell>
          <cell r="C348" t="str">
            <v>Past</v>
          </cell>
          <cell r="D348">
            <v>12.99</v>
          </cell>
          <cell r="E348" t="e">
            <v>#N/A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>
            <v>12.99</v>
          </cell>
          <cell r="Q348">
            <v>2.530951</v>
          </cell>
          <cell r="R348" t="e">
            <v>#N/A</v>
          </cell>
        </row>
        <row r="349">
          <cell r="A349">
            <v>40477</v>
          </cell>
          <cell r="B349">
            <v>40477</v>
          </cell>
          <cell r="C349" t="str">
            <v>Past</v>
          </cell>
          <cell r="D349">
            <v>13.5</v>
          </cell>
          <cell r="E349" t="e">
            <v>#N/A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>
            <v>13.5</v>
          </cell>
          <cell r="Q349">
            <v>5.4561000000000002</v>
          </cell>
          <cell r="R349" t="e">
            <v>#N/A</v>
          </cell>
        </row>
        <row r="350">
          <cell r="A350">
            <v>40478</v>
          </cell>
          <cell r="B350">
            <v>40478</v>
          </cell>
          <cell r="C350" t="str">
            <v>Past</v>
          </cell>
          <cell r="D350">
            <v>13.56</v>
          </cell>
          <cell r="E350" t="e">
            <v>#N/A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>
            <v>13.56</v>
          </cell>
          <cell r="Q350">
            <v>2.7789239999999999</v>
          </cell>
          <cell r="R350" t="e">
            <v>#N/A</v>
          </cell>
        </row>
        <row r="351">
          <cell r="A351">
            <v>40479</v>
          </cell>
          <cell r="B351">
            <v>40479</v>
          </cell>
          <cell r="C351" t="str">
            <v>Past</v>
          </cell>
          <cell r="D351">
            <v>13.61</v>
          </cell>
          <cell r="E351" t="e">
            <v>#N/A</v>
          </cell>
          <cell r="F351" t="e">
            <v>#N/A</v>
          </cell>
          <cell r="G351" t="e">
            <v>#N/A</v>
          </cell>
          <cell r="H351" t="e">
            <v>#N/A</v>
          </cell>
          <cell r="I351" t="e">
            <v>#N/A</v>
          </cell>
          <cell r="J351" t="e">
            <v>#N/A</v>
          </cell>
          <cell r="K351" t="e">
            <v>#N/A</v>
          </cell>
          <cell r="L351" t="e">
            <v>#N/A</v>
          </cell>
          <cell r="M351" t="e">
            <v>#N/A</v>
          </cell>
          <cell r="N351" t="e">
            <v>#N/A</v>
          </cell>
          <cell r="O351" t="e">
            <v>#N/A</v>
          </cell>
          <cell r="P351">
            <v>13.61</v>
          </cell>
          <cell r="Q351">
            <v>2.4458409999999997</v>
          </cell>
          <cell r="R351" t="e">
            <v>#N/A</v>
          </cell>
        </row>
        <row r="352">
          <cell r="A352">
            <v>40480</v>
          </cell>
          <cell r="B352">
            <v>40480</v>
          </cell>
          <cell r="C352" t="str">
            <v>Past</v>
          </cell>
          <cell r="D352">
            <v>13.67</v>
          </cell>
          <cell r="E352" t="e">
            <v>#N/A</v>
          </cell>
          <cell r="F352" t="e">
            <v>#N/A</v>
          </cell>
          <cell r="G352" t="e">
            <v>#N/A</v>
          </cell>
          <cell r="H352" t="e">
            <v>#N/A</v>
          </cell>
          <cell r="I352" t="e">
            <v>#N/A</v>
          </cell>
          <cell r="J352" t="e">
            <v>#N/A</v>
          </cell>
          <cell r="K352" t="e">
            <v>#N/A</v>
          </cell>
          <cell r="L352" t="e">
            <v>#N/A</v>
          </cell>
          <cell r="M352" t="e">
            <v>#N/A</v>
          </cell>
          <cell r="N352" t="e">
            <v>#N/A</v>
          </cell>
          <cell r="O352" t="e">
            <v>#N/A</v>
          </cell>
          <cell r="P352">
            <v>13.67</v>
          </cell>
          <cell r="Q352">
            <v>1.4752000000000001</v>
          </cell>
          <cell r="R352" t="e">
            <v>#N/A</v>
          </cell>
        </row>
        <row r="353">
          <cell r="A353">
            <v>40483</v>
          </cell>
          <cell r="B353">
            <v>40483</v>
          </cell>
          <cell r="C353" t="str">
            <v>Past</v>
          </cell>
          <cell r="D353">
            <v>13.68</v>
          </cell>
          <cell r="E353" t="e">
            <v>#N/A</v>
          </cell>
          <cell r="F353" t="e">
            <v>#N/A</v>
          </cell>
          <cell r="G353" t="e">
            <v>#N/A</v>
          </cell>
          <cell r="H353" t="e">
            <v>#N/A</v>
          </cell>
          <cell r="I353" t="e">
            <v>#N/A</v>
          </cell>
          <cell r="J353" t="e">
            <v>#N/A</v>
          </cell>
          <cell r="K353" t="e">
            <v>#N/A</v>
          </cell>
          <cell r="L353" t="e">
            <v>#N/A</v>
          </cell>
          <cell r="M353" t="e">
            <v>#N/A</v>
          </cell>
          <cell r="N353" t="e">
            <v>#N/A</v>
          </cell>
          <cell r="O353" t="e">
            <v>#N/A</v>
          </cell>
          <cell r="P353">
            <v>13.68</v>
          </cell>
          <cell r="Q353">
            <v>1.9509209999999999</v>
          </cell>
          <cell r="R353" t="e">
            <v>#N/A</v>
          </cell>
        </row>
        <row r="354">
          <cell r="A354">
            <v>40484</v>
          </cell>
          <cell r="B354">
            <v>40484</v>
          </cell>
          <cell r="C354" t="str">
            <v>Past</v>
          </cell>
          <cell r="D354">
            <v>13.83</v>
          </cell>
          <cell r="E354" t="e">
            <v>#N/A</v>
          </cell>
          <cell r="F354" t="e">
            <v>#N/A</v>
          </cell>
          <cell r="G354" t="e">
            <v>#N/A</v>
          </cell>
          <cell r="H354" t="e">
            <v>#N/A</v>
          </cell>
          <cell r="I354" t="e">
            <v>#N/A</v>
          </cell>
          <cell r="J354" t="e">
            <v>#N/A</v>
          </cell>
          <cell r="K354" t="e">
            <v>#N/A</v>
          </cell>
          <cell r="L354" t="e">
            <v>#N/A</v>
          </cell>
          <cell r="M354" t="e">
            <v>#N/A</v>
          </cell>
          <cell r="N354" t="e">
            <v>#N/A</v>
          </cell>
          <cell r="O354" t="e">
            <v>#N/A</v>
          </cell>
          <cell r="P354">
            <v>13.83</v>
          </cell>
          <cell r="Q354">
            <v>1.22519</v>
          </cell>
          <cell r="R354" t="e">
            <v>#N/A</v>
          </cell>
        </row>
        <row r="355">
          <cell r="A355">
            <v>40485</v>
          </cell>
          <cell r="B355">
            <v>40485</v>
          </cell>
          <cell r="C355" t="str">
            <v>Past</v>
          </cell>
          <cell r="D355">
            <v>13.83</v>
          </cell>
          <cell r="E355" t="e">
            <v>#N/A</v>
          </cell>
          <cell r="F355" t="e">
            <v>#N/A</v>
          </cell>
          <cell r="G355" t="e">
            <v>#N/A</v>
          </cell>
          <cell r="H355" t="e">
            <v>#N/A</v>
          </cell>
          <cell r="I355" t="e">
            <v>#N/A</v>
          </cell>
          <cell r="J355" t="e">
            <v>#N/A</v>
          </cell>
          <cell r="K355" t="e">
            <v>#N/A</v>
          </cell>
          <cell r="L355" t="e">
            <v>#N/A</v>
          </cell>
          <cell r="M355" t="e">
            <v>#N/A</v>
          </cell>
          <cell r="N355" t="e">
            <v>#N/A</v>
          </cell>
          <cell r="O355" t="e">
            <v>#N/A</v>
          </cell>
          <cell r="P355">
            <v>13.83</v>
          </cell>
          <cell r="Q355">
            <v>1.352117</v>
          </cell>
          <cell r="R355" t="e">
            <v>#N/A</v>
          </cell>
        </row>
        <row r="356">
          <cell r="A356">
            <v>40486</v>
          </cell>
          <cell r="B356">
            <v>40486</v>
          </cell>
          <cell r="C356" t="str">
            <v>Past</v>
          </cell>
          <cell r="D356">
            <v>14.01</v>
          </cell>
          <cell r="E356" t="e">
            <v>#N/A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>
            <v>14.01</v>
          </cell>
          <cell r="Q356">
            <v>1.294834</v>
          </cell>
          <cell r="R356" t="e">
            <v>#N/A</v>
          </cell>
        </row>
        <row r="357">
          <cell r="A357">
            <v>40487</v>
          </cell>
          <cell r="B357">
            <v>40487</v>
          </cell>
          <cell r="C357" t="str">
            <v>Past</v>
          </cell>
          <cell r="D357">
            <v>14.08</v>
          </cell>
          <cell r="E357" t="e">
            <v>#N/A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>
            <v>14.08</v>
          </cell>
          <cell r="Q357">
            <v>1.4330669999999999</v>
          </cell>
          <cell r="R357" t="e">
            <v>#N/A</v>
          </cell>
        </row>
        <row r="358">
          <cell r="A358">
            <v>40490</v>
          </cell>
          <cell r="B358">
            <v>40490</v>
          </cell>
          <cell r="C358" t="str">
            <v>Past</v>
          </cell>
          <cell r="D358">
            <v>14.04</v>
          </cell>
          <cell r="E358" t="e">
            <v>#N/A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>
            <v>14.04</v>
          </cell>
          <cell r="Q358">
            <v>1.399796</v>
          </cell>
          <cell r="R358" t="e">
            <v>#N/A</v>
          </cell>
        </row>
        <row r="359">
          <cell r="A359">
            <v>40491</v>
          </cell>
          <cell r="B359">
            <v>40491</v>
          </cell>
          <cell r="C359" t="str">
            <v>Past</v>
          </cell>
          <cell r="D359">
            <v>13.95</v>
          </cell>
          <cell r="E359" t="e">
            <v>#N/A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>
            <v>13.95</v>
          </cell>
          <cell r="Q359">
            <v>1.2766789999999999</v>
          </cell>
          <cell r="R359" t="e">
            <v>#N/A</v>
          </cell>
        </row>
        <row r="360">
          <cell r="A360">
            <v>40492</v>
          </cell>
          <cell r="B360">
            <v>40492</v>
          </cell>
          <cell r="C360" t="str">
            <v>Past</v>
          </cell>
          <cell r="D360">
            <v>13.85</v>
          </cell>
          <cell r="E360" t="e">
            <v>#N/A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>
            <v>13.85</v>
          </cell>
          <cell r="Q360">
            <v>1.4169559999999999</v>
          </cell>
          <cell r="R360" t="e">
            <v>#N/A</v>
          </cell>
        </row>
        <row r="361">
          <cell r="A361">
            <v>40493</v>
          </cell>
          <cell r="B361">
            <v>40493</v>
          </cell>
          <cell r="C361" t="str">
            <v>Past</v>
          </cell>
          <cell r="D361">
            <v>13.81</v>
          </cell>
          <cell r="E361" t="e">
            <v>#N/A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>
            <v>13.81</v>
          </cell>
          <cell r="Q361">
            <v>1.0204959999999998</v>
          </cell>
          <cell r="R361" t="e">
            <v>#N/A</v>
          </cell>
        </row>
        <row r="362">
          <cell r="A362">
            <v>40494</v>
          </cell>
          <cell r="B362">
            <v>40494</v>
          </cell>
          <cell r="C362" t="str">
            <v>Past</v>
          </cell>
          <cell r="D362">
            <v>13.78</v>
          </cell>
          <cell r="E362" t="e">
            <v>#N/A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>
            <v>13.78</v>
          </cell>
          <cell r="Q362">
            <v>2.466567</v>
          </cell>
          <cell r="R362" t="e">
            <v>#N/A</v>
          </cell>
        </row>
        <row r="363">
          <cell r="A363">
            <v>40497</v>
          </cell>
          <cell r="B363">
            <v>40497</v>
          </cell>
          <cell r="C363" t="str">
            <v>Past</v>
          </cell>
          <cell r="D363">
            <v>13.86</v>
          </cell>
          <cell r="E363" t="e">
            <v>#N/A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>
            <v>13.86</v>
          </cell>
          <cell r="Q363">
            <v>1.445506</v>
          </cell>
          <cell r="R363" t="e">
            <v>#N/A</v>
          </cell>
        </row>
        <row r="364">
          <cell r="A364">
            <v>40498</v>
          </cell>
          <cell r="B364">
            <v>40498</v>
          </cell>
          <cell r="C364" t="str">
            <v>Past</v>
          </cell>
          <cell r="D364">
            <v>13.58</v>
          </cell>
          <cell r="E364" t="e">
            <v>#N/A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>
            <v>13.58</v>
          </cell>
          <cell r="Q364">
            <v>2.116126</v>
          </cell>
          <cell r="R364" t="e">
            <v>#N/A</v>
          </cell>
        </row>
        <row r="365">
          <cell r="A365">
            <v>40499</v>
          </cell>
          <cell r="B365">
            <v>40499</v>
          </cell>
          <cell r="C365" t="str">
            <v>Past</v>
          </cell>
          <cell r="D365">
            <v>13.57</v>
          </cell>
          <cell r="E365" t="e">
            <v>#N/A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>
            <v>13.57</v>
          </cell>
          <cell r="Q365">
            <v>1.1772229999999999</v>
          </cell>
          <cell r="R365" t="e">
            <v>#N/A</v>
          </cell>
        </row>
        <row r="366">
          <cell r="A366">
            <v>40500</v>
          </cell>
          <cell r="B366">
            <v>40500</v>
          </cell>
          <cell r="C366" t="str">
            <v>Past</v>
          </cell>
          <cell r="D366">
            <v>13.69</v>
          </cell>
          <cell r="E366" t="e">
            <v>#N/A</v>
          </cell>
          <cell r="F366" t="e">
            <v>#N/A</v>
          </cell>
          <cell r="G366" t="e">
            <v>#N/A</v>
          </cell>
          <cell r="H366" t="e">
            <v>#N/A</v>
          </cell>
          <cell r="I366" t="e">
            <v>#N/A</v>
          </cell>
          <cell r="J366" t="e">
            <v>#N/A</v>
          </cell>
          <cell r="K366" t="e">
            <v>#N/A</v>
          </cell>
          <cell r="L366" t="e">
            <v>#N/A</v>
          </cell>
          <cell r="M366" t="e">
            <v>#N/A</v>
          </cell>
          <cell r="N366" t="e">
            <v>#N/A</v>
          </cell>
          <cell r="O366" t="e">
            <v>#N/A</v>
          </cell>
          <cell r="P366">
            <v>13.69</v>
          </cell>
          <cell r="Q366">
            <v>0.73825699999999994</v>
          </cell>
          <cell r="R366" t="e">
            <v>#N/A</v>
          </cell>
        </row>
        <row r="367">
          <cell r="A367">
            <v>40501</v>
          </cell>
          <cell r="B367">
            <v>40501</v>
          </cell>
          <cell r="C367" t="str">
            <v>Past</v>
          </cell>
          <cell r="D367">
            <v>13.71</v>
          </cell>
          <cell r="E367" t="e">
            <v>#N/A</v>
          </cell>
          <cell r="F367" t="e">
            <v>#N/A</v>
          </cell>
          <cell r="G367" t="e">
            <v>#N/A</v>
          </cell>
          <cell r="H367" t="e">
            <v>#N/A</v>
          </cell>
          <cell r="I367" t="e">
            <v>#N/A</v>
          </cell>
          <cell r="J367" t="e">
            <v>#N/A</v>
          </cell>
          <cell r="K367" t="e">
            <v>#N/A</v>
          </cell>
          <cell r="L367" t="e">
            <v>#N/A</v>
          </cell>
          <cell r="M367" t="e">
            <v>#N/A</v>
          </cell>
          <cell r="N367" t="e">
            <v>#N/A</v>
          </cell>
          <cell r="O367" t="e">
            <v>#N/A</v>
          </cell>
          <cell r="P367">
            <v>13.71</v>
          </cell>
          <cell r="Q367">
            <v>0.69165399999999999</v>
          </cell>
          <cell r="R367" t="e">
            <v>#N/A</v>
          </cell>
        </row>
        <row r="368">
          <cell r="A368">
            <v>40504</v>
          </cell>
          <cell r="B368">
            <v>40504</v>
          </cell>
          <cell r="C368" t="str">
            <v>Past</v>
          </cell>
          <cell r="D368">
            <v>13.9</v>
          </cell>
          <cell r="E368" t="e">
            <v>#N/A</v>
          </cell>
          <cell r="F368" t="e">
            <v>#N/A</v>
          </cell>
          <cell r="G368" t="e">
            <v>#N/A</v>
          </cell>
          <cell r="H368" t="e">
            <v>#N/A</v>
          </cell>
          <cell r="I368" t="e">
            <v>#N/A</v>
          </cell>
          <cell r="J368" t="e">
            <v>#N/A</v>
          </cell>
          <cell r="K368" t="e">
            <v>#N/A</v>
          </cell>
          <cell r="L368" t="e">
            <v>#N/A</v>
          </cell>
          <cell r="M368" t="e">
            <v>#N/A</v>
          </cell>
          <cell r="N368" t="e">
            <v>#N/A</v>
          </cell>
          <cell r="O368" t="e">
            <v>#N/A</v>
          </cell>
          <cell r="P368">
            <v>13.9</v>
          </cell>
          <cell r="Q368">
            <v>1.7465309999999998</v>
          </cell>
          <cell r="R368" t="e">
            <v>#N/A</v>
          </cell>
        </row>
        <row r="369">
          <cell r="A369">
            <v>40505</v>
          </cell>
          <cell r="B369">
            <v>40505</v>
          </cell>
          <cell r="C369" t="str">
            <v>Past</v>
          </cell>
          <cell r="D369">
            <v>13.77</v>
          </cell>
          <cell r="E369" t="e">
            <v>#N/A</v>
          </cell>
          <cell r="F369" t="e">
            <v>#N/A</v>
          </cell>
          <cell r="G369" t="e">
            <v>#N/A</v>
          </cell>
          <cell r="H369" t="e">
            <v>#N/A</v>
          </cell>
          <cell r="I369" t="e">
            <v>#N/A</v>
          </cell>
          <cell r="J369" t="e">
            <v>#N/A</v>
          </cell>
          <cell r="K369" t="e">
            <v>#N/A</v>
          </cell>
          <cell r="L369" t="e">
            <v>#N/A</v>
          </cell>
          <cell r="M369" t="e">
            <v>#N/A</v>
          </cell>
          <cell r="N369" t="e">
            <v>#N/A</v>
          </cell>
          <cell r="O369" t="e">
            <v>#N/A</v>
          </cell>
          <cell r="P369">
            <v>13.77</v>
          </cell>
          <cell r="Q369">
            <v>1.594803</v>
          </cell>
          <cell r="R369" t="e">
            <v>#N/A</v>
          </cell>
        </row>
        <row r="370">
          <cell r="A370">
            <v>40506</v>
          </cell>
          <cell r="B370">
            <v>40506</v>
          </cell>
          <cell r="C370" t="str">
            <v>Past</v>
          </cell>
          <cell r="D370">
            <v>13.92</v>
          </cell>
          <cell r="E370" t="e">
            <v>#N/A</v>
          </cell>
          <cell r="F370" t="e">
            <v>#N/A</v>
          </cell>
          <cell r="G370" t="e">
            <v>#N/A</v>
          </cell>
          <cell r="H370" t="e">
            <v>#N/A</v>
          </cell>
          <cell r="I370" t="e">
            <v>#N/A</v>
          </cell>
          <cell r="J370" t="e">
            <v>#N/A</v>
          </cell>
          <cell r="K370" t="e">
            <v>#N/A</v>
          </cell>
          <cell r="L370" t="e">
            <v>#N/A</v>
          </cell>
          <cell r="M370" t="e">
            <v>#N/A</v>
          </cell>
          <cell r="N370" t="e">
            <v>#N/A</v>
          </cell>
          <cell r="O370" t="e">
            <v>#N/A</v>
          </cell>
          <cell r="P370">
            <v>13.92</v>
          </cell>
          <cell r="Q370">
            <v>1.474548</v>
          </cell>
          <cell r="R370" t="e">
            <v>#N/A</v>
          </cell>
        </row>
        <row r="371">
          <cell r="A371">
            <v>40508</v>
          </cell>
          <cell r="B371">
            <v>40508</v>
          </cell>
          <cell r="C371" t="str">
            <v>Past</v>
          </cell>
          <cell r="D371">
            <v>13.83</v>
          </cell>
          <cell r="E371" t="e">
            <v>#N/A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>
            <v>13.83</v>
          </cell>
          <cell r="Q371">
            <v>0.74225599999999992</v>
          </cell>
          <cell r="R371" t="e">
            <v>#N/A</v>
          </cell>
        </row>
        <row r="372">
          <cell r="A372">
            <v>40511</v>
          </cell>
          <cell r="B372">
            <v>40511</v>
          </cell>
          <cell r="C372" t="str">
            <v>Past</v>
          </cell>
          <cell r="D372">
            <v>13.7</v>
          </cell>
          <cell r="E372" t="e">
            <v>#N/A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>
            <v>13.7</v>
          </cell>
          <cell r="Q372">
            <v>1.363807</v>
          </cell>
          <cell r="R372" t="e">
            <v>#N/A</v>
          </cell>
        </row>
        <row r="373">
          <cell r="A373">
            <v>40512</v>
          </cell>
          <cell r="B373">
            <v>40512</v>
          </cell>
          <cell r="C373" t="str">
            <v>Past</v>
          </cell>
          <cell r="D373">
            <v>13.69</v>
          </cell>
          <cell r="E373" t="e">
            <v>#N/A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>
            <v>13.69</v>
          </cell>
          <cell r="Q373">
            <v>1.213838</v>
          </cell>
          <cell r="R373" t="e">
            <v>#N/A</v>
          </cell>
        </row>
        <row r="374">
          <cell r="A374">
            <v>40513</v>
          </cell>
          <cell r="B374">
            <v>40513</v>
          </cell>
          <cell r="C374" t="str">
            <v>Past</v>
          </cell>
          <cell r="D374">
            <v>13.89</v>
          </cell>
          <cell r="E374" t="e">
            <v>#N/A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>
            <v>13.89</v>
          </cell>
          <cell r="Q374">
            <v>1.3721729999999999</v>
          </cell>
          <cell r="R374" t="e">
            <v>#N/A</v>
          </cell>
        </row>
        <row r="375">
          <cell r="A375">
            <v>40514</v>
          </cell>
          <cell r="B375">
            <v>40514</v>
          </cell>
          <cell r="C375" t="str">
            <v>Past</v>
          </cell>
          <cell r="D375">
            <v>13.94</v>
          </cell>
          <cell r="E375" t="e">
            <v>#N/A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>
            <v>13.94</v>
          </cell>
          <cell r="Q375">
            <v>1.5730659999999999</v>
          </cell>
          <cell r="R375" t="e">
            <v>#N/A</v>
          </cell>
        </row>
        <row r="376">
          <cell r="A376">
            <v>40515</v>
          </cell>
          <cell r="B376">
            <v>40515</v>
          </cell>
          <cell r="C376" t="str">
            <v>Past</v>
          </cell>
          <cell r="D376">
            <v>13.92</v>
          </cell>
          <cell r="E376" t="e">
            <v>#N/A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>
            <v>13.92</v>
          </cell>
          <cell r="Q376">
            <v>1.3870339999999999</v>
          </cell>
          <cell r="R376" t="e">
            <v>#N/A</v>
          </cell>
        </row>
        <row r="377">
          <cell r="A377">
            <v>40518</v>
          </cell>
          <cell r="B377">
            <v>40518</v>
          </cell>
          <cell r="C377" t="str">
            <v>Past</v>
          </cell>
          <cell r="D377">
            <v>13.9</v>
          </cell>
          <cell r="E377" t="e">
            <v>#N/A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>
            <v>13.9</v>
          </cell>
          <cell r="Q377">
            <v>0.99063099999999993</v>
          </cell>
          <cell r="R377" t="e">
            <v>#N/A</v>
          </cell>
        </row>
        <row r="378">
          <cell r="A378">
            <v>40519</v>
          </cell>
          <cell r="B378">
            <v>40519</v>
          </cell>
          <cell r="C378" t="str">
            <v>Past</v>
          </cell>
          <cell r="D378">
            <v>13.85</v>
          </cell>
          <cell r="E378" t="e">
            <v>#N/A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>
            <v>13.85</v>
          </cell>
          <cell r="Q378">
            <v>1.4670259999999999</v>
          </cell>
          <cell r="R378" t="e">
            <v>#N/A</v>
          </cell>
        </row>
        <row r="379">
          <cell r="A379">
            <v>40520</v>
          </cell>
          <cell r="B379">
            <v>40520</v>
          </cell>
          <cell r="C379" t="str">
            <v>Past</v>
          </cell>
          <cell r="D379">
            <v>13.68</v>
          </cell>
          <cell r="E379" t="e">
            <v>#N/A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>
            <v>13.68</v>
          </cell>
          <cell r="Q379">
            <v>1.306387</v>
          </cell>
          <cell r="R379" t="e">
            <v>#N/A</v>
          </cell>
        </row>
        <row r="380">
          <cell r="A380">
            <v>40521</v>
          </cell>
          <cell r="B380">
            <v>40521</v>
          </cell>
          <cell r="C380" t="str">
            <v>Past</v>
          </cell>
          <cell r="D380">
            <v>13.76</v>
          </cell>
          <cell r="E380" t="e">
            <v>#N/A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>
            <v>13.76</v>
          </cell>
          <cell r="Q380">
            <v>1.0436049999999999</v>
          </cell>
          <cell r="R380" t="e">
            <v>#N/A</v>
          </cell>
        </row>
        <row r="381">
          <cell r="A381">
            <v>40522</v>
          </cell>
          <cell r="B381">
            <v>40522</v>
          </cell>
          <cell r="C381" t="str">
            <v>Past</v>
          </cell>
          <cell r="D381">
            <v>13.85</v>
          </cell>
          <cell r="E381" t="e">
            <v>#N/A</v>
          </cell>
          <cell r="F381" t="e">
            <v>#N/A</v>
          </cell>
          <cell r="G381" t="e">
            <v>#N/A</v>
          </cell>
          <cell r="H381" t="e">
            <v>#N/A</v>
          </cell>
          <cell r="I381" t="e">
            <v>#N/A</v>
          </cell>
          <cell r="J381" t="e">
            <v>#N/A</v>
          </cell>
          <cell r="K381" t="e">
            <v>#N/A</v>
          </cell>
          <cell r="L381" t="e">
            <v>#N/A</v>
          </cell>
          <cell r="M381" t="e">
            <v>#N/A</v>
          </cell>
          <cell r="N381" t="e">
            <v>#N/A</v>
          </cell>
          <cell r="O381" t="e">
            <v>#N/A</v>
          </cell>
          <cell r="P381">
            <v>13.85</v>
          </cell>
          <cell r="Q381">
            <v>0.75632599999999994</v>
          </cell>
          <cell r="R381" t="e">
            <v>#N/A</v>
          </cell>
        </row>
        <row r="382">
          <cell r="A382">
            <v>40525</v>
          </cell>
          <cell r="B382">
            <v>40525</v>
          </cell>
          <cell r="C382" t="str">
            <v>Past</v>
          </cell>
          <cell r="D382">
            <v>13.92</v>
          </cell>
          <cell r="E382" t="e">
            <v>#N/A</v>
          </cell>
          <cell r="F382" t="e">
            <v>#N/A</v>
          </cell>
          <cell r="G382" t="e">
            <v>#N/A</v>
          </cell>
          <cell r="H382" t="e">
            <v>#N/A</v>
          </cell>
          <cell r="I382" t="e">
            <v>#N/A</v>
          </cell>
          <cell r="J382" t="e">
            <v>#N/A</v>
          </cell>
          <cell r="K382" t="e">
            <v>#N/A</v>
          </cell>
          <cell r="L382" t="e">
            <v>#N/A</v>
          </cell>
          <cell r="M382" t="e">
            <v>#N/A</v>
          </cell>
          <cell r="N382" t="e">
            <v>#N/A</v>
          </cell>
          <cell r="O382" t="e">
            <v>#N/A</v>
          </cell>
          <cell r="P382">
            <v>13.92</v>
          </cell>
          <cell r="Q382">
            <v>1.0436159999999999</v>
          </cell>
          <cell r="R382" t="e">
            <v>#N/A</v>
          </cell>
        </row>
        <row r="383">
          <cell r="A383">
            <v>40526</v>
          </cell>
          <cell r="B383">
            <v>40526</v>
          </cell>
          <cell r="C383" t="str">
            <v>Past</v>
          </cell>
          <cell r="D383">
            <v>13.99</v>
          </cell>
          <cell r="E383" t="e">
            <v>#N/A</v>
          </cell>
          <cell r="F383" t="e">
            <v>#N/A</v>
          </cell>
          <cell r="G383" t="e">
            <v>#N/A</v>
          </cell>
          <cell r="H383" t="e">
            <v>#N/A</v>
          </cell>
          <cell r="I383" t="e">
            <v>#N/A</v>
          </cell>
          <cell r="J383" t="e">
            <v>#N/A</v>
          </cell>
          <cell r="K383" t="e">
            <v>#N/A</v>
          </cell>
          <cell r="L383" t="e">
            <v>#N/A</v>
          </cell>
          <cell r="M383" t="e">
            <v>#N/A</v>
          </cell>
          <cell r="N383" t="e">
            <v>#N/A</v>
          </cell>
          <cell r="O383" t="e">
            <v>#N/A</v>
          </cell>
          <cell r="P383">
            <v>13.99</v>
          </cell>
          <cell r="Q383">
            <v>1.1892600000000002</v>
          </cell>
          <cell r="R383" t="e">
            <v>#N/A</v>
          </cell>
        </row>
        <row r="384">
          <cell r="A384">
            <v>40527</v>
          </cell>
          <cell r="B384">
            <v>40527</v>
          </cell>
          <cell r="C384" t="str">
            <v>Past</v>
          </cell>
          <cell r="D384">
            <v>13.75</v>
          </cell>
          <cell r="E384" t="e">
            <v>#N/A</v>
          </cell>
          <cell r="F384" t="e">
            <v>#N/A</v>
          </cell>
          <cell r="G384" t="e">
            <v>#N/A</v>
          </cell>
          <cell r="H384" t="e">
            <v>#N/A</v>
          </cell>
          <cell r="I384" t="e">
            <v>#N/A</v>
          </cell>
          <cell r="J384" t="e">
            <v>#N/A</v>
          </cell>
          <cell r="K384" t="e">
            <v>#N/A</v>
          </cell>
          <cell r="L384" t="e">
            <v>#N/A</v>
          </cell>
          <cell r="M384" t="e">
            <v>#N/A</v>
          </cell>
          <cell r="N384" t="e">
            <v>#N/A</v>
          </cell>
          <cell r="O384" t="e">
            <v>#N/A</v>
          </cell>
          <cell r="P384">
            <v>13.75</v>
          </cell>
          <cell r="Q384">
            <v>1.3205</v>
          </cell>
          <cell r="R384" t="e">
            <v>#N/A</v>
          </cell>
        </row>
        <row r="385">
          <cell r="A385">
            <v>40528</v>
          </cell>
          <cell r="B385">
            <v>40528</v>
          </cell>
          <cell r="C385" t="str">
            <v>Past</v>
          </cell>
          <cell r="D385">
            <v>14.08</v>
          </cell>
          <cell r="E385" t="e">
            <v>#N/A</v>
          </cell>
          <cell r="F385" t="e">
            <v>#N/A</v>
          </cell>
          <cell r="G385" t="e">
            <v>#N/A</v>
          </cell>
          <cell r="H385" t="e">
            <v>#N/A</v>
          </cell>
          <cell r="I385" t="e">
            <v>#N/A</v>
          </cell>
          <cell r="J385" t="e">
            <v>#N/A</v>
          </cell>
          <cell r="K385" t="e">
            <v>#N/A</v>
          </cell>
          <cell r="L385" t="e">
            <v>#N/A</v>
          </cell>
          <cell r="M385" t="e">
            <v>#N/A</v>
          </cell>
          <cell r="N385" t="e">
            <v>#N/A</v>
          </cell>
          <cell r="O385" t="e">
            <v>#N/A</v>
          </cell>
          <cell r="P385">
            <v>14.08</v>
          </cell>
          <cell r="Q385">
            <v>1.730621</v>
          </cell>
          <cell r="R385" t="e">
            <v>#N/A</v>
          </cell>
        </row>
        <row r="386">
          <cell r="A386">
            <v>40529</v>
          </cell>
          <cell r="B386">
            <v>40529</v>
          </cell>
          <cell r="C386" t="str">
            <v>Past</v>
          </cell>
          <cell r="D386">
            <v>14.28</v>
          </cell>
          <cell r="E386" t="e">
            <v>#N/A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>
            <v>14.28</v>
          </cell>
          <cell r="Q386">
            <v>2.4079000000000002</v>
          </cell>
          <cell r="R386" t="e">
            <v>#N/A</v>
          </cell>
        </row>
        <row r="387">
          <cell r="A387">
            <v>40532</v>
          </cell>
          <cell r="B387">
            <v>40532</v>
          </cell>
          <cell r="C387" t="str">
            <v>Past</v>
          </cell>
          <cell r="D387">
            <v>14.29</v>
          </cell>
          <cell r="E387" t="e">
            <v>#N/A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>
            <v>14.29</v>
          </cell>
          <cell r="Q387">
            <v>1.9979749999999998</v>
          </cell>
          <cell r="R387" t="e">
            <v>#N/A</v>
          </cell>
        </row>
        <row r="388">
          <cell r="A388">
            <v>40533</v>
          </cell>
          <cell r="B388">
            <v>40533</v>
          </cell>
          <cell r="C388" t="str">
            <v>Past</v>
          </cell>
          <cell r="D388">
            <v>14.25</v>
          </cell>
          <cell r="E388" t="e">
            <v>#N/A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>
            <v>14.25</v>
          </cell>
          <cell r="Q388">
            <v>1.2516749999999999</v>
          </cell>
          <cell r="R388" t="e">
            <v>#N/A</v>
          </cell>
        </row>
        <row r="389">
          <cell r="A389">
            <v>40534</v>
          </cell>
          <cell r="B389">
            <v>40534</v>
          </cell>
          <cell r="C389" t="str">
            <v>Past</v>
          </cell>
          <cell r="D389">
            <v>14.28</v>
          </cell>
          <cell r="E389" t="e">
            <v>#N/A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>
            <v>14.28</v>
          </cell>
          <cell r="Q389">
            <v>0.79402699999999993</v>
          </cell>
          <cell r="R389" t="e">
            <v>#N/A</v>
          </cell>
        </row>
        <row r="390">
          <cell r="A390">
            <v>40535</v>
          </cell>
          <cell r="B390">
            <v>40535</v>
          </cell>
          <cell r="C390" t="str">
            <v>Past</v>
          </cell>
          <cell r="D390">
            <v>14.18</v>
          </cell>
          <cell r="E390" t="e">
            <v>#N/A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>
            <v>14.18</v>
          </cell>
          <cell r="Q390">
            <v>0.76441799999999993</v>
          </cell>
          <cell r="R390" t="e">
            <v>#N/A</v>
          </cell>
        </row>
        <row r="391">
          <cell r="A391">
            <v>40539</v>
          </cell>
          <cell r="B391">
            <v>40539</v>
          </cell>
          <cell r="C391" t="str">
            <v>Past</v>
          </cell>
          <cell r="D391">
            <v>14.08</v>
          </cell>
          <cell r="E391" t="e">
            <v>#N/A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>
            <v>14.08</v>
          </cell>
          <cell r="Q391">
            <v>0.87445699999999993</v>
          </cell>
          <cell r="R391" t="e">
            <v>#N/A</v>
          </cell>
        </row>
        <row r="392">
          <cell r="A392">
            <v>40540</v>
          </cell>
          <cell r="B392">
            <v>40540</v>
          </cell>
          <cell r="C392" t="str">
            <v>Past</v>
          </cell>
          <cell r="D392">
            <v>14.11</v>
          </cell>
          <cell r="E392" t="e">
            <v>#N/A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>
            <v>14.11</v>
          </cell>
          <cell r="Q392">
            <v>0.879606</v>
          </cell>
          <cell r="R392" t="e">
            <v>#N/A</v>
          </cell>
        </row>
        <row r="393">
          <cell r="A393">
            <v>40541</v>
          </cell>
          <cell r="B393">
            <v>40541</v>
          </cell>
          <cell r="C393" t="str">
            <v>Past</v>
          </cell>
          <cell r="D393">
            <v>14.03</v>
          </cell>
          <cell r="E393" t="e">
            <v>#N/A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>
            <v>14.03</v>
          </cell>
          <cell r="Q393">
            <v>0.75955799999999996</v>
          </cell>
          <cell r="R393" t="e">
            <v>#N/A</v>
          </cell>
        </row>
        <row r="394">
          <cell r="A394">
            <v>40542</v>
          </cell>
          <cell r="B394">
            <v>40542</v>
          </cell>
          <cell r="C394" t="str">
            <v>Past</v>
          </cell>
          <cell r="D394">
            <v>14.07</v>
          </cell>
          <cell r="E394" t="e">
            <v>#N/A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>
            <v>14.07</v>
          </cell>
          <cell r="Q394">
            <v>0.94450699999999999</v>
          </cell>
          <cell r="R394" t="e">
            <v>#N/A</v>
          </cell>
        </row>
        <row r="395">
          <cell r="A395">
            <v>40543</v>
          </cell>
          <cell r="B395">
            <v>40543</v>
          </cell>
          <cell r="C395" t="str">
            <v>Past</v>
          </cell>
          <cell r="D395">
            <v>14.05</v>
          </cell>
          <cell r="E395" t="e">
            <v>#N/A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>
            <v>14.05</v>
          </cell>
          <cell r="Q395">
            <v>1.224086</v>
          </cell>
          <cell r="R395" t="e">
            <v>#N/A</v>
          </cell>
        </row>
        <row r="396">
          <cell r="A396">
            <v>40546</v>
          </cell>
          <cell r="B396">
            <v>40546</v>
          </cell>
          <cell r="C396" t="str">
            <v>Past</v>
          </cell>
          <cell r="D396">
            <v>14.06</v>
          </cell>
          <cell r="E396" t="e">
            <v>#N/A</v>
          </cell>
          <cell r="F396" t="e">
            <v>#N/A</v>
          </cell>
          <cell r="G396" t="e">
            <v>#N/A</v>
          </cell>
          <cell r="H396" t="e">
            <v>#N/A</v>
          </cell>
          <cell r="I396" t="e">
            <v>#N/A</v>
          </cell>
          <cell r="J396" t="e">
            <v>#N/A</v>
          </cell>
          <cell r="K396" t="e">
            <v>#N/A</v>
          </cell>
          <cell r="L396" t="e">
            <v>#N/A</v>
          </cell>
          <cell r="M396" t="e">
            <v>#N/A</v>
          </cell>
          <cell r="N396" t="e">
            <v>#N/A</v>
          </cell>
          <cell r="O396" t="e">
            <v>#N/A</v>
          </cell>
          <cell r="P396">
            <v>14.06</v>
          </cell>
          <cell r="Q396">
            <v>1.7396849999999999</v>
          </cell>
          <cell r="R396" t="e">
            <v>#N/A</v>
          </cell>
        </row>
        <row r="397">
          <cell r="A397">
            <v>40547</v>
          </cell>
          <cell r="B397">
            <v>40547</v>
          </cell>
          <cell r="C397" t="str">
            <v>Past</v>
          </cell>
          <cell r="D397">
            <v>14.08</v>
          </cell>
          <cell r="E397" t="e">
            <v>#N/A</v>
          </cell>
          <cell r="F397" t="e">
            <v>#N/A</v>
          </cell>
          <cell r="G397" t="e">
            <v>#N/A</v>
          </cell>
          <cell r="H397" t="e">
            <v>#N/A</v>
          </cell>
          <cell r="I397" t="e">
            <v>#N/A</v>
          </cell>
          <cell r="J397" t="e">
            <v>#N/A</v>
          </cell>
          <cell r="K397" t="e">
            <v>#N/A</v>
          </cell>
          <cell r="L397" t="e">
            <v>#N/A</v>
          </cell>
          <cell r="M397" t="e">
            <v>#N/A</v>
          </cell>
          <cell r="N397" t="e">
            <v>#N/A</v>
          </cell>
          <cell r="O397" t="e">
            <v>#N/A</v>
          </cell>
          <cell r="P397">
            <v>14.08</v>
          </cell>
          <cell r="Q397">
            <v>2.190725</v>
          </cell>
          <cell r="R397" t="e">
            <v>#N/A</v>
          </cell>
        </row>
        <row r="398">
          <cell r="A398">
            <v>40548</v>
          </cell>
          <cell r="B398">
            <v>40548</v>
          </cell>
          <cell r="C398" t="str">
            <v>Past</v>
          </cell>
          <cell r="D398">
            <v>13.93</v>
          </cell>
          <cell r="E398" t="e">
            <v>#N/A</v>
          </cell>
          <cell r="F398" t="e">
            <v>#N/A</v>
          </cell>
          <cell r="G398" t="e">
            <v>#N/A</v>
          </cell>
          <cell r="H398" t="e">
            <v>#N/A</v>
          </cell>
          <cell r="I398" t="e">
            <v>#N/A</v>
          </cell>
          <cell r="J398" t="e">
            <v>#N/A</v>
          </cell>
          <cell r="K398" t="e">
            <v>#N/A</v>
          </cell>
          <cell r="L398" t="e">
            <v>#N/A</v>
          </cell>
          <cell r="M398" t="e">
            <v>#N/A</v>
          </cell>
          <cell r="N398" t="e">
            <v>#N/A</v>
          </cell>
          <cell r="O398" t="e">
            <v>#N/A</v>
          </cell>
          <cell r="P398">
            <v>13.93</v>
          </cell>
          <cell r="Q398">
            <v>1.9877959999999999</v>
          </cell>
          <cell r="R398" t="e">
            <v>#N/A</v>
          </cell>
        </row>
        <row r="399">
          <cell r="A399">
            <v>40549</v>
          </cell>
          <cell r="B399">
            <v>40549</v>
          </cell>
          <cell r="C399" t="str">
            <v>Past</v>
          </cell>
          <cell r="D399">
            <v>14.11</v>
          </cell>
          <cell r="E399" t="e">
            <v>#N/A</v>
          </cell>
          <cell r="F399" t="e">
            <v>#N/A</v>
          </cell>
          <cell r="G399" t="e">
            <v>#N/A</v>
          </cell>
          <cell r="H399" t="e">
            <v>#N/A</v>
          </cell>
          <cell r="I399" t="e">
            <v>#N/A</v>
          </cell>
          <cell r="J399" t="e">
            <v>#N/A</v>
          </cell>
          <cell r="K399" t="e">
            <v>#N/A</v>
          </cell>
          <cell r="L399" t="e">
            <v>#N/A</v>
          </cell>
          <cell r="M399" t="e">
            <v>#N/A</v>
          </cell>
          <cell r="N399" t="e">
            <v>#N/A</v>
          </cell>
          <cell r="O399" t="e">
            <v>#N/A</v>
          </cell>
          <cell r="P399">
            <v>14.11</v>
          </cell>
          <cell r="Q399">
            <v>1.7270289999999999</v>
          </cell>
          <cell r="R399" t="e">
            <v>#N/A</v>
          </cell>
        </row>
        <row r="400">
          <cell r="A400">
            <v>40550</v>
          </cell>
          <cell r="B400">
            <v>40550</v>
          </cell>
          <cell r="C400" t="str">
            <v>Past</v>
          </cell>
          <cell r="D400">
            <v>14.37</v>
          </cell>
          <cell r="E400" t="e">
            <v>#N/A</v>
          </cell>
          <cell r="F400" t="e">
            <v>#N/A</v>
          </cell>
          <cell r="G400" t="e">
            <v>#N/A</v>
          </cell>
          <cell r="H400" t="e">
            <v>#N/A</v>
          </cell>
          <cell r="I400" t="e">
            <v>#N/A</v>
          </cell>
          <cell r="J400" t="e">
            <v>#N/A</v>
          </cell>
          <cell r="K400" t="e">
            <v>#N/A</v>
          </cell>
          <cell r="L400" t="e">
            <v>#N/A</v>
          </cell>
          <cell r="M400" t="e">
            <v>#N/A</v>
          </cell>
          <cell r="N400" t="e">
            <v>#N/A</v>
          </cell>
          <cell r="O400" t="e">
            <v>#N/A</v>
          </cell>
          <cell r="P400">
            <v>14.37</v>
          </cell>
          <cell r="Q400">
            <v>3.0117249999999998</v>
          </cell>
          <cell r="R400" t="e">
            <v>#N/A</v>
          </cell>
        </row>
        <row r="401">
          <cell r="A401">
            <v>40553</v>
          </cell>
          <cell r="B401">
            <v>40553</v>
          </cell>
          <cell r="C401" t="str">
            <v>Past</v>
          </cell>
          <cell r="D401">
            <v>14.61</v>
          </cell>
          <cell r="E401" t="e">
            <v>#N/A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>
            <v>14.61</v>
          </cell>
          <cell r="Q401">
            <v>4.0006430000000002</v>
          </cell>
          <cell r="R401" t="e">
            <v>#N/A</v>
          </cell>
        </row>
        <row r="402">
          <cell r="A402">
            <v>40554</v>
          </cell>
          <cell r="B402">
            <v>40554</v>
          </cell>
          <cell r="C402" t="str">
            <v>Past</v>
          </cell>
          <cell r="D402">
            <v>14.51</v>
          </cell>
          <cell r="E402" t="e">
            <v>#N/A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>
            <v>14.51</v>
          </cell>
          <cell r="Q402">
            <v>4.0806439999999995</v>
          </cell>
          <cell r="R402" t="e">
            <v>#N/A</v>
          </cell>
        </row>
        <row r="403">
          <cell r="A403">
            <v>40555</v>
          </cell>
          <cell r="B403">
            <v>40555</v>
          </cell>
          <cell r="C403" t="str">
            <v>Past</v>
          </cell>
          <cell r="D403">
            <v>14.43</v>
          </cell>
          <cell r="E403" t="e">
            <v>#N/A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>
            <v>14.43</v>
          </cell>
          <cell r="Q403">
            <v>2.0791939999999998</v>
          </cell>
          <cell r="R403" t="e">
            <v>#N/A</v>
          </cell>
        </row>
        <row r="404">
          <cell r="A404">
            <v>40556</v>
          </cell>
          <cell r="B404">
            <v>40556</v>
          </cell>
          <cell r="C404" t="str">
            <v>Past</v>
          </cell>
          <cell r="D404">
            <v>14.36</v>
          </cell>
          <cell r="E404" t="e">
            <v>#N/A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>
            <v>14.36</v>
          </cell>
          <cell r="Q404">
            <v>1.522567</v>
          </cell>
          <cell r="R404" t="e">
            <v>#N/A</v>
          </cell>
        </row>
        <row r="405">
          <cell r="A405">
            <v>40557</v>
          </cell>
          <cell r="B405">
            <v>40557</v>
          </cell>
          <cell r="C405" t="str">
            <v>Past</v>
          </cell>
          <cell r="D405">
            <v>14.27</v>
          </cell>
          <cell r="E405" t="e">
            <v>#N/A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>
            <v>14.27</v>
          </cell>
          <cell r="Q405">
            <v>2.7702709999999997</v>
          </cell>
          <cell r="R405" t="e">
            <v>#N/A</v>
          </cell>
        </row>
        <row r="406">
          <cell r="A406">
            <v>40561</v>
          </cell>
          <cell r="B406">
            <v>40561</v>
          </cell>
          <cell r="C406" t="str">
            <v>Past</v>
          </cell>
          <cell r="D406">
            <v>14.38</v>
          </cell>
          <cell r="E406" t="e">
            <v>#N/A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>
            <v>14.38</v>
          </cell>
          <cell r="Q406">
            <v>2.0298439999999998</v>
          </cell>
          <cell r="R406" t="e">
            <v>#N/A</v>
          </cell>
        </row>
        <row r="407">
          <cell r="A407">
            <v>40562</v>
          </cell>
          <cell r="B407">
            <v>40562</v>
          </cell>
          <cell r="C407" t="str">
            <v>Past</v>
          </cell>
          <cell r="D407">
            <v>14.21</v>
          </cell>
          <cell r="E407" t="e">
            <v>#N/A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>
            <v>14.21</v>
          </cell>
          <cell r="Q407">
            <v>3.6351309999999999</v>
          </cell>
          <cell r="R407" t="e">
            <v>#N/A</v>
          </cell>
        </row>
        <row r="408">
          <cell r="A408">
            <v>40563</v>
          </cell>
          <cell r="B408">
            <v>40563</v>
          </cell>
          <cell r="C408" t="str">
            <v>Past</v>
          </cell>
          <cell r="D408">
            <v>14.19</v>
          </cell>
          <cell r="E408" t="e">
            <v>#N/A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>
            <v>14.19</v>
          </cell>
          <cell r="Q408">
            <v>3.5365069999999998</v>
          </cell>
          <cell r="R408" t="e">
            <v>#N/A</v>
          </cell>
        </row>
        <row r="409">
          <cell r="A409">
            <v>40564</v>
          </cell>
          <cell r="B409">
            <v>40564</v>
          </cell>
          <cell r="C409" t="str">
            <v>Past</v>
          </cell>
          <cell r="D409">
            <v>14.25</v>
          </cell>
          <cell r="E409" t="e">
            <v>#N/A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>
            <v>14.25</v>
          </cell>
          <cell r="Q409">
            <v>2.2865470000000001</v>
          </cell>
          <cell r="R409" t="e">
            <v>#N/A</v>
          </cell>
        </row>
        <row r="410">
          <cell r="A410">
            <v>40567</v>
          </cell>
          <cell r="B410">
            <v>40567</v>
          </cell>
          <cell r="C410" t="str">
            <v>Past</v>
          </cell>
          <cell r="D410">
            <v>14.49</v>
          </cell>
          <cell r="E410" t="e">
            <v>#N/A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>
            <v>14.49</v>
          </cell>
          <cell r="Q410">
            <v>2.6884429999999999</v>
          </cell>
          <cell r="R410" t="e">
            <v>#N/A</v>
          </cell>
        </row>
        <row r="411">
          <cell r="A411">
            <v>40568</v>
          </cell>
          <cell r="B411">
            <v>40568</v>
          </cell>
          <cell r="C411" t="str">
            <v>Past</v>
          </cell>
          <cell r="D411">
            <v>14.43</v>
          </cell>
          <cell r="E411" t="e">
            <v>#N/A</v>
          </cell>
          <cell r="F411" t="e">
            <v>#N/A</v>
          </cell>
          <cell r="G411" t="e">
            <v>#N/A</v>
          </cell>
          <cell r="H411" t="e">
            <v>#N/A</v>
          </cell>
          <cell r="I411" t="e">
            <v>#N/A</v>
          </cell>
          <cell r="J411" t="e">
            <v>#N/A</v>
          </cell>
          <cell r="K411" t="e">
            <v>#N/A</v>
          </cell>
          <cell r="L411" t="e">
            <v>#N/A</v>
          </cell>
          <cell r="M411" t="e">
            <v>#N/A</v>
          </cell>
          <cell r="N411" t="e">
            <v>#N/A</v>
          </cell>
          <cell r="O411" t="e">
            <v>#N/A</v>
          </cell>
          <cell r="P411">
            <v>14.43</v>
          </cell>
          <cell r="Q411">
            <v>2.0426500000000001</v>
          </cell>
          <cell r="R411" t="e">
            <v>#N/A</v>
          </cell>
        </row>
        <row r="412">
          <cell r="A412">
            <v>40569</v>
          </cell>
          <cell r="B412">
            <v>40569</v>
          </cell>
          <cell r="C412" t="str">
            <v>Past</v>
          </cell>
          <cell r="D412">
            <v>14.39</v>
          </cell>
          <cell r="E412" t="e">
            <v>#N/A</v>
          </cell>
          <cell r="F412" t="e">
            <v>#N/A</v>
          </cell>
          <cell r="G412" t="e">
            <v>#N/A</v>
          </cell>
          <cell r="H412" t="e">
            <v>#N/A</v>
          </cell>
          <cell r="I412" t="e">
            <v>#N/A</v>
          </cell>
          <cell r="J412" t="e">
            <v>#N/A</v>
          </cell>
          <cell r="K412" t="e">
            <v>#N/A</v>
          </cell>
          <cell r="L412" t="e">
            <v>#N/A</v>
          </cell>
          <cell r="M412" t="e">
            <v>#N/A</v>
          </cell>
          <cell r="N412" t="e">
            <v>#N/A</v>
          </cell>
          <cell r="O412" t="e">
            <v>#N/A</v>
          </cell>
          <cell r="P412">
            <v>14.39</v>
          </cell>
          <cell r="Q412">
            <v>1.254094</v>
          </cell>
          <cell r="R412" t="e">
            <v>#N/A</v>
          </cell>
        </row>
        <row r="413">
          <cell r="A413">
            <v>40570</v>
          </cell>
          <cell r="B413">
            <v>40570</v>
          </cell>
          <cell r="C413" t="str">
            <v>Past</v>
          </cell>
          <cell r="D413">
            <v>14.54</v>
          </cell>
          <cell r="E413" t="e">
            <v>#N/A</v>
          </cell>
          <cell r="F413" t="e">
            <v>#N/A</v>
          </cell>
          <cell r="G413" t="e">
            <v>#N/A</v>
          </cell>
          <cell r="H413" t="e">
            <v>#N/A</v>
          </cell>
          <cell r="I413" t="e">
            <v>#N/A</v>
          </cell>
          <cell r="J413" t="e">
            <v>#N/A</v>
          </cell>
          <cell r="K413" t="e">
            <v>#N/A</v>
          </cell>
          <cell r="L413" t="e">
            <v>#N/A</v>
          </cell>
          <cell r="M413" t="e">
            <v>#N/A</v>
          </cell>
          <cell r="N413" t="e">
            <v>#N/A</v>
          </cell>
          <cell r="O413" t="e">
            <v>#N/A</v>
          </cell>
          <cell r="P413">
            <v>14.54</v>
          </cell>
          <cell r="Q413">
            <v>2.1760169999999999</v>
          </cell>
          <cell r="R413" t="e">
            <v>#N/A</v>
          </cell>
        </row>
        <row r="414">
          <cell r="A414">
            <v>40571</v>
          </cell>
          <cell r="B414">
            <v>40571</v>
          </cell>
          <cell r="C414" t="str">
            <v>Past</v>
          </cell>
          <cell r="D414">
            <v>14.37</v>
          </cell>
          <cell r="E414" t="e">
            <v>#N/A</v>
          </cell>
          <cell r="F414" t="e">
            <v>#N/A</v>
          </cell>
          <cell r="G414" t="e">
            <v>#N/A</v>
          </cell>
          <cell r="H414" t="e">
            <v>#N/A</v>
          </cell>
          <cell r="I414" t="e">
            <v>#N/A</v>
          </cell>
          <cell r="J414" t="e">
            <v>#N/A</v>
          </cell>
          <cell r="K414" t="e">
            <v>#N/A</v>
          </cell>
          <cell r="L414" t="e">
            <v>#N/A</v>
          </cell>
          <cell r="M414" t="e">
            <v>#N/A</v>
          </cell>
          <cell r="N414" t="e">
            <v>#N/A</v>
          </cell>
          <cell r="O414" t="e">
            <v>#N/A</v>
          </cell>
          <cell r="P414">
            <v>14.37</v>
          </cell>
          <cell r="Q414">
            <v>1.1273309999999999</v>
          </cell>
          <cell r="R414" t="e">
            <v>#N/A</v>
          </cell>
        </row>
        <row r="415">
          <cell r="A415">
            <v>40574</v>
          </cell>
          <cell r="B415">
            <v>40574</v>
          </cell>
          <cell r="C415" t="str">
            <v>Past</v>
          </cell>
          <cell r="D415">
            <v>14.37</v>
          </cell>
          <cell r="E415" t="e">
            <v>#N/A</v>
          </cell>
          <cell r="F415" t="e">
            <v>#N/A</v>
          </cell>
          <cell r="G415" t="e">
            <v>#N/A</v>
          </cell>
          <cell r="H415" t="e">
            <v>#N/A</v>
          </cell>
          <cell r="I415" t="e">
            <v>#N/A</v>
          </cell>
          <cell r="J415" t="e">
            <v>#N/A</v>
          </cell>
          <cell r="K415" t="e">
            <v>#N/A</v>
          </cell>
          <cell r="L415" t="e">
            <v>#N/A</v>
          </cell>
          <cell r="M415" t="e">
            <v>#N/A</v>
          </cell>
          <cell r="N415" t="e">
            <v>#N/A</v>
          </cell>
          <cell r="O415" t="e">
            <v>#N/A</v>
          </cell>
          <cell r="P415">
            <v>14.37</v>
          </cell>
          <cell r="Q415">
            <v>2.4396409999999999</v>
          </cell>
          <cell r="R415" t="e">
            <v>#N/A</v>
          </cell>
        </row>
        <row r="416">
          <cell r="A416">
            <v>40575</v>
          </cell>
          <cell r="B416">
            <v>40575</v>
          </cell>
          <cell r="C416" t="str">
            <v>Past</v>
          </cell>
          <cell r="D416">
            <v>14.65</v>
          </cell>
          <cell r="E416" t="e">
            <v>#N/A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>
            <v>14.65</v>
          </cell>
          <cell r="Q416">
            <v>1.3703000000000001</v>
          </cell>
          <cell r="R416" t="e">
            <v>#N/A</v>
          </cell>
        </row>
        <row r="417">
          <cell r="A417">
            <v>40576</v>
          </cell>
          <cell r="B417">
            <v>40576</v>
          </cell>
          <cell r="C417" t="str">
            <v>Past</v>
          </cell>
          <cell r="D417">
            <v>14.55</v>
          </cell>
          <cell r="E417" t="e">
            <v>#N/A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>
            <v>14.55</v>
          </cell>
          <cell r="Q417">
            <v>0.97767199999999999</v>
          </cell>
          <cell r="R417" t="e">
            <v>#N/A</v>
          </cell>
        </row>
        <row r="418">
          <cell r="A418">
            <v>40577</v>
          </cell>
          <cell r="B418">
            <v>40577</v>
          </cell>
          <cell r="C418" t="str">
            <v>Past</v>
          </cell>
          <cell r="D418">
            <v>14.55</v>
          </cell>
          <cell r="E418" t="e">
            <v>#N/A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>
            <v>14.55</v>
          </cell>
          <cell r="Q418">
            <v>1.0440859999999998</v>
          </cell>
          <cell r="R418" t="e">
            <v>#N/A</v>
          </cell>
        </row>
        <row r="419">
          <cell r="A419">
            <v>40578</v>
          </cell>
          <cell r="B419">
            <v>40578</v>
          </cell>
          <cell r="C419" t="str">
            <v>Past</v>
          </cell>
          <cell r="D419">
            <v>14.47</v>
          </cell>
          <cell r="E419" t="e">
            <v>#N/A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>
            <v>14.47</v>
          </cell>
          <cell r="Q419">
            <v>0.59531299999999998</v>
          </cell>
          <cell r="R419" t="e">
            <v>#N/A</v>
          </cell>
        </row>
        <row r="420">
          <cell r="A420">
            <v>40581</v>
          </cell>
          <cell r="B420">
            <v>40581</v>
          </cell>
          <cell r="C420" t="str">
            <v>Past</v>
          </cell>
          <cell r="D420">
            <v>14.54</v>
          </cell>
          <cell r="E420" t="e">
            <v>#N/A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>
            <v>14.54</v>
          </cell>
          <cell r="Q420">
            <v>0.78476099999999993</v>
          </cell>
          <cell r="R420" t="e">
            <v>#N/A</v>
          </cell>
        </row>
        <row r="421">
          <cell r="A421">
            <v>40582</v>
          </cell>
          <cell r="B421">
            <v>40582</v>
          </cell>
          <cell r="C421" t="str">
            <v>Past</v>
          </cell>
          <cell r="D421">
            <v>14.53</v>
          </cell>
          <cell r="E421" t="e">
            <v>#N/A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>
            <v>14.53</v>
          </cell>
          <cell r="Q421">
            <v>1.0100449999999999</v>
          </cell>
          <cell r="R421" t="e">
            <v>#N/A</v>
          </cell>
        </row>
        <row r="422">
          <cell r="A422">
            <v>40583</v>
          </cell>
          <cell r="B422">
            <v>40583</v>
          </cell>
          <cell r="C422" t="str">
            <v>Past</v>
          </cell>
          <cell r="D422">
            <v>14.51</v>
          </cell>
          <cell r="E422" t="e">
            <v>#N/A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>
            <v>14.51</v>
          </cell>
          <cell r="Q422">
            <v>1.1109639999999998</v>
          </cell>
          <cell r="R422" t="e">
            <v>#N/A</v>
          </cell>
        </row>
        <row r="423">
          <cell r="A423">
            <v>40584</v>
          </cell>
          <cell r="B423">
            <v>40584</v>
          </cell>
          <cell r="C423" t="str">
            <v>Past</v>
          </cell>
          <cell r="D423">
            <v>14.61</v>
          </cell>
          <cell r="E423" t="e">
            <v>#N/A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>
            <v>14.61</v>
          </cell>
          <cell r="Q423">
            <v>1.1675180000000001</v>
          </cell>
          <cell r="R423" t="e">
            <v>#N/A</v>
          </cell>
        </row>
        <row r="424">
          <cell r="A424">
            <v>40585</v>
          </cell>
          <cell r="B424">
            <v>40585</v>
          </cell>
          <cell r="C424" t="str">
            <v>Past</v>
          </cell>
          <cell r="D424">
            <v>14.59</v>
          </cell>
          <cell r="E424" t="e">
            <v>#N/A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>
            <v>14.59</v>
          </cell>
          <cell r="Q424">
            <v>1.118268</v>
          </cell>
          <cell r="R424" t="e">
            <v>#N/A</v>
          </cell>
        </row>
        <row r="425">
          <cell r="A425">
            <v>40588</v>
          </cell>
          <cell r="B425">
            <v>40588</v>
          </cell>
          <cell r="C425" t="str">
            <v>Past</v>
          </cell>
          <cell r="D425">
            <v>14.58</v>
          </cell>
          <cell r="E425" t="e">
            <v>#N/A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>
            <v>14.58</v>
          </cell>
          <cell r="Q425">
            <v>1.7586619999999999</v>
          </cell>
          <cell r="R425" t="e">
            <v>#N/A</v>
          </cell>
        </row>
        <row r="426">
          <cell r="A426">
            <v>40589</v>
          </cell>
          <cell r="B426">
            <v>40589</v>
          </cell>
          <cell r="C426" t="str">
            <v>Past</v>
          </cell>
          <cell r="D426">
            <v>14.68</v>
          </cell>
          <cell r="E426" t="e">
            <v>#N/A</v>
          </cell>
          <cell r="F426" t="e">
            <v>#N/A</v>
          </cell>
          <cell r="G426" t="e">
            <v>#N/A</v>
          </cell>
          <cell r="H426" t="e">
            <v>#N/A</v>
          </cell>
          <cell r="I426" t="e">
            <v>#N/A</v>
          </cell>
          <cell r="J426" t="e">
            <v>#N/A</v>
          </cell>
          <cell r="K426" t="e">
            <v>#N/A</v>
          </cell>
          <cell r="L426" t="e">
            <v>#N/A</v>
          </cell>
          <cell r="M426" t="e">
            <v>#N/A</v>
          </cell>
          <cell r="N426" t="e">
            <v>#N/A</v>
          </cell>
          <cell r="O426" t="e">
            <v>#N/A</v>
          </cell>
          <cell r="P426">
            <v>14.68</v>
          </cell>
          <cell r="Q426">
            <v>1.2413719999999999</v>
          </cell>
          <cell r="R426" t="e">
            <v>#N/A</v>
          </cell>
        </row>
        <row r="427">
          <cell r="A427">
            <v>40590</v>
          </cell>
          <cell r="B427">
            <v>40590</v>
          </cell>
          <cell r="C427" t="str">
            <v>Past</v>
          </cell>
          <cell r="D427">
            <v>14.74</v>
          </cell>
          <cell r="E427" t="e">
            <v>#N/A</v>
          </cell>
          <cell r="F427" t="e">
            <v>#N/A</v>
          </cell>
          <cell r="G427" t="e">
            <v>#N/A</v>
          </cell>
          <cell r="H427" t="e">
            <v>#N/A</v>
          </cell>
          <cell r="I427" t="e">
            <v>#N/A</v>
          </cell>
          <cell r="J427" t="e">
            <v>#N/A</v>
          </cell>
          <cell r="K427" t="e">
            <v>#N/A</v>
          </cell>
          <cell r="L427" t="e">
            <v>#N/A</v>
          </cell>
          <cell r="M427" t="e">
            <v>#N/A</v>
          </cell>
          <cell r="N427" t="e">
            <v>#N/A</v>
          </cell>
          <cell r="O427" t="e">
            <v>#N/A</v>
          </cell>
          <cell r="P427">
            <v>14.74</v>
          </cell>
          <cell r="Q427">
            <v>1.006011</v>
          </cell>
          <cell r="R427" t="e">
            <v>#N/A</v>
          </cell>
        </row>
        <row r="428">
          <cell r="A428">
            <v>40591</v>
          </cell>
          <cell r="B428">
            <v>40591</v>
          </cell>
          <cell r="C428" t="str">
            <v>Past</v>
          </cell>
          <cell r="D428">
            <v>14.78</v>
          </cell>
          <cell r="E428" t="e">
            <v>#N/A</v>
          </cell>
          <cell r="F428" t="e">
            <v>#N/A</v>
          </cell>
          <cell r="G428" t="e">
            <v>#N/A</v>
          </cell>
          <cell r="H428" t="e">
            <v>#N/A</v>
          </cell>
          <cell r="I428" t="e">
            <v>#N/A</v>
          </cell>
          <cell r="J428" t="e">
            <v>#N/A</v>
          </cell>
          <cell r="K428" t="e">
            <v>#N/A</v>
          </cell>
          <cell r="L428" t="e">
            <v>#N/A</v>
          </cell>
          <cell r="M428" t="e">
            <v>#N/A</v>
          </cell>
          <cell r="N428" t="e">
            <v>#N/A</v>
          </cell>
          <cell r="O428" t="e">
            <v>#N/A</v>
          </cell>
          <cell r="P428">
            <v>14.78</v>
          </cell>
          <cell r="Q428">
            <v>1.5522549999999999</v>
          </cell>
          <cell r="R428" t="e">
            <v>#N/A</v>
          </cell>
        </row>
        <row r="429">
          <cell r="A429">
            <v>40592</v>
          </cell>
          <cell r="B429">
            <v>40592</v>
          </cell>
          <cell r="C429" t="str">
            <v>Past</v>
          </cell>
          <cell r="D429">
            <v>14.92</v>
          </cell>
          <cell r="E429" t="e">
            <v>#N/A</v>
          </cell>
          <cell r="F429" t="e">
            <v>#N/A</v>
          </cell>
          <cell r="G429" t="e">
            <v>#N/A</v>
          </cell>
          <cell r="H429" t="e">
            <v>#N/A</v>
          </cell>
          <cell r="I429" t="e">
            <v>#N/A</v>
          </cell>
          <cell r="J429" t="e">
            <v>#N/A</v>
          </cell>
          <cell r="K429" t="e">
            <v>#N/A</v>
          </cell>
          <cell r="L429" t="e">
            <v>#N/A</v>
          </cell>
          <cell r="M429" t="e">
            <v>#N/A</v>
          </cell>
          <cell r="N429" t="e">
            <v>#N/A</v>
          </cell>
          <cell r="O429" t="e">
            <v>#N/A</v>
          </cell>
          <cell r="P429">
            <v>14.92</v>
          </cell>
          <cell r="Q429">
            <v>3.2853879999999998</v>
          </cell>
          <cell r="R429" t="e">
            <v>#N/A</v>
          </cell>
        </row>
        <row r="430">
          <cell r="A430">
            <v>40596</v>
          </cell>
          <cell r="B430">
            <v>40596</v>
          </cell>
          <cell r="C430" t="str">
            <v>Past</v>
          </cell>
          <cell r="D430">
            <v>14.86</v>
          </cell>
          <cell r="E430" t="e">
            <v>#N/A</v>
          </cell>
          <cell r="F430" t="e">
            <v>#N/A</v>
          </cell>
          <cell r="G430" t="e">
            <v>#N/A</v>
          </cell>
          <cell r="H430" t="e">
            <v>#N/A</v>
          </cell>
          <cell r="I430" t="e">
            <v>#N/A</v>
          </cell>
          <cell r="J430" t="e">
            <v>#N/A</v>
          </cell>
          <cell r="K430" t="e">
            <v>#N/A</v>
          </cell>
          <cell r="L430" t="e">
            <v>#N/A</v>
          </cell>
          <cell r="M430" t="e">
            <v>#N/A</v>
          </cell>
          <cell r="N430" t="e">
            <v>#N/A</v>
          </cell>
          <cell r="O430" t="e">
            <v>#N/A</v>
          </cell>
          <cell r="P430">
            <v>14.86</v>
          </cell>
          <cell r="Q430">
            <v>1.7888649999999999</v>
          </cell>
          <cell r="R430" t="e">
            <v>#N/A</v>
          </cell>
        </row>
        <row r="431">
          <cell r="A431">
            <v>40597</v>
          </cell>
          <cell r="B431">
            <v>40597</v>
          </cell>
          <cell r="C431" t="str">
            <v>Past</v>
          </cell>
          <cell r="D431">
            <v>14.69</v>
          </cell>
          <cell r="E431" t="e">
            <v>#N/A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>
            <v>14.69</v>
          </cell>
          <cell r="Q431">
            <v>1.544481</v>
          </cell>
          <cell r="R431" t="e">
            <v>#N/A</v>
          </cell>
        </row>
        <row r="432">
          <cell r="A432">
            <v>40598</v>
          </cell>
          <cell r="B432">
            <v>40598</v>
          </cell>
          <cell r="C432" t="str">
            <v>Past</v>
          </cell>
          <cell r="D432">
            <v>14.56</v>
          </cell>
          <cell r="E432" t="e">
            <v>#N/A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>
            <v>14.56</v>
          </cell>
          <cell r="Q432">
            <v>1.3997700000000002</v>
          </cell>
          <cell r="R432" t="e">
            <v>#N/A</v>
          </cell>
        </row>
        <row r="433">
          <cell r="A433">
            <v>40599</v>
          </cell>
          <cell r="B433">
            <v>40599</v>
          </cell>
          <cell r="C433" t="str">
            <v>Past</v>
          </cell>
          <cell r="D433">
            <v>14.63</v>
          </cell>
          <cell r="E433" t="e">
            <v>#N/A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>
            <v>14.63</v>
          </cell>
          <cell r="Q433">
            <v>1.2756859999999999</v>
          </cell>
          <cell r="R433" t="e">
            <v>#N/A</v>
          </cell>
        </row>
        <row r="434">
          <cell r="A434">
            <v>40602</v>
          </cell>
          <cell r="B434">
            <v>40602</v>
          </cell>
          <cell r="C434" t="str">
            <v>Past</v>
          </cell>
          <cell r="D434">
            <v>14.69</v>
          </cell>
          <cell r="E434" t="e">
            <v>#N/A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>
            <v>14.69</v>
          </cell>
          <cell r="Q434">
            <v>1.8974500000000001</v>
          </cell>
          <cell r="R434" t="e">
            <v>#N/A</v>
          </cell>
        </row>
        <row r="435">
          <cell r="A435">
            <v>40603</v>
          </cell>
          <cell r="B435">
            <v>40603</v>
          </cell>
          <cell r="C435" t="str">
            <v>Past</v>
          </cell>
          <cell r="D435">
            <v>14.55</v>
          </cell>
          <cell r="E435" t="e">
            <v>#N/A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>
            <v>14.55</v>
          </cell>
          <cell r="Q435">
            <v>1.179567</v>
          </cell>
          <cell r="R435" t="e">
            <v>#N/A</v>
          </cell>
        </row>
        <row r="436">
          <cell r="A436">
            <v>40604</v>
          </cell>
          <cell r="B436">
            <v>40604</v>
          </cell>
          <cell r="C436" t="str">
            <v>Past</v>
          </cell>
          <cell r="D436">
            <v>14.64</v>
          </cell>
          <cell r="E436" t="e">
            <v>#N/A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>
            <v>14.64</v>
          </cell>
          <cell r="Q436">
            <v>1.235517</v>
          </cell>
          <cell r="R436" t="e">
            <v>#N/A</v>
          </cell>
        </row>
        <row r="437">
          <cell r="A437">
            <v>40605</v>
          </cell>
          <cell r="B437">
            <v>40605</v>
          </cell>
          <cell r="C437" t="str">
            <v>Past</v>
          </cell>
          <cell r="D437">
            <v>14.83</v>
          </cell>
          <cell r="E437" t="e">
            <v>#N/A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>
            <v>14.83</v>
          </cell>
          <cell r="Q437">
            <v>1.411872</v>
          </cell>
          <cell r="R437" t="e">
            <v>#N/A</v>
          </cell>
        </row>
        <row r="438">
          <cell r="A438">
            <v>40606</v>
          </cell>
          <cell r="B438">
            <v>40606</v>
          </cell>
          <cell r="C438" t="str">
            <v>Past</v>
          </cell>
          <cell r="D438">
            <v>14.68</v>
          </cell>
          <cell r="E438" t="e">
            <v>#N/A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>
            <v>14.68</v>
          </cell>
          <cell r="Q438">
            <v>0.85889299999999991</v>
          </cell>
          <cell r="R438" t="e">
            <v>#N/A</v>
          </cell>
        </row>
        <row r="439">
          <cell r="A439">
            <v>40609</v>
          </cell>
          <cell r="B439">
            <v>40609</v>
          </cell>
          <cell r="C439" t="str">
            <v>Past</v>
          </cell>
          <cell r="D439">
            <v>14.7</v>
          </cell>
          <cell r="E439" t="e">
            <v>#N/A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>
            <v>14.7</v>
          </cell>
          <cell r="Q439">
            <v>1.3134239999999999</v>
          </cell>
          <cell r="R439" t="e">
            <v>#N/A</v>
          </cell>
        </row>
        <row r="440">
          <cell r="A440">
            <v>40610</v>
          </cell>
          <cell r="B440">
            <v>40610</v>
          </cell>
          <cell r="C440" t="str">
            <v>Past</v>
          </cell>
          <cell r="D440">
            <v>14.88</v>
          </cell>
          <cell r="E440" t="e">
            <v>#N/A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>
            <v>14.88</v>
          </cell>
          <cell r="Q440">
            <v>1.3189700000000002</v>
          </cell>
          <cell r="R440" t="e">
            <v>#N/A</v>
          </cell>
        </row>
        <row r="441">
          <cell r="A441">
            <v>40611</v>
          </cell>
          <cell r="B441">
            <v>40611</v>
          </cell>
          <cell r="C441" t="str">
            <v>Past</v>
          </cell>
          <cell r="D441">
            <v>14.91</v>
          </cell>
          <cell r="E441" t="e">
            <v>#N/A</v>
          </cell>
          <cell r="F441" t="e">
            <v>#N/A</v>
          </cell>
          <cell r="G441" t="e">
            <v>#N/A</v>
          </cell>
          <cell r="H441" t="e">
            <v>#N/A</v>
          </cell>
          <cell r="I441" t="e">
            <v>#N/A</v>
          </cell>
          <cell r="J441" t="e">
            <v>#N/A</v>
          </cell>
          <cell r="K441" t="e">
            <v>#N/A</v>
          </cell>
          <cell r="L441" t="e">
            <v>#N/A</v>
          </cell>
          <cell r="M441" t="e">
            <v>#N/A</v>
          </cell>
          <cell r="N441" t="e">
            <v>#N/A</v>
          </cell>
          <cell r="O441" t="e">
            <v>#N/A</v>
          </cell>
          <cell r="P441">
            <v>14.91</v>
          </cell>
          <cell r="Q441">
            <v>1.1770129999999999</v>
          </cell>
          <cell r="R441" t="e">
            <v>#N/A</v>
          </cell>
        </row>
        <row r="442">
          <cell r="A442">
            <v>40612</v>
          </cell>
          <cell r="B442">
            <v>40612</v>
          </cell>
          <cell r="C442" t="str">
            <v>Past</v>
          </cell>
          <cell r="D442">
            <v>14.67</v>
          </cell>
          <cell r="E442" t="e">
            <v>#N/A</v>
          </cell>
          <cell r="F442" t="e">
            <v>#N/A</v>
          </cell>
          <cell r="G442" t="e">
            <v>#N/A</v>
          </cell>
          <cell r="H442" t="e">
            <v>#N/A</v>
          </cell>
          <cell r="I442" t="e">
            <v>#N/A</v>
          </cell>
          <cell r="J442" t="e">
            <v>#N/A</v>
          </cell>
          <cell r="K442" t="e">
            <v>#N/A</v>
          </cell>
          <cell r="L442" t="e">
            <v>#N/A</v>
          </cell>
          <cell r="M442" t="e">
            <v>#N/A</v>
          </cell>
          <cell r="N442" t="e">
            <v>#N/A</v>
          </cell>
          <cell r="O442" t="e">
            <v>#N/A</v>
          </cell>
          <cell r="P442">
            <v>14.67</v>
          </cell>
          <cell r="Q442">
            <v>2.195319</v>
          </cell>
          <cell r="R442" t="e">
            <v>#N/A</v>
          </cell>
        </row>
        <row r="443">
          <cell r="A443">
            <v>40613</v>
          </cell>
          <cell r="B443">
            <v>40613</v>
          </cell>
          <cell r="C443" t="str">
            <v>Past</v>
          </cell>
          <cell r="D443">
            <v>14.83</v>
          </cell>
          <cell r="E443" t="e">
            <v>#N/A</v>
          </cell>
          <cell r="F443" t="e">
            <v>#N/A</v>
          </cell>
          <cell r="G443" t="e">
            <v>#N/A</v>
          </cell>
          <cell r="H443" t="e">
            <v>#N/A</v>
          </cell>
          <cell r="I443" t="e">
            <v>#N/A</v>
          </cell>
          <cell r="J443" t="e">
            <v>#N/A</v>
          </cell>
          <cell r="K443" t="e">
            <v>#N/A</v>
          </cell>
          <cell r="L443" t="e">
            <v>#N/A</v>
          </cell>
          <cell r="M443" t="e">
            <v>#N/A</v>
          </cell>
          <cell r="N443" t="e">
            <v>#N/A</v>
          </cell>
          <cell r="O443" t="e">
            <v>#N/A</v>
          </cell>
          <cell r="P443">
            <v>14.83</v>
          </cell>
          <cell r="Q443">
            <v>2.5068239999999999</v>
          </cell>
          <cell r="R443" t="e">
            <v>#N/A</v>
          </cell>
        </row>
        <row r="444">
          <cell r="A444">
            <v>40616</v>
          </cell>
          <cell r="B444">
            <v>40616</v>
          </cell>
          <cell r="C444" t="str">
            <v>Past</v>
          </cell>
          <cell r="D444">
            <v>14.83</v>
          </cell>
          <cell r="E444" t="e">
            <v>#N/A</v>
          </cell>
          <cell r="F444" t="e">
            <v>#N/A</v>
          </cell>
          <cell r="G444" t="e">
            <v>#N/A</v>
          </cell>
          <cell r="H444" t="e">
            <v>#N/A</v>
          </cell>
          <cell r="I444" t="e">
            <v>#N/A</v>
          </cell>
          <cell r="J444" t="e">
            <v>#N/A</v>
          </cell>
          <cell r="K444" t="e">
            <v>#N/A</v>
          </cell>
          <cell r="L444" t="e">
            <v>#N/A</v>
          </cell>
          <cell r="M444" t="e">
            <v>#N/A</v>
          </cell>
          <cell r="N444" t="e">
            <v>#N/A</v>
          </cell>
          <cell r="O444" t="e">
            <v>#N/A</v>
          </cell>
          <cell r="P444">
            <v>14.83</v>
          </cell>
          <cell r="Q444">
            <v>1.7697939999999999</v>
          </cell>
          <cell r="R444" t="e">
            <v>#N/A</v>
          </cell>
        </row>
        <row r="445">
          <cell r="A445">
            <v>40617</v>
          </cell>
          <cell r="B445">
            <v>40617</v>
          </cell>
          <cell r="C445" t="str">
            <v>Past</v>
          </cell>
          <cell r="D445">
            <v>14.54</v>
          </cell>
          <cell r="E445" t="e">
            <v>#N/A</v>
          </cell>
          <cell r="F445" t="e">
            <v>#N/A</v>
          </cell>
          <cell r="G445" t="e">
            <v>#N/A</v>
          </cell>
          <cell r="H445" t="e">
            <v>#N/A</v>
          </cell>
          <cell r="I445" t="e">
            <v>#N/A</v>
          </cell>
          <cell r="J445" t="e">
            <v>#N/A</v>
          </cell>
          <cell r="K445" t="e">
            <v>#N/A</v>
          </cell>
          <cell r="L445" t="e">
            <v>#N/A</v>
          </cell>
          <cell r="M445" t="e">
            <v>#N/A</v>
          </cell>
          <cell r="N445" t="e">
            <v>#N/A</v>
          </cell>
          <cell r="O445" t="e">
            <v>#N/A</v>
          </cell>
          <cell r="P445">
            <v>14.54</v>
          </cell>
          <cell r="Q445">
            <v>1.7034609999999999</v>
          </cell>
          <cell r="R445" t="e">
            <v>#N/A</v>
          </cell>
        </row>
        <row r="446">
          <cell r="A446">
            <v>40618</v>
          </cell>
          <cell r="B446">
            <v>40618</v>
          </cell>
          <cell r="C446" t="str">
            <v>Past</v>
          </cell>
          <cell r="D446">
            <v>14.31</v>
          </cell>
          <cell r="E446" t="e">
            <v>#N/A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>
            <v>14.31</v>
          </cell>
          <cell r="Q446">
            <v>2.262054</v>
          </cell>
          <cell r="R446" t="e">
            <v>#N/A</v>
          </cell>
        </row>
        <row r="447">
          <cell r="A447">
            <v>40619</v>
          </cell>
          <cell r="B447">
            <v>40619</v>
          </cell>
          <cell r="C447" t="str">
            <v>Past</v>
          </cell>
          <cell r="D447">
            <v>14.33</v>
          </cell>
          <cell r="E447" t="e">
            <v>#N/A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>
            <v>14.33</v>
          </cell>
          <cell r="Q447">
            <v>1.7244809999999999</v>
          </cell>
          <cell r="R447" t="e">
            <v>#N/A</v>
          </cell>
        </row>
        <row r="448">
          <cell r="A448">
            <v>40620</v>
          </cell>
          <cell r="B448">
            <v>40620</v>
          </cell>
          <cell r="C448" t="str">
            <v>Past</v>
          </cell>
          <cell r="D448">
            <v>14.35</v>
          </cell>
          <cell r="E448" t="e">
            <v>#N/A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>
            <v>14.35</v>
          </cell>
          <cell r="Q448">
            <v>1.5717639999999999</v>
          </cell>
          <cell r="R448" t="e">
            <v>#N/A</v>
          </cell>
        </row>
        <row r="449">
          <cell r="A449">
            <v>40623</v>
          </cell>
          <cell r="B449">
            <v>40623</v>
          </cell>
          <cell r="C449" t="str">
            <v>Past</v>
          </cell>
          <cell r="D449">
            <v>14.68</v>
          </cell>
          <cell r="E449" t="e">
            <v>#N/A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>
            <v>14.68</v>
          </cell>
          <cell r="Q449">
            <v>1.8070109999999999</v>
          </cell>
          <cell r="R449" t="e">
            <v>#N/A</v>
          </cell>
        </row>
        <row r="450">
          <cell r="A450">
            <v>40624</v>
          </cell>
          <cell r="B450">
            <v>40624</v>
          </cell>
          <cell r="C450" t="str">
            <v>Past</v>
          </cell>
          <cell r="D450">
            <v>14.54</v>
          </cell>
          <cell r="E450" t="e">
            <v>#N/A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>
            <v>14.54</v>
          </cell>
          <cell r="Q450">
            <v>1.435576</v>
          </cell>
          <cell r="R450" t="e">
            <v>#N/A</v>
          </cell>
        </row>
        <row r="451">
          <cell r="A451">
            <v>40625</v>
          </cell>
          <cell r="B451">
            <v>40625</v>
          </cell>
          <cell r="C451" t="str">
            <v>Past</v>
          </cell>
          <cell r="D451">
            <v>14.49</v>
          </cell>
          <cell r="E451" t="e">
            <v>#N/A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>
            <v>14.49</v>
          </cell>
          <cell r="Q451">
            <v>1.24529</v>
          </cell>
          <cell r="R451" t="e">
            <v>#N/A</v>
          </cell>
        </row>
        <row r="452">
          <cell r="A452">
            <v>40626</v>
          </cell>
          <cell r="B452">
            <v>40626</v>
          </cell>
          <cell r="C452" t="str">
            <v>Past</v>
          </cell>
          <cell r="D452">
            <v>14.5</v>
          </cell>
          <cell r="E452" t="e">
            <v>#N/A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>
            <v>14.5</v>
          </cell>
          <cell r="Q452">
            <v>1.491544</v>
          </cell>
          <cell r="R452" t="e">
            <v>#N/A</v>
          </cell>
        </row>
        <row r="453">
          <cell r="A453">
            <v>40627</v>
          </cell>
          <cell r="B453">
            <v>40627</v>
          </cell>
          <cell r="C453" t="str">
            <v>Past</v>
          </cell>
          <cell r="D453">
            <v>14.58</v>
          </cell>
          <cell r="E453" t="e">
            <v>#N/A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>
            <v>14.58</v>
          </cell>
          <cell r="Q453">
            <v>1.252939</v>
          </cell>
          <cell r="R453" t="e">
            <v>#N/A</v>
          </cell>
        </row>
        <row r="454">
          <cell r="A454">
            <v>40630</v>
          </cell>
          <cell r="B454">
            <v>40630</v>
          </cell>
          <cell r="C454" t="str">
            <v>Past</v>
          </cell>
          <cell r="D454">
            <v>14.53</v>
          </cell>
          <cell r="E454" t="e">
            <v>#N/A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>
            <v>14.53</v>
          </cell>
          <cell r="Q454">
            <v>1.033458</v>
          </cell>
          <cell r="R454" t="e">
            <v>#N/A</v>
          </cell>
        </row>
        <row r="455">
          <cell r="A455">
            <v>40631</v>
          </cell>
          <cell r="B455">
            <v>40631</v>
          </cell>
          <cell r="C455" t="str">
            <v>Past</v>
          </cell>
          <cell r="D455">
            <v>14.7</v>
          </cell>
          <cell r="E455" t="e">
            <v>#N/A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>
            <v>14.7</v>
          </cell>
          <cell r="Q455">
            <v>1.3141769999999999</v>
          </cell>
          <cell r="R455" t="e">
            <v>#N/A</v>
          </cell>
        </row>
        <row r="456">
          <cell r="A456">
            <v>40632</v>
          </cell>
          <cell r="B456">
            <v>40632</v>
          </cell>
          <cell r="C456" t="str">
            <v>Past</v>
          </cell>
          <cell r="D456">
            <v>14.89</v>
          </cell>
          <cell r="E456" t="e">
            <v>#N/A</v>
          </cell>
          <cell r="F456" t="e">
            <v>#N/A</v>
          </cell>
          <cell r="G456" t="e">
            <v>#N/A</v>
          </cell>
          <cell r="H456" t="e">
            <v>#N/A</v>
          </cell>
          <cell r="I456" t="e">
            <v>#N/A</v>
          </cell>
          <cell r="J456" t="e">
            <v>#N/A</v>
          </cell>
          <cell r="K456" t="e">
            <v>#N/A</v>
          </cell>
          <cell r="L456" t="e">
            <v>#N/A</v>
          </cell>
          <cell r="M456" t="e">
            <v>#N/A</v>
          </cell>
          <cell r="N456" t="e">
            <v>#N/A</v>
          </cell>
          <cell r="O456" t="e">
            <v>#N/A</v>
          </cell>
          <cell r="P456">
            <v>14.89</v>
          </cell>
          <cell r="Q456">
            <v>1.3115600000000001</v>
          </cell>
          <cell r="R456" t="e">
            <v>#N/A</v>
          </cell>
        </row>
        <row r="457">
          <cell r="A457">
            <v>40633</v>
          </cell>
          <cell r="B457">
            <v>40633</v>
          </cell>
          <cell r="C457" t="str">
            <v>Past</v>
          </cell>
          <cell r="D457">
            <v>14.89</v>
          </cell>
          <cell r="E457" t="e">
            <v>#N/A</v>
          </cell>
          <cell r="F457" t="e">
            <v>#N/A</v>
          </cell>
          <cell r="G457" t="e">
            <v>#N/A</v>
          </cell>
          <cell r="H457" t="e">
            <v>#N/A</v>
          </cell>
          <cell r="I457" t="e">
            <v>#N/A</v>
          </cell>
          <cell r="J457" t="e">
            <v>#N/A</v>
          </cell>
          <cell r="K457" t="e">
            <v>#N/A</v>
          </cell>
          <cell r="L457" t="e">
            <v>#N/A</v>
          </cell>
          <cell r="M457" t="e">
            <v>#N/A</v>
          </cell>
          <cell r="N457" t="e">
            <v>#N/A</v>
          </cell>
          <cell r="O457" t="e">
            <v>#N/A</v>
          </cell>
          <cell r="P457">
            <v>14.89</v>
          </cell>
          <cell r="Q457">
            <v>0.96714199999999995</v>
          </cell>
          <cell r="R457" t="e">
            <v>#N/A</v>
          </cell>
        </row>
        <row r="458">
          <cell r="A458">
            <v>40634</v>
          </cell>
          <cell r="B458">
            <v>40634</v>
          </cell>
          <cell r="C458" t="str">
            <v>Past</v>
          </cell>
          <cell r="D458">
            <v>15.03</v>
          </cell>
          <cell r="E458" t="e">
            <v>#N/A</v>
          </cell>
          <cell r="F458" t="e">
            <v>#N/A</v>
          </cell>
          <cell r="G458" t="e">
            <v>#N/A</v>
          </cell>
          <cell r="H458" t="e">
            <v>#N/A</v>
          </cell>
          <cell r="I458" t="e">
            <v>#N/A</v>
          </cell>
          <cell r="J458" t="e">
            <v>#N/A</v>
          </cell>
          <cell r="K458" t="e">
            <v>#N/A</v>
          </cell>
          <cell r="L458" t="e">
            <v>#N/A</v>
          </cell>
          <cell r="M458" t="e">
            <v>#N/A</v>
          </cell>
          <cell r="N458" t="e">
            <v>#N/A</v>
          </cell>
          <cell r="O458" t="e">
            <v>#N/A</v>
          </cell>
          <cell r="P458">
            <v>15.03</v>
          </cell>
          <cell r="Q458">
            <v>1.0310729999999999</v>
          </cell>
          <cell r="R458" t="e">
            <v>#N/A</v>
          </cell>
        </row>
        <row r="459">
          <cell r="A459">
            <v>40637</v>
          </cell>
          <cell r="B459">
            <v>40637</v>
          </cell>
          <cell r="C459" t="str">
            <v>Past</v>
          </cell>
          <cell r="D459">
            <v>15.07</v>
          </cell>
          <cell r="E459" t="e">
            <v>#N/A</v>
          </cell>
          <cell r="F459" t="e">
            <v>#N/A</v>
          </cell>
          <cell r="G459" t="e">
            <v>#N/A</v>
          </cell>
          <cell r="H459" t="e">
            <v>#N/A</v>
          </cell>
          <cell r="I459" t="e">
            <v>#N/A</v>
          </cell>
          <cell r="J459" t="e">
            <v>#N/A</v>
          </cell>
          <cell r="K459" t="e">
            <v>#N/A</v>
          </cell>
          <cell r="L459" t="e">
            <v>#N/A</v>
          </cell>
          <cell r="M459" t="e">
            <v>#N/A</v>
          </cell>
          <cell r="N459" t="e">
            <v>#N/A</v>
          </cell>
          <cell r="O459" t="e">
            <v>#N/A</v>
          </cell>
          <cell r="P459">
            <v>15.07</v>
          </cell>
          <cell r="Q459">
            <v>1.8920779999999999</v>
          </cell>
          <cell r="R459" t="e">
            <v>#N/A</v>
          </cell>
        </row>
        <row r="460">
          <cell r="A460">
            <v>40638</v>
          </cell>
          <cell r="B460">
            <v>40638</v>
          </cell>
          <cell r="C460" t="str">
            <v>Past</v>
          </cell>
          <cell r="D460">
            <v>15.08</v>
          </cell>
          <cell r="E460" t="e">
            <v>#N/A</v>
          </cell>
          <cell r="F460" t="e">
            <v>#N/A</v>
          </cell>
          <cell r="G460" t="e">
            <v>#N/A</v>
          </cell>
          <cell r="H460" t="e">
            <v>#N/A</v>
          </cell>
          <cell r="I460" t="e">
            <v>#N/A</v>
          </cell>
          <cell r="J460" t="e">
            <v>#N/A</v>
          </cell>
          <cell r="K460" t="e">
            <v>#N/A</v>
          </cell>
          <cell r="L460" t="e">
            <v>#N/A</v>
          </cell>
          <cell r="M460" t="e">
            <v>#N/A</v>
          </cell>
          <cell r="N460" t="e">
            <v>#N/A</v>
          </cell>
          <cell r="O460" t="e">
            <v>#N/A</v>
          </cell>
          <cell r="P460">
            <v>15.08</v>
          </cell>
          <cell r="Q460">
            <v>1.070727</v>
          </cell>
          <cell r="R460" t="e">
            <v>#N/A</v>
          </cell>
        </row>
        <row r="461">
          <cell r="A461">
            <v>40639</v>
          </cell>
          <cell r="B461">
            <v>40639</v>
          </cell>
          <cell r="C461" t="str">
            <v>Past</v>
          </cell>
          <cell r="D461">
            <v>15.22</v>
          </cell>
          <cell r="E461" t="e">
            <v>#N/A</v>
          </cell>
          <cell r="F461" t="e">
            <v>#N/A</v>
          </cell>
          <cell r="G461" t="e">
            <v>#N/A</v>
          </cell>
          <cell r="H461" t="e">
            <v>#N/A</v>
          </cell>
          <cell r="I461" t="e">
            <v>#N/A</v>
          </cell>
          <cell r="J461" t="e">
            <v>#N/A</v>
          </cell>
          <cell r="K461" t="e">
            <v>#N/A</v>
          </cell>
          <cell r="L461" t="e">
            <v>#N/A</v>
          </cell>
          <cell r="M461" t="e">
            <v>#N/A</v>
          </cell>
          <cell r="N461" t="e">
            <v>#N/A</v>
          </cell>
          <cell r="O461" t="e">
            <v>#N/A</v>
          </cell>
          <cell r="P461">
            <v>15.22</v>
          </cell>
          <cell r="Q461">
            <v>2.4883349999999997</v>
          </cell>
          <cell r="R461" t="e">
            <v>#N/A</v>
          </cell>
        </row>
        <row r="462">
          <cell r="A462">
            <v>40640</v>
          </cell>
          <cell r="B462">
            <v>40640</v>
          </cell>
          <cell r="C462" t="str">
            <v>Past</v>
          </cell>
          <cell r="D462">
            <v>15.03</v>
          </cell>
          <cell r="E462" t="e">
            <v>#N/A</v>
          </cell>
          <cell r="F462" t="e">
            <v>#N/A</v>
          </cell>
          <cell r="G462" t="e">
            <v>#N/A</v>
          </cell>
          <cell r="H462" t="e">
            <v>#N/A</v>
          </cell>
          <cell r="I462" t="e">
            <v>#N/A</v>
          </cell>
          <cell r="J462" t="e">
            <v>#N/A</v>
          </cell>
          <cell r="K462" t="e">
            <v>#N/A</v>
          </cell>
          <cell r="L462" t="e">
            <v>#N/A</v>
          </cell>
          <cell r="M462" t="e">
            <v>#N/A</v>
          </cell>
          <cell r="N462" t="e">
            <v>#N/A</v>
          </cell>
          <cell r="O462" t="e">
            <v>#N/A</v>
          </cell>
          <cell r="P462">
            <v>15.03</v>
          </cell>
          <cell r="Q462">
            <v>1.381759</v>
          </cell>
          <cell r="R462" t="e">
            <v>#N/A</v>
          </cell>
        </row>
        <row r="463">
          <cell r="A463">
            <v>40641</v>
          </cell>
          <cell r="B463">
            <v>40641</v>
          </cell>
          <cell r="C463" t="str">
            <v>Past</v>
          </cell>
          <cell r="D463">
            <v>15.03</v>
          </cell>
          <cell r="E463" t="e">
            <v>#N/A</v>
          </cell>
          <cell r="F463" t="e">
            <v>#N/A</v>
          </cell>
          <cell r="G463" t="e">
            <v>#N/A</v>
          </cell>
          <cell r="H463" t="e">
            <v>#N/A</v>
          </cell>
          <cell r="I463" t="e">
            <v>#N/A</v>
          </cell>
          <cell r="J463" t="e">
            <v>#N/A</v>
          </cell>
          <cell r="K463" t="e">
            <v>#N/A</v>
          </cell>
          <cell r="L463" t="e">
            <v>#N/A</v>
          </cell>
          <cell r="M463" t="e">
            <v>#N/A</v>
          </cell>
          <cell r="N463" t="e">
            <v>#N/A</v>
          </cell>
          <cell r="O463" t="e">
            <v>#N/A</v>
          </cell>
          <cell r="P463">
            <v>15.03</v>
          </cell>
          <cell r="Q463">
            <v>1.7781319999999998</v>
          </cell>
          <cell r="R463" t="e">
            <v>#N/A</v>
          </cell>
        </row>
        <row r="464">
          <cell r="A464">
            <v>40644</v>
          </cell>
          <cell r="B464">
            <v>40644</v>
          </cell>
          <cell r="C464" t="str">
            <v>Past</v>
          </cell>
          <cell r="D464">
            <v>14.74</v>
          </cell>
          <cell r="E464" t="e">
            <v>#N/A</v>
          </cell>
          <cell r="F464" t="e">
            <v>#N/A</v>
          </cell>
          <cell r="G464" t="e">
            <v>#N/A</v>
          </cell>
          <cell r="H464" t="e">
            <v>#N/A</v>
          </cell>
          <cell r="I464" t="e">
            <v>#N/A</v>
          </cell>
          <cell r="J464" t="e">
            <v>#N/A</v>
          </cell>
          <cell r="K464" t="e">
            <v>#N/A</v>
          </cell>
          <cell r="L464" t="e">
            <v>#N/A</v>
          </cell>
          <cell r="M464" t="e">
            <v>#N/A</v>
          </cell>
          <cell r="N464" t="e">
            <v>#N/A</v>
          </cell>
          <cell r="O464" t="e">
            <v>#N/A</v>
          </cell>
          <cell r="P464">
            <v>14.74</v>
          </cell>
          <cell r="Q464">
            <v>1.324306</v>
          </cell>
          <cell r="R464" t="e">
            <v>#N/A</v>
          </cell>
        </row>
        <row r="465">
          <cell r="A465">
            <v>40645</v>
          </cell>
          <cell r="B465">
            <v>40645</v>
          </cell>
          <cell r="C465" t="str">
            <v>Past</v>
          </cell>
          <cell r="D465">
            <v>14.64</v>
          </cell>
          <cell r="E465" t="e">
            <v>#N/A</v>
          </cell>
          <cell r="F465" t="e">
            <v>#N/A</v>
          </cell>
          <cell r="G465" t="e">
            <v>#N/A</v>
          </cell>
          <cell r="H465" t="e">
            <v>#N/A</v>
          </cell>
          <cell r="I465" t="e">
            <v>#N/A</v>
          </cell>
          <cell r="J465" t="e">
            <v>#N/A</v>
          </cell>
          <cell r="K465" t="e">
            <v>#N/A</v>
          </cell>
          <cell r="L465" t="e">
            <v>#N/A</v>
          </cell>
          <cell r="M465" t="e">
            <v>#N/A</v>
          </cell>
          <cell r="N465" t="e">
            <v>#N/A</v>
          </cell>
          <cell r="O465" t="e">
            <v>#N/A</v>
          </cell>
          <cell r="P465">
            <v>14.64</v>
          </cell>
          <cell r="Q465">
            <v>0.74409799999999993</v>
          </cell>
          <cell r="R465" t="e">
            <v>#N/A</v>
          </cell>
        </row>
        <row r="466">
          <cell r="A466">
            <v>40646</v>
          </cell>
          <cell r="B466">
            <v>40646</v>
          </cell>
          <cell r="C466" t="str">
            <v>Past</v>
          </cell>
          <cell r="D466">
            <v>14.68</v>
          </cell>
          <cell r="E466" t="e">
            <v>#N/A</v>
          </cell>
          <cell r="F466" t="e">
            <v>#N/A</v>
          </cell>
          <cell r="G466" t="e">
            <v>#N/A</v>
          </cell>
          <cell r="H466" t="e">
            <v>#N/A</v>
          </cell>
          <cell r="I466" t="e">
            <v>#N/A</v>
          </cell>
          <cell r="J466" t="e">
            <v>#N/A</v>
          </cell>
          <cell r="K466" t="e">
            <v>#N/A</v>
          </cell>
          <cell r="L466" t="e">
            <v>#N/A</v>
          </cell>
          <cell r="M466" t="e">
            <v>#N/A</v>
          </cell>
          <cell r="N466" t="e">
            <v>#N/A</v>
          </cell>
          <cell r="O466" t="e">
            <v>#N/A</v>
          </cell>
          <cell r="P466">
            <v>14.68</v>
          </cell>
          <cell r="Q466">
            <v>0.85418099999999997</v>
          </cell>
          <cell r="R466" t="e">
            <v>#N/A</v>
          </cell>
        </row>
        <row r="467">
          <cell r="A467">
            <v>40647</v>
          </cell>
          <cell r="B467">
            <v>40647</v>
          </cell>
          <cell r="C467" t="str">
            <v>Past</v>
          </cell>
          <cell r="D467">
            <v>14.78</v>
          </cell>
          <cell r="E467" t="e">
            <v>#N/A</v>
          </cell>
          <cell r="F467" t="e">
            <v>#N/A</v>
          </cell>
          <cell r="G467" t="e">
            <v>#N/A</v>
          </cell>
          <cell r="H467" t="e">
            <v>#N/A</v>
          </cell>
          <cell r="I467" t="e">
            <v>#N/A</v>
          </cell>
          <cell r="J467" t="e">
            <v>#N/A</v>
          </cell>
          <cell r="K467" t="e">
            <v>#N/A</v>
          </cell>
          <cell r="L467" t="e">
            <v>#N/A</v>
          </cell>
          <cell r="M467" t="e">
            <v>#N/A</v>
          </cell>
          <cell r="N467" t="e">
            <v>#N/A</v>
          </cell>
          <cell r="O467" t="e">
            <v>#N/A</v>
          </cell>
          <cell r="P467">
            <v>14.78</v>
          </cell>
          <cell r="Q467">
            <v>0.80073699999999992</v>
          </cell>
          <cell r="R467" t="e">
            <v>#N/A</v>
          </cell>
        </row>
        <row r="468">
          <cell r="A468">
            <v>40648</v>
          </cell>
          <cell r="B468">
            <v>40648</v>
          </cell>
          <cell r="C468" t="str">
            <v>Past</v>
          </cell>
          <cell r="D468">
            <v>14.87</v>
          </cell>
          <cell r="E468" t="e">
            <v>#N/A</v>
          </cell>
          <cell r="F468" t="e">
            <v>#N/A</v>
          </cell>
          <cell r="G468" t="e">
            <v>#N/A</v>
          </cell>
          <cell r="H468" t="e">
            <v>#N/A</v>
          </cell>
          <cell r="I468" t="e">
            <v>#N/A</v>
          </cell>
          <cell r="J468" t="e">
            <v>#N/A</v>
          </cell>
          <cell r="K468" t="e">
            <v>#N/A</v>
          </cell>
          <cell r="L468" t="e">
            <v>#N/A</v>
          </cell>
          <cell r="M468" t="e">
            <v>#N/A</v>
          </cell>
          <cell r="N468" t="e">
            <v>#N/A</v>
          </cell>
          <cell r="O468" t="e">
            <v>#N/A</v>
          </cell>
          <cell r="P468">
            <v>14.87</v>
          </cell>
          <cell r="Q468">
            <v>0.85800100000000001</v>
          </cell>
          <cell r="R468" t="e">
            <v>#N/A</v>
          </cell>
        </row>
        <row r="469">
          <cell r="A469">
            <v>40651</v>
          </cell>
          <cell r="B469">
            <v>40651</v>
          </cell>
          <cell r="C469" t="str">
            <v>Past</v>
          </cell>
          <cell r="D469">
            <v>14.66</v>
          </cell>
          <cell r="E469" t="e">
            <v>#N/A</v>
          </cell>
          <cell r="F469" t="e">
            <v>#N/A</v>
          </cell>
          <cell r="G469" t="e">
            <v>#N/A</v>
          </cell>
          <cell r="H469" t="e">
            <v>#N/A</v>
          </cell>
          <cell r="I469" t="e">
            <v>#N/A</v>
          </cell>
          <cell r="J469" t="e">
            <v>#N/A</v>
          </cell>
          <cell r="K469" t="e">
            <v>#N/A</v>
          </cell>
          <cell r="L469" t="e">
            <v>#N/A</v>
          </cell>
          <cell r="M469" t="e">
            <v>#N/A</v>
          </cell>
          <cell r="N469" t="e">
            <v>#N/A</v>
          </cell>
          <cell r="O469" t="e">
            <v>#N/A</v>
          </cell>
          <cell r="P469">
            <v>14.66</v>
          </cell>
          <cell r="Q469">
            <v>1.6471739999999999</v>
          </cell>
          <cell r="R469" t="e">
            <v>#N/A</v>
          </cell>
        </row>
        <row r="470">
          <cell r="A470">
            <v>40652</v>
          </cell>
          <cell r="B470">
            <v>40652</v>
          </cell>
          <cell r="C470" t="str">
            <v>Past</v>
          </cell>
          <cell r="D470">
            <v>14.67</v>
          </cell>
          <cell r="E470" t="e">
            <v>#N/A</v>
          </cell>
          <cell r="F470" t="e">
            <v>#N/A</v>
          </cell>
          <cell r="G470" t="e">
            <v>#N/A</v>
          </cell>
          <cell r="H470" t="e">
            <v>#N/A</v>
          </cell>
          <cell r="I470" t="e">
            <v>#N/A</v>
          </cell>
          <cell r="J470" t="e">
            <v>#N/A</v>
          </cell>
          <cell r="K470" t="e">
            <v>#N/A</v>
          </cell>
          <cell r="L470" t="e">
            <v>#N/A</v>
          </cell>
          <cell r="M470" t="e">
            <v>#N/A</v>
          </cell>
          <cell r="N470" t="e">
            <v>#N/A</v>
          </cell>
          <cell r="O470" t="e">
            <v>#N/A</v>
          </cell>
          <cell r="P470">
            <v>14.67</v>
          </cell>
          <cell r="Q470">
            <v>0.76988299999999998</v>
          </cell>
          <cell r="R470" t="e">
            <v>#N/A</v>
          </cell>
        </row>
        <row r="471">
          <cell r="A471">
            <v>40653</v>
          </cell>
          <cell r="B471">
            <v>40653</v>
          </cell>
          <cell r="C471" t="str">
            <v>Past</v>
          </cell>
          <cell r="D471">
            <v>14.87</v>
          </cell>
          <cell r="E471" t="e">
            <v>#N/A</v>
          </cell>
          <cell r="F471" t="e">
            <v>#N/A</v>
          </cell>
          <cell r="G471" t="e">
            <v>#N/A</v>
          </cell>
          <cell r="H471" t="e">
            <v>#N/A</v>
          </cell>
          <cell r="I471" t="e">
            <v>#N/A</v>
          </cell>
          <cell r="J471" t="e">
            <v>#N/A</v>
          </cell>
          <cell r="K471" t="e">
            <v>#N/A</v>
          </cell>
          <cell r="L471" t="e">
            <v>#N/A</v>
          </cell>
          <cell r="M471" t="e">
            <v>#N/A</v>
          </cell>
          <cell r="N471" t="e">
            <v>#N/A</v>
          </cell>
          <cell r="O471" t="e">
            <v>#N/A</v>
          </cell>
          <cell r="P471">
            <v>14.87</v>
          </cell>
          <cell r="Q471">
            <v>1.3099069999999999</v>
          </cell>
          <cell r="R471" t="e">
            <v>#N/A</v>
          </cell>
        </row>
        <row r="472">
          <cell r="A472">
            <v>40654</v>
          </cell>
          <cell r="B472">
            <v>40654</v>
          </cell>
          <cell r="C472" t="str">
            <v>Past</v>
          </cell>
          <cell r="D472">
            <v>14.9</v>
          </cell>
          <cell r="E472" t="e">
            <v>#N/A</v>
          </cell>
          <cell r="F472" t="e">
            <v>#N/A</v>
          </cell>
          <cell r="G472" t="e">
            <v>#N/A</v>
          </cell>
          <cell r="H472" t="e">
            <v>#N/A</v>
          </cell>
          <cell r="I472" t="e">
            <v>#N/A</v>
          </cell>
          <cell r="J472" t="e">
            <v>#N/A</v>
          </cell>
          <cell r="K472" t="e">
            <v>#N/A</v>
          </cell>
          <cell r="L472" t="e">
            <v>#N/A</v>
          </cell>
          <cell r="M472" t="e">
            <v>#N/A</v>
          </cell>
          <cell r="N472" t="e">
            <v>#N/A</v>
          </cell>
          <cell r="O472" t="e">
            <v>#N/A</v>
          </cell>
          <cell r="P472">
            <v>14.9</v>
          </cell>
          <cell r="Q472">
            <v>0.91618899999999992</v>
          </cell>
          <cell r="R472" t="e">
            <v>#N/A</v>
          </cell>
        </row>
        <row r="473">
          <cell r="A473">
            <v>40658</v>
          </cell>
          <cell r="B473">
            <v>40658</v>
          </cell>
          <cell r="C473" t="str">
            <v>Past</v>
          </cell>
          <cell r="D473">
            <v>14.89</v>
          </cell>
          <cell r="E473" t="e">
            <v>#N/A</v>
          </cell>
          <cell r="F473" t="e">
            <v>#N/A</v>
          </cell>
          <cell r="G473" t="e">
            <v>#N/A</v>
          </cell>
          <cell r="H473" t="e">
            <v>#N/A</v>
          </cell>
          <cell r="I473" t="e">
            <v>#N/A</v>
          </cell>
          <cell r="J473" t="e">
            <v>#N/A</v>
          </cell>
          <cell r="K473" t="e">
            <v>#N/A</v>
          </cell>
          <cell r="L473" t="e">
            <v>#N/A</v>
          </cell>
          <cell r="M473" t="e">
            <v>#N/A</v>
          </cell>
          <cell r="N473" t="e">
            <v>#N/A</v>
          </cell>
          <cell r="O473" t="e">
            <v>#N/A</v>
          </cell>
          <cell r="P473">
            <v>14.89</v>
          </cell>
          <cell r="Q473">
            <v>0.50272499999999998</v>
          </cell>
          <cell r="R473" t="e">
            <v>#N/A</v>
          </cell>
        </row>
        <row r="474">
          <cell r="A474">
            <v>40659</v>
          </cell>
          <cell r="B474">
            <v>40659</v>
          </cell>
          <cell r="C474" t="str">
            <v>Past</v>
          </cell>
          <cell r="D474">
            <v>14.99</v>
          </cell>
          <cell r="E474" t="e">
            <v>#N/A</v>
          </cell>
          <cell r="F474" t="e">
            <v>#N/A</v>
          </cell>
          <cell r="G474" t="e">
            <v>#N/A</v>
          </cell>
          <cell r="H474" t="e">
            <v>#N/A</v>
          </cell>
          <cell r="I474" t="e">
            <v>#N/A</v>
          </cell>
          <cell r="J474" t="e">
            <v>#N/A</v>
          </cell>
          <cell r="K474" t="e">
            <v>#N/A</v>
          </cell>
          <cell r="L474" t="e">
            <v>#N/A</v>
          </cell>
          <cell r="M474" t="e">
            <v>#N/A</v>
          </cell>
          <cell r="N474" t="e">
            <v>#N/A</v>
          </cell>
          <cell r="O474" t="e">
            <v>#N/A</v>
          </cell>
          <cell r="P474">
            <v>14.99</v>
          </cell>
          <cell r="Q474">
            <v>1.0861239999999999</v>
          </cell>
          <cell r="R474" t="e">
            <v>#N/A</v>
          </cell>
        </row>
        <row r="475">
          <cell r="A475">
            <v>40660</v>
          </cell>
          <cell r="B475">
            <v>40660</v>
          </cell>
          <cell r="C475" t="str">
            <v>Past</v>
          </cell>
          <cell r="D475">
            <v>15.02</v>
          </cell>
          <cell r="E475" t="e">
            <v>#N/A</v>
          </cell>
          <cell r="F475" t="e">
            <v>#N/A</v>
          </cell>
          <cell r="G475" t="e">
            <v>#N/A</v>
          </cell>
          <cell r="H475" t="e">
            <v>#N/A</v>
          </cell>
          <cell r="I475" t="e">
            <v>#N/A</v>
          </cell>
          <cell r="J475" t="e">
            <v>#N/A</v>
          </cell>
          <cell r="K475" t="e">
            <v>#N/A</v>
          </cell>
          <cell r="L475" t="e">
            <v>#N/A</v>
          </cell>
          <cell r="M475" t="e">
            <v>#N/A</v>
          </cell>
          <cell r="N475" t="e">
            <v>#N/A</v>
          </cell>
          <cell r="O475" t="e">
            <v>#N/A</v>
          </cell>
          <cell r="P475">
            <v>15.02</v>
          </cell>
          <cell r="Q475">
            <v>1.3666639999999999</v>
          </cell>
          <cell r="R475" t="e">
            <v>#N/A</v>
          </cell>
        </row>
        <row r="476">
          <cell r="A476">
            <v>40661</v>
          </cell>
          <cell r="B476">
            <v>40661</v>
          </cell>
          <cell r="C476" t="str">
            <v>Past</v>
          </cell>
          <cell r="D476">
            <v>15.13</v>
          </cell>
          <cell r="E476" t="e">
            <v>#N/A</v>
          </cell>
          <cell r="F476" t="e">
            <v>#N/A</v>
          </cell>
          <cell r="G476" t="e">
            <v>#N/A</v>
          </cell>
          <cell r="H476" t="e">
            <v>#N/A</v>
          </cell>
          <cell r="I476" t="e">
            <v>#N/A</v>
          </cell>
          <cell r="J476" t="e">
            <v>#N/A</v>
          </cell>
          <cell r="K476" t="e">
            <v>#N/A</v>
          </cell>
          <cell r="L476" t="e">
            <v>#N/A</v>
          </cell>
          <cell r="M476" t="e">
            <v>#N/A</v>
          </cell>
          <cell r="N476" t="e">
            <v>#N/A</v>
          </cell>
          <cell r="O476" t="e">
            <v>#N/A</v>
          </cell>
          <cell r="P476">
            <v>15.13</v>
          </cell>
          <cell r="Q476">
            <v>3.1455869999999999</v>
          </cell>
          <cell r="R476" t="e">
            <v>#N/A</v>
          </cell>
        </row>
        <row r="477">
          <cell r="A477">
            <v>40662</v>
          </cell>
          <cell r="B477">
            <v>40662</v>
          </cell>
          <cell r="C477" t="str">
            <v>Past</v>
          </cell>
          <cell r="D477">
            <v>15.19</v>
          </cell>
          <cell r="E477" t="e">
            <v>#N/A</v>
          </cell>
          <cell r="F477" t="e">
            <v>#N/A</v>
          </cell>
          <cell r="G477" t="e">
            <v>#N/A</v>
          </cell>
          <cell r="H477" t="e">
            <v>#N/A</v>
          </cell>
          <cell r="I477" t="e">
            <v>#N/A</v>
          </cell>
          <cell r="J477" t="e">
            <v>#N/A</v>
          </cell>
          <cell r="K477" t="e">
            <v>#N/A</v>
          </cell>
          <cell r="L477" t="e">
            <v>#N/A</v>
          </cell>
          <cell r="M477" t="e">
            <v>#N/A</v>
          </cell>
          <cell r="N477" t="e">
            <v>#N/A</v>
          </cell>
          <cell r="O477" t="e">
            <v>#N/A</v>
          </cell>
          <cell r="P477">
            <v>15.19</v>
          </cell>
          <cell r="Q477">
            <v>1.173627</v>
          </cell>
          <cell r="R477" t="e">
            <v>#N/A</v>
          </cell>
        </row>
        <row r="478">
          <cell r="A478">
            <v>40665</v>
          </cell>
          <cell r="B478">
            <v>40665</v>
          </cell>
          <cell r="C478" t="str">
            <v>Past</v>
          </cell>
          <cell r="D478">
            <v>15.23</v>
          </cell>
          <cell r="E478" t="e">
            <v>#N/A</v>
          </cell>
          <cell r="F478" t="e">
            <v>#N/A</v>
          </cell>
          <cell r="G478" t="e">
            <v>#N/A</v>
          </cell>
          <cell r="H478" t="e">
            <v>#N/A</v>
          </cell>
          <cell r="I478" t="e">
            <v>#N/A</v>
          </cell>
          <cell r="J478" t="e">
            <v>#N/A</v>
          </cell>
          <cell r="K478" t="e">
            <v>#N/A</v>
          </cell>
          <cell r="L478" t="e">
            <v>#N/A</v>
          </cell>
          <cell r="M478" t="e">
            <v>#N/A</v>
          </cell>
          <cell r="N478" t="e">
            <v>#N/A</v>
          </cell>
          <cell r="O478" t="e">
            <v>#N/A</v>
          </cell>
          <cell r="P478">
            <v>15.23</v>
          </cell>
          <cell r="Q478">
            <v>1.4589559999999999</v>
          </cell>
          <cell r="R478" t="e">
            <v>#N/A</v>
          </cell>
        </row>
        <row r="479">
          <cell r="A479">
            <v>40666</v>
          </cell>
          <cell r="B479">
            <v>40666</v>
          </cell>
          <cell r="C479" t="str">
            <v>Past</v>
          </cell>
          <cell r="D479">
            <v>15.35</v>
          </cell>
          <cell r="E479" t="e">
            <v>#N/A</v>
          </cell>
          <cell r="F479" t="e">
            <v>#N/A</v>
          </cell>
          <cell r="G479" t="e">
            <v>#N/A</v>
          </cell>
          <cell r="H479" t="e">
            <v>#N/A</v>
          </cell>
          <cell r="I479" t="e">
            <v>#N/A</v>
          </cell>
          <cell r="J479" t="e">
            <v>#N/A</v>
          </cell>
          <cell r="K479" t="e">
            <v>#N/A</v>
          </cell>
          <cell r="L479" t="e">
            <v>#N/A</v>
          </cell>
          <cell r="M479" t="e">
            <v>#N/A</v>
          </cell>
          <cell r="N479" t="e">
            <v>#N/A</v>
          </cell>
          <cell r="O479" t="e">
            <v>#N/A</v>
          </cell>
          <cell r="P479">
            <v>15.35</v>
          </cell>
          <cell r="Q479">
            <v>1.2028179999999999</v>
          </cell>
          <cell r="R479" t="e">
            <v>#N/A</v>
          </cell>
        </row>
        <row r="480">
          <cell r="A480">
            <v>40667</v>
          </cell>
          <cell r="B480">
            <v>40667</v>
          </cell>
          <cell r="C480" t="str">
            <v>Past</v>
          </cell>
          <cell r="D480">
            <v>15.35</v>
          </cell>
          <cell r="E480" t="e">
            <v>#N/A</v>
          </cell>
          <cell r="F480" t="e">
            <v>#N/A</v>
          </cell>
          <cell r="G480" t="e">
            <v>#N/A</v>
          </cell>
          <cell r="H480" t="e">
            <v>#N/A</v>
          </cell>
          <cell r="I480" t="e">
            <v>#N/A</v>
          </cell>
          <cell r="J480" t="e">
            <v>#N/A</v>
          </cell>
          <cell r="K480" t="e">
            <v>#N/A</v>
          </cell>
          <cell r="L480" t="e">
            <v>#N/A</v>
          </cell>
          <cell r="M480" t="e">
            <v>#N/A</v>
          </cell>
          <cell r="N480" t="e">
            <v>#N/A</v>
          </cell>
          <cell r="O480" t="e">
            <v>#N/A</v>
          </cell>
          <cell r="P480">
            <v>15.35</v>
          </cell>
          <cell r="Q480">
            <v>1.497406</v>
          </cell>
          <cell r="R480" t="e">
            <v>#N/A</v>
          </cell>
        </row>
        <row r="481">
          <cell r="A481">
            <v>40668</v>
          </cell>
          <cell r="B481">
            <v>40668</v>
          </cell>
          <cell r="C481" t="str">
            <v>Past</v>
          </cell>
          <cell r="D481">
            <v>15.32</v>
          </cell>
          <cell r="E481" t="e">
            <v>#N/A</v>
          </cell>
          <cell r="F481" t="e">
            <v>#N/A</v>
          </cell>
          <cell r="G481" t="e">
            <v>#N/A</v>
          </cell>
          <cell r="H481" t="e">
            <v>#N/A</v>
          </cell>
          <cell r="I481" t="e">
            <v>#N/A</v>
          </cell>
          <cell r="J481" t="e">
            <v>#N/A</v>
          </cell>
          <cell r="K481" t="e">
            <v>#N/A</v>
          </cell>
          <cell r="L481" t="e">
            <v>#N/A</v>
          </cell>
          <cell r="M481" t="e">
            <v>#N/A</v>
          </cell>
          <cell r="N481" t="e">
            <v>#N/A</v>
          </cell>
          <cell r="O481" t="e">
            <v>#N/A</v>
          </cell>
          <cell r="P481">
            <v>15.32</v>
          </cell>
          <cell r="Q481">
            <v>1.251004</v>
          </cell>
          <cell r="R481" t="e">
            <v>#N/A</v>
          </cell>
        </row>
        <row r="482">
          <cell r="A482">
            <v>40669</v>
          </cell>
          <cell r="B482">
            <v>40669</v>
          </cell>
          <cell r="C482" t="str">
            <v>Past</v>
          </cell>
          <cell r="D482">
            <v>15.45</v>
          </cell>
          <cell r="E482" t="e">
            <v>#N/A</v>
          </cell>
          <cell r="F482" t="e">
            <v>#N/A</v>
          </cell>
          <cell r="G482" t="e">
            <v>#N/A</v>
          </cell>
          <cell r="H482" t="e">
            <v>#N/A</v>
          </cell>
          <cell r="I482" t="e">
            <v>#N/A</v>
          </cell>
          <cell r="J482" t="e">
            <v>#N/A</v>
          </cell>
          <cell r="K482" t="e">
            <v>#N/A</v>
          </cell>
          <cell r="L482" t="e">
            <v>#N/A</v>
          </cell>
          <cell r="M482" t="e">
            <v>#N/A</v>
          </cell>
          <cell r="N482" t="e">
            <v>#N/A</v>
          </cell>
          <cell r="O482" t="e">
            <v>#N/A</v>
          </cell>
          <cell r="P482">
            <v>15.45</v>
          </cell>
          <cell r="Q482">
            <v>1.1364030000000001</v>
          </cell>
          <cell r="R482" t="e">
            <v>#N/A</v>
          </cell>
        </row>
        <row r="483">
          <cell r="A483">
            <v>40672</v>
          </cell>
          <cell r="B483">
            <v>40672</v>
          </cell>
          <cell r="C483" t="str">
            <v>Past</v>
          </cell>
          <cell r="D483">
            <v>15.47</v>
          </cell>
          <cell r="E483" t="e">
            <v>#N/A</v>
          </cell>
          <cell r="F483" t="e">
            <v>#N/A</v>
          </cell>
          <cell r="G483" t="e">
            <v>#N/A</v>
          </cell>
          <cell r="H483" t="e">
            <v>#N/A</v>
          </cell>
          <cell r="I483" t="e">
            <v>#N/A</v>
          </cell>
          <cell r="J483" t="e">
            <v>#N/A</v>
          </cell>
          <cell r="K483" t="e">
            <v>#N/A</v>
          </cell>
          <cell r="L483" t="e">
            <v>#N/A</v>
          </cell>
          <cell r="M483" t="e">
            <v>#N/A</v>
          </cell>
          <cell r="N483" t="e">
            <v>#N/A</v>
          </cell>
          <cell r="O483" t="e">
            <v>#N/A</v>
          </cell>
          <cell r="P483">
            <v>15.47</v>
          </cell>
          <cell r="Q483">
            <v>0.66692499999999999</v>
          </cell>
          <cell r="R483" t="e">
            <v>#N/A</v>
          </cell>
        </row>
        <row r="484">
          <cell r="A484">
            <v>40673</v>
          </cell>
          <cell r="B484">
            <v>40673</v>
          </cell>
          <cell r="C484" t="str">
            <v>Past</v>
          </cell>
          <cell r="D484">
            <v>15.73</v>
          </cell>
          <cell r="E484" t="e">
            <v>#N/A</v>
          </cell>
          <cell r="F484" t="e">
            <v>#N/A</v>
          </cell>
          <cell r="G484" t="e">
            <v>#N/A</v>
          </cell>
          <cell r="H484" t="e">
            <v>#N/A</v>
          </cell>
          <cell r="I484" t="e">
            <v>#N/A</v>
          </cell>
          <cell r="J484" t="e">
            <v>#N/A</v>
          </cell>
          <cell r="K484" t="e">
            <v>#N/A</v>
          </cell>
          <cell r="L484" t="e">
            <v>#N/A</v>
          </cell>
          <cell r="M484" t="e">
            <v>#N/A</v>
          </cell>
          <cell r="N484" t="e">
            <v>#N/A</v>
          </cell>
          <cell r="O484" t="e">
            <v>#N/A</v>
          </cell>
          <cell r="P484">
            <v>15.73</v>
          </cell>
          <cell r="Q484">
            <v>1.8866289999999999</v>
          </cell>
          <cell r="R484" t="e">
            <v>#N/A</v>
          </cell>
        </row>
        <row r="485">
          <cell r="A485">
            <v>40674</v>
          </cell>
          <cell r="B485">
            <v>40674</v>
          </cell>
          <cell r="C485" t="str">
            <v>Past</v>
          </cell>
          <cell r="D485">
            <v>15.7</v>
          </cell>
          <cell r="E485" t="e">
            <v>#N/A</v>
          </cell>
          <cell r="F485" t="e">
            <v>#N/A</v>
          </cell>
          <cell r="G485" t="e">
            <v>#N/A</v>
          </cell>
          <cell r="H485" t="e">
            <v>#N/A</v>
          </cell>
          <cell r="I485" t="e">
            <v>#N/A</v>
          </cell>
          <cell r="J485" t="e">
            <v>#N/A</v>
          </cell>
          <cell r="K485" t="e">
            <v>#N/A</v>
          </cell>
          <cell r="L485" t="e">
            <v>#N/A</v>
          </cell>
          <cell r="M485" t="e">
            <v>#N/A</v>
          </cell>
          <cell r="N485" t="e">
            <v>#N/A</v>
          </cell>
          <cell r="O485" t="e">
            <v>#N/A</v>
          </cell>
          <cell r="P485">
            <v>15.7</v>
          </cell>
          <cell r="Q485">
            <v>1.11927</v>
          </cell>
          <cell r="R485" t="e">
            <v>#N/A</v>
          </cell>
        </row>
        <row r="486">
          <cell r="A486">
            <v>40675</v>
          </cell>
          <cell r="B486">
            <v>40675</v>
          </cell>
          <cell r="C486" t="str">
            <v>Past</v>
          </cell>
          <cell r="D486">
            <v>15.84</v>
          </cell>
          <cell r="E486" t="e">
            <v>#N/A</v>
          </cell>
          <cell r="F486" t="e">
            <v>#N/A</v>
          </cell>
          <cell r="G486" t="e">
            <v>#N/A</v>
          </cell>
          <cell r="H486" t="e">
            <v>#N/A</v>
          </cell>
          <cell r="I486" t="e">
            <v>#N/A</v>
          </cell>
          <cell r="J486" t="e">
            <v>#N/A</v>
          </cell>
          <cell r="K486" t="e">
            <v>#N/A</v>
          </cell>
          <cell r="L486" t="e">
            <v>#N/A</v>
          </cell>
          <cell r="M486" t="e">
            <v>#N/A</v>
          </cell>
          <cell r="N486" t="e">
            <v>#N/A</v>
          </cell>
          <cell r="O486" t="e">
            <v>#N/A</v>
          </cell>
          <cell r="P486">
            <v>15.84</v>
          </cell>
          <cell r="Q486">
            <v>1.401851</v>
          </cell>
          <cell r="R486" t="e">
            <v>#N/A</v>
          </cell>
        </row>
        <row r="487">
          <cell r="A487">
            <v>40676</v>
          </cell>
          <cell r="B487">
            <v>40676</v>
          </cell>
          <cell r="C487" t="str">
            <v>Past</v>
          </cell>
          <cell r="D487">
            <v>15.73</v>
          </cell>
          <cell r="E487" t="e">
            <v>#N/A</v>
          </cell>
          <cell r="F487" t="e">
            <v>#N/A</v>
          </cell>
          <cell r="G487" t="e">
            <v>#N/A</v>
          </cell>
          <cell r="H487" t="e">
            <v>#N/A</v>
          </cell>
          <cell r="I487" t="e">
            <v>#N/A</v>
          </cell>
          <cell r="J487" t="e">
            <v>#N/A</v>
          </cell>
          <cell r="K487" t="e">
            <v>#N/A</v>
          </cell>
          <cell r="L487" t="e">
            <v>#N/A</v>
          </cell>
          <cell r="M487" t="e">
            <v>#N/A</v>
          </cell>
          <cell r="N487" t="e">
            <v>#N/A</v>
          </cell>
          <cell r="O487" t="e">
            <v>#N/A</v>
          </cell>
          <cell r="P487">
            <v>15.73</v>
          </cell>
          <cell r="Q487">
            <v>1.107809</v>
          </cell>
          <cell r="R487" t="e">
            <v>#N/A</v>
          </cell>
        </row>
        <row r="488">
          <cell r="A488">
            <v>40679</v>
          </cell>
          <cell r="B488">
            <v>40679</v>
          </cell>
          <cell r="C488" t="str">
            <v>Past</v>
          </cell>
          <cell r="D488">
            <v>15.68</v>
          </cell>
          <cell r="E488" t="e">
            <v>#N/A</v>
          </cell>
          <cell r="F488" t="e">
            <v>#N/A</v>
          </cell>
          <cell r="G488" t="e">
            <v>#N/A</v>
          </cell>
          <cell r="H488" t="e">
            <v>#N/A</v>
          </cell>
          <cell r="I488" t="e">
            <v>#N/A</v>
          </cell>
          <cell r="J488" t="e">
            <v>#N/A</v>
          </cell>
          <cell r="K488" t="e">
            <v>#N/A</v>
          </cell>
          <cell r="L488" t="e">
            <v>#N/A</v>
          </cell>
          <cell r="M488" t="e">
            <v>#N/A</v>
          </cell>
          <cell r="N488" t="e">
            <v>#N/A</v>
          </cell>
          <cell r="O488" t="e">
            <v>#N/A</v>
          </cell>
          <cell r="P488">
            <v>15.68</v>
          </cell>
          <cell r="Q488">
            <v>0.97081499999999998</v>
          </cell>
          <cell r="R488" t="e">
            <v>#N/A</v>
          </cell>
        </row>
        <row r="489">
          <cell r="A489">
            <v>40680</v>
          </cell>
          <cell r="B489">
            <v>40680</v>
          </cell>
          <cell r="C489" t="str">
            <v>Past</v>
          </cell>
          <cell r="D489">
            <v>15.7</v>
          </cell>
          <cell r="E489" t="e">
            <v>#N/A</v>
          </cell>
          <cell r="F489" t="e">
            <v>#N/A</v>
          </cell>
          <cell r="G489" t="e">
            <v>#N/A</v>
          </cell>
          <cell r="H489" t="e">
            <v>#N/A</v>
          </cell>
          <cell r="I489" t="e">
            <v>#N/A</v>
          </cell>
          <cell r="J489" t="e">
            <v>#N/A</v>
          </cell>
          <cell r="K489" t="e">
            <v>#N/A</v>
          </cell>
          <cell r="L489" t="e">
            <v>#N/A</v>
          </cell>
          <cell r="M489" t="e">
            <v>#N/A</v>
          </cell>
          <cell r="N489" t="e">
            <v>#N/A</v>
          </cell>
          <cell r="O489" t="e">
            <v>#N/A</v>
          </cell>
          <cell r="P489">
            <v>15.7</v>
          </cell>
          <cell r="Q489">
            <v>1.0844129999999998</v>
          </cell>
          <cell r="R489" t="e">
            <v>#N/A</v>
          </cell>
        </row>
        <row r="490">
          <cell r="A490">
            <v>40681</v>
          </cell>
          <cell r="B490">
            <v>40681</v>
          </cell>
          <cell r="C490" t="str">
            <v>Past</v>
          </cell>
          <cell r="D490">
            <v>15.74</v>
          </cell>
          <cell r="E490" t="e">
            <v>#N/A</v>
          </cell>
          <cell r="F490" t="e">
            <v>#N/A</v>
          </cell>
          <cell r="G490" t="e">
            <v>#N/A</v>
          </cell>
          <cell r="H490" t="e">
            <v>#N/A</v>
          </cell>
          <cell r="I490" t="e">
            <v>#N/A</v>
          </cell>
          <cell r="J490" t="e">
            <v>#N/A</v>
          </cell>
          <cell r="K490" t="e">
            <v>#N/A</v>
          </cell>
          <cell r="L490" t="e">
            <v>#N/A</v>
          </cell>
          <cell r="M490" t="e">
            <v>#N/A</v>
          </cell>
          <cell r="N490" t="e">
            <v>#N/A</v>
          </cell>
          <cell r="O490" t="e">
            <v>#N/A</v>
          </cell>
          <cell r="P490">
            <v>15.74</v>
          </cell>
          <cell r="Q490">
            <v>1.2470839999999999</v>
          </cell>
          <cell r="R490" t="e">
            <v>#N/A</v>
          </cell>
        </row>
        <row r="491">
          <cell r="A491">
            <v>40682</v>
          </cell>
          <cell r="B491">
            <v>40682</v>
          </cell>
          <cell r="C491" t="str">
            <v>Past</v>
          </cell>
          <cell r="D491">
            <v>15.83</v>
          </cell>
          <cell r="E491" t="e">
            <v>#N/A</v>
          </cell>
          <cell r="F491" t="e">
            <v>#N/A</v>
          </cell>
          <cell r="G491" t="e">
            <v>#N/A</v>
          </cell>
          <cell r="H491" t="e">
            <v>#N/A</v>
          </cell>
          <cell r="I491" t="e">
            <v>#N/A</v>
          </cell>
          <cell r="J491" t="e">
            <v>#N/A</v>
          </cell>
          <cell r="K491" t="e">
            <v>#N/A</v>
          </cell>
          <cell r="L491" t="e">
            <v>#N/A</v>
          </cell>
          <cell r="M491" t="e">
            <v>#N/A</v>
          </cell>
          <cell r="N491" t="e">
            <v>#N/A</v>
          </cell>
          <cell r="O491" t="e">
            <v>#N/A</v>
          </cell>
          <cell r="P491">
            <v>15.83</v>
          </cell>
          <cell r="Q491">
            <v>1.4872179999999999</v>
          </cell>
          <cell r="R491" t="e">
            <v>#N/A</v>
          </cell>
        </row>
        <row r="492">
          <cell r="A492">
            <v>40683</v>
          </cell>
          <cell r="B492">
            <v>40683</v>
          </cell>
          <cell r="C492" t="str">
            <v>Past</v>
          </cell>
          <cell r="D492">
            <v>15.89</v>
          </cell>
          <cell r="E492" t="e">
            <v>#N/A</v>
          </cell>
          <cell r="F492" t="e">
            <v>#N/A</v>
          </cell>
          <cell r="G492" t="e">
            <v>#N/A</v>
          </cell>
          <cell r="H492" t="e">
            <v>#N/A</v>
          </cell>
          <cell r="I492" t="e">
            <v>#N/A</v>
          </cell>
          <cell r="J492" t="e">
            <v>#N/A</v>
          </cell>
          <cell r="K492" t="e">
            <v>#N/A</v>
          </cell>
          <cell r="L492" t="e">
            <v>#N/A</v>
          </cell>
          <cell r="M492" t="e">
            <v>#N/A</v>
          </cell>
          <cell r="N492" t="e">
            <v>#N/A</v>
          </cell>
          <cell r="O492" t="e">
            <v>#N/A</v>
          </cell>
          <cell r="P492">
            <v>15.89</v>
          </cell>
          <cell r="Q492">
            <v>1.526613</v>
          </cell>
          <cell r="R492" t="e">
            <v>#N/A</v>
          </cell>
        </row>
        <row r="493">
          <cell r="A493">
            <v>40686</v>
          </cell>
          <cell r="B493">
            <v>40686</v>
          </cell>
          <cell r="C493" t="str">
            <v>Past</v>
          </cell>
          <cell r="D493">
            <v>15.58</v>
          </cell>
          <cell r="E493" t="e">
            <v>#N/A</v>
          </cell>
          <cell r="F493" t="e">
            <v>#N/A</v>
          </cell>
          <cell r="G493" t="e">
            <v>#N/A</v>
          </cell>
          <cell r="H493" t="e">
            <v>#N/A</v>
          </cell>
          <cell r="I493" t="e">
            <v>#N/A</v>
          </cell>
          <cell r="J493" t="e">
            <v>#N/A</v>
          </cell>
          <cell r="K493" t="e">
            <v>#N/A</v>
          </cell>
          <cell r="L493" t="e">
            <v>#N/A</v>
          </cell>
          <cell r="M493" t="e">
            <v>#N/A</v>
          </cell>
          <cell r="N493" t="e">
            <v>#N/A</v>
          </cell>
          <cell r="O493" t="e">
            <v>#N/A</v>
          </cell>
          <cell r="P493">
            <v>15.58</v>
          </cell>
          <cell r="Q493">
            <v>0.90938699999999995</v>
          </cell>
          <cell r="R493" t="e">
            <v>#N/A</v>
          </cell>
        </row>
        <row r="494">
          <cell r="A494">
            <v>40687</v>
          </cell>
          <cell r="B494">
            <v>40687</v>
          </cell>
          <cell r="C494" t="str">
            <v>Past</v>
          </cell>
          <cell r="D494">
            <v>15.45</v>
          </cell>
          <cell r="E494" t="e">
            <v>#N/A</v>
          </cell>
          <cell r="F494" t="e">
            <v>#N/A</v>
          </cell>
          <cell r="G494" t="e">
            <v>#N/A</v>
          </cell>
          <cell r="H494" t="e">
            <v>#N/A</v>
          </cell>
          <cell r="I494" t="e">
            <v>#N/A</v>
          </cell>
          <cell r="J494" t="e">
            <v>#N/A</v>
          </cell>
          <cell r="K494" t="e">
            <v>#N/A</v>
          </cell>
          <cell r="L494" t="e">
            <v>#N/A</v>
          </cell>
          <cell r="M494" t="e">
            <v>#N/A</v>
          </cell>
          <cell r="N494" t="e">
            <v>#N/A</v>
          </cell>
          <cell r="O494" t="e">
            <v>#N/A</v>
          </cell>
          <cell r="P494">
            <v>15.45</v>
          </cell>
          <cell r="Q494">
            <v>1.10145</v>
          </cell>
          <cell r="R494" t="e">
            <v>#N/A</v>
          </cell>
        </row>
        <row r="495">
          <cell r="A495">
            <v>40688</v>
          </cell>
          <cell r="B495">
            <v>40688</v>
          </cell>
          <cell r="C495" t="str">
            <v>Past</v>
          </cell>
          <cell r="D495">
            <v>15.44</v>
          </cell>
          <cell r="E495" t="e">
            <v>#N/A</v>
          </cell>
          <cell r="F495" t="e">
            <v>#N/A</v>
          </cell>
          <cell r="G495" t="e">
            <v>#N/A</v>
          </cell>
          <cell r="H495" t="e">
            <v>#N/A</v>
          </cell>
          <cell r="I495" t="e">
            <v>#N/A</v>
          </cell>
          <cell r="J495" t="e">
            <v>#N/A</v>
          </cell>
          <cell r="K495" t="e">
            <v>#N/A</v>
          </cell>
          <cell r="L495" t="e">
            <v>#N/A</v>
          </cell>
          <cell r="M495" t="e">
            <v>#N/A</v>
          </cell>
          <cell r="N495" t="e">
            <v>#N/A</v>
          </cell>
          <cell r="O495" t="e">
            <v>#N/A</v>
          </cell>
          <cell r="P495">
            <v>15.44</v>
          </cell>
          <cell r="Q495">
            <v>0.66003800000000001</v>
          </cell>
          <cell r="R495" t="e">
            <v>#N/A</v>
          </cell>
        </row>
        <row r="496">
          <cell r="A496">
            <v>40689</v>
          </cell>
          <cell r="B496">
            <v>40689</v>
          </cell>
          <cell r="C496" t="str">
            <v>Past</v>
          </cell>
          <cell r="D496">
            <v>15.54</v>
          </cell>
          <cell r="E496" t="e">
            <v>#N/A</v>
          </cell>
          <cell r="F496" t="e">
            <v>#N/A</v>
          </cell>
          <cell r="G496" t="e">
            <v>#N/A</v>
          </cell>
          <cell r="H496" t="e">
            <v>#N/A</v>
          </cell>
          <cell r="I496" t="e">
            <v>#N/A</v>
          </cell>
          <cell r="J496" t="e">
            <v>#N/A</v>
          </cell>
          <cell r="K496" t="e">
            <v>#N/A</v>
          </cell>
          <cell r="L496" t="e">
            <v>#N/A</v>
          </cell>
          <cell r="M496" t="e">
            <v>#N/A</v>
          </cell>
          <cell r="N496" t="e">
            <v>#N/A</v>
          </cell>
          <cell r="O496" t="e">
            <v>#N/A</v>
          </cell>
          <cell r="P496">
            <v>15.54</v>
          </cell>
          <cell r="Q496">
            <v>1.0232129999999999</v>
          </cell>
          <cell r="R496" t="e">
            <v>#N/A</v>
          </cell>
        </row>
        <row r="497">
          <cell r="A497">
            <v>40690</v>
          </cell>
          <cell r="B497">
            <v>40690</v>
          </cell>
          <cell r="C497" t="str">
            <v>Past</v>
          </cell>
          <cell r="D497">
            <v>15.54</v>
          </cell>
          <cell r="E497" t="e">
            <v>#N/A</v>
          </cell>
          <cell r="F497" t="e">
            <v>#N/A</v>
          </cell>
          <cell r="G497" t="e">
            <v>#N/A</v>
          </cell>
          <cell r="H497" t="e">
            <v>#N/A</v>
          </cell>
          <cell r="I497" t="e">
            <v>#N/A</v>
          </cell>
          <cell r="J497" t="e">
            <v>#N/A</v>
          </cell>
          <cell r="K497" t="e">
            <v>#N/A</v>
          </cell>
          <cell r="L497" t="e">
            <v>#N/A</v>
          </cell>
          <cell r="M497" t="e">
            <v>#N/A</v>
          </cell>
          <cell r="N497" t="e">
            <v>#N/A</v>
          </cell>
          <cell r="O497" t="e">
            <v>#N/A</v>
          </cell>
          <cell r="P497">
            <v>15.54</v>
          </cell>
          <cell r="Q497">
            <v>0.67053600000000002</v>
          </cell>
          <cell r="R497" t="e">
            <v>#N/A</v>
          </cell>
        </row>
        <row r="498">
          <cell r="A498">
            <v>40694</v>
          </cell>
          <cell r="B498">
            <v>40694</v>
          </cell>
          <cell r="C498" t="str">
            <v>Past</v>
          </cell>
          <cell r="D498">
            <v>15.77</v>
          </cell>
          <cell r="E498" t="e">
            <v>#N/A</v>
          </cell>
          <cell r="F498" t="e">
            <v>#N/A</v>
          </cell>
          <cell r="G498" t="e">
            <v>#N/A</v>
          </cell>
          <cell r="H498" t="e">
            <v>#N/A</v>
          </cell>
          <cell r="I498" t="e">
            <v>#N/A</v>
          </cell>
          <cell r="J498" t="e">
            <v>#N/A</v>
          </cell>
          <cell r="K498" t="e">
            <v>#N/A</v>
          </cell>
          <cell r="L498" t="e">
            <v>#N/A</v>
          </cell>
          <cell r="M498" t="e">
            <v>#N/A</v>
          </cell>
          <cell r="N498" t="e">
            <v>#N/A</v>
          </cell>
          <cell r="O498" t="e">
            <v>#N/A</v>
          </cell>
          <cell r="P498">
            <v>15.77</v>
          </cell>
          <cell r="Q498">
            <v>1.214715</v>
          </cell>
          <cell r="R498" t="e">
            <v>#N/A</v>
          </cell>
        </row>
        <row r="499">
          <cell r="A499">
            <v>40695</v>
          </cell>
          <cell r="B499">
            <v>40695</v>
          </cell>
          <cell r="C499" t="str">
            <v>Past</v>
          </cell>
          <cell r="D499">
            <v>15.54</v>
          </cell>
          <cell r="E499" t="e">
            <v>#N/A</v>
          </cell>
          <cell r="F499" t="e">
            <v>#N/A</v>
          </cell>
          <cell r="G499" t="e">
            <v>#N/A</v>
          </cell>
          <cell r="H499" t="e">
            <v>#N/A</v>
          </cell>
          <cell r="I499" t="e">
            <v>#N/A</v>
          </cell>
          <cell r="J499" t="e">
            <v>#N/A</v>
          </cell>
          <cell r="K499" t="e">
            <v>#N/A</v>
          </cell>
          <cell r="L499" t="e">
            <v>#N/A</v>
          </cell>
          <cell r="M499" t="e">
            <v>#N/A</v>
          </cell>
          <cell r="N499" t="e">
            <v>#N/A</v>
          </cell>
          <cell r="O499" t="e">
            <v>#N/A</v>
          </cell>
          <cell r="P499">
            <v>15.54</v>
          </cell>
          <cell r="Q499">
            <v>1.767245</v>
          </cell>
          <cell r="R499" t="e">
            <v>#N/A</v>
          </cell>
        </row>
        <row r="500">
          <cell r="A500">
            <v>40696</v>
          </cell>
          <cell r="B500">
            <v>40696</v>
          </cell>
          <cell r="C500" t="str">
            <v>Past</v>
          </cell>
          <cell r="D500">
            <v>15.48</v>
          </cell>
          <cell r="E500" t="e">
            <v>#N/A</v>
          </cell>
          <cell r="F500" t="e">
            <v>#N/A</v>
          </cell>
          <cell r="G500" t="e">
            <v>#N/A</v>
          </cell>
          <cell r="H500" t="e">
            <v>#N/A</v>
          </cell>
          <cell r="I500" t="e">
            <v>#N/A</v>
          </cell>
          <cell r="J500" t="e">
            <v>#N/A</v>
          </cell>
          <cell r="K500" t="e">
            <v>#N/A</v>
          </cell>
          <cell r="L500" t="e">
            <v>#N/A</v>
          </cell>
          <cell r="M500" t="e">
            <v>#N/A</v>
          </cell>
          <cell r="N500" t="e">
            <v>#N/A</v>
          </cell>
          <cell r="O500" t="e">
            <v>#N/A</v>
          </cell>
          <cell r="P500">
            <v>15.48</v>
          </cell>
          <cell r="Q500">
            <v>1.4389000000000001</v>
          </cell>
          <cell r="R500" t="e">
            <v>#N/A</v>
          </cell>
        </row>
        <row r="501">
          <cell r="A501">
            <v>40697</v>
          </cell>
          <cell r="B501">
            <v>40697</v>
          </cell>
          <cell r="C501" t="str">
            <v>Past</v>
          </cell>
          <cell r="D501">
            <v>15.21</v>
          </cell>
          <cell r="E501" t="e">
            <v>#N/A</v>
          </cell>
          <cell r="F501" t="e">
            <v>#N/A</v>
          </cell>
          <cell r="G501" t="e">
            <v>#N/A</v>
          </cell>
          <cell r="H501" t="e">
            <v>#N/A</v>
          </cell>
          <cell r="I501" t="e">
            <v>#N/A</v>
          </cell>
          <cell r="J501" t="e">
            <v>#N/A</v>
          </cell>
          <cell r="K501" t="e">
            <v>#N/A</v>
          </cell>
          <cell r="L501" t="e">
            <v>#N/A</v>
          </cell>
          <cell r="M501" t="e">
            <v>#N/A</v>
          </cell>
          <cell r="N501" t="e">
            <v>#N/A</v>
          </cell>
          <cell r="O501" t="e">
            <v>#N/A</v>
          </cell>
          <cell r="P501">
            <v>15.21</v>
          </cell>
          <cell r="Q501">
            <v>1.2053719999999999</v>
          </cell>
          <cell r="R501" t="e">
            <v>#N/A</v>
          </cell>
        </row>
        <row r="502">
          <cell r="A502">
            <v>40700</v>
          </cell>
          <cell r="B502">
            <v>40700</v>
          </cell>
          <cell r="C502" t="str">
            <v>Past</v>
          </cell>
          <cell r="D502">
            <v>15.03</v>
          </cell>
          <cell r="E502" t="e">
            <v>#N/A</v>
          </cell>
          <cell r="F502" t="e">
            <v>#N/A</v>
          </cell>
          <cell r="G502" t="e">
            <v>#N/A</v>
          </cell>
          <cell r="H502" t="e">
            <v>#N/A</v>
          </cell>
          <cell r="I502" t="e">
            <v>#N/A</v>
          </cell>
          <cell r="J502" t="e">
            <v>#N/A</v>
          </cell>
          <cell r="K502" t="e">
            <v>#N/A</v>
          </cell>
          <cell r="L502" t="e">
            <v>#N/A</v>
          </cell>
          <cell r="M502" t="e">
            <v>#N/A</v>
          </cell>
          <cell r="N502" t="e">
            <v>#N/A</v>
          </cell>
          <cell r="O502" t="e">
            <v>#N/A</v>
          </cell>
          <cell r="P502">
            <v>15.03</v>
          </cell>
          <cell r="Q502">
            <v>1.5388409999999999</v>
          </cell>
          <cell r="R502" t="e">
            <v>#N/A</v>
          </cell>
        </row>
        <row r="503">
          <cell r="A503">
            <v>40701</v>
          </cell>
          <cell r="B503">
            <v>40701</v>
          </cell>
          <cell r="C503" t="str">
            <v>Past</v>
          </cell>
          <cell r="D503">
            <v>15.2</v>
          </cell>
          <cell r="E503" t="e">
            <v>#N/A</v>
          </cell>
          <cell r="F503" t="e">
            <v>#N/A</v>
          </cell>
          <cell r="G503" t="e">
            <v>#N/A</v>
          </cell>
          <cell r="H503" t="e">
            <v>#N/A</v>
          </cell>
          <cell r="I503" t="e">
            <v>#N/A</v>
          </cell>
          <cell r="J503" t="e">
            <v>#N/A</v>
          </cell>
          <cell r="K503" t="e">
            <v>#N/A</v>
          </cell>
          <cell r="L503" t="e">
            <v>#N/A</v>
          </cell>
          <cell r="M503" t="e">
            <v>#N/A</v>
          </cell>
          <cell r="N503" t="e">
            <v>#N/A</v>
          </cell>
          <cell r="O503" t="e">
            <v>#N/A</v>
          </cell>
          <cell r="P503">
            <v>15.2</v>
          </cell>
          <cell r="Q503">
            <v>3.3628109999999998</v>
          </cell>
          <cell r="R503" t="e">
            <v>#N/A</v>
          </cell>
        </row>
        <row r="504">
          <cell r="A504">
            <v>40702</v>
          </cell>
          <cell r="B504">
            <v>40702</v>
          </cell>
          <cell r="C504" t="str">
            <v>Past</v>
          </cell>
          <cell r="D504">
            <v>15.55</v>
          </cell>
          <cell r="E504" t="e">
            <v>#N/A</v>
          </cell>
          <cell r="F504" t="e">
            <v>#N/A</v>
          </cell>
          <cell r="G504" t="e">
            <v>#N/A</v>
          </cell>
          <cell r="H504" t="e">
            <v>#N/A</v>
          </cell>
          <cell r="I504" t="e">
            <v>#N/A</v>
          </cell>
          <cell r="J504" t="e">
            <v>#N/A</v>
          </cell>
          <cell r="K504" t="e">
            <v>#N/A</v>
          </cell>
          <cell r="L504" t="e">
            <v>#N/A</v>
          </cell>
          <cell r="M504" t="e">
            <v>#N/A</v>
          </cell>
          <cell r="N504" t="e">
            <v>#N/A</v>
          </cell>
          <cell r="O504" t="e">
            <v>#N/A</v>
          </cell>
          <cell r="P504">
            <v>15.55</v>
          </cell>
          <cell r="Q504">
            <v>3.4263000000000003</v>
          </cell>
          <cell r="R504" t="e">
            <v>#N/A</v>
          </cell>
        </row>
        <row r="505">
          <cell r="A505">
            <v>40703</v>
          </cell>
          <cell r="B505">
            <v>40703</v>
          </cell>
          <cell r="C505" t="str">
            <v>Past</v>
          </cell>
          <cell r="D505">
            <v>15.38</v>
          </cell>
          <cell r="E505" t="e">
            <v>#N/A</v>
          </cell>
          <cell r="F505" t="e">
            <v>#N/A</v>
          </cell>
          <cell r="G505" t="e">
            <v>#N/A</v>
          </cell>
          <cell r="H505" t="e">
            <v>#N/A</v>
          </cell>
          <cell r="I505" t="e">
            <v>#N/A</v>
          </cell>
          <cell r="J505" t="e">
            <v>#N/A</v>
          </cell>
          <cell r="K505" t="e">
            <v>#N/A</v>
          </cell>
          <cell r="L505" t="e">
            <v>#N/A</v>
          </cell>
          <cell r="M505" t="e">
            <v>#N/A</v>
          </cell>
          <cell r="N505" t="e">
            <v>#N/A</v>
          </cell>
          <cell r="O505" t="e">
            <v>#N/A</v>
          </cell>
          <cell r="P505">
            <v>15.38</v>
          </cell>
          <cell r="Q505">
            <v>4.3216890000000001</v>
          </cell>
          <cell r="R505" t="e">
            <v>#N/A</v>
          </cell>
        </row>
        <row r="506">
          <cell r="A506">
            <v>40704</v>
          </cell>
          <cell r="B506">
            <v>40704</v>
          </cell>
          <cell r="C506" t="str">
            <v>Past</v>
          </cell>
          <cell r="D506">
            <v>15.69</v>
          </cell>
          <cell r="E506" t="e">
            <v>#N/A</v>
          </cell>
          <cell r="F506" t="e">
            <v>#N/A</v>
          </cell>
          <cell r="G506" t="e">
            <v>#N/A</v>
          </cell>
          <cell r="H506" t="e">
            <v>#N/A</v>
          </cell>
          <cell r="I506" t="e">
            <v>#N/A</v>
          </cell>
          <cell r="J506" t="e">
            <v>#N/A</v>
          </cell>
          <cell r="K506" t="e">
            <v>#N/A</v>
          </cell>
          <cell r="L506" t="e">
            <v>#N/A</v>
          </cell>
          <cell r="M506" t="e">
            <v>#N/A</v>
          </cell>
          <cell r="N506" t="e">
            <v>#N/A</v>
          </cell>
          <cell r="O506" t="e">
            <v>#N/A</v>
          </cell>
          <cell r="P506">
            <v>15.69</v>
          </cell>
          <cell r="Q506">
            <v>4.2505619999999995</v>
          </cell>
          <cell r="R506" t="e">
            <v>#N/A</v>
          </cell>
        </row>
        <row r="507">
          <cell r="A507">
            <v>40707</v>
          </cell>
          <cell r="B507">
            <v>40707</v>
          </cell>
          <cell r="C507" t="str">
            <v>Past</v>
          </cell>
          <cell r="D507">
            <v>15.65</v>
          </cell>
          <cell r="E507" t="e">
            <v>#N/A</v>
          </cell>
          <cell r="F507" t="e">
            <v>#N/A</v>
          </cell>
          <cell r="G507" t="e">
            <v>#N/A</v>
          </cell>
          <cell r="H507" t="e">
            <v>#N/A</v>
          </cell>
          <cell r="I507" t="e">
            <v>#N/A</v>
          </cell>
          <cell r="J507" t="e">
            <v>#N/A</v>
          </cell>
          <cell r="K507" t="e">
            <v>#N/A</v>
          </cell>
          <cell r="L507" t="e">
            <v>#N/A</v>
          </cell>
          <cell r="M507" t="e">
            <v>#N/A</v>
          </cell>
          <cell r="N507" t="e">
            <v>#N/A</v>
          </cell>
          <cell r="O507" t="e">
            <v>#N/A</v>
          </cell>
          <cell r="P507">
            <v>15.65</v>
          </cell>
          <cell r="Q507">
            <v>4.1095300000000003</v>
          </cell>
          <cell r="R507" t="e">
            <v>#N/A</v>
          </cell>
        </row>
        <row r="508">
          <cell r="A508">
            <v>40708</v>
          </cell>
          <cell r="B508">
            <v>40708</v>
          </cell>
          <cell r="C508" t="str">
            <v>Past</v>
          </cell>
          <cell r="D508">
            <v>15.54</v>
          </cell>
          <cell r="E508" t="e">
            <v>#N/A</v>
          </cell>
          <cell r="F508" t="e">
            <v>#N/A</v>
          </cell>
          <cell r="G508" t="e">
            <v>#N/A</v>
          </cell>
          <cell r="H508" t="e">
            <v>#N/A</v>
          </cell>
          <cell r="I508" t="e">
            <v>#N/A</v>
          </cell>
          <cell r="J508" t="e">
            <v>#N/A</v>
          </cell>
          <cell r="K508" t="e">
            <v>#N/A</v>
          </cell>
          <cell r="L508" t="e">
            <v>#N/A</v>
          </cell>
          <cell r="M508" t="e">
            <v>#N/A</v>
          </cell>
          <cell r="N508" t="e">
            <v>#N/A</v>
          </cell>
          <cell r="O508" t="e">
            <v>#N/A</v>
          </cell>
          <cell r="P508">
            <v>15.54</v>
          </cell>
          <cell r="Q508">
            <v>4.4835189999999994</v>
          </cell>
          <cell r="R508" t="e">
            <v>#N/A</v>
          </cell>
        </row>
        <row r="509">
          <cell r="A509">
            <v>40709</v>
          </cell>
          <cell r="B509">
            <v>40709</v>
          </cell>
          <cell r="C509" t="str">
            <v>Past</v>
          </cell>
          <cell r="D509">
            <v>15.37</v>
          </cell>
          <cell r="E509" t="e">
            <v>#N/A</v>
          </cell>
          <cell r="F509" t="e">
            <v>#N/A</v>
          </cell>
          <cell r="G509" t="e">
            <v>#N/A</v>
          </cell>
          <cell r="H509" t="e">
            <v>#N/A</v>
          </cell>
          <cell r="I509" t="e">
            <v>#N/A</v>
          </cell>
          <cell r="J509" t="e">
            <v>#N/A</v>
          </cell>
          <cell r="K509" t="e">
            <v>#N/A</v>
          </cell>
          <cell r="L509" t="e">
            <v>#N/A</v>
          </cell>
          <cell r="M509" t="e">
            <v>#N/A</v>
          </cell>
          <cell r="N509" t="e">
            <v>#N/A</v>
          </cell>
          <cell r="O509" t="e">
            <v>#N/A</v>
          </cell>
          <cell r="P509">
            <v>15.37</v>
          </cell>
          <cell r="Q509">
            <v>2.9629879999999997</v>
          </cell>
          <cell r="R509" t="e">
            <v>#N/A</v>
          </cell>
        </row>
        <row r="510">
          <cell r="A510">
            <v>40710</v>
          </cell>
          <cell r="B510">
            <v>40710</v>
          </cell>
          <cell r="C510" t="str">
            <v>Past</v>
          </cell>
          <cell r="D510">
            <v>15.4</v>
          </cell>
          <cell r="E510" t="e">
            <v>#N/A</v>
          </cell>
          <cell r="F510" t="e">
            <v>#N/A</v>
          </cell>
          <cell r="G510" t="e">
            <v>#N/A</v>
          </cell>
          <cell r="H510" t="e">
            <v>#N/A</v>
          </cell>
          <cell r="I510" t="e">
            <v>#N/A</v>
          </cell>
          <cell r="J510" t="e">
            <v>#N/A</v>
          </cell>
          <cell r="K510" t="e">
            <v>#N/A</v>
          </cell>
          <cell r="L510" t="e">
            <v>#N/A</v>
          </cell>
          <cell r="M510" t="e">
            <v>#N/A</v>
          </cell>
          <cell r="N510" t="e">
            <v>#N/A</v>
          </cell>
          <cell r="O510" t="e">
            <v>#N/A</v>
          </cell>
          <cell r="P510">
            <v>15.4</v>
          </cell>
          <cell r="Q510">
            <v>2.338606</v>
          </cell>
          <cell r="R510" t="e">
            <v>#N/A</v>
          </cell>
        </row>
        <row r="511">
          <cell r="A511">
            <v>40711</v>
          </cell>
          <cell r="B511">
            <v>40711</v>
          </cell>
          <cell r="C511" t="str">
            <v>Past</v>
          </cell>
          <cell r="D511">
            <v>15.45</v>
          </cell>
          <cell r="E511" t="e">
            <v>#N/A</v>
          </cell>
          <cell r="F511" t="e">
            <v>#N/A</v>
          </cell>
          <cell r="G511" t="e">
            <v>#N/A</v>
          </cell>
          <cell r="H511" t="e">
            <v>#N/A</v>
          </cell>
          <cell r="I511" t="e">
            <v>#N/A</v>
          </cell>
          <cell r="J511" t="e">
            <v>#N/A</v>
          </cell>
          <cell r="K511" t="e">
            <v>#N/A</v>
          </cell>
          <cell r="L511" t="e">
            <v>#N/A</v>
          </cell>
          <cell r="M511" t="e">
            <v>#N/A</v>
          </cell>
          <cell r="N511" t="e">
            <v>#N/A</v>
          </cell>
          <cell r="O511" t="e">
            <v>#N/A</v>
          </cell>
          <cell r="P511">
            <v>15.45</v>
          </cell>
          <cell r="Q511">
            <v>2.8604409999999998</v>
          </cell>
          <cell r="R511" t="e">
            <v>#N/A</v>
          </cell>
        </row>
        <row r="512">
          <cell r="A512">
            <v>40714</v>
          </cell>
          <cell r="B512">
            <v>40714</v>
          </cell>
          <cell r="C512" t="str">
            <v>Past</v>
          </cell>
          <cell r="D512">
            <v>15.4</v>
          </cell>
          <cell r="E512" t="e">
            <v>#N/A</v>
          </cell>
          <cell r="F512" t="e">
            <v>#N/A</v>
          </cell>
          <cell r="G512" t="e">
            <v>#N/A</v>
          </cell>
          <cell r="H512" t="e">
            <v>#N/A</v>
          </cell>
          <cell r="I512" t="e">
            <v>#N/A</v>
          </cell>
          <cell r="J512" t="e">
            <v>#N/A</v>
          </cell>
          <cell r="K512" t="e">
            <v>#N/A</v>
          </cell>
          <cell r="L512" t="e">
            <v>#N/A</v>
          </cell>
          <cell r="M512" t="e">
            <v>#N/A</v>
          </cell>
          <cell r="N512" t="e">
            <v>#N/A</v>
          </cell>
          <cell r="O512" t="e">
            <v>#N/A</v>
          </cell>
          <cell r="P512">
            <v>15.4</v>
          </cell>
          <cell r="Q512">
            <v>3.7483</v>
          </cell>
          <cell r="R512" t="e">
            <v>#N/A</v>
          </cell>
        </row>
        <row r="513">
          <cell r="A513">
            <v>40715</v>
          </cell>
          <cell r="B513">
            <v>40715</v>
          </cell>
          <cell r="C513" t="str">
            <v>Past</v>
          </cell>
          <cell r="D513">
            <v>15.5</v>
          </cell>
          <cell r="E513" t="e">
            <v>#N/A</v>
          </cell>
          <cell r="F513" t="e">
            <v>#N/A</v>
          </cell>
          <cell r="G513" t="e">
            <v>#N/A</v>
          </cell>
          <cell r="H513" t="e">
            <v>#N/A</v>
          </cell>
          <cell r="I513" t="e">
            <v>#N/A</v>
          </cell>
          <cell r="J513" t="e">
            <v>#N/A</v>
          </cell>
          <cell r="K513" t="e">
            <v>#N/A</v>
          </cell>
          <cell r="L513" t="e">
            <v>#N/A</v>
          </cell>
          <cell r="M513" t="e">
            <v>#N/A</v>
          </cell>
          <cell r="N513" t="e">
            <v>#N/A</v>
          </cell>
          <cell r="O513" t="e">
            <v>#N/A</v>
          </cell>
          <cell r="P513">
            <v>15.5</v>
          </cell>
          <cell r="Q513">
            <v>4.0320909999999994</v>
          </cell>
          <cell r="R513" t="e">
            <v>#N/A</v>
          </cell>
        </row>
        <row r="514">
          <cell r="A514">
            <v>40716</v>
          </cell>
          <cell r="B514">
            <v>40716</v>
          </cell>
          <cell r="C514" t="str">
            <v>Past</v>
          </cell>
          <cell r="D514">
            <v>15.32</v>
          </cell>
          <cell r="E514" t="e">
            <v>#N/A</v>
          </cell>
          <cell r="F514" t="e">
            <v>#N/A</v>
          </cell>
          <cell r="G514" t="e">
            <v>#N/A</v>
          </cell>
          <cell r="H514" t="e">
            <v>#N/A</v>
          </cell>
          <cell r="I514" t="e">
            <v>#N/A</v>
          </cell>
          <cell r="J514" t="e">
            <v>#N/A</v>
          </cell>
          <cell r="K514" t="e">
            <v>#N/A</v>
          </cell>
          <cell r="L514" t="e">
            <v>#N/A</v>
          </cell>
          <cell r="M514" t="e">
            <v>#N/A</v>
          </cell>
          <cell r="N514" t="e">
            <v>#N/A</v>
          </cell>
          <cell r="O514" t="e">
            <v>#N/A</v>
          </cell>
          <cell r="P514">
            <v>15.32</v>
          </cell>
          <cell r="Q514">
            <v>2.2638000000000003</v>
          </cell>
          <cell r="R514" t="e">
            <v>#N/A</v>
          </cell>
        </row>
        <row r="515">
          <cell r="A515">
            <v>40717</v>
          </cell>
          <cell r="B515">
            <v>40717</v>
          </cell>
          <cell r="C515" t="str">
            <v>Past</v>
          </cell>
          <cell r="D515">
            <v>15.1</v>
          </cell>
          <cell r="E515" t="e">
            <v>#N/A</v>
          </cell>
          <cell r="F515" t="e">
            <v>#N/A</v>
          </cell>
          <cell r="G515" t="e">
            <v>#N/A</v>
          </cell>
          <cell r="H515" t="e">
            <v>#N/A</v>
          </cell>
          <cell r="I515" t="e">
            <v>#N/A</v>
          </cell>
          <cell r="J515" t="e">
            <v>#N/A</v>
          </cell>
          <cell r="K515" t="e">
            <v>#N/A</v>
          </cell>
          <cell r="L515" t="e">
            <v>#N/A</v>
          </cell>
          <cell r="M515" t="e">
            <v>#N/A</v>
          </cell>
          <cell r="N515" t="e">
            <v>#N/A</v>
          </cell>
          <cell r="O515" t="e">
            <v>#N/A</v>
          </cell>
          <cell r="P515">
            <v>15.1</v>
          </cell>
          <cell r="Q515">
            <v>3.6845919999999999</v>
          </cell>
          <cell r="R515" t="e">
            <v>#N/A</v>
          </cell>
        </row>
        <row r="516">
          <cell r="A516">
            <v>40718</v>
          </cell>
          <cell r="B516">
            <v>40718</v>
          </cell>
          <cell r="C516" t="str">
            <v>Past</v>
          </cell>
          <cell r="D516">
            <v>15.1</v>
          </cell>
          <cell r="E516" t="e">
            <v>#N/A</v>
          </cell>
          <cell r="F516" t="e">
            <v>#N/A</v>
          </cell>
          <cell r="G516" t="e">
            <v>#N/A</v>
          </cell>
          <cell r="H516" t="e">
            <v>#N/A</v>
          </cell>
          <cell r="I516" t="e">
            <v>#N/A</v>
          </cell>
          <cell r="J516" t="e">
            <v>#N/A</v>
          </cell>
          <cell r="K516" t="e">
            <v>#N/A</v>
          </cell>
          <cell r="L516" t="e">
            <v>#N/A</v>
          </cell>
          <cell r="M516" t="e">
            <v>#N/A</v>
          </cell>
          <cell r="N516" t="e">
            <v>#N/A</v>
          </cell>
          <cell r="O516" t="e">
            <v>#N/A</v>
          </cell>
          <cell r="P516">
            <v>15.1</v>
          </cell>
          <cell r="Q516">
            <v>2.8938419999999998</v>
          </cell>
          <cell r="R516" t="e">
            <v>#N/A</v>
          </cell>
        </row>
        <row r="517">
          <cell r="A517">
            <v>40721</v>
          </cell>
          <cell r="B517">
            <v>40721</v>
          </cell>
          <cell r="C517" t="str">
            <v>Past</v>
          </cell>
          <cell r="D517">
            <v>15.23</v>
          </cell>
          <cell r="E517" t="e">
            <v>#N/A</v>
          </cell>
          <cell r="F517" t="e">
            <v>#N/A</v>
          </cell>
          <cell r="G517" t="e">
            <v>#N/A</v>
          </cell>
          <cell r="H517" t="e">
            <v>#N/A</v>
          </cell>
          <cell r="I517" t="e">
            <v>#N/A</v>
          </cell>
          <cell r="J517" t="e">
            <v>#N/A</v>
          </cell>
          <cell r="K517" t="e">
            <v>#N/A</v>
          </cell>
          <cell r="L517" t="e">
            <v>#N/A</v>
          </cell>
          <cell r="M517" t="e">
            <v>#N/A</v>
          </cell>
          <cell r="N517" t="e">
            <v>#N/A</v>
          </cell>
          <cell r="O517" t="e">
            <v>#N/A</v>
          </cell>
          <cell r="P517">
            <v>15.23</v>
          </cell>
          <cell r="Q517">
            <v>1.7149000000000001</v>
          </cell>
          <cell r="R517" t="e">
            <v>#N/A</v>
          </cell>
        </row>
        <row r="518">
          <cell r="A518">
            <v>40722</v>
          </cell>
          <cell r="B518">
            <v>40722</v>
          </cell>
          <cell r="C518" t="str">
            <v>Past</v>
          </cell>
          <cell r="D518">
            <v>15.24</v>
          </cell>
          <cell r="E518" t="e">
            <v>#N/A</v>
          </cell>
          <cell r="F518" t="e">
            <v>#N/A</v>
          </cell>
          <cell r="G518" t="e">
            <v>#N/A</v>
          </cell>
          <cell r="H518" t="e">
            <v>#N/A</v>
          </cell>
          <cell r="I518" t="e">
            <v>#N/A</v>
          </cell>
          <cell r="J518" t="e">
            <v>#N/A</v>
          </cell>
          <cell r="K518" t="e">
            <v>#N/A</v>
          </cell>
          <cell r="L518" t="e">
            <v>#N/A</v>
          </cell>
          <cell r="M518" t="e">
            <v>#N/A</v>
          </cell>
          <cell r="N518" t="e">
            <v>#N/A</v>
          </cell>
          <cell r="O518" t="e">
            <v>#N/A</v>
          </cell>
          <cell r="P518">
            <v>15.24</v>
          </cell>
          <cell r="Q518">
            <v>2.6037949999999999</v>
          </cell>
          <cell r="R518" t="e">
            <v>#N/A</v>
          </cell>
        </row>
        <row r="519">
          <cell r="A519">
            <v>40723</v>
          </cell>
          <cell r="B519">
            <v>40723</v>
          </cell>
          <cell r="C519" t="str">
            <v>Past</v>
          </cell>
          <cell r="D519">
            <v>15.31</v>
          </cell>
          <cell r="E519" t="e">
            <v>#N/A</v>
          </cell>
          <cell r="F519" t="e">
            <v>#N/A</v>
          </cell>
          <cell r="G519" t="e">
            <v>#N/A</v>
          </cell>
          <cell r="H519" t="e">
            <v>#N/A</v>
          </cell>
          <cell r="I519" t="e">
            <v>#N/A</v>
          </cell>
          <cell r="J519" t="e">
            <v>#N/A</v>
          </cell>
          <cell r="K519" t="e">
            <v>#N/A</v>
          </cell>
          <cell r="L519" t="e">
            <v>#N/A</v>
          </cell>
          <cell r="M519" t="e">
            <v>#N/A</v>
          </cell>
          <cell r="N519" t="e">
            <v>#N/A</v>
          </cell>
          <cell r="O519" t="e">
            <v>#N/A</v>
          </cell>
          <cell r="P519">
            <v>15.31</v>
          </cell>
          <cell r="Q519">
            <v>2.3394059999999999</v>
          </cell>
          <cell r="R519" t="e">
            <v>#N/A</v>
          </cell>
        </row>
        <row r="520">
          <cell r="A520">
            <v>40724</v>
          </cell>
          <cell r="B520">
            <v>40724</v>
          </cell>
          <cell r="C520" t="str">
            <v>Past</v>
          </cell>
          <cell r="D520">
            <v>15.35</v>
          </cell>
          <cell r="E520" t="e">
            <v>#N/A</v>
          </cell>
          <cell r="F520" t="e">
            <v>#N/A</v>
          </cell>
          <cell r="G520" t="e">
            <v>#N/A</v>
          </cell>
          <cell r="H520" t="e">
            <v>#N/A</v>
          </cell>
          <cell r="I520" t="e">
            <v>#N/A</v>
          </cell>
          <cell r="J520" t="e">
            <v>#N/A</v>
          </cell>
          <cell r="K520" t="e">
            <v>#N/A</v>
          </cell>
          <cell r="L520" t="e">
            <v>#N/A</v>
          </cell>
          <cell r="M520" t="e">
            <v>#N/A</v>
          </cell>
          <cell r="N520" t="e">
            <v>#N/A</v>
          </cell>
          <cell r="O520" t="e">
            <v>#N/A</v>
          </cell>
          <cell r="P520">
            <v>15.35</v>
          </cell>
          <cell r="Q520">
            <v>2.2514089999999998</v>
          </cell>
          <cell r="R520" t="e">
            <v>#N/A</v>
          </cell>
        </row>
        <row r="521">
          <cell r="A521">
            <v>40725</v>
          </cell>
          <cell r="B521">
            <v>40725</v>
          </cell>
          <cell r="C521" t="str">
            <v>Past</v>
          </cell>
          <cell r="D521">
            <v>15.59</v>
          </cell>
          <cell r="E521" t="e">
            <v>#N/A</v>
          </cell>
          <cell r="F521" t="e">
            <v>#N/A</v>
          </cell>
          <cell r="G521" t="e">
            <v>#N/A</v>
          </cell>
          <cell r="H521" t="e">
            <v>#N/A</v>
          </cell>
          <cell r="I521" t="e">
            <v>#N/A</v>
          </cell>
          <cell r="J521" t="e">
            <v>#N/A</v>
          </cell>
          <cell r="K521" t="e">
            <v>#N/A</v>
          </cell>
          <cell r="L521" t="e">
            <v>#N/A</v>
          </cell>
          <cell r="M521" t="e">
            <v>#N/A</v>
          </cell>
          <cell r="N521" t="e">
            <v>#N/A</v>
          </cell>
          <cell r="O521" t="e">
            <v>#N/A</v>
          </cell>
          <cell r="P521">
            <v>15.59</v>
          </cell>
          <cell r="Q521">
            <v>1.3990500000000001</v>
          </cell>
          <cell r="R521" t="e">
            <v>#N/A</v>
          </cell>
        </row>
        <row r="522">
          <cell r="A522">
            <v>40729</v>
          </cell>
          <cell r="B522">
            <v>40729</v>
          </cell>
          <cell r="C522" t="str">
            <v>Past</v>
          </cell>
          <cell r="D522">
            <v>15.55</v>
          </cell>
          <cell r="E522" t="e">
            <v>#N/A</v>
          </cell>
          <cell r="F522" t="e">
            <v>#N/A</v>
          </cell>
          <cell r="G522" t="e">
            <v>#N/A</v>
          </cell>
          <cell r="H522" t="e">
            <v>#N/A</v>
          </cell>
          <cell r="I522" t="e">
            <v>#N/A</v>
          </cell>
          <cell r="J522" t="e">
            <v>#N/A</v>
          </cell>
          <cell r="K522" t="e">
            <v>#N/A</v>
          </cell>
          <cell r="L522" t="e">
            <v>#N/A</v>
          </cell>
          <cell r="M522" t="e">
            <v>#N/A</v>
          </cell>
          <cell r="N522" t="e">
            <v>#N/A</v>
          </cell>
          <cell r="O522" t="e">
            <v>#N/A</v>
          </cell>
          <cell r="P522">
            <v>15.55</v>
          </cell>
          <cell r="Q522">
            <v>1.5489000000000002</v>
          </cell>
          <cell r="R522" t="e">
            <v>#N/A</v>
          </cell>
        </row>
        <row r="523">
          <cell r="A523">
            <v>40730</v>
          </cell>
          <cell r="B523">
            <v>40730</v>
          </cell>
          <cell r="C523" t="str">
            <v>Past</v>
          </cell>
          <cell r="D523">
            <v>15.59</v>
          </cell>
          <cell r="E523" t="e">
            <v>#N/A</v>
          </cell>
          <cell r="F523" t="e">
            <v>#N/A</v>
          </cell>
          <cell r="G523" t="e">
            <v>#N/A</v>
          </cell>
          <cell r="H523" t="e">
            <v>#N/A</v>
          </cell>
          <cell r="I523" t="e">
            <v>#N/A</v>
          </cell>
          <cell r="J523" t="e">
            <v>#N/A</v>
          </cell>
          <cell r="K523" t="e">
            <v>#N/A</v>
          </cell>
          <cell r="L523" t="e">
            <v>#N/A</v>
          </cell>
          <cell r="M523" t="e">
            <v>#N/A</v>
          </cell>
          <cell r="N523" t="e">
            <v>#N/A</v>
          </cell>
          <cell r="O523" t="e">
            <v>#N/A</v>
          </cell>
          <cell r="P523">
            <v>15.59</v>
          </cell>
          <cell r="Q523">
            <v>1.2207249999999998</v>
          </cell>
          <cell r="R523" t="e">
            <v>#N/A</v>
          </cell>
        </row>
        <row r="524">
          <cell r="A524">
            <v>40731</v>
          </cell>
          <cell r="B524">
            <v>40731</v>
          </cell>
          <cell r="C524" t="str">
            <v>Past</v>
          </cell>
          <cell r="D524">
            <v>15.61</v>
          </cell>
          <cell r="E524" t="e">
            <v>#N/A</v>
          </cell>
          <cell r="F524" t="e">
            <v>#N/A</v>
          </cell>
          <cell r="G524" t="e">
            <v>#N/A</v>
          </cell>
          <cell r="H524" t="e">
            <v>#N/A</v>
          </cell>
          <cell r="I524" t="e">
            <v>#N/A</v>
          </cell>
          <cell r="J524" t="e">
            <v>#N/A</v>
          </cell>
          <cell r="K524" t="e">
            <v>#N/A</v>
          </cell>
          <cell r="L524" t="e">
            <v>#N/A</v>
          </cell>
          <cell r="M524" t="e">
            <v>#N/A</v>
          </cell>
          <cell r="N524" t="e">
            <v>#N/A</v>
          </cell>
          <cell r="O524" t="e">
            <v>#N/A</v>
          </cell>
          <cell r="P524">
            <v>15.61</v>
          </cell>
          <cell r="Q524">
            <v>1.3784529999999999</v>
          </cell>
          <cell r="R524" t="e">
            <v>#N/A</v>
          </cell>
        </row>
        <row r="525">
          <cell r="A525">
            <v>40732</v>
          </cell>
          <cell r="B525">
            <v>40732</v>
          </cell>
          <cell r="C525" t="str">
            <v>Past</v>
          </cell>
          <cell r="D525">
            <v>15.51</v>
          </cell>
          <cell r="E525" t="e">
            <v>#N/A</v>
          </cell>
          <cell r="F525" t="e">
            <v>#N/A</v>
          </cell>
          <cell r="G525" t="e">
            <v>#N/A</v>
          </cell>
          <cell r="H525" t="e">
            <v>#N/A</v>
          </cell>
          <cell r="I525" t="e">
            <v>#N/A</v>
          </cell>
          <cell r="J525" t="e">
            <v>#N/A</v>
          </cell>
          <cell r="K525" t="e">
            <v>#N/A</v>
          </cell>
          <cell r="L525" t="e">
            <v>#N/A</v>
          </cell>
          <cell r="M525" t="e">
            <v>#N/A</v>
          </cell>
          <cell r="N525" t="e">
            <v>#N/A</v>
          </cell>
          <cell r="O525" t="e">
            <v>#N/A</v>
          </cell>
          <cell r="P525">
            <v>15.51</v>
          </cell>
          <cell r="Q525">
            <v>1.8003829999999998</v>
          </cell>
          <cell r="R525" t="e">
            <v>#N/A</v>
          </cell>
        </row>
        <row r="526">
          <cell r="A526">
            <v>40735</v>
          </cell>
          <cell r="B526">
            <v>40735</v>
          </cell>
          <cell r="C526" t="str">
            <v>Past</v>
          </cell>
          <cell r="D526">
            <v>15.24</v>
          </cell>
          <cell r="E526" t="e">
            <v>#N/A</v>
          </cell>
          <cell r="F526" t="e">
            <v>#N/A</v>
          </cell>
          <cell r="G526" t="e">
            <v>#N/A</v>
          </cell>
          <cell r="H526" t="e">
            <v>#N/A</v>
          </cell>
          <cell r="I526" t="e">
            <v>#N/A</v>
          </cell>
          <cell r="J526" t="e">
            <v>#N/A</v>
          </cell>
          <cell r="K526" t="e">
            <v>#N/A</v>
          </cell>
          <cell r="L526" t="e">
            <v>#N/A</v>
          </cell>
          <cell r="M526" t="e">
            <v>#N/A</v>
          </cell>
          <cell r="N526" t="e">
            <v>#N/A</v>
          </cell>
          <cell r="O526" t="e">
            <v>#N/A</v>
          </cell>
          <cell r="P526">
            <v>15.24</v>
          </cell>
          <cell r="Q526">
            <v>1.3767149999999999</v>
          </cell>
          <cell r="R526" t="e">
            <v>#N/A</v>
          </cell>
        </row>
        <row r="527">
          <cell r="A527">
            <v>40736</v>
          </cell>
          <cell r="B527">
            <v>40736</v>
          </cell>
          <cell r="C527" t="str">
            <v>Past</v>
          </cell>
          <cell r="D527">
            <v>15.29</v>
          </cell>
          <cell r="E527" t="e">
            <v>#N/A</v>
          </cell>
          <cell r="F527" t="e">
            <v>#N/A</v>
          </cell>
          <cell r="G527" t="e">
            <v>#N/A</v>
          </cell>
          <cell r="H527" t="e">
            <v>#N/A</v>
          </cell>
          <cell r="I527" t="e">
            <v>#N/A</v>
          </cell>
          <cell r="J527" t="e">
            <v>#N/A</v>
          </cell>
          <cell r="K527" t="e">
            <v>#N/A</v>
          </cell>
          <cell r="L527" t="e">
            <v>#N/A</v>
          </cell>
          <cell r="M527" t="e">
            <v>#N/A</v>
          </cell>
          <cell r="N527" t="e">
            <v>#N/A</v>
          </cell>
          <cell r="O527" t="e">
            <v>#N/A</v>
          </cell>
          <cell r="P527">
            <v>15.29</v>
          </cell>
          <cell r="Q527">
            <v>1.7635969999999999</v>
          </cell>
          <cell r="R527" t="e">
            <v>#N/A</v>
          </cell>
        </row>
        <row r="528">
          <cell r="A528">
            <v>40737</v>
          </cell>
          <cell r="B528">
            <v>40737</v>
          </cell>
          <cell r="C528" t="str">
            <v>Past</v>
          </cell>
          <cell r="D528">
            <v>15.3</v>
          </cell>
          <cell r="E528" t="e">
            <v>#N/A</v>
          </cell>
          <cell r="F528" t="e">
            <v>#N/A</v>
          </cell>
          <cell r="G528" t="e">
            <v>#N/A</v>
          </cell>
          <cell r="H528" t="e">
            <v>#N/A</v>
          </cell>
          <cell r="I528" t="e">
            <v>#N/A</v>
          </cell>
          <cell r="J528" t="e">
            <v>#N/A</v>
          </cell>
          <cell r="K528" t="e">
            <v>#N/A</v>
          </cell>
          <cell r="L528" t="e">
            <v>#N/A</v>
          </cell>
          <cell r="M528" t="e">
            <v>#N/A</v>
          </cell>
          <cell r="N528" t="e">
            <v>#N/A</v>
          </cell>
          <cell r="O528" t="e">
            <v>#N/A</v>
          </cell>
          <cell r="P528">
            <v>15.3</v>
          </cell>
          <cell r="Q528">
            <v>1.718731</v>
          </cell>
          <cell r="R528" t="e">
            <v>#N/A</v>
          </cell>
        </row>
        <row r="529">
          <cell r="A529">
            <v>40738</v>
          </cell>
          <cell r="B529">
            <v>40738</v>
          </cell>
          <cell r="C529" t="str">
            <v>Past</v>
          </cell>
          <cell r="D529">
            <v>15.16</v>
          </cell>
          <cell r="E529" t="e">
            <v>#N/A</v>
          </cell>
          <cell r="F529" t="e">
            <v>#N/A</v>
          </cell>
          <cell r="G529" t="e">
            <v>#N/A</v>
          </cell>
          <cell r="H529" t="e">
            <v>#N/A</v>
          </cell>
          <cell r="I529" t="e">
            <v>#N/A</v>
          </cell>
          <cell r="J529" t="e">
            <v>#N/A</v>
          </cell>
          <cell r="K529" t="e">
            <v>#N/A</v>
          </cell>
          <cell r="L529" t="e">
            <v>#N/A</v>
          </cell>
          <cell r="M529" t="e">
            <v>#N/A</v>
          </cell>
          <cell r="N529" t="e">
            <v>#N/A</v>
          </cell>
          <cell r="O529" t="e">
            <v>#N/A</v>
          </cell>
          <cell r="P529">
            <v>15.16</v>
          </cell>
          <cell r="Q529">
            <v>1.5739669999999999</v>
          </cell>
          <cell r="R529" t="e">
            <v>#N/A</v>
          </cell>
        </row>
        <row r="530">
          <cell r="A530">
            <v>40739</v>
          </cell>
          <cell r="B530">
            <v>40739</v>
          </cell>
          <cell r="C530" t="str">
            <v>Past</v>
          </cell>
          <cell r="D530">
            <v>15.22</v>
          </cell>
          <cell r="E530" t="e">
            <v>#N/A</v>
          </cell>
          <cell r="F530" t="e">
            <v>#N/A</v>
          </cell>
          <cell r="G530" t="e">
            <v>#N/A</v>
          </cell>
          <cell r="H530" t="e">
            <v>#N/A</v>
          </cell>
          <cell r="I530" t="e">
            <v>#N/A</v>
          </cell>
          <cell r="J530" t="e">
            <v>#N/A</v>
          </cell>
          <cell r="K530" t="e">
            <v>#N/A</v>
          </cell>
          <cell r="L530" t="e">
            <v>#N/A</v>
          </cell>
          <cell r="M530" t="e">
            <v>#N/A</v>
          </cell>
          <cell r="N530" t="e">
            <v>#N/A</v>
          </cell>
          <cell r="O530" t="e">
            <v>#N/A</v>
          </cell>
          <cell r="P530">
            <v>15.22</v>
          </cell>
          <cell r="Q530">
            <v>1.518662</v>
          </cell>
          <cell r="R530" t="e">
            <v>#N/A</v>
          </cell>
        </row>
        <row r="531">
          <cell r="A531">
            <v>40742</v>
          </cell>
          <cell r="B531">
            <v>40742</v>
          </cell>
          <cell r="C531" t="str">
            <v>Past</v>
          </cell>
          <cell r="D531">
            <v>15.08</v>
          </cell>
          <cell r="E531" t="e">
            <v>#N/A</v>
          </cell>
          <cell r="F531" t="e">
            <v>#N/A</v>
          </cell>
          <cell r="G531" t="e">
            <v>#N/A</v>
          </cell>
          <cell r="H531" t="e">
            <v>#N/A</v>
          </cell>
          <cell r="I531" t="e">
            <v>#N/A</v>
          </cell>
          <cell r="J531" t="e">
            <v>#N/A</v>
          </cell>
          <cell r="K531" t="e">
            <v>#N/A</v>
          </cell>
          <cell r="L531" t="e">
            <v>#N/A</v>
          </cell>
          <cell r="M531" t="e">
            <v>#N/A</v>
          </cell>
          <cell r="N531" t="e">
            <v>#N/A</v>
          </cell>
          <cell r="O531" t="e">
            <v>#N/A</v>
          </cell>
          <cell r="P531">
            <v>15.08</v>
          </cell>
          <cell r="Q531">
            <v>1.8748959999999999</v>
          </cell>
          <cell r="R531" t="e">
            <v>#N/A</v>
          </cell>
        </row>
        <row r="532">
          <cell r="A532">
            <v>40743</v>
          </cell>
          <cell r="B532">
            <v>40743</v>
          </cell>
          <cell r="C532" t="str">
            <v>Past</v>
          </cell>
          <cell r="D532">
            <v>15.12</v>
          </cell>
          <cell r="E532" t="e">
            <v>#N/A</v>
          </cell>
          <cell r="F532" t="e">
            <v>#N/A</v>
          </cell>
          <cell r="G532" t="e">
            <v>#N/A</v>
          </cell>
          <cell r="H532" t="e">
            <v>#N/A</v>
          </cell>
          <cell r="I532" t="e">
            <v>#N/A</v>
          </cell>
          <cell r="J532" t="e">
            <v>#N/A</v>
          </cell>
          <cell r="K532" t="e">
            <v>#N/A</v>
          </cell>
          <cell r="L532" t="e">
            <v>#N/A</v>
          </cell>
          <cell r="M532" t="e">
            <v>#N/A</v>
          </cell>
          <cell r="N532" t="e">
            <v>#N/A</v>
          </cell>
          <cell r="O532" t="e">
            <v>#N/A</v>
          </cell>
          <cell r="P532">
            <v>15.12</v>
          </cell>
          <cell r="Q532">
            <v>1.273741</v>
          </cell>
          <cell r="R532" t="e">
            <v>#N/A</v>
          </cell>
        </row>
        <row r="533">
          <cell r="A533">
            <v>40744</v>
          </cell>
          <cell r="B533">
            <v>40744</v>
          </cell>
          <cell r="C533" t="str">
            <v>Past</v>
          </cell>
          <cell r="D533">
            <v>15.34</v>
          </cell>
          <cell r="E533" t="e">
            <v>#N/A</v>
          </cell>
          <cell r="F533" t="e">
            <v>#N/A</v>
          </cell>
          <cell r="G533" t="e">
            <v>#N/A</v>
          </cell>
          <cell r="H533" t="e">
            <v>#N/A</v>
          </cell>
          <cell r="I533" t="e">
            <v>#N/A</v>
          </cell>
          <cell r="J533" t="e">
            <v>#N/A</v>
          </cell>
          <cell r="K533" t="e">
            <v>#N/A</v>
          </cell>
          <cell r="L533" t="e">
            <v>#N/A</v>
          </cell>
          <cell r="M533" t="e">
            <v>#N/A</v>
          </cell>
          <cell r="N533" t="e">
            <v>#N/A</v>
          </cell>
          <cell r="O533" t="e">
            <v>#N/A</v>
          </cell>
          <cell r="P533">
            <v>15.34</v>
          </cell>
          <cell r="Q533">
            <v>1.0193000000000001</v>
          </cell>
          <cell r="R533" t="e">
            <v>#N/A</v>
          </cell>
        </row>
        <row r="534">
          <cell r="A534">
            <v>40745</v>
          </cell>
          <cell r="B534">
            <v>40745</v>
          </cell>
          <cell r="C534" t="str">
            <v>Past</v>
          </cell>
          <cell r="D534">
            <v>15.47</v>
          </cell>
          <cell r="E534" t="e">
            <v>#N/A</v>
          </cell>
          <cell r="F534" t="e">
            <v>#N/A</v>
          </cell>
          <cell r="G534" t="e">
            <v>#N/A</v>
          </cell>
          <cell r="H534" t="e">
            <v>#N/A</v>
          </cell>
          <cell r="I534" t="e">
            <v>#N/A</v>
          </cell>
          <cell r="J534" t="e">
            <v>#N/A</v>
          </cell>
          <cell r="K534" t="e">
            <v>#N/A</v>
          </cell>
          <cell r="L534" t="e">
            <v>#N/A</v>
          </cell>
          <cell r="M534" t="e">
            <v>#N/A</v>
          </cell>
          <cell r="N534" t="e">
            <v>#N/A</v>
          </cell>
          <cell r="O534" t="e">
            <v>#N/A</v>
          </cell>
          <cell r="P534">
            <v>15.47</v>
          </cell>
          <cell r="Q534">
            <v>1.356128</v>
          </cell>
          <cell r="R534" t="e">
            <v>#N/A</v>
          </cell>
        </row>
        <row r="535">
          <cell r="A535">
            <v>40746</v>
          </cell>
          <cell r="B535">
            <v>40746</v>
          </cell>
          <cell r="C535" t="str">
            <v>Past</v>
          </cell>
          <cell r="D535">
            <v>15.27</v>
          </cell>
          <cell r="E535" t="e">
            <v>#N/A</v>
          </cell>
          <cell r="F535" t="e">
            <v>#N/A</v>
          </cell>
          <cell r="G535" t="e">
            <v>#N/A</v>
          </cell>
          <cell r="H535" t="e">
            <v>#N/A</v>
          </cell>
          <cell r="I535" t="e">
            <v>#N/A</v>
          </cell>
          <cell r="J535" t="e">
            <v>#N/A</v>
          </cell>
          <cell r="K535" t="e">
            <v>#N/A</v>
          </cell>
          <cell r="L535" t="e">
            <v>#N/A</v>
          </cell>
          <cell r="M535" t="e">
            <v>#N/A</v>
          </cell>
          <cell r="N535" t="e">
            <v>#N/A</v>
          </cell>
          <cell r="O535" t="e">
            <v>#N/A</v>
          </cell>
          <cell r="P535">
            <v>15.27</v>
          </cell>
          <cell r="Q535">
            <v>1.5000300000000002</v>
          </cell>
          <cell r="R535" t="e">
            <v>#N/A</v>
          </cell>
        </row>
        <row r="536">
          <cell r="A536">
            <v>40749</v>
          </cell>
          <cell r="B536">
            <v>40749</v>
          </cell>
          <cell r="C536" t="str">
            <v>Past</v>
          </cell>
          <cell r="D536">
            <v>15.17</v>
          </cell>
          <cell r="E536" t="e">
            <v>#N/A</v>
          </cell>
          <cell r="F536" t="e">
            <v>#N/A</v>
          </cell>
          <cell r="G536" t="e">
            <v>#N/A</v>
          </cell>
          <cell r="H536" t="e">
            <v>#N/A</v>
          </cell>
          <cell r="I536" t="e">
            <v>#N/A</v>
          </cell>
          <cell r="J536" t="e">
            <v>#N/A</v>
          </cell>
          <cell r="K536" t="e">
            <v>#N/A</v>
          </cell>
          <cell r="L536" t="e">
            <v>#N/A</v>
          </cell>
          <cell r="M536" t="e">
            <v>#N/A</v>
          </cell>
          <cell r="N536" t="e">
            <v>#N/A</v>
          </cell>
          <cell r="O536" t="e">
            <v>#N/A</v>
          </cell>
          <cell r="P536">
            <v>15.17</v>
          </cell>
          <cell r="Q536">
            <v>1.7525819999999999</v>
          </cell>
          <cell r="R536" t="e">
            <v>#N/A</v>
          </cell>
        </row>
        <row r="537">
          <cell r="A537">
            <v>40750</v>
          </cell>
          <cell r="B537">
            <v>40750</v>
          </cell>
          <cell r="C537" t="str">
            <v>Past</v>
          </cell>
          <cell r="D537">
            <v>15.11</v>
          </cell>
          <cell r="E537" t="e">
            <v>#N/A</v>
          </cell>
          <cell r="F537" t="e">
            <v>#N/A</v>
          </cell>
          <cell r="G537" t="e">
            <v>#N/A</v>
          </cell>
          <cell r="H537" t="e">
            <v>#N/A</v>
          </cell>
          <cell r="I537" t="e">
            <v>#N/A</v>
          </cell>
          <cell r="J537" t="e">
            <v>#N/A</v>
          </cell>
          <cell r="K537" t="e">
            <v>#N/A</v>
          </cell>
          <cell r="L537" t="e">
            <v>#N/A</v>
          </cell>
          <cell r="M537" t="e">
            <v>#N/A</v>
          </cell>
          <cell r="N537" t="e">
            <v>#N/A</v>
          </cell>
          <cell r="O537" t="e">
            <v>#N/A</v>
          </cell>
          <cell r="P537">
            <v>15.11</v>
          </cell>
          <cell r="Q537">
            <v>0.94330799999999992</v>
          </cell>
          <cell r="R537" t="e">
            <v>#N/A</v>
          </cell>
        </row>
        <row r="538">
          <cell r="A538">
            <v>40751</v>
          </cell>
          <cell r="B538">
            <v>40751</v>
          </cell>
          <cell r="C538" t="str">
            <v>Past</v>
          </cell>
          <cell r="D538">
            <v>15.08</v>
          </cell>
          <cell r="E538" t="e">
            <v>#N/A</v>
          </cell>
          <cell r="F538" t="e">
            <v>#N/A</v>
          </cell>
          <cell r="G538" t="e">
            <v>#N/A</v>
          </cell>
          <cell r="H538" t="e">
            <v>#N/A</v>
          </cell>
          <cell r="I538" t="e">
            <v>#N/A</v>
          </cell>
          <cell r="J538" t="e">
            <v>#N/A</v>
          </cell>
          <cell r="K538" t="e">
            <v>#N/A</v>
          </cell>
          <cell r="L538" t="e">
            <v>#N/A</v>
          </cell>
          <cell r="M538" t="e">
            <v>#N/A</v>
          </cell>
          <cell r="N538" t="e">
            <v>#N/A</v>
          </cell>
          <cell r="O538" t="e">
            <v>#N/A</v>
          </cell>
          <cell r="P538">
            <v>15.08</v>
          </cell>
          <cell r="Q538">
            <v>1.8040179999999999</v>
          </cell>
          <cell r="R538" t="e">
            <v>#N/A</v>
          </cell>
        </row>
        <row r="539">
          <cell r="A539">
            <v>40752</v>
          </cell>
          <cell r="B539">
            <v>40752</v>
          </cell>
          <cell r="C539" t="str">
            <v>Past</v>
          </cell>
          <cell r="D539">
            <v>15.01</v>
          </cell>
          <cell r="E539" t="e">
            <v>#N/A</v>
          </cell>
          <cell r="F539" t="e">
            <v>#N/A</v>
          </cell>
          <cell r="G539" t="e">
            <v>#N/A</v>
          </cell>
          <cell r="H539" t="e">
            <v>#N/A</v>
          </cell>
          <cell r="I539" t="e">
            <v>#N/A</v>
          </cell>
          <cell r="J539" t="e">
            <v>#N/A</v>
          </cell>
          <cell r="K539" t="e">
            <v>#N/A</v>
          </cell>
          <cell r="L539" t="e">
            <v>#N/A</v>
          </cell>
          <cell r="M539" t="e">
            <v>#N/A</v>
          </cell>
          <cell r="N539" t="e">
            <v>#N/A</v>
          </cell>
          <cell r="O539" t="e">
            <v>#N/A</v>
          </cell>
          <cell r="P539">
            <v>15.01</v>
          </cell>
          <cell r="Q539">
            <v>1.6958300000000002</v>
          </cell>
          <cell r="R539" t="e">
            <v>#N/A</v>
          </cell>
        </row>
        <row r="540">
          <cell r="A540">
            <v>40753</v>
          </cell>
          <cell r="B540">
            <v>40753</v>
          </cell>
          <cell r="C540" t="str">
            <v>Past</v>
          </cell>
          <cell r="D540">
            <v>14.84</v>
          </cell>
          <cell r="E540" t="e">
            <v>#N/A</v>
          </cell>
          <cell r="F540" t="e">
            <v>#N/A</v>
          </cell>
          <cell r="G540" t="e">
            <v>#N/A</v>
          </cell>
          <cell r="H540" t="e">
            <v>#N/A</v>
          </cell>
          <cell r="I540" t="e">
            <v>#N/A</v>
          </cell>
          <cell r="J540" t="e">
            <v>#N/A</v>
          </cell>
          <cell r="K540" t="e">
            <v>#N/A</v>
          </cell>
          <cell r="L540" t="e">
            <v>#N/A</v>
          </cell>
          <cell r="M540" t="e">
            <v>#N/A</v>
          </cell>
          <cell r="N540" t="e">
            <v>#N/A</v>
          </cell>
          <cell r="O540" t="e">
            <v>#N/A</v>
          </cell>
          <cell r="P540">
            <v>14.84</v>
          </cell>
          <cell r="Q540">
            <v>2.0042</v>
          </cell>
          <cell r="R540" t="e">
            <v>#N/A</v>
          </cell>
        </row>
        <row r="541">
          <cell r="A541">
            <v>40756</v>
          </cell>
          <cell r="B541">
            <v>40756</v>
          </cell>
          <cell r="C541" t="str">
            <v>Past</v>
          </cell>
          <cell r="D541">
            <v>14.55</v>
          </cell>
          <cell r="E541" t="e">
            <v>#N/A</v>
          </cell>
          <cell r="F541" t="e">
            <v>#N/A</v>
          </cell>
          <cell r="G541" t="e">
            <v>#N/A</v>
          </cell>
          <cell r="H541" t="e">
            <v>#N/A</v>
          </cell>
          <cell r="I541" t="e">
            <v>#N/A</v>
          </cell>
          <cell r="J541" t="e">
            <v>#N/A</v>
          </cell>
          <cell r="K541" t="e">
            <v>#N/A</v>
          </cell>
          <cell r="L541" t="e">
            <v>#N/A</v>
          </cell>
          <cell r="M541" t="e">
            <v>#N/A</v>
          </cell>
          <cell r="N541" t="e">
            <v>#N/A</v>
          </cell>
          <cell r="O541" t="e">
            <v>#N/A</v>
          </cell>
          <cell r="P541">
            <v>14.55</v>
          </cell>
          <cell r="Q541">
            <v>5.4451649999999994</v>
          </cell>
          <cell r="R541" t="e">
            <v>#N/A</v>
          </cell>
        </row>
        <row r="542">
          <cell r="A542">
            <v>40757</v>
          </cell>
          <cell r="B542">
            <v>40757</v>
          </cell>
          <cell r="C542" t="str">
            <v>Past</v>
          </cell>
          <cell r="D542">
            <v>14.24</v>
          </cell>
          <cell r="E542" t="e">
            <v>#N/A</v>
          </cell>
          <cell r="F542" t="e">
            <v>#N/A</v>
          </cell>
          <cell r="G542" t="e">
            <v>#N/A</v>
          </cell>
          <cell r="H542" t="e">
            <v>#N/A</v>
          </cell>
          <cell r="I542" t="e">
            <v>#N/A</v>
          </cell>
          <cell r="J542" t="e">
            <v>#N/A</v>
          </cell>
          <cell r="K542" t="e">
            <v>#N/A</v>
          </cell>
          <cell r="L542" t="e">
            <v>#N/A</v>
          </cell>
          <cell r="M542" t="e">
            <v>#N/A</v>
          </cell>
          <cell r="N542" t="e">
            <v>#N/A</v>
          </cell>
          <cell r="O542" t="e">
            <v>#N/A</v>
          </cell>
          <cell r="P542">
            <v>14.24</v>
          </cell>
          <cell r="Q542">
            <v>4.5422519999999995</v>
          </cell>
          <cell r="R542" t="e">
            <v>#N/A</v>
          </cell>
        </row>
        <row r="543">
          <cell r="A543">
            <v>40758</v>
          </cell>
          <cell r="B543">
            <v>40758</v>
          </cell>
          <cell r="C543" t="str">
            <v>Past</v>
          </cell>
          <cell r="D543">
            <v>14.26</v>
          </cell>
          <cell r="E543" t="e">
            <v>#N/A</v>
          </cell>
          <cell r="F543" t="e">
            <v>#N/A</v>
          </cell>
          <cell r="G543" t="e">
            <v>#N/A</v>
          </cell>
          <cell r="H543" t="e">
            <v>#N/A</v>
          </cell>
          <cell r="I543" t="e">
            <v>#N/A</v>
          </cell>
          <cell r="J543" t="e">
            <v>#N/A</v>
          </cell>
          <cell r="K543" t="e">
            <v>#N/A</v>
          </cell>
          <cell r="L543" t="e">
            <v>#N/A</v>
          </cell>
          <cell r="M543" t="e">
            <v>#N/A</v>
          </cell>
          <cell r="N543" t="e">
            <v>#N/A</v>
          </cell>
          <cell r="O543" t="e">
            <v>#N/A</v>
          </cell>
          <cell r="P543">
            <v>14.26</v>
          </cell>
          <cell r="Q543">
            <v>3.8783000000000003</v>
          </cell>
          <cell r="R543" t="e">
            <v>#N/A</v>
          </cell>
        </row>
        <row r="544">
          <cell r="A544">
            <v>40759</v>
          </cell>
          <cell r="B544">
            <v>40759</v>
          </cell>
          <cell r="C544" t="str">
            <v>Past</v>
          </cell>
          <cell r="D544">
            <v>13.68</v>
          </cell>
          <cell r="E544" t="e">
            <v>#N/A</v>
          </cell>
          <cell r="F544" t="e">
            <v>#N/A</v>
          </cell>
          <cell r="G544" t="e">
            <v>#N/A</v>
          </cell>
          <cell r="H544" t="e">
            <v>#N/A</v>
          </cell>
          <cell r="I544" t="e">
            <v>#N/A</v>
          </cell>
          <cell r="J544" t="e">
            <v>#N/A</v>
          </cell>
          <cell r="K544" t="e">
            <v>#N/A</v>
          </cell>
          <cell r="L544" t="e">
            <v>#N/A</v>
          </cell>
          <cell r="M544" t="e">
            <v>#N/A</v>
          </cell>
          <cell r="N544" t="e">
            <v>#N/A</v>
          </cell>
          <cell r="O544" t="e">
            <v>#N/A</v>
          </cell>
          <cell r="P544">
            <v>13.68</v>
          </cell>
          <cell r="Q544">
            <v>3.3178739999999998</v>
          </cell>
          <cell r="R544" t="e">
            <v>#N/A</v>
          </cell>
        </row>
        <row r="545">
          <cell r="A545">
            <v>40760</v>
          </cell>
          <cell r="B545">
            <v>40760</v>
          </cell>
          <cell r="C545" t="str">
            <v>Past</v>
          </cell>
          <cell r="D545">
            <v>13.43</v>
          </cell>
          <cell r="E545" t="e">
            <v>#N/A</v>
          </cell>
          <cell r="F545" t="e">
            <v>#N/A</v>
          </cell>
          <cell r="G545" t="e">
            <v>#N/A</v>
          </cell>
          <cell r="H545" t="e">
            <v>#N/A</v>
          </cell>
          <cell r="I545" t="e">
            <v>#N/A</v>
          </cell>
          <cell r="J545" t="e">
            <v>#N/A</v>
          </cell>
          <cell r="K545" t="e">
            <v>#N/A</v>
          </cell>
          <cell r="L545" t="e">
            <v>#N/A</v>
          </cell>
          <cell r="M545" t="e">
            <v>#N/A</v>
          </cell>
          <cell r="N545" t="e">
            <v>#N/A</v>
          </cell>
          <cell r="O545" t="e">
            <v>#N/A</v>
          </cell>
          <cell r="P545">
            <v>13.43</v>
          </cell>
          <cell r="Q545">
            <v>10.9306</v>
          </cell>
          <cell r="R545" t="e">
            <v>#N/A</v>
          </cell>
        </row>
        <row r="546">
          <cell r="A546">
            <v>40763</v>
          </cell>
          <cell r="B546">
            <v>40763</v>
          </cell>
          <cell r="C546" t="str">
            <v>Past</v>
          </cell>
          <cell r="D546">
            <v>12.48</v>
          </cell>
          <cell r="E546" t="e">
            <v>#N/A</v>
          </cell>
          <cell r="F546" t="e">
            <v>#N/A</v>
          </cell>
          <cell r="G546" t="e">
            <v>#N/A</v>
          </cell>
          <cell r="H546" t="e">
            <v>#N/A</v>
          </cell>
          <cell r="I546" t="e">
            <v>#N/A</v>
          </cell>
          <cell r="J546" t="e">
            <v>#N/A</v>
          </cell>
          <cell r="K546" t="e">
            <v>#N/A</v>
          </cell>
          <cell r="L546" t="e">
            <v>#N/A</v>
          </cell>
          <cell r="M546" t="e">
            <v>#N/A</v>
          </cell>
          <cell r="N546" t="e">
            <v>#N/A</v>
          </cell>
          <cell r="O546" t="e">
            <v>#N/A</v>
          </cell>
          <cell r="P546">
            <v>12.48</v>
          </cell>
          <cell r="Q546">
            <v>5.4664239999999999</v>
          </cell>
          <cell r="R546" t="e">
            <v>#N/A</v>
          </cell>
        </row>
        <row r="547">
          <cell r="A547">
            <v>40764</v>
          </cell>
          <cell r="B547">
            <v>40764</v>
          </cell>
          <cell r="C547" t="str">
            <v>Past</v>
          </cell>
          <cell r="D547">
            <v>13.03</v>
          </cell>
          <cell r="E547" t="e">
            <v>#N/A</v>
          </cell>
          <cell r="F547" t="e">
            <v>#N/A</v>
          </cell>
          <cell r="G547" t="e">
            <v>#N/A</v>
          </cell>
          <cell r="H547" t="e">
            <v>#N/A</v>
          </cell>
          <cell r="I547" t="e">
            <v>#N/A</v>
          </cell>
          <cell r="J547" t="e">
            <v>#N/A</v>
          </cell>
          <cell r="K547" t="e">
            <v>#N/A</v>
          </cell>
          <cell r="L547" t="e">
            <v>#N/A</v>
          </cell>
          <cell r="M547" t="e">
            <v>#N/A</v>
          </cell>
          <cell r="N547" t="e">
            <v>#N/A</v>
          </cell>
          <cell r="O547" t="e">
            <v>#N/A</v>
          </cell>
          <cell r="P547">
            <v>13.03</v>
          </cell>
          <cell r="Q547">
            <v>10.383920000000002</v>
          </cell>
          <cell r="R547" t="e">
            <v>#N/A</v>
          </cell>
        </row>
        <row r="548">
          <cell r="A548">
            <v>40765</v>
          </cell>
          <cell r="B548">
            <v>40765</v>
          </cell>
          <cell r="C548" t="str">
            <v>Past</v>
          </cell>
          <cell r="D548">
            <v>12.99</v>
          </cell>
          <cell r="E548" t="e">
            <v>#N/A</v>
          </cell>
          <cell r="F548" t="e">
            <v>#N/A</v>
          </cell>
          <cell r="G548" t="e">
            <v>#N/A</v>
          </cell>
          <cell r="H548" t="e">
            <v>#N/A</v>
          </cell>
          <cell r="I548" t="e">
            <v>#N/A</v>
          </cell>
          <cell r="J548" t="e">
            <v>#N/A</v>
          </cell>
          <cell r="K548" t="e">
            <v>#N/A</v>
          </cell>
          <cell r="L548" t="e">
            <v>#N/A</v>
          </cell>
          <cell r="M548" t="e">
            <v>#N/A</v>
          </cell>
          <cell r="N548" t="e">
            <v>#N/A</v>
          </cell>
          <cell r="O548" t="e">
            <v>#N/A</v>
          </cell>
          <cell r="P548">
            <v>12.99</v>
          </cell>
          <cell r="Q548">
            <v>6.6745519999999994</v>
          </cell>
          <cell r="R548" t="e">
            <v>#N/A</v>
          </cell>
        </row>
        <row r="549">
          <cell r="A549">
            <v>40766</v>
          </cell>
          <cell r="B549">
            <v>40766</v>
          </cell>
          <cell r="C549" t="str">
            <v>Past</v>
          </cell>
          <cell r="D549">
            <v>13.8</v>
          </cell>
          <cell r="E549" t="e">
            <v>#N/A</v>
          </cell>
          <cell r="F549" t="e">
            <v>#N/A</v>
          </cell>
          <cell r="G549" t="e">
            <v>#N/A</v>
          </cell>
          <cell r="H549" t="e">
            <v>#N/A</v>
          </cell>
          <cell r="I549" t="e">
            <v>#N/A</v>
          </cell>
          <cell r="J549" t="e">
            <v>#N/A</v>
          </cell>
          <cell r="K549" t="e">
            <v>#N/A</v>
          </cell>
          <cell r="L549" t="e">
            <v>#N/A</v>
          </cell>
          <cell r="M549" t="e">
            <v>#N/A</v>
          </cell>
          <cell r="N549" t="e">
            <v>#N/A</v>
          </cell>
          <cell r="O549" t="e">
            <v>#N/A</v>
          </cell>
          <cell r="P549">
            <v>13.8</v>
          </cell>
          <cell r="Q549">
            <v>5.9046940000000001</v>
          </cell>
          <cell r="R549" t="e">
            <v>#N/A</v>
          </cell>
        </row>
        <row r="550">
          <cell r="A550">
            <v>40767</v>
          </cell>
          <cell r="B550">
            <v>40767</v>
          </cell>
          <cell r="C550" t="str">
            <v>Past</v>
          </cell>
          <cell r="D550">
            <v>13.74</v>
          </cell>
          <cell r="E550" t="e">
            <v>#N/A</v>
          </cell>
          <cell r="F550" t="e">
            <v>#N/A</v>
          </cell>
          <cell r="G550" t="e">
            <v>#N/A</v>
          </cell>
          <cell r="H550" t="e">
            <v>#N/A</v>
          </cell>
          <cell r="I550" t="e">
            <v>#N/A</v>
          </cell>
          <cell r="J550" t="e">
            <v>#N/A</v>
          </cell>
          <cell r="K550" t="e">
            <v>#N/A</v>
          </cell>
          <cell r="L550" t="e">
            <v>#N/A</v>
          </cell>
          <cell r="M550" t="e">
            <v>#N/A</v>
          </cell>
          <cell r="N550" t="e">
            <v>#N/A</v>
          </cell>
          <cell r="O550" t="e">
            <v>#N/A</v>
          </cell>
          <cell r="P550">
            <v>13.74</v>
          </cell>
          <cell r="Q550">
            <v>3.7796319999999999</v>
          </cell>
          <cell r="R550" t="e">
            <v>#N/A</v>
          </cell>
        </row>
        <row r="551">
          <cell r="A551">
            <v>40770</v>
          </cell>
          <cell r="B551">
            <v>40770</v>
          </cell>
          <cell r="C551" t="str">
            <v>Past</v>
          </cell>
          <cell r="D551">
            <v>14.3</v>
          </cell>
          <cell r="E551" t="e">
            <v>#N/A</v>
          </cell>
          <cell r="F551" t="e">
            <v>#N/A</v>
          </cell>
          <cell r="G551" t="e">
            <v>#N/A</v>
          </cell>
          <cell r="H551" t="e">
            <v>#N/A</v>
          </cell>
          <cell r="I551" t="e">
            <v>#N/A</v>
          </cell>
          <cell r="J551" t="e">
            <v>#N/A</v>
          </cell>
          <cell r="K551" t="e">
            <v>#N/A</v>
          </cell>
          <cell r="L551" t="e">
            <v>#N/A</v>
          </cell>
          <cell r="M551" t="e">
            <v>#N/A</v>
          </cell>
          <cell r="N551" t="e">
            <v>#N/A</v>
          </cell>
          <cell r="O551" t="e">
            <v>#N/A</v>
          </cell>
          <cell r="P551">
            <v>14.3</v>
          </cell>
          <cell r="Q551">
            <v>3.0225</v>
          </cell>
          <cell r="R551" t="e">
            <v>#N/A</v>
          </cell>
        </row>
        <row r="552">
          <cell r="A552">
            <v>40771</v>
          </cell>
          <cell r="B552">
            <v>40771</v>
          </cell>
          <cell r="C552" t="str">
            <v>Past</v>
          </cell>
          <cell r="D552">
            <v>14.63</v>
          </cell>
          <cell r="E552" t="e">
            <v>#N/A</v>
          </cell>
          <cell r="F552" t="e">
            <v>#N/A</v>
          </cell>
          <cell r="G552" t="e">
            <v>#N/A</v>
          </cell>
          <cell r="H552" t="e">
            <v>#N/A</v>
          </cell>
          <cell r="I552" t="e">
            <v>#N/A</v>
          </cell>
          <cell r="J552" t="e">
            <v>#N/A</v>
          </cell>
          <cell r="K552" t="e">
            <v>#N/A</v>
          </cell>
          <cell r="L552" t="e">
            <v>#N/A</v>
          </cell>
          <cell r="M552" t="e">
            <v>#N/A</v>
          </cell>
          <cell r="N552" t="e">
            <v>#N/A</v>
          </cell>
          <cell r="O552" t="e">
            <v>#N/A</v>
          </cell>
          <cell r="P552">
            <v>14.63</v>
          </cell>
          <cell r="Q552">
            <v>11.01886</v>
          </cell>
          <cell r="R552" t="e">
            <v>#N/A</v>
          </cell>
        </row>
        <row r="553">
          <cell r="A553">
            <v>40772</v>
          </cell>
          <cell r="B553">
            <v>40772</v>
          </cell>
          <cell r="C553" t="str">
            <v>Past</v>
          </cell>
          <cell r="D553">
            <v>14.49</v>
          </cell>
          <cell r="E553" t="e">
            <v>#N/A</v>
          </cell>
          <cell r="F553" t="e">
            <v>#N/A</v>
          </cell>
          <cell r="G553" t="e">
            <v>#N/A</v>
          </cell>
          <cell r="H553" t="e">
            <v>#N/A</v>
          </cell>
          <cell r="I553" t="e">
            <v>#N/A</v>
          </cell>
          <cell r="J553" t="e">
            <v>#N/A</v>
          </cell>
          <cell r="K553" t="e">
            <v>#N/A</v>
          </cell>
          <cell r="L553" t="e">
            <v>#N/A</v>
          </cell>
          <cell r="M553" t="e">
            <v>#N/A</v>
          </cell>
          <cell r="N553" t="e">
            <v>#N/A</v>
          </cell>
          <cell r="O553" t="e">
            <v>#N/A</v>
          </cell>
          <cell r="P553">
            <v>14.49</v>
          </cell>
          <cell r="Q553">
            <v>3.505992</v>
          </cell>
          <cell r="R553" t="e">
            <v>#N/A</v>
          </cell>
        </row>
        <row r="554">
          <cell r="A554">
            <v>40773</v>
          </cell>
          <cell r="B554">
            <v>40773</v>
          </cell>
          <cell r="C554" t="str">
            <v>Past</v>
          </cell>
          <cell r="D554">
            <v>14.3</v>
          </cell>
          <cell r="E554" t="e">
            <v>#N/A</v>
          </cell>
          <cell r="F554" t="e">
            <v>#N/A</v>
          </cell>
          <cell r="G554" t="e">
            <v>#N/A</v>
          </cell>
          <cell r="H554" t="e">
            <v>#N/A</v>
          </cell>
          <cell r="I554" t="e">
            <v>#N/A</v>
          </cell>
          <cell r="J554" t="e">
            <v>#N/A</v>
          </cell>
          <cell r="K554" t="e">
            <v>#N/A</v>
          </cell>
          <cell r="L554" t="e">
            <v>#N/A</v>
          </cell>
          <cell r="M554" t="e">
            <v>#N/A</v>
          </cell>
          <cell r="N554" t="e">
            <v>#N/A</v>
          </cell>
          <cell r="O554" t="e">
            <v>#N/A</v>
          </cell>
          <cell r="P554">
            <v>14.3</v>
          </cell>
          <cell r="Q554">
            <v>4.7268319999999999</v>
          </cell>
          <cell r="R554" t="e">
            <v>#N/A</v>
          </cell>
        </row>
        <row r="555">
          <cell r="A555">
            <v>40774</v>
          </cell>
          <cell r="B555">
            <v>40774</v>
          </cell>
          <cell r="C555" t="str">
            <v>Past</v>
          </cell>
          <cell r="D555">
            <v>14.46</v>
          </cell>
          <cell r="E555" t="e">
            <v>#N/A</v>
          </cell>
          <cell r="F555" t="e">
            <v>#N/A</v>
          </cell>
          <cell r="G555" t="e">
            <v>#N/A</v>
          </cell>
          <cell r="H555" t="e">
            <v>#N/A</v>
          </cell>
          <cell r="I555" t="e">
            <v>#N/A</v>
          </cell>
          <cell r="J555" t="e">
            <v>#N/A</v>
          </cell>
          <cell r="K555" t="e">
            <v>#N/A</v>
          </cell>
          <cell r="L555" t="e">
            <v>#N/A</v>
          </cell>
          <cell r="M555" t="e">
            <v>#N/A</v>
          </cell>
          <cell r="N555" t="e">
            <v>#N/A</v>
          </cell>
          <cell r="O555" t="e">
            <v>#N/A</v>
          </cell>
          <cell r="P555">
            <v>14.46</v>
          </cell>
          <cell r="Q555">
            <v>7.8624469999999995</v>
          </cell>
          <cell r="R555" t="e">
            <v>#N/A</v>
          </cell>
        </row>
        <row r="556">
          <cell r="A556">
            <v>40777</v>
          </cell>
          <cell r="B556">
            <v>40777</v>
          </cell>
          <cell r="C556" t="str">
            <v>Past</v>
          </cell>
          <cell r="D556">
            <v>14.22</v>
          </cell>
          <cell r="E556" t="e">
            <v>#N/A</v>
          </cell>
          <cell r="F556" t="e">
            <v>#N/A</v>
          </cell>
          <cell r="G556" t="e">
            <v>#N/A</v>
          </cell>
          <cell r="H556" t="e">
            <v>#N/A</v>
          </cell>
          <cell r="I556" t="e">
            <v>#N/A</v>
          </cell>
          <cell r="J556" t="e">
            <v>#N/A</v>
          </cell>
          <cell r="K556" t="e">
            <v>#N/A</v>
          </cell>
          <cell r="L556" t="e">
            <v>#N/A</v>
          </cell>
          <cell r="M556" t="e">
            <v>#N/A</v>
          </cell>
          <cell r="N556" t="e">
            <v>#N/A</v>
          </cell>
          <cell r="O556" t="e">
            <v>#N/A</v>
          </cell>
          <cell r="P556">
            <v>14.22</v>
          </cell>
          <cell r="Q556">
            <v>3.313774</v>
          </cell>
          <cell r="R556" t="e">
            <v>#N/A</v>
          </cell>
        </row>
        <row r="557">
          <cell r="A557">
            <v>40778</v>
          </cell>
          <cell r="B557">
            <v>40778</v>
          </cell>
          <cell r="C557" t="str">
            <v>Past</v>
          </cell>
          <cell r="D557">
            <v>14.34</v>
          </cell>
          <cell r="E557" t="e">
            <v>#N/A</v>
          </cell>
          <cell r="F557" t="e">
            <v>#N/A</v>
          </cell>
          <cell r="G557" t="e">
            <v>#N/A</v>
          </cell>
          <cell r="H557" t="e">
            <v>#N/A</v>
          </cell>
          <cell r="I557" t="e">
            <v>#N/A</v>
          </cell>
          <cell r="J557" t="e">
            <v>#N/A</v>
          </cell>
          <cell r="K557" t="e">
            <v>#N/A</v>
          </cell>
          <cell r="L557" t="e">
            <v>#N/A</v>
          </cell>
          <cell r="M557" t="e">
            <v>#N/A</v>
          </cell>
          <cell r="N557" t="e">
            <v>#N/A</v>
          </cell>
          <cell r="O557" t="e">
            <v>#N/A</v>
          </cell>
          <cell r="P557">
            <v>14.34</v>
          </cell>
          <cell r="Q557">
            <v>5.3917320000000002</v>
          </cell>
          <cell r="R557" t="e">
            <v>#N/A</v>
          </cell>
        </row>
        <row r="558">
          <cell r="A558">
            <v>40779</v>
          </cell>
          <cell r="B558">
            <v>40779</v>
          </cell>
          <cell r="C558" t="str">
            <v>Past</v>
          </cell>
          <cell r="D558">
            <v>14.6</v>
          </cell>
          <cell r="E558" t="e">
            <v>#N/A</v>
          </cell>
          <cell r="F558" t="e">
            <v>#N/A</v>
          </cell>
          <cell r="G558" t="e">
            <v>#N/A</v>
          </cell>
          <cell r="H558" t="e">
            <v>#N/A</v>
          </cell>
          <cell r="I558" t="e">
            <v>#N/A</v>
          </cell>
          <cell r="J558" t="e">
            <v>#N/A</v>
          </cell>
          <cell r="K558" t="e">
            <v>#N/A</v>
          </cell>
          <cell r="L558" t="e">
            <v>#N/A</v>
          </cell>
          <cell r="M558" t="e">
            <v>#N/A</v>
          </cell>
          <cell r="N558" t="e">
            <v>#N/A</v>
          </cell>
          <cell r="O558">
            <v>0</v>
          </cell>
          <cell r="P558">
            <v>14.6</v>
          </cell>
          <cell r="Q558">
            <v>2.3300529999999999</v>
          </cell>
          <cell r="R558" t="e">
            <v>#N/A</v>
          </cell>
        </row>
        <row r="559">
          <cell r="A559">
            <v>40780</v>
          </cell>
          <cell r="B559">
            <v>40780</v>
          </cell>
          <cell r="C559" t="str">
            <v>Current</v>
          </cell>
          <cell r="D559">
            <v>14.35</v>
          </cell>
          <cell r="E559">
            <v>14.35</v>
          </cell>
          <cell r="F559">
            <v>14.35</v>
          </cell>
          <cell r="G559">
            <v>14.35</v>
          </cell>
          <cell r="H559">
            <v>14.35</v>
          </cell>
          <cell r="I559">
            <v>14.35</v>
          </cell>
          <cell r="J559" t="e">
            <v>#N/A</v>
          </cell>
          <cell r="K559" t="e">
            <v>#N/A</v>
          </cell>
          <cell r="L559" t="e">
            <v>#N/A</v>
          </cell>
          <cell r="M559" t="e">
            <v>#N/A</v>
          </cell>
          <cell r="N559" t="e">
            <v>#N/A</v>
          </cell>
          <cell r="O559">
            <v>55.094300000000004</v>
          </cell>
          <cell r="P559">
            <v>14.35</v>
          </cell>
          <cell r="Q559">
            <v>2.5751249999999999</v>
          </cell>
          <cell r="R559" t="e">
            <v>#N/A</v>
          </cell>
        </row>
        <row r="560">
          <cell r="A560">
            <v>40781</v>
          </cell>
          <cell r="B560">
            <v>40781</v>
          </cell>
          <cell r="C560" t="str">
            <v>Future</v>
          </cell>
          <cell r="D560" t="e">
            <v>#N/A</v>
          </cell>
          <cell r="E560">
            <v>14.294594594594594</v>
          </cell>
          <cell r="F560">
            <v>14.362162162162162</v>
          </cell>
          <cell r="G560">
            <v>14.348648648648648</v>
          </cell>
          <cell r="H560">
            <v>14.348648648648648</v>
          </cell>
          <cell r="I560" t="e">
            <v>#N/A</v>
          </cell>
          <cell r="J560" t="e">
            <v>#N/A</v>
          </cell>
          <cell r="K560" t="e">
            <v>#N/A</v>
          </cell>
          <cell r="L560" t="e">
            <v>#N/A</v>
          </cell>
          <cell r="M560" t="e">
            <v>#N/A</v>
          </cell>
          <cell r="N560" t="e">
            <v>#N/A</v>
          </cell>
          <cell r="O560" t="e">
            <v>#N/A</v>
          </cell>
          <cell r="P560">
            <v>14.52</v>
          </cell>
          <cell r="Q560">
            <v>0</v>
          </cell>
          <cell r="R560" t="e">
            <v>#N/A</v>
          </cell>
        </row>
        <row r="561">
          <cell r="A561">
            <v>40784</v>
          </cell>
          <cell r="B561">
            <v>40784</v>
          </cell>
          <cell r="C561" t="str">
            <v>Future</v>
          </cell>
          <cell r="D561" t="e">
            <v>#N/A</v>
          </cell>
          <cell r="E561">
            <v>14.239189189189188</v>
          </cell>
          <cell r="F561">
            <v>14.374324324324325</v>
          </cell>
          <cell r="G561">
            <v>14.347297297297297</v>
          </cell>
          <cell r="H561">
            <v>14.347297297297297</v>
          </cell>
          <cell r="I561" t="e">
            <v>#N/A</v>
          </cell>
          <cell r="J561" t="e">
            <v>#N/A</v>
          </cell>
          <cell r="K561" t="e">
            <v>#N/A</v>
          </cell>
          <cell r="L561" t="e">
            <v>#N/A</v>
          </cell>
          <cell r="M561" t="e">
            <v>#N/A</v>
          </cell>
          <cell r="N561" t="e">
            <v>#N/A</v>
          </cell>
          <cell r="O561" t="e">
            <v>#N/A</v>
          </cell>
          <cell r="P561">
            <v>14.52</v>
          </cell>
          <cell r="Q561" t="str">
            <v/>
          </cell>
          <cell r="R561" t="e">
            <v>#N/A</v>
          </cell>
        </row>
        <row r="562">
          <cell r="A562">
            <v>40785</v>
          </cell>
          <cell r="B562">
            <v>40785</v>
          </cell>
          <cell r="C562" t="str">
            <v>Future</v>
          </cell>
          <cell r="D562" t="e">
            <v>#N/A</v>
          </cell>
          <cell r="E562">
            <v>14.183783783783783</v>
          </cell>
          <cell r="F562">
            <v>14.386486486486488</v>
          </cell>
          <cell r="G562">
            <v>14.345945945945946</v>
          </cell>
          <cell r="H562">
            <v>14.345945945945946</v>
          </cell>
          <cell r="I562" t="e">
            <v>#N/A</v>
          </cell>
          <cell r="J562" t="e">
            <v>#N/A</v>
          </cell>
          <cell r="K562" t="e">
            <v>#N/A</v>
          </cell>
          <cell r="L562" t="e">
            <v>#N/A</v>
          </cell>
          <cell r="M562" t="e">
            <v>#N/A</v>
          </cell>
          <cell r="N562" t="e">
            <v>#N/A</v>
          </cell>
          <cell r="O562" t="e">
            <v>#N/A</v>
          </cell>
          <cell r="P562">
            <v>14.52</v>
          </cell>
          <cell r="Q562" t="str">
            <v/>
          </cell>
          <cell r="R562" t="e">
            <v>#N/A</v>
          </cell>
        </row>
        <row r="563">
          <cell r="A563">
            <v>40786</v>
          </cell>
          <cell r="B563">
            <v>40786</v>
          </cell>
          <cell r="C563" t="str">
            <v>Future</v>
          </cell>
          <cell r="D563" t="e">
            <v>#N/A</v>
          </cell>
          <cell r="E563">
            <v>14.128378378378377</v>
          </cell>
          <cell r="F563">
            <v>14.398648648648651</v>
          </cell>
          <cell r="G563">
            <v>14.344594594594595</v>
          </cell>
          <cell r="H563">
            <v>14.344594594594595</v>
          </cell>
          <cell r="I563" t="e">
            <v>#N/A</v>
          </cell>
          <cell r="J563" t="e">
            <v>#N/A</v>
          </cell>
          <cell r="K563" t="e">
            <v>#N/A</v>
          </cell>
          <cell r="L563" t="e">
            <v>#N/A</v>
          </cell>
          <cell r="M563" t="e">
            <v>#N/A</v>
          </cell>
          <cell r="N563" t="e">
            <v>#N/A</v>
          </cell>
          <cell r="O563" t="e">
            <v>#N/A</v>
          </cell>
          <cell r="P563">
            <v>14.52</v>
          </cell>
          <cell r="Q563" t="str">
            <v/>
          </cell>
          <cell r="R563" t="e">
            <v>#N/A</v>
          </cell>
        </row>
        <row r="564">
          <cell r="A564">
            <v>40787</v>
          </cell>
          <cell r="B564">
            <v>40787</v>
          </cell>
          <cell r="C564" t="str">
            <v>Future</v>
          </cell>
          <cell r="D564" t="e">
            <v>#N/A</v>
          </cell>
          <cell r="E564">
            <v>14.072972972972972</v>
          </cell>
          <cell r="F564">
            <v>14.410810810810814</v>
          </cell>
          <cell r="G564">
            <v>14.343243243243244</v>
          </cell>
          <cell r="H564">
            <v>14.343243243243244</v>
          </cell>
          <cell r="I564" t="e">
            <v>#N/A</v>
          </cell>
          <cell r="J564" t="e">
            <v>#N/A</v>
          </cell>
          <cell r="K564" t="e">
            <v>#N/A</v>
          </cell>
          <cell r="L564" t="e">
            <v>#N/A</v>
          </cell>
          <cell r="M564" t="e">
            <v>#N/A</v>
          </cell>
          <cell r="N564" t="e">
            <v>#N/A</v>
          </cell>
          <cell r="O564" t="e">
            <v>#N/A</v>
          </cell>
          <cell r="P564">
            <v>14.52</v>
          </cell>
          <cell r="Q564" t="str">
            <v/>
          </cell>
          <cell r="R564" t="e">
            <v>#N/A</v>
          </cell>
        </row>
        <row r="565">
          <cell r="A565">
            <v>40788</v>
          </cell>
          <cell r="B565">
            <v>40788</v>
          </cell>
          <cell r="C565" t="str">
            <v>Future</v>
          </cell>
          <cell r="D565" t="e">
            <v>#N/A</v>
          </cell>
          <cell r="E565">
            <v>14.017567567567566</v>
          </cell>
          <cell r="F565">
            <v>14.422972972972977</v>
          </cell>
          <cell r="G565">
            <v>14.341891891891892</v>
          </cell>
          <cell r="H565">
            <v>14.341891891891892</v>
          </cell>
          <cell r="I565" t="e">
            <v>#N/A</v>
          </cell>
          <cell r="J565" t="e">
            <v>#N/A</v>
          </cell>
          <cell r="K565" t="e">
            <v>#N/A</v>
          </cell>
          <cell r="L565" t="e">
            <v>#N/A</v>
          </cell>
          <cell r="M565" t="e">
            <v>#N/A</v>
          </cell>
          <cell r="N565" t="e">
            <v>#N/A</v>
          </cell>
          <cell r="O565" t="e">
            <v>#N/A</v>
          </cell>
          <cell r="P565">
            <v>14.52</v>
          </cell>
          <cell r="Q565" t="str">
            <v/>
          </cell>
          <cell r="R565" t="e">
            <v>#N/A</v>
          </cell>
        </row>
        <row r="566">
          <cell r="A566">
            <v>40792</v>
          </cell>
          <cell r="B566">
            <v>40792</v>
          </cell>
          <cell r="C566" t="str">
            <v>Future</v>
          </cell>
          <cell r="D566" t="e">
            <v>#N/A</v>
          </cell>
          <cell r="E566">
            <v>13.96216216216216</v>
          </cell>
          <cell r="F566">
            <v>14.435135135135139</v>
          </cell>
          <cell r="G566">
            <v>14.340540540540541</v>
          </cell>
          <cell r="H566">
            <v>14.340540540540541</v>
          </cell>
          <cell r="I566" t="e">
            <v>#N/A</v>
          </cell>
          <cell r="J566" t="e">
            <v>#N/A</v>
          </cell>
          <cell r="K566" t="e">
            <v>#N/A</v>
          </cell>
          <cell r="L566" t="e">
            <v>#N/A</v>
          </cell>
          <cell r="M566" t="e">
            <v>#N/A</v>
          </cell>
          <cell r="N566" t="e">
            <v>#N/A</v>
          </cell>
          <cell r="O566" t="e">
            <v>#N/A</v>
          </cell>
          <cell r="P566">
            <v>14.52</v>
          </cell>
          <cell r="Q566" t="str">
            <v/>
          </cell>
          <cell r="R566" t="e">
            <v>#N/A</v>
          </cell>
        </row>
        <row r="567">
          <cell r="A567">
            <v>40793</v>
          </cell>
          <cell r="B567">
            <v>40793</v>
          </cell>
          <cell r="C567" t="str">
            <v>Future</v>
          </cell>
          <cell r="D567" t="e">
            <v>#N/A</v>
          </cell>
          <cell r="E567">
            <v>13.906756756756755</v>
          </cell>
          <cell r="F567">
            <v>14.447297297297302</v>
          </cell>
          <cell r="G567">
            <v>14.33918918918919</v>
          </cell>
          <cell r="H567">
            <v>14.33918918918919</v>
          </cell>
          <cell r="I567" t="e">
            <v>#N/A</v>
          </cell>
          <cell r="J567" t="e">
            <v>#N/A</v>
          </cell>
          <cell r="K567" t="e">
            <v>#N/A</v>
          </cell>
          <cell r="L567" t="e">
            <v>#N/A</v>
          </cell>
          <cell r="M567" t="e">
            <v>#N/A</v>
          </cell>
          <cell r="N567" t="e">
            <v>#N/A</v>
          </cell>
          <cell r="O567" t="e">
            <v>#N/A</v>
          </cell>
          <cell r="P567">
            <v>14.52</v>
          </cell>
          <cell r="Q567" t="str">
            <v/>
          </cell>
          <cell r="R567" t="e">
            <v>#N/A</v>
          </cell>
        </row>
        <row r="568">
          <cell r="A568">
            <v>40794</v>
          </cell>
          <cell r="B568">
            <v>40794</v>
          </cell>
          <cell r="C568" t="str">
            <v>Future</v>
          </cell>
          <cell r="D568" t="e">
            <v>#N/A</v>
          </cell>
          <cell r="E568">
            <v>13.851351351351349</v>
          </cell>
          <cell r="F568">
            <v>14.459459459459465</v>
          </cell>
          <cell r="G568">
            <v>14.337837837837839</v>
          </cell>
          <cell r="H568">
            <v>14.337837837837839</v>
          </cell>
          <cell r="I568" t="e">
            <v>#N/A</v>
          </cell>
          <cell r="J568" t="e">
            <v>#N/A</v>
          </cell>
          <cell r="K568" t="e">
            <v>#N/A</v>
          </cell>
          <cell r="L568" t="e">
            <v>#N/A</v>
          </cell>
          <cell r="M568" t="e">
            <v>#N/A</v>
          </cell>
          <cell r="N568" t="e">
            <v>#N/A</v>
          </cell>
          <cell r="O568" t="e">
            <v>#N/A</v>
          </cell>
          <cell r="P568">
            <v>14.52</v>
          </cell>
          <cell r="Q568" t="str">
            <v/>
          </cell>
          <cell r="R568" t="e">
            <v>#N/A</v>
          </cell>
        </row>
        <row r="569">
          <cell r="A569">
            <v>40795</v>
          </cell>
          <cell r="B569">
            <v>40795</v>
          </cell>
          <cell r="C569" t="str">
            <v>Future</v>
          </cell>
          <cell r="D569" t="e">
            <v>#N/A</v>
          </cell>
          <cell r="E569">
            <v>13.795945945945943</v>
          </cell>
          <cell r="F569">
            <v>14.471621621621628</v>
          </cell>
          <cell r="G569">
            <v>14.336486486486487</v>
          </cell>
          <cell r="H569">
            <v>14.336486486486487</v>
          </cell>
          <cell r="I569" t="e">
            <v>#N/A</v>
          </cell>
          <cell r="J569" t="e">
            <v>#N/A</v>
          </cell>
          <cell r="K569" t="e">
            <v>#N/A</v>
          </cell>
          <cell r="L569" t="e">
            <v>#N/A</v>
          </cell>
          <cell r="M569" t="e">
            <v>#N/A</v>
          </cell>
          <cell r="N569" t="e">
            <v>#N/A</v>
          </cell>
          <cell r="O569" t="e">
            <v>#N/A</v>
          </cell>
          <cell r="P569">
            <v>14.52</v>
          </cell>
          <cell r="Q569" t="str">
            <v/>
          </cell>
          <cell r="R569" t="e">
            <v>#N/A</v>
          </cell>
        </row>
        <row r="570">
          <cell r="A570">
            <v>40798</v>
          </cell>
          <cell r="B570">
            <v>40798</v>
          </cell>
          <cell r="C570" t="str">
            <v>Future</v>
          </cell>
          <cell r="D570" t="e">
            <v>#N/A</v>
          </cell>
          <cell r="E570">
            <v>13.740540540540538</v>
          </cell>
          <cell r="F570">
            <v>14.483783783783791</v>
          </cell>
          <cell r="G570">
            <v>14.335135135135136</v>
          </cell>
          <cell r="H570">
            <v>14.335135135135136</v>
          </cell>
          <cell r="I570" t="e">
            <v>#N/A</v>
          </cell>
          <cell r="J570" t="e">
            <v>#N/A</v>
          </cell>
          <cell r="K570" t="e">
            <v>#N/A</v>
          </cell>
          <cell r="L570" t="e">
            <v>#N/A</v>
          </cell>
          <cell r="M570" t="e">
            <v>#N/A</v>
          </cell>
          <cell r="N570" t="e">
            <v>#N/A</v>
          </cell>
          <cell r="O570" t="e">
            <v>#N/A</v>
          </cell>
          <cell r="P570">
            <v>14.52</v>
          </cell>
          <cell r="Q570" t="str">
            <v/>
          </cell>
          <cell r="R570" t="e">
            <v>#N/A</v>
          </cell>
        </row>
        <row r="571">
          <cell r="A571">
            <v>40799</v>
          </cell>
          <cell r="B571">
            <v>40799</v>
          </cell>
          <cell r="C571" t="str">
            <v>Future</v>
          </cell>
          <cell r="D571" t="e">
            <v>#N/A</v>
          </cell>
          <cell r="E571">
            <v>13.685135135135132</v>
          </cell>
          <cell r="F571">
            <v>14.495945945945953</v>
          </cell>
          <cell r="G571">
            <v>14.333783783783785</v>
          </cell>
          <cell r="H571">
            <v>14.333783783783785</v>
          </cell>
          <cell r="I571" t="e">
            <v>#N/A</v>
          </cell>
          <cell r="J571" t="e">
            <v>#N/A</v>
          </cell>
          <cell r="K571" t="e">
            <v>#N/A</v>
          </cell>
          <cell r="L571" t="e">
            <v>#N/A</v>
          </cell>
          <cell r="M571" t="e">
            <v>#N/A</v>
          </cell>
          <cell r="N571" t="e">
            <v>#N/A</v>
          </cell>
          <cell r="O571" t="e">
            <v>#N/A</v>
          </cell>
          <cell r="P571">
            <v>14.52</v>
          </cell>
          <cell r="Q571" t="str">
            <v/>
          </cell>
          <cell r="R571" t="e">
            <v>#N/A</v>
          </cell>
        </row>
        <row r="572">
          <cell r="A572">
            <v>40800</v>
          </cell>
          <cell r="B572">
            <v>40800</v>
          </cell>
          <cell r="C572" t="str">
            <v>Future</v>
          </cell>
          <cell r="D572" t="e">
            <v>#N/A</v>
          </cell>
          <cell r="E572">
            <v>13.629729729729727</v>
          </cell>
          <cell r="F572">
            <v>14.508108108108116</v>
          </cell>
          <cell r="G572">
            <v>14.332432432432434</v>
          </cell>
          <cell r="H572">
            <v>14.332432432432434</v>
          </cell>
          <cell r="I572" t="e">
            <v>#N/A</v>
          </cell>
          <cell r="J572" t="e">
            <v>#N/A</v>
          </cell>
          <cell r="K572" t="e">
            <v>#N/A</v>
          </cell>
          <cell r="L572" t="e">
            <v>#N/A</v>
          </cell>
          <cell r="M572" t="e">
            <v>#N/A</v>
          </cell>
          <cell r="N572" t="e">
            <v>#N/A</v>
          </cell>
          <cell r="O572" t="e">
            <v>#N/A</v>
          </cell>
          <cell r="P572">
            <v>14.52</v>
          </cell>
          <cell r="Q572" t="str">
            <v/>
          </cell>
          <cell r="R572" t="e">
            <v>#N/A</v>
          </cell>
        </row>
        <row r="573">
          <cell r="A573">
            <v>40801</v>
          </cell>
          <cell r="B573">
            <v>40801</v>
          </cell>
          <cell r="C573" t="str">
            <v>Future</v>
          </cell>
          <cell r="D573" t="e">
            <v>#N/A</v>
          </cell>
          <cell r="E573">
            <v>13.574324324324321</v>
          </cell>
          <cell r="F573">
            <v>14.520270270270279</v>
          </cell>
          <cell r="G573">
            <v>14.331081081081082</v>
          </cell>
          <cell r="H573">
            <v>14.331081081081082</v>
          </cell>
          <cell r="I573" t="e">
            <v>#N/A</v>
          </cell>
          <cell r="J573" t="e">
            <v>#N/A</v>
          </cell>
          <cell r="K573" t="e">
            <v>#N/A</v>
          </cell>
          <cell r="L573" t="e">
            <v>#N/A</v>
          </cell>
          <cell r="M573" t="e">
            <v>#N/A</v>
          </cell>
          <cell r="N573" t="e">
            <v>#N/A</v>
          </cell>
          <cell r="O573" t="e">
            <v>#N/A</v>
          </cell>
          <cell r="P573">
            <v>14.52</v>
          </cell>
          <cell r="Q573" t="str">
            <v/>
          </cell>
          <cell r="R573" t="e">
            <v>#N/A</v>
          </cell>
        </row>
        <row r="574">
          <cell r="A574">
            <v>40802</v>
          </cell>
          <cell r="B574">
            <v>40802</v>
          </cell>
          <cell r="C574" t="str">
            <v>Future</v>
          </cell>
          <cell r="D574" t="e">
            <v>#N/A</v>
          </cell>
          <cell r="E574">
            <v>13.518918918918915</v>
          </cell>
          <cell r="F574">
            <v>14.532432432432442</v>
          </cell>
          <cell r="G574">
            <v>14.329729729729731</v>
          </cell>
          <cell r="H574">
            <v>14.329729729729731</v>
          </cell>
          <cell r="I574" t="e">
            <v>#N/A</v>
          </cell>
          <cell r="J574" t="e">
            <v>#N/A</v>
          </cell>
          <cell r="K574" t="e">
            <v>#N/A</v>
          </cell>
          <cell r="L574" t="e">
            <v>#N/A</v>
          </cell>
          <cell r="M574" t="e">
            <v>#N/A</v>
          </cell>
          <cell r="N574" t="e">
            <v>#N/A</v>
          </cell>
          <cell r="O574" t="e">
            <v>#N/A</v>
          </cell>
          <cell r="P574">
            <v>14.52</v>
          </cell>
          <cell r="Q574" t="str">
            <v/>
          </cell>
          <cell r="R574" t="e">
            <v>#N/A</v>
          </cell>
        </row>
        <row r="575">
          <cell r="A575">
            <v>40805</v>
          </cell>
          <cell r="B575">
            <v>40805</v>
          </cell>
          <cell r="C575" t="str">
            <v>Future</v>
          </cell>
          <cell r="D575" t="e">
            <v>#N/A</v>
          </cell>
          <cell r="E575">
            <v>13.46351351351351</v>
          </cell>
          <cell r="F575">
            <v>14.544594594594605</v>
          </cell>
          <cell r="G575">
            <v>14.32837837837838</v>
          </cell>
          <cell r="H575">
            <v>14.32837837837838</v>
          </cell>
          <cell r="I575" t="e">
            <v>#N/A</v>
          </cell>
          <cell r="J575" t="e">
            <v>#N/A</v>
          </cell>
          <cell r="K575" t="e">
            <v>#N/A</v>
          </cell>
          <cell r="L575" t="e">
            <v>#N/A</v>
          </cell>
          <cell r="M575" t="e">
            <v>#N/A</v>
          </cell>
          <cell r="N575" t="e">
            <v>#N/A</v>
          </cell>
          <cell r="O575" t="e">
            <v>#N/A</v>
          </cell>
          <cell r="P575">
            <v>14.52</v>
          </cell>
          <cell r="Q575" t="str">
            <v/>
          </cell>
          <cell r="R575" t="e">
            <v>#N/A</v>
          </cell>
        </row>
        <row r="576">
          <cell r="A576">
            <v>40806</v>
          </cell>
          <cell r="B576">
            <v>40806</v>
          </cell>
          <cell r="C576" t="str">
            <v>Future</v>
          </cell>
          <cell r="D576" t="e">
            <v>#N/A</v>
          </cell>
          <cell r="E576">
            <v>13.408108108108104</v>
          </cell>
          <cell r="F576">
            <v>14.556756756756768</v>
          </cell>
          <cell r="G576">
            <v>14.327027027027029</v>
          </cell>
          <cell r="H576">
            <v>14.327027027027029</v>
          </cell>
          <cell r="I576" t="e">
            <v>#N/A</v>
          </cell>
          <cell r="J576" t="e">
            <v>#N/A</v>
          </cell>
          <cell r="K576" t="e">
            <v>#N/A</v>
          </cell>
          <cell r="L576" t="e">
            <v>#N/A</v>
          </cell>
          <cell r="M576" t="e">
            <v>#N/A</v>
          </cell>
          <cell r="N576" t="e">
            <v>#N/A</v>
          </cell>
          <cell r="O576" t="e">
            <v>#N/A</v>
          </cell>
          <cell r="P576">
            <v>14.52</v>
          </cell>
          <cell r="Q576" t="str">
            <v/>
          </cell>
          <cell r="R576" t="e">
            <v>#N/A</v>
          </cell>
        </row>
        <row r="577">
          <cell r="A577">
            <v>40807</v>
          </cell>
          <cell r="B577">
            <v>40807</v>
          </cell>
          <cell r="C577" t="str">
            <v>Future</v>
          </cell>
          <cell r="D577" t="e">
            <v>#N/A</v>
          </cell>
          <cell r="E577">
            <v>13.352702702702699</v>
          </cell>
          <cell r="F577">
            <v>14.56891891891893</v>
          </cell>
          <cell r="G577">
            <v>14.325675675675678</v>
          </cell>
          <cell r="H577">
            <v>14.325675675675678</v>
          </cell>
          <cell r="I577" t="e">
            <v>#N/A</v>
          </cell>
          <cell r="J577" t="e">
            <v>#N/A</v>
          </cell>
          <cell r="K577" t="e">
            <v>#N/A</v>
          </cell>
          <cell r="L577" t="e">
            <v>#N/A</v>
          </cell>
          <cell r="M577" t="e">
            <v>#N/A</v>
          </cell>
          <cell r="N577" t="e">
            <v>#N/A</v>
          </cell>
          <cell r="O577" t="e">
            <v>#N/A</v>
          </cell>
          <cell r="P577">
            <v>14.52</v>
          </cell>
          <cell r="Q577" t="str">
            <v/>
          </cell>
          <cell r="R577" t="e">
            <v>#N/A</v>
          </cell>
        </row>
        <row r="578">
          <cell r="A578">
            <v>40808</v>
          </cell>
          <cell r="B578">
            <v>40808</v>
          </cell>
          <cell r="C578" t="str">
            <v>Future</v>
          </cell>
          <cell r="D578" t="e">
            <v>#N/A</v>
          </cell>
          <cell r="E578">
            <v>13.297297297297293</v>
          </cell>
          <cell r="F578">
            <v>14.581081081081093</v>
          </cell>
          <cell r="G578">
            <v>14.324324324324326</v>
          </cell>
          <cell r="H578">
            <v>14.324324324324326</v>
          </cell>
          <cell r="I578" t="e">
            <v>#N/A</v>
          </cell>
          <cell r="J578" t="e">
            <v>#N/A</v>
          </cell>
          <cell r="K578" t="e">
            <v>#N/A</v>
          </cell>
          <cell r="L578" t="e">
            <v>#N/A</v>
          </cell>
          <cell r="M578" t="e">
            <v>#N/A</v>
          </cell>
          <cell r="N578" t="e">
            <v>#N/A</v>
          </cell>
          <cell r="O578" t="e">
            <v>#N/A</v>
          </cell>
          <cell r="P578">
            <v>14.52</v>
          </cell>
          <cell r="Q578" t="str">
            <v/>
          </cell>
          <cell r="R578" t="e">
            <v>#N/A</v>
          </cell>
        </row>
        <row r="579">
          <cell r="A579">
            <v>40809</v>
          </cell>
          <cell r="B579">
            <v>40809</v>
          </cell>
          <cell r="C579" t="str">
            <v>Future</v>
          </cell>
          <cell r="D579" t="e">
            <v>#N/A</v>
          </cell>
          <cell r="E579">
            <v>13.241891891891887</v>
          </cell>
          <cell r="F579">
            <v>14.593243243243256</v>
          </cell>
          <cell r="G579">
            <v>14.322972972972975</v>
          </cell>
          <cell r="H579">
            <v>14.322972972972975</v>
          </cell>
          <cell r="I579" t="e">
            <v>#N/A</v>
          </cell>
          <cell r="J579" t="e">
            <v>#N/A</v>
          </cell>
          <cell r="K579" t="e">
            <v>#N/A</v>
          </cell>
          <cell r="L579" t="e">
            <v>#N/A</v>
          </cell>
          <cell r="M579" t="e">
            <v>#N/A</v>
          </cell>
          <cell r="N579" t="e">
            <v>#N/A</v>
          </cell>
          <cell r="O579" t="e">
            <v>#N/A</v>
          </cell>
          <cell r="P579">
            <v>14.52</v>
          </cell>
          <cell r="Q579" t="str">
            <v/>
          </cell>
          <cell r="R579" t="e">
            <v>#N/A</v>
          </cell>
        </row>
        <row r="580">
          <cell r="A580">
            <v>40812</v>
          </cell>
          <cell r="B580">
            <v>40812</v>
          </cell>
          <cell r="C580" t="str">
            <v>Future</v>
          </cell>
          <cell r="D580" t="e">
            <v>#N/A</v>
          </cell>
          <cell r="E580">
            <v>13.186486486486482</v>
          </cell>
          <cell r="F580">
            <v>14.605405405405419</v>
          </cell>
          <cell r="G580">
            <v>14.321621621621624</v>
          </cell>
          <cell r="H580">
            <v>14.321621621621624</v>
          </cell>
          <cell r="I580" t="e">
            <v>#N/A</v>
          </cell>
          <cell r="J580" t="e">
            <v>#N/A</v>
          </cell>
          <cell r="K580" t="e">
            <v>#N/A</v>
          </cell>
          <cell r="L580" t="e">
            <v>#N/A</v>
          </cell>
          <cell r="M580" t="e">
            <v>#N/A</v>
          </cell>
          <cell r="N580" t="e">
            <v>#N/A</v>
          </cell>
          <cell r="O580" t="e">
            <v>#N/A</v>
          </cell>
          <cell r="P580">
            <v>14.52</v>
          </cell>
          <cell r="Q580" t="str">
            <v/>
          </cell>
          <cell r="R580" t="e">
            <v>#N/A</v>
          </cell>
        </row>
        <row r="581">
          <cell r="A581">
            <v>40813</v>
          </cell>
          <cell r="B581">
            <v>40813</v>
          </cell>
          <cell r="C581" t="str">
            <v>Future</v>
          </cell>
          <cell r="D581" t="e">
            <v>#N/A</v>
          </cell>
          <cell r="E581">
            <v>13.131081081081076</v>
          </cell>
          <cell r="F581">
            <v>14.617567567567582</v>
          </cell>
          <cell r="G581">
            <v>14.320270270270273</v>
          </cell>
          <cell r="H581">
            <v>14.320270270270273</v>
          </cell>
          <cell r="I581" t="e">
            <v>#N/A</v>
          </cell>
          <cell r="J581" t="e">
            <v>#N/A</v>
          </cell>
          <cell r="K581" t="e">
            <v>#N/A</v>
          </cell>
          <cell r="L581" t="e">
            <v>#N/A</v>
          </cell>
          <cell r="M581" t="e">
            <v>#N/A</v>
          </cell>
          <cell r="N581" t="e">
            <v>#N/A</v>
          </cell>
          <cell r="O581" t="e">
            <v>#N/A</v>
          </cell>
          <cell r="P581">
            <v>14.52</v>
          </cell>
          <cell r="Q581" t="str">
            <v/>
          </cell>
          <cell r="R581" t="e">
            <v>#N/A</v>
          </cell>
        </row>
        <row r="582">
          <cell r="A582">
            <v>40814</v>
          </cell>
          <cell r="B582">
            <v>40814</v>
          </cell>
          <cell r="C582" t="str">
            <v>Future</v>
          </cell>
          <cell r="D582" t="e">
            <v>#N/A</v>
          </cell>
          <cell r="E582">
            <v>13.07567567567567</v>
          </cell>
          <cell r="F582">
            <v>14.629729729729744</v>
          </cell>
          <cell r="G582">
            <v>14.318918918918921</v>
          </cell>
          <cell r="H582">
            <v>14.318918918918921</v>
          </cell>
          <cell r="I582" t="e">
            <v>#N/A</v>
          </cell>
          <cell r="J582" t="e">
            <v>#N/A</v>
          </cell>
          <cell r="K582" t="e">
            <v>#N/A</v>
          </cell>
          <cell r="L582" t="e">
            <v>#N/A</v>
          </cell>
          <cell r="M582" t="e">
            <v>#N/A</v>
          </cell>
          <cell r="N582" t="e">
            <v>#N/A</v>
          </cell>
          <cell r="O582" t="e">
            <v>#N/A</v>
          </cell>
          <cell r="P582">
            <v>14.52</v>
          </cell>
          <cell r="Q582" t="str">
            <v/>
          </cell>
          <cell r="R582" t="e">
            <v>#N/A</v>
          </cell>
        </row>
        <row r="583">
          <cell r="A583">
            <v>40815</v>
          </cell>
          <cell r="B583">
            <v>40815</v>
          </cell>
          <cell r="C583" t="str">
            <v>Future</v>
          </cell>
          <cell r="D583" t="e">
            <v>#N/A</v>
          </cell>
          <cell r="E583">
            <v>13.020270270270265</v>
          </cell>
          <cell r="F583">
            <v>14.641891891891907</v>
          </cell>
          <cell r="G583">
            <v>14.31756756756757</v>
          </cell>
          <cell r="H583">
            <v>14.31756756756757</v>
          </cell>
          <cell r="I583" t="e">
            <v>#N/A</v>
          </cell>
          <cell r="J583" t="e">
            <v>#N/A</v>
          </cell>
          <cell r="K583" t="e">
            <v>#N/A</v>
          </cell>
          <cell r="L583" t="e">
            <v>#N/A</v>
          </cell>
          <cell r="M583" t="e">
            <v>#N/A</v>
          </cell>
          <cell r="N583" t="e">
            <v>#N/A</v>
          </cell>
          <cell r="O583" t="e">
            <v>#N/A</v>
          </cell>
          <cell r="P583">
            <v>14.52</v>
          </cell>
          <cell r="Q583" t="str">
            <v/>
          </cell>
          <cell r="R583" t="e">
            <v>#N/A</v>
          </cell>
        </row>
        <row r="584">
          <cell r="A584">
            <v>40816</v>
          </cell>
          <cell r="B584">
            <v>40816</v>
          </cell>
          <cell r="C584" t="str">
            <v>Future</v>
          </cell>
          <cell r="D584" t="e">
            <v>#N/A</v>
          </cell>
          <cell r="E584">
            <v>12.964864864864859</v>
          </cell>
          <cell r="F584">
            <v>14.65405405405407</v>
          </cell>
          <cell r="G584">
            <v>14.316216216216219</v>
          </cell>
          <cell r="H584">
            <v>14.316216216216219</v>
          </cell>
          <cell r="I584" t="e">
            <v>#N/A</v>
          </cell>
          <cell r="J584" t="e">
            <v>#N/A</v>
          </cell>
          <cell r="K584" t="e">
            <v>#N/A</v>
          </cell>
          <cell r="L584" t="e">
            <v>#N/A</v>
          </cell>
          <cell r="M584" t="e">
            <v>#N/A</v>
          </cell>
          <cell r="N584" t="e">
            <v>#N/A</v>
          </cell>
          <cell r="O584" t="e">
            <v>#N/A</v>
          </cell>
          <cell r="P584">
            <v>14.52</v>
          </cell>
          <cell r="Q584" t="str">
            <v/>
          </cell>
          <cell r="R584" t="e">
            <v>#N/A</v>
          </cell>
        </row>
        <row r="585">
          <cell r="A585">
            <v>40819</v>
          </cell>
          <cell r="B585">
            <v>40819</v>
          </cell>
          <cell r="C585" t="str">
            <v>Future</v>
          </cell>
          <cell r="D585" t="e">
            <v>#N/A</v>
          </cell>
          <cell r="E585">
            <v>12.909459459459454</v>
          </cell>
          <cell r="F585">
            <v>14.666216216216233</v>
          </cell>
          <cell r="G585">
            <v>14.314864864864868</v>
          </cell>
          <cell r="H585">
            <v>14.314864864864868</v>
          </cell>
          <cell r="I585" t="e">
            <v>#N/A</v>
          </cell>
          <cell r="J585" t="e">
            <v>#N/A</v>
          </cell>
          <cell r="K585" t="e">
            <v>#N/A</v>
          </cell>
          <cell r="L585" t="e">
            <v>#N/A</v>
          </cell>
          <cell r="M585" t="e">
            <v>#N/A</v>
          </cell>
          <cell r="N585" t="e">
            <v>#N/A</v>
          </cell>
          <cell r="O585" t="e">
            <v>#N/A</v>
          </cell>
          <cell r="P585">
            <v>14.52</v>
          </cell>
          <cell r="Q585" t="str">
            <v/>
          </cell>
          <cell r="R585" t="e">
            <v>#N/A</v>
          </cell>
        </row>
        <row r="586">
          <cell r="A586">
            <v>40820</v>
          </cell>
          <cell r="B586">
            <v>40820</v>
          </cell>
          <cell r="C586" t="str">
            <v>Future</v>
          </cell>
          <cell r="D586" t="e">
            <v>#N/A</v>
          </cell>
          <cell r="E586">
            <v>12.854054054054048</v>
          </cell>
          <cell r="F586">
            <v>14.678378378378396</v>
          </cell>
          <cell r="G586">
            <v>14.313513513513517</v>
          </cell>
          <cell r="H586">
            <v>14.313513513513517</v>
          </cell>
          <cell r="I586" t="e">
            <v>#N/A</v>
          </cell>
          <cell r="J586" t="e">
            <v>#N/A</v>
          </cell>
          <cell r="K586" t="e">
            <v>#N/A</v>
          </cell>
          <cell r="L586" t="e">
            <v>#N/A</v>
          </cell>
          <cell r="M586" t="e">
            <v>#N/A</v>
          </cell>
          <cell r="N586" t="e">
            <v>#N/A</v>
          </cell>
          <cell r="O586" t="e">
            <v>#N/A</v>
          </cell>
          <cell r="P586">
            <v>14.52</v>
          </cell>
          <cell r="Q586" t="str">
            <v/>
          </cell>
          <cell r="R586" t="e">
            <v>#N/A</v>
          </cell>
        </row>
        <row r="587">
          <cell r="A587">
            <v>40821</v>
          </cell>
          <cell r="B587">
            <v>40821</v>
          </cell>
          <cell r="C587" t="str">
            <v>Future</v>
          </cell>
          <cell r="D587" t="e">
            <v>#N/A</v>
          </cell>
          <cell r="E587">
            <v>12.798648648648642</v>
          </cell>
          <cell r="F587">
            <v>14.690540540540558</v>
          </cell>
          <cell r="G587">
            <v>14.312162162162165</v>
          </cell>
          <cell r="H587">
            <v>14.312162162162165</v>
          </cell>
          <cell r="I587" t="e">
            <v>#N/A</v>
          </cell>
          <cell r="J587" t="e">
            <v>#N/A</v>
          </cell>
          <cell r="K587" t="e">
            <v>#N/A</v>
          </cell>
          <cell r="L587" t="e">
            <v>#N/A</v>
          </cell>
          <cell r="M587" t="e">
            <v>#N/A</v>
          </cell>
          <cell r="N587" t="e">
            <v>#N/A</v>
          </cell>
          <cell r="O587" t="e">
            <v>#N/A</v>
          </cell>
          <cell r="P587">
            <v>14.52</v>
          </cell>
          <cell r="Q587" t="str">
            <v/>
          </cell>
          <cell r="R587" t="e">
            <v>#N/A</v>
          </cell>
        </row>
        <row r="588">
          <cell r="A588">
            <v>40822</v>
          </cell>
          <cell r="B588">
            <v>40822</v>
          </cell>
          <cell r="C588" t="str">
            <v>Future</v>
          </cell>
          <cell r="D588" t="e">
            <v>#N/A</v>
          </cell>
          <cell r="E588">
            <v>12.743243243243237</v>
          </cell>
          <cell r="F588">
            <v>14.702702702702721</v>
          </cell>
          <cell r="G588">
            <v>14.310810810810814</v>
          </cell>
          <cell r="H588">
            <v>14.310810810810814</v>
          </cell>
          <cell r="I588" t="e">
            <v>#N/A</v>
          </cell>
          <cell r="J588" t="e">
            <v>#N/A</v>
          </cell>
          <cell r="K588" t="e">
            <v>#N/A</v>
          </cell>
          <cell r="L588" t="e">
            <v>#N/A</v>
          </cell>
          <cell r="M588" t="e">
            <v>#N/A</v>
          </cell>
          <cell r="N588" t="e">
            <v>#N/A</v>
          </cell>
          <cell r="O588" t="e">
            <v>#N/A</v>
          </cell>
          <cell r="P588">
            <v>14.52</v>
          </cell>
          <cell r="Q588" t="str">
            <v/>
          </cell>
          <cell r="R588" t="e">
            <v>#N/A</v>
          </cell>
        </row>
        <row r="589">
          <cell r="A589">
            <v>40823</v>
          </cell>
          <cell r="B589">
            <v>40823</v>
          </cell>
          <cell r="C589" t="str">
            <v>Future</v>
          </cell>
          <cell r="D589" t="e">
            <v>#N/A</v>
          </cell>
          <cell r="E589">
            <v>12.687837837837831</v>
          </cell>
          <cell r="F589">
            <v>14.714864864864884</v>
          </cell>
          <cell r="G589">
            <v>14.309459459459463</v>
          </cell>
          <cell r="H589">
            <v>14.309459459459463</v>
          </cell>
          <cell r="I589" t="e">
            <v>#N/A</v>
          </cell>
          <cell r="J589" t="e">
            <v>#N/A</v>
          </cell>
          <cell r="K589" t="e">
            <v>#N/A</v>
          </cell>
          <cell r="L589" t="e">
            <v>#N/A</v>
          </cell>
          <cell r="M589" t="e">
            <v>#N/A</v>
          </cell>
          <cell r="N589" t="e">
            <v>#N/A</v>
          </cell>
          <cell r="O589" t="e">
            <v>#N/A</v>
          </cell>
          <cell r="P589">
            <v>14.52</v>
          </cell>
          <cell r="Q589" t="str">
            <v/>
          </cell>
          <cell r="R589" t="e">
            <v>#N/A</v>
          </cell>
        </row>
        <row r="590">
          <cell r="A590">
            <v>40826</v>
          </cell>
          <cell r="B590">
            <v>40826</v>
          </cell>
          <cell r="C590" t="str">
            <v>Future</v>
          </cell>
          <cell r="D590" t="e">
            <v>#N/A</v>
          </cell>
          <cell r="E590">
            <v>12.632432432432426</v>
          </cell>
          <cell r="F590">
            <v>14.727027027027047</v>
          </cell>
          <cell r="G590">
            <v>14.308108108108112</v>
          </cell>
          <cell r="H590">
            <v>14.308108108108112</v>
          </cell>
          <cell r="I590" t="e">
            <v>#N/A</v>
          </cell>
          <cell r="J590" t="e">
            <v>#N/A</v>
          </cell>
          <cell r="K590" t="e">
            <v>#N/A</v>
          </cell>
          <cell r="L590" t="e">
            <v>#N/A</v>
          </cell>
          <cell r="M590" t="e">
            <v>#N/A</v>
          </cell>
          <cell r="N590" t="e">
            <v>#N/A</v>
          </cell>
          <cell r="O590" t="e">
            <v>#N/A</v>
          </cell>
          <cell r="P590">
            <v>14.52</v>
          </cell>
          <cell r="Q590" t="str">
            <v/>
          </cell>
          <cell r="R590" t="e">
            <v>#N/A</v>
          </cell>
        </row>
        <row r="591">
          <cell r="A591">
            <v>40827</v>
          </cell>
          <cell r="B591">
            <v>40827</v>
          </cell>
          <cell r="C591" t="str">
            <v>Future</v>
          </cell>
          <cell r="D591" t="e">
            <v>#N/A</v>
          </cell>
          <cell r="E591">
            <v>12.57702702702702</v>
          </cell>
          <cell r="F591">
            <v>14.73918918918921</v>
          </cell>
          <cell r="G591">
            <v>14.30675675675676</v>
          </cell>
          <cell r="H591">
            <v>14.30675675675676</v>
          </cell>
          <cell r="I591" t="e">
            <v>#N/A</v>
          </cell>
          <cell r="J591" t="e">
            <v>#N/A</v>
          </cell>
          <cell r="K591" t="e">
            <v>#N/A</v>
          </cell>
          <cell r="L591" t="e">
            <v>#N/A</v>
          </cell>
          <cell r="M591" t="e">
            <v>#N/A</v>
          </cell>
          <cell r="N591" t="e">
            <v>#N/A</v>
          </cell>
          <cell r="O591" t="e">
            <v>#N/A</v>
          </cell>
          <cell r="P591">
            <v>14.52</v>
          </cell>
          <cell r="Q591" t="str">
            <v/>
          </cell>
          <cell r="R591" t="e">
            <v>#N/A</v>
          </cell>
        </row>
        <row r="592">
          <cell r="A592">
            <v>40828</v>
          </cell>
          <cell r="B592">
            <v>40828</v>
          </cell>
          <cell r="C592" t="str">
            <v>Future</v>
          </cell>
          <cell r="D592" t="e">
            <v>#N/A</v>
          </cell>
          <cell r="E592">
            <v>12.521621621621614</v>
          </cell>
          <cell r="F592">
            <v>14.751351351351373</v>
          </cell>
          <cell r="G592">
            <v>14.305405405405409</v>
          </cell>
          <cell r="H592">
            <v>14.305405405405409</v>
          </cell>
          <cell r="I592" t="e">
            <v>#N/A</v>
          </cell>
          <cell r="J592" t="e">
            <v>#N/A</v>
          </cell>
          <cell r="K592" t="e">
            <v>#N/A</v>
          </cell>
          <cell r="L592" t="e">
            <v>#N/A</v>
          </cell>
          <cell r="M592" t="e">
            <v>#N/A</v>
          </cell>
          <cell r="N592" t="e">
            <v>#N/A</v>
          </cell>
          <cell r="O592" t="e">
            <v>#N/A</v>
          </cell>
          <cell r="P592">
            <v>14.52</v>
          </cell>
          <cell r="Q592" t="str">
            <v/>
          </cell>
          <cell r="R592" t="e">
            <v>#N/A</v>
          </cell>
        </row>
        <row r="593">
          <cell r="A593">
            <v>40829</v>
          </cell>
          <cell r="B593">
            <v>40829</v>
          </cell>
          <cell r="C593" t="str">
            <v>Future</v>
          </cell>
          <cell r="D593" t="e">
            <v>#N/A</v>
          </cell>
          <cell r="E593">
            <v>12.466216216216209</v>
          </cell>
          <cell r="F593">
            <v>14.763513513513535</v>
          </cell>
          <cell r="G593">
            <v>14.304054054054058</v>
          </cell>
          <cell r="H593">
            <v>14.304054054054058</v>
          </cell>
          <cell r="I593" t="e">
            <v>#N/A</v>
          </cell>
          <cell r="J593" t="e">
            <v>#N/A</v>
          </cell>
          <cell r="K593" t="e">
            <v>#N/A</v>
          </cell>
          <cell r="L593" t="e">
            <v>#N/A</v>
          </cell>
          <cell r="M593" t="e">
            <v>#N/A</v>
          </cell>
          <cell r="N593" t="e">
            <v>#N/A</v>
          </cell>
          <cell r="O593" t="e">
            <v>#N/A</v>
          </cell>
          <cell r="P593">
            <v>14.52</v>
          </cell>
          <cell r="Q593" t="str">
            <v/>
          </cell>
          <cell r="R593" t="e">
            <v>#N/A</v>
          </cell>
        </row>
        <row r="594">
          <cell r="A594">
            <v>40830</v>
          </cell>
          <cell r="B594">
            <v>40830</v>
          </cell>
          <cell r="C594" t="str">
            <v>Future</v>
          </cell>
          <cell r="D594" t="e">
            <v>#N/A</v>
          </cell>
          <cell r="E594">
            <v>12.410810810810803</v>
          </cell>
          <cell r="F594">
            <v>14.775675675675698</v>
          </cell>
          <cell r="G594">
            <v>14.302702702702707</v>
          </cell>
          <cell r="H594">
            <v>14.302702702702707</v>
          </cell>
          <cell r="I594" t="e">
            <v>#N/A</v>
          </cell>
          <cell r="J594" t="e">
            <v>#N/A</v>
          </cell>
          <cell r="K594" t="e">
            <v>#N/A</v>
          </cell>
          <cell r="L594" t="e">
            <v>#N/A</v>
          </cell>
          <cell r="M594" t="e">
            <v>#N/A</v>
          </cell>
          <cell r="N594" t="e">
            <v>#N/A</v>
          </cell>
          <cell r="O594" t="e">
            <v>#N/A</v>
          </cell>
          <cell r="P594">
            <v>14.52</v>
          </cell>
          <cell r="Q594" t="str">
            <v/>
          </cell>
          <cell r="R594" t="e">
            <v>#N/A</v>
          </cell>
        </row>
        <row r="595">
          <cell r="A595">
            <v>40833</v>
          </cell>
          <cell r="B595">
            <v>40833</v>
          </cell>
          <cell r="C595" t="str">
            <v>Future</v>
          </cell>
          <cell r="D595" t="e">
            <v>#N/A</v>
          </cell>
          <cell r="E595">
            <v>12.355405405405397</v>
          </cell>
          <cell r="F595">
            <v>14.787837837837861</v>
          </cell>
          <cell r="G595">
            <v>14.301351351351355</v>
          </cell>
          <cell r="H595">
            <v>14.301351351351355</v>
          </cell>
          <cell r="I595" t="e">
            <v>#N/A</v>
          </cell>
          <cell r="J595" t="e">
            <v>#N/A</v>
          </cell>
          <cell r="K595" t="e">
            <v>#N/A</v>
          </cell>
          <cell r="L595" t="e">
            <v>#N/A</v>
          </cell>
          <cell r="M595" t="e">
            <v>#N/A</v>
          </cell>
          <cell r="N595" t="e">
            <v>#N/A</v>
          </cell>
          <cell r="O595" t="e">
            <v>#N/A</v>
          </cell>
          <cell r="P595">
            <v>14.52</v>
          </cell>
          <cell r="Q595" t="str">
            <v/>
          </cell>
          <cell r="R595" t="e">
            <v>#N/A</v>
          </cell>
        </row>
        <row r="596">
          <cell r="A596">
            <v>40834</v>
          </cell>
          <cell r="B596">
            <v>40834</v>
          </cell>
          <cell r="C596" t="str">
            <v>Future</v>
          </cell>
          <cell r="D596" t="e">
            <v>#N/A</v>
          </cell>
          <cell r="E596">
            <v>12.299999999999992</v>
          </cell>
          <cell r="F596">
            <v>14.800000000000024</v>
          </cell>
          <cell r="G596">
            <v>14.300000000000004</v>
          </cell>
          <cell r="H596">
            <v>14.300000000000004</v>
          </cell>
          <cell r="I596" t="e">
            <v>#N/A</v>
          </cell>
          <cell r="J596" t="e">
            <v>#N/A</v>
          </cell>
          <cell r="K596" t="e">
            <v>#N/A</v>
          </cell>
          <cell r="L596" t="e">
            <v>#N/A</v>
          </cell>
          <cell r="M596" t="e">
            <v>#N/A</v>
          </cell>
          <cell r="N596" t="e">
            <v>#N/A</v>
          </cell>
          <cell r="O596" t="e">
            <v>#N/A</v>
          </cell>
          <cell r="P596">
            <v>14.52</v>
          </cell>
          <cell r="Q596" t="str">
            <v/>
          </cell>
          <cell r="R596" t="e">
            <v>#N/A</v>
          </cell>
        </row>
        <row r="597">
          <cell r="A597">
            <v>40835</v>
          </cell>
          <cell r="B597">
            <v>40835</v>
          </cell>
          <cell r="C597" t="str">
            <v>Future</v>
          </cell>
          <cell r="D597" t="e">
            <v>#N/A</v>
          </cell>
          <cell r="E597">
            <v>12.244594594594586</v>
          </cell>
          <cell r="F597">
            <v>14.812162162162187</v>
          </cell>
          <cell r="G597">
            <v>14.298648648648653</v>
          </cell>
          <cell r="H597">
            <v>14.298648648648653</v>
          </cell>
          <cell r="I597" t="e">
            <v>#N/A</v>
          </cell>
          <cell r="J597" t="e">
            <v>#N/A</v>
          </cell>
          <cell r="K597" t="e">
            <v>#N/A</v>
          </cell>
          <cell r="L597" t="e">
            <v>#N/A</v>
          </cell>
          <cell r="M597" t="e">
            <v>#N/A</v>
          </cell>
          <cell r="N597" t="e">
            <v>#N/A</v>
          </cell>
          <cell r="O597" t="e">
            <v>#N/A</v>
          </cell>
          <cell r="P597">
            <v>14.52</v>
          </cell>
          <cell r="Q597" t="str">
            <v/>
          </cell>
          <cell r="R597" t="e">
            <v>#N/A</v>
          </cell>
        </row>
        <row r="598">
          <cell r="A598">
            <v>40836</v>
          </cell>
          <cell r="B598">
            <v>40836</v>
          </cell>
          <cell r="C598" t="str">
            <v>Future</v>
          </cell>
          <cell r="D598" t="e">
            <v>#N/A</v>
          </cell>
          <cell r="E598">
            <v>12.189189189189181</v>
          </cell>
          <cell r="F598">
            <v>14.824324324324349</v>
          </cell>
          <cell r="G598">
            <v>14.297297297297302</v>
          </cell>
          <cell r="H598">
            <v>14.297297297297302</v>
          </cell>
          <cell r="I598" t="e">
            <v>#N/A</v>
          </cell>
          <cell r="J598" t="e">
            <v>#N/A</v>
          </cell>
          <cell r="K598" t="e">
            <v>#N/A</v>
          </cell>
          <cell r="L598" t="e">
            <v>#N/A</v>
          </cell>
          <cell r="M598" t="e">
            <v>#N/A</v>
          </cell>
          <cell r="N598" t="e">
            <v>#N/A</v>
          </cell>
          <cell r="O598" t="e">
            <v>#N/A</v>
          </cell>
          <cell r="P598">
            <v>14.52</v>
          </cell>
          <cell r="Q598" t="str">
            <v/>
          </cell>
          <cell r="R598" t="e">
            <v>#N/A</v>
          </cell>
        </row>
        <row r="599">
          <cell r="A599">
            <v>40837</v>
          </cell>
          <cell r="B599">
            <v>40837</v>
          </cell>
          <cell r="C599" t="str">
            <v>Future</v>
          </cell>
          <cell r="D599" t="e">
            <v>#N/A</v>
          </cell>
          <cell r="E599">
            <v>12.133783783783775</v>
          </cell>
          <cell r="F599">
            <v>14.836486486486512</v>
          </cell>
          <cell r="G599">
            <v>14.295945945945951</v>
          </cell>
          <cell r="H599">
            <v>14.295945945945951</v>
          </cell>
          <cell r="I599" t="e">
            <v>#N/A</v>
          </cell>
          <cell r="J599" t="e">
            <v>#N/A</v>
          </cell>
          <cell r="K599" t="e">
            <v>#N/A</v>
          </cell>
          <cell r="L599" t="e">
            <v>#N/A</v>
          </cell>
          <cell r="M599" t="e">
            <v>#N/A</v>
          </cell>
          <cell r="N599" t="e">
            <v>#N/A</v>
          </cell>
          <cell r="O599" t="e">
            <v>#N/A</v>
          </cell>
          <cell r="P599">
            <v>14.52</v>
          </cell>
          <cell r="Q599" t="str">
            <v/>
          </cell>
          <cell r="R599" t="e">
            <v>#N/A</v>
          </cell>
        </row>
        <row r="600">
          <cell r="A600">
            <v>40840</v>
          </cell>
          <cell r="B600">
            <v>40840</v>
          </cell>
          <cell r="C600" t="str">
            <v>Future</v>
          </cell>
          <cell r="D600" t="e">
            <v>#N/A</v>
          </cell>
          <cell r="E600">
            <v>12.078378378378369</v>
          </cell>
          <cell r="F600">
            <v>14.848648648648675</v>
          </cell>
          <cell r="G600">
            <v>14.294594594594599</v>
          </cell>
          <cell r="H600">
            <v>14.294594594594599</v>
          </cell>
          <cell r="I600" t="e">
            <v>#N/A</v>
          </cell>
          <cell r="J600" t="e">
            <v>#N/A</v>
          </cell>
          <cell r="K600" t="e">
            <v>#N/A</v>
          </cell>
          <cell r="L600" t="e">
            <v>#N/A</v>
          </cell>
          <cell r="M600" t="e">
            <v>#N/A</v>
          </cell>
          <cell r="N600" t="e">
            <v>#N/A</v>
          </cell>
          <cell r="O600" t="e">
            <v>#N/A</v>
          </cell>
          <cell r="P600">
            <v>14.52</v>
          </cell>
          <cell r="Q600" t="str">
            <v/>
          </cell>
          <cell r="R600" t="e">
            <v>#N/A</v>
          </cell>
        </row>
        <row r="601">
          <cell r="A601">
            <v>40841</v>
          </cell>
          <cell r="B601">
            <v>40841</v>
          </cell>
          <cell r="C601" t="str">
            <v>Future</v>
          </cell>
          <cell r="D601" t="e">
            <v>#N/A</v>
          </cell>
          <cell r="E601">
            <v>12.022972972972964</v>
          </cell>
          <cell r="F601">
            <v>14.860810810810838</v>
          </cell>
          <cell r="G601">
            <v>14.293243243243248</v>
          </cell>
          <cell r="H601">
            <v>14.293243243243248</v>
          </cell>
          <cell r="I601" t="e">
            <v>#N/A</v>
          </cell>
          <cell r="J601" t="e">
            <v>#N/A</v>
          </cell>
          <cell r="K601" t="e">
            <v>#N/A</v>
          </cell>
          <cell r="L601" t="e">
            <v>#N/A</v>
          </cell>
          <cell r="M601" t="e">
            <v>#N/A</v>
          </cell>
          <cell r="N601" t="e">
            <v>#N/A</v>
          </cell>
          <cell r="O601" t="e">
            <v>#N/A</v>
          </cell>
          <cell r="P601">
            <v>14.52</v>
          </cell>
          <cell r="Q601" t="str">
            <v/>
          </cell>
          <cell r="R601" t="e">
            <v>#N/A</v>
          </cell>
        </row>
        <row r="602">
          <cell r="A602">
            <v>40842</v>
          </cell>
          <cell r="B602">
            <v>40842</v>
          </cell>
          <cell r="C602" t="str">
            <v>Future</v>
          </cell>
          <cell r="D602" t="e">
            <v>#N/A</v>
          </cell>
          <cell r="E602">
            <v>11.967567567567558</v>
          </cell>
          <cell r="F602">
            <v>14.872972972973001</v>
          </cell>
          <cell r="G602">
            <v>14.291891891891897</v>
          </cell>
          <cell r="H602">
            <v>14.291891891891897</v>
          </cell>
          <cell r="I602" t="e">
            <v>#N/A</v>
          </cell>
          <cell r="J602" t="e">
            <v>#N/A</v>
          </cell>
          <cell r="K602" t="e">
            <v>#N/A</v>
          </cell>
          <cell r="L602" t="e">
            <v>#N/A</v>
          </cell>
          <cell r="M602" t="e">
            <v>#N/A</v>
          </cell>
          <cell r="N602" t="e">
            <v>#N/A</v>
          </cell>
          <cell r="O602" t="e">
            <v>#N/A</v>
          </cell>
          <cell r="P602">
            <v>14.52</v>
          </cell>
          <cell r="Q602" t="str">
            <v/>
          </cell>
          <cell r="R602" t="e">
            <v>#N/A</v>
          </cell>
        </row>
        <row r="603">
          <cell r="A603">
            <v>40843</v>
          </cell>
          <cell r="B603">
            <v>40843</v>
          </cell>
          <cell r="C603" t="str">
            <v>Future</v>
          </cell>
          <cell r="D603" t="e">
            <v>#N/A</v>
          </cell>
          <cell r="E603">
            <v>11.912162162162153</v>
          </cell>
          <cell r="F603">
            <v>14.885135135135164</v>
          </cell>
          <cell r="G603">
            <v>14.290540540540546</v>
          </cell>
          <cell r="H603">
            <v>14.290540540540546</v>
          </cell>
          <cell r="I603" t="e">
            <v>#N/A</v>
          </cell>
          <cell r="J603" t="e">
            <v>#N/A</v>
          </cell>
          <cell r="K603" t="e">
            <v>#N/A</v>
          </cell>
          <cell r="L603" t="e">
            <v>#N/A</v>
          </cell>
          <cell r="M603" t="e">
            <v>#N/A</v>
          </cell>
          <cell r="N603" t="e">
            <v>#N/A</v>
          </cell>
          <cell r="O603" t="e">
            <v>#N/A</v>
          </cell>
          <cell r="P603">
            <v>14.52</v>
          </cell>
          <cell r="Q603" t="str">
            <v/>
          </cell>
          <cell r="R603" t="e">
            <v>#N/A</v>
          </cell>
        </row>
        <row r="604">
          <cell r="A604">
            <v>40844</v>
          </cell>
          <cell r="B604">
            <v>40844</v>
          </cell>
          <cell r="C604" t="str">
            <v>Future</v>
          </cell>
          <cell r="D604" t="e">
            <v>#N/A</v>
          </cell>
          <cell r="E604">
            <v>11.856756756756747</v>
          </cell>
          <cell r="F604">
            <v>14.897297297297326</v>
          </cell>
          <cell r="G604">
            <v>14.289189189189194</v>
          </cell>
          <cell r="H604">
            <v>14.289189189189194</v>
          </cell>
          <cell r="I604" t="e">
            <v>#N/A</v>
          </cell>
          <cell r="J604" t="e">
            <v>#N/A</v>
          </cell>
          <cell r="K604" t="e">
            <v>#N/A</v>
          </cell>
          <cell r="L604" t="e">
            <v>#N/A</v>
          </cell>
          <cell r="M604" t="e">
            <v>#N/A</v>
          </cell>
          <cell r="N604" t="e">
            <v>#N/A</v>
          </cell>
          <cell r="O604" t="e">
            <v>#N/A</v>
          </cell>
          <cell r="P604">
            <v>14.52</v>
          </cell>
          <cell r="Q604" t="str">
            <v/>
          </cell>
          <cell r="R604" t="e">
            <v>#N/A</v>
          </cell>
        </row>
        <row r="605">
          <cell r="A605">
            <v>40847</v>
          </cell>
          <cell r="B605">
            <v>40847</v>
          </cell>
          <cell r="C605" t="str">
            <v>Future</v>
          </cell>
          <cell r="D605" t="e">
            <v>#N/A</v>
          </cell>
          <cell r="E605">
            <v>11.801351351351341</v>
          </cell>
          <cell r="F605">
            <v>14.909459459459489</v>
          </cell>
          <cell r="G605">
            <v>14.287837837837843</v>
          </cell>
          <cell r="H605">
            <v>14.287837837837843</v>
          </cell>
          <cell r="I605" t="e">
            <v>#N/A</v>
          </cell>
          <cell r="J605" t="e">
            <v>#N/A</v>
          </cell>
          <cell r="K605" t="e">
            <v>#N/A</v>
          </cell>
          <cell r="L605" t="e">
            <v>#N/A</v>
          </cell>
          <cell r="M605" t="e">
            <v>#N/A</v>
          </cell>
          <cell r="N605" t="e">
            <v>#N/A</v>
          </cell>
          <cell r="O605" t="e">
            <v>#N/A</v>
          </cell>
          <cell r="P605">
            <v>14.52</v>
          </cell>
          <cell r="Q605" t="str">
            <v/>
          </cell>
          <cell r="R605" t="e">
            <v>#N/A</v>
          </cell>
        </row>
        <row r="606">
          <cell r="A606">
            <v>40848</v>
          </cell>
          <cell r="B606">
            <v>40848</v>
          </cell>
          <cell r="C606" t="str">
            <v>Future</v>
          </cell>
          <cell r="D606" t="e">
            <v>#N/A</v>
          </cell>
          <cell r="E606">
            <v>11.745945945945936</v>
          </cell>
          <cell r="F606">
            <v>14.921621621621652</v>
          </cell>
          <cell r="G606">
            <v>14.286486486486492</v>
          </cell>
          <cell r="H606">
            <v>14.286486486486492</v>
          </cell>
          <cell r="I606" t="e">
            <v>#N/A</v>
          </cell>
          <cell r="J606" t="e">
            <v>#N/A</v>
          </cell>
          <cell r="K606" t="e">
            <v>#N/A</v>
          </cell>
          <cell r="L606" t="e">
            <v>#N/A</v>
          </cell>
          <cell r="M606" t="e">
            <v>#N/A</v>
          </cell>
          <cell r="N606" t="e">
            <v>#N/A</v>
          </cell>
          <cell r="O606" t="e">
            <v>#N/A</v>
          </cell>
          <cell r="P606">
            <v>14.52</v>
          </cell>
          <cell r="Q606" t="str">
            <v/>
          </cell>
          <cell r="R606" t="e">
            <v>#N/A</v>
          </cell>
        </row>
        <row r="607">
          <cell r="A607">
            <v>40849</v>
          </cell>
          <cell r="B607">
            <v>40849</v>
          </cell>
          <cell r="C607" t="str">
            <v>Future</v>
          </cell>
          <cell r="D607" t="e">
            <v>#N/A</v>
          </cell>
          <cell r="E607">
            <v>11.69054054054053</v>
          </cell>
          <cell r="F607">
            <v>14.933783783783815</v>
          </cell>
          <cell r="G607">
            <v>14.285135135135141</v>
          </cell>
          <cell r="H607">
            <v>14.285135135135141</v>
          </cell>
          <cell r="I607" t="e">
            <v>#N/A</v>
          </cell>
          <cell r="J607" t="e">
            <v>#N/A</v>
          </cell>
          <cell r="K607" t="e">
            <v>#N/A</v>
          </cell>
          <cell r="L607" t="e">
            <v>#N/A</v>
          </cell>
          <cell r="M607" t="e">
            <v>#N/A</v>
          </cell>
          <cell r="N607" t="e">
            <v>#N/A</v>
          </cell>
          <cell r="O607" t="e">
            <v>#N/A</v>
          </cell>
          <cell r="P607">
            <v>14.52</v>
          </cell>
          <cell r="Q607" t="str">
            <v/>
          </cell>
          <cell r="R607" t="e">
            <v>#N/A</v>
          </cell>
        </row>
        <row r="608">
          <cell r="A608">
            <v>40850</v>
          </cell>
          <cell r="B608">
            <v>40850</v>
          </cell>
          <cell r="C608" t="str">
            <v>Future</v>
          </cell>
          <cell r="D608" t="e">
            <v>#N/A</v>
          </cell>
          <cell r="E608">
            <v>11.635135135135124</v>
          </cell>
          <cell r="F608">
            <v>14.945945945945978</v>
          </cell>
          <cell r="G608">
            <v>14.28378378378379</v>
          </cell>
          <cell r="H608">
            <v>14.28378378378379</v>
          </cell>
          <cell r="I608" t="e">
            <v>#N/A</v>
          </cell>
          <cell r="J608" t="e">
            <v>#N/A</v>
          </cell>
          <cell r="K608" t="e">
            <v>#N/A</v>
          </cell>
          <cell r="L608" t="e">
            <v>#N/A</v>
          </cell>
          <cell r="M608" t="e">
            <v>#N/A</v>
          </cell>
          <cell r="N608" t="e">
            <v>#N/A</v>
          </cell>
          <cell r="O608" t="e">
            <v>#N/A</v>
          </cell>
          <cell r="P608">
            <v>14.52</v>
          </cell>
          <cell r="Q608" t="str">
            <v/>
          </cell>
          <cell r="R608" t="e">
            <v>#N/A</v>
          </cell>
        </row>
        <row r="609">
          <cell r="A609">
            <v>40851</v>
          </cell>
          <cell r="B609">
            <v>40851</v>
          </cell>
          <cell r="C609" t="str">
            <v>Future</v>
          </cell>
          <cell r="D609" t="e">
            <v>#N/A</v>
          </cell>
          <cell r="E609">
            <v>11.579729729729719</v>
          </cell>
          <cell r="F609">
            <v>14.95810810810814</v>
          </cell>
          <cell r="G609">
            <v>14.282432432432438</v>
          </cell>
          <cell r="H609">
            <v>14.282432432432438</v>
          </cell>
          <cell r="I609" t="e">
            <v>#N/A</v>
          </cell>
          <cell r="J609" t="e">
            <v>#N/A</v>
          </cell>
          <cell r="K609" t="e">
            <v>#N/A</v>
          </cell>
          <cell r="L609" t="e">
            <v>#N/A</v>
          </cell>
          <cell r="M609" t="e">
            <v>#N/A</v>
          </cell>
          <cell r="N609" t="e">
            <v>#N/A</v>
          </cell>
          <cell r="O609" t="e">
            <v>#N/A</v>
          </cell>
          <cell r="P609">
            <v>14.52</v>
          </cell>
          <cell r="Q609" t="str">
            <v/>
          </cell>
          <cell r="R609" t="e">
            <v>#N/A</v>
          </cell>
        </row>
        <row r="610">
          <cell r="A610">
            <v>40854</v>
          </cell>
          <cell r="B610">
            <v>40854</v>
          </cell>
          <cell r="C610" t="str">
            <v>Future</v>
          </cell>
          <cell r="D610" t="e">
            <v>#N/A</v>
          </cell>
          <cell r="E610">
            <v>11.524324324324313</v>
          </cell>
          <cell r="F610">
            <v>14.970270270270303</v>
          </cell>
          <cell r="G610">
            <v>14.281081081081087</v>
          </cell>
          <cell r="H610">
            <v>14.281081081081087</v>
          </cell>
          <cell r="I610" t="e">
            <v>#N/A</v>
          </cell>
          <cell r="J610" t="e">
            <v>#N/A</v>
          </cell>
          <cell r="K610" t="e">
            <v>#N/A</v>
          </cell>
          <cell r="L610" t="e">
            <v>#N/A</v>
          </cell>
          <cell r="M610" t="e">
            <v>#N/A</v>
          </cell>
          <cell r="N610" t="e">
            <v>#N/A</v>
          </cell>
          <cell r="O610" t="e">
            <v>#N/A</v>
          </cell>
          <cell r="P610">
            <v>14.52</v>
          </cell>
          <cell r="Q610" t="str">
            <v/>
          </cell>
          <cell r="R610" t="e">
            <v>#N/A</v>
          </cell>
        </row>
        <row r="611">
          <cell r="A611">
            <v>40855</v>
          </cell>
          <cell r="B611">
            <v>40855</v>
          </cell>
          <cell r="C611" t="str">
            <v>Future</v>
          </cell>
          <cell r="D611" t="e">
            <v>#N/A</v>
          </cell>
          <cell r="E611">
            <v>11.468918918918908</v>
          </cell>
          <cell r="F611">
            <v>14.982432432432466</v>
          </cell>
          <cell r="G611">
            <v>14.279729729729736</v>
          </cell>
          <cell r="H611">
            <v>14.279729729729736</v>
          </cell>
          <cell r="I611" t="e">
            <v>#N/A</v>
          </cell>
          <cell r="J611" t="e">
            <v>#N/A</v>
          </cell>
          <cell r="K611" t="e">
            <v>#N/A</v>
          </cell>
          <cell r="L611" t="e">
            <v>#N/A</v>
          </cell>
          <cell r="M611" t="e">
            <v>#N/A</v>
          </cell>
          <cell r="N611" t="e">
            <v>#N/A</v>
          </cell>
          <cell r="O611" t="e">
            <v>#N/A</v>
          </cell>
          <cell r="P611">
            <v>14.52</v>
          </cell>
          <cell r="Q611" t="str">
            <v/>
          </cell>
          <cell r="R611" t="e">
            <v>#N/A</v>
          </cell>
        </row>
        <row r="612">
          <cell r="A612">
            <v>40856</v>
          </cell>
          <cell r="B612">
            <v>40856</v>
          </cell>
          <cell r="C612" t="str">
            <v>Future</v>
          </cell>
          <cell r="D612" t="e">
            <v>#N/A</v>
          </cell>
          <cell r="E612">
            <v>11.413513513513502</v>
          </cell>
          <cell r="F612">
            <v>14.994594594594629</v>
          </cell>
          <cell r="G612">
            <v>14.278378378378385</v>
          </cell>
          <cell r="H612">
            <v>14.278378378378385</v>
          </cell>
          <cell r="I612" t="e">
            <v>#N/A</v>
          </cell>
          <cell r="J612" t="e">
            <v>#N/A</v>
          </cell>
          <cell r="K612" t="e">
            <v>#N/A</v>
          </cell>
          <cell r="L612" t="e">
            <v>#N/A</v>
          </cell>
          <cell r="M612" t="e">
            <v>#N/A</v>
          </cell>
          <cell r="N612" t="e">
            <v>#N/A</v>
          </cell>
          <cell r="O612" t="e">
            <v>#N/A</v>
          </cell>
          <cell r="P612">
            <v>14.52</v>
          </cell>
          <cell r="Q612" t="str">
            <v/>
          </cell>
          <cell r="R612" t="e">
            <v>#N/A</v>
          </cell>
        </row>
        <row r="613">
          <cell r="A613">
            <v>40857</v>
          </cell>
          <cell r="B613">
            <v>40857</v>
          </cell>
          <cell r="C613" t="str">
            <v>Future</v>
          </cell>
          <cell r="D613" t="e">
            <v>#N/A</v>
          </cell>
          <cell r="E613">
            <v>11.358108108108096</v>
          </cell>
          <cell r="F613">
            <v>15.006756756756792</v>
          </cell>
          <cell r="G613">
            <v>14.277027027027033</v>
          </cell>
          <cell r="H613">
            <v>14.277027027027033</v>
          </cell>
          <cell r="I613" t="e">
            <v>#N/A</v>
          </cell>
          <cell r="J613" t="e">
            <v>#N/A</v>
          </cell>
          <cell r="K613" t="e">
            <v>#N/A</v>
          </cell>
          <cell r="L613" t="e">
            <v>#N/A</v>
          </cell>
          <cell r="M613" t="e">
            <v>#N/A</v>
          </cell>
          <cell r="N613" t="e">
            <v>#N/A</v>
          </cell>
          <cell r="O613" t="e">
            <v>#N/A</v>
          </cell>
          <cell r="P613">
            <v>14.52</v>
          </cell>
          <cell r="Q613" t="str">
            <v/>
          </cell>
          <cell r="R613" t="e">
            <v>#N/A</v>
          </cell>
        </row>
        <row r="614">
          <cell r="A614">
            <v>40858</v>
          </cell>
          <cell r="B614">
            <v>40858</v>
          </cell>
          <cell r="C614" t="str">
            <v>Future</v>
          </cell>
          <cell r="D614" t="e">
            <v>#N/A</v>
          </cell>
          <cell r="E614">
            <v>11.302702702702691</v>
          </cell>
          <cell r="F614">
            <v>15.018918918918954</v>
          </cell>
          <cell r="G614">
            <v>14.275675675675682</v>
          </cell>
          <cell r="H614">
            <v>14.275675675675682</v>
          </cell>
          <cell r="I614" t="e">
            <v>#N/A</v>
          </cell>
          <cell r="J614" t="e">
            <v>#N/A</v>
          </cell>
          <cell r="K614" t="e">
            <v>#N/A</v>
          </cell>
          <cell r="L614" t="e">
            <v>#N/A</v>
          </cell>
          <cell r="M614" t="e">
            <v>#N/A</v>
          </cell>
          <cell r="N614" t="e">
            <v>#N/A</v>
          </cell>
          <cell r="O614" t="e">
            <v>#N/A</v>
          </cell>
          <cell r="P614">
            <v>14.52</v>
          </cell>
          <cell r="Q614" t="str">
            <v/>
          </cell>
          <cell r="R614" t="e">
            <v>#N/A</v>
          </cell>
        </row>
        <row r="615">
          <cell r="A615">
            <v>40861</v>
          </cell>
          <cell r="B615">
            <v>40861</v>
          </cell>
          <cell r="C615" t="str">
            <v>Future</v>
          </cell>
          <cell r="D615" t="e">
            <v>#N/A</v>
          </cell>
          <cell r="E615">
            <v>11.247297297297285</v>
          </cell>
          <cell r="F615">
            <v>15.031081081081117</v>
          </cell>
          <cell r="G615">
            <v>14.274324324324331</v>
          </cell>
          <cell r="H615">
            <v>14.274324324324331</v>
          </cell>
          <cell r="I615" t="e">
            <v>#N/A</v>
          </cell>
          <cell r="J615" t="e">
            <v>#N/A</v>
          </cell>
          <cell r="K615" t="e">
            <v>#N/A</v>
          </cell>
          <cell r="L615" t="e">
            <v>#N/A</v>
          </cell>
          <cell r="M615" t="e">
            <v>#N/A</v>
          </cell>
          <cell r="N615" t="e">
            <v>#N/A</v>
          </cell>
          <cell r="O615" t="e">
            <v>#N/A</v>
          </cell>
          <cell r="P615">
            <v>14.52</v>
          </cell>
          <cell r="Q615" t="str">
            <v/>
          </cell>
          <cell r="R615" t="e">
            <v>#N/A</v>
          </cell>
        </row>
        <row r="616">
          <cell r="A616">
            <v>40862</v>
          </cell>
          <cell r="B616">
            <v>40862</v>
          </cell>
          <cell r="C616" t="str">
            <v>Future</v>
          </cell>
          <cell r="D616" t="e">
            <v>#N/A</v>
          </cell>
          <cell r="E616">
            <v>11.191891891891879</v>
          </cell>
          <cell r="F616">
            <v>15.04324324324328</v>
          </cell>
          <cell r="G616">
            <v>14.27297297297298</v>
          </cell>
          <cell r="H616">
            <v>14.27297297297298</v>
          </cell>
          <cell r="I616" t="e">
            <v>#N/A</v>
          </cell>
          <cell r="J616" t="e">
            <v>#N/A</v>
          </cell>
          <cell r="K616" t="e">
            <v>#N/A</v>
          </cell>
          <cell r="L616" t="e">
            <v>#N/A</v>
          </cell>
          <cell r="M616" t="e">
            <v>#N/A</v>
          </cell>
          <cell r="N616" t="e">
            <v>#N/A</v>
          </cell>
          <cell r="O616" t="e">
            <v>#N/A</v>
          </cell>
          <cell r="P616">
            <v>14.52</v>
          </cell>
          <cell r="Q616" t="str">
            <v/>
          </cell>
          <cell r="R616" t="e">
            <v>#N/A</v>
          </cell>
        </row>
        <row r="617">
          <cell r="A617">
            <v>40863</v>
          </cell>
          <cell r="B617">
            <v>40863</v>
          </cell>
          <cell r="C617" t="str">
            <v>Future</v>
          </cell>
          <cell r="D617" t="e">
            <v>#N/A</v>
          </cell>
          <cell r="E617">
            <v>11.136486486486474</v>
          </cell>
          <cell r="F617">
            <v>15.055405405405443</v>
          </cell>
          <cell r="G617">
            <v>14.271621621621629</v>
          </cell>
          <cell r="H617">
            <v>14.271621621621629</v>
          </cell>
          <cell r="I617" t="e">
            <v>#N/A</v>
          </cell>
          <cell r="J617" t="e">
            <v>#N/A</v>
          </cell>
          <cell r="K617" t="e">
            <v>#N/A</v>
          </cell>
          <cell r="L617" t="e">
            <v>#N/A</v>
          </cell>
          <cell r="M617" t="e">
            <v>#N/A</v>
          </cell>
          <cell r="N617" t="e">
            <v>#N/A</v>
          </cell>
          <cell r="O617" t="e">
            <v>#N/A</v>
          </cell>
          <cell r="P617">
            <v>14.52</v>
          </cell>
          <cell r="Q617" t="str">
            <v/>
          </cell>
          <cell r="R617" t="e">
            <v>#N/A</v>
          </cell>
        </row>
        <row r="618">
          <cell r="A618">
            <v>40864</v>
          </cell>
          <cell r="B618">
            <v>40864</v>
          </cell>
          <cell r="C618" t="str">
            <v>Future</v>
          </cell>
          <cell r="D618" t="e">
            <v>#N/A</v>
          </cell>
          <cell r="E618">
            <v>11.081081081081068</v>
          </cell>
          <cell r="F618">
            <v>15.067567567567606</v>
          </cell>
          <cell r="G618">
            <v>14.270270270270277</v>
          </cell>
          <cell r="H618">
            <v>14.270270270270277</v>
          </cell>
          <cell r="I618" t="e">
            <v>#N/A</v>
          </cell>
          <cell r="J618" t="e">
            <v>#N/A</v>
          </cell>
          <cell r="K618" t="e">
            <v>#N/A</v>
          </cell>
          <cell r="L618" t="e">
            <v>#N/A</v>
          </cell>
          <cell r="M618" t="e">
            <v>#N/A</v>
          </cell>
          <cell r="N618" t="e">
            <v>#N/A</v>
          </cell>
          <cell r="O618" t="e">
            <v>#N/A</v>
          </cell>
          <cell r="P618">
            <v>14.52</v>
          </cell>
          <cell r="Q618" t="str">
            <v/>
          </cell>
          <cell r="R618" t="e">
            <v>#N/A</v>
          </cell>
        </row>
        <row r="619">
          <cell r="A619">
            <v>40865</v>
          </cell>
          <cell r="B619">
            <v>40865</v>
          </cell>
          <cell r="C619" t="str">
            <v>Future</v>
          </cell>
          <cell r="D619" t="e">
            <v>#N/A</v>
          </cell>
          <cell r="E619">
            <v>11.025675675675663</v>
          </cell>
          <cell r="F619">
            <v>15.079729729729769</v>
          </cell>
          <cell r="G619">
            <v>14.268918918918926</v>
          </cell>
          <cell r="H619">
            <v>14.268918918918926</v>
          </cell>
          <cell r="I619" t="e">
            <v>#N/A</v>
          </cell>
          <cell r="J619" t="e">
            <v>#N/A</v>
          </cell>
          <cell r="K619" t="e">
            <v>#N/A</v>
          </cell>
          <cell r="L619" t="e">
            <v>#N/A</v>
          </cell>
          <cell r="M619" t="e">
            <v>#N/A</v>
          </cell>
          <cell r="N619" t="e">
            <v>#N/A</v>
          </cell>
          <cell r="O619" t="e">
            <v>#N/A</v>
          </cell>
          <cell r="P619">
            <v>14.52</v>
          </cell>
          <cell r="Q619" t="str">
            <v/>
          </cell>
          <cell r="R619" t="e">
            <v>#N/A</v>
          </cell>
        </row>
        <row r="620">
          <cell r="A620">
            <v>40868</v>
          </cell>
          <cell r="B620">
            <v>40868</v>
          </cell>
          <cell r="C620" t="str">
            <v>Future</v>
          </cell>
          <cell r="D620" t="e">
            <v>#N/A</v>
          </cell>
          <cell r="E620">
            <v>10.970270270270257</v>
          </cell>
          <cell r="F620">
            <v>15.091891891891931</v>
          </cell>
          <cell r="G620">
            <v>14.267567567567575</v>
          </cell>
          <cell r="H620">
            <v>14.267567567567575</v>
          </cell>
          <cell r="I620" t="e">
            <v>#N/A</v>
          </cell>
          <cell r="J620" t="e">
            <v>#N/A</v>
          </cell>
          <cell r="K620" t="e">
            <v>#N/A</v>
          </cell>
          <cell r="L620" t="e">
            <v>#N/A</v>
          </cell>
          <cell r="M620" t="e">
            <v>#N/A</v>
          </cell>
          <cell r="N620" t="e">
            <v>#N/A</v>
          </cell>
          <cell r="O620" t="e">
            <v>#N/A</v>
          </cell>
          <cell r="P620">
            <v>14.52</v>
          </cell>
          <cell r="Q620" t="str">
            <v/>
          </cell>
          <cell r="R620" t="e">
            <v>#N/A</v>
          </cell>
        </row>
        <row r="621">
          <cell r="A621">
            <v>40869</v>
          </cell>
          <cell r="B621">
            <v>40869</v>
          </cell>
          <cell r="C621" t="str">
            <v>Future</v>
          </cell>
          <cell r="D621" t="e">
            <v>#N/A</v>
          </cell>
          <cell r="E621">
            <v>10.914864864864851</v>
          </cell>
          <cell r="F621">
            <v>15.104054054054094</v>
          </cell>
          <cell r="G621">
            <v>14.266216216216224</v>
          </cell>
          <cell r="H621">
            <v>14.266216216216224</v>
          </cell>
          <cell r="I621" t="e">
            <v>#N/A</v>
          </cell>
          <cell r="J621" t="e">
            <v>#N/A</v>
          </cell>
          <cell r="K621" t="e">
            <v>#N/A</v>
          </cell>
          <cell r="L621" t="e">
            <v>#N/A</v>
          </cell>
          <cell r="M621" t="e">
            <v>#N/A</v>
          </cell>
          <cell r="N621" t="e">
            <v>#N/A</v>
          </cell>
          <cell r="O621" t="e">
            <v>#N/A</v>
          </cell>
          <cell r="P621">
            <v>14.52</v>
          </cell>
          <cell r="Q621" t="str">
            <v/>
          </cell>
          <cell r="R621" t="e">
            <v>#N/A</v>
          </cell>
        </row>
        <row r="622">
          <cell r="A622">
            <v>40870</v>
          </cell>
          <cell r="B622">
            <v>40870</v>
          </cell>
          <cell r="C622" t="str">
            <v>Future</v>
          </cell>
          <cell r="D622" t="e">
            <v>#N/A</v>
          </cell>
          <cell r="E622">
            <v>10.859459459459446</v>
          </cell>
          <cell r="F622">
            <v>15.116216216216257</v>
          </cell>
          <cell r="G622">
            <v>14.264864864864872</v>
          </cell>
          <cell r="H622">
            <v>14.264864864864872</v>
          </cell>
          <cell r="I622" t="e">
            <v>#N/A</v>
          </cell>
          <cell r="J622" t="e">
            <v>#N/A</v>
          </cell>
          <cell r="K622" t="e">
            <v>#N/A</v>
          </cell>
          <cell r="L622" t="e">
            <v>#N/A</v>
          </cell>
          <cell r="M622" t="e">
            <v>#N/A</v>
          </cell>
          <cell r="N622" t="e">
            <v>#N/A</v>
          </cell>
          <cell r="O622" t="e">
            <v>#N/A</v>
          </cell>
          <cell r="P622">
            <v>14.52</v>
          </cell>
          <cell r="Q622" t="str">
            <v/>
          </cell>
          <cell r="R622" t="e">
            <v>#N/A</v>
          </cell>
        </row>
        <row r="623">
          <cell r="A623">
            <v>40872</v>
          </cell>
          <cell r="B623">
            <v>40872</v>
          </cell>
          <cell r="C623" t="str">
            <v>Future</v>
          </cell>
          <cell r="D623" t="e">
            <v>#N/A</v>
          </cell>
          <cell r="E623">
            <v>10.80405405405404</v>
          </cell>
          <cell r="F623">
            <v>15.12837837837842</v>
          </cell>
          <cell r="G623">
            <v>14.263513513513521</v>
          </cell>
          <cell r="H623">
            <v>14.263513513513521</v>
          </cell>
          <cell r="I623" t="e">
            <v>#N/A</v>
          </cell>
          <cell r="J623" t="e">
            <v>#N/A</v>
          </cell>
          <cell r="K623" t="e">
            <v>#N/A</v>
          </cell>
          <cell r="L623" t="e">
            <v>#N/A</v>
          </cell>
          <cell r="M623" t="e">
            <v>#N/A</v>
          </cell>
          <cell r="N623" t="e">
            <v>#N/A</v>
          </cell>
          <cell r="O623" t="e">
            <v>#N/A</v>
          </cell>
          <cell r="P623">
            <v>14.52</v>
          </cell>
          <cell r="Q623" t="str">
            <v/>
          </cell>
          <cell r="R623" t="e">
            <v>#N/A</v>
          </cell>
        </row>
        <row r="624">
          <cell r="A624">
            <v>40875</v>
          </cell>
          <cell r="B624">
            <v>40875</v>
          </cell>
          <cell r="C624" t="str">
            <v>Future</v>
          </cell>
          <cell r="D624" t="e">
            <v>#N/A</v>
          </cell>
          <cell r="E624">
            <v>10.748648648648635</v>
          </cell>
          <cell r="F624">
            <v>15.140540540540583</v>
          </cell>
          <cell r="G624">
            <v>14.26216216216217</v>
          </cell>
          <cell r="H624">
            <v>14.26216216216217</v>
          </cell>
          <cell r="I624" t="e">
            <v>#N/A</v>
          </cell>
          <cell r="J624" t="e">
            <v>#N/A</v>
          </cell>
          <cell r="K624" t="e">
            <v>#N/A</v>
          </cell>
          <cell r="L624" t="e">
            <v>#N/A</v>
          </cell>
          <cell r="M624" t="e">
            <v>#N/A</v>
          </cell>
          <cell r="N624" t="e">
            <v>#N/A</v>
          </cell>
          <cell r="O624" t="e">
            <v>#N/A</v>
          </cell>
          <cell r="P624">
            <v>14.52</v>
          </cell>
          <cell r="Q624" t="str">
            <v/>
          </cell>
          <cell r="R624" t="e">
            <v>#N/A</v>
          </cell>
        </row>
        <row r="625">
          <cell r="A625">
            <v>40876</v>
          </cell>
          <cell r="B625">
            <v>40876</v>
          </cell>
          <cell r="C625" t="str">
            <v>Future</v>
          </cell>
          <cell r="D625" t="e">
            <v>#N/A</v>
          </cell>
          <cell r="E625">
            <v>10.693243243243229</v>
          </cell>
          <cell r="F625">
            <v>15.152702702702745</v>
          </cell>
          <cell r="G625">
            <v>14.260810810810819</v>
          </cell>
          <cell r="H625">
            <v>14.260810810810819</v>
          </cell>
          <cell r="I625" t="e">
            <v>#N/A</v>
          </cell>
          <cell r="J625" t="e">
            <v>#N/A</v>
          </cell>
          <cell r="K625" t="e">
            <v>#N/A</v>
          </cell>
          <cell r="L625" t="e">
            <v>#N/A</v>
          </cell>
          <cell r="M625" t="e">
            <v>#N/A</v>
          </cell>
          <cell r="N625" t="e">
            <v>#N/A</v>
          </cell>
          <cell r="O625" t="e">
            <v>#N/A</v>
          </cell>
          <cell r="P625">
            <v>14.52</v>
          </cell>
          <cell r="Q625" t="str">
            <v/>
          </cell>
          <cell r="R625" t="e">
            <v>#N/A</v>
          </cell>
        </row>
        <row r="626">
          <cell r="A626">
            <v>40877</v>
          </cell>
          <cell r="B626">
            <v>40877</v>
          </cell>
          <cell r="C626" t="str">
            <v>Future</v>
          </cell>
          <cell r="D626" t="e">
            <v>#N/A</v>
          </cell>
          <cell r="E626">
            <v>10.637837837837823</v>
          </cell>
          <cell r="F626">
            <v>15.164864864864908</v>
          </cell>
          <cell r="G626">
            <v>14.259459459459467</v>
          </cell>
          <cell r="H626">
            <v>14.259459459459467</v>
          </cell>
          <cell r="I626" t="e">
            <v>#N/A</v>
          </cell>
          <cell r="J626" t="e">
            <v>#N/A</v>
          </cell>
          <cell r="K626" t="e">
            <v>#N/A</v>
          </cell>
          <cell r="L626" t="e">
            <v>#N/A</v>
          </cell>
          <cell r="M626" t="e">
            <v>#N/A</v>
          </cell>
          <cell r="N626" t="e">
            <v>#N/A</v>
          </cell>
          <cell r="O626" t="e">
            <v>#N/A</v>
          </cell>
          <cell r="P626">
            <v>14.52</v>
          </cell>
          <cell r="Q626" t="str">
            <v/>
          </cell>
          <cell r="R626" t="e">
            <v>#N/A</v>
          </cell>
        </row>
        <row r="627">
          <cell r="A627">
            <v>40878</v>
          </cell>
          <cell r="B627">
            <v>40878</v>
          </cell>
          <cell r="C627" t="str">
            <v>Future</v>
          </cell>
          <cell r="D627" t="e">
            <v>#N/A</v>
          </cell>
          <cell r="E627">
            <v>10.582432432432418</v>
          </cell>
          <cell r="F627">
            <v>15.177027027027071</v>
          </cell>
          <cell r="G627">
            <v>14.258108108108116</v>
          </cell>
          <cell r="H627">
            <v>14.258108108108116</v>
          </cell>
          <cell r="I627" t="e">
            <v>#N/A</v>
          </cell>
          <cell r="J627" t="e">
            <v>#N/A</v>
          </cell>
          <cell r="K627" t="e">
            <v>#N/A</v>
          </cell>
          <cell r="L627" t="e">
            <v>#N/A</v>
          </cell>
          <cell r="M627" t="e">
            <v>#N/A</v>
          </cell>
          <cell r="N627" t="e">
            <v>#N/A</v>
          </cell>
          <cell r="O627" t="e">
            <v>#N/A</v>
          </cell>
          <cell r="P627">
            <v>14.52</v>
          </cell>
          <cell r="Q627" t="str">
            <v/>
          </cell>
          <cell r="R627" t="e">
            <v>#N/A</v>
          </cell>
        </row>
        <row r="628">
          <cell r="A628">
            <v>40879</v>
          </cell>
          <cell r="B628">
            <v>40879</v>
          </cell>
          <cell r="C628" t="str">
            <v>Future</v>
          </cell>
          <cell r="D628" t="e">
            <v>#N/A</v>
          </cell>
          <cell r="E628">
            <v>10.527027027027012</v>
          </cell>
          <cell r="F628">
            <v>15.189189189189234</v>
          </cell>
          <cell r="G628">
            <v>14.256756756756765</v>
          </cell>
          <cell r="H628">
            <v>14.256756756756765</v>
          </cell>
          <cell r="I628" t="e">
            <v>#N/A</v>
          </cell>
          <cell r="J628" t="e">
            <v>#N/A</v>
          </cell>
          <cell r="K628" t="e">
            <v>#N/A</v>
          </cell>
          <cell r="L628" t="e">
            <v>#N/A</v>
          </cell>
          <cell r="M628" t="e">
            <v>#N/A</v>
          </cell>
          <cell r="N628" t="e">
            <v>#N/A</v>
          </cell>
          <cell r="O628" t="e">
            <v>#N/A</v>
          </cell>
          <cell r="P628">
            <v>14.52</v>
          </cell>
          <cell r="Q628" t="str">
            <v/>
          </cell>
          <cell r="R628" t="e">
            <v>#N/A</v>
          </cell>
        </row>
        <row r="629">
          <cell r="A629">
            <v>40882</v>
          </cell>
          <cell r="B629">
            <v>40882</v>
          </cell>
          <cell r="C629" t="str">
            <v>Future</v>
          </cell>
          <cell r="D629" t="e">
            <v>#N/A</v>
          </cell>
          <cell r="E629">
            <v>10.471621621621606</v>
          </cell>
          <cell r="F629">
            <v>15.201351351351397</v>
          </cell>
          <cell r="G629">
            <v>14.255405405405414</v>
          </cell>
          <cell r="H629">
            <v>14.255405405405414</v>
          </cell>
          <cell r="I629" t="e">
            <v>#N/A</v>
          </cell>
          <cell r="J629" t="e">
            <v>#N/A</v>
          </cell>
          <cell r="K629" t="e">
            <v>#N/A</v>
          </cell>
          <cell r="L629" t="e">
            <v>#N/A</v>
          </cell>
          <cell r="M629" t="e">
            <v>#N/A</v>
          </cell>
          <cell r="N629" t="e">
            <v>#N/A</v>
          </cell>
          <cell r="O629" t="e">
            <v>#N/A</v>
          </cell>
          <cell r="P629">
            <v>14.52</v>
          </cell>
          <cell r="Q629" t="str">
            <v/>
          </cell>
          <cell r="R629" t="e">
            <v>#N/A</v>
          </cell>
        </row>
        <row r="630">
          <cell r="A630">
            <v>40883</v>
          </cell>
          <cell r="B630">
            <v>40883</v>
          </cell>
          <cell r="C630" t="str">
            <v>Future</v>
          </cell>
          <cell r="D630" t="e">
            <v>#N/A</v>
          </cell>
          <cell r="E630">
            <v>10.416216216216201</v>
          </cell>
          <cell r="F630">
            <v>15.21351351351356</v>
          </cell>
          <cell r="G630">
            <v>14.254054054054063</v>
          </cell>
          <cell r="H630">
            <v>14.254054054054063</v>
          </cell>
          <cell r="I630" t="e">
            <v>#N/A</v>
          </cell>
          <cell r="J630" t="e">
            <v>#N/A</v>
          </cell>
          <cell r="K630" t="e">
            <v>#N/A</v>
          </cell>
          <cell r="L630" t="e">
            <v>#N/A</v>
          </cell>
          <cell r="M630" t="e">
            <v>#N/A</v>
          </cell>
          <cell r="N630" t="e">
            <v>#N/A</v>
          </cell>
          <cell r="O630" t="e">
            <v>#N/A</v>
          </cell>
          <cell r="P630">
            <v>14.52</v>
          </cell>
          <cell r="Q630" t="str">
            <v/>
          </cell>
          <cell r="R630" t="e">
            <v>#N/A</v>
          </cell>
        </row>
        <row r="631">
          <cell r="A631">
            <v>40884</v>
          </cell>
          <cell r="B631">
            <v>40884</v>
          </cell>
          <cell r="C631" t="str">
            <v>Future</v>
          </cell>
          <cell r="D631" t="e">
            <v>#N/A</v>
          </cell>
          <cell r="E631">
            <v>10.360810810810795</v>
          </cell>
          <cell r="F631">
            <v>15.225675675675722</v>
          </cell>
          <cell r="G631">
            <v>14.252702702702711</v>
          </cell>
          <cell r="H631">
            <v>14.252702702702711</v>
          </cell>
          <cell r="I631" t="e">
            <v>#N/A</v>
          </cell>
          <cell r="J631" t="e">
            <v>#N/A</v>
          </cell>
          <cell r="K631" t="e">
            <v>#N/A</v>
          </cell>
          <cell r="L631" t="e">
            <v>#N/A</v>
          </cell>
          <cell r="M631" t="e">
            <v>#N/A</v>
          </cell>
          <cell r="N631" t="e">
            <v>#N/A</v>
          </cell>
          <cell r="O631" t="e">
            <v>#N/A</v>
          </cell>
          <cell r="P631">
            <v>14.52</v>
          </cell>
          <cell r="Q631" t="str">
            <v/>
          </cell>
          <cell r="R631" t="e">
            <v>#N/A</v>
          </cell>
        </row>
        <row r="632">
          <cell r="A632">
            <v>40885</v>
          </cell>
          <cell r="B632">
            <v>40885</v>
          </cell>
          <cell r="C632" t="str">
            <v>Future</v>
          </cell>
          <cell r="D632" t="e">
            <v>#N/A</v>
          </cell>
          <cell r="E632">
            <v>10.30540540540539</v>
          </cell>
          <cell r="F632">
            <v>15.237837837837885</v>
          </cell>
          <cell r="G632">
            <v>14.25135135135136</v>
          </cell>
          <cell r="H632">
            <v>14.25135135135136</v>
          </cell>
          <cell r="I632" t="e">
            <v>#N/A</v>
          </cell>
          <cell r="J632" t="e">
            <v>#N/A</v>
          </cell>
          <cell r="K632" t="e">
            <v>#N/A</v>
          </cell>
          <cell r="L632" t="e">
            <v>#N/A</v>
          </cell>
          <cell r="M632" t="e">
            <v>#N/A</v>
          </cell>
          <cell r="N632" t="e">
            <v>#N/A</v>
          </cell>
          <cell r="O632" t="e">
            <v>#N/A</v>
          </cell>
          <cell r="P632">
            <v>14.52</v>
          </cell>
          <cell r="Q632" t="str">
            <v/>
          </cell>
          <cell r="R632" t="e">
            <v>#N/A</v>
          </cell>
        </row>
        <row r="633">
          <cell r="A633">
            <v>40886</v>
          </cell>
          <cell r="B633">
            <v>40886</v>
          </cell>
          <cell r="C633" t="str">
            <v>Future</v>
          </cell>
          <cell r="D633" t="e">
            <v>#N/A</v>
          </cell>
          <cell r="E633">
            <v>10.249999999999984</v>
          </cell>
          <cell r="F633">
            <v>15.250000000000048</v>
          </cell>
          <cell r="G633">
            <v>14.250000000000009</v>
          </cell>
          <cell r="H633">
            <v>14.250000000000009</v>
          </cell>
          <cell r="I633" t="e">
            <v>#N/A</v>
          </cell>
          <cell r="J633" t="e">
            <v>#N/A</v>
          </cell>
          <cell r="K633" t="e">
            <v>#N/A</v>
          </cell>
          <cell r="L633" t="e">
            <v>#N/A</v>
          </cell>
          <cell r="M633" t="e">
            <v>#N/A</v>
          </cell>
          <cell r="N633" t="e">
            <v>#N/A</v>
          </cell>
          <cell r="O633" t="e">
            <v>#N/A</v>
          </cell>
          <cell r="P633">
            <v>14.52</v>
          </cell>
          <cell r="Q633" t="str">
            <v/>
          </cell>
          <cell r="R633" t="e">
            <v>#N/A</v>
          </cell>
        </row>
        <row r="634">
          <cell r="A634">
            <v>40889</v>
          </cell>
          <cell r="B634">
            <v>40889</v>
          </cell>
          <cell r="C634" t="str">
            <v>Future</v>
          </cell>
          <cell r="D634" t="e">
            <v>#N/A</v>
          </cell>
          <cell r="E634">
            <v>10.194594594594578</v>
          </cell>
          <cell r="F634">
            <v>15.262162162162211</v>
          </cell>
          <cell r="G634">
            <v>14.248648648648658</v>
          </cell>
          <cell r="H634">
            <v>14.248648648648658</v>
          </cell>
          <cell r="I634" t="e">
            <v>#N/A</v>
          </cell>
          <cell r="J634" t="e">
            <v>#N/A</v>
          </cell>
          <cell r="K634" t="e">
            <v>#N/A</v>
          </cell>
          <cell r="L634" t="e">
            <v>#N/A</v>
          </cell>
          <cell r="M634" t="e">
            <v>#N/A</v>
          </cell>
          <cell r="N634" t="e">
            <v>#N/A</v>
          </cell>
          <cell r="O634" t="e">
            <v>#N/A</v>
          </cell>
          <cell r="P634">
            <v>14.52</v>
          </cell>
          <cell r="Q634" t="str">
            <v/>
          </cell>
          <cell r="R634" t="e">
            <v>#N/A</v>
          </cell>
        </row>
        <row r="635">
          <cell r="A635">
            <v>40890</v>
          </cell>
          <cell r="B635">
            <v>40890</v>
          </cell>
          <cell r="C635" t="str">
            <v>Future</v>
          </cell>
          <cell r="D635" t="e">
            <v>#N/A</v>
          </cell>
          <cell r="E635">
            <v>10.139189189189173</v>
          </cell>
          <cell r="F635">
            <v>15.274324324324374</v>
          </cell>
          <cell r="G635">
            <v>14.247297297297306</v>
          </cell>
          <cell r="H635">
            <v>14.247297297297306</v>
          </cell>
          <cell r="I635" t="e">
            <v>#N/A</v>
          </cell>
          <cell r="J635" t="e">
            <v>#N/A</v>
          </cell>
          <cell r="K635" t="e">
            <v>#N/A</v>
          </cell>
          <cell r="L635" t="e">
            <v>#N/A</v>
          </cell>
          <cell r="M635" t="e">
            <v>#N/A</v>
          </cell>
          <cell r="N635" t="e">
            <v>#N/A</v>
          </cell>
          <cell r="O635" t="e">
            <v>#N/A</v>
          </cell>
          <cell r="P635">
            <v>14.52</v>
          </cell>
          <cell r="Q635" t="str">
            <v/>
          </cell>
          <cell r="R635" t="e">
            <v>#N/A</v>
          </cell>
        </row>
        <row r="636">
          <cell r="A636">
            <v>40891</v>
          </cell>
          <cell r="B636">
            <v>40891</v>
          </cell>
          <cell r="C636" t="str">
            <v>Future</v>
          </cell>
          <cell r="D636" t="e">
            <v>#N/A</v>
          </cell>
          <cell r="E636">
            <v>10.083783783783767</v>
          </cell>
          <cell r="F636">
            <v>15.286486486486536</v>
          </cell>
          <cell r="G636">
            <v>14.245945945945955</v>
          </cell>
          <cell r="H636">
            <v>14.245945945945955</v>
          </cell>
          <cell r="I636" t="e">
            <v>#N/A</v>
          </cell>
          <cell r="J636" t="e">
            <v>#N/A</v>
          </cell>
          <cell r="K636" t="e">
            <v>#N/A</v>
          </cell>
          <cell r="L636" t="e">
            <v>#N/A</v>
          </cell>
          <cell r="M636" t="e">
            <v>#N/A</v>
          </cell>
          <cell r="N636" t="e">
            <v>#N/A</v>
          </cell>
          <cell r="O636" t="e">
            <v>#N/A</v>
          </cell>
          <cell r="P636">
            <v>14.52</v>
          </cell>
          <cell r="Q636" t="str">
            <v/>
          </cell>
          <cell r="R636" t="e">
            <v>#N/A</v>
          </cell>
        </row>
        <row r="637">
          <cell r="A637">
            <v>40892</v>
          </cell>
          <cell r="B637">
            <v>40892</v>
          </cell>
          <cell r="C637" t="str">
            <v>Future</v>
          </cell>
          <cell r="D637" t="e">
            <v>#N/A</v>
          </cell>
          <cell r="E637">
            <v>10.028378378378362</v>
          </cell>
          <cell r="F637">
            <v>15.298648648648699</v>
          </cell>
          <cell r="G637">
            <v>14.244594594594604</v>
          </cell>
          <cell r="H637">
            <v>14.244594594594604</v>
          </cell>
          <cell r="I637" t="e">
            <v>#N/A</v>
          </cell>
          <cell r="J637" t="e">
            <v>#N/A</v>
          </cell>
          <cell r="K637" t="e">
            <v>#N/A</v>
          </cell>
          <cell r="L637" t="e">
            <v>#N/A</v>
          </cell>
          <cell r="M637" t="e">
            <v>#N/A</v>
          </cell>
          <cell r="N637" t="e">
            <v>#N/A</v>
          </cell>
          <cell r="O637" t="e">
            <v>#N/A</v>
          </cell>
          <cell r="P637">
            <v>14.52</v>
          </cell>
          <cell r="Q637" t="str">
            <v/>
          </cell>
          <cell r="R637" t="e">
            <v>#N/A</v>
          </cell>
        </row>
        <row r="638">
          <cell r="A638">
            <v>40893</v>
          </cell>
          <cell r="B638">
            <v>40893</v>
          </cell>
          <cell r="C638" t="str">
            <v>Future</v>
          </cell>
          <cell r="D638" t="e">
            <v>#N/A</v>
          </cell>
          <cell r="E638">
            <v>9.9729729729729559</v>
          </cell>
          <cell r="F638">
            <v>15.310810810810862</v>
          </cell>
          <cell r="G638">
            <v>14.243243243243253</v>
          </cell>
          <cell r="H638">
            <v>14.243243243243253</v>
          </cell>
          <cell r="I638" t="e">
            <v>#N/A</v>
          </cell>
          <cell r="J638" t="e">
            <v>#N/A</v>
          </cell>
          <cell r="K638" t="e">
            <v>#N/A</v>
          </cell>
          <cell r="L638" t="e">
            <v>#N/A</v>
          </cell>
          <cell r="M638" t="e">
            <v>#N/A</v>
          </cell>
          <cell r="N638" t="e">
            <v>#N/A</v>
          </cell>
          <cell r="O638" t="e">
            <v>#N/A</v>
          </cell>
          <cell r="P638">
            <v>14.52</v>
          </cell>
          <cell r="Q638" t="str">
            <v/>
          </cell>
          <cell r="R638" t="e">
            <v>#N/A</v>
          </cell>
        </row>
        <row r="639">
          <cell r="A639">
            <v>40896</v>
          </cell>
          <cell r="B639">
            <v>40896</v>
          </cell>
          <cell r="C639" t="str">
            <v>Future</v>
          </cell>
          <cell r="D639" t="e">
            <v>#N/A</v>
          </cell>
          <cell r="E639">
            <v>9.9175675675675503</v>
          </cell>
          <cell r="F639">
            <v>15.322972972973025</v>
          </cell>
          <cell r="G639">
            <v>14.241891891891902</v>
          </cell>
          <cell r="H639">
            <v>14.241891891891902</v>
          </cell>
          <cell r="I639" t="e">
            <v>#N/A</v>
          </cell>
          <cell r="J639" t="e">
            <v>#N/A</v>
          </cell>
          <cell r="K639" t="e">
            <v>#N/A</v>
          </cell>
          <cell r="L639" t="e">
            <v>#N/A</v>
          </cell>
          <cell r="M639" t="e">
            <v>#N/A</v>
          </cell>
          <cell r="N639" t="e">
            <v>#N/A</v>
          </cell>
          <cell r="O639" t="e">
            <v>#N/A</v>
          </cell>
          <cell r="P639">
            <v>14.52</v>
          </cell>
          <cell r="Q639" t="str">
            <v/>
          </cell>
          <cell r="R639" t="e">
            <v>#N/A</v>
          </cell>
        </row>
        <row r="640">
          <cell r="A640">
            <v>40897</v>
          </cell>
          <cell r="B640">
            <v>40897</v>
          </cell>
          <cell r="C640" t="str">
            <v>Future</v>
          </cell>
          <cell r="D640" t="e">
            <v>#N/A</v>
          </cell>
          <cell r="E640">
            <v>9.8621621621621447</v>
          </cell>
          <cell r="F640">
            <v>15.335135135135188</v>
          </cell>
          <cell r="G640">
            <v>14.24054054054055</v>
          </cell>
          <cell r="H640">
            <v>14.24054054054055</v>
          </cell>
          <cell r="I640" t="e">
            <v>#N/A</v>
          </cell>
          <cell r="J640" t="e">
            <v>#N/A</v>
          </cell>
          <cell r="K640" t="e">
            <v>#N/A</v>
          </cell>
          <cell r="L640" t="e">
            <v>#N/A</v>
          </cell>
          <cell r="M640" t="e">
            <v>#N/A</v>
          </cell>
          <cell r="N640" t="e">
            <v>#N/A</v>
          </cell>
          <cell r="O640" t="e">
            <v>#N/A</v>
          </cell>
          <cell r="P640">
            <v>14.52</v>
          </cell>
          <cell r="Q640" t="str">
            <v/>
          </cell>
          <cell r="R640" t="e">
            <v>#N/A</v>
          </cell>
        </row>
        <row r="641">
          <cell r="A641">
            <v>40898</v>
          </cell>
          <cell r="B641">
            <v>40898</v>
          </cell>
          <cell r="C641" t="str">
            <v>Future</v>
          </cell>
          <cell r="D641" t="e">
            <v>#N/A</v>
          </cell>
          <cell r="E641">
            <v>9.8067567567567391</v>
          </cell>
          <cell r="F641">
            <v>15.34729729729735</v>
          </cell>
          <cell r="G641">
            <v>14.239189189189199</v>
          </cell>
          <cell r="H641">
            <v>14.239189189189199</v>
          </cell>
          <cell r="I641" t="e">
            <v>#N/A</v>
          </cell>
          <cell r="J641" t="e">
            <v>#N/A</v>
          </cell>
          <cell r="K641" t="e">
            <v>#N/A</v>
          </cell>
          <cell r="L641" t="e">
            <v>#N/A</v>
          </cell>
          <cell r="M641" t="e">
            <v>#N/A</v>
          </cell>
          <cell r="N641" t="e">
            <v>#N/A</v>
          </cell>
          <cell r="O641" t="e">
            <v>#N/A</v>
          </cell>
          <cell r="P641">
            <v>14.52</v>
          </cell>
          <cell r="Q641" t="str">
            <v/>
          </cell>
          <cell r="R641" t="e">
            <v>#N/A</v>
          </cell>
        </row>
        <row r="642">
          <cell r="A642">
            <v>40899</v>
          </cell>
          <cell r="B642">
            <v>40899</v>
          </cell>
          <cell r="C642" t="str">
            <v>Future</v>
          </cell>
          <cell r="D642" t="e">
            <v>#N/A</v>
          </cell>
          <cell r="E642">
            <v>9.7513513513513335</v>
          </cell>
          <cell r="F642">
            <v>15.359459459459513</v>
          </cell>
          <cell r="G642">
            <v>14.237837837837848</v>
          </cell>
          <cell r="H642">
            <v>14.237837837837848</v>
          </cell>
          <cell r="I642" t="e">
            <v>#N/A</v>
          </cell>
          <cell r="J642" t="e">
            <v>#N/A</v>
          </cell>
          <cell r="K642" t="e">
            <v>#N/A</v>
          </cell>
          <cell r="L642" t="e">
            <v>#N/A</v>
          </cell>
          <cell r="M642" t="e">
            <v>#N/A</v>
          </cell>
          <cell r="N642" t="e">
            <v>#N/A</v>
          </cell>
          <cell r="O642" t="e">
            <v>#N/A</v>
          </cell>
          <cell r="P642">
            <v>14.52</v>
          </cell>
          <cell r="Q642" t="str">
            <v/>
          </cell>
          <cell r="R642" t="e">
            <v>#N/A</v>
          </cell>
        </row>
        <row r="643">
          <cell r="A643">
            <v>40900</v>
          </cell>
          <cell r="B643">
            <v>40900</v>
          </cell>
          <cell r="C643" t="str">
            <v>Future</v>
          </cell>
          <cell r="D643" t="e">
            <v>#N/A</v>
          </cell>
          <cell r="E643">
            <v>9.6959459459459278</v>
          </cell>
          <cell r="F643">
            <v>15.371621621621676</v>
          </cell>
          <cell r="G643">
            <v>14.236486486486497</v>
          </cell>
          <cell r="H643">
            <v>14.236486486486497</v>
          </cell>
          <cell r="I643" t="e">
            <v>#N/A</v>
          </cell>
          <cell r="J643" t="e">
            <v>#N/A</v>
          </cell>
          <cell r="K643" t="e">
            <v>#N/A</v>
          </cell>
          <cell r="L643" t="e">
            <v>#N/A</v>
          </cell>
          <cell r="M643" t="e">
            <v>#N/A</v>
          </cell>
          <cell r="N643" t="e">
            <v>#N/A</v>
          </cell>
          <cell r="O643" t="e">
            <v>#N/A</v>
          </cell>
          <cell r="P643">
            <v>14.52</v>
          </cell>
          <cell r="Q643" t="str">
            <v/>
          </cell>
          <cell r="R643" t="e">
            <v>#N/A</v>
          </cell>
        </row>
        <row r="644">
          <cell r="A644">
            <v>40904</v>
          </cell>
          <cell r="B644">
            <v>40904</v>
          </cell>
          <cell r="C644" t="str">
            <v>Future</v>
          </cell>
          <cell r="D644" t="e">
            <v>#N/A</v>
          </cell>
          <cell r="E644">
            <v>9.6405405405405222</v>
          </cell>
          <cell r="F644">
            <v>15.383783783783839</v>
          </cell>
          <cell r="G644">
            <v>14.235135135135145</v>
          </cell>
          <cell r="H644">
            <v>14.235135135135145</v>
          </cell>
          <cell r="I644" t="e">
            <v>#N/A</v>
          </cell>
          <cell r="J644" t="e">
            <v>#N/A</v>
          </cell>
          <cell r="K644" t="e">
            <v>#N/A</v>
          </cell>
          <cell r="L644" t="e">
            <v>#N/A</v>
          </cell>
          <cell r="M644" t="e">
            <v>#N/A</v>
          </cell>
          <cell r="N644" t="e">
            <v>#N/A</v>
          </cell>
          <cell r="O644" t="e">
            <v>#N/A</v>
          </cell>
          <cell r="P644">
            <v>14.52</v>
          </cell>
          <cell r="Q644" t="str">
            <v/>
          </cell>
          <cell r="R644" t="e">
            <v>#N/A</v>
          </cell>
        </row>
        <row r="645">
          <cell r="A645">
            <v>40905</v>
          </cell>
          <cell r="B645">
            <v>40905</v>
          </cell>
          <cell r="C645" t="str">
            <v>Future</v>
          </cell>
          <cell r="D645" t="e">
            <v>#N/A</v>
          </cell>
          <cell r="E645">
            <v>9.5851351351351166</v>
          </cell>
          <cell r="F645">
            <v>15.395945945946002</v>
          </cell>
          <cell r="G645">
            <v>14.233783783783794</v>
          </cell>
          <cell r="H645">
            <v>14.233783783783794</v>
          </cell>
          <cell r="I645" t="e">
            <v>#N/A</v>
          </cell>
          <cell r="J645" t="e">
            <v>#N/A</v>
          </cell>
          <cell r="K645" t="e">
            <v>#N/A</v>
          </cell>
          <cell r="L645" t="e">
            <v>#N/A</v>
          </cell>
          <cell r="M645" t="e">
            <v>#N/A</v>
          </cell>
          <cell r="N645" t="e">
            <v>#N/A</v>
          </cell>
          <cell r="O645" t="e">
            <v>#N/A</v>
          </cell>
          <cell r="P645">
            <v>14.52</v>
          </cell>
          <cell r="Q645" t="str">
            <v/>
          </cell>
          <cell r="R645" t="e">
            <v>#N/A</v>
          </cell>
        </row>
        <row r="646">
          <cell r="A646">
            <v>40906</v>
          </cell>
          <cell r="B646">
            <v>40906</v>
          </cell>
          <cell r="C646" t="str">
            <v>Future</v>
          </cell>
          <cell r="D646" t="e">
            <v>#N/A</v>
          </cell>
          <cell r="E646">
            <v>9.529729729729711</v>
          </cell>
          <cell r="F646">
            <v>15.408108108108165</v>
          </cell>
          <cell r="G646">
            <v>14.232432432432443</v>
          </cell>
          <cell r="H646">
            <v>14.232432432432443</v>
          </cell>
          <cell r="I646" t="e">
            <v>#N/A</v>
          </cell>
          <cell r="J646" t="e">
            <v>#N/A</v>
          </cell>
          <cell r="K646" t="e">
            <v>#N/A</v>
          </cell>
          <cell r="L646" t="e">
            <v>#N/A</v>
          </cell>
          <cell r="M646" t="e">
            <v>#N/A</v>
          </cell>
          <cell r="N646" t="e">
            <v>#N/A</v>
          </cell>
          <cell r="O646" t="e">
            <v>#N/A</v>
          </cell>
          <cell r="P646">
            <v>14.52</v>
          </cell>
          <cell r="Q646" t="str">
            <v/>
          </cell>
          <cell r="R646" t="e">
            <v>#N/A</v>
          </cell>
        </row>
        <row r="647">
          <cell r="A647">
            <v>40907</v>
          </cell>
          <cell r="B647">
            <v>40907</v>
          </cell>
          <cell r="C647" t="str">
            <v>Future</v>
          </cell>
          <cell r="D647" t="e">
            <v>#N/A</v>
          </cell>
          <cell r="E647">
            <v>9.4743243243243054</v>
          </cell>
          <cell r="F647">
            <v>15.420270270270327</v>
          </cell>
          <cell r="G647">
            <v>14.231081081081092</v>
          </cell>
          <cell r="H647">
            <v>14.231081081081092</v>
          </cell>
          <cell r="I647" t="e">
            <v>#N/A</v>
          </cell>
          <cell r="J647" t="e">
            <v>#N/A</v>
          </cell>
          <cell r="K647" t="e">
            <v>#N/A</v>
          </cell>
          <cell r="L647" t="e">
            <v>#N/A</v>
          </cell>
          <cell r="M647" t="e">
            <v>#N/A</v>
          </cell>
          <cell r="N647" t="e">
            <v>#N/A</v>
          </cell>
          <cell r="O647" t="e">
            <v>#N/A</v>
          </cell>
          <cell r="P647">
            <v>14.52</v>
          </cell>
          <cell r="Q647" t="str">
            <v/>
          </cell>
          <cell r="R647" t="e">
            <v>#N/A</v>
          </cell>
        </row>
        <row r="648">
          <cell r="A648">
            <v>40910</v>
          </cell>
          <cell r="B648">
            <v>40910</v>
          </cell>
          <cell r="C648" t="str">
            <v>Future</v>
          </cell>
          <cell r="D648" t="e">
            <v>#N/A</v>
          </cell>
          <cell r="E648">
            <v>9.4189189189188998</v>
          </cell>
          <cell r="F648">
            <v>15.43243243243249</v>
          </cell>
          <cell r="G648">
            <v>14.22972972972974</v>
          </cell>
          <cell r="H648">
            <v>14.22972972972974</v>
          </cell>
          <cell r="I648" t="e">
            <v>#N/A</v>
          </cell>
          <cell r="J648" t="e">
            <v>#N/A</v>
          </cell>
          <cell r="K648" t="e">
            <v>#N/A</v>
          </cell>
          <cell r="L648" t="e">
            <v>#N/A</v>
          </cell>
          <cell r="M648" t="e">
            <v>#N/A</v>
          </cell>
          <cell r="N648" t="e">
            <v>#N/A</v>
          </cell>
          <cell r="O648" t="e">
            <v>#N/A</v>
          </cell>
          <cell r="P648">
            <v>14.52</v>
          </cell>
          <cell r="Q648" t="str">
            <v/>
          </cell>
          <cell r="R648" t="e">
            <v>#N/A</v>
          </cell>
        </row>
        <row r="649">
          <cell r="A649">
            <v>40911</v>
          </cell>
          <cell r="B649">
            <v>40911</v>
          </cell>
          <cell r="C649" t="str">
            <v>Future</v>
          </cell>
          <cell r="D649" t="e">
            <v>#N/A</v>
          </cell>
          <cell r="E649">
            <v>9.3635135135134941</v>
          </cell>
          <cell r="F649">
            <v>15.444594594594653</v>
          </cell>
          <cell r="G649">
            <v>14.228378378378389</v>
          </cell>
          <cell r="H649">
            <v>14.228378378378389</v>
          </cell>
          <cell r="I649" t="e">
            <v>#N/A</v>
          </cell>
          <cell r="J649" t="e">
            <v>#N/A</v>
          </cell>
          <cell r="K649" t="e">
            <v>#N/A</v>
          </cell>
          <cell r="L649" t="e">
            <v>#N/A</v>
          </cell>
          <cell r="M649" t="e">
            <v>#N/A</v>
          </cell>
          <cell r="N649" t="e">
            <v>#N/A</v>
          </cell>
          <cell r="O649" t="e">
            <v>#N/A</v>
          </cell>
          <cell r="P649">
            <v>14.52</v>
          </cell>
          <cell r="Q649" t="str">
            <v/>
          </cell>
          <cell r="R649" t="e">
            <v>#N/A</v>
          </cell>
        </row>
        <row r="650">
          <cell r="A650">
            <v>40912</v>
          </cell>
          <cell r="B650">
            <v>40912</v>
          </cell>
          <cell r="C650" t="str">
            <v>Future</v>
          </cell>
          <cell r="D650" t="e">
            <v>#N/A</v>
          </cell>
          <cell r="E650">
            <v>9.3081081081080885</v>
          </cell>
          <cell r="F650">
            <v>15.456756756756816</v>
          </cell>
          <cell r="G650">
            <v>14.227027027027038</v>
          </cell>
          <cell r="H650">
            <v>14.227027027027038</v>
          </cell>
          <cell r="I650" t="e">
            <v>#N/A</v>
          </cell>
          <cell r="J650" t="e">
            <v>#N/A</v>
          </cell>
          <cell r="K650" t="e">
            <v>#N/A</v>
          </cell>
          <cell r="L650" t="e">
            <v>#N/A</v>
          </cell>
          <cell r="M650" t="e">
            <v>#N/A</v>
          </cell>
          <cell r="N650" t="e">
            <v>#N/A</v>
          </cell>
          <cell r="O650" t="e">
            <v>#N/A</v>
          </cell>
          <cell r="P650">
            <v>14.52</v>
          </cell>
          <cell r="Q650" t="str">
            <v/>
          </cell>
          <cell r="R650" t="e">
            <v>#N/A</v>
          </cell>
        </row>
        <row r="651">
          <cell r="A651">
            <v>40913</v>
          </cell>
          <cell r="B651">
            <v>40913</v>
          </cell>
          <cell r="C651" t="str">
            <v>Future</v>
          </cell>
          <cell r="D651" t="e">
            <v>#N/A</v>
          </cell>
          <cell r="E651">
            <v>9.2527027027026829</v>
          </cell>
          <cell r="F651">
            <v>15.468918918918979</v>
          </cell>
          <cell r="G651">
            <v>14.225675675675687</v>
          </cell>
          <cell r="H651">
            <v>14.225675675675687</v>
          </cell>
          <cell r="I651" t="e">
            <v>#N/A</v>
          </cell>
          <cell r="J651" t="e">
            <v>#N/A</v>
          </cell>
          <cell r="K651" t="e">
            <v>#N/A</v>
          </cell>
          <cell r="L651" t="e">
            <v>#N/A</v>
          </cell>
          <cell r="M651" t="e">
            <v>#N/A</v>
          </cell>
          <cell r="N651" t="e">
            <v>#N/A</v>
          </cell>
          <cell r="O651" t="e">
            <v>#N/A</v>
          </cell>
          <cell r="P651">
            <v>14.52</v>
          </cell>
          <cell r="Q651" t="str">
            <v/>
          </cell>
          <cell r="R651" t="e">
            <v>#N/A</v>
          </cell>
        </row>
        <row r="652">
          <cell r="A652">
            <v>40914</v>
          </cell>
          <cell r="B652">
            <v>40914</v>
          </cell>
          <cell r="C652" t="str">
            <v>Future</v>
          </cell>
          <cell r="D652" t="e">
            <v>#N/A</v>
          </cell>
          <cell r="E652">
            <v>9.1972972972972773</v>
          </cell>
          <cell r="F652">
            <v>15.481081081081141</v>
          </cell>
          <cell r="G652">
            <v>14.224324324324336</v>
          </cell>
          <cell r="H652">
            <v>14.224324324324336</v>
          </cell>
          <cell r="I652" t="e">
            <v>#N/A</v>
          </cell>
          <cell r="J652" t="e">
            <v>#N/A</v>
          </cell>
          <cell r="K652" t="e">
            <v>#N/A</v>
          </cell>
          <cell r="L652" t="e">
            <v>#N/A</v>
          </cell>
          <cell r="M652" t="e">
            <v>#N/A</v>
          </cell>
          <cell r="N652" t="e">
            <v>#N/A</v>
          </cell>
          <cell r="O652" t="e">
            <v>#N/A</v>
          </cell>
          <cell r="P652">
            <v>14.52</v>
          </cell>
          <cell r="Q652" t="str">
            <v/>
          </cell>
          <cell r="R652" t="e">
            <v>#N/A</v>
          </cell>
        </row>
        <row r="653">
          <cell r="A653">
            <v>40917</v>
          </cell>
          <cell r="B653">
            <v>40917</v>
          </cell>
          <cell r="C653" t="str">
            <v>Future</v>
          </cell>
          <cell r="D653" t="e">
            <v>#N/A</v>
          </cell>
          <cell r="E653">
            <v>9.1418918918918717</v>
          </cell>
          <cell r="F653">
            <v>15.493243243243304</v>
          </cell>
          <cell r="G653">
            <v>14.222972972972984</v>
          </cell>
          <cell r="H653">
            <v>14.222972972972984</v>
          </cell>
          <cell r="I653" t="e">
            <v>#N/A</v>
          </cell>
          <cell r="J653" t="e">
            <v>#N/A</v>
          </cell>
          <cell r="K653" t="e">
            <v>#N/A</v>
          </cell>
          <cell r="L653" t="e">
            <v>#N/A</v>
          </cell>
          <cell r="M653" t="e">
            <v>#N/A</v>
          </cell>
          <cell r="N653" t="e">
            <v>#N/A</v>
          </cell>
          <cell r="O653" t="e">
            <v>#N/A</v>
          </cell>
          <cell r="P653">
            <v>14.52</v>
          </cell>
          <cell r="Q653" t="str">
            <v/>
          </cell>
          <cell r="R653" t="e">
            <v>#N/A</v>
          </cell>
        </row>
        <row r="654">
          <cell r="A654">
            <v>40918</v>
          </cell>
          <cell r="B654">
            <v>40918</v>
          </cell>
          <cell r="C654" t="str">
            <v>Future</v>
          </cell>
          <cell r="D654" t="e">
            <v>#N/A</v>
          </cell>
          <cell r="E654">
            <v>9.0864864864864661</v>
          </cell>
          <cell r="F654">
            <v>15.505405405405467</v>
          </cell>
          <cell r="G654">
            <v>14.221621621621633</v>
          </cell>
          <cell r="H654">
            <v>14.221621621621633</v>
          </cell>
          <cell r="I654" t="e">
            <v>#N/A</v>
          </cell>
          <cell r="J654" t="e">
            <v>#N/A</v>
          </cell>
          <cell r="K654" t="e">
            <v>#N/A</v>
          </cell>
          <cell r="L654" t="e">
            <v>#N/A</v>
          </cell>
          <cell r="M654" t="e">
            <v>#N/A</v>
          </cell>
          <cell r="N654" t="e">
            <v>#N/A</v>
          </cell>
          <cell r="O654" t="e">
            <v>#N/A</v>
          </cell>
          <cell r="P654">
            <v>14.52</v>
          </cell>
          <cell r="Q654" t="str">
            <v/>
          </cell>
          <cell r="R654" t="e">
            <v>#N/A</v>
          </cell>
        </row>
        <row r="655">
          <cell r="A655">
            <v>40919</v>
          </cell>
          <cell r="B655">
            <v>40919</v>
          </cell>
          <cell r="C655" t="str">
            <v>Future</v>
          </cell>
          <cell r="D655" t="e">
            <v>#N/A</v>
          </cell>
          <cell r="E655">
            <v>9.0310810810810604</v>
          </cell>
          <cell r="F655">
            <v>15.51756756756763</v>
          </cell>
          <cell r="G655">
            <v>14.220270270270282</v>
          </cell>
          <cell r="H655">
            <v>14.220270270270282</v>
          </cell>
          <cell r="I655" t="e">
            <v>#N/A</v>
          </cell>
          <cell r="J655" t="e">
            <v>#N/A</v>
          </cell>
          <cell r="K655" t="e">
            <v>#N/A</v>
          </cell>
          <cell r="L655" t="e">
            <v>#N/A</v>
          </cell>
          <cell r="M655" t="e">
            <v>#N/A</v>
          </cell>
          <cell r="N655" t="e">
            <v>#N/A</v>
          </cell>
          <cell r="O655" t="e">
            <v>#N/A</v>
          </cell>
          <cell r="P655">
            <v>14.52</v>
          </cell>
          <cell r="Q655" t="str">
            <v/>
          </cell>
          <cell r="R655" t="e">
            <v>#N/A</v>
          </cell>
        </row>
        <row r="656">
          <cell r="A656">
            <v>40920</v>
          </cell>
          <cell r="B656">
            <v>40920</v>
          </cell>
          <cell r="C656" t="str">
            <v>Future</v>
          </cell>
          <cell r="D656" t="e">
            <v>#N/A</v>
          </cell>
          <cell r="E656">
            <v>8.9756756756756548</v>
          </cell>
          <cell r="F656">
            <v>15.529729729729793</v>
          </cell>
          <cell r="G656">
            <v>14.218918918918931</v>
          </cell>
          <cell r="H656">
            <v>14.218918918918931</v>
          </cell>
          <cell r="I656" t="e">
            <v>#N/A</v>
          </cell>
          <cell r="J656" t="e">
            <v>#N/A</v>
          </cell>
          <cell r="K656" t="e">
            <v>#N/A</v>
          </cell>
          <cell r="L656" t="e">
            <v>#N/A</v>
          </cell>
          <cell r="M656" t="e">
            <v>#N/A</v>
          </cell>
          <cell r="N656" t="e">
            <v>#N/A</v>
          </cell>
          <cell r="O656" t="e">
            <v>#N/A</v>
          </cell>
          <cell r="P656">
            <v>14.52</v>
          </cell>
          <cell r="Q656" t="str">
            <v/>
          </cell>
          <cell r="R656" t="e">
            <v>#N/A</v>
          </cell>
        </row>
        <row r="657">
          <cell r="A657">
            <v>40921</v>
          </cell>
          <cell r="B657">
            <v>40921</v>
          </cell>
          <cell r="C657" t="str">
            <v>Future</v>
          </cell>
          <cell r="D657" t="e">
            <v>#N/A</v>
          </cell>
          <cell r="E657">
            <v>8.9202702702702492</v>
          </cell>
          <cell r="F657">
            <v>15.541891891891956</v>
          </cell>
          <cell r="G657">
            <v>14.217567567567579</v>
          </cell>
          <cell r="H657">
            <v>14.217567567567579</v>
          </cell>
          <cell r="I657" t="e">
            <v>#N/A</v>
          </cell>
          <cell r="J657" t="e">
            <v>#N/A</v>
          </cell>
          <cell r="K657" t="e">
            <v>#N/A</v>
          </cell>
          <cell r="L657" t="e">
            <v>#N/A</v>
          </cell>
          <cell r="M657" t="e">
            <v>#N/A</v>
          </cell>
          <cell r="N657" t="e">
            <v>#N/A</v>
          </cell>
          <cell r="O657" t="e">
            <v>#N/A</v>
          </cell>
          <cell r="P657">
            <v>14.52</v>
          </cell>
          <cell r="Q657" t="str">
            <v/>
          </cell>
          <cell r="R657" t="e">
            <v>#N/A</v>
          </cell>
        </row>
        <row r="658">
          <cell r="A658">
            <v>40924</v>
          </cell>
          <cell r="B658">
            <v>40924</v>
          </cell>
          <cell r="C658" t="str">
            <v>Future</v>
          </cell>
          <cell r="D658" t="e">
            <v>#N/A</v>
          </cell>
          <cell r="E658">
            <v>8.8648648648648436</v>
          </cell>
          <cell r="F658">
            <v>15.554054054054118</v>
          </cell>
          <cell r="G658">
            <v>14.216216216216228</v>
          </cell>
          <cell r="H658">
            <v>14.216216216216228</v>
          </cell>
          <cell r="I658" t="e">
            <v>#N/A</v>
          </cell>
          <cell r="J658" t="e">
            <v>#N/A</v>
          </cell>
          <cell r="K658" t="e">
            <v>#N/A</v>
          </cell>
          <cell r="L658" t="e">
            <v>#N/A</v>
          </cell>
          <cell r="M658" t="e">
            <v>#N/A</v>
          </cell>
          <cell r="N658" t="e">
            <v>#N/A</v>
          </cell>
          <cell r="O658" t="e">
            <v>#N/A</v>
          </cell>
          <cell r="P658">
            <v>14.52</v>
          </cell>
          <cell r="Q658" t="str">
            <v/>
          </cell>
          <cell r="R658" t="e">
            <v>#N/A</v>
          </cell>
        </row>
        <row r="659">
          <cell r="A659">
            <v>40925</v>
          </cell>
          <cell r="B659">
            <v>40925</v>
          </cell>
          <cell r="C659" t="str">
            <v>Future</v>
          </cell>
          <cell r="D659" t="e">
            <v>#N/A</v>
          </cell>
          <cell r="E659">
            <v>8.809459459459438</v>
          </cell>
          <cell r="F659">
            <v>15.566216216216281</v>
          </cell>
          <cell r="G659">
            <v>14.214864864864877</v>
          </cell>
          <cell r="H659">
            <v>14.214864864864877</v>
          </cell>
          <cell r="I659" t="e">
            <v>#N/A</v>
          </cell>
          <cell r="J659" t="e">
            <v>#N/A</v>
          </cell>
          <cell r="K659" t="e">
            <v>#N/A</v>
          </cell>
          <cell r="L659" t="e">
            <v>#N/A</v>
          </cell>
          <cell r="M659" t="e">
            <v>#N/A</v>
          </cell>
          <cell r="N659" t="e">
            <v>#N/A</v>
          </cell>
          <cell r="O659" t="e">
            <v>#N/A</v>
          </cell>
          <cell r="P659">
            <v>14.52</v>
          </cell>
          <cell r="Q659" t="str">
            <v/>
          </cell>
          <cell r="R659" t="e">
            <v>#N/A</v>
          </cell>
        </row>
        <row r="660">
          <cell r="A660">
            <v>40926</v>
          </cell>
          <cell r="B660">
            <v>40926</v>
          </cell>
          <cell r="C660" t="str">
            <v>Future</v>
          </cell>
          <cell r="D660" t="e">
            <v>#N/A</v>
          </cell>
          <cell r="E660">
            <v>8.7540540540540324</v>
          </cell>
          <cell r="F660">
            <v>15.578378378378444</v>
          </cell>
          <cell r="G660">
            <v>14.213513513513526</v>
          </cell>
          <cell r="H660">
            <v>14.213513513513526</v>
          </cell>
          <cell r="I660" t="e">
            <v>#N/A</v>
          </cell>
          <cell r="J660" t="e">
            <v>#N/A</v>
          </cell>
          <cell r="K660" t="e">
            <v>#N/A</v>
          </cell>
          <cell r="L660" t="e">
            <v>#N/A</v>
          </cell>
          <cell r="M660" t="e">
            <v>#N/A</v>
          </cell>
          <cell r="N660" t="e">
            <v>#N/A</v>
          </cell>
          <cell r="O660" t="e">
            <v>#N/A</v>
          </cell>
          <cell r="P660">
            <v>14.52</v>
          </cell>
          <cell r="Q660" t="str">
            <v/>
          </cell>
          <cell r="R660" t="e">
            <v>#N/A</v>
          </cell>
        </row>
        <row r="661">
          <cell r="A661">
            <v>40927</v>
          </cell>
          <cell r="B661">
            <v>40927</v>
          </cell>
          <cell r="C661" t="str">
            <v>Future</v>
          </cell>
          <cell r="D661" t="e">
            <v>#N/A</v>
          </cell>
          <cell r="E661">
            <v>8.6986486486486267</v>
          </cell>
          <cell r="F661">
            <v>15.590540540540607</v>
          </cell>
          <cell r="G661">
            <v>14.212162162162175</v>
          </cell>
          <cell r="H661">
            <v>14.212162162162175</v>
          </cell>
          <cell r="I661" t="e">
            <v>#N/A</v>
          </cell>
          <cell r="J661" t="e">
            <v>#N/A</v>
          </cell>
          <cell r="K661" t="e">
            <v>#N/A</v>
          </cell>
          <cell r="L661" t="e">
            <v>#N/A</v>
          </cell>
          <cell r="M661" t="e">
            <v>#N/A</v>
          </cell>
          <cell r="N661" t="e">
            <v>#N/A</v>
          </cell>
          <cell r="O661" t="e">
            <v>#N/A</v>
          </cell>
          <cell r="P661">
            <v>14.52</v>
          </cell>
          <cell r="Q661" t="str">
            <v/>
          </cell>
          <cell r="R661" t="e">
            <v>#N/A</v>
          </cell>
        </row>
        <row r="662">
          <cell r="A662">
            <v>40928</v>
          </cell>
          <cell r="B662">
            <v>40928</v>
          </cell>
          <cell r="C662" t="str">
            <v>Future</v>
          </cell>
          <cell r="D662" t="e">
            <v>#N/A</v>
          </cell>
          <cell r="E662">
            <v>8.6432432432432211</v>
          </cell>
          <cell r="F662">
            <v>15.60270270270277</v>
          </cell>
          <cell r="G662">
            <v>14.210810810810823</v>
          </cell>
          <cell r="H662">
            <v>14.210810810810823</v>
          </cell>
          <cell r="I662" t="e">
            <v>#N/A</v>
          </cell>
          <cell r="J662" t="e">
            <v>#N/A</v>
          </cell>
          <cell r="K662" t="e">
            <v>#N/A</v>
          </cell>
          <cell r="L662" t="e">
            <v>#N/A</v>
          </cell>
          <cell r="M662" t="e">
            <v>#N/A</v>
          </cell>
          <cell r="N662" t="e">
            <v>#N/A</v>
          </cell>
          <cell r="O662" t="e">
            <v>#N/A</v>
          </cell>
          <cell r="P662">
            <v>14.52</v>
          </cell>
          <cell r="Q662" t="str">
            <v/>
          </cell>
          <cell r="R662" t="e">
            <v>#N/A</v>
          </cell>
        </row>
        <row r="663">
          <cell r="A663">
            <v>40931</v>
          </cell>
          <cell r="B663">
            <v>40931</v>
          </cell>
          <cell r="C663" t="str">
            <v>Future</v>
          </cell>
          <cell r="D663" t="e">
            <v>#N/A</v>
          </cell>
          <cell r="E663">
            <v>8.5878378378378155</v>
          </cell>
          <cell r="F663">
            <v>15.614864864864932</v>
          </cell>
          <cell r="G663">
            <v>14.209459459459472</v>
          </cell>
          <cell r="H663">
            <v>14.209459459459472</v>
          </cell>
          <cell r="I663" t="e">
            <v>#N/A</v>
          </cell>
          <cell r="J663" t="e">
            <v>#N/A</v>
          </cell>
          <cell r="K663" t="e">
            <v>#N/A</v>
          </cell>
          <cell r="L663" t="e">
            <v>#N/A</v>
          </cell>
          <cell r="M663" t="e">
            <v>#N/A</v>
          </cell>
          <cell r="N663" t="e">
            <v>#N/A</v>
          </cell>
          <cell r="O663" t="e">
            <v>#N/A</v>
          </cell>
          <cell r="P663">
            <v>14.52</v>
          </cell>
          <cell r="Q663" t="str">
            <v/>
          </cell>
          <cell r="R663" t="e">
            <v>#N/A</v>
          </cell>
        </row>
        <row r="664">
          <cell r="A664">
            <v>40932</v>
          </cell>
          <cell r="B664">
            <v>40932</v>
          </cell>
          <cell r="C664" t="str">
            <v>Future</v>
          </cell>
          <cell r="D664" t="e">
            <v>#N/A</v>
          </cell>
          <cell r="E664">
            <v>8.5324324324324099</v>
          </cell>
          <cell r="F664">
            <v>15.627027027027095</v>
          </cell>
          <cell r="G664">
            <v>14.208108108108121</v>
          </cell>
          <cell r="H664">
            <v>14.208108108108121</v>
          </cell>
          <cell r="I664" t="e">
            <v>#N/A</v>
          </cell>
          <cell r="J664" t="e">
            <v>#N/A</v>
          </cell>
          <cell r="K664" t="e">
            <v>#N/A</v>
          </cell>
          <cell r="L664" t="e">
            <v>#N/A</v>
          </cell>
          <cell r="M664" t="e">
            <v>#N/A</v>
          </cell>
          <cell r="N664" t="e">
            <v>#N/A</v>
          </cell>
          <cell r="O664" t="e">
            <v>#N/A</v>
          </cell>
          <cell r="P664">
            <v>14.52</v>
          </cell>
          <cell r="Q664" t="str">
            <v/>
          </cell>
          <cell r="R664" t="e">
            <v>#N/A</v>
          </cell>
        </row>
        <row r="665">
          <cell r="A665">
            <v>40933</v>
          </cell>
          <cell r="B665">
            <v>40933</v>
          </cell>
          <cell r="C665" t="str">
            <v>Future</v>
          </cell>
          <cell r="D665" t="e">
            <v>#N/A</v>
          </cell>
          <cell r="E665">
            <v>8.4770270270270043</v>
          </cell>
          <cell r="F665">
            <v>15.639189189189258</v>
          </cell>
          <cell r="G665">
            <v>14.20675675675677</v>
          </cell>
          <cell r="H665">
            <v>14.20675675675677</v>
          </cell>
          <cell r="I665" t="e">
            <v>#N/A</v>
          </cell>
          <cell r="J665" t="e">
            <v>#N/A</v>
          </cell>
          <cell r="K665" t="e">
            <v>#N/A</v>
          </cell>
          <cell r="L665" t="e">
            <v>#N/A</v>
          </cell>
          <cell r="M665" t="e">
            <v>#N/A</v>
          </cell>
          <cell r="N665" t="e">
            <v>#N/A</v>
          </cell>
          <cell r="O665" t="e">
            <v>#N/A</v>
          </cell>
          <cell r="P665">
            <v>14.52</v>
          </cell>
          <cell r="Q665" t="str">
            <v/>
          </cell>
          <cell r="R665" t="e">
            <v>#N/A</v>
          </cell>
        </row>
        <row r="666">
          <cell r="A666">
            <v>40934</v>
          </cell>
          <cell r="B666">
            <v>40934</v>
          </cell>
          <cell r="C666" t="str">
            <v>Future</v>
          </cell>
          <cell r="D666" t="e">
            <v>#N/A</v>
          </cell>
          <cell r="E666">
            <v>8.4216216216215987</v>
          </cell>
          <cell r="F666">
            <v>15.651351351351421</v>
          </cell>
          <cell r="G666">
            <v>14.205405405405418</v>
          </cell>
          <cell r="H666">
            <v>14.205405405405418</v>
          </cell>
          <cell r="I666" t="e">
            <v>#N/A</v>
          </cell>
          <cell r="J666" t="e">
            <v>#N/A</v>
          </cell>
          <cell r="K666" t="e">
            <v>#N/A</v>
          </cell>
          <cell r="L666" t="e">
            <v>#N/A</v>
          </cell>
          <cell r="M666" t="e">
            <v>#N/A</v>
          </cell>
          <cell r="N666" t="e">
            <v>#N/A</v>
          </cell>
          <cell r="O666" t="e">
            <v>#N/A</v>
          </cell>
          <cell r="P666">
            <v>14.52</v>
          </cell>
          <cell r="Q666" t="str">
            <v/>
          </cell>
          <cell r="R666" t="e">
            <v>#N/A</v>
          </cell>
        </row>
        <row r="667">
          <cell r="A667">
            <v>40935</v>
          </cell>
          <cell r="B667">
            <v>40935</v>
          </cell>
          <cell r="C667" t="str">
            <v>Future</v>
          </cell>
          <cell r="D667" t="e">
            <v>#N/A</v>
          </cell>
          <cell r="E667">
            <v>8.366216216216193</v>
          </cell>
          <cell r="F667">
            <v>15.663513513513584</v>
          </cell>
          <cell r="G667">
            <v>14.204054054054067</v>
          </cell>
          <cell r="H667">
            <v>14.204054054054067</v>
          </cell>
          <cell r="I667" t="e">
            <v>#N/A</v>
          </cell>
          <cell r="J667" t="e">
            <v>#N/A</v>
          </cell>
          <cell r="K667" t="e">
            <v>#N/A</v>
          </cell>
          <cell r="L667" t="e">
            <v>#N/A</v>
          </cell>
          <cell r="M667" t="e">
            <v>#N/A</v>
          </cell>
          <cell r="N667" t="e">
            <v>#N/A</v>
          </cell>
          <cell r="O667" t="e">
            <v>#N/A</v>
          </cell>
          <cell r="P667">
            <v>14.52</v>
          </cell>
          <cell r="Q667" t="str">
            <v/>
          </cell>
          <cell r="R667" t="e">
            <v>#N/A</v>
          </cell>
        </row>
        <row r="668">
          <cell r="A668">
            <v>40938</v>
          </cell>
          <cell r="B668">
            <v>40938</v>
          </cell>
          <cell r="C668" t="str">
            <v>Future</v>
          </cell>
          <cell r="D668" t="e">
            <v>#N/A</v>
          </cell>
          <cell r="E668">
            <v>8.3108108108107874</v>
          </cell>
          <cell r="F668">
            <v>15.675675675675746</v>
          </cell>
          <cell r="G668">
            <v>14.202702702702716</v>
          </cell>
          <cell r="H668">
            <v>14.202702702702716</v>
          </cell>
          <cell r="I668" t="e">
            <v>#N/A</v>
          </cell>
          <cell r="J668" t="e">
            <v>#N/A</v>
          </cell>
          <cell r="K668" t="e">
            <v>#N/A</v>
          </cell>
          <cell r="L668" t="e">
            <v>#N/A</v>
          </cell>
          <cell r="M668" t="e">
            <v>#N/A</v>
          </cell>
          <cell r="N668" t="e">
            <v>#N/A</v>
          </cell>
          <cell r="O668" t="e">
            <v>#N/A</v>
          </cell>
          <cell r="P668">
            <v>14.52</v>
          </cell>
          <cell r="Q668" t="str">
            <v/>
          </cell>
          <cell r="R668" t="e">
            <v>#N/A</v>
          </cell>
        </row>
        <row r="669">
          <cell r="A669">
            <v>40939</v>
          </cell>
          <cell r="B669">
            <v>40939</v>
          </cell>
          <cell r="C669" t="str">
            <v>Future</v>
          </cell>
          <cell r="D669" t="e">
            <v>#N/A</v>
          </cell>
          <cell r="E669">
            <v>8.2554054054053818</v>
          </cell>
          <cell r="F669">
            <v>15.687837837837909</v>
          </cell>
          <cell r="G669">
            <v>14.201351351351365</v>
          </cell>
          <cell r="H669">
            <v>14.201351351351365</v>
          </cell>
          <cell r="I669" t="e">
            <v>#N/A</v>
          </cell>
          <cell r="J669" t="e">
            <v>#N/A</v>
          </cell>
          <cell r="K669" t="e">
            <v>#N/A</v>
          </cell>
          <cell r="L669" t="e">
            <v>#N/A</v>
          </cell>
          <cell r="M669" t="e">
            <v>#N/A</v>
          </cell>
          <cell r="N669" t="e">
            <v>#N/A</v>
          </cell>
          <cell r="O669" t="e">
            <v>#N/A</v>
          </cell>
          <cell r="P669">
            <v>14.52</v>
          </cell>
          <cell r="Q669" t="str">
            <v/>
          </cell>
          <cell r="R669" t="e">
            <v>#N/A</v>
          </cell>
        </row>
        <row r="670">
          <cell r="A670">
            <v>40940</v>
          </cell>
          <cell r="B670">
            <v>40940</v>
          </cell>
          <cell r="C670" t="str">
            <v>Future</v>
          </cell>
          <cell r="D670" t="e">
            <v>#N/A</v>
          </cell>
          <cell r="E670">
            <v>8.1999999999999762</v>
          </cell>
          <cell r="F670">
            <v>15.700000000000072</v>
          </cell>
          <cell r="G670">
            <v>14.200000000000014</v>
          </cell>
          <cell r="H670">
            <v>14.200000000000014</v>
          </cell>
          <cell r="I670" t="e">
            <v>#N/A</v>
          </cell>
          <cell r="J670" t="e">
            <v>#N/A</v>
          </cell>
          <cell r="K670" t="e">
            <v>#N/A</v>
          </cell>
          <cell r="L670" t="e">
            <v>#N/A</v>
          </cell>
          <cell r="M670" t="e">
            <v>#N/A</v>
          </cell>
          <cell r="N670" t="e">
            <v>#N/A</v>
          </cell>
          <cell r="O670" t="e">
            <v>#N/A</v>
          </cell>
          <cell r="P670">
            <v>14.52</v>
          </cell>
          <cell r="Q670" t="str">
            <v/>
          </cell>
          <cell r="R670" t="e">
            <v>#N/A</v>
          </cell>
        </row>
        <row r="671">
          <cell r="A671">
            <v>40941</v>
          </cell>
          <cell r="B671">
            <v>40941</v>
          </cell>
          <cell r="C671" t="str">
            <v>Future</v>
          </cell>
          <cell r="D671" t="e">
            <v>#N/A</v>
          </cell>
          <cell r="E671">
            <v>8.1445945945945706</v>
          </cell>
          <cell r="F671">
            <v>15.712162162162235</v>
          </cell>
          <cell r="G671">
            <v>14.198648648648662</v>
          </cell>
          <cell r="H671">
            <v>14.198648648648662</v>
          </cell>
          <cell r="I671" t="e">
            <v>#N/A</v>
          </cell>
          <cell r="J671" t="e">
            <v>#N/A</v>
          </cell>
          <cell r="K671" t="e">
            <v>#N/A</v>
          </cell>
          <cell r="L671" t="e">
            <v>#N/A</v>
          </cell>
          <cell r="M671" t="e">
            <v>#N/A</v>
          </cell>
          <cell r="N671" t="e">
            <v>#N/A</v>
          </cell>
          <cell r="O671" t="e">
            <v>#N/A</v>
          </cell>
          <cell r="P671">
            <v>14.52</v>
          </cell>
          <cell r="Q671" t="str">
            <v/>
          </cell>
          <cell r="R671" t="e">
            <v>#N/A</v>
          </cell>
        </row>
        <row r="672">
          <cell r="A672">
            <v>40942</v>
          </cell>
          <cell r="B672">
            <v>40942</v>
          </cell>
          <cell r="C672" t="str">
            <v>Future</v>
          </cell>
          <cell r="D672" t="e">
            <v>#N/A</v>
          </cell>
          <cell r="E672">
            <v>8.089189189189165</v>
          </cell>
          <cell r="F672">
            <v>15.724324324324398</v>
          </cell>
          <cell r="G672">
            <v>14.197297297297311</v>
          </cell>
          <cell r="H672">
            <v>14.197297297297311</v>
          </cell>
          <cell r="I672" t="e">
            <v>#N/A</v>
          </cell>
          <cell r="J672" t="e">
            <v>#N/A</v>
          </cell>
          <cell r="K672" t="e">
            <v>#N/A</v>
          </cell>
          <cell r="L672" t="e">
            <v>#N/A</v>
          </cell>
          <cell r="M672" t="e">
            <v>#N/A</v>
          </cell>
          <cell r="N672" t="e">
            <v>#N/A</v>
          </cell>
          <cell r="O672" t="e">
            <v>#N/A</v>
          </cell>
          <cell r="P672">
            <v>14.52</v>
          </cell>
          <cell r="Q672" t="str">
            <v/>
          </cell>
          <cell r="R672" t="e">
            <v>#N/A</v>
          </cell>
        </row>
        <row r="673">
          <cell r="A673">
            <v>40945</v>
          </cell>
          <cell r="B673">
            <v>40945</v>
          </cell>
          <cell r="C673" t="str">
            <v>Future</v>
          </cell>
          <cell r="D673" t="e">
            <v>#N/A</v>
          </cell>
          <cell r="E673">
            <v>8.0337837837837593</v>
          </cell>
          <cell r="F673">
            <v>15.736486486486561</v>
          </cell>
          <cell r="G673">
            <v>14.19594594594596</v>
          </cell>
          <cell r="H673">
            <v>14.19594594594596</v>
          </cell>
          <cell r="I673" t="e">
            <v>#N/A</v>
          </cell>
          <cell r="J673" t="e">
            <v>#N/A</v>
          </cell>
          <cell r="K673" t="e">
            <v>#N/A</v>
          </cell>
          <cell r="L673" t="e">
            <v>#N/A</v>
          </cell>
          <cell r="M673" t="e">
            <v>#N/A</v>
          </cell>
          <cell r="N673" t="e">
            <v>#N/A</v>
          </cell>
          <cell r="O673" t="e">
            <v>#N/A</v>
          </cell>
          <cell r="P673">
            <v>14.52</v>
          </cell>
          <cell r="Q673" t="str">
            <v/>
          </cell>
          <cell r="R673" t="e">
            <v>#N/A</v>
          </cell>
        </row>
        <row r="674">
          <cell r="A674">
            <v>40946</v>
          </cell>
          <cell r="B674">
            <v>40946</v>
          </cell>
          <cell r="C674" t="str">
            <v>Future</v>
          </cell>
          <cell r="D674" t="e">
            <v>#N/A</v>
          </cell>
          <cell r="E674">
            <v>7.9783783783783537</v>
          </cell>
          <cell r="F674">
            <v>15.748648648648723</v>
          </cell>
          <cell r="G674">
            <v>14.194594594594609</v>
          </cell>
          <cell r="H674">
            <v>14.194594594594609</v>
          </cell>
          <cell r="I674" t="e">
            <v>#N/A</v>
          </cell>
          <cell r="J674" t="e">
            <v>#N/A</v>
          </cell>
          <cell r="K674" t="e">
            <v>#N/A</v>
          </cell>
          <cell r="L674" t="e">
            <v>#N/A</v>
          </cell>
          <cell r="M674" t="e">
            <v>#N/A</v>
          </cell>
          <cell r="N674" t="e">
            <v>#N/A</v>
          </cell>
          <cell r="O674" t="e">
            <v>#N/A</v>
          </cell>
          <cell r="P674">
            <v>14.52</v>
          </cell>
          <cell r="Q674" t="str">
            <v/>
          </cell>
          <cell r="R674" t="e">
            <v>#N/A</v>
          </cell>
        </row>
        <row r="675">
          <cell r="A675">
            <v>40947</v>
          </cell>
          <cell r="B675">
            <v>40947</v>
          </cell>
          <cell r="C675" t="str">
            <v>Future</v>
          </cell>
          <cell r="D675" t="e">
            <v>#N/A</v>
          </cell>
          <cell r="E675">
            <v>7.9229729729729481</v>
          </cell>
          <cell r="F675">
            <v>15.760810810810886</v>
          </cell>
          <cell r="G675">
            <v>14.193243243243257</v>
          </cell>
          <cell r="H675">
            <v>14.193243243243257</v>
          </cell>
          <cell r="I675" t="e">
            <v>#N/A</v>
          </cell>
          <cell r="J675" t="e">
            <v>#N/A</v>
          </cell>
          <cell r="K675" t="e">
            <v>#N/A</v>
          </cell>
          <cell r="L675" t="e">
            <v>#N/A</v>
          </cell>
          <cell r="M675" t="e">
            <v>#N/A</v>
          </cell>
          <cell r="N675" t="e">
            <v>#N/A</v>
          </cell>
          <cell r="O675" t="e">
            <v>#N/A</v>
          </cell>
          <cell r="P675">
            <v>14.52</v>
          </cell>
          <cell r="Q675" t="str">
            <v/>
          </cell>
          <cell r="R675" t="e">
            <v>#N/A</v>
          </cell>
        </row>
        <row r="676">
          <cell r="A676">
            <v>40948</v>
          </cell>
          <cell r="B676">
            <v>40948</v>
          </cell>
          <cell r="C676" t="str">
            <v>Future</v>
          </cell>
          <cell r="D676" t="e">
            <v>#N/A</v>
          </cell>
          <cell r="E676">
            <v>7.8675675675675425</v>
          </cell>
          <cell r="F676">
            <v>15.772972972973049</v>
          </cell>
          <cell r="G676">
            <v>14.191891891891906</v>
          </cell>
          <cell r="H676">
            <v>14.191891891891906</v>
          </cell>
          <cell r="I676" t="e">
            <v>#N/A</v>
          </cell>
          <cell r="J676" t="e">
            <v>#N/A</v>
          </cell>
          <cell r="K676" t="e">
            <v>#N/A</v>
          </cell>
          <cell r="L676" t="e">
            <v>#N/A</v>
          </cell>
          <cell r="M676" t="e">
            <v>#N/A</v>
          </cell>
          <cell r="N676" t="e">
            <v>#N/A</v>
          </cell>
          <cell r="O676" t="e">
            <v>#N/A</v>
          </cell>
          <cell r="P676">
            <v>14.52</v>
          </cell>
          <cell r="Q676" t="str">
            <v/>
          </cell>
          <cell r="R676" t="e">
            <v>#N/A</v>
          </cell>
        </row>
        <row r="677">
          <cell r="A677">
            <v>40949</v>
          </cell>
          <cell r="B677">
            <v>40949</v>
          </cell>
          <cell r="C677" t="str">
            <v>Future</v>
          </cell>
          <cell r="D677" t="e">
            <v>#N/A</v>
          </cell>
          <cell r="E677">
            <v>7.8121621621621369</v>
          </cell>
          <cell r="F677">
            <v>15.785135135135212</v>
          </cell>
          <cell r="G677">
            <v>14.190540540540555</v>
          </cell>
          <cell r="H677">
            <v>14.190540540540555</v>
          </cell>
          <cell r="I677" t="e">
            <v>#N/A</v>
          </cell>
          <cell r="J677" t="e">
            <v>#N/A</v>
          </cell>
          <cell r="K677" t="e">
            <v>#N/A</v>
          </cell>
          <cell r="L677" t="e">
            <v>#N/A</v>
          </cell>
          <cell r="M677" t="e">
            <v>#N/A</v>
          </cell>
          <cell r="N677" t="e">
            <v>#N/A</v>
          </cell>
          <cell r="O677" t="e">
            <v>#N/A</v>
          </cell>
          <cell r="P677">
            <v>14.52</v>
          </cell>
          <cell r="Q677" t="str">
            <v/>
          </cell>
          <cell r="R677" t="e">
            <v>#N/A</v>
          </cell>
        </row>
        <row r="678">
          <cell r="A678">
            <v>40952</v>
          </cell>
          <cell r="B678">
            <v>40952</v>
          </cell>
          <cell r="C678" t="str">
            <v>Future</v>
          </cell>
          <cell r="D678" t="e">
            <v>#N/A</v>
          </cell>
          <cell r="E678">
            <v>7.7567567567567313</v>
          </cell>
          <cell r="F678">
            <v>15.797297297297375</v>
          </cell>
          <cell r="G678">
            <v>14.189189189189204</v>
          </cell>
          <cell r="H678">
            <v>14.189189189189204</v>
          </cell>
          <cell r="I678" t="e">
            <v>#N/A</v>
          </cell>
          <cell r="J678" t="e">
            <v>#N/A</v>
          </cell>
          <cell r="K678" t="e">
            <v>#N/A</v>
          </cell>
          <cell r="L678" t="e">
            <v>#N/A</v>
          </cell>
          <cell r="M678" t="e">
            <v>#N/A</v>
          </cell>
          <cell r="N678" t="e">
            <v>#N/A</v>
          </cell>
          <cell r="O678" t="e">
            <v>#N/A</v>
          </cell>
          <cell r="P678">
            <v>14.52</v>
          </cell>
          <cell r="Q678" t="str">
            <v/>
          </cell>
          <cell r="R678" t="e">
            <v>#N/A</v>
          </cell>
        </row>
        <row r="679">
          <cell r="A679">
            <v>40953</v>
          </cell>
          <cell r="B679">
            <v>40953</v>
          </cell>
          <cell r="C679" t="str">
            <v>Future</v>
          </cell>
          <cell r="D679" t="e">
            <v>#N/A</v>
          </cell>
          <cell r="E679">
            <v>7.7013513513513256</v>
          </cell>
          <cell r="F679">
            <v>15.809459459459537</v>
          </cell>
          <cell r="G679">
            <v>14.187837837837852</v>
          </cell>
          <cell r="H679">
            <v>14.187837837837852</v>
          </cell>
          <cell r="I679" t="e">
            <v>#N/A</v>
          </cell>
          <cell r="J679" t="e">
            <v>#N/A</v>
          </cell>
          <cell r="K679" t="e">
            <v>#N/A</v>
          </cell>
          <cell r="L679" t="e">
            <v>#N/A</v>
          </cell>
          <cell r="M679" t="e">
            <v>#N/A</v>
          </cell>
          <cell r="N679" t="e">
            <v>#N/A</v>
          </cell>
          <cell r="O679" t="e">
            <v>#N/A</v>
          </cell>
          <cell r="P679">
            <v>14.52</v>
          </cell>
          <cell r="Q679" t="str">
            <v/>
          </cell>
          <cell r="R679" t="e">
            <v>#N/A</v>
          </cell>
        </row>
        <row r="680">
          <cell r="A680">
            <v>40954</v>
          </cell>
          <cell r="B680">
            <v>40954</v>
          </cell>
          <cell r="C680" t="str">
            <v>Future</v>
          </cell>
          <cell r="D680" t="e">
            <v>#N/A</v>
          </cell>
          <cell r="E680">
            <v>7.64594594594592</v>
          </cell>
          <cell r="F680">
            <v>15.8216216216217</v>
          </cell>
          <cell r="G680">
            <v>14.186486486486501</v>
          </cell>
          <cell r="H680">
            <v>14.186486486486501</v>
          </cell>
          <cell r="I680" t="e">
            <v>#N/A</v>
          </cell>
          <cell r="J680" t="e">
            <v>#N/A</v>
          </cell>
          <cell r="K680" t="e">
            <v>#N/A</v>
          </cell>
          <cell r="L680" t="e">
            <v>#N/A</v>
          </cell>
          <cell r="M680" t="e">
            <v>#N/A</v>
          </cell>
          <cell r="N680" t="e">
            <v>#N/A</v>
          </cell>
          <cell r="O680" t="e">
            <v>#N/A</v>
          </cell>
          <cell r="P680">
            <v>14.52</v>
          </cell>
          <cell r="Q680" t="str">
            <v/>
          </cell>
          <cell r="R680" t="e">
            <v>#N/A</v>
          </cell>
        </row>
        <row r="681">
          <cell r="A681">
            <v>40955</v>
          </cell>
          <cell r="B681">
            <v>40955</v>
          </cell>
          <cell r="C681" t="str">
            <v>Future</v>
          </cell>
          <cell r="D681" t="e">
            <v>#N/A</v>
          </cell>
          <cell r="E681">
            <v>7.5905405405405144</v>
          </cell>
          <cell r="F681">
            <v>15.833783783783863</v>
          </cell>
          <cell r="G681">
            <v>14.18513513513515</v>
          </cell>
          <cell r="H681">
            <v>14.18513513513515</v>
          </cell>
          <cell r="I681" t="e">
            <v>#N/A</v>
          </cell>
          <cell r="J681" t="e">
            <v>#N/A</v>
          </cell>
          <cell r="K681" t="e">
            <v>#N/A</v>
          </cell>
          <cell r="L681" t="e">
            <v>#N/A</v>
          </cell>
          <cell r="M681" t="e">
            <v>#N/A</v>
          </cell>
          <cell r="N681" t="e">
            <v>#N/A</v>
          </cell>
          <cell r="O681" t="e">
            <v>#N/A</v>
          </cell>
          <cell r="P681">
            <v>14.52</v>
          </cell>
          <cell r="Q681" t="str">
            <v/>
          </cell>
          <cell r="R681" t="e">
            <v>#N/A</v>
          </cell>
        </row>
        <row r="682">
          <cell r="A682">
            <v>40956</v>
          </cell>
          <cell r="B682">
            <v>40956</v>
          </cell>
          <cell r="C682" t="str">
            <v>Future</v>
          </cell>
          <cell r="D682" t="e">
            <v>#N/A</v>
          </cell>
          <cell r="E682">
            <v>7.5351351351351088</v>
          </cell>
          <cell r="F682">
            <v>15.845945945946026</v>
          </cell>
          <cell r="G682">
            <v>14.183783783783799</v>
          </cell>
          <cell r="H682">
            <v>14.183783783783799</v>
          </cell>
          <cell r="I682" t="e">
            <v>#N/A</v>
          </cell>
          <cell r="J682" t="e">
            <v>#N/A</v>
          </cell>
          <cell r="K682" t="e">
            <v>#N/A</v>
          </cell>
          <cell r="L682" t="e">
            <v>#N/A</v>
          </cell>
          <cell r="M682" t="e">
            <v>#N/A</v>
          </cell>
          <cell r="N682" t="e">
            <v>#N/A</v>
          </cell>
          <cell r="O682" t="e">
            <v>#N/A</v>
          </cell>
          <cell r="P682">
            <v>14.52</v>
          </cell>
          <cell r="Q682" t="str">
            <v/>
          </cell>
          <cell r="R682" t="e">
            <v>#N/A</v>
          </cell>
        </row>
        <row r="683">
          <cell r="A683">
            <v>40959</v>
          </cell>
          <cell r="B683">
            <v>40959</v>
          </cell>
          <cell r="C683" t="str">
            <v>Future</v>
          </cell>
          <cell r="D683" t="e">
            <v>#N/A</v>
          </cell>
          <cell r="E683">
            <v>7.4797297297297032</v>
          </cell>
          <cell r="F683">
            <v>15.858108108108189</v>
          </cell>
          <cell r="G683">
            <v>14.182432432432448</v>
          </cell>
          <cell r="H683">
            <v>14.182432432432448</v>
          </cell>
          <cell r="I683" t="e">
            <v>#N/A</v>
          </cell>
          <cell r="J683" t="e">
            <v>#N/A</v>
          </cell>
          <cell r="K683" t="e">
            <v>#N/A</v>
          </cell>
          <cell r="L683" t="e">
            <v>#N/A</v>
          </cell>
          <cell r="M683" t="e">
            <v>#N/A</v>
          </cell>
          <cell r="N683" t="e">
            <v>#N/A</v>
          </cell>
          <cell r="O683" t="e">
            <v>#N/A</v>
          </cell>
          <cell r="P683">
            <v>14.52</v>
          </cell>
          <cell r="Q683" t="str">
            <v/>
          </cell>
          <cell r="R683" t="e">
            <v>#N/A</v>
          </cell>
        </row>
        <row r="684">
          <cell r="A684">
            <v>40960</v>
          </cell>
          <cell r="B684">
            <v>40960</v>
          </cell>
          <cell r="C684" t="str">
            <v>Future</v>
          </cell>
          <cell r="D684" t="e">
            <v>#N/A</v>
          </cell>
          <cell r="E684">
            <v>7.4243243243242976</v>
          </cell>
          <cell r="F684">
            <v>15.870270270270352</v>
          </cell>
          <cell r="G684">
            <v>14.181081081081096</v>
          </cell>
          <cell r="H684">
            <v>14.181081081081096</v>
          </cell>
          <cell r="I684" t="e">
            <v>#N/A</v>
          </cell>
          <cell r="J684" t="e">
            <v>#N/A</v>
          </cell>
          <cell r="K684" t="e">
            <v>#N/A</v>
          </cell>
          <cell r="L684" t="e">
            <v>#N/A</v>
          </cell>
          <cell r="M684" t="e">
            <v>#N/A</v>
          </cell>
          <cell r="N684" t="e">
            <v>#N/A</v>
          </cell>
          <cell r="O684" t="e">
            <v>#N/A</v>
          </cell>
          <cell r="P684">
            <v>14.52</v>
          </cell>
          <cell r="Q684" t="str">
            <v/>
          </cell>
          <cell r="R684" t="e">
            <v>#N/A</v>
          </cell>
        </row>
        <row r="685">
          <cell r="A685">
            <v>40961</v>
          </cell>
          <cell r="B685">
            <v>40961</v>
          </cell>
          <cell r="C685" t="str">
            <v>Future</v>
          </cell>
          <cell r="D685" t="e">
            <v>#N/A</v>
          </cell>
          <cell r="E685">
            <v>7.3689189189188919</v>
          </cell>
          <cell r="F685">
            <v>15.882432432432514</v>
          </cell>
          <cell r="G685">
            <v>14.179729729729745</v>
          </cell>
          <cell r="H685">
            <v>14.179729729729745</v>
          </cell>
          <cell r="I685" t="e">
            <v>#N/A</v>
          </cell>
          <cell r="J685" t="e">
            <v>#N/A</v>
          </cell>
          <cell r="K685" t="e">
            <v>#N/A</v>
          </cell>
          <cell r="L685" t="e">
            <v>#N/A</v>
          </cell>
          <cell r="M685" t="e">
            <v>#N/A</v>
          </cell>
          <cell r="N685" t="e">
            <v>#N/A</v>
          </cell>
          <cell r="O685" t="e">
            <v>#N/A</v>
          </cell>
          <cell r="P685">
            <v>14.52</v>
          </cell>
          <cell r="Q685" t="str">
            <v/>
          </cell>
          <cell r="R685" t="e">
            <v>#N/A</v>
          </cell>
        </row>
        <row r="686">
          <cell r="A686">
            <v>40962</v>
          </cell>
          <cell r="B686">
            <v>40962</v>
          </cell>
          <cell r="C686" t="str">
            <v>Future</v>
          </cell>
          <cell r="D686" t="e">
            <v>#N/A</v>
          </cell>
          <cell r="E686">
            <v>7.3135135135134863</v>
          </cell>
          <cell r="F686">
            <v>15.894594594594677</v>
          </cell>
          <cell r="G686">
            <v>14.178378378378394</v>
          </cell>
          <cell r="H686">
            <v>14.178378378378394</v>
          </cell>
          <cell r="I686" t="e">
            <v>#N/A</v>
          </cell>
          <cell r="J686" t="e">
            <v>#N/A</v>
          </cell>
          <cell r="K686" t="e">
            <v>#N/A</v>
          </cell>
          <cell r="L686" t="e">
            <v>#N/A</v>
          </cell>
          <cell r="M686" t="e">
            <v>#N/A</v>
          </cell>
          <cell r="N686" t="e">
            <v>#N/A</v>
          </cell>
          <cell r="O686" t="e">
            <v>#N/A</v>
          </cell>
          <cell r="P686">
            <v>14.52</v>
          </cell>
          <cell r="Q686" t="str">
            <v/>
          </cell>
          <cell r="R686" t="e">
            <v>#N/A</v>
          </cell>
        </row>
        <row r="687">
          <cell r="A687">
            <v>40963</v>
          </cell>
          <cell r="B687">
            <v>40963</v>
          </cell>
          <cell r="C687" t="str">
            <v>Future</v>
          </cell>
          <cell r="D687" t="e">
            <v>#N/A</v>
          </cell>
          <cell r="E687">
            <v>7.2581081081080807</v>
          </cell>
          <cell r="F687">
            <v>15.90675675675684</v>
          </cell>
          <cell r="G687">
            <v>14.177027027027043</v>
          </cell>
          <cell r="H687">
            <v>14.177027027027043</v>
          </cell>
          <cell r="I687" t="e">
            <v>#N/A</v>
          </cell>
          <cell r="J687" t="e">
            <v>#N/A</v>
          </cell>
          <cell r="K687" t="e">
            <v>#N/A</v>
          </cell>
          <cell r="L687" t="e">
            <v>#N/A</v>
          </cell>
          <cell r="M687" t="e">
            <v>#N/A</v>
          </cell>
          <cell r="N687" t="e">
            <v>#N/A</v>
          </cell>
          <cell r="O687" t="e">
            <v>#N/A</v>
          </cell>
          <cell r="P687">
            <v>14.52</v>
          </cell>
          <cell r="Q687" t="str">
            <v/>
          </cell>
          <cell r="R687" t="e">
            <v>#N/A</v>
          </cell>
        </row>
        <row r="688">
          <cell r="A688">
            <v>40966</v>
          </cell>
          <cell r="B688">
            <v>40966</v>
          </cell>
          <cell r="C688" t="str">
            <v>Future</v>
          </cell>
          <cell r="D688" t="e">
            <v>#N/A</v>
          </cell>
          <cell r="E688">
            <v>7.2027027027026751</v>
          </cell>
          <cell r="F688">
            <v>15.918918918919003</v>
          </cell>
          <cell r="G688">
            <v>14.175675675675691</v>
          </cell>
          <cell r="H688">
            <v>14.175675675675691</v>
          </cell>
          <cell r="I688" t="e">
            <v>#N/A</v>
          </cell>
          <cell r="J688" t="e">
            <v>#N/A</v>
          </cell>
          <cell r="K688" t="e">
            <v>#N/A</v>
          </cell>
          <cell r="L688" t="e">
            <v>#N/A</v>
          </cell>
          <cell r="M688" t="e">
            <v>#N/A</v>
          </cell>
          <cell r="N688" t="e">
            <v>#N/A</v>
          </cell>
          <cell r="O688" t="e">
            <v>#N/A</v>
          </cell>
          <cell r="P688">
            <v>14.52</v>
          </cell>
          <cell r="Q688" t="str">
            <v/>
          </cell>
          <cell r="R688" t="e">
            <v>#N/A</v>
          </cell>
        </row>
        <row r="689">
          <cell r="A689">
            <v>40967</v>
          </cell>
          <cell r="B689">
            <v>40967</v>
          </cell>
          <cell r="C689" t="str">
            <v>Future</v>
          </cell>
          <cell r="D689" t="e">
            <v>#N/A</v>
          </cell>
          <cell r="E689">
            <v>7.1472972972972695</v>
          </cell>
          <cell r="F689">
            <v>15.931081081081166</v>
          </cell>
          <cell r="G689">
            <v>14.17432432432434</v>
          </cell>
          <cell r="H689">
            <v>14.17432432432434</v>
          </cell>
          <cell r="I689" t="e">
            <v>#N/A</v>
          </cell>
          <cell r="J689" t="e">
            <v>#N/A</v>
          </cell>
          <cell r="K689" t="e">
            <v>#N/A</v>
          </cell>
          <cell r="L689" t="e">
            <v>#N/A</v>
          </cell>
          <cell r="M689" t="e">
            <v>#N/A</v>
          </cell>
          <cell r="N689" t="e">
            <v>#N/A</v>
          </cell>
          <cell r="O689" t="e">
            <v>#N/A</v>
          </cell>
          <cell r="P689">
            <v>14.52</v>
          </cell>
          <cell r="Q689" t="str">
            <v/>
          </cell>
          <cell r="R689" t="e">
            <v>#N/A</v>
          </cell>
        </row>
        <row r="690">
          <cell r="A690">
            <v>40968</v>
          </cell>
          <cell r="B690">
            <v>40968</v>
          </cell>
          <cell r="C690" t="str">
            <v>Future</v>
          </cell>
          <cell r="D690" t="e">
            <v>#N/A</v>
          </cell>
          <cell r="E690">
            <v>7.0918918918918639</v>
          </cell>
          <cell r="F690">
            <v>15.943243243243328</v>
          </cell>
          <cell r="G690">
            <v>14.172972972972989</v>
          </cell>
          <cell r="H690">
            <v>14.172972972972989</v>
          </cell>
          <cell r="I690" t="e">
            <v>#N/A</v>
          </cell>
          <cell r="J690" t="e">
            <v>#N/A</v>
          </cell>
          <cell r="K690" t="e">
            <v>#N/A</v>
          </cell>
          <cell r="L690" t="e">
            <v>#N/A</v>
          </cell>
          <cell r="M690" t="e">
            <v>#N/A</v>
          </cell>
          <cell r="N690" t="e">
            <v>#N/A</v>
          </cell>
          <cell r="O690" t="e">
            <v>#N/A</v>
          </cell>
          <cell r="P690">
            <v>14.52</v>
          </cell>
          <cell r="Q690" t="str">
            <v/>
          </cell>
          <cell r="R690" t="e">
            <v>#N/A</v>
          </cell>
        </row>
        <row r="691">
          <cell r="A691">
            <v>40969</v>
          </cell>
          <cell r="B691">
            <v>40969</v>
          </cell>
          <cell r="C691" t="str">
            <v>Future</v>
          </cell>
          <cell r="D691" t="e">
            <v>#N/A</v>
          </cell>
          <cell r="E691">
            <v>7.0364864864864582</v>
          </cell>
          <cell r="F691">
            <v>15.955405405405491</v>
          </cell>
          <cell r="G691">
            <v>14.171621621621638</v>
          </cell>
          <cell r="H691">
            <v>14.171621621621638</v>
          </cell>
          <cell r="I691" t="e">
            <v>#N/A</v>
          </cell>
          <cell r="J691" t="e">
            <v>#N/A</v>
          </cell>
          <cell r="K691" t="e">
            <v>#N/A</v>
          </cell>
          <cell r="L691" t="e">
            <v>#N/A</v>
          </cell>
          <cell r="M691" t="e">
            <v>#N/A</v>
          </cell>
          <cell r="N691" t="e">
            <v>#N/A</v>
          </cell>
          <cell r="O691" t="e">
            <v>#N/A</v>
          </cell>
          <cell r="P691">
            <v>14.52</v>
          </cell>
          <cell r="Q691" t="str">
            <v/>
          </cell>
          <cell r="R691" t="e">
            <v>#N/A</v>
          </cell>
        </row>
        <row r="692">
          <cell r="A692">
            <v>40970</v>
          </cell>
          <cell r="B692">
            <v>40970</v>
          </cell>
          <cell r="C692" t="str">
            <v>Future</v>
          </cell>
          <cell r="D692" t="e">
            <v>#N/A</v>
          </cell>
          <cell r="E692">
            <v>6.9810810810810526</v>
          </cell>
          <cell r="F692">
            <v>15.967567567567654</v>
          </cell>
          <cell r="G692">
            <v>14.170270270270287</v>
          </cell>
          <cell r="H692">
            <v>14.170270270270287</v>
          </cell>
          <cell r="I692" t="e">
            <v>#N/A</v>
          </cell>
          <cell r="J692" t="e">
            <v>#N/A</v>
          </cell>
          <cell r="K692" t="e">
            <v>#N/A</v>
          </cell>
          <cell r="L692" t="e">
            <v>#N/A</v>
          </cell>
          <cell r="M692" t="e">
            <v>#N/A</v>
          </cell>
          <cell r="N692" t="e">
            <v>#N/A</v>
          </cell>
          <cell r="O692" t="e">
            <v>#N/A</v>
          </cell>
          <cell r="P692">
            <v>14.52</v>
          </cell>
          <cell r="Q692" t="str">
            <v/>
          </cell>
          <cell r="R692" t="e">
            <v>#N/A</v>
          </cell>
        </row>
        <row r="693">
          <cell r="A693">
            <v>40973</v>
          </cell>
          <cell r="B693">
            <v>40973</v>
          </cell>
          <cell r="C693" t="str">
            <v>Future</v>
          </cell>
          <cell r="D693" t="e">
            <v>#N/A</v>
          </cell>
          <cell r="E693">
            <v>6.925675675675647</v>
          </cell>
          <cell r="F693">
            <v>15.979729729729817</v>
          </cell>
          <cell r="G693">
            <v>14.168918918918935</v>
          </cell>
          <cell r="H693">
            <v>14.168918918918935</v>
          </cell>
          <cell r="I693" t="e">
            <v>#N/A</v>
          </cell>
          <cell r="J693" t="e">
            <v>#N/A</v>
          </cell>
          <cell r="K693" t="e">
            <v>#N/A</v>
          </cell>
          <cell r="L693" t="e">
            <v>#N/A</v>
          </cell>
          <cell r="M693" t="e">
            <v>#N/A</v>
          </cell>
          <cell r="N693" t="e">
            <v>#N/A</v>
          </cell>
          <cell r="O693" t="e">
            <v>#N/A</v>
          </cell>
          <cell r="P693">
            <v>14.52</v>
          </cell>
          <cell r="Q693" t="str">
            <v/>
          </cell>
          <cell r="R693" t="e">
            <v>#N/A</v>
          </cell>
        </row>
        <row r="694">
          <cell r="A694">
            <v>40974</v>
          </cell>
          <cell r="B694">
            <v>40974</v>
          </cell>
          <cell r="C694" t="str">
            <v>Future</v>
          </cell>
          <cell r="D694" t="e">
            <v>#N/A</v>
          </cell>
          <cell r="E694">
            <v>6.8702702702702414</v>
          </cell>
          <cell r="F694">
            <v>15.99189189189198</v>
          </cell>
          <cell r="G694">
            <v>14.167567567567584</v>
          </cell>
          <cell r="H694">
            <v>14.167567567567584</v>
          </cell>
          <cell r="I694" t="e">
            <v>#N/A</v>
          </cell>
          <cell r="J694" t="e">
            <v>#N/A</v>
          </cell>
          <cell r="K694" t="e">
            <v>#N/A</v>
          </cell>
          <cell r="L694" t="e">
            <v>#N/A</v>
          </cell>
          <cell r="M694" t="e">
            <v>#N/A</v>
          </cell>
          <cell r="N694" t="e">
            <v>#N/A</v>
          </cell>
          <cell r="O694" t="e">
            <v>#N/A</v>
          </cell>
          <cell r="P694">
            <v>14.52</v>
          </cell>
          <cell r="Q694" t="str">
            <v/>
          </cell>
          <cell r="R694" t="e">
            <v>#N/A</v>
          </cell>
        </row>
        <row r="695">
          <cell r="A695">
            <v>40975</v>
          </cell>
          <cell r="B695">
            <v>40975</v>
          </cell>
          <cell r="C695" t="str">
            <v>Future</v>
          </cell>
          <cell r="D695" t="e">
            <v>#N/A</v>
          </cell>
          <cell r="E695">
            <v>6.8148648648648358</v>
          </cell>
          <cell r="F695">
            <v>16.004054054054141</v>
          </cell>
          <cell r="G695">
            <v>14.166216216216233</v>
          </cell>
          <cell r="H695">
            <v>14.166216216216233</v>
          </cell>
          <cell r="I695" t="e">
            <v>#N/A</v>
          </cell>
          <cell r="J695" t="e">
            <v>#N/A</v>
          </cell>
          <cell r="K695" t="e">
            <v>#N/A</v>
          </cell>
          <cell r="L695" t="e">
            <v>#N/A</v>
          </cell>
          <cell r="M695" t="e">
            <v>#N/A</v>
          </cell>
          <cell r="N695" t="e">
            <v>#N/A</v>
          </cell>
          <cell r="O695" t="e">
            <v>#N/A</v>
          </cell>
          <cell r="P695">
            <v>14.52</v>
          </cell>
          <cell r="Q695" t="str">
            <v/>
          </cell>
          <cell r="R695" t="e">
            <v>#N/A</v>
          </cell>
        </row>
        <row r="696">
          <cell r="A696">
            <v>40976</v>
          </cell>
          <cell r="B696">
            <v>40976</v>
          </cell>
          <cell r="C696" t="str">
            <v>Future</v>
          </cell>
          <cell r="D696" t="e">
            <v>#N/A</v>
          </cell>
          <cell r="E696">
            <v>6.7594594594594302</v>
          </cell>
          <cell r="F696">
            <v>16.016216216216304</v>
          </cell>
          <cell r="G696">
            <v>14.164864864864882</v>
          </cell>
          <cell r="H696">
            <v>14.164864864864882</v>
          </cell>
          <cell r="I696" t="e">
            <v>#N/A</v>
          </cell>
          <cell r="J696" t="e">
            <v>#N/A</v>
          </cell>
          <cell r="K696" t="e">
            <v>#N/A</v>
          </cell>
          <cell r="L696" t="e">
            <v>#N/A</v>
          </cell>
          <cell r="M696" t="e">
            <v>#N/A</v>
          </cell>
          <cell r="N696" t="e">
            <v>#N/A</v>
          </cell>
          <cell r="O696" t="e">
            <v>#N/A</v>
          </cell>
          <cell r="P696">
            <v>14.52</v>
          </cell>
          <cell r="Q696" t="str">
            <v/>
          </cell>
          <cell r="R696" t="e">
            <v>#N/A</v>
          </cell>
        </row>
        <row r="697">
          <cell r="A697">
            <v>40977</v>
          </cell>
          <cell r="B697">
            <v>40977</v>
          </cell>
          <cell r="C697" t="str">
            <v>Future</v>
          </cell>
          <cell r="D697" t="e">
            <v>#N/A</v>
          </cell>
          <cell r="E697">
            <v>6.7040540540540245</v>
          </cell>
          <cell r="F697">
            <v>16.028378378378466</v>
          </cell>
          <cell r="G697">
            <v>14.16351351351353</v>
          </cell>
          <cell r="H697">
            <v>14.16351351351353</v>
          </cell>
          <cell r="I697" t="e">
            <v>#N/A</v>
          </cell>
          <cell r="J697" t="e">
            <v>#N/A</v>
          </cell>
          <cell r="K697" t="e">
            <v>#N/A</v>
          </cell>
          <cell r="L697" t="e">
            <v>#N/A</v>
          </cell>
          <cell r="M697" t="e">
            <v>#N/A</v>
          </cell>
          <cell r="N697" t="e">
            <v>#N/A</v>
          </cell>
          <cell r="O697" t="e">
            <v>#N/A</v>
          </cell>
          <cell r="P697">
            <v>14.52</v>
          </cell>
          <cell r="Q697" t="str">
            <v/>
          </cell>
          <cell r="R697" t="e">
            <v>#N/A</v>
          </cell>
        </row>
        <row r="698">
          <cell r="A698">
            <v>40980</v>
          </cell>
          <cell r="B698">
            <v>40980</v>
          </cell>
          <cell r="C698" t="str">
            <v>Future</v>
          </cell>
          <cell r="D698" t="e">
            <v>#N/A</v>
          </cell>
          <cell r="E698">
            <v>6.6486486486486189</v>
          </cell>
          <cell r="F698">
            <v>16.040540540540629</v>
          </cell>
          <cell r="G698">
            <v>14.162162162162179</v>
          </cell>
          <cell r="H698">
            <v>14.162162162162179</v>
          </cell>
          <cell r="I698" t="e">
            <v>#N/A</v>
          </cell>
          <cell r="J698" t="e">
            <v>#N/A</v>
          </cell>
          <cell r="K698" t="e">
            <v>#N/A</v>
          </cell>
          <cell r="L698" t="e">
            <v>#N/A</v>
          </cell>
          <cell r="M698" t="e">
            <v>#N/A</v>
          </cell>
          <cell r="N698" t="e">
            <v>#N/A</v>
          </cell>
          <cell r="O698" t="e">
            <v>#N/A</v>
          </cell>
          <cell r="P698">
            <v>14.52</v>
          </cell>
          <cell r="Q698" t="str">
            <v/>
          </cell>
          <cell r="R698" t="e">
            <v>#N/A</v>
          </cell>
        </row>
        <row r="699">
          <cell r="A699">
            <v>40981</v>
          </cell>
          <cell r="B699">
            <v>40981</v>
          </cell>
          <cell r="C699" t="str">
            <v>Future</v>
          </cell>
          <cell r="D699" t="e">
            <v>#N/A</v>
          </cell>
          <cell r="E699">
            <v>6.5932432432432133</v>
          </cell>
          <cell r="F699">
            <v>16.052702702702792</v>
          </cell>
          <cell r="G699">
            <v>14.160810810810828</v>
          </cell>
          <cell r="H699">
            <v>14.160810810810828</v>
          </cell>
          <cell r="I699" t="e">
            <v>#N/A</v>
          </cell>
          <cell r="J699" t="e">
            <v>#N/A</v>
          </cell>
          <cell r="K699" t="e">
            <v>#N/A</v>
          </cell>
          <cell r="L699" t="e">
            <v>#N/A</v>
          </cell>
          <cell r="M699" t="e">
            <v>#N/A</v>
          </cell>
          <cell r="N699" t="e">
            <v>#N/A</v>
          </cell>
          <cell r="O699" t="e">
            <v>#N/A</v>
          </cell>
          <cell r="P699">
            <v>14.52</v>
          </cell>
          <cell r="Q699" t="str">
            <v/>
          </cell>
          <cell r="R699" t="e">
            <v>#N/A</v>
          </cell>
        </row>
        <row r="700">
          <cell r="A700">
            <v>40982</v>
          </cell>
          <cell r="B700">
            <v>40982</v>
          </cell>
          <cell r="C700" t="str">
            <v>Future</v>
          </cell>
          <cell r="D700" t="e">
            <v>#N/A</v>
          </cell>
          <cell r="E700">
            <v>6.5378378378378077</v>
          </cell>
          <cell r="F700">
            <v>16.064864864864955</v>
          </cell>
          <cell r="G700">
            <v>14.159459459459477</v>
          </cell>
          <cell r="H700">
            <v>14.159459459459477</v>
          </cell>
          <cell r="I700" t="e">
            <v>#N/A</v>
          </cell>
          <cell r="J700" t="e">
            <v>#N/A</v>
          </cell>
          <cell r="K700" t="e">
            <v>#N/A</v>
          </cell>
          <cell r="L700" t="e">
            <v>#N/A</v>
          </cell>
          <cell r="M700" t="e">
            <v>#N/A</v>
          </cell>
          <cell r="N700" t="e">
            <v>#N/A</v>
          </cell>
          <cell r="O700" t="e">
            <v>#N/A</v>
          </cell>
          <cell r="P700">
            <v>14.52</v>
          </cell>
          <cell r="Q700" t="str">
            <v/>
          </cell>
          <cell r="R700" t="e">
            <v>#N/A</v>
          </cell>
        </row>
        <row r="701">
          <cell r="A701">
            <v>40983</v>
          </cell>
          <cell r="B701">
            <v>40983</v>
          </cell>
          <cell r="C701" t="str">
            <v>Future</v>
          </cell>
          <cell r="D701" t="e">
            <v>#N/A</v>
          </cell>
          <cell r="E701">
            <v>6.4824324324324021</v>
          </cell>
          <cell r="F701">
            <v>16.077027027027118</v>
          </cell>
          <cell r="G701">
            <v>14.158108108108125</v>
          </cell>
          <cell r="H701">
            <v>14.158108108108125</v>
          </cell>
          <cell r="I701" t="e">
            <v>#N/A</v>
          </cell>
          <cell r="J701" t="e">
            <v>#N/A</v>
          </cell>
          <cell r="K701" t="e">
            <v>#N/A</v>
          </cell>
          <cell r="L701" t="e">
            <v>#N/A</v>
          </cell>
          <cell r="M701" t="e">
            <v>#N/A</v>
          </cell>
          <cell r="N701" t="e">
            <v>#N/A</v>
          </cell>
          <cell r="O701" t="e">
            <v>#N/A</v>
          </cell>
          <cell r="P701">
            <v>14.52</v>
          </cell>
          <cell r="Q701" t="str">
            <v/>
          </cell>
          <cell r="R701" t="e">
            <v>#N/A</v>
          </cell>
        </row>
        <row r="702">
          <cell r="A702">
            <v>40984</v>
          </cell>
          <cell r="B702">
            <v>40984</v>
          </cell>
          <cell r="C702" t="str">
            <v>Future</v>
          </cell>
          <cell r="D702" t="e">
            <v>#N/A</v>
          </cell>
          <cell r="E702">
            <v>6.4270270270269965</v>
          </cell>
          <cell r="F702">
            <v>16.08918918918928</v>
          </cell>
          <cell r="G702">
            <v>14.156756756756774</v>
          </cell>
          <cell r="H702">
            <v>14.156756756756774</v>
          </cell>
          <cell r="I702" t="e">
            <v>#N/A</v>
          </cell>
          <cell r="J702" t="e">
            <v>#N/A</v>
          </cell>
          <cell r="K702" t="e">
            <v>#N/A</v>
          </cell>
          <cell r="L702" t="e">
            <v>#N/A</v>
          </cell>
          <cell r="M702" t="e">
            <v>#N/A</v>
          </cell>
          <cell r="N702" t="e">
            <v>#N/A</v>
          </cell>
          <cell r="O702" t="e">
            <v>#N/A</v>
          </cell>
          <cell r="P702">
            <v>14.52</v>
          </cell>
          <cell r="Q702" t="str">
            <v/>
          </cell>
          <cell r="R702" t="e">
            <v>#N/A</v>
          </cell>
        </row>
        <row r="703">
          <cell r="A703">
            <v>40987</v>
          </cell>
          <cell r="B703">
            <v>40987</v>
          </cell>
          <cell r="C703" t="str">
            <v>Future</v>
          </cell>
          <cell r="D703" t="e">
            <v>#N/A</v>
          </cell>
          <cell r="E703">
            <v>6.3716216216215908</v>
          </cell>
          <cell r="F703">
            <v>16.101351351351443</v>
          </cell>
          <cell r="G703">
            <v>14.155405405405423</v>
          </cell>
          <cell r="H703">
            <v>14.155405405405423</v>
          </cell>
          <cell r="I703" t="e">
            <v>#N/A</v>
          </cell>
          <cell r="J703" t="e">
            <v>#N/A</v>
          </cell>
          <cell r="K703" t="e">
            <v>#N/A</v>
          </cell>
          <cell r="L703" t="e">
            <v>#N/A</v>
          </cell>
          <cell r="M703" t="e">
            <v>#N/A</v>
          </cell>
          <cell r="N703" t="e">
            <v>#N/A</v>
          </cell>
          <cell r="O703" t="e">
            <v>#N/A</v>
          </cell>
          <cell r="P703">
            <v>14.52</v>
          </cell>
          <cell r="Q703" t="str">
            <v/>
          </cell>
          <cell r="R703" t="e">
            <v>#N/A</v>
          </cell>
        </row>
        <row r="704">
          <cell r="A704">
            <v>40988</v>
          </cell>
          <cell r="B704">
            <v>40988</v>
          </cell>
          <cell r="C704" t="str">
            <v>Future</v>
          </cell>
          <cell r="D704" t="e">
            <v>#N/A</v>
          </cell>
          <cell r="E704">
            <v>6.3162162162161852</v>
          </cell>
          <cell r="F704">
            <v>16.113513513513606</v>
          </cell>
          <cell r="G704">
            <v>14.154054054054072</v>
          </cell>
          <cell r="H704">
            <v>14.154054054054072</v>
          </cell>
          <cell r="I704" t="e">
            <v>#N/A</v>
          </cell>
          <cell r="J704" t="e">
            <v>#N/A</v>
          </cell>
          <cell r="K704" t="e">
            <v>#N/A</v>
          </cell>
          <cell r="L704" t="e">
            <v>#N/A</v>
          </cell>
          <cell r="M704" t="e">
            <v>#N/A</v>
          </cell>
          <cell r="N704" t="e">
            <v>#N/A</v>
          </cell>
          <cell r="O704" t="e">
            <v>#N/A</v>
          </cell>
          <cell r="P704">
            <v>14.52</v>
          </cell>
          <cell r="Q704" t="str">
            <v/>
          </cell>
          <cell r="R704" t="e">
            <v>#N/A</v>
          </cell>
        </row>
        <row r="705">
          <cell r="A705">
            <v>40989</v>
          </cell>
          <cell r="B705">
            <v>40989</v>
          </cell>
          <cell r="C705" t="str">
            <v>Future</v>
          </cell>
          <cell r="D705" t="e">
            <v>#N/A</v>
          </cell>
          <cell r="E705">
            <v>6.2608108108107796</v>
          </cell>
          <cell r="F705">
            <v>16.125675675675769</v>
          </cell>
          <cell r="G705">
            <v>14.152702702702721</v>
          </cell>
          <cell r="H705">
            <v>14.152702702702721</v>
          </cell>
          <cell r="I705" t="e">
            <v>#N/A</v>
          </cell>
          <cell r="J705" t="e">
            <v>#N/A</v>
          </cell>
          <cell r="K705" t="e">
            <v>#N/A</v>
          </cell>
          <cell r="L705" t="e">
            <v>#N/A</v>
          </cell>
          <cell r="M705" t="e">
            <v>#N/A</v>
          </cell>
          <cell r="N705" t="e">
            <v>#N/A</v>
          </cell>
          <cell r="O705" t="e">
            <v>#N/A</v>
          </cell>
          <cell r="P705">
            <v>14.52</v>
          </cell>
          <cell r="Q705" t="str">
            <v/>
          </cell>
          <cell r="R705" t="e">
            <v>#N/A</v>
          </cell>
        </row>
        <row r="706">
          <cell r="A706">
            <v>40990</v>
          </cell>
          <cell r="B706">
            <v>40990</v>
          </cell>
          <cell r="C706" t="str">
            <v>Future</v>
          </cell>
          <cell r="D706" t="e">
            <v>#N/A</v>
          </cell>
          <cell r="E706">
            <v>6.205405405405374</v>
          </cell>
          <cell r="F706">
            <v>16.137837837837932</v>
          </cell>
          <cell r="G706">
            <v>14.151351351351369</v>
          </cell>
          <cell r="H706">
            <v>14.151351351351369</v>
          </cell>
          <cell r="I706" t="e">
            <v>#N/A</v>
          </cell>
          <cell r="J706" t="e">
            <v>#N/A</v>
          </cell>
          <cell r="K706" t="e">
            <v>#N/A</v>
          </cell>
          <cell r="L706" t="e">
            <v>#N/A</v>
          </cell>
          <cell r="M706" t="e">
            <v>#N/A</v>
          </cell>
          <cell r="N706" t="e">
            <v>#N/A</v>
          </cell>
          <cell r="O706" t="e">
            <v>#N/A</v>
          </cell>
          <cell r="P706">
            <v>14.52</v>
          </cell>
          <cell r="Q706" t="str">
            <v/>
          </cell>
          <cell r="R706" t="e">
            <v>#N/A</v>
          </cell>
        </row>
        <row r="707">
          <cell r="A707">
            <v>40991</v>
          </cell>
          <cell r="B707">
            <v>40991</v>
          </cell>
          <cell r="C707" t="str">
            <v>Future</v>
          </cell>
          <cell r="D707" t="e">
            <v>#N/A</v>
          </cell>
          <cell r="E707">
            <v>6.1499999999999684</v>
          </cell>
          <cell r="F707">
            <v>16.150000000000095</v>
          </cell>
          <cell r="G707">
            <v>14.150000000000018</v>
          </cell>
          <cell r="H707">
            <v>14.150000000000018</v>
          </cell>
          <cell r="I707" t="e">
            <v>#N/A</v>
          </cell>
          <cell r="J707" t="e">
            <v>#N/A</v>
          </cell>
          <cell r="K707" t="e">
            <v>#N/A</v>
          </cell>
          <cell r="L707" t="e">
            <v>#N/A</v>
          </cell>
          <cell r="M707" t="e">
            <v>#N/A</v>
          </cell>
          <cell r="N707" t="e">
            <v>#N/A</v>
          </cell>
          <cell r="O707" t="e">
            <v>#N/A</v>
          </cell>
          <cell r="P707">
            <v>14.52</v>
          </cell>
          <cell r="Q707" t="str">
            <v/>
          </cell>
          <cell r="R707" t="e">
            <v>#N/A</v>
          </cell>
        </row>
        <row r="708">
          <cell r="A708">
            <v>40994</v>
          </cell>
          <cell r="B708">
            <v>40994</v>
          </cell>
          <cell r="C708" t="str">
            <v>Future</v>
          </cell>
          <cell r="D708" t="e">
            <v>#N/A</v>
          </cell>
          <cell r="E708">
            <v>6.0945945945945628</v>
          </cell>
          <cell r="F708">
            <v>16.162162162162257</v>
          </cell>
          <cell r="G708">
            <v>14.148648648648667</v>
          </cell>
          <cell r="H708">
            <v>14.148648648648667</v>
          </cell>
          <cell r="I708" t="e">
            <v>#N/A</v>
          </cell>
          <cell r="J708" t="e">
            <v>#N/A</v>
          </cell>
          <cell r="K708" t="e">
            <v>#N/A</v>
          </cell>
          <cell r="L708" t="e">
            <v>#N/A</v>
          </cell>
          <cell r="M708" t="e">
            <v>#N/A</v>
          </cell>
          <cell r="N708" t="e">
            <v>#N/A</v>
          </cell>
          <cell r="O708" t="e">
            <v>#N/A</v>
          </cell>
          <cell r="P708">
            <v>14.52</v>
          </cell>
          <cell r="Q708" t="str">
            <v/>
          </cell>
          <cell r="R708" t="e">
            <v>#N/A</v>
          </cell>
        </row>
        <row r="709">
          <cell r="A709">
            <v>40995</v>
          </cell>
          <cell r="B709">
            <v>40995</v>
          </cell>
          <cell r="C709" t="str">
            <v>Future</v>
          </cell>
          <cell r="D709" t="e">
            <v>#N/A</v>
          </cell>
          <cell r="E709">
            <v>6.0391891891891571</v>
          </cell>
          <cell r="F709">
            <v>16.17432432432442</v>
          </cell>
          <cell r="G709">
            <v>14.147297297297316</v>
          </cell>
          <cell r="H709">
            <v>14.147297297297316</v>
          </cell>
          <cell r="I709" t="e">
            <v>#N/A</v>
          </cell>
          <cell r="J709" t="e">
            <v>#N/A</v>
          </cell>
          <cell r="K709" t="e">
            <v>#N/A</v>
          </cell>
          <cell r="L709" t="e">
            <v>#N/A</v>
          </cell>
          <cell r="M709" t="e">
            <v>#N/A</v>
          </cell>
          <cell r="N709" t="e">
            <v>#N/A</v>
          </cell>
          <cell r="O709" t="e">
            <v>#N/A</v>
          </cell>
          <cell r="P709">
            <v>14.52</v>
          </cell>
          <cell r="Q709" t="str">
            <v/>
          </cell>
          <cell r="R709" t="e">
            <v>#N/A</v>
          </cell>
        </row>
        <row r="710">
          <cell r="A710">
            <v>40996</v>
          </cell>
          <cell r="B710">
            <v>40996</v>
          </cell>
          <cell r="C710" t="str">
            <v>Future</v>
          </cell>
          <cell r="D710" t="e">
            <v>#N/A</v>
          </cell>
          <cell r="E710">
            <v>5.9837837837837515</v>
          </cell>
          <cell r="F710">
            <v>16.186486486486583</v>
          </cell>
          <cell r="G710">
            <v>14.145945945945964</v>
          </cell>
          <cell r="H710">
            <v>14.145945945945964</v>
          </cell>
          <cell r="I710" t="e">
            <v>#N/A</v>
          </cell>
          <cell r="J710" t="e">
            <v>#N/A</v>
          </cell>
          <cell r="K710" t="e">
            <v>#N/A</v>
          </cell>
          <cell r="L710" t="e">
            <v>#N/A</v>
          </cell>
          <cell r="M710" t="e">
            <v>#N/A</v>
          </cell>
          <cell r="N710" t="e">
            <v>#N/A</v>
          </cell>
          <cell r="O710" t="e">
            <v>#N/A</v>
          </cell>
          <cell r="P710">
            <v>14.52</v>
          </cell>
          <cell r="Q710" t="str">
            <v/>
          </cell>
          <cell r="R710" t="e">
            <v>#N/A</v>
          </cell>
        </row>
        <row r="711">
          <cell r="A711">
            <v>40997</v>
          </cell>
          <cell r="B711">
            <v>40997</v>
          </cell>
          <cell r="C711" t="str">
            <v>Future</v>
          </cell>
          <cell r="D711" t="e">
            <v>#N/A</v>
          </cell>
          <cell r="E711">
            <v>5.9283783783783459</v>
          </cell>
          <cell r="F711">
            <v>16.198648648648746</v>
          </cell>
          <cell r="G711">
            <v>14.144594594594613</v>
          </cell>
          <cell r="H711">
            <v>14.144594594594613</v>
          </cell>
          <cell r="I711" t="e">
            <v>#N/A</v>
          </cell>
          <cell r="J711" t="e">
            <v>#N/A</v>
          </cell>
          <cell r="K711" t="e">
            <v>#N/A</v>
          </cell>
          <cell r="L711" t="e">
            <v>#N/A</v>
          </cell>
          <cell r="M711" t="e">
            <v>#N/A</v>
          </cell>
          <cell r="N711" t="e">
            <v>#N/A</v>
          </cell>
          <cell r="O711" t="e">
            <v>#N/A</v>
          </cell>
          <cell r="P711">
            <v>14.52</v>
          </cell>
          <cell r="Q711" t="str">
            <v/>
          </cell>
          <cell r="R711" t="e">
            <v>#N/A</v>
          </cell>
        </row>
        <row r="712">
          <cell r="A712">
            <v>40998</v>
          </cell>
          <cell r="B712">
            <v>40998</v>
          </cell>
          <cell r="C712" t="str">
            <v>Future</v>
          </cell>
          <cell r="D712" t="e">
            <v>#N/A</v>
          </cell>
          <cell r="E712">
            <v>5.8729729729729403</v>
          </cell>
          <cell r="F712">
            <v>16.210810810810909</v>
          </cell>
          <cell r="G712">
            <v>14.143243243243262</v>
          </cell>
          <cell r="H712">
            <v>14.143243243243262</v>
          </cell>
          <cell r="I712" t="e">
            <v>#N/A</v>
          </cell>
          <cell r="J712" t="e">
            <v>#N/A</v>
          </cell>
          <cell r="K712" t="e">
            <v>#N/A</v>
          </cell>
          <cell r="L712" t="e">
            <v>#N/A</v>
          </cell>
          <cell r="M712" t="e">
            <v>#N/A</v>
          </cell>
          <cell r="N712" t="e">
            <v>#N/A</v>
          </cell>
          <cell r="O712" t="e">
            <v>#N/A</v>
          </cell>
          <cell r="P712">
            <v>14.52</v>
          </cell>
          <cell r="Q712" t="str">
            <v/>
          </cell>
          <cell r="R712" t="e">
            <v>#N/A</v>
          </cell>
        </row>
        <row r="713">
          <cell r="A713">
            <v>41001</v>
          </cell>
          <cell r="B713">
            <v>41001</v>
          </cell>
          <cell r="C713" t="str">
            <v>Future</v>
          </cell>
          <cell r="D713" t="e">
            <v>#N/A</v>
          </cell>
          <cell r="E713">
            <v>5.8175675675675347</v>
          </cell>
          <cell r="F713">
            <v>16.222972972973071</v>
          </cell>
          <cell r="G713">
            <v>14.141891891891911</v>
          </cell>
          <cell r="H713">
            <v>14.141891891891911</v>
          </cell>
          <cell r="I713" t="e">
            <v>#N/A</v>
          </cell>
          <cell r="J713" t="e">
            <v>#N/A</v>
          </cell>
          <cell r="K713" t="e">
            <v>#N/A</v>
          </cell>
          <cell r="L713" t="e">
            <v>#N/A</v>
          </cell>
          <cell r="M713" t="e">
            <v>#N/A</v>
          </cell>
          <cell r="N713" t="e">
            <v>#N/A</v>
          </cell>
          <cell r="O713" t="e">
            <v>#N/A</v>
          </cell>
          <cell r="P713">
            <v>14.52</v>
          </cell>
          <cell r="Q713" t="str">
            <v/>
          </cell>
          <cell r="R713" t="e">
            <v>#N/A</v>
          </cell>
        </row>
        <row r="714">
          <cell r="A714">
            <v>41002</v>
          </cell>
          <cell r="B714">
            <v>41002</v>
          </cell>
          <cell r="C714" t="str">
            <v>Future</v>
          </cell>
          <cell r="D714" t="e">
            <v>#N/A</v>
          </cell>
          <cell r="E714">
            <v>5.7621621621621291</v>
          </cell>
          <cell r="F714">
            <v>16.235135135135234</v>
          </cell>
          <cell r="G714">
            <v>14.14054054054056</v>
          </cell>
          <cell r="H714">
            <v>14.14054054054056</v>
          </cell>
          <cell r="I714" t="e">
            <v>#N/A</v>
          </cell>
          <cell r="J714" t="e">
            <v>#N/A</v>
          </cell>
          <cell r="K714" t="e">
            <v>#N/A</v>
          </cell>
          <cell r="L714" t="e">
            <v>#N/A</v>
          </cell>
          <cell r="M714" t="e">
            <v>#N/A</v>
          </cell>
          <cell r="N714" t="e">
            <v>#N/A</v>
          </cell>
          <cell r="O714" t="e">
            <v>#N/A</v>
          </cell>
          <cell r="P714">
            <v>14.52</v>
          </cell>
          <cell r="Q714" t="str">
            <v/>
          </cell>
          <cell r="R714" t="e">
            <v>#N/A</v>
          </cell>
        </row>
        <row r="715">
          <cell r="A715">
            <v>41003</v>
          </cell>
          <cell r="B715">
            <v>41003</v>
          </cell>
          <cell r="C715" t="str">
            <v>Future</v>
          </cell>
          <cell r="D715" t="e">
            <v>#N/A</v>
          </cell>
          <cell r="E715">
            <v>5.7067567567567234</v>
          </cell>
          <cell r="F715">
            <v>16.247297297297397</v>
          </cell>
          <cell r="G715">
            <v>14.139189189189208</v>
          </cell>
          <cell r="H715">
            <v>14.139189189189208</v>
          </cell>
          <cell r="I715" t="e">
            <v>#N/A</v>
          </cell>
          <cell r="J715" t="e">
            <v>#N/A</v>
          </cell>
          <cell r="K715" t="e">
            <v>#N/A</v>
          </cell>
          <cell r="L715" t="e">
            <v>#N/A</v>
          </cell>
          <cell r="M715" t="e">
            <v>#N/A</v>
          </cell>
          <cell r="N715" t="e">
            <v>#N/A</v>
          </cell>
          <cell r="O715" t="e">
            <v>#N/A</v>
          </cell>
          <cell r="P715">
            <v>14.52</v>
          </cell>
          <cell r="Q715" t="str">
            <v/>
          </cell>
          <cell r="R715" t="e">
            <v>#N/A</v>
          </cell>
        </row>
        <row r="716">
          <cell r="A716">
            <v>41004</v>
          </cell>
          <cell r="B716">
            <v>41004</v>
          </cell>
          <cell r="C716" t="str">
            <v>Future</v>
          </cell>
          <cell r="D716" t="e">
            <v>#N/A</v>
          </cell>
          <cell r="E716">
            <v>5.6513513513513178</v>
          </cell>
          <cell r="F716">
            <v>16.25945945945956</v>
          </cell>
          <cell r="G716">
            <v>14.137837837837857</v>
          </cell>
          <cell r="H716">
            <v>14.137837837837857</v>
          </cell>
          <cell r="I716" t="e">
            <v>#N/A</v>
          </cell>
          <cell r="J716" t="e">
            <v>#N/A</v>
          </cell>
          <cell r="K716" t="e">
            <v>#N/A</v>
          </cell>
          <cell r="L716" t="e">
            <v>#N/A</v>
          </cell>
          <cell r="M716" t="e">
            <v>#N/A</v>
          </cell>
          <cell r="N716" t="e">
            <v>#N/A</v>
          </cell>
          <cell r="O716" t="e">
            <v>#N/A</v>
          </cell>
          <cell r="P716">
            <v>14.52</v>
          </cell>
          <cell r="Q716" t="str">
            <v/>
          </cell>
          <cell r="R716" t="e">
            <v>#N/A</v>
          </cell>
        </row>
        <row r="717">
          <cell r="A717">
            <v>41005</v>
          </cell>
          <cell r="B717">
            <v>41005</v>
          </cell>
          <cell r="C717" t="str">
            <v>Future</v>
          </cell>
          <cell r="D717" t="e">
            <v>#N/A</v>
          </cell>
          <cell r="E717">
            <v>5.5959459459459122</v>
          </cell>
          <cell r="F717">
            <v>16.271621621621723</v>
          </cell>
          <cell r="G717">
            <v>14.136486486486506</v>
          </cell>
          <cell r="H717">
            <v>14.136486486486506</v>
          </cell>
          <cell r="I717" t="e">
            <v>#N/A</v>
          </cell>
          <cell r="J717" t="e">
            <v>#N/A</v>
          </cell>
          <cell r="K717" t="e">
            <v>#N/A</v>
          </cell>
          <cell r="L717" t="e">
            <v>#N/A</v>
          </cell>
          <cell r="M717" t="e">
            <v>#N/A</v>
          </cell>
          <cell r="N717" t="e">
            <v>#N/A</v>
          </cell>
          <cell r="O717" t="e">
            <v>#N/A</v>
          </cell>
          <cell r="P717">
            <v>14.52</v>
          </cell>
          <cell r="Q717" t="str">
            <v/>
          </cell>
          <cell r="R717" t="e">
            <v>#N/A</v>
          </cell>
        </row>
        <row r="718">
          <cell r="A718">
            <v>41008</v>
          </cell>
          <cell r="B718">
            <v>41008</v>
          </cell>
          <cell r="C718" t="str">
            <v>Future</v>
          </cell>
          <cell r="D718" t="e">
            <v>#N/A</v>
          </cell>
          <cell r="E718">
            <v>5.5405405405405066</v>
          </cell>
          <cell r="F718">
            <v>16.283783783783885</v>
          </cell>
          <cell r="G718">
            <v>14.135135135135155</v>
          </cell>
          <cell r="H718">
            <v>14.135135135135155</v>
          </cell>
          <cell r="I718" t="e">
            <v>#N/A</v>
          </cell>
          <cell r="J718" t="e">
            <v>#N/A</v>
          </cell>
          <cell r="K718" t="e">
            <v>#N/A</v>
          </cell>
          <cell r="L718" t="e">
            <v>#N/A</v>
          </cell>
          <cell r="M718" t="e">
            <v>#N/A</v>
          </cell>
          <cell r="N718" t="e">
            <v>#N/A</v>
          </cell>
          <cell r="O718" t="e">
            <v>#N/A</v>
          </cell>
          <cell r="P718">
            <v>14.52</v>
          </cell>
          <cell r="Q718" t="str">
            <v/>
          </cell>
          <cell r="R718" t="e">
            <v>#N/A</v>
          </cell>
        </row>
        <row r="719">
          <cell r="A719">
            <v>41009</v>
          </cell>
          <cell r="B719">
            <v>41009</v>
          </cell>
          <cell r="C719" t="str">
            <v>Future</v>
          </cell>
          <cell r="D719" t="e">
            <v>#N/A</v>
          </cell>
          <cell r="E719">
            <v>5.485135135135101</v>
          </cell>
          <cell r="F719">
            <v>16.295945945946048</v>
          </cell>
          <cell r="G719">
            <v>14.133783783783803</v>
          </cell>
          <cell r="H719">
            <v>14.133783783783803</v>
          </cell>
          <cell r="I719" t="e">
            <v>#N/A</v>
          </cell>
          <cell r="J719" t="e">
            <v>#N/A</v>
          </cell>
          <cell r="K719" t="e">
            <v>#N/A</v>
          </cell>
          <cell r="L719" t="e">
            <v>#N/A</v>
          </cell>
          <cell r="M719" t="e">
            <v>#N/A</v>
          </cell>
          <cell r="N719" t="e">
            <v>#N/A</v>
          </cell>
          <cell r="O719" t="e">
            <v>#N/A</v>
          </cell>
          <cell r="P719">
            <v>14.52</v>
          </cell>
          <cell r="Q719" t="str">
            <v/>
          </cell>
          <cell r="R719" t="e">
            <v>#N/A</v>
          </cell>
        </row>
        <row r="720">
          <cell r="A720">
            <v>41010</v>
          </cell>
          <cell r="B720">
            <v>41010</v>
          </cell>
          <cell r="C720" t="str">
            <v>Future</v>
          </cell>
          <cell r="D720" t="e">
            <v>#N/A</v>
          </cell>
          <cell r="E720">
            <v>5.4297297297296954</v>
          </cell>
          <cell r="F720">
            <v>16.308108108108211</v>
          </cell>
          <cell r="G720">
            <v>14.132432432432452</v>
          </cell>
          <cell r="H720">
            <v>14.132432432432452</v>
          </cell>
          <cell r="I720" t="e">
            <v>#N/A</v>
          </cell>
          <cell r="J720" t="e">
            <v>#N/A</v>
          </cell>
          <cell r="K720" t="e">
            <v>#N/A</v>
          </cell>
          <cell r="L720" t="e">
            <v>#N/A</v>
          </cell>
          <cell r="M720" t="e">
            <v>#N/A</v>
          </cell>
          <cell r="N720" t="e">
            <v>#N/A</v>
          </cell>
          <cell r="O720" t="e">
            <v>#N/A</v>
          </cell>
          <cell r="P720">
            <v>14.52</v>
          </cell>
          <cell r="Q720" t="str">
            <v/>
          </cell>
          <cell r="R720" t="e">
            <v>#N/A</v>
          </cell>
        </row>
        <row r="721">
          <cell r="A721">
            <v>41011</v>
          </cell>
          <cell r="B721">
            <v>41011</v>
          </cell>
          <cell r="C721" t="str">
            <v>Future</v>
          </cell>
          <cell r="D721" t="e">
            <v>#N/A</v>
          </cell>
          <cell r="E721">
            <v>5.3743243243242897</v>
          </cell>
          <cell r="F721">
            <v>16.320270270270374</v>
          </cell>
          <cell r="G721">
            <v>14.131081081081101</v>
          </cell>
          <cell r="H721">
            <v>14.131081081081101</v>
          </cell>
          <cell r="I721" t="e">
            <v>#N/A</v>
          </cell>
          <cell r="J721" t="e">
            <v>#N/A</v>
          </cell>
          <cell r="K721" t="e">
            <v>#N/A</v>
          </cell>
          <cell r="L721" t="e">
            <v>#N/A</v>
          </cell>
          <cell r="M721" t="e">
            <v>#N/A</v>
          </cell>
          <cell r="N721" t="e">
            <v>#N/A</v>
          </cell>
          <cell r="O721" t="e">
            <v>#N/A</v>
          </cell>
          <cell r="P721">
            <v>14.52</v>
          </cell>
          <cell r="Q721" t="str">
            <v/>
          </cell>
          <cell r="R721" t="e">
            <v>#N/A</v>
          </cell>
        </row>
        <row r="722">
          <cell r="A722">
            <v>41012</v>
          </cell>
          <cell r="B722">
            <v>41012</v>
          </cell>
          <cell r="C722" t="str">
            <v>Future</v>
          </cell>
          <cell r="D722" t="e">
            <v>#N/A</v>
          </cell>
          <cell r="E722">
            <v>5.3189189189188841</v>
          </cell>
          <cell r="F722">
            <v>16.332432432432537</v>
          </cell>
          <cell r="G722">
            <v>14.12972972972975</v>
          </cell>
          <cell r="H722">
            <v>14.12972972972975</v>
          </cell>
          <cell r="I722" t="e">
            <v>#N/A</v>
          </cell>
          <cell r="J722" t="e">
            <v>#N/A</v>
          </cell>
          <cell r="K722" t="e">
            <v>#N/A</v>
          </cell>
          <cell r="L722" t="e">
            <v>#N/A</v>
          </cell>
          <cell r="M722" t="e">
            <v>#N/A</v>
          </cell>
          <cell r="N722" t="e">
            <v>#N/A</v>
          </cell>
          <cell r="O722" t="e">
            <v>#N/A</v>
          </cell>
          <cell r="P722">
            <v>14.52</v>
          </cell>
          <cell r="Q722" t="str">
            <v/>
          </cell>
          <cell r="R722" t="e">
            <v>#N/A</v>
          </cell>
        </row>
        <row r="723">
          <cell r="A723">
            <v>41015</v>
          </cell>
          <cell r="B723">
            <v>41015</v>
          </cell>
          <cell r="C723" t="str">
            <v>Future</v>
          </cell>
          <cell r="D723" t="e">
            <v>#N/A</v>
          </cell>
          <cell r="E723">
            <v>5.2635135135134785</v>
          </cell>
          <cell r="F723">
            <v>16.3445945945947</v>
          </cell>
          <cell r="G723">
            <v>14.128378378378398</v>
          </cell>
          <cell r="H723">
            <v>14.128378378378398</v>
          </cell>
          <cell r="I723" t="e">
            <v>#N/A</v>
          </cell>
          <cell r="J723" t="e">
            <v>#N/A</v>
          </cell>
          <cell r="K723" t="e">
            <v>#N/A</v>
          </cell>
          <cell r="L723" t="e">
            <v>#N/A</v>
          </cell>
          <cell r="M723" t="e">
            <v>#N/A</v>
          </cell>
          <cell r="N723" t="e">
            <v>#N/A</v>
          </cell>
          <cell r="O723" t="e">
            <v>#N/A</v>
          </cell>
          <cell r="P723">
            <v>14.52</v>
          </cell>
          <cell r="Q723" t="str">
            <v/>
          </cell>
          <cell r="R723" t="e">
            <v>#N/A</v>
          </cell>
        </row>
        <row r="724">
          <cell r="A724">
            <v>41016</v>
          </cell>
          <cell r="B724">
            <v>41016</v>
          </cell>
          <cell r="C724" t="str">
            <v>Future</v>
          </cell>
          <cell r="D724" t="e">
            <v>#N/A</v>
          </cell>
          <cell r="E724">
            <v>5.2081081081080729</v>
          </cell>
          <cell r="F724">
            <v>16.356756756756862</v>
          </cell>
          <cell r="G724">
            <v>14.127027027027047</v>
          </cell>
          <cell r="H724">
            <v>14.127027027027047</v>
          </cell>
          <cell r="I724" t="e">
            <v>#N/A</v>
          </cell>
          <cell r="J724" t="e">
            <v>#N/A</v>
          </cell>
          <cell r="K724" t="e">
            <v>#N/A</v>
          </cell>
          <cell r="L724" t="e">
            <v>#N/A</v>
          </cell>
          <cell r="M724" t="e">
            <v>#N/A</v>
          </cell>
          <cell r="N724" t="e">
            <v>#N/A</v>
          </cell>
          <cell r="O724" t="e">
            <v>#N/A</v>
          </cell>
          <cell r="P724">
            <v>14.52</v>
          </cell>
          <cell r="Q724" t="str">
            <v/>
          </cell>
          <cell r="R724" t="e">
            <v>#N/A</v>
          </cell>
        </row>
        <row r="725">
          <cell r="A725">
            <v>41017</v>
          </cell>
          <cell r="B725">
            <v>41017</v>
          </cell>
          <cell r="C725" t="str">
            <v>Future</v>
          </cell>
          <cell r="D725" t="e">
            <v>#N/A</v>
          </cell>
          <cell r="E725">
            <v>5.1527027027026673</v>
          </cell>
          <cell r="F725">
            <v>16.368918918919025</v>
          </cell>
          <cell r="G725">
            <v>14.125675675675696</v>
          </cell>
          <cell r="H725">
            <v>14.125675675675696</v>
          </cell>
          <cell r="I725" t="e">
            <v>#N/A</v>
          </cell>
          <cell r="J725" t="e">
            <v>#N/A</v>
          </cell>
          <cell r="K725" t="e">
            <v>#N/A</v>
          </cell>
          <cell r="L725" t="e">
            <v>#N/A</v>
          </cell>
          <cell r="M725" t="e">
            <v>#N/A</v>
          </cell>
          <cell r="N725" t="e">
            <v>#N/A</v>
          </cell>
          <cell r="O725" t="e">
            <v>#N/A</v>
          </cell>
          <cell r="P725">
            <v>14.52</v>
          </cell>
          <cell r="Q725" t="str">
            <v/>
          </cell>
          <cell r="R725" t="e">
            <v>#N/A</v>
          </cell>
        </row>
        <row r="726">
          <cell r="A726">
            <v>41018</v>
          </cell>
          <cell r="B726">
            <v>41018</v>
          </cell>
          <cell r="C726" t="str">
            <v>Future</v>
          </cell>
          <cell r="D726" t="e">
            <v>#N/A</v>
          </cell>
          <cell r="E726">
            <v>5.0972972972972617</v>
          </cell>
          <cell r="F726">
            <v>16.381081081081188</v>
          </cell>
          <cell r="G726">
            <v>14.124324324324345</v>
          </cell>
          <cell r="H726">
            <v>14.124324324324345</v>
          </cell>
          <cell r="I726" t="e">
            <v>#N/A</v>
          </cell>
          <cell r="J726" t="e">
            <v>#N/A</v>
          </cell>
          <cell r="K726" t="e">
            <v>#N/A</v>
          </cell>
          <cell r="L726" t="e">
            <v>#N/A</v>
          </cell>
          <cell r="M726" t="e">
            <v>#N/A</v>
          </cell>
          <cell r="N726" t="e">
            <v>#N/A</v>
          </cell>
          <cell r="O726" t="e">
            <v>#N/A</v>
          </cell>
          <cell r="P726">
            <v>14.52</v>
          </cell>
          <cell r="Q726" t="str">
            <v/>
          </cell>
          <cell r="R726" t="e">
            <v>#N/A</v>
          </cell>
        </row>
        <row r="727">
          <cell r="A727">
            <v>41019</v>
          </cell>
          <cell r="B727">
            <v>41019</v>
          </cell>
          <cell r="C727" t="str">
            <v>Future</v>
          </cell>
          <cell r="D727" t="e">
            <v>#N/A</v>
          </cell>
          <cell r="E727">
            <v>5.041891891891856</v>
          </cell>
          <cell r="F727">
            <v>16.393243243243351</v>
          </cell>
          <cell r="G727">
            <v>14.122972972972994</v>
          </cell>
          <cell r="H727">
            <v>14.122972972972994</v>
          </cell>
          <cell r="I727" t="e">
            <v>#N/A</v>
          </cell>
          <cell r="J727" t="e">
            <v>#N/A</v>
          </cell>
          <cell r="K727" t="e">
            <v>#N/A</v>
          </cell>
          <cell r="L727" t="e">
            <v>#N/A</v>
          </cell>
          <cell r="M727" t="e">
            <v>#N/A</v>
          </cell>
          <cell r="N727" t="e">
            <v>#N/A</v>
          </cell>
          <cell r="O727" t="e">
            <v>#N/A</v>
          </cell>
          <cell r="P727">
            <v>14.52</v>
          </cell>
          <cell r="Q727" t="str">
            <v/>
          </cell>
          <cell r="R727" t="e">
            <v>#N/A</v>
          </cell>
        </row>
        <row r="728">
          <cell r="A728">
            <v>41022</v>
          </cell>
          <cell r="B728">
            <v>41022</v>
          </cell>
          <cell r="C728" t="str">
            <v>Future</v>
          </cell>
          <cell r="D728" t="e">
            <v>#N/A</v>
          </cell>
          <cell r="E728">
            <v>4.9864864864864504</v>
          </cell>
          <cell r="F728">
            <v>16.405405405405514</v>
          </cell>
          <cell r="G728">
            <v>14.121621621621642</v>
          </cell>
          <cell r="H728">
            <v>14.121621621621642</v>
          </cell>
          <cell r="I728" t="e">
            <v>#N/A</v>
          </cell>
          <cell r="J728" t="e">
            <v>#N/A</v>
          </cell>
          <cell r="K728" t="e">
            <v>#N/A</v>
          </cell>
          <cell r="L728" t="e">
            <v>#N/A</v>
          </cell>
          <cell r="M728" t="e">
            <v>#N/A</v>
          </cell>
          <cell r="N728" t="e">
            <v>#N/A</v>
          </cell>
          <cell r="O728" t="e">
            <v>#N/A</v>
          </cell>
          <cell r="P728">
            <v>14.52</v>
          </cell>
          <cell r="Q728" t="str">
            <v/>
          </cell>
          <cell r="R728" t="e">
            <v>#N/A</v>
          </cell>
        </row>
        <row r="729">
          <cell r="A729">
            <v>41023</v>
          </cell>
          <cell r="B729">
            <v>41023</v>
          </cell>
          <cell r="C729" t="str">
            <v>Future</v>
          </cell>
          <cell r="D729" t="e">
            <v>#N/A</v>
          </cell>
          <cell r="E729">
            <v>4.9310810810810448</v>
          </cell>
          <cell r="F729">
            <v>16.417567567567676</v>
          </cell>
          <cell r="G729">
            <v>14.120270270270291</v>
          </cell>
          <cell r="H729">
            <v>14.120270270270291</v>
          </cell>
          <cell r="I729" t="e">
            <v>#N/A</v>
          </cell>
          <cell r="J729" t="e">
            <v>#N/A</v>
          </cell>
          <cell r="K729" t="e">
            <v>#N/A</v>
          </cell>
          <cell r="L729" t="e">
            <v>#N/A</v>
          </cell>
          <cell r="M729" t="e">
            <v>#N/A</v>
          </cell>
          <cell r="N729" t="e">
            <v>#N/A</v>
          </cell>
          <cell r="O729" t="e">
            <v>#N/A</v>
          </cell>
          <cell r="P729">
            <v>14.52</v>
          </cell>
          <cell r="Q729" t="str">
            <v/>
          </cell>
          <cell r="R729" t="e">
            <v>#N/A</v>
          </cell>
        </row>
        <row r="730">
          <cell r="A730">
            <v>41024</v>
          </cell>
          <cell r="B730">
            <v>41024</v>
          </cell>
          <cell r="C730" t="str">
            <v>Future</v>
          </cell>
          <cell r="D730" t="e">
            <v>#N/A</v>
          </cell>
          <cell r="E730">
            <v>4.8756756756756392</v>
          </cell>
          <cell r="F730">
            <v>16.429729729729839</v>
          </cell>
          <cell r="G730">
            <v>14.11891891891894</v>
          </cell>
          <cell r="H730">
            <v>14.11891891891894</v>
          </cell>
          <cell r="I730" t="e">
            <v>#N/A</v>
          </cell>
          <cell r="J730" t="e">
            <v>#N/A</v>
          </cell>
          <cell r="K730" t="e">
            <v>#N/A</v>
          </cell>
          <cell r="L730" t="e">
            <v>#N/A</v>
          </cell>
          <cell r="M730" t="e">
            <v>#N/A</v>
          </cell>
          <cell r="N730" t="e">
            <v>#N/A</v>
          </cell>
          <cell r="O730" t="e">
            <v>#N/A</v>
          </cell>
          <cell r="P730">
            <v>14.52</v>
          </cell>
          <cell r="Q730" t="str">
            <v/>
          </cell>
          <cell r="R730" t="e">
            <v>#N/A</v>
          </cell>
        </row>
        <row r="731">
          <cell r="A731">
            <v>41025</v>
          </cell>
          <cell r="B731">
            <v>41025</v>
          </cell>
          <cell r="C731" t="str">
            <v>Future</v>
          </cell>
          <cell r="D731" t="e">
            <v>#N/A</v>
          </cell>
          <cell r="E731">
            <v>4.8202702702702336</v>
          </cell>
          <cell r="F731">
            <v>16.441891891892002</v>
          </cell>
          <cell r="G731">
            <v>14.117567567567589</v>
          </cell>
          <cell r="H731">
            <v>14.117567567567589</v>
          </cell>
          <cell r="I731" t="e">
            <v>#N/A</v>
          </cell>
          <cell r="J731" t="e">
            <v>#N/A</v>
          </cell>
          <cell r="K731" t="e">
            <v>#N/A</v>
          </cell>
          <cell r="L731" t="e">
            <v>#N/A</v>
          </cell>
          <cell r="M731" t="e">
            <v>#N/A</v>
          </cell>
          <cell r="N731" t="e">
            <v>#N/A</v>
          </cell>
          <cell r="O731" t="e">
            <v>#N/A</v>
          </cell>
          <cell r="P731">
            <v>14.52</v>
          </cell>
          <cell r="Q731" t="str">
            <v/>
          </cell>
          <cell r="R731" t="e">
            <v>#N/A</v>
          </cell>
        </row>
        <row r="732">
          <cell r="A732">
            <v>41026</v>
          </cell>
          <cell r="B732">
            <v>41026</v>
          </cell>
          <cell r="C732" t="str">
            <v>Future</v>
          </cell>
          <cell r="D732" t="e">
            <v>#N/A</v>
          </cell>
          <cell r="E732">
            <v>4.764864864864828</v>
          </cell>
          <cell r="F732">
            <v>16.454054054054165</v>
          </cell>
          <cell r="G732">
            <v>14.116216216216237</v>
          </cell>
          <cell r="H732">
            <v>14.116216216216237</v>
          </cell>
          <cell r="I732" t="e">
            <v>#N/A</v>
          </cell>
          <cell r="J732" t="e">
            <v>#N/A</v>
          </cell>
          <cell r="K732" t="e">
            <v>#N/A</v>
          </cell>
          <cell r="L732" t="e">
            <v>#N/A</v>
          </cell>
          <cell r="M732" t="e">
            <v>#N/A</v>
          </cell>
          <cell r="N732" t="e">
            <v>#N/A</v>
          </cell>
          <cell r="O732" t="e">
            <v>#N/A</v>
          </cell>
          <cell r="P732">
            <v>14.52</v>
          </cell>
          <cell r="Q732" t="str">
            <v/>
          </cell>
          <cell r="R732" t="e">
            <v>#N/A</v>
          </cell>
        </row>
        <row r="733">
          <cell r="A733">
            <v>41029</v>
          </cell>
          <cell r="B733">
            <v>41029</v>
          </cell>
          <cell r="C733" t="str">
            <v>Future</v>
          </cell>
          <cell r="D733" t="e">
            <v>#N/A</v>
          </cell>
          <cell r="E733">
            <v>4.7094594594594223</v>
          </cell>
          <cell r="F733">
            <v>16.466216216216328</v>
          </cell>
          <cell r="G733">
            <v>14.114864864864886</v>
          </cell>
          <cell r="H733">
            <v>14.114864864864886</v>
          </cell>
          <cell r="I733" t="e">
            <v>#N/A</v>
          </cell>
          <cell r="J733" t="e">
            <v>#N/A</v>
          </cell>
          <cell r="K733" t="e">
            <v>#N/A</v>
          </cell>
          <cell r="L733" t="e">
            <v>#N/A</v>
          </cell>
          <cell r="M733" t="e">
            <v>#N/A</v>
          </cell>
          <cell r="N733" t="e">
            <v>#N/A</v>
          </cell>
          <cell r="O733" t="e">
            <v>#N/A</v>
          </cell>
          <cell r="P733">
            <v>14.52</v>
          </cell>
          <cell r="Q733" t="str">
            <v/>
          </cell>
          <cell r="R733" t="e">
            <v>#N/A</v>
          </cell>
        </row>
        <row r="734">
          <cell r="A734">
            <v>41030</v>
          </cell>
          <cell r="B734">
            <v>41030</v>
          </cell>
          <cell r="C734" t="str">
            <v>Future</v>
          </cell>
          <cell r="D734" t="e">
            <v>#N/A</v>
          </cell>
          <cell r="E734">
            <v>4.6540540540540167</v>
          </cell>
          <cell r="F734">
            <v>16.478378378378491</v>
          </cell>
          <cell r="G734">
            <v>14.113513513513535</v>
          </cell>
          <cell r="H734">
            <v>14.113513513513535</v>
          </cell>
          <cell r="I734" t="e">
            <v>#N/A</v>
          </cell>
          <cell r="J734" t="e">
            <v>#N/A</v>
          </cell>
          <cell r="K734" t="e">
            <v>#N/A</v>
          </cell>
          <cell r="L734" t="e">
            <v>#N/A</v>
          </cell>
          <cell r="M734" t="e">
            <v>#N/A</v>
          </cell>
          <cell r="N734" t="e">
            <v>#N/A</v>
          </cell>
          <cell r="O734" t="e">
            <v>#N/A</v>
          </cell>
          <cell r="P734">
            <v>14.52</v>
          </cell>
          <cell r="Q734" t="str">
            <v/>
          </cell>
          <cell r="R734" t="e">
            <v>#N/A</v>
          </cell>
        </row>
        <row r="735">
          <cell r="A735">
            <v>41031</v>
          </cell>
          <cell r="B735">
            <v>41031</v>
          </cell>
          <cell r="C735" t="str">
            <v>Future</v>
          </cell>
          <cell r="D735" t="e">
            <v>#N/A</v>
          </cell>
          <cell r="E735">
            <v>4.5986486486486111</v>
          </cell>
          <cell r="F735">
            <v>16.490540540540653</v>
          </cell>
          <cell r="G735">
            <v>14.112162162162184</v>
          </cell>
          <cell r="H735">
            <v>14.112162162162184</v>
          </cell>
          <cell r="I735" t="e">
            <v>#N/A</v>
          </cell>
          <cell r="J735" t="e">
            <v>#N/A</v>
          </cell>
          <cell r="K735" t="e">
            <v>#N/A</v>
          </cell>
          <cell r="L735" t="e">
            <v>#N/A</v>
          </cell>
          <cell r="M735" t="e">
            <v>#N/A</v>
          </cell>
          <cell r="N735" t="e">
            <v>#N/A</v>
          </cell>
          <cell r="O735" t="e">
            <v>#N/A</v>
          </cell>
          <cell r="P735">
            <v>14.52</v>
          </cell>
          <cell r="Q735" t="str">
            <v/>
          </cell>
          <cell r="R735" t="e">
            <v>#N/A</v>
          </cell>
        </row>
        <row r="736">
          <cell r="A736">
            <v>41032</v>
          </cell>
          <cell r="B736">
            <v>41032</v>
          </cell>
          <cell r="C736" t="str">
            <v>Future</v>
          </cell>
          <cell r="D736" t="e">
            <v>#N/A</v>
          </cell>
          <cell r="E736">
            <v>4.5432432432432055</v>
          </cell>
          <cell r="F736">
            <v>16.502702702702816</v>
          </cell>
          <cell r="G736">
            <v>14.110810810810833</v>
          </cell>
          <cell r="H736">
            <v>14.110810810810833</v>
          </cell>
          <cell r="I736" t="e">
            <v>#N/A</v>
          </cell>
          <cell r="J736" t="e">
            <v>#N/A</v>
          </cell>
          <cell r="K736" t="e">
            <v>#N/A</v>
          </cell>
          <cell r="L736" t="e">
            <v>#N/A</v>
          </cell>
          <cell r="M736" t="e">
            <v>#N/A</v>
          </cell>
          <cell r="N736" t="e">
            <v>#N/A</v>
          </cell>
          <cell r="O736" t="e">
            <v>#N/A</v>
          </cell>
          <cell r="P736">
            <v>14.52</v>
          </cell>
          <cell r="Q736" t="str">
            <v/>
          </cell>
          <cell r="R736" t="e">
            <v>#N/A</v>
          </cell>
        </row>
        <row r="737">
          <cell r="A737">
            <v>41033</v>
          </cell>
          <cell r="B737">
            <v>41033</v>
          </cell>
          <cell r="C737" t="str">
            <v>Future</v>
          </cell>
          <cell r="D737" t="e">
            <v>#N/A</v>
          </cell>
          <cell r="E737">
            <v>4.4878378378377999</v>
          </cell>
          <cell r="F737">
            <v>16.514864864864979</v>
          </cell>
          <cell r="G737">
            <v>14.109459459459481</v>
          </cell>
          <cell r="H737">
            <v>14.109459459459481</v>
          </cell>
          <cell r="I737" t="e">
            <v>#N/A</v>
          </cell>
          <cell r="J737" t="e">
            <v>#N/A</v>
          </cell>
          <cell r="K737" t="e">
            <v>#N/A</v>
          </cell>
          <cell r="L737" t="e">
            <v>#N/A</v>
          </cell>
          <cell r="M737" t="e">
            <v>#N/A</v>
          </cell>
          <cell r="N737" t="e">
            <v>#N/A</v>
          </cell>
          <cell r="O737" t="e">
            <v>#N/A</v>
          </cell>
          <cell r="P737">
            <v>14.52</v>
          </cell>
          <cell r="Q737" t="str">
            <v/>
          </cell>
          <cell r="R737" t="e">
            <v>#N/A</v>
          </cell>
        </row>
        <row r="738">
          <cell r="A738">
            <v>41036</v>
          </cell>
          <cell r="B738">
            <v>41036</v>
          </cell>
          <cell r="C738" t="str">
            <v>Future</v>
          </cell>
          <cell r="D738" t="e">
            <v>#N/A</v>
          </cell>
          <cell r="E738">
            <v>4.4324324324323943</v>
          </cell>
          <cell r="F738">
            <v>16.527027027027142</v>
          </cell>
          <cell r="G738">
            <v>14.10810810810813</v>
          </cell>
          <cell r="H738">
            <v>14.10810810810813</v>
          </cell>
          <cell r="I738" t="e">
            <v>#N/A</v>
          </cell>
          <cell r="J738" t="e">
            <v>#N/A</v>
          </cell>
          <cell r="K738" t="e">
            <v>#N/A</v>
          </cell>
          <cell r="L738" t="e">
            <v>#N/A</v>
          </cell>
          <cell r="M738" t="e">
            <v>#N/A</v>
          </cell>
          <cell r="N738" t="e">
            <v>#N/A</v>
          </cell>
          <cell r="O738" t="e">
            <v>#N/A</v>
          </cell>
          <cell r="P738">
            <v>14.52</v>
          </cell>
          <cell r="Q738" t="str">
            <v/>
          </cell>
          <cell r="R738" t="e">
            <v>#N/A</v>
          </cell>
        </row>
        <row r="739">
          <cell r="A739">
            <v>41037</v>
          </cell>
          <cell r="B739">
            <v>41037</v>
          </cell>
          <cell r="C739" t="str">
            <v>Future</v>
          </cell>
          <cell r="D739" t="e">
            <v>#N/A</v>
          </cell>
          <cell r="E739">
            <v>4.3770270270269886</v>
          </cell>
          <cell r="F739">
            <v>16.539189189189305</v>
          </cell>
          <cell r="G739">
            <v>14.106756756756779</v>
          </cell>
          <cell r="H739">
            <v>14.106756756756779</v>
          </cell>
          <cell r="I739" t="e">
            <v>#N/A</v>
          </cell>
          <cell r="J739" t="e">
            <v>#N/A</v>
          </cell>
          <cell r="K739" t="e">
            <v>#N/A</v>
          </cell>
          <cell r="L739" t="e">
            <v>#N/A</v>
          </cell>
          <cell r="M739" t="e">
            <v>#N/A</v>
          </cell>
          <cell r="N739" t="e">
            <v>#N/A</v>
          </cell>
          <cell r="O739" t="e">
            <v>#N/A</v>
          </cell>
          <cell r="P739">
            <v>14.52</v>
          </cell>
          <cell r="Q739" t="str">
            <v/>
          </cell>
          <cell r="R739" t="e">
            <v>#N/A</v>
          </cell>
        </row>
        <row r="740">
          <cell r="A740">
            <v>41038</v>
          </cell>
          <cell r="B740">
            <v>41038</v>
          </cell>
          <cell r="C740" t="str">
            <v>Future</v>
          </cell>
          <cell r="D740" t="e">
            <v>#N/A</v>
          </cell>
          <cell r="E740">
            <v>4.321621621621583</v>
          </cell>
          <cell r="F740">
            <v>16.551351351351467</v>
          </cell>
          <cell r="G740">
            <v>14.105405405405428</v>
          </cell>
          <cell r="H740">
            <v>14.105405405405428</v>
          </cell>
          <cell r="I740" t="e">
            <v>#N/A</v>
          </cell>
          <cell r="J740" t="e">
            <v>#N/A</v>
          </cell>
          <cell r="K740" t="e">
            <v>#N/A</v>
          </cell>
          <cell r="L740" t="e">
            <v>#N/A</v>
          </cell>
          <cell r="M740" t="e">
            <v>#N/A</v>
          </cell>
          <cell r="N740" t="e">
            <v>#N/A</v>
          </cell>
          <cell r="O740" t="e">
            <v>#N/A</v>
          </cell>
          <cell r="P740">
            <v>14.52</v>
          </cell>
          <cell r="Q740" t="str">
            <v/>
          </cell>
          <cell r="R740" t="e">
            <v>#N/A</v>
          </cell>
        </row>
        <row r="741">
          <cell r="A741">
            <v>41039</v>
          </cell>
          <cell r="B741">
            <v>41039</v>
          </cell>
          <cell r="C741" t="str">
            <v>Future</v>
          </cell>
          <cell r="D741" t="e">
            <v>#N/A</v>
          </cell>
          <cell r="E741">
            <v>4.2662162162161774</v>
          </cell>
          <cell r="F741">
            <v>16.56351351351363</v>
          </cell>
          <cell r="G741">
            <v>14.104054054054076</v>
          </cell>
          <cell r="H741">
            <v>14.104054054054076</v>
          </cell>
          <cell r="I741" t="e">
            <v>#N/A</v>
          </cell>
          <cell r="J741" t="e">
            <v>#N/A</v>
          </cell>
          <cell r="K741" t="e">
            <v>#N/A</v>
          </cell>
          <cell r="L741" t="e">
            <v>#N/A</v>
          </cell>
          <cell r="M741" t="e">
            <v>#N/A</v>
          </cell>
          <cell r="N741" t="e">
            <v>#N/A</v>
          </cell>
          <cell r="O741" t="e">
            <v>#N/A</v>
          </cell>
          <cell r="P741">
            <v>14.52</v>
          </cell>
          <cell r="Q741" t="str">
            <v/>
          </cell>
          <cell r="R741" t="e">
            <v>#N/A</v>
          </cell>
        </row>
        <row r="742">
          <cell r="A742">
            <v>41040</v>
          </cell>
          <cell r="B742">
            <v>41040</v>
          </cell>
          <cell r="C742" t="str">
            <v>Future</v>
          </cell>
          <cell r="D742" t="e">
            <v>#N/A</v>
          </cell>
          <cell r="E742">
            <v>4.2108108108107718</v>
          </cell>
          <cell r="F742">
            <v>16.575675675675793</v>
          </cell>
          <cell r="G742">
            <v>14.102702702702725</v>
          </cell>
          <cell r="H742">
            <v>14.102702702702725</v>
          </cell>
          <cell r="I742" t="e">
            <v>#N/A</v>
          </cell>
          <cell r="J742" t="e">
            <v>#N/A</v>
          </cell>
          <cell r="K742" t="e">
            <v>#N/A</v>
          </cell>
          <cell r="L742" t="e">
            <v>#N/A</v>
          </cell>
          <cell r="M742" t="e">
            <v>#N/A</v>
          </cell>
          <cell r="N742" t="e">
            <v>#N/A</v>
          </cell>
          <cell r="O742" t="e">
            <v>#N/A</v>
          </cell>
          <cell r="P742">
            <v>14.52</v>
          </cell>
          <cell r="Q742" t="str">
            <v/>
          </cell>
          <cell r="R742" t="e">
            <v>#N/A</v>
          </cell>
        </row>
        <row r="743">
          <cell r="A743">
            <v>41043</v>
          </cell>
          <cell r="B743">
            <v>41043</v>
          </cell>
          <cell r="C743" t="str">
            <v>Future</v>
          </cell>
          <cell r="D743" t="e">
            <v>#N/A</v>
          </cell>
          <cell r="E743">
            <v>4.1554054054053662</v>
          </cell>
          <cell r="F743">
            <v>16.587837837837956</v>
          </cell>
          <cell r="G743">
            <v>14.101351351351374</v>
          </cell>
          <cell r="H743">
            <v>14.101351351351374</v>
          </cell>
          <cell r="I743" t="e">
            <v>#N/A</v>
          </cell>
          <cell r="J743" t="e">
            <v>#N/A</v>
          </cell>
          <cell r="K743" t="e">
            <v>#N/A</v>
          </cell>
          <cell r="L743" t="e">
            <v>#N/A</v>
          </cell>
          <cell r="M743" t="e">
            <v>#N/A</v>
          </cell>
          <cell r="N743" t="e">
            <v>#N/A</v>
          </cell>
          <cell r="O743" t="e">
            <v>#N/A</v>
          </cell>
          <cell r="P743">
            <v>14.52</v>
          </cell>
          <cell r="Q743" t="str">
            <v/>
          </cell>
          <cell r="R743" t="e">
            <v>#N/A</v>
          </cell>
        </row>
        <row r="744">
          <cell r="A744">
            <v>41044</v>
          </cell>
          <cell r="B744">
            <v>41044</v>
          </cell>
          <cell r="C744" t="str">
            <v>Future</v>
          </cell>
          <cell r="D744" t="e">
            <v>#N/A</v>
          </cell>
          <cell r="E744">
            <v>4.0999999999999606</v>
          </cell>
          <cell r="F744">
            <v>16.600000000000119</v>
          </cell>
          <cell r="G744">
            <v>14.100000000000023</v>
          </cell>
          <cell r="H744">
            <v>14.100000000000023</v>
          </cell>
          <cell r="I744" t="e">
            <v>#N/A</v>
          </cell>
          <cell r="J744" t="e">
            <v>#N/A</v>
          </cell>
          <cell r="K744" t="e">
            <v>#N/A</v>
          </cell>
          <cell r="L744" t="e">
            <v>#N/A</v>
          </cell>
          <cell r="M744" t="e">
            <v>#N/A</v>
          </cell>
          <cell r="N744" t="e">
            <v>#N/A</v>
          </cell>
          <cell r="O744" t="e">
            <v>#N/A</v>
          </cell>
          <cell r="P744">
            <v>14.52</v>
          </cell>
          <cell r="Q744" t="str">
            <v/>
          </cell>
          <cell r="R744" t="e">
            <v>#N/A</v>
          </cell>
        </row>
        <row r="745">
          <cell r="A745">
            <v>41045</v>
          </cell>
          <cell r="B745">
            <v>41045</v>
          </cell>
          <cell r="C745" t="str">
            <v>Future</v>
          </cell>
          <cell r="D745" t="e">
            <v>#N/A</v>
          </cell>
          <cell r="E745">
            <v>4.0445945945945549</v>
          </cell>
          <cell r="F745">
            <v>16.612162162162281</v>
          </cell>
          <cell r="G745">
            <v>14.098648648648672</v>
          </cell>
          <cell r="H745">
            <v>14.098648648648672</v>
          </cell>
          <cell r="I745" t="e">
            <v>#N/A</v>
          </cell>
          <cell r="J745" t="e">
            <v>#N/A</v>
          </cell>
          <cell r="K745" t="e">
            <v>#N/A</v>
          </cell>
          <cell r="L745" t="e">
            <v>#N/A</v>
          </cell>
          <cell r="M745" t="e">
            <v>#N/A</v>
          </cell>
          <cell r="N745" t="e">
            <v>#N/A</v>
          </cell>
          <cell r="O745" t="e">
            <v>#N/A</v>
          </cell>
          <cell r="P745">
            <v>14.52</v>
          </cell>
          <cell r="Q745" t="str">
            <v/>
          </cell>
          <cell r="R745" t="e">
            <v>#N/A</v>
          </cell>
        </row>
        <row r="746">
          <cell r="A746">
            <v>41046</v>
          </cell>
          <cell r="B746">
            <v>41046</v>
          </cell>
          <cell r="C746" t="str">
            <v>Future</v>
          </cell>
          <cell r="D746" t="e">
            <v>#N/A</v>
          </cell>
          <cell r="E746">
            <v>3.9891891891891493</v>
          </cell>
          <cell r="F746">
            <v>16.624324324324444</v>
          </cell>
          <cell r="G746">
            <v>14.09729729729732</v>
          </cell>
          <cell r="H746">
            <v>14.09729729729732</v>
          </cell>
          <cell r="I746" t="e">
            <v>#N/A</v>
          </cell>
          <cell r="J746" t="e">
            <v>#N/A</v>
          </cell>
          <cell r="K746" t="e">
            <v>#N/A</v>
          </cell>
          <cell r="L746" t="e">
            <v>#N/A</v>
          </cell>
          <cell r="M746" t="e">
            <v>#N/A</v>
          </cell>
          <cell r="N746" t="e">
            <v>#N/A</v>
          </cell>
          <cell r="O746" t="e">
            <v>#N/A</v>
          </cell>
          <cell r="P746">
            <v>14.52</v>
          </cell>
          <cell r="Q746" t="str">
            <v/>
          </cell>
          <cell r="R746" t="e">
            <v>#N/A</v>
          </cell>
        </row>
        <row r="747">
          <cell r="A747">
            <v>41047</v>
          </cell>
          <cell r="B747">
            <v>41047</v>
          </cell>
          <cell r="C747" t="str">
            <v>Future</v>
          </cell>
          <cell r="D747" t="e">
            <v>#N/A</v>
          </cell>
          <cell r="E747">
            <v>3.9337837837837437</v>
          </cell>
          <cell r="F747">
            <v>16.636486486486607</v>
          </cell>
          <cell r="G747">
            <v>14.095945945945969</v>
          </cell>
          <cell r="H747">
            <v>14.095945945945969</v>
          </cell>
          <cell r="I747" t="e">
            <v>#N/A</v>
          </cell>
          <cell r="J747" t="e">
            <v>#N/A</v>
          </cell>
          <cell r="K747" t="e">
            <v>#N/A</v>
          </cell>
          <cell r="L747" t="e">
            <v>#N/A</v>
          </cell>
          <cell r="M747" t="e">
            <v>#N/A</v>
          </cell>
          <cell r="N747" t="e">
            <v>#N/A</v>
          </cell>
          <cell r="O747" t="e">
            <v>#N/A</v>
          </cell>
          <cell r="P747">
            <v>14.52</v>
          </cell>
          <cell r="Q747" t="str">
            <v/>
          </cell>
          <cell r="R747" t="e">
            <v>#N/A</v>
          </cell>
        </row>
        <row r="748">
          <cell r="A748">
            <v>41050</v>
          </cell>
          <cell r="B748">
            <v>41050</v>
          </cell>
          <cell r="C748" t="str">
            <v>Future</v>
          </cell>
          <cell r="D748" t="e">
            <v>#N/A</v>
          </cell>
          <cell r="E748">
            <v>3.8783783783783381</v>
          </cell>
          <cell r="F748">
            <v>16.64864864864877</v>
          </cell>
          <cell r="G748">
            <v>14.094594594594618</v>
          </cell>
          <cell r="H748">
            <v>14.094594594594618</v>
          </cell>
          <cell r="I748" t="e">
            <v>#N/A</v>
          </cell>
          <cell r="J748" t="e">
            <v>#N/A</v>
          </cell>
          <cell r="K748" t="e">
            <v>#N/A</v>
          </cell>
          <cell r="L748" t="e">
            <v>#N/A</v>
          </cell>
          <cell r="M748" t="e">
            <v>#N/A</v>
          </cell>
          <cell r="N748" t="e">
            <v>#N/A</v>
          </cell>
          <cell r="O748" t="e">
            <v>#N/A</v>
          </cell>
          <cell r="P748">
            <v>14.52</v>
          </cell>
          <cell r="Q748" t="str">
            <v/>
          </cell>
          <cell r="R748" t="e">
            <v>#N/A</v>
          </cell>
        </row>
        <row r="749">
          <cell r="A749">
            <v>41051</v>
          </cell>
          <cell r="B749">
            <v>41051</v>
          </cell>
          <cell r="C749" t="str">
            <v>Future</v>
          </cell>
          <cell r="D749" t="e">
            <v>#N/A</v>
          </cell>
          <cell r="E749">
            <v>3.8229729729729325</v>
          </cell>
          <cell r="F749">
            <v>16.660810810810933</v>
          </cell>
          <cell r="G749">
            <v>14.093243243243267</v>
          </cell>
          <cell r="H749">
            <v>14.093243243243267</v>
          </cell>
          <cell r="I749" t="e">
            <v>#N/A</v>
          </cell>
          <cell r="J749" t="e">
            <v>#N/A</v>
          </cell>
          <cell r="K749" t="e">
            <v>#N/A</v>
          </cell>
          <cell r="L749" t="e">
            <v>#N/A</v>
          </cell>
          <cell r="M749" t="e">
            <v>#N/A</v>
          </cell>
          <cell r="N749" t="e">
            <v>#N/A</v>
          </cell>
          <cell r="O749" t="e">
            <v>#N/A</v>
          </cell>
          <cell r="P749">
            <v>14.52</v>
          </cell>
          <cell r="Q749" t="str">
            <v/>
          </cell>
          <cell r="R749" t="e">
            <v>#N/A</v>
          </cell>
        </row>
        <row r="750">
          <cell r="A750">
            <v>41052</v>
          </cell>
          <cell r="B750">
            <v>41052</v>
          </cell>
          <cell r="C750" t="str">
            <v>Future</v>
          </cell>
          <cell r="D750" t="e">
            <v>#N/A</v>
          </cell>
          <cell r="E750">
            <v>3.7675675675675269</v>
          </cell>
          <cell r="F750">
            <v>16.672972972973096</v>
          </cell>
          <cell r="G750">
            <v>14.091891891891915</v>
          </cell>
          <cell r="H750">
            <v>14.091891891891915</v>
          </cell>
          <cell r="I750" t="e">
            <v>#N/A</v>
          </cell>
          <cell r="J750" t="e">
            <v>#N/A</v>
          </cell>
          <cell r="K750" t="e">
            <v>#N/A</v>
          </cell>
          <cell r="L750" t="e">
            <v>#N/A</v>
          </cell>
          <cell r="M750" t="e">
            <v>#N/A</v>
          </cell>
          <cell r="N750" t="e">
            <v>#N/A</v>
          </cell>
          <cell r="O750" t="e">
            <v>#N/A</v>
          </cell>
          <cell r="P750">
            <v>14.52</v>
          </cell>
          <cell r="Q750" t="str">
            <v/>
          </cell>
          <cell r="R750" t="e">
            <v>#N/A</v>
          </cell>
        </row>
        <row r="751">
          <cell r="A751">
            <v>41053</v>
          </cell>
          <cell r="B751">
            <v>41053</v>
          </cell>
          <cell r="C751" t="str">
            <v>Future</v>
          </cell>
          <cell r="D751" t="e">
            <v>#N/A</v>
          </cell>
          <cell r="E751">
            <v>3.7121621621621212</v>
          </cell>
          <cell r="F751">
            <v>16.685135135135258</v>
          </cell>
          <cell r="G751">
            <v>14.090540540540564</v>
          </cell>
          <cell r="H751">
            <v>14.090540540540564</v>
          </cell>
          <cell r="I751" t="e">
            <v>#N/A</v>
          </cell>
          <cell r="J751" t="e">
            <v>#N/A</v>
          </cell>
          <cell r="K751" t="e">
            <v>#N/A</v>
          </cell>
          <cell r="L751" t="e">
            <v>#N/A</v>
          </cell>
          <cell r="M751" t="e">
            <v>#N/A</v>
          </cell>
          <cell r="N751" t="e">
            <v>#N/A</v>
          </cell>
          <cell r="O751" t="e">
            <v>#N/A</v>
          </cell>
          <cell r="P751">
            <v>14.52</v>
          </cell>
          <cell r="Q751" t="str">
            <v/>
          </cell>
          <cell r="R751" t="e">
            <v>#N/A</v>
          </cell>
        </row>
        <row r="752">
          <cell r="A752">
            <v>41054</v>
          </cell>
          <cell r="B752">
            <v>41054</v>
          </cell>
          <cell r="C752" t="str">
            <v>Future</v>
          </cell>
          <cell r="D752" t="e">
            <v>#N/A</v>
          </cell>
          <cell r="E752">
            <v>3.6567567567567156</v>
          </cell>
          <cell r="F752">
            <v>16.697297297297421</v>
          </cell>
          <cell r="G752">
            <v>14.089189189189213</v>
          </cell>
          <cell r="H752">
            <v>14.089189189189213</v>
          </cell>
          <cell r="I752" t="e">
            <v>#N/A</v>
          </cell>
          <cell r="J752" t="e">
            <v>#N/A</v>
          </cell>
          <cell r="K752" t="e">
            <v>#N/A</v>
          </cell>
          <cell r="L752" t="e">
            <v>#N/A</v>
          </cell>
          <cell r="M752" t="e">
            <v>#N/A</v>
          </cell>
          <cell r="N752" t="e">
            <v>#N/A</v>
          </cell>
          <cell r="O752" t="e">
            <v>#N/A</v>
          </cell>
          <cell r="P752">
            <v>14.52</v>
          </cell>
          <cell r="Q752" t="str">
            <v/>
          </cell>
          <cell r="R752" t="e">
            <v>#N/A</v>
          </cell>
        </row>
        <row r="753">
          <cell r="A753">
            <v>41057</v>
          </cell>
          <cell r="B753">
            <v>41057</v>
          </cell>
          <cell r="C753" t="str">
            <v>Future</v>
          </cell>
          <cell r="D753" t="e">
            <v>#N/A</v>
          </cell>
          <cell r="E753">
            <v>3.60135135135131</v>
          </cell>
          <cell r="F753">
            <v>16.709459459459584</v>
          </cell>
          <cell r="G753">
            <v>14.087837837837862</v>
          </cell>
          <cell r="H753">
            <v>14.087837837837862</v>
          </cell>
          <cell r="I753" t="e">
            <v>#N/A</v>
          </cell>
          <cell r="J753" t="e">
            <v>#N/A</v>
          </cell>
          <cell r="K753" t="e">
            <v>#N/A</v>
          </cell>
          <cell r="L753" t="e">
            <v>#N/A</v>
          </cell>
          <cell r="M753" t="e">
            <v>#N/A</v>
          </cell>
          <cell r="N753" t="e">
            <v>#N/A</v>
          </cell>
          <cell r="O753" t="e">
            <v>#N/A</v>
          </cell>
          <cell r="P753">
            <v>14.52</v>
          </cell>
          <cell r="Q753" t="str">
            <v/>
          </cell>
          <cell r="R753" t="e">
            <v>#N/A</v>
          </cell>
        </row>
        <row r="754">
          <cell r="A754">
            <v>41058</v>
          </cell>
          <cell r="B754">
            <v>41058</v>
          </cell>
          <cell r="C754" t="str">
            <v>Future</v>
          </cell>
          <cell r="D754" t="e">
            <v>#N/A</v>
          </cell>
          <cell r="E754">
            <v>3.5459459459459044</v>
          </cell>
          <cell r="F754">
            <v>16.721621621621747</v>
          </cell>
          <cell r="G754">
            <v>14.08648648648651</v>
          </cell>
          <cell r="H754">
            <v>14.08648648648651</v>
          </cell>
          <cell r="I754" t="e">
            <v>#N/A</v>
          </cell>
          <cell r="J754" t="e">
            <v>#N/A</v>
          </cell>
          <cell r="K754" t="e">
            <v>#N/A</v>
          </cell>
          <cell r="L754" t="e">
            <v>#N/A</v>
          </cell>
          <cell r="M754" t="e">
            <v>#N/A</v>
          </cell>
          <cell r="N754" t="e">
            <v>#N/A</v>
          </cell>
          <cell r="O754" t="e">
            <v>#N/A</v>
          </cell>
          <cell r="P754">
            <v>14.52</v>
          </cell>
          <cell r="Q754" t="str">
            <v/>
          </cell>
          <cell r="R754" t="e">
            <v>#N/A</v>
          </cell>
        </row>
        <row r="755">
          <cell r="A755">
            <v>41059</v>
          </cell>
          <cell r="B755">
            <v>41059</v>
          </cell>
          <cell r="C755" t="str">
            <v>Future</v>
          </cell>
          <cell r="D755" t="e">
            <v>#N/A</v>
          </cell>
          <cell r="E755">
            <v>3.4905405405404988</v>
          </cell>
          <cell r="F755">
            <v>16.73378378378391</v>
          </cell>
          <cell r="G755">
            <v>14.085135135135159</v>
          </cell>
          <cell r="H755">
            <v>14.085135135135159</v>
          </cell>
          <cell r="I755" t="e">
            <v>#N/A</v>
          </cell>
          <cell r="J755" t="e">
            <v>#N/A</v>
          </cell>
          <cell r="K755" t="e">
            <v>#N/A</v>
          </cell>
          <cell r="L755" t="e">
            <v>#N/A</v>
          </cell>
          <cell r="M755" t="e">
            <v>#N/A</v>
          </cell>
          <cell r="N755" t="e">
            <v>#N/A</v>
          </cell>
          <cell r="O755" t="e">
            <v>#N/A</v>
          </cell>
          <cell r="P755">
            <v>14.52</v>
          </cell>
          <cell r="Q755" t="str">
            <v/>
          </cell>
          <cell r="R755" t="e">
            <v>#N/A</v>
          </cell>
        </row>
        <row r="756">
          <cell r="A756">
            <v>41060</v>
          </cell>
          <cell r="B756">
            <v>41060</v>
          </cell>
          <cell r="C756" t="str">
            <v>Future</v>
          </cell>
          <cell r="D756" t="e">
            <v>#N/A</v>
          </cell>
          <cell r="E756">
            <v>3.4351351351350932</v>
          </cell>
          <cell r="F756">
            <v>16.745945945946072</v>
          </cell>
          <cell r="G756">
            <v>14.083783783783808</v>
          </cell>
          <cell r="H756">
            <v>14.083783783783808</v>
          </cell>
          <cell r="I756" t="e">
            <v>#N/A</v>
          </cell>
          <cell r="J756" t="e">
            <v>#N/A</v>
          </cell>
          <cell r="K756" t="e">
            <v>#N/A</v>
          </cell>
          <cell r="L756" t="e">
            <v>#N/A</v>
          </cell>
          <cell r="M756" t="e">
            <v>#N/A</v>
          </cell>
          <cell r="N756" t="e">
            <v>#N/A</v>
          </cell>
          <cell r="O756" t="e">
            <v>#N/A</v>
          </cell>
          <cell r="P756">
            <v>14.52</v>
          </cell>
          <cell r="Q756" t="str">
            <v/>
          </cell>
          <cell r="R756" t="e">
            <v>#N/A</v>
          </cell>
        </row>
        <row r="757">
          <cell r="A757">
            <v>41061</v>
          </cell>
          <cell r="B757">
            <v>41061</v>
          </cell>
          <cell r="C757" t="str">
            <v>Future</v>
          </cell>
          <cell r="D757" t="e">
            <v>#N/A</v>
          </cell>
          <cell r="E757">
            <v>3.3797297297296875</v>
          </cell>
          <cell r="F757">
            <v>16.758108108108235</v>
          </cell>
          <cell r="G757">
            <v>14.082432432432457</v>
          </cell>
          <cell r="H757">
            <v>14.082432432432457</v>
          </cell>
          <cell r="I757" t="e">
            <v>#N/A</v>
          </cell>
          <cell r="J757" t="e">
            <v>#N/A</v>
          </cell>
          <cell r="K757" t="e">
            <v>#N/A</v>
          </cell>
          <cell r="L757" t="e">
            <v>#N/A</v>
          </cell>
          <cell r="M757" t="e">
            <v>#N/A</v>
          </cell>
          <cell r="N757" t="e">
            <v>#N/A</v>
          </cell>
          <cell r="O757" t="e">
            <v>#N/A</v>
          </cell>
          <cell r="P757">
            <v>14.52</v>
          </cell>
          <cell r="Q757" t="str">
            <v/>
          </cell>
          <cell r="R757" t="e">
            <v>#N/A</v>
          </cell>
        </row>
        <row r="758">
          <cell r="A758">
            <v>41064</v>
          </cell>
          <cell r="B758">
            <v>41064</v>
          </cell>
          <cell r="C758" t="str">
            <v>Future</v>
          </cell>
          <cell r="D758" t="e">
            <v>#N/A</v>
          </cell>
          <cell r="E758">
            <v>3.3243243243242819</v>
          </cell>
          <cell r="F758">
            <v>16.770270270270398</v>
          </cell>
          <cell r="G758">
            <v>14.081081081081106</v>
          </cell>
          <cell r="H758">
            <v>14.081081081081106</v>
          </cell>
          <cell r="I758" t="e">
            <v>#N/A</v>
          </cell>
          <cell r="J758" t="e">
            <v>#N/A</v>
          </cell>
          <cell r="K758" t="e">
            <v>#N/A</v>
          </cell>
          <cell r="L758" t="e">
            <v>#N/A</v>
          </cell>
          <cell r="M758" t="e">
            <v>#N/A</v>
          </cell>
          <cell r="N758" t="e">
            <v>#N/A</v>
          </cell>
          <cell r="O758" t="e">
            <v>#N/A</v>
          </cell>
          <cell r="P758">
            <v>14.52</v>
          </cell>
          <cell r="Q758" t="str">
            <v/>
          </cell>
          <cell r="R758" t="e">
            <v>#N/A</v>
          </cell>
        </row>
        <row r="759">
          <cell r="A759">
            <v>41065</v>
          </cell>
          <cell r="B759">
            <v>41065</v>
          </cell>
          <cell r="C759" t="str">
            <v>Future</v>
          </cell>
          <cell r="D759" t="e">
            <v>#N/A</v>
          </cell>
          <cell r="E759">
            <v>3.2689189189188763</v>
          </cell>
          <cell r="F759">
            <v>16.782432432432561</v>
          </cell>
          <cell r="G759">
            <v>14.079729729729754</v>
          </cell>
          <cell r="H759">
            <v>14.079729729729754</v>
          </cell>
          <cell r="I759" t="e">
            <v>#N/A</v>
          </cell>
          <cell r="J759" t="e">
            <v>#N/A</v>
          </cell>
          <cell r="K759" t="e">
            <v>#N/A</v>
          </cell>
          <cell r="L759" t="e">
            <v>#N/A</v>
          </cell>
          <cell r="M759" t="e">
            <v>#N/A</v>
          </cell>
          <cell r="N759" t="e">
            <v>#N/A</v>
          </cell>
          <cell r="O759" t="e">
            <v>#N/A</v>
          </cell>
          <cell r="P759">
            <v>14.52</v>
          </cell>
          <cell r="Q759" t="str">
            <v/>
          </cell>
          <cell r="R759" t="e">
            <v>#N/A</v>
          </cell>
        </row>
        <row r="760">
          <cell r="A760">
            <v>41066</v>
          </cell>
          <cell r="B760">
            <v>41066</v>
          </cell>
          <cell r="C760" t="str">
            <v>Future</v>
          </cell>
          <cell r="D760" t="e">
            <v>#N/A</v>
          </cell>
          <cell r="E760">
            <v>3.2135135135134707</v>
          </cell>
          <cell r="F760">
            <v>16.794594594594724</v>
          </cell>
          <cell r="G760">
            <v>14.078378378378403</v>
          </cell>
          <cell r="H760">
            <v>14.078378378378403</v>
          </cell>
          <cell r="I760" t="e">
            <v>#N/A</v>
          </cell>
          <cell r="J760" t="e">
            <v>#N/A</v>
          </cell>
          <cell r="K760" t="e">
            <v>#N/A</v>
          </cell>
          <cell r="L760" t="e">
            <v>#N/A</v>
          </cell>
          <cell r="M760" t="e">
            <v>#N/A</v>
          </cell>
          <cell r="N760" t="e">
            <v>#N/A</v>
          </cell>
          <cell r="O760" t="e">
            <v>#N/A</v>
          </cell>
          <cell r="P760">
            <v>14.52</v>
          </cell>
          <cell r="Q760" t="str">
            <v/>
          </cell>
          <cell r="R760" t="e">
            <v>#N/A</v>
          </cell>
        </row>
        <row r="761">
          <cell r="A761">
            <v>41067</v>
          </cell>
          <cell r="B761">
            <v>41067</v>
          </cell>
          <cell r="C761" t="str">
            <v>Future</v>
          </cell>
          <cell r="D761" t="e">
            <v>#N/A</v>
          </cell>
          <cell r="E761">
            <v>3.1581081081080651</v>
          </cell>
          <cell r="F761">
            <v>16.806756756756887</v>
          </cell>
          <cell r="G761">
            <v>14.077027027027052</v>
          </cell>
          <cell r="H761">
            <v>14.077027027027052</v>
          </cell>
          <cell r="I761" t="e">
            <v>#N/A</v>
          </cell>
          <cell r="J761" t="e">
            <v>#N/A</v>
          </cell>
          <cell r="K761" t="e">
            <v>#N/A</v>
          </cell>
          <cell r="L761" t="e">
            <v>#N/A</v>
          </cell>
          <cell r="M761" t="e">
            <v>#N/A</v>
          </cell>
          <cell r="N761" t="e">
            <v>#N/A</v>
          </cell>
          <cell r="O761" t="e">
            <v>#N/A</v>
          </cell>
          <cell r="P761">
            <v>14.52</v>
          </cell>
          <cell r="Q761" t="str">
            <v/>
          </cell>
          <cell r="R761" t="e">
            <v>#N/A</v>
          </cell>
        </row>
        <row r="762">
          <cell r="A762">
            <v>41068</v>
          </cell>
          <cell r="B762">
            <v>41068</v>
          </cell>
          <cell r="C762" t="str">
            <v>Future</v>
          </cell>
          <cell r="D762" t="e">
            <v>#N/A</v>
          </cell>
          <cell r="E762">
            <v>3.1027027027026595</v>
          </cell>
          <cell r="F762">
            <v>16.818918918919049</v>
          </cell>
          <cell r="G762">
            <v>14.075675675675701</v>
          </cell>
          <cell r="H762">
            <v>14.075675675675701</v>
          </cell>
          <cell r="I762" t="e">
            <v>#N/A</v>
          </cell>
          <cell r="J762" t="e">
            <v>#N/A</v>
          </cell>
          <cell r="K762" t="e">
            <v>#N/A</v>
          </cell>
          <cell r="L762" t="e">
            <v>#N/A</v>
          </cell>
          <cell r="M762" t="e">
            <v>#N/A</v>
          </cell>
          <cell r="N762" t="e">
            <v>#N/A</v>
          </cell>
          <cell r="O762" t="e">
            <v>#N/A</v>
          </cell>
          <cell r="P762">
            <v>14.52</v>
          </cell>
          <cell r="Q762" t="str">
            <v/>
          </cell>
          <cell r="R762" t="e">
            <v>#N/A</v>
          </cell>
        </row>
        <row r="763">
          <cell r="A763">
            <v>41071</v>
          </cell>
          <cell r="B763">
            <v>41071</v>
          </cell>
          <cell r="C763" t="str">
            <v>Future</v>
          </cell>
          <cell r="D763" t="e">
            <v>#N/A</v>
          </cell>
          <cell r="E763">
            <v>3.0472972972972538</v>
          </cell>
          <cell r="F763">
            <v>16.831081081081212</v>
          </cell>
          <cell r="G763">
            <v>14.074324324324349</v>
          </cell>
          <cell r="H763">
            <v>14.074324324324349</v>
          </cell>
          <cell r="I763" t="e">
            <v>#N/A</v>
          </cell>
          <cell r="J763" t="e">
            <v>#N/A</v>
          </cell>
          <cell r="K763" t="e">
            <v>#N/A</v>
          </cell>
          <cell r="L763" t="e">
            <v>#N/A</v>
          </cell>
          <cell r="M763" t="e">
            <v>#N/A</v>
          </cell>
          <cell r="N763" t="e">
            <v>#N/A</v>
          </cell>
          <cell r="O763" t="e">
            <v>#N/A</v>
          </cell>
          <cell r="P763">
            <v>14.52</v>
          </cell>
          <cell r="Q763" t="str">
            <v/>
          </cell>
          <cell r="R763" t="e">
            <v>#N/A</v>
          </cell>
        </row>
        <row r="764">
          <cell r="A764">
            <v>41072</v>
          </cell>
          <cell r="B764">
            <v>41072</v>
          </cell>
          <cell r="C764" t="str">
            <v>Future</v>
          </cell>
          <cell r="D764" t="e">
            <v>#N/A</v>
          </cell>
          <cell r="E764">
            <v>2.9918918918918482</v>
          </cell>
          <cell r="F764">
            <v>16.843243243243375</v>
          </cell>
          <cell r="G764">
            <v>14.072972972972998</v>
          </cell>
          <cell r="H764">
            <v>14.072972972972998</v>
          </cell>
          <cell r="I764" t="e">
            <v>#N/A</v>
          </cell>
          <cell r="J764" t="e">
            <v>#N/A</v>
          </cell>
          <cell r="K764" t="e">
            <v>#N/A</v>
          </cell>
          <cell r="L764" t="e">
            <v>#N/A</v>
          </cell>
          <cell r="M764" t="e">
            <v>#N/A</v>
          </cell>
          <cell r="N764" t="e">
            <v>#N/A</v>
          </cell>
          <cell r="O764" t="e">
            <v>#N/A</v>
          </cell>
          <cell r="P764">
            <v>14.52</v>
          </cell>
          <cell r="Q764" t="str">
            <v/>
          </cell>
          <cell r="R764" t="e">
            <v>#N/A</v>
          </cell>
        </row>
        <row r="765">
          <cell r="A765">
            <v>41073</v>
          </cell>
          <cell r="B765">
            <v>41073</v>
          </cell>
          <cell r="C765" t="str">
            <v>Future</v>
          </cell>
          <cell r="D765" t="e">
            <v>#N/A</v>
          </cell>
          <cell r="E765">
            <v>2.9364864864864426</v>
          </cell>
          <cell r="F765">
            <v>16.855405405405538</v>
          </cell>
          <cell r="G765">
            <v>14.071621621621647</v>
          </cell>
          <cell r="H765">
            <v>14.071621621621647</v>
          </cell>
          <cell r="I765" t="e">
            <v>#N/A</v>
          </cell>
          <cell r="J765" t="e">
            <v>#N/A</v>
          </cell>
          <cell r="K765" t="e">
            <v>#N/A</v>
          </cell>
          <cell r="L765" t="e">
            <v>#N/A</v>
          </cell>
          <cell r="M765" t="e">
            <v>#N/A</v>
          </cell>
          <cell r="N765" t="e">
            <v>#N/A</v>
          </cell>
          <cell r="O765" t="e">
            <v>#N/A</v>
          </cell>
          <cell r="P765">
            <v>14.52</v>
          </cell>
          <cell r="Q765" t="str">
            <v/>
          </cell>
          <cell r="R765" t="e">
            <v>#N/A</v>
          </cell>
        </row>
        <row r="766">
          <cell r="A766">
            <v>41074</v>
          </cell>
          <cell r="B766">
            <v>41074</v>
          </cell>
          <cell r="C766" t="str">
            <v>Future</v>
          </cell>
          <cell r="D766" t="e">
            <v>#N/A</v>
          </cell>
          <cell r="E766">
            <v>2.881081081081037</v>
          </cell>
          <cell r="F766">
            <v>16.867567567567701</v>
          </cell>
          <cell r="G766">
            <v>14.070270270270296</v>
          </cell>
          <cell r="H766">
            <v>14.070270270270296</v>
          </cell>
          <cell r="I766" t="e">
            <v>#N/A</v>
          </cell>
          <cell r="J766" t="e">
            <v>#N/A</v>
          </cell>
          <cell r="K766" t="e">
            <v>#N/A</v>
          </cell>
          <cell r="L766" t="e">
            <v>#N/A</v>
          </cell>
          <cell r="M766" t="e">
            <v>#N/A</v>
          </cell>
          <cell r="N766" t="e">
            <v>#N/A</v>
          </cell>
          <cell r="O766" t="e">
            <v>#N/A</v>
          </cell>
          <cell r="P766">
            <v>14.52</v>
          </cell>
          <cell r="Q766" t="str">
            <v/>
          </cell>
          <cell r="R766" t="e">
            <v>#N/A</v>
          </cell>
        </row>
        <row r="767">
          <cell r="A767">
            <v>41075</v>
          </cell>
          <cell r="B767">
            <v>41075</v>
          </cell>
          <cell r="C767" t="str">
            <v>Future</v>
          </cell>
          <cell r="D767" t="e">
            <v>#N/A</v>
          </cell>
          <cell r="E767">
            <v>2.8256756756756314</v>
          </cell>
          <cell r="F767">
            <v>16.879729729729863</v>
          </cell>
          <cell r="G767">
            <v>14.068918918918945</v>
          </cell>
          <cell r="H767">
            <v>14.068918918918945</v>
          </cell>
          <cell r="I767" t="e">
            <v>#N/A</v>
          </cell>
          <cell r="J767" t="e">
            <v>#N/A</v>
          </cell>
          <cell r="K767" t="e">
            <v>#N/A</v>
          </cell>
          <cell r="L767" t="e">
            <v>#N/A</v>
          </cell>
          <cell r="M767" t="e">
            <v>#N/A</v>
          </cell>
          <cell r="N767" t="e">
            <v>#N/A</v>
          </cell>
          <cell r="O767" t="e">
            <v>#N/A</v>
          </cell>
          <cell r="P767">
            <v>14.52</v>
          </cell>
          <cell r="Q767" t="str">
            <v/>
          </cell>
          <cell r="R767" t="e">
            <v>#N/A</v>
          </cell>
        </row>
        <row r="768">
          <cell r="A768">
            <v>41078</v>
          </cell>
          <cell r="B768">
            <v>41078</v>
          </cell>
          <cell r="C768" t="str">
            <v>Future</v>
          </cell>
          <cell r="D768" t="e">
            <v>#N/A</v>
          </cell>
          <cell r="E768">
            <v>2.7702702702702258</v>
          </cell>
          <cell r="F768">
            <v>16.891891891892026</v>
          </cell>
          <cell r="G768">
            <v>14.067567567567593</v>
          </cell>
          <cell r="H768">
            <v>14.067567567567593</v>
          </cell>
          <cell r="I768" t="e">
            <v>#N/A</v>
          </cell>
          <cell r="J768" t="e">
            <v>#N/A</v>
          </cell>
          <cell r="K768" t="e">
            <v>#N/A</v>
          </cell>
          <cell r="L768" t="e">
            <v>#N/A</v>
          </cell>
          <cell r="M768" t="e">
            <v>#N/A</v>
          </cell>
          <cell r="N768" t="e">
            <v>#N/A</v>
          </cell>
          <cell r="O768" t="e">
            <v>#N/A</v>
          </cell>
          <cell r="P768">
            <v>14.52</v>
          </cell>
          <cell r="Q768" t="str">
            <v/>
          </cell>
          <cell r="R768" t="e">
            <v>#N/A</v>
          </cell>
        </row>
        <row r="769">
          <cell r="A769">
            <v>41079</v>
          </cell>
          <cell r="B769">
            <v>41079</v>
          </cell>
          <cell r="C769" t="str">
            <v>Future</v>
          </cell>
          <cell r="D769" t="e">
            <v>#N/A</v>
          </cell>
          <cell r="E769">
            <v>2.7148648648648201</v>
          </cell>
          <cell r="F769">
            <v>16.904054054054189</v>
          </cell>
          <cell r="G769">
            <v>14.066216216216242</v>
          </cell>
          <cell r="H769">
            <v>14.066216216216242</v>
          </cell>
          <cell r="I769" t="e">
            <v>#N/A</v>
          </cell>
          <cell r="J769" t="e">
            <v>#N/A</v>
          </cell>
          <cell r="K769" t="e">
            <v>#N/A</v>
          </cell>
          <cell r="L769" t="e">
            <v>#N/A</v>
          </cell>
          <cell r="M769" t="e">
            <v>#N/A</v>
          </cell>
          <cell r="N769" t="e">
            <v>#N/A</v>
          </cell>
          <cell r="O769" t="e">
            <v>#N/A</v>
          </cell>
          <cell r="P769">
            <v>14.52</v>
          </cell>
          <cell r="Q769" t="str">
            <v/>
          </cell>
          <cell r="R769" t="e">
            <v>#N/A</v>
          </cell>
        </row>
        <row r="770">
          <cell r="A770">
            <v>41080</v>
          </cell>
          <cell r="B770">
            <v>41080</v>
          </cell>
          <cell r="C770" t="str">
            <v>Future</v>
          </cell>
          <cell r="D770" t="e">
            <v>#N/A</v>
          </cell>
          <cell r="E770">
            <v>2.6594594594594145</v>
          </cell>
          <cell r="F770">
            <v>16.916216216216352</v>
          </cell>
          <cell r="G770">
            <v>14.064864864864891</v>
          </cell>
          <cell r="H770">
            <v>14.064864864864891</v>
          </cell>
          <cell r="I770" t="e">
            <v>#N/A</v>
          </cell>
          <cell r="J770" t="e">
            <v>#N/A</v>
          </cell>
          <cell r="K770" t="e">
            <v>#N/A</v>
          </cell>
          <cell r="L770" t="e">
            <v>#N/A</v>
          </cell>
          <cell r="M770" t="e">
            <v>#N/A</v>
          </cell>
          <cell r="N770" t="e">
            <v>#N/A</v>
          </cell>
          <cell r="O770" t="e">
            <v>#N/A</v>
          </cell>
          <cell r="P770">
            <v>14.52</v>
          </cell>
          <cell r="Q770" t="str">
            <v/>
          </cell>
          <cell r="R770" t="e">
            <v>#N/A</v>
          </cell>
        </row>
        <row r="771">
          <cell r="A771">
            <v>41081</v>
          </cell>
          <cell r="B771">
            <v>41081</v>
          </cell>
          <cell r="C771" t="str">
            <v>Future</v>
          </cell>
          <cell r="D771" t="e">
            <v>#N/A</v>
          </cell>
          <cell r="E771">
            <v>2.6040540540540089</v>
          </cell>
          <cell r="F771">
            <v>16.928378378378515</v>
          </cell>
          <cell r="G771">
            <v>14.06351351351354</v>
          </cell>
          <cell r="H771">
            <v>14.06351351351354</v>
          </cell>
          <cell r="I771" t="e">
            <v>#N/A</v>
          </cell>
          <cell r="J771" t="e">
            <v>#N/A</v>
          </cell>
          <cell r="K771" t="e">
            <v>#N/A</v>
          </cell>
          <cell r="L771" t="e">
            <v>#N/A</v>
          </cell>
          <cell r="M771" t="e">
            <v>#N/A</v>
          </cell>
          <cell r="N771" t="e">
            <v>#N/A</v>
          </cell>
          <cell r="O771" t="e">
            <v>#N/A</v>
          </cell>
          <cell r="P771">
            <v>14.52</v>
          </cell>
          <cell r="Q771" t="str">
            <v/>
          </cell>
          <cell r="R771" t="e">
            <v>#N/A</v>
          </cell>
        </row>
        <row r="772">
          <cell r="A772">
            <v>41082</v>
          </cell>
          <cell r="B772">
            <v>41082</v>
          </cell>
          <cell r="C772" t="str">
            <v>Future</v>
          </cell>
          <cell r="D772" t="e">
            <v>#N/A</v>
          </cell>
          <cell r="E772">
            <v>2.5486486486486033</v>
          </cell>
          <cell r="F772">
            <v>16.940540540540677</v>
          </cell>
          <cell r="G772">
            <v>14.062162162162188</v>
          </cell>
          <cell r="H772">
            <v>14.062162162162188</v>
          </cell>
          <cell r="I772" t="e">
            <v>#N/A</v>
          </cell>
          <cell r="J772" t="e">
            <v>#N/A</v>
          </cell>
          <cell r="K772" t="e">
            <v>#N/A</v>
          </cell>
          <cell r="L772" t="e">
            <v>#N/A</v>
          </cell>
          <cell r="M772" t="e">
            <v>#N/A</v>
          </cell>
          <cell r="N772" t="e">
            <v>#N/A</v>
          </cell>
          <cell r="O772" t="e">
            <v>#N/A</v>
          </cell>
          <cell r="P772">
            <v>14.52</v>
          </cell>
          <cell r="Q772" t="str">
            <v/>
          </cell>
          <cell r="R772" t="e">
            <v>#N/A</v>
          </cell>
        </row>
        <row r="773">
          <cell r="A773">
            <v>41085</v>
          </cell>
          <cell r="B773">
            <v>41085</v>
          </cell>
          <cell r="C773" t="str">
            <v>Future</v>
          </cell>
          <cell r="D773" t="e">
            <v>#N/A</v>
          </cell>
          <cell r="E773">
            <v>2.4932432432431977</v>
          </cell>
          <cell r="F773">
            <v>16.95270270270284</v>
          </cell>
          <cell r="G773">
            <v>14.060810810810837</v>
          </cell>
          <cell r="H773">
            <v>14.060810810810837</v>
          </cell>
          <cell r="I773" t="e">
            <v>#N/A</v>
          </cell>
          <cell r="J773" t="e">
            <v>#N/A</v>
          </cell>
          <cell r="K773" t="e">
            <v>#N/A</v>
          </cell>
          <cell r="L773" t="e">
            <v>#N/A</v>
          </cell>
          <cell r="M773" t="e">
            <v>#N/A</v>
          </cell>
          <cell r="N773" t="e">
            <v>#N/A</v>
          </cell>
          <cell r="O773" t="e">
            <v>#N/A</v>
          </cell>
          <cell r="P773">
            <v>14.52</v>
          </cell>
          <cell r="Q773" t="str">
            <v/>
          </cell>
          <cell r="R773" t="e">
            <v>#N/A</v>
          </cell>
        </row>
        <row r="774">
          <cell r="A774">
            <v>41086</v>
          </cell>
          <cell r="B774">
            <v>41086</v>
          </cell>
          <cell r="C774" t="str">
            <v>Future</v>
          </cell>
          <cell r="D774" t="e">
            <v>#N/A</v>
          </cell>
          <cell r="E774">
            <v>2.4378378378377921</v>
          </cell>
          <cell r="F774">
            <v>16.964864864865003</v>
          </cell>
          <cell r="G774">
            <v>14.059459459459486</v>
          </cell>
          <cell r="H774">
            <v>14.059459459459486</v>
          </cell>
          <cell r="I774" t="e">
            <v>#N/A</v>
          </cell>
          <cell r="J774" t="e">
            <v>#N/A</v>
          </cell>
          <cell r="K774" t="e">
            <v>#N/A</v>
          </cell>
          <cell r="L774" t="e">
            <v>#N/A</v>
          </cell>
          <cell r="M774" t="e">
            <v>#N/A</v>
          </cell>
          <cell r="N774" t="e">
            <v>#N/A</v>
          </cell>
          <cell r="O774" t="e">
            <v>#N/A</v>
          </cell>
          <cell r="P774">
            <v>14.52</v>
          </cell>
          <cell r="Q774" t="str">
            <v/>
          </cell>
          <cell r="R774" t="e">
            <v>#N/A</v>
          </cell>
        </row>
        <row r="775">
          <cell r="A775">
            <v>41087</v>
          </cell>
          <cell r="B775">
            <v>41087</v>
          </cell>
          <cell r="C775" t="str">
            <v>Future</v>
          </cell>
          <cell r="D775" t="e">
            <v>#N/A</v>
          </cell>
          <cell r="E775">
            <v>2.3824324324323864</v>
          </cell>
          <cell r="F775">
            <v>16.977027027027166</v>
          </cell>
          <cell r="G775">
            <v>14.058108108108135</v>
          </cell>
          <cell r="H775">
            <v>14.058108108108135</v>
          </cell>
          <cell r="I775" t="e">
            <v>#N/A</v>
          </cell>
          <cell r="J775" t="e">
            <v>#N/A</v>
          </cell>
          <cell r="K775" t="e">
            <v>#N/A</v>
          </cell>
          <cell r="L775" t="e">
            <v>#N/A</v>
          </cell>
          <cell r="M775" t="e">
            <v>#N/A</v>
          </cell>
          <cell r="N775" t="e">
            <v>#N/A</v>
          </cell>
          <cell r="O775" t="e">
            <v>#N/A</v>
          </cell>
          <cell r="P775">
            <v>14.52</v>
          </cell>
          <cell r="Q775" t="str">
            <v/>
          </cell>
          <cell r="R775" t="e">
            <v>#N/A</v>
          </cell>
        </row>
        <row r="776">
          <cell r="A776">
            <v>41088</v>
          </cell>
          <cell r="B776">
            <v>41088</v>
          </cell>
          <cell r="C776" t="str">
            <v>Future</v>
          </cell>
          <cell r="D776" t="e">
            <v>#N/A</v>
          </cell>
          <cell r="E776">
            <v>2.3270270270269808</v>
          </cell>
          <cell r="F776">
            <v>16.989189189189329</v>
          </cell>
          <cell r="G776">
            <v>14.056756756756783</v>
          </cell>
          <cell r="H776">
            <v>14.056756756756783</v>
          </cell>
          <cell r="I776" t="e">
            <v>#N/A</v>
          </cell>
          <cell r="J776" t="e">
            <v>#N/A</v>
          </cell>
          <cell r="K776" t="e">
            <v>#N/A</v>
          </cell>
          <cell r="L776" t="e">
            <v>#N/A</v>
          </cell>
          <cell r="M776" t="e">
            <v>#N/A</v>
          </cell>
          <cell r="N776" t="e">
            <v>#N/A</v>
          </cell>
          <cell r="O776" t="e">
            <v>#N/A</v>
          </cell>
          <cell r="P776">
            <v>14.52</v>
          </cell>
          <cell r="Q776" t="str">
            <v/>
          </cell>
          <cell r="R776" t="e">
            <v>#N/A</v>
          </cell>
        </row>
        <row r="777">
          <cell r="A777">
            <v>41089</v>
          </cell>
          <cell r="B777">
            <v>41089</v>
          </cell>
          <cell r="C777" t="str">
            <v>Future</v>
          </cell>
          <cell r="D777" t="e">
            <v>#N/A</v>
          </cell>
          <cell r="E777">
            <v>2.2716216216215752</v>
          </cell>
          <cell r="F777">
            <v>17.001351351351492</v>
          </cell>
          <cell r="G777">
            <v>14.055405405405432</v>
          </cell>
          <cell r="H777">
            <v>14.055405405405432</v>
          </cell>
          <cell r="I777" t="e">
            <v>#N/A</v>
          </cell>
          <cell r="J777" t="e">
            <v>#N/A</v>
          </cell>
          <cell r="K777" t="e">
            <v>#N/A</v>
          </cell>
          <cell r="L777" t="e">
            <v>#N/A</v>
          </cell>
          <cell r="M777" t="e">
            <v>#N/A</v>
          </cell>
          <cell r="N777" t="e">
            <v>#N/A</v>
          </cell>
          <cell r="O777" t="e">
            <v>#N/A</v>
          </cell>
          <cell r="P777">
            <v>14.52</v>
          </cell>
          <cell r="Q777" t="str">
            <v/>
          </cell>
          <cell r="R777" t="e">
            <v>#N/A</v>
          </cell>
        </row>
        <row r="778">
          <cell r="A778">
            <v>41092</v>
          </cell>
          <cell r="B778">
            <v>41092</v>
          </cell>
          <cell r="C778" t="str">
            <v>Future</v>
          </cell>
          <cell r="D778" t="e">
            <v>#N/A</v>
          </cell>
          <cell r="E778">
            <v>2.2162162162161696</v>
          </cell>
          <cell r="F778">
            <v>17.013513513513654</v>
          </cell>
          <cell r="G778">
            <v>14.054054054054081</v>
          </cell>
          <cell r="H778">
            <v>14.054054054054081</v>
          </cell>
          <cell r="I778" t="e">
            <v>#N/A</v>
          </cell>
          <cell r="J778" t="e">
            <v>#N/A</v>
          </cell>
          <cell r="K778" t="e">
            <v>#N/A</v>
          </cell>
          <cell r="L778" t="e">
            <v>#N/A</v>
          </cell>
          <cell r="M778" t="e">
            <v>#N/A</v>
          </cell>
          <cell r="N778" t="e">
            <v>#N/A</v>
          </cell>
          <cell r="O778" t="e">
            <v>#N/A</v>
          </cell>
          <cell r="P778">
            <v>14.52</v>
          </cell>
          <cell r="Q778" t="str">
            <v/>
          </cell>
          <cell r="R778" t="e">
            <v>#N/A</v>
          </cell>
        </row>
        <row r="779">
          <cell r="A779">
            <v>41093</v>
          </cell>
          <cell r="B779">
            <v>41093</v>
          </cell>
          <cell r="C779" t="str">
            <v>Future</v>
          </cell>
          <cell r="D779" t="e">
            <v>#N/A</v>
          </cell>
          <cell r="E779">
            <v>2.160810810810764</v>
          </cell>
          <cell r="F779">
            <v>17.025675675675817</v>
          </cell>
          <cell r="G779">
            <v>14.05270270270273</v>
          </cell>
          <cell r="H779">
            <v>14.05270270270273</v>
          </cell>
          <cell r="I779" t="e">
            <v>#N/A</v>
          </cell>
          <cell r="J779" t="e">
            <v>#N/A</v>
          </cell>
          <cell r="K779" t="e">
            <v>#N/A</v>
          </cell>
          <cell r="L779" t="e">
            <v>#N/A</v>
          </cell>
          <cell r="M779" t="e">
            <v>#N/A</v>
          </cell>
          <cell r="N779" t="e">
            <v>#N/A</v>
          </cell>
          <cell r="O779" t="e">
            <v>#N/A</v>
          </cell>
          <cell r="P779">
            <v>14.52</v>
          </cell>
          <cell r="Q779" t="str">
            <v/>
          </cell>
          <cell r="R779" t="e">
            <v>#N/A</v>
          </cell>
        </row>
        <row r="780">
          <cell r="A780">
            <v>41094</v>
          </cell>
          <cell r="B780">
            <v>41094</v>
          </cell>
          <cell r="C780" t="str">
            <v>Future</v>
          </cell>
          <cell r="D780" t="e">
            <v>#N/A</v>
          </cell>
          <cell r="E780">
            <v>2.1054054054053584</v>
          </cell>
          <cell r="F780">
            <v>17.03783783783798</v>
          </cell>
          <cell r="G780">
            <v>14.051351351351379</v>
          </cell>
          <cell r="H780">
            <v>14.051351351351379</v>
          </cell>
          <cell r="I780" t="e">
            <v>#N/A</v>
          </cell>
          <cell r="J780" t="e">
            <v>#N/A</v>
          </cell>
          <cell r="K780" t="e">
            <v>#N/A</v>
          </cell>
          <cell r="L780" t="e">
            <v>#N/A</v>
          </cell>
          <cell r="M780" t="e">
            <v>#N/A</v>
          </cell>
          <cell r="N780" t="e">
            <v>#N/A</v>
          </cell>
          <cell r="O780" t="e">
            <v>#N/A</v>
          </cell>
          <cell r="P780">
            <v>14.52</v>
          </cell>
          <cell r="Q780" t="str">
            <v/>
          </cell>
          <cell r="R780" t="e">
            <v>#N/A</v>
          </cell>
        </row>
        <row r="781">
          <cell r="A781">
            <v>41095</v>
          </cell>
          <cell r="B781">
            <v>41095</v>
          </cell>
          <cell r="C781" t="str">
            <v>Future</v>
          </cell>
          <cell r="D781" t="e">
            <v>#N/A</v>
          </cell>
          <cell r="E781">
            <v>2.0499999999999527</v>
          </cell>
          <cell r="F781">
            <v>17.050000000000143</v>
          </cell>
          <cell r="G781">
            <v>14.050000000000027</v>
          </cell>
          <cell r="H781">
            <v>14.050000000000027</v>
          </cell>
          <cell r="I781" t="e">
            <v>#N/A</v>
          </cell>
          <cell r="J781" t="e">
            <v>#N/A</v>
          </cell>
          <cell r="K781" t="e">
            <v>#N/A</v>
          </cell>
          <cell r="L781" t="e">
            <v>#N/A</v>
          </cell>
          <cell r="M781" t="e">
            <v>#N/A</v>
          </cell>
          <cell r="N781" t="e">
            <v>#N/A</v>
          </cell>
          <cell r="O781" t="e">
            <v>#N/A</v>
          </cell>
          <cell r="P781">
            <v>14.52</v>
          </cell>
          <cell r="Q781" t="str">
            <v/>
          </cell>
          <cell r="R781" t="e">
            <v>#N/A</v>
          </cell>
        </row>
        <row r="782">
          <cell r="A782">
            <v>41096</v>
          </cell>
          <cell r="B782">
            <v>41096</v>
          </cell>
          <cell r="C782" t="str">
            <v>Future</v>
          </cell>
          <cell r="D782" t="e">
            <v>#N/A</v>
          </cell>
          <cell r="E782">
            <v>1.9945945945945474</v>
          </cell>
          <cell r="F782">
            <v>17.062162162162306</v>
          </cell>
          <cell r="G782">
            <v>14.048648648648676</v>
          </cell>
          <cell r="H782">
            <v>14.048648648648676</v>
          </cell>
          <cell r="I782" t="e">
            <v>#N/A</v>
          </cell>
          <cell r="J782" t="e">
            <v>#N/A</v>
          </cell>
          <cell r="K782" t="e">
            <v>#N/A</v>
          </cell>
          <cell r="L782" t="e">
            <v>#N/A</v>
          </cell>
          <cell r="M782" t="e">
            <v>#N/A</v>
          </cell>
          <cell r="N782" t="e">
            <v>#N/A</v>
          </cell>
          <cell r="O782" t="e">
            <v>#N/A</v>
          </cell>
          <cell r="P782">
            <v>14.52</v>
          </cell>
          <cell r="Q782" t="str">
            <v/>
          </cell>
          <cell r="R782" t="e">
            <v>#N/A</v>
          </cell>
        </row>
        <row r="783">
          <cell r="A783">
            <v>41099</v>
          </cell>
          <cell r="B783">
            <v>41099</v>
          </cell>
          <cell r="C783" t="str">
            <v>Future</v>
          </cell>
          <cell r="D783" t="e">
            <v>#N/A</v>
          </cell>
          <cell r="E783">
            <v>1.939189189189142</v>
          </cell>
          <cell r="F783">
            <v>17.074324324324468</v>
          </cell>
          <cell r="G783">
            <v>14.047297297297325</v>
          </cell>
          <cell r="H783">
            <v>14.047297297297325</v>
          </cell>
          <cell r="I783" t="e">
            <v>#N/A</v>
          </cell>
          <cell r="J783" t="e">
            <v>#N/A</v>
          </cell>
          <cell r="K783" t="e">
            <v>#N/A</v>
          </cell>
          <cell r="L783" t="e">
            <v>#N/A</v>
          </cell>
          <cell r="M783" t="e">
            <v>#N/A</v>
          </cell>
          <cell r="N783" t="e">
            <v>#N/A</v>
          </cell>
          <cell r="O783" t="e">
            <v>#N/A</v>
          </cell>
          <cell r="P783">
            <v>14.52</v>
          </cell>
          <cell r="Q783" t="str">
            <v/>
          </cell>
          <cell r="R783" t="e">
            <v>#N/A</v>
          </cell>
        </row>
        <row r="784">
          <cell r="A784">
            <v>41100</v>
          </cell>
          <cell r="B784">
            <v>41100</v>
          </cell>
          <cell r="C784" t="str">
            <v>Future</v>
          </cell>
          <cell r="D784" t="e">
            <v>#N/A</v>
          </cell>
          <cell r="E784">
            <v>1.8837837837837366</v>
          </cell>
          <cell r="F784">
            <v>17.086486486486631</v>
          </cell>
          <cell r="G784">
            <v>14.045945945945974</v>
          </cell>
          <cell r="H784">
            <v>14.045945945945974</v>
          </cell>
          <cell r="I784" t="e">
            <v>#N/A</v>
          </cell>
          <cell r="J784" t="e">
            <v>#N/A</v>
          </cell>
          <cell r="K784" t="e">
            <v>#N/A</v>
          </cell>
          <cell r="L784" t="e">
            <v>#N/A</v>
          </cell>
          <cell r="M784" t="e">
            <v>#N/A</v>
          </cell>
          <cell r="N784" t="e">
            <v>#N/A</v>
          </cell>
          <cell r="O784" t="e">
            <v>#N/A</v>
          </cell>
          <cell r="P784">
            <v>14.52</v>
          </cell>
          <cell r="Q784" t="str">
            <v/>
          </cell>
          <cell r="R784" t="e">
            <v>#N/A</v>
          </cell>
        </row>
        <row r="785">
          <cell r="A785">
            <v>41101</v>
          </cell>
          <cell r="B785">
            <v>41101</v>
          </cell>
          <cell r="C785" t="str">
            <v>Future</v>
          </cell>
          <cell r="D785" t="e">
            <v>#N/A</v>
          </cell>
          <cell r="E785">
            <v>1.8283783783783312</v>
          </cell>
          <cell r="F785">
            <v>17.098648648648794</v>
          </cell>
          <cell r="G785">
            <v>14.044594594594622</v>
          </cell>
          <cell r="H785">
            <v>14.044594594594622</v>
          </cell>
          <cell r="I785" t="e">
            <v>#N/A</v>
          </cell>
          <cell r="J785" t="e">
            <v>#N/A</v>
          </cell>
          <cell r="K785" t="e">
            <v>#N/A</v>
          </cell>
          <cell r="L785" t="e">
            <v>#N/A</v>
          </cell>
          <cell r="M785" t="e">
            <v>#N/A</v>
          </cell>
          <cell r="N785" t="e">
            <v>#N/A</v>
          </cell>
          <cell r="O785" t="e">
            <v>#N/A</v>
          </cell>
          <cell r="P785">
            <v>14.52</v>
          </cell>
          <cell r="Q785" t="str">
            <v/>
          </cell>
          <cell r="R785" t="e">
            <v>#N/A</v>
          </cell>
        </row>
        <row r="786">
          <cell r="A786">
            <v>41102</v>
          </cell>
          <cell r="B786">
            <v>41102</v>
          </cell>
          <cell r="C786" t="str">
            <v>Future</v>
          </cell>
          <cell r="D786" t="e">
            <v>#N/A</v>
          </cell>
          <cell r="E786">
            <v>1.7729729729729258</v>
          </cell>
          <cell r="F786">
            <v>17.110810810810957</v>
          </cell>
          <cell r="G786">
            <v>14.043243243243271</v>
          </cell>
          <cell r="H786">
            <v>14.043243243243271</v>
          </cell>
          <cell r="I786" t="e">
            <v>#N/A</v>
          </cell>
          <cell r="J786" t="e">
            <v>#N/A</v>
          </cell>
          <cell r="K786" t="e">
            <v>#N/A</v>
          </cell>
          <cell r="L786" t="e">
            <v>#N/A</v>
          </cell>
          <cell r="M786" t="e">
            <v>#N/A</v>
          </cell>
          <cell r="N786" t="e">
            <v>#N/A</v>
          </cell>
          <cell r="O786" t="e">
            <v>#N/A</v>
          </cell>
          <cell r="P786">
            <v>14.52</v>
          </cell>
          <cell r="Q786" t="str">
            <v/>
          </cell>
          <cell r="R786" t="e">
            <v>#N/A</v>
          </cell>
        </row>
        <row r="787">
          <cell r="A787">
            <v>41103</v>
          </cell>
          <cell r="B787">
            <v>41103</v>
          </cell>
          <cell r="C787" t="str">
            <v>Future</v>
          </cell>
          <cell r="D787" t="e">
            <v>#N/A</v>
          </cell>
          <cell r="E787">
            <v>1.7175675675675204</v>
          </cell>
          <cell r="F787">
            <v>17.12297297297312</v>
          </cell>
          <cell r="G787">
            <v>14.04189189189192</v>
          </cell>
          <cell r="H787">
            <v>14.04189189189192</v>
          </cell>
          <cell r="I787" t="e">
            <v>#N/A</v>
          </cell>
          <cell r="J787" t="e">
            <v>#N/A</v>
          </cell>
          <cell r="K787" t="e">
            <v>#N/A</v>
          </cell>
          <cell r="L787" t="e">
            <v>#N/A</v>
          </cell>
          <cell r="M787" t="e">
            <v>#N/A</v>
          </cell>
          <cell r="N787" t="e">
            <v>#N/A</v>
          </cell>
          <cell r="O787" t="e">
            <v>#N/A</v>
          </cell>
          <cell r="P787">
            <v>14.52</v>
          </cell>
          <cell r="Q787" t="str">
            <v/>
          </cell>
          <cell r="R787" t="e">
            <v>#N/A</v>
          </cell>
        </row>
        <row r="788">
          <cell r="A788">
            <v>41106</v>
          </cell>
          <cell r="B788">
            <v>41106</v>
          </cell>
          <cell r="C788" t="str">
            <v>Future</v>
          </cell>
          <cell r="D788" t="e">
            <v>#N/A</v>
          </cell>
          <cell r="E788">
            <v>1.662162162162115</v>
          </cell>
          <cell r="F788">
            <v>17.135135135135283</v>
          </cell>
          <cell r="G788">
            <v>14.040540540540569</v>
          </cell>
          <cell r="H788">
            <v>14.040540540540569</v>
          </cell>
          <cell r="I788" t="e">
            <v>#N/A</v>
          </cell>
          <cell r="J788" t="e">
            <v>#N/A</v>
          </cell>
          <cell r="K788" t="e">
            <v>#N/A</v>
          </cell>
          <cell r="L788" t="e">
            <v>#N/A</v>
          </cell>
          <cell r="M788" t="e">
            <v>#N/A</v>
          </cell>
          <cell r="N788" t="e">
            <v>#N/A</v>
          </cell>
          <cell r="O788" t="e">
            <v>#N/A</v>
          </cell>
          <cell r="P788">
            <v>14.52</v>
          </cell>
          <cell r="Q788" t="str">
            <v/>
          </cell>
          <cell r="R788" t="e">
            <v>#N/A</v>
          </cell>
        </row>
        <row r="789">
          <cell r="A789">
            <v>41107</v>
          </cell>
          <cell r="B789">
            <v>41107</v>
          </cell>
          <cell r="C789" t="str">
            <v>Future</v>
          </cell>
          <cell r="D789" t="e">
            <v>#N/A</v>
          </cell>
          <cell r="E789">
            <v>1.6067567567567096</v>
          </cell>
          <cell r="F789">
            <v>17.147297297297445</v>
          </cell>
          <cell r="G789">
            <v>14.039189189189218</v>
          </cell>
          <cell r="H789">
            <v>14.039189189189218</v>
          </cell>
          <cell r="I789" t="e">
            <v>#N/A</v>
          </cell>
          <cell r="J789" t="e">
            <v>#N/A</v>
          </cell>
          <cell r="K789" t="e">
            <v>#N/A</v>
          </cell>
          <cell r="L789" t="e">
            <v>#N/A</v>
          </cell>
          <cell r="M789" t="e">
            <v>#N/A</v>
          </cell>
          <cell r="N789" t="e">
            <v>#N/A</v>
          </cell>
          <cell r="O789" t="e">
            <v>#N/A</v>
          </cell>
          <cell r="P789">
            <v>14.52</v>
          </cell>
          <cell r="Q789" t="str">
            <v/>
          </cell>
          <cell r="R789" t="e">
            <v>#N/A</v>
          </cell>
        </row>
        <row r="790">
          <cell r="A790">
            <v>41108</v>
          </cell>
          <cell r="B790">
            <v>41108</v>
          </cell>
          <cell r="C790" t="str">
            <v>Future</v>
          </cell>
          <cell r="D790" t="e">
            <v>#N/A</v>
          </cell>
          <cell r="E790">
            <v>1.5513513513513042</v>
          </cell>
          <cell r="F790">
            <v>17.159459459459608</v>
          </cell>
          <cell r="G790">
            <v>14.037837837837866</v>
          </cell>
          <cell r="H790">
            <v>14.037837837837866</v>
          </cell>
          <cell r="I790" t="e">
            <v>#N/A</v>
          </cell>
          <cell r="J790" t="e">
            <v>#N/A</v>
          </cell>
          <cell r="K790" t="e">
            <v>#N/A</v>
          </cell>
          <cell r="L790" t="e">
            <v>#N/A</v>
          </cell>
          <cell r="M790" t="e">
            <v>#N/A</v>
          </cell>
          <cell r="N790" t="e">
            <v>#N/A</v>
          </cell>
          <cell r="O790" t="e">
            <v>#N/A</v>
          </cell>
          <cell r="P790">
            <v>14.52</v>
          </cell>
          <cell r="Q790" t="str">
            <v/>
          </cell>
          <cell r="R790" t="e">
            <v>#N/A</v>
          </cell>
        </row>
        <row r="791">
          <cell r="A791">
            <v>41109</v>
          </cell>
          <cell r="B791">
            <v>41109</v>
          </cell>
          <cell r="C791" t="str">
            <v>Future</v>
          </cell>
          <cell r="D791" t="e">
            <v>#N/A</v>
          </cell>
          <cell r="E791">
            <v>1.4959459459458988</v>
          </cell>
          <cell r="F791">
            <v>17.171621621621771</v>
          </cell>
          <cell r="G791">
            <v>14.036486486486515</v>
          </cell>
          <cell r="H791">
            <v>14.036486486486515</v>
          </cell>
          <cell r="I791" t="e">
            <v>#N/A</v>
          </cell>
          <cell r="J791" t="e">
            <v>#N/A</v>
          </cell>
          <cell r="K791" t="e">
            <v>#N/A</v>
          </cell>
          <cell r="L791" t="e">
            <v>#N/A</v>
          </cell>
          <cell r="M791" t="e">
            <v>#N/A</v>
          </cell>
          <cell r="N791" t="e">
            <v>#N/A</v>
          </cell>
          <cell r="O791" t="e">
            <v>#N/A</v>
          </cell>
          <cell r="P791">
            <v>14.52</v>
          </cell>
          <cell r="Q791" t="str">
            <v/>
          </cell>
          <cell r="R791" t="e">
            <v>#N/A</v>
          </cell>
        </row>
        <row r="792">
          <cell r="A792">
            <v>41110</v>
          </cell>
          <cell r="B792">
            <v>41110</v>
          </cell>
          <cell r="C792" t="str">
            <v>Future</v>
          </cell>
          <cell r="D792" t="e">
            <v>#N/A</v>
          </cell>
          <cell r="E792">
            <v>1.4405405405404934</v>
          </cell>
          <cell r="F792">
            <v>17.183783783783934</v>
          </cell>
          <cell r="G792">
            <v>14.035135135135164</v>
          </cell>
          <cell r="H792">
            <v>14.035135135135164</v>
          </cell>
          <cell r="I792" t="e">
            <v>#N/A</v>
          </cell>
          <cell r="J792" t="e">
            <v>#N/A</v>
          </cell>
          <cell r="K792" t="e">
            <v>#N/A</v>
          </cell>
          <cell r="L792" t="e">
            <v>#N/A</v>
          </cell>
          <cell r="M792" t="e">
            <v>#N/A</v>
          </cell>
          <cell r="N792" t="e">
            <v>#N/A</v>
          </cell>
          <cell r="O792" t="e">
            <v>#N/A</v>
          </cell>
          <cell r="P792">
            <v>14.52</v>
          </cell>
          <cell r="Q792" t="str">
            <v/>
          </cell>
          <cell r="R792" t="e">
            <v>#N/A</v>
          </cell>
        </row>
        <row r="793">
          <cell r="A793">
            <v>41113</v>
          </cell>
          <cell r="B793">
            <v>41113</v>
          </cell>
          <cell r="C793" t="str">
            <v>Future</v>
          </cell>
          <cell r="D793" t="e">
            <v>#N/A</v>
          </cell>
          <cell r="E793">
            <v>1.385135135135088</v>
          </cell>
          <cell r="F793">
            <v>17.195945945946097</v>
          </cell>
          <cell r="G793">
            <v>14.033783783783813</v>
          </cell>
          <cell r="H793">
            <v>14.033783783783813</v>
          </cell>
          <cell r="I793" t="e">
            <v>#N/A</v>
          </cell>
          <cell r="J793" t="e">
            <v>#N/A</v>
          </cell>
          <cell r="K793" t="e">
            <v>#N/A</v>
          </cell>
          <cell r="L793" t="e">
            <v>#N/A</v>
          </cell>
          <cell r="M793" t="e">
            <v>#N/A</v>
          </cell>
          <cell r="N793" t="e">
            <v>#N/A</v>
          </cell>
          <cell r="O793" t="e">
            <v>#N/A</v>
          </cell>
          <cell r="P793">
            <v>14.52</v>
          </cell>
          <cell r="Q793" t="str">
            <v/>
          </cell>
          <cell r="R793" t="e">
            <v>#N/A</v>
          </cell>
        </row>
        <row r="794">
          <cell r="A794">
            <v>41114</v>
          </cell>
          <cell r="B794">
            <v>41114</v>
          </cell>
          <cell r="C794" t="str">
            <v>Future</v>
          </cell>
          <cell r="D794" t="e">
            <v>#N/A</v>
          </cell>
          <cell r="E794">
            <v>1.3297297297296826</v>
          </cell>
          <cell r="F794">
            <v>17.208108108108259</v>
          </cell>
          <cell r="G794">
            <v>14.032432432432461</v>
          </cell>
          <cell r="H794">
            <v>14.032432432432461</v>
          </cell>
          <cell r="I794" t="e">
            <v>#N/A</v>
          </cell>
          <cell r="J794" t="e">
            <v>#N/A</v>
          </cell>
          <cell r="K794" t="e">
            <v>#N/A</v>
          </cell>
          <cell r="L794" t="e">
            <v>#N/A</v>
          </cell>
          <cell r="M794" t="e">
            <v>#N/A</v>
          </cell>
          <cell r="N794" t="e">
            <v>#N/A</v>
          </cell>
          <cell r="O794" t="e">
            <v>#N/A</v>
          </cell>
          <cell r="P794">
            <v>14.52</v>
          </cell>
          <cell r="Q794" t="str">
            <v/>
          </cell>
          <cell r="R794" t="e">
            <v>#N/A</v>
          </cell>
        </row>
        <row r="795">
          <cell r="A795">
            <v>41115</v>
          </cell>
          <cell r="B795">
            <v>41115</v>
          </cell>
          <cell r="C795" t="str">
            <v>Future</v>
          </cell>
          <cell r="D795" t="e">
            <v>#N/A</v>
          </cell>
          <cell r="E795">
            <v>1.2743243243242772</v>
          </cell>
          <cell r="F795">
            <v>17.220270270270422</v>
          </cell>
          <cell r="G795">
            <v>14.03108108108111</v>
          </cell>
          <cell r="H795">
            <v>14.03108108108111</v>
          </cell>
          <cell r="I795" t="e">
            <v>#N/A</v>
          </cell>
          <cell r="J795" t="e">
            <v>#N/A</v>
          </cell>
          <cell r="K795" t="e">
            <v>#N/A</v>
          </cell>
          <cell r="L795" t="e">
            <v>#N/A</v>
          </cell>
          <cell r="M795" t="e">
            <v>#N/A</v>
          </cell>
          <cell r="N795" t="e">
            <v>#N/A</v>
          </cell>
          <cell r="O795" t="e">
            <v>#N/A</v>
          </cell>
          <cell r="P795">
            <v>14.52</v>
          </cell>
          <cell r="Q795" t="str">
            <v/>
          </cell>
          <cell r="R795" t="e">
            <v>#N/A</v>
          </cell>
        </row>
        <row r="796">
          <cell r="A796">
            <v>41116</v>
          </cell>
          <cell r="B796">
            <v>41116</v>
          </cell>
          <cell r="C796" t="str">
            <v>Future</v>
          </cell>
          <cell r="D796" t="e">
            <v>#N/A</v>
          </cell>
          <cell r="E796">
            <v>1.2189189189188718</v>
          </cell>
          <cell r="F796">
            <v>17.232432432432585</v>
          </cell>
          <cell r="G796">
            <v>14.029729729729759</v>
          </cell>
          <cell r="H796">
            <v>14.029729729729759</v>
          </cell>
          <cell r="I796" t="e">
            <v>#N/A</v>
          </cell>
          <cell r="J796" t="e">
            <v>#N/A</v>
          </cell>
          <cell r="K796" t="e">
            <v>#N/A</v>
          </cell>
          <cell r="L796" t="e">
            <v>#N/A</v>
          </cell>
          <cell r="M796" t="e">
            <v>#N/A</v>
          </cell>
          <cell r="N796" t="e">
            <v>#N/A</v>
          </cell>
          <cell r="O796" t="e">
            <v>#N/A</v>
          </cell>
          <cell r="P796">
            <v>14.52</v>
          </cell>
          <cell r="Q796" t="str">
            <v/>
          </cell>
          <cell r="R796" t="e">
            <v>#N/A</v>
          </cell>
        </row>
        <row r="797">
          <cell r="A797">
            <v>41117</v>
          </cell>
          <cell r="B797">
            <v>41117</v>
          </cell>
          <cell r="C797" t="str">
            <v>Future</v>
          </cell>
          <cell r="D797" t="e">
            <v>#N/A</v>
          </cell>
          <cell r="E797">
            <v>1.1635135135134664</v>
          </cell>
          <cell r="F797">
            <v>17.244594594594748</v>
          </cell>
          <cell r="G797">
            <v>14.028378378378408</v>
          </cell>
          <cell r="H797">
            <v>14.028378378378408</v>
          </cell>
          <cell r="I797" t="e">
            <v>#N/A</v>
          </cell>
          <cell r="J797" t="e">
            <v>#N/A</v>
          </cell>
          <cell r="K797" t="e">
            <v>#N/A</v>
          </cell>
          <cell r="L797" t="e">
            <v>#N/A</v>
          </cell>
          <cell r="M797" t="e">
            <v>#N/A</v>
          </cell>
          <cell r="N797" t="e">
            <v>#N/A</v>
          </cell>
          <cell r="O797" t="e">
            <v>#N/A</v>
          </cell>
          <cell r="P797">
            <v>14.52</v>
          </cell>
          <cell r="Q797" t="str">
            <v/>
          </cell>
          <cell r="R797" t="e">
            <v>#N/A</v>
          </cell>
        </row>
        <row r="798">
          <cell r="A798">
            <v>41120</v>
          </cell>
          <cell r="B798">
            <v>41120</v>
          </cell>
          <cell r="C798" t="str">
            <v>Future</v>
          </cell>
          <cell r="D798" t="e">
            <v>#N/A</v>
          </cell>
          <cell r="E798">
            <v>1.108108108108061</v>
          </cell>
          <cell r="F798">
            <v>17.256756756756911</v>
          </cell>
          <cell r="G798">
            <v>14.027027027027057</v>
          </cell>
          <cell r="H798">
            <v>14.027027027027057</v>
          </cell>
          <cell r="I798" t="e">
            <v>#N/A</v>
          </cell>
          <cell r="J798" t="e">
            <v>#N/A</v>
          </cell>
          <cell r="K798" t="e">
            <v>#N/A</v>
          </cell>
          <cell r="L798" t="e">
            <v>#N/A</v>
          </cell>
          <cell r="M798" t="e">
            <v>#N/A</v>
          </cell>
          <cell r="N798" t="e">
            <v>#N/A</v>
          </cell>
          <cell r="O798" t="e">
            <v>#N/A</v>
          </cell>
          <cell r="P798">
            <v>14.52</v>
          </cell>
          <cell r="Q798" t="str">
            <v/>
          </cell>
          <cell r="R798" t="e">
            <v>#N/A</v>
          </cell>
        </row>
        <row r="799">
          <cell r="A799">
            <v>41121</v>
          </cell>
          <cell r="B799">
            <v>41121</v>
          </cell>
          <cell r="C799" t="str">
            <v>Future</v>
          </cell>
          <cell r="D799" t="e">
            <v>#N/A</v>
          </cell>
          <cell r="E799">
            <v>1.0527027027026556</v>
          </cell>
          <cell r="F799">
            <v>17.268918918919073</v>
          </cell>
          <cell r="G799">
            <v>14.025675675675705</v>
          </cell>
          <cell r="H799">
            <v>14.025675675675705</v>
          </cell>
          <cell r="I799" t="e">
            <v>#N/A</v>
          </cell>
          <cell r="J799" t="e">
            <v>#N/A</v>
          </cell>
          <cell r="K799" t="e">
            <v>#N/A</v>
          </cell>
          <cell r="L799" t="e">
            <v>#N/A</v>
          </cell>
          <cell r="M799" t="e">
            <v>#N/A</v>
          </cell>
          <cell r="N799" t="e">
            <v>#N/A</v>
          </cell>
          <cell r="O799" t="e">
            <v>#N/A</v>
          </cell>
          <cell r="P799">
            <v>14.52</v>
          </cell>
          <cell r="Q799" t="str">
            <v/>
          </cell>
          <cell r="R799" t="e">
            <v>#N/A</v>
          </cell>
        </row>
        <row r="800">
          <cell r="A800">
            <v>41122</v>
          </cell>
          <cell r="B800">
            <v>41122</v>
          </cell>
          <cell r="C800" t="str">
            <v>Future</v>
          </cell>
          <cell r="D800" t="e">
            <v>#N/A</v>
          </cell>
          <cell r="E800">
            <v>0.99729729729725025</v>
          </cell>
          <cell r="F800">
            <v>17.281081081081236</v>
          </cell>
          <cell r="G800">
            <v>14.024324324324354</v>
          </cell>
          <cell r="H800">
            <v>14.024324324324354</v>
          </cell>
          <cell r="I800" t="e">
            <v>#N/A</v>
          </cell>
          <cell r="J800" t="e">
            <v>#N/A</v>
          </cell>
          <cell r="K800" t="e">
            <v>#N/A</v>
          </cell>
          <cell r="L800" t="e">
            <v>#N/A</v>
          </cell>
          <cell r="M800" t="e">
            <v>#N/A</v>
          </cell>
          <cell r="N800" t="e">
            <v>#N/A</v>
          </cell>
          <cell r="O800" t="e">
            <v>#N/A</v>
          </cell>
          <cell r="P800">
            <v>14.52</v>
          </cell>
          <cell r="Q800" t="str">
            <v/>
          </cell>
          <cell r="R800" t="e">
            <v>#N/A</v>
          </cell>
        </row>
        <row r="801">
          <cell r="A801">
            <v>41123</v>
          </cell>
          <cell r="B801">
            <v>41123</v>
          </cell>
          <cell r="C801" t="str">
            <v>Future</v>
          </cell>
          <cell r="D801" t="e">
            <v>#N/A</v>
          </cell>
          <cell r="E801">
            <v>0.94189189189184486</v>
          </cell>
          <cell r="F801">
            <v>17.293243243243399</v>
          </cell>
          <cell r="G801">
            <v>14.022972972973003</v>
          </cell>
          <cell r="H801">
            <v>14.022972972973003</v>
          </cell>
          <cell r="I801" t="e">
            <v>#N/A</v>
          </cell>
          <cell r="J801" t="e">
            <v>#N/A</v>
          </cell>
          <cell r="K801" t="e">
            <v>#N/A</v>
          </cell>
          <cell r="L801" t="e">
            <v>#N/A</v>
          </cell>
          <cell r="M801" t="e">
            <v>#N/A</v>
          </cell>
          <cell r="N801" t="e">
            <v>#N/A</v>
          </cell>
          <cell r="O801" t="e">
            <v>#N/A</v>
          </cell>
          <cell r="P801">
            <v>14.52</v>
          </cell>
          <cell r="Q801" t="str">
            <v/>
          </cell>
          <cell r="R801" t="e">
            <v>#N/A</v>
          </cell>
        </row>
        <row r="802">
          <cell r="A802">
            <v>41124</v>
          </cell>
          <cell r="B802">
            <v>41124</v>
          </cell>
          <cell r="C802" t="str">
            <v>Future</v>
          </cell>
          <cell r="D802" t="e">
            <v>#N/A</v>
          </cell>
          <cell r="E802">
            <v>0.88648648648643946</v>
          </cell>
          <cell r="F802">
            <v>17.305405405405562</v>
          </cell>
          <cell r="G802">
            <v>14.021621621621652</v>
          </cell>
          <cell r="H802">
            <v>14.021621621621652</v>
          </cell>
          <cell r="I802" t="e">
            <v>#N/A</v>
          </cell>
          <cell r="J802" t="e">
            <v>#N/A</v>
          </cell>
          <cell r="K802" t="e">
            <v>#N/A</v>
          </cell>
          <cell r="L802" t="e">
            <v>#N/A</v>
          </cell>
          <cell r="M802" t="e">
            <v>#N/A</v>
          </cell>
          <cell r="N802" t="e">
            <v>#N/A</v>
          </cell>
          <cell r="O802" t="e">
            <v>#N/A</v>
          </cell>
          <cell r="P802">
            <v>14.52</v>
          </cell>
          <cell r="Q802" t="str">
            <v/>
          </cell>
          <cell r="R802" t="e">
            <v>#N/A</v>
          </cell>
        </row>
        <row r="803">
          <cell r="A803">
            <v>41127</v>
          </cell>
          <cell r="B803">
            <v>41127</v>
          </cell>
          <cell r="C803" t="str">
            <v>Future</v>
          </cell>
          <cell r="D803" t="e">
            <v>#N/A</v>
          </cell>
          <cell r="E803">
            <v>0.83108108108103407</v>
          </cell>
          <cell r="F803">
            <v>17.317567567567725</v>
          </cell>
          <cell r="G803">
            <v>14.0202702702703</v>
          </cell>
          <cell r="H803">
            <v>14.0202702702703</v>
          </cell>
          <cell r="I803" t="e">
            <v>#N/A</v>
          </cell>
          <cell r="J803" t="e">
            <v>#N/A</v>
          </cell>
          <cell r="K803" t="e">
            <v>#N/A</v>
          </cell>
          <cell r="L803" t="e">
            <v>#N/A</v>
          </cell>
          <cell r="M803" t="e">
            <v>#N/A</v>
          </cell>
          <cell r="N803" t="e">
            <v>#N/A</v>
          </cell>
          <cell r="O803" t="e">
            <v>#N/A</v>
          </cell>
          <cell r="P803">
            <v>14.52</v>
          </cell>
          <cell r="Q803" t="str">
            <v/>
          </cell>
          <cell r="R803" t="e">
            <v>#N/A</v>
          </cell>
        </row>
        <row r="804">
          <cell r="A804">
            <v>41128</v>
          </cell>
          <cell r="B804">
            <v>41128</v>
          </cell>
          <cell r="C804" t="str">
            <v>Future</v>
          </cell>
          <cell r="D804" t="e">
            <v>#N/A</v>
          </cell>
          <cell r="E804">
            <v>0.77567567567562867</v>
          </cell>
          <cell r="F804">
            <v>17.329729729729888</v>
          </cell>
          <cell r="G804">
            <v>14.018918918918949</v>
          </cell>
          <cell r="H804">
            <v>14.018918918918949</v>
          </cell>
          <cell r="I804" t="e">
            <v>#N/A</v>
          </cell>
          <cell r="J804" t="e">
            <v>#N/A</v>
          </cell>
          <cell r="K804" t="e">
            <v>#N/A</v>
          </cell>
          <cell r="L804" t="e">
            <v>#N/A</v>
          </cell>
          <cell r="M804" t="e">
            <v>#N/A</v>
          </cell>
          <cell r="N804" t="e">
            <v>#N/A</v>
          </cell>
          <cell r="O804" t="e">
            <v>#N/A</v>
          </cell>
          <cell r="P804">
            <v>14.52</v>
          </cell>
          <cell r="Q804" t="str">
            <v/>
          </cell>
          <cell r="R804" t="e">
            <v>#N/A</v>
          </cell>
        </row>
        <row r="805">
          <cell r="A805">
            <v>41129</v>
          </cell>
          <cell r="B805">
            <v>41129</v>
          </cell>
          <cell r="C805" t="str">
            <v>Future</v>
          </cell>
          <cell r="D805" t="e">
            <v>#N/A</v>
          </cell>
          <cell r="E805">
            <v>0.72027027027022328</v>
          </cell>
          <cell r="F805">
            <v>17.34189189189205</v>
          </cell>
          <cell r="G805">
            <v>14.017567567567598</v>
          </cell>
          <cell r="H805">
            <v>14.017567567567598</v>
          </cell>
          <cell r="I805" t="e">
            <v>#N/A</v>
          </cell>
          <cell r="J805" t="e">
            <v>#N/A</v>
          </cell>
          <cell r="K805" t="e">
            <v>#N/A</v>
          </cell>
          <cell r="L805" t="e">
            <v>#N/A</v>
          </cell>
          <cell r="M805" t="e">
            <v>#N/A</v>
          </cell>
          <cell r="N805" t="e">
            <v>#N/A</v>
          </cell>
          <cell r="O805" t="e">
            <v>#N/A</v>
          </cell>
          <cell r="P805">
            <v>14.52</v>
          </cell>
          <cell r="Q805" t="str">
            <v/>
          </cell>
          <cell r="R805" t="e">
            <v>#N/A</v>
          </cell>
        </row>
        <row r="806">
          <cell r="A806">
            <v>41130</v>
          </cell>
          <cell r="B806">
            <v>41130</v>
          </cell>
          <cell r="C806" t="str">
            <v>Future</v>
          </cell>
          <cell r="D806" t="e">
            <v>#N/A</v>
          </cell>
          <cell r="E806">
            <v>0.66486486486481788</v>
          </cell>
          <cell r="F806">
            <v>17.354054054054213</v>
          </cell>
          <cell r="G806">
            <v>14.016216216216247</v>
          </cell>
          <cell r="H806">
            <v>14.016216216216247</v>
          </cell>
          <cell r="I806" t="e">
            <v>#N/A</v>
          </cell>
          <cell r="J806" t="e">
            <v>#N/A</v>
          </cell>
          <cell r="K806" t="e">
            <v>#N/A</v>
          </cell>
          <cell r="L806" t="e">
            <v>#N/A</v>
          </cell>
          <cell r="M806" t="e">
            <v>#N/A</v>
          </cell>
          <cell r="N806" t="e">
            <v>#N/A</v>
          </cell>
          <cell r="O806" t="e">
            <v>#N/A</v>
          </cell>
          <cell r="P806">
            <v>14.52</v>
          </cell>
          <cell r="Q806" t="str">
            <v/>
          </cell>
          <cell r="R806" t="e">
            <v>#N/A</v>
          </cell>
        </row>
        <row r="807">
          <cell r="A807">
            <v>41131</v>
          </cell>
          <cell r="B807">
            <v>41131</v>
          </cell>
          <cell r="C807" t="str">
            <v>Future</v>
          </cell>
          <cell r="D807" t="e">
            <v>#N/A</v>
          </cell>
          <cell r="E807">
            <v>0.60945945945941249</v>
          </cell>
          <cell r="F807">
            <v>17.366216216216376</v>
          </cell>
          <cell r="G807">
            <v>14.014864864864895</v>
          </cell>
          <cell r="H807">
            <v>14.014864864864895</v>
          </cell>
          <cell r="I807" t="e">
            <v>#N/A</v>
          </cell>
          <cell r="J807" t="e">
            <v>#N/A</v>
          </cell>
          <cell r="K807" t="e">
            <v>#N/A</v>
          </cell>
          <cell r="L807" t="e">
            <v>#N/A</v>
          </cell>
          <cell r="M807" t="e">
            <v>#N/A</v>
          </cell>
          <cell r="N807" t="e">
            <v>#N/A</v>
          </cell>
          <cell r="O807" t="e">
            <v>#N/A</v>
          </cell>
          <cell r="P807">
            <v>14.52</v>
          </cell>
          <cell r="Q807" t="str">
            <v/>
          </cell>
          <cell r="R807" t="e">
            <v>#N/A</v>
          </cell>
        </row>
        <row r="808">
          <cell r="A808">
            <v>41134</v>
          </cell>
          <cell r="B808">
            <v>41134</v>
          </cell>
          <cell r="C808" t="str">
            <v>Future</v>
          </cell>
          <cell r="D808" t="e">
            <v>#N/A</v>
          </cell>
          <cell r="E808">
            <v>0.55405405405400709</v>
          </cell>
          <cell r="F808">
            <v>17.378378378378539</v>
          </cell>
          <cell r="G808">
            <v>14.013513513513544</v>
          </cell>
          <cell r="H808">
            <v>14.013513513513544</v>
          </cell>
          <cell r="I808" t="e">
            <v>#N/A</v>
          </cell>
          <cell r="J808" t="e">
            <v>#N/A</v>
          </cell>
          <cell r="K808" t="e">
            <v>#N/A</v>
          </cell>
          <cell r="L808" t="e">
            <v>#N/A</v>
          </cell>
          <cell r="M808" t="e">
            <v>#N/A</v>
          </cell>
          <cell r="N808" t="e">
            <v>#N/A</v>
          </cell>
          <cell r="O808" t="e">
            <v>#N/A</v>
          </cell>
          <cell r="P808">
            <v>14.52</v>
          </cell>
          <cell r="Q808" t="str">
            <v/>
          </cell>
          <cell r="R808" t="e">
            <v>#N/A</v>
          </cell>
        </row>
        <row r="809">
          <cell r="A809">
            <v>41135</v>
          </cell>
          <cell r="B809">
            <v>41135</v>
          </cell>
          <cell r="C809" t="str">
            <v>Future</v>
          </cell>
          <cell r="D809" t="e">
            <v>#N/A</v>
          </cell>
          <cell r="E809">
            <v>0.4986486486486017</v>
          </cell>
          <cell r="F809">
            <v>17.390540540540702</v>
          </cell>
          <cell r="G809">
            <v>14.012162162162193</v>
          </cell>
          <cell r="H809">
            <v>14.012162162162193</v>
          </cell>
          <cell r="I809" t="e">
            <v>#N/A</v>
          </cell>
          <cell r="J809" t="e">
            <v>#N/A</v>
          </cell>
          <cell r="K809" t="e">
            <v>#N/A</v>
          </cell>
          <cell r="L809" t="e">
            <v>#N/A</v>
          </cell>
          <cell r="M809" t="e">
            <v>#N/A</v>
          </cell>
          <cell r="N809" t="e">
            <v>#N/A</v>
          </cell>
          <cell r="O809" t="e">
            <v>#N/A</v>
          </cell>
          <cell r="P809">
            <v>14.52</v>
          </cell>
          <cell r="Q809" t="str">
            <v/>
          </cell>
          <cell r="R809" t="e">
            <v>#N/A</v>
          </cell>
        </row>
        <row r="810">
          <cell r="A810">
            <v>41136</v>
          </cell>
          <cell r="B810">
            <v>41136</v>
          </cell>
          <cell r="C810" t="str">
            <v>Future</v>
          </cell>
          <cell r="D810" t="e">
            <v>#N/A</v>
          </cell>
          <cell r="E810">
            <v>0.44324324324319631</v>
          </cell>
          <cell r="F810">
            <v>17.402702702702864</v>
          </cell>
          <cell r="G810">
            <v>14.010810810810842</v>
          </cell>
          <cell r="H810">
            <v>14.010810810810842</v>
          </cell>
          <cell r="I810" t="e">
            <v>#N/A</v>
          </cell>
          <cell r="J810" t="e">
            <v>#N/A</v>
          </cell>
          <cell r="K810" t="e">
            <v>#N/A</v>
          </cell>
          <cell r="L810" t="e">
            <v>#N/A</v>
          </cell>
          <cell r="M810" t="e">
            <v>#N/A</v>
          </cell>
          <cell r="N810" t="e">
            <v>#N/A</v>
          </cell>
          <cell r="O810" t="e">
            <v>#N/A</v>
          </cell>
          <cell r="P810">
            <v>14.52</v>
          </cell>
          <cell r="Q810" t="str">
            <v/>
          </cell>
          <cell r="R810" t="e">
            <v>#N/A</v>
          </cell>
        </row>
        <row r="811">
          <cell r="A811">
            <v>41137</v>
          </cell>
          <cell r="B811">
            <v>41137</v>
          </cell>
          <cell r="C811" t="str">
            <v>Future</v>
          </cell>
          <cell r="D811" t="e">
            <v>#N/A</v>
          </cell>
          <cell r="E811">
            <v>0.38783783783779091</v>
          </cell>
          <cell r="F811">
            <v>17.414864864865027</v>
          </cell>
          <cell r="G811">
            <v>14.009459459459491</v>
          </cell>
          <cell r="H811">
            <v>14.009459459459491</v>
          </cell>
          <cell r="I811" t="e">
            <v>#N/A</v>
          </cell>
          <cell r="J811" t="e">
            <v>#N/A</v>
          </cell>
          <cell r="K811" t="e">
            <v>#N/A</v>
          </cell>
          <cell r="L811" t="e">
            <v>#N/A</v>
          </cell>
          <cell r="M811" t="e">
            <v>#N/A</v>
          </cell>
          <cell r="N811" t="e">
            <v>#N/A</v>
          </cell>
          <cell r="O811" t="e">
            <v>#N/A</v>
          </cell>
          <cell r="P811">
            <v>14.52</v>
          </cell>
          <cell r="Q811" t="str">
            <v/>
          </cell>
          <cell r="R811" t="e">
            <v>#N/A</v>
          </cell>
        </row>
        <row r="812">
          <cell r="A812">
            <v>41138</v>
          </cell>
          <cell r="B812">
            <v>41138</v>
          </cell>
          <cell r="C812" t="str">
            <v>Future</v>
          </cell>
          <cell r="D812" t="e">
            <v>#N/A</v>
          </cell>
          <cell r="E812">
            <v>0.33243243243238552</v>
          </cell>
          <cell r="F812">
            <v>17.42702702702719</v>
          </cell>
          <cell r="G812">
            <v>14.008108108108139</v>
          </cell>
          <cell r="H812">
            <v>14.008108108108139</v>
          </cell>
          <cell r="I812" t="e">
            <v>#N/A</v>
          </cell>
          <cell r="J812" t="e">
            <v>#N/A</v>
          </cell>
          <cell r="K812" t="e">
            <v>#N/A</v>
          </cell>
          <cell r="L812" t="e">
            <v>#N/A</v>
          </cell>
          <cell r="M812" t="e">
            <v>#N/A</v>
          </cell>
          <cell r="N812" t="e">
            <v>#N/A</v>
          </cell>
          <cell r="O812" t="e">
            <v>#N/A</v>
          </cell>
          <cell r="P812">
            <v>14.52</v>
          </cell>
          <cell r="Q812" t="str">
            <v/>
          </cell>
          <cell r="R812" t="e">
            <v>#N/A</v>
          </cell>
        </row>
        <row r="813">
          <cell r="A813">
            <v>41141</v>
          </cell>
          <cell r="B813">
            <v>41141</v>
          </cell>
          <cell r="C813" t="str">
            <v>Future</v>
          </cell>
          <cell r="D813" t="e">
            <v>#N/A</v>
          </cell>
          <cell r="E813">
            <v>0.27702702702698012</v>
          </cell>
          <cell r="F813">
            <v>17.439189189189353</v>
          </cell>
          <cell r="G813">
            <v>14.006756756756788</v>
          </cell>
          <cell r="H813">
            <v>14.006756756756788</v>
          </cell>
          <cell r="I813" t="e">
            <v>#N/A</v>
          </cell>
          <cell r="J813" t="e">
            <v>#N/A</v>
          </cell>
          <cell r="K813" t="e">
            <v>#N/A</v>
          </cell>
          <cell r="L813" t="e">
            <v>#N/A</v>
          </cell>
          <cell r="M813" t="e">
            <v>#N/A</v>
          </cell>
          <cell r="N813" t="e">
            <v>#N/A</v>
          </cell>
          <cell r="O813" t="e">
            <v>#N/A</v>
          </cell>
          <cell r="P813">
            <v>14.52</v>
          </cell>
          <cell r="Q813" t="str">
            <v/>
          </cell>
          <cell r="R813" t="e">
            <v>#N/A</v>
          </cell>
        </row>
        <row r="814">
          <cell r="A814">
            <v>41142</v>
          </cell>
          <cell r="B814">
            <v>41142</v>
          </cell>
          <cell r="C814" t="str">
            <v>Future</v>
          </cell>
          <cell r="D814" t="e">
            <v>#N/A</v>
          </cell>
          <cell r="E814">
            <v>0.22162162162157473</v>
          </cell>
          <cell r="F814">
            <v>17.451351351351516</v>
          </cell>
          <cell r="G814">
            <v>14.005405405405437</v>
          </cell>
          <cell r="H814">
            <v>14.005405405405437</v>
          </cell>
          <cell r="I814" t="e">
            <v>#N/A</v>
          </cell>
          <cell r="J814" t="e">
            <v>#N/A</v>
          </cell>
          <cell r="K814" t="e">
            <v>#N/A</v>
          </cell>
          <cell r="L814" t="e">
            <v>#N/A</v>
          </cell>
          <cell r="M814" t="e">
            <v>#N/A</v>
          </cell>
          <cell r="N814" t="e">
            <v>#N/A</v>
          </cell>
          <cell r="O814" t="e">
            <v>#N/A</v>
          </cell>
          <cell r="P814">
            <v>14.52</v>
          </cell>
          <cell r="Q814" t="str">
            <v/>
          </cell>
          <cell r="R814" t="e">
            <v>#N/A</v>
          </cell>
        </row>
        <row r="815">
          <cell r="A815">
            <v>41143</v>
          </cell>
          <cell r="B815">
            <v>41143</v>
          </cell>
          <cell r="C815" t="str">
            <v>Future</v>
          </cell>
          <cell r="D815" t="e">
            <v>#N/A</v>
          </cell>
          <cell r="E815">
            <v>0.16621621621616933</v>
          </cell>
          <cell r="F815">
            <v>17.463513513513679</v>
          </cell>
          <cell r="G815">
            <v>14.004054054054086</v>
          </cell>
          <cell r="H815">
            <v>14.004054054054086</v>
          </cell>
          <cell r="I815" t="e">
            <v>#N/A</v>
          </cell>
          <cell r="J815" t="e">
            <v>#N/A</v>
          </cell>
          <cell r="K815" t="e">
            <v>#N/A</v>
          </cell>
          <cell r="L815" t="e">
            <v>#N/A</v>
          </cell>
          <cell r="M815" t="e">
            <v>#N/A</v>
          </cell>
          <cell r="N815" t="e">
            <v>#N/A</v>
          </cell>
          <cell r="O815" t="e">
            <v>#N/A</v>
          </cell>
          <cell r="P815">
            <v>14.52</v>
          </cell>
          <cell r="Q815" t="str">
            <v/>
          </cell>
          <cell r="R815" t="e">
            <v>#N/A</v>
          </cell>
        </row>
        <row r="816">
          <cell r="A816">
            <v>41144</v>
          </cell>
          <cell r="B816">
            <v>41144</v>
          </cell>
          <cell r="C816" t="str">
            <v>Future</v>
          </cell>
          <cell r="D816" t="e">
            <v>#N/A</v>
          </cell>
          <cell r="E816">
            <v>0.11081081081076394</v>
          </cell>
          <cell r="F816">
            <v>17.475675675675841</v>
          </cell>
          <cell r="G816">
            <v>14.002702702702734</v>
          </cell>
          <cell r="H816">
            <v>14.002702702702734</v>
          </cell>
          <cell r="I816" t="e">
            <v>#N/A</v>
          </cell>
          <cell r="J816" t="e">
            <v>#N/A</v>
          </cell>
          <cell r="K816" t="e">
            <v>#N/A</v>
          </cell>
          <cell r="L816" t="e">
            <v>#N/A</v>
          </cell>
          <cell r="M816" t="e">
            <v>#N/A</v>
          </cell>
          <cell r="N816" t="e">
            <v>#N/A</v>
          </cell>
          <cell r="O816" t="e">
            <v>#N/A</v>
          </cell>
          <cell r="P816">
            <v>14.52</v>
          </cell>
          <cell r="Q816" t="str">
            <v/>
          </cell>
          <cell r="R816" t="e">
            <v>#N/A</v>
          </cell>
        </row>
        <row r="817">
          <cell r="A817">
            <v>41145</v>
          </cell>
          <cell r="B817">
            <v>41145</v>
          </cell>
          <cell r="C817" t="str">
            <v>Future</v>
          </cell>
          <cell r="D817" t="e">
            <v>#N/A</v>
          </cell>
          <cell r="E817">
            <v>5.5405405405358536E-2</v>
          </cell>
          <cell r="F817">
            <v>17.487837837838004</v>
          </cell>
          <cell r="G817">
            <v>14.001351351351383</v>
          </cell>
          <cell r="H817">
            <v>14.001351351351383</v>
          </cell>
          <cell r="I817" t="e">
            <v>#N/A</v>
          </cell>
          <cell r="J817" t="e">
            <v>#N/A</v>
          </cell>
          <cell r="K817">
            <v>17.5</v>
          </cell>
          <cell r="L817">
            <v>14</v>
          </cell>
          <cell r="M817" t="e">
            <v>#N/A</v>
          </cell>
          <cell r="N817">
            <v>16.5</v>
          </cell>
          <cell r="O817" t="e">
            <v>#N/A</v>
          </cell>
          <cell r="P817">
            <v>14.52</v>
          </cell>
          <cell r="Q817" t="str">
            <v/>
          </cell>
          <cell r="R817">
            <v>16.5</v>
          </cell>
        </row>
        <row r="818">
          <cell r="A818" t="str">
            <v/>
          </cell>
          <cell r="B818" t="str">
            <v/>
          </cell>
          <cell r="C818" t="str">
            <v>Future</v>
          </cell>
          <cell r="D818" t="e">
            <v>#N/A</v>
          </cell>
          <cell r="E818">
            <v>-4.686528942698942E-14</v>
          </cell>
          <cell r="F818">
            <v>17.500000000000167</v>
          </cell>
          <cell r="G818">
            <v>14.000000000000032</v>
          </cell>
          <cell r="H818">
            <v>14.000000000000032</v>
          </cell>
          <cell r="I818" t="e">
            <v>#N/A</v>
          </cell>
          <cell r="J818" t="e">
            <v>#N/A</v>
          </cell>
          <cell r="K818">
            <v>17.5</v>
          </cell>
          <cell r="L818">
            <v>14</v>
          </cell>
          <cell r="M818" t="e">
            <v>#N/A</v>
          </cell>
          <cell r="N818">
            <v>16.5</v>
          </cell>
          <cell r="O818" t="e">
            <v>#N/A</v>
          </cell>
          <cell r="P818" t="str">
            <v/>
          </cell>
          <cell r="Q818" t="str">
            <v/>
          </cell>
          <cell r="R818">
            <v>16.5</v>
          </cell>
        </row>
        <row r="819">
          <cell r="A819" t="str">
            <v/>
          </cell>
          <cell r="B819" t="str">
            <v/>
          </cell>
          <cell r="C819" t="str">
            <v>Future</v>
          </cell>
          <cell r="D819" t="e">
            <v>#N/A</v>
          </cell>
          <cell r="E819">
            <v>-5.5405405405452267E-2</v>
          </cell>
          <cell r="F819">
            <v>17.51216216216233</v>
          </cell>
          <cell r="G819">
            <v>13.998648648648681</v>
          </cell>
          <cell r="H819">
            <v>13.998648648648681</v>
          </cell>
          <cell r="I819" t="e">
            <v>#N/A</v>
          </cell>
          <cell r="J819" t="e">
            <v>#N/A</v>
          </cell>
          <cell r="K819">
            <v>17.5</v>
          </cell>
          <cell r="L819">
            <v>14</v>
          </cell>
          <cell r="M819" t="e">
            <v>#N/A</v>
          </cell>
          <cell r="N819">
            <v>16.5</v>
          </cell>
          <cell r="O819" t="e">
            <v>#N/A</v>
          </cell>
          <cell r="P819" t="str">
            <v/>
          </cell>
          <cell r="Q819" t="str">
            <v/>
          </cell>
          <cell r="R819">
            <v>16.5</v>
          </cell>
        </row>
        <row r="820">
          <cell r="A820" t="str">
            <v/>
          </cell>
          <cell r="B820" t="str">
            <v/>
          </cell>
          <cell r="C820" t="str">
            <v>Future</v>
          </cell>
          <cell r="D820" t="e">
            <v>#N/A</v>
          </cell>
          <cell r="E820">
            <v>-0.11081081081085767</v>
          </cell>
          <cell r="F820">
            <v>17.524324324324493</v>
          </cell>
          <cell r="G820">
            <v>13.99729729729733</v>
          </cell>
          <cell r="H820">
            <v>13.99729729729733</v>
          </cell>
          <cell r="I820" t="e">
            <v>#N/A</v>
          </cell>
          <cell r="J820" t="e">
            <v>#N/A</v>
          </cell>
          <cell r="K820">
            <v>17.5</v>
          </cell>
          <cell r="L820">
            <v>14</v>
          </cell>
          <cell r="M820" t="e">
            <v>#N/A</v>
          </cell>
          <cell r="N820">
            <v>16.5</v>
          </cell>
          <cell r="O820" t="e">
            <v>#N/A</v>
          </cell>
          <cell r="P820" t="str">
            <v/>
          </cell>
          <cell r="Q820" t="str">
            <v/>
          </cell>
          <cell r="R820">
            <v>16.5</v>
          </cell>
        </row>
        <row r="821">
          <cell r="A821" t="str">
            <v/>
          </cell>
          <cell r="B821" t="str">
            <v/>
          </cell>
          <cell r="C821" t="str">
            <v>Future</v>
          </cell>
          <cell r="D821" t="e">
            <v>#N/A</v>
          </cell>
          <cell r="E821">
            <v>-0.16621621621626306</v>
          </cell>
          <cell r="F821">
            <v>17.536486486486655</v>
          </cell>
          <cell r="G821">
            <v>13.995945945945978</v>
          </cell>
          <cell r="H821">
            <v>13.995945945945978</v>
          </cell>
          <cell r="I821" t="e">
            <v>#N/A</v>
          </cell>
          <cell r="J821" t="e">
            <v>#N/A</v>
          </cell>
          <cell r="K821">
            <v>17.5</v>
          </cell>
          <cell r="L821">
            <v>14</v>
          </cell>
          <cell r="M821" t="e">
            <v>#N/A</v>
          </cell>
          <cell r="N821">
            <v>16.5</v>
          </cell>
          <cell r="O821" t="e">
            <v>#N/A</v>
          </cell>
          <cell r="P821" t="str">
            <v/>
          </cell>
          <cell r="Q821" t="str">
            <v/>
          </cell>
          <cell r="R821">
            <v>16.5</v>
          </cell>
        </row>
        <row r="822">
          <cell r="A822" t="str">
            <v/>
          </cell>
          <cell r="B822" t="str">
            <v/>
          </cell>
          <cell r="C822" t="str">
            <v>Future</v>
          </cell>
          <cell r="D822" t="e">
            <v>#N/A</v>
          </cell>
          <cell r="E822">
            <v>-0.22162162162166846</v>
          </cell>
          <cell r="F822">
            <v>17.548648648648818</v>
          </cell>
          <cell r="G822">
            <v>13.994594594594627</v>
          </cell>
          <cell r="H822">
            <v>13.994594594594627</v>
          </cell>
          <cell r="I822" t="e">
            <v>#N/A</v>
          </cell>
          <cell r="J822" t="e">
            <v>#N/A</v>
          </cell>
          <cell r="K822">
            <v>17.5</v>
          </cell>
          <cell r="L822">
            <v>14</v>
          </cell>
          <cell r="M822" t="e">
            <v>#N/A</v>
          </cell>
          <cell r="N822">
            <v>16.5</v>
          </cell>
          <cell r="O822" t="e">
            <v>#N/A</v>
          </cell>
          <cell r="P822" t="str">
            <v/>
          </cell>
          <cell r="Q822" t="str">
            <v/>
          </cell>
          <cell r="R822">
            <v>16.5</v>
          </cell>
        </row>
        <row r="823">
          <cell r="A823" t="str">
            <v/>
          </cell>
          <cell r="B823" t="str">
            <v/>
          </cell>
          <cell r="C823" t="str">
            <v>Future</v>
          </cell>
          <cell r="D823" t="e">
            <v>#N/A</v>
          </cell>
          <cell r="E823">
            <v>-0.27702702702707388</v>
          </cell>
          <cell r="F823">
            <v>17.560810810810981</v>
          </cell>
          <cell r="G823">
            <v>13.993243243243276</v>
          </cell>
          <cell r="H823">
            <v>13.993243243243276</v>
          </cell>
          <cell r="I823" t="e">
            <v>#N/A</v>
          </cell>
          <cell r="J823" t="e">
            <v>#N/A</v>
          </cell>
          <cell r="K823">
            <v>17.5</v>
          </cell>
          <cell r="L823">
            <v>14</v>
          </cell>
          <cell r="M823" t="e">
            <v>#N/A</v>
          </cell>
          <cell r="N823">
            <v>16.5</v>
          </cell>
          <cell r="O823" t="e">
            <v>#N/A</v>
          </cell>
          <cell r="P823" t="str">
            <v/>
          </cell>
          <cell r="Q823" t="str">
            <v/>
          </cell>
          <cell r="R823">
            <v>16.5</v>
          </cell>
        </row>
        <row r="824">
          <cell r="A824" t="str">
            <v/>
          </cell>
          <cell r="B824" t="str">
            <v/>
          </cell>
          <cell r="C824" t="str">
            <v>Future</v>
          </cell>
          <cell r="D824" t="e">
            <v>#N/A</v>
          </cell>
          <cell r="E824">
            <v>-0.33243243243247927</v>
          </cell>
          <cell r="F824">
            <v>17.572972972973144</v>
          </cell>
          <cell r="G824">
            <v>13.991891891891925</v>
          </cell>
          <cell r="H824">
            <v>13.991891891891925</v>
          </cell>
          <cell r="I824" t="e">
            <v>#N/A</v>
          </cell>
          <cell r="J824" t="e">
            <v>#N/A</v>
          </cell>
          <cell r="K824">
            <v>17.5</v>
          </cell>
          <cell r="L824">
            <v>14</v>
          </cell>
          <cell r="M824" t="e">
            <v>#N/A</v>
          </cell>
          <cell r="N824">
            <v>16.5</v>
          </cell>
          <cell r="O824" t="e">
            <v>#N/A</v>
          </cell>
          <cell r="P824" t="str">
            <v/>
          </cell>
          <cell r="Q824" t="str">
            <v/>
          </cell>
          <cell r="R824">
            <v>16.5</v>
          </cell>
        </row>
        <row r="825">
          <cell r="A825" t="str">
            <v/>
          </cell>
          <cell r="B825" t="str">
            <v/>
          </cell>
          <cell r="C825" t="str">
            <v>Future</v>
          </cell>
          <cell r="D825" t="e">
            <v>#N/A</v>
          </cell>
          <cell r="E825">
            <v>-0.38783783783788467</v>
          </cell>
          <cell r="F825">
            <v>17.585135135135307</v>
          </cell>
          <cell r="G825">
            <v>13.990540540540573</v>
          </cell>
          <cell r="H825">
            <v>13.990540540540573</v>
          </cell>
          <cell r="I825" t="e">
            <v>#N/A</v>
          </cell>
          <cell r="J825" t="e">
            <v>#N/A</v>
          </cell>
          <cell r="K825">
            <v>17.5</v>
          </cell>
          <cell r="L825">
            <v>14</v>
          </cell>
          <cell r="M825" t="e">
            <v>#N/A</v>
          </cell>
          <cell r="N825">
            <v>16.5</v>
          </cell>
          <cell r="O825" t="e">
            <v>#N/A</v>
          </cell>
          <cell r="P825" t="str">
            <v/>
          </cell>
          <cell r="Q825" t="str">
            <v/>
          </cell>
          <cell r="R825">
            <v>16.5</v>
          </cell>
        </row>
        <row r="826">
          <cell r="A826" t="str">
            <v/>
          </cell>
          <cell r="B826" t="str">
            <v/>
          </cell>
          <cell r="C826" t="str">
            <v>Future</v>
          </cell>
          <cell r="D826" t="e">
            <v>#N/A</v>
          </cell>
          <cell r="E826">
            <v>-0.44324324324329006</v>
          </cell>
          <cell r="F826">
            <v>17.597297297297469</v>
          </cell>
          <cell r="G826">
            <v>13.989189189189222</v>
          </cell>
          <cell r="H826">
            <v>13.989189189189222</v>
          </cell>
          <cell r="I826" t="e">
            <v>#N/A</v>
          </cell>
          <cell r="J826" t="e">
            <v>#N/A</v>
          </cell>
          <cell r="K826">
            <v>17.5</v>
          </cell>
          <cell r="L826">
            <v>14</v>
          </cell>
          <cell r="M826" t="e">
            <v>#N/A</v>
          </cell>
          <cell r="N826">
            <v>16.5</v>
          </cell>
          <cell r="O826" t="e">
            <v>#N/A</v>
          </cell>
          <cell r="P826" t="str">
            <v/>
          </cell>
          <cell r="Q826" t="str">
            <v/>
          </cell>
          <cell r="R826">
            <v>16.5</v>
          </cell>
        </row>
        <row r="827">
          <cell r="A827" t="str">
            <v/>
          </cell>
          <cell r="B827" t="str">
            <v/>
          </cell>
          <cell r="C827" t="str">
            <v>Future</v>
          </cell>
          <cell r="D827" t="e">
            <v>#N/A</v>
          </cell>
          <cell r="E827">
            <v>-0.49864864864869546</v>
          </cell>
          <cell r="F827">
            <v>17.609459459459632</v>
          </cell>
          <cell r="G827">
            <v>13.987837837837871</v>
          </cell>
          <cell r="H827">
            <v>13.987837837837871</v>
          </cell>
          <cell r="I827" t="e">
            <v>#N/A</v>
          </cell>
          <cell r="J827" t="e">
            <v>#N/A</v>
          </cell>
          <cell r="K827">
            <v>17.5</v>
          </cell>
          <cell r="L827">
            <v>14</v>
          </cell>
          <cell r="M827" t="e">
            <v>#N/A</v>
          </cell>
          <cell r="N827">
            <v>16.5</v>
          </cell>
          <cell r="O827" t="e">
            <v>#N/A</v>
          </cell>
          <cell r="P827" t="str">
            <v/>
          </cell>
          <cell r="Q827" t="str">
            <v/>
          </cell>
          <cell r="R827">
            <v>16.5</v>
          </cell>
        </row>
        <row r="828">
          <cell r="A828" t="str">
            <v/>
          </cell>
          <cell r="B828" t="str">
            <v/>
          </cell>
          <cell r="C828" t="str">
            <v>Future</v>
          </cell>
          <cell r="D828" t="e">
            <v>#N/A</v>
          </cell>
          <cell r="E828">
            <v>-0.55405405405410091</v>
          </cell>
          <cell r="F828">
            <v>17.621621621621795</v>
          </cell>
          <cell r="G828">
            <v>13.98648648648652</v>
          </cell>
          <cell r="H828">
            <v>13.98648648648652</v>
          </cell>
          <cell r="I828" t="e">
            <v>#N/A</v>
          </cell>
          <cell r="J828" t="e">
            <v>#N/A</v>
          </cell>
          <cell r="K828">
            <v>17.5</v>
          </cell>
          <cell r="L828">
            <v>14</v>
          </cell>
          <cell r="M828" t="e">
            <v>#N/A</v>
          </cell>
          <cell r="N828">
            <v>16.5</v>
          </cell>
          <cell r="O828" t="e">
            <v>#N/A</v>
          </cell>
          <cell r="P828" t="str">
            <v/>
          </cell>
          <cell r="Q828" t="str">
            <v/>
          </cell>
          <cell r="R828">
            <v>16.5</v>
          </cell>
        </row>
        <row r="829">
          <cell r="A829" t="str">
            <v/>
          </cell>
          <cell r="B829" t="str">
            <v/>
          </cell>
          <cell r="C829" t="str">
            <v>Future</v>
          </cell>
          <cell r="D829" t="e">
            <v>#N/A</v>
          </cell>
          <cell r="E829">
            <v>-0.6094594594595063</v>
          </cell>
          <cell r="F829">
            <v>17.633783783783958</v>
          </cell>
          <cell r="G829">
            <v>13.985135135135168</v>
          </cell>
          <cell r="H829">
            <v>13.985135135135168</v>
          </cell>
          <cell r="I829" t="e">
            <v>#N/A</v>
          </cell>
          <cell r="J829" t="e">
            <v>#N/A</v>
          </cell>
          <cell r="K829">
            <v>17.5</v>
          </cell>
          <cell r="L829">
            <v>14</v>
          </cell>
          <cell r="M829" t="e">
            <v>#N/A</v>
          </cell>
          <cell r="N829">
            <v>16.5</v>
          </cell>
          <cell r="O829" t="e">
            <v>#N/A</v>
          </cell>
          <cell r="P829" t="str">
            <v/>
          </cell>
          <cell r="Q829" t="str">
            <v/>
          </cell>
          <cell r="R829">
            <v>16.5</v>
          </cell>
        </row>
        <row r="830">
          <cell r="A830" t="str">
            <v/>
          </cell>
          <cell r="B830" t="str">
            <v/>
          </cell>
          <cell r="C830" t="str">
            <v>Future</v>
          </cell>
          <cell r="D830" t="e">
            <v>#N/A</v>
          </cell>
          <cell r="E830">
            <v>-0.6648648648649117</v>
          </cell>
          <cell r="F830">
            <v>17.645945945946121</v>
          </cell>
          <cell r="G830">
            <v>13.983783783783817</v>
          </cell>
          <cell r="H830">
            <v>13.983783783783817</v>
          </cell>
          <cell r="I830" t="e">
            <v>#N/A</v>
          </cell>
          <cell r="J830" t="e">
            <v>#N/A</v>
          </cell>
          <cell r="K830">
            <v>17.5</v>
          </cell>
          <cell r="L830">
            <v>14</v>
          </cell>
          <cell r="M830" t="e">
            <v>#N/A</v>
          </cell>
          <cell r="N830">
            <v>16.5</v>
          </cell>
          <cell r="O830" t="e">
            <v>#N/A</v>
          </cell>
          <cell r="P830" t="str">
            <v/>
          </cell>
          <cell r="Q830" t="str">
            <v/>
          </cell>
          <cell r="R830">
            <v>16.5</v>
          </cell>
        </row>
        <row r="831">
          <cell r="A831" t="str">
            <v/>
          </cell>
          <cell r="B831" t="str">
            <v/>
          </cell>
          <cell r="C831" t="str">
            <v>Future</v>
          </cell>
          <cell r="D831" t="e">
            <v>#N/A</v>
          </cell>
          <cell r="E831">
            <v>-0.72027027027031709</v>
          </cell>
          <cell r="F831">
            <v>17.658108108108284</v>
          </cell>
          <cell r="G831">
            <v>13.982432432432466</v>
          </cell>
          <cell r="H831">
            <v>13.982432432432466</v>
          </cell>
          <cell r="I831" t="e">
            <v>#N/A</v>
          </cell>
          <cell r="J831" t="e">
            <v>#N/A</v>
          </cell>
          <cell r="K831">
            <v>17.5</v>
          </cell>
          <cell r="L831">
            <v>14</v>
          </cell>
          <cell r="M831" t="e">
            <v>#N/A</v>
          </cell>
          <cell r="N831">
            <v>16.5</v>
          </cell>
          <cell r="O831" t="e">
            <v>#N/A</v>
          </cell>
          <cell r="P831" t="str">
            <v/>
          </cell>
          <cell r="Q831" t="str">
            <v/>
          </cell>
          <cell r="R831">
            <v>16.5</v>
          </cell>
        </row>
        <row r="832">
          <cell r="A832" t="str">
            <v/>
          </cell>
          <cell r="B832" t="str">
            <v/>
          </cell>
          <cell r="C832" t="str">
            <v>Future</v>
          </cell>
          <cell r="D832" t="e">
            <v>#N/A</v>
          </cell>
          <cell r="E832">
            <v>-0.77567567567572249</v>
          </cell>
          <cell r="F832">
            <v>17.670270270270446</v>
          </cell>
          <cell r="G832">
            <v>13.981081081081115</v>
          </cell>
          <cell r="H832">
            <v>13.981081081081115</v>
          </cell>
          <cell r="I832" t="e">
            <v>#N/A</v>
          </cell>
          <cell r="J832" t="e">
            <v>#N/A</v>
          </cell>
          <cell r="K832">
            <v>17.5</v>
          </cell>
          <cell r="L832">
            <v>14</v>
          </cell>
          <cell r="M832" t="e">
            <v>#N/A</v>
          </cell>
          <cell r="N832">
            <v>16.5</v>
          </cell>
          <cell r="O832" t="e">
            <v>#N/A</v>
          </cell>
          <cell r="P832" t="str">
            <v/>
          </cell>
          <cell r="Q832" t="str">
            <v/>
          </cell>
          <cell r="R832">
            <v>16.5</v>
          </cell>
        </row>
        <row r="833">
          <cell r="A833" t="str">
            <v/>
          </cell>
          <cell r="B833" t="str">
            <v/>
          </cell>
          <cell r="C833" t="str">
            <v>Future</v>
          </cell>
          <cell r="D833" t="e">
            <v>#N/A</v>
          </cell>
          <cell r="E833">
            <v>-0.83108108108112788</v>
          </cell>
          <cell r="F833">
            <v>17.682432432432609</v>
          </cell>
          <cell r="G833">
            <v>13.979729729729764</v>
          </cell>
          <cell r="H833">
            <v>13.979729729729764</v>
          </cell>
          <cell r="I833" t="e">
            <v>#N/A</v>
          </cell>
          <cell r="J833" t="e">
            <v>#N/A</v>
          </cell>
          <cell r="K833">
            <v>17.5</v>
          </cell>
          <cell r="L833">
            <v>14</v>
          </cell>
          <cell r="M833" t="e">
            <v>#N/A</v>
          </cell>
          <cell r="N833">
            <v>16.5</v>
          </cell>
          <cell r="O833" t="e">
            <v>#N/A</v>
          </cell>
          <cell r="P833" t="str">
            <v/>
          </cell>
          <cell r="Q833" t="str">
            <v/>
          </cell>
          <cell r="R833">
            <v>16.5</v>
          </cell>
        </row>
        <row r="834">
          <cell r="A834" t="str">
            <v/>
          </cell>
          <cell r="B834" t="str">
            <v/>
          </cell>
          <cell r="C834" t="str">
            <v>Future</v>
          </cell>
          <cell r="D834" t="e">
            <v>#N/A</v>
          </cell>
          <cell r="E834">
            <v>-0.88648648648653328</v>
          </cell>
          <cell r="F834">
            <v>17.694594594594772</v>
          </cell>
          <cell r="G834">
            <v>13.978378378378412</v>
          </cell>
          <cell r="H834">
            <v>13.978378378378412</v>
          </cell>
          <cell r="I834" t="e">
            <v>#N/A</v>
          </cell>
          <cell r="J834" t="e">
            <v>#N/A</v>
          </cell>
          <cell r="K834">
            <v>17.5</v>
          </cell>
          <cell r="L834">
            <v>14</v>
          </cell>
          <cell r="M834" t="e">
            <v>#N/A</v>
          </cell>
          <cell r="N834">
            <v>16.5</v>
          </cell>
          <cell r="O834" t="e">
            <v>#N/A</v>
          </cell>
          <cell r="P834" t="str">
            <v/>
          </cell>
          <cell r="Q834" t="str">
            <v/>
          </cell>
          <cell r="R834">
            <v>16.5</v>
          </cell>
        </row>
        <row r="835">
          <cell r="A835" t="str">
            <v/>
          </cell>
          <cell r="B835" t="str">
            <v/>
          </cell>
          <cell r="C835" t="str">
            <v>Future</v>
          </cell>
          <cell r="D835" t="e">
            <v>#N/A</v>
          </cell>
          <cell r="E835">
            <v>-0.94189189189193867</v>
          </cell>
          <cell r="F835">
            <v>17.706756756756935</v>
          </cell>
          <cell r="G835">
            <v>13.977027027027061</v>
          </cell>
          <cell r="H835">
            <v>13.977027027027061</v>
          </cell>
          <cell r="I835" t="e">
            <v>#N/A</v>
          </cell>
          <cell r="J835" t="e">
            <v>#N/A</v>
          </cell>
          <cell r="K835">
            <v>17.5</v>
          </cell>
          <cell r="L835">
            <v>14</v>
          </cell>
          <cell r="M835" t="e">
            <v>#N/A</v>
          </cell>
          <cell r="N835">
            <v>16.5</v>
          </cell>
          <cell r="O835" t="e">
            <v>#N/A</v>
          </cell>
          <cell r="P835" t="str">
            <v/>
          </cell>
          <cell r="Q835" t="str">
            <v/>
          </cell>
          <cell r="R835">
            <v>16.5</v>
          </cell>
        </row>
        <row r="836">
          <cell r="A836" t="str">
            <v/>
          </cell>
          <cell r="B836" t="str">
            <v/>
          </cell>
          <cell r="C836" t="str">
            <v>Future</v>
          </cell>
          <cell r="D836" t="e">
            <v>#N/A</v>
          </cell>
          <cell r="E836">
            <v>-0.99729729729734407</v>
          </cell>
          <cell r="F836">
            <v>17.718918918919098</v>
          </cell>
          <cell r="G836">
            <v>13.97567567567571</v>
          </cell>
          <cell r="H836">
            <v>13.97567567567571</v>
          </cell>
          <cell r="I836" t="e">
            <v>#N/A</v>
          </cell>
          <cell r="J836" t="e">
            <v>#N/A</v>
          </cell>
          <cell r="K836">
            <v>17.5</v>
          </cell>
          <cell r="L836">
            <v>14</v>
          </cell>
          <cell r="M836" t="e">
            <v>#N/A</v>
          </cell>
          <cell r="N836">
            <v>16.5</v>
          </cell>
          <cell r="O836" t="e">
            <v>#N/A</v>
          </cell>
          <cell r="P836" t="str">
            <v/>
          </cell>
          <cell r="Q836" t="str">
            <v/>
          </cell>
          <cell r="R836">
            <v>16.5</v>
          </cell>
        </row>
        <row r="837">
          <cell r="A837" t="str">
            <v/>
          </cell>
          <cell r="B837" t="str">
            <v/>
          </cell>
          <cell r="C837" t="str">
            <v>Future</v>
          </cell>
          <cell r="D837" t="e">
            <v>#N/A</v>
          </cell>
          <cell r="E837">
            <v>-1.0527027027027496</v>
          </cell>
          <cell r="F837">
            <v>17.73108108108126</v>
          </cell>
          <cell r="G837">
            <v>13.974324324324359</v>
          </cell>
          <cell r="H837">
            <v>13.974324324324359</v>
          </cell>
          <cell r="I837" t="e">
            <v>#N/A</v>
          </cell>
          <cell r="J837" t="e">
            <v>#N/A</v>
          </cell>
          <cell r="K837">
            <v>17.5</v>
          </cell>
          <cell r="L837">
            <v>14</v>
          </cell>
          <cell r="M837" t="e">
            <v>#N/A</v>
          </cell>
          <cell r="N837">
            <v>16.5</v>
          </cell>
          <cell r="O837" t="e">
            <v>#N/A</v>
          </cell>
          <cell r="P837" t="str">
            <v/>
          </cell>
          <cell r="Q837" t="str">
            <v/>
          </cell>
          <cell r="R837">
            <v>16.5</v>
          </cell>
        </row>
        <row r="838">
          <cell r="A838" t="str">
            <v/>
          </cell>
          <cell r="B838" t="str">
            <v/>
          </cell>
          <cell r="C838" t="str">
            <v>Future</v>
          </cell>
          <cell r="D838" t="e">
            <v>#N/A</v>
          </cell>
          <cell r="E838">
            <v>-1.108108108108155</v>
          </cell>
          <cell r="F838">
            <v>17.743243243243423</v>
          </cell>
          <cell r="G838">
            <v>13.972972972973007</v>
          </cell>
          <cell r="H838">
            <v>13.972972972973007</v>
          </cell>
          <cell r="I838" t="e">
            <v>#N/A</v>
          </cell>
          <cell r="J838" t="e">
            <v>#N/A</v>
          </cell>
          <cell r="K838">
            <v>17.5</v>
          </cell>
          <cell r="L838">
            <v>14</v>
          </cell>
          <cell r="M838" t="e">
            <v>#N/A</v>
          </cell>
          <cell r="N838">
            <v>16.5</v>
          </cell>
          <cell r="O838" t="e">
            <v>#N/A</v>
          </cell>
          <cell r="P838" t="str">
            <v/>
          </cell>
          <cell r="Q838" t="str">
            <v/>
          </cell>
          <cell r="R838">
            <v>16.5</v>
          </cell>
        </row>
        <row r="839">
          <cell r="A839" t="str">
            <v/>
          </cell>
          <cell r="B839" t="str">
            <v/>
          </cell>
          <cell r="C839" t="str">
            <v>Future</v>
          </cell>
          <cell r="D839" t="e">
            <v>#N/A</v>
          </cell>
          <cell r="E839">
            <v>-1.1635135135135604</v>
          </cell>
          <cell r="F839">
            <v>17.755405405405586</v>
          </cell>
          <cell r="G839">
            <v>13.971621621621656</v>
          </cell>
          <cell r="H839">
            <v>13.971621621621656</v>
          </cell>
          <cell r="I839" t="e">
            <v>#N/A</v>
          </cell>
          <cell r="J839" t="e">
            <v>#N/A</v>
          </cell>
          <cell r="K839">
            <v>17.5</v>
          </cell>
          <cell r="L839">
            <v>14</v>
          </cell>
          <cell r="M839" t="e">
            <v>#N/A</v>
          </cell>
          <cell r="N839">
            <v>16.5</v>
          </cell>
          <cell r="O839" t="e">
            <v>#N/A</v>
          </cell>
          <cell r="P839" t="str">
            <v/>
          </cell>
          <cell r="Q839" t="str">
            <v/>
          </cell>
          <cell r="R839">
            <v>16.5</v>
          </cell>
        </row>
        <row r="840">
          <cell r="A840" t="str">
            <v/>
          </cell>
          <cell r="B840" t="str">
            <v/>
          </cell>
          <cell r="C840" t="str">
            <v>Future</v>
          </cell>
          <cell r="D840" t="e">
            <v>#N/A</v>
          </cell>
          <cell r="E840">
            <v>-1.2189189189189658</v>
          </cell>
          <cell r="F840">
            <v>17.767567567567749</v>
          </cell>
          <cell r="G840">
            <v>13.970270270270305</v>
          </cell>
          <cell r="H840">
            <v>13.970270270270305</v>
          </cell>
          <cell r="I840" t="e">
            <v>#N/A</v>
          </cell>
          <cell r="J840" t="e">
            <v>#N/A</v>
          </cell>
          <cell r="K840">
            <v>17.5</v>
          </cell>
          <cell r="L840">
            <v>14</v>
          </cell>
          <cell r="M840" t="e">
            <v>#N/A</v>
          </cell>
          <cell r="N840">
            <v>16.5</v>
          </cell>
          <cell r="O840" t="e">
            <v>#N/A</v>
          </cell>
          <cell r="P840" t="str">
            <v/>
          </cell>
          <cell r="Q840" t="str">
            <v/>
          </cell>
          <cell r="R840">
            <v>16.5</v>
          </cell>
        </row>
        <row r="841">
          <cell r="A841" t="str">
            <v/>
          </cell>
          <cell r="B841" t="str">
            <v/>
          </cell>
          <cell r="C841" t="str">
            <v>Future</v>
          </cell>
          <cell r="D841" t="e">
            <v>#N/A</v>
          </cell>
          <cell r="E841">
            <v>-1.2743243243243711</v>
          </cell>
          <cell r="F841">
            <v>17.779729729729912</v>
          </cell>
          <cell r="G841">
            <v>13.968918918918954</v>
          </cell>
          <cell r="H841">
            <v>13.968918918918954</v>
          </cell>
          <cell r="I841" t="e">
            <v>#N/A</v>
          </cell>
          <cell r="J841" t="e">
            <v>#N/A</v>
          </cell>
          <cell r="K841">
            <v>17.5</v>
          </cell>
          <cell r="L841">
            <v>14</v>
          </cell>
          <cell r="M841" t="e">
            <v>#N/A</v>
          </cell>
          <cell r="N841">
            <v>16.5</v>
          </cell>
          <cell r="O841" t="e">
            <v>#N/A</v>
          </cell>
          <cell r="P841" t="str">
            <v/>
          </cell>
          <cell r="Q841" t="str">
            <v/>
          </cell>
          <cell r="R841">
            <v>16.5</v>
          </cell>
        </row>
        <row r="842">
          <cell r="A842" t="str">
            <v/>
          </cell>
          <cell r="B842" t="str">
            <v/>
          </cell>
          <cell r="C842" t="str">
            <v>Future</v>
          </cell>
          <cell r="D842" t="e">
            <v>#N/A</v>
          </cell>
          <cell r="E842">
            <v>-1.3297297297297765</v>
          </cell>
          <cell r="F842">
            <v>17.791891891892075</v>
          </cell>
          <cell r="G842">
            <v>13.967567567567603</v>
          </cell>
          <cell r="H842">
            <v>13.967567567567603</v>
          </cell>
          <cell r="I842" t="e">
            <v>#N/A</v>
          </cell>
          <cell r="J842" t="e">
            <v>#N/A</v>
          </cell>
          <cell r="K842">
            <v>17.5</v>
          </cell>
          <cell r="L842">
            <v>14</v>
          </cell>
          <cell r="M842" t="e">
            <v>#N/A</v>
          </cell>
          <cell r="N842">
            <v>16.5</v>
          </cell>
          <cell r="O842" t="e">
            <v>#N/A</v>
          </cell>
          <cell r="P842" t="str">
            <v/>
          </cell>
          <cell r="Q842" t="str">
            <v/>
          </cell>
          <cell r="R842">
            <v>16.5</v>
          </cell>
        </row>
        <row r="843">
          <cell r="A843" t="str">
            <v/>
          </cell>
          <cell r="B843" t="str">
            <v/>
          </cell>
          <cell r="C843" t="str">
            <v>Future</v>
          </cell>
          <cell r="D843" t="e">
            <v>#N/A</v>
          </cell>
          <cell r="E843">
            <v>-1.3851351351351819</v>
          </cell>
          <cell r="F843">
            <v>17.804054054054237</v>
          </cell>
          <cell r="G843">
            <v>13.966216216216251</v>
          </cell>
          <cell r="H843">
            <v>13.966216216216251</v>
          </cell>
          <cell r="I843" t="e">
            <v>#N/A</v>
          </cell>
          <cell r="J843" t="e">
            <v>#N/A</v>
          </cell>
          <cell r="K843">
            <v>17.5</v>
          </cell>
          <cell r="L843">
            <v>14</v>
          </cell>
          <cell r="M843" t="e">
            <v>#N/A</v>
          </cell>
          <cell r="N843">
            <v>16.5</v>
          </cell>
          <cell r="O843" t="e">
            <v>#N/A</v>
          </cell>
          <cell r="P843" t="str">
            <v/>
          </cell>
          <cell r="Q843" t="str">
            <v/>
          </cell>
          <cell r="R843">
            <v>16.5</v>
          </cell>
        </row>
        <row r="844">
          <cell r="A844" t="str">
            <v/>
          </cell>
          <cell r="B844" t="str">
            <v/>
          </cell>
          <cell r="C844" t="str">
            <v>Future</v>
          </cell>
          <cell r="D844" t="e">
            <v>#N/A</v>
          </cell>
          <cell r="E844">
            <v>-1.4405405405405873</v>
          </cell>
          <cell r="F844">
            <v>17.8162162162164</v>
          </cell>
          <cell r="G844">
            <v>13.9648648648649</v>
          </cell>
          <cell r="H844">
            <v>13.9648648648649</v>
          </cell>
          <cell r="I844" t="e">
            <v>#N/A</v>
          </cell>
          <cell r="J844" t="e">
            <v>#N/A</v>
          </cell>
          <cell r="K844">
            <v>17.5</v>
          </cell>
          <cell r="L844">
            <v>14</v>
          </cell>
          <cell r="M844" t="e">
            <v>#N/A</v>
          </cell>
          <cell r="N844">
            <v>16.5</v>
          </cell>
          <cell r="O844" t="e">
            <v>#N/A</v>
          </cell>
          <cell r="P844" t="str">
            <v/>
          </cell>
          <cell r="Q844" t="str">
            <v/>
          </cell>
          <cell r="R844">
            <v>16.5</v>
          </cell>
        </row>
        <row r="845">
          <cell r="A845" t="str">
            <v/>
          </cell>
          <cell r="B845" t="str">
            <v/>
          </cell>
          <cell r="C845" t="str">
            <v>Future</v>
          </cell>
          <cell r="D845" t="e">
            <v>#N/A</v>
          </cell>
          <cell r="E845">
            <v>-1.4959459459459927</v>
          </cell>
          <cell r="F845">
            <v>17.828378378378563</v>
          </cell>
          <cell r="G845">
            <v>13.963513513513549</v>
          </cell>
          <cell r="H845">
            <v>13.963513513513549</v>
          </cell>
          <cell r="I845" t="e">
            <v>#N/A</v>
          </cell>
          <cell r="J845" t="e">
            <v>#N/A</v>
          </cell>
          <cell r="K845">
            <v>17.5</v>
          </cell>
          <cell r="L845">
            <v>14</v>
          </cell>
          <cell r="M845" t="e">
            <v>#N/A</v>
          </cell>
          <cell r="N845">
            <v>16.5</v>
          </cell>
          <cell r="O845" t="e">
            <v>#N/A</v>
          </cell>
          <cell r="P845" t="str">
            <v/>
          </cell>
          <cell r="Q845" t="str">
            <v/>
          </cell>
          <cell r="R845">
            <v>16.5</v>
          </cell>
        </row>
        <row r="846">
          <cell r="A846" t="str">
            <v/>
          </cell>
          <cell r="B846" t="str">
            <v/>
          </cell>
          <cell r="C846" t="str">
            <v>Future</v>
          </cell>
          <cell r="D846" t="e">
            <v>#N/A</v>
          </cell>
          <cell r="E846">
            <v>-1.5513513513513981</v>
          </cell>
          <cell r="F846">
            <v>17.840540540540726</v>
          </cell>
          <cell r="G846">
            <v>13.962162162162198</v>
          </cell>
          <cell r="H846">
            <v>13.962162162162198</v>
          </cell>
          <cell r="I846" t="e">
            <v>#N/A</v>
          </cell>
          <cell r="J846" t="e">
            <v>#N/A</v>
          </cell>
          <cell r="K846">
            <v>17.5</v>
          </cell>
          <cell r="L846">
            <v>14</v>
          </cell>
          <cell r="M846" t="e">
            <v>#N/A</v>
          </cell>
          <cell r="N846">
            <v>16.5</v>
          </cell>
          <cell r="O846" t="e">
            <v>#N/A</v>
          </cell>
          <cell r="P846" t="str">
            <v/>
          </cell>
          <cell r="Q846" t="str">
            <v/>
          </cell>
          <cell r="R846">
            <v>16.5</v>
          </cell>
        </row>
        <row r="847">
          <cell r="A847" t="str">
            <v/>
          </cell>
          <cell r="B847" t="str">
            <v/>
          </cell>
          <cell r="C847" t="str">
            <v>Future</v>
          </cell>
          <cell r="D847" t="e">
            <v>#N/A</v>
          </cell>
          <cell r="E847">
            <v>-1.6067567567568035</v>
          </cell>
          <cell r="F847">
            <v>17.852702702702889</v>
          </cell>
          <cell r="G847">
            <v>13.960810810810846</v>
          </cell>
          <cell r="H847">
            <v>13.960810810810846</v>
          </cell>
          <cell r="I847" t="e">
            <v>#N/A</v>
          </cell>
          <cell r="J847" t="e">
            <v>#N/A</v>
          </cell>
          <cell r="K847">
            <v>17.5</v>
          </cell>
          <cell r="L847">
            <v>14</v>
          </cell>
          <cell r="M847" t="e">
            <v>#N/A</v>
          </cell>
          <cell r="N847">
            <v>16.5</v>
          </cell>
          <cell r="O847" t="e">
            <v>#N/A</v>
          </cell>
          <cell r="P847" t="str">
            <v/>
          </cell>
          <cell r="Q847" t="str">
            <v/>
          </cell>
          <cell r="R847">
            <v>16.5</v>
          </cell>
        </row>
        <row r="848">
          <cell r="A848" t="str">
            <v/>
          </cell>
          <cell r="B848" t="str">
            <v/>
          </cell>
          <cell r="C848" t="str">
            <v>Future</v>
          </cell>
          <cell r="D848" t="e">
            <v>#N/A</v>
          </cell>
          <cell r="E848">
            <v>-1.6621621621622089</v>
          </cell>
          <cell r="F848">
            <v>17.864864864865051</v>
          </cell>
          <cell r="G848">
            <v>13.959459459459495</v>
          </cell>
          <cell r="H848">
            <v>13.959459459459495</v>
          </cell>
          <cell r="I848" t="e">
            <v>#N/A</v>
          </cell>
          <cell r="J848" t="e">
            <v>#N/A</v>
          </cell>
          <cell r="K848">
            <v>17.5</v>
          </cell>
          <cell r="L848">
            <v>14</v>
          </cell>
          <cell r="M848" t="e">
            <v>#N/A</v>
          </cell>
          <cell r="N848">
            <v>16.5</v>
          </cell>
          <cell r="O848" t="e">
            <v>#N/A</v>
          </cell>
          <cell r="P848" t="str">
            <v/>
          </cell>
          <cell r="Q848" t="str">
            <v/>
          </cell>
          <cell r="R848">
            <v>16.5</v>
          </cell>
        </row>
        <row r="849">
          <cell r="A849" t="str">
            <v/>
          </cell>
          <cell r="B849" t="str">
            <v/>
          </cell>
          <cell r="C849" t="str">
            <v>Future</v>
          </cell>
          <cell r="D849" t="e">
            <v>#N/A</v>
          </cell>
          <cell r="E849">
            <v>-1.7175675675676143</v>
          </cell>
          <cell r="F849">
            <v>17.877027027027214</v>
          </cell>
          <cell r="G849">
            <v>13.958108108108144</v>
          </cell>
          <cell r="H849">
            <v>13.958108108108144</v>
          </cell>
          <cell r="I849" t="e">
            <v>#N/A</v>
          </cell>
          <cell r="J849" t="e">
            <v>#N/A</v>
          </cell>
          <cell r="K849">
            <v>17.5</v>
          </cell>
          <cell r="L849">
            <v>14</v>
          </cell>
          <cell r="M849" t="e">
            <v>#N/A</v>
          </cell>
          <cell r="N849">
            <v>16.5</v>
          </cell>
          <cell r="O849" t="e">
            <v>#N/A</v>
          </cell>
          <cell r="P849" t="str">
            <v/>
          </cell>
          <cell r="Q849" t="str">
            <v/>
          </cell>
          <cell r="R849">
            <v>16.5</v>
          </cell>
        </row>
        <row r="850">
          <cell r="A850" t="str">
            <v/>
          </cell>
          <cell r="B850" t="str">
            <v/>
          </cell>
          <cell r="C850" t="str">
            <v>Future</v>
          </cell>
          <cell r="D850" t="e">
            <v>#N/A</v>
          </cell>
          <cell r="E850">
            <v>-1.7729729729730197</v>
          </cell>
          <cell r="F850">
            <v>17.889189189189377</v>
          </cell>
          <cell r="G850">
            <v>13.956756756756793</v>
          </cell>
          <cell r="H850">
            <v>13.956756756756793</v>
          </cell>
          <cell r="I850" t="e">
            <v>#N/A</v>
          </cell>
          <cell r="J850" t="e">
            <v>#N/A</v>
          </cell>
          <cell r="K850">
            <v>17.5</v>
          </cell>
          <cell r="L850">
            <v>14</v>
          </cell>
          <cell r="M850" t="e">
            <v>#N/A</v>
          </cell>
          <cell r="N850">
            <v>16.5</v>
          </cell>
          <cell r="O850" t="e">
            <v>#N/A</v>
          </cell>
          <cell r="P850" t="str">
            <v/>
          </cell>
          <cell r="Q850" t="str">
            <v/>
          </cell>
          <cell r="R850">
            <v>16.5</v>
          </cell>
        </row>
        <row r="851">
          <cell r="A851" t="str">
            <v/>
          </cell>
          <cell r="B851" t="str">
            <v/>
          </cell>
          <cell r="C851" t="str">
            <v>Future</v>
          </cell>
          <cell r="D851" t="e">
            <v>#N/A</v>
          </cell>
          <cell r="E851">
            <v>-1.8283783783784251</v>
          </cell>
          <cell r="F851">
            <v>17.90135135135154</v>
          </cell>
          <cell r="G851">
            <v>13.955405405405441</v>
          </cell>
          <cell r="H851">
            <v>13.955405405405441</v>
          </cell>
          <cell r="I851" t="e">
            <v>#N/A</v>
          </cell>
          <cell r="J851" t="e">
            <v>#N/A</v>
          </cell>
          <cell r="K851">
            <v>17.5</v>
          </cell>
          <cell r="L851">
            <v>14</v>
          </cell>
          <cell r="M851" t="e">
            <v>#N/A</v>
          </cell>
          <cell r="N851">
            <v>16.5</v>
          </cell>
          <cell r="O851" t="e">
            <v>#N/A</v>
          </cell>
          <cell r="P851" t="str">
            <v/>
          </cell>
          <cell r="Q851" t="str">
            <v/>
          </cell>
          <cell r="R851">
            <v>16.5</v>
          </cell>
        </row>
        <row r="852">
          <cell r="A852" t="str">
            <v/>
          </cell>
          <cell r="B852" t="str">
            <v/>
          </cell>
          <cell r="C852" t="str">
            <v>Future</v>
          </cell>
          <cell r="D852" t="e">
            <v>#N/A</v>
          </cell>
          <cell r="E852">
            <v>-1.8837837837838305</v>
          </cell>
          <cell r="F852">
            <v>17.913513513513703</v>
          </cell>
          <cell r="G852">
            <v>13.95405405405409</v>
          </cell>
          <cell r="H852">
            <v>13.95405405405409</v>
          </cell>
          <cell r="I852" t="e">
            <v>#N/A</v>
          </cell>
          <cell r="J852" t="e">
            <v>#N/A</v>
          </cell>
          <cell r="K852">
            <v>17.5</v>
          </cell>
          <cell r="L852">
            <v>14</v>
          </cell>
          <cell r="M852" t="e">
            <v>#N/A</v>
          </cell>
          <cell r="N852">
            <v>16.5</v>
          </cell>
          <cell r="O852" t="e">
            <v>#N/A</v>
          </cell>
          <cell r="P852" t="str">
            <v/>
          </cell>
          <cell r="Q852" t="str">
            <v/>
          </cell>
          <cell r="R852">
            <v>16.5</v>
          </cell>
        </row>
        <row r="853">
          <cell r="A853" t="str">
            <v/>
          </cell>
          <cell r="B853" t="str">
            <v/>
          </cell>
          <cell r="C853" t="str">
            <v>Future</v>
          </cell>
          <cell r="D853" t="e">
            <v>#N/A</v>
          </cell>
          <cell r="E853">
            <v>-1.9391891891892359</v>
          </cell>
          <cell r="F853">
            <v>17.925675675675866</v>
          </cell>
          <cell r="G853">
            <v>13.952702702702739</v>
          </cell>
          <cell r="H853">
            <v>13.952702702702739</v>
          </cell>
          <cell r="I853" t="e">
            <v>#N/A</v>
          </cell>
          <cell r="J853" t="e">
            <v>#N/A</v>
          </cell>
          <cell r="K853">
            <v>17.5</v>
          </cell>
          <cell r="L853">
            <v>14</v>
          </cell>
          <cell r="M853" t="e">
            <v>#N/A</v>
          </cell>
          <cell r="N853">
            <v>16.5</v>
          </cell>
          <cell r="O853" t="e">
            <v>#N/A</v>
          </cell>
          <cell r="P853" t="str">
            <v/>
          </cell>
          <cell r="Q853" t="str">
            <v/>
          </cell>
          <cell r="R853">
            <v>16.5</v>
          </cell>
        </row>
        <row r="854">
          <cell r="A854" t="str">
            <v/>
          </cell>
          <cell r="B854" t="str">
            <v/>
          </cell>
          <cell r="C854" t="str">
            <v>Future</v>
          </cell>
          <cell r="D854" t="e">
            <v>#N/A</v>
          </cell>
          <cell r="E854">
            <v>-1.9945945945946413</v>
          </cell>
          <cell r="F854">
            <v>17.937837837838028</v>
          </cell>
          <cell r="G854">
            <v>13.951351351351388</v>
          </cell>
          <cell r="H854">
            <v>13.951351351351388</v>
          </cell>
          <cell r="I854" t="e">
            <v>#N/A</v>
          </cell>
          <cell r="J854" t="e">
            <v>#N/A</v>
          </cell>
          <cell r="K854">
            <v>17.5</v>
          </cell>
          <cell r="L854">
            <v>14</v>
          </cell>
          <cell r="M854" t="e">
            <v>#N/A</v>
          </cell>
          <cell r="N854">
            <v>16.5</v>
          </cell>
          <cell r="O854" t="e">
            <v>#N/A</v>
          </cell>
          <cell r="P854" t="str">
            <v/>
          </cell>
          <cell r="Q854" t="str">
            <v/>
          </cell>
          <cell r="R854">
            <v>16.5</v>
          </cell>
        </row>
        <row r="855">
          <cell r="A855" t="str">
            <v/>
          </cell>
          <cell r="B855" t="str">
            <v/>
          </cell>
          <cell r="C855" t="str">
            <v>Future</v>
          </cell>
          <cell r="D855" t="e">
            <v>#N/A</v>
          </cell>
          <cell r="E855">
            <v>-2.0500000000000469</v>
          </cell>
          <cell r="F855">
            <v>17.950000000000191</v>
          </cell>
          <cell r="G855">
            <v>13.950000000000037</v>
          </cell>
          <cell r="H855">
            <v>13.950000000000037</v>
          </cell>
          <cell r="I855" t="e">
            <v>#N/A</v>
          </cell>
          <cell r="J855" t="e">
            <v>#N/A</v>
          </cell>
          <cell r="K855">
            <v>17.5</v>
          </cell>
          <cell r="L855">
            <v>14</v>
          </cell>
          <cell r="M855" t="e">
            <v>#N/A</v>
          </cell>
          <cell r="N855">
            <v>16.5</v>
          </cell>
          <cell r="O855" t="e">
            <v>#N/A</v>
          </cell>
          <cell r="P855" t="str">
            <v/>
          </cell>
          <cell r="Q855" t="str">
            <v/>
          </cell>
          <cell r="R855">
            <v>16.5</v>
          </cell>
        </row>
        <row r="856">
          <cell r="A856" t="str">
            <v/>
          </cell>
          <cell r="B856" t="str">
            <v/>
          </cell>
          <cell r="C856" t="str">
            <v>Future</v>
          </cell>
          <cell r="D856" t="e">
            <v>#N/A</v>
          </cell>
          <cell r="E856">
            <v>-2.1054054054054525</v>
          </cell>
          <cell r="F856">
            <v>17.962162162162354</v>
          </cell>
          <cell r="G856">
            <v>13.948648648648685</v>
          </cell>
          <cell r="H856">
            <v>13.948648648648685</v>
          </cell>
          <cell r="I856" t="e">
            <v>#N/A</v>
          </cell>
          <cell r="J856" t="e">
            <v>#N/A</v>
          </cell>
          <cell r="K856">
            <v>17.5</v>
          </cell>
          <cell r="L856">
            <v>14</v>
          </cell>
          <cell r="M856" t="e">
            <v>#N/A</v>
          </cell>
          <cell r="N856">
            <v>16.5</v>
          </cell>
          <cell r="O856" t="e">
            <v>#N/A</v>
          </cell>
          <cell r="P856" t="str">
            <v/>
          </cell>
          <cell r="Q856" t="str">
            <v/>
          </cell>
          <cell r="R856">
            <v>16.5</v>
          </cell>
        </row>
        <row r="857">
          <cell r="A857" t="str">
            <v/>
          </cell>
          <cell r="B857" t="str">
            <v/>
          </cell>
          <cell r="C857" t="str">
            <v>Future</v>
          </cell>
          <cell r="D857" t="e">
            <v>#N/A</v>
          </cell>
          <cell r="E857">
            <v>-2.1608108108108581</v>
          </cell>
          <cell r="F857">
            <v>17.974324324324517</v>
          </cell>
          <cell r="G857">
            <v>13.947297297297334</v>
          </cell>
          <cell r="H857">
            <v>13.947297297297334</v>
          </cell>
          <cell r="I857" t="e">
            <v>#N/A</v>
          </cell>
          <cell r="J857" t="e">
            <v>#N/A</v>
          </cell>
          <cell r="K857">
            <v>17.5</v>
          </cell>
          <cell r="L857">
            <v>14</v>
          </cell>
          <cell r="M857" t="e">
            <v>#N/A</v>
          </cell>
          <cell r="N857">
            <v>16.5</v>
          </cell>
          <cell r="O857" t="e">
            <v>#N/A</v>
          </cell>
          <cell r="P857" t="str">
            <v/>
          </cell>
          <cell r="Q857" t="str">
            <v/>
          </cell>
          <cell r="R857">
            <v>16.5</v>
          </cell>
        </row>
        <row r="858">
          <cell r="A858" t="str">
            <v/>
          </cell>
          <cell r="B858" t="str">
            <v/>
          </cell>
          <cell r="C858" t="str">
            <v>Future</v>
          </cell>
          <cell r="D858" t="e">
            <v>#N/A</v>
          </cell>
          <cell r="E858">
            <v>-2.2162162162162637</v>
          </cell>
          <cell r="F858">
            <v>17.98648648648668</v>
          </cell>
          <cell r="G858">
            <v>13.945945945945983</v>
          </cell>
          <cell r="H858">
            <v>13.945945945945983</v>
          </cell>
          <cell r="I858" t="e">
            <v>#N/A</v>
          </cell>
          <cell r="J858" t="e">
            <v>#N/A</v>
          </cell>
          <cell r="K858">
            <v>17.5</v>
          </cell>
          <cell r="L858">
            <v>14</v>
          </cell>
          <cell r="M858" t="e">
            <v>#N/A</v>
          </cell>
          <cell r="N858">
            <v>16.5</v>
          </cell>
          <cell r="O858" t="e">
            <v>#N/A</v>
          </cell>
          <cell r="P858" t="str">
            <v/>
          </cell>
          <cell r="Q858" t="str">
            <v/>
          </cell>
          <cell r="R858">
            <v>16.5</v>
          </cell>
        </row>
        <row r="859">
          <cell r="A859" t="str">
            <v/>
          </cell>
          <cell r="B859" t="str">
            <v/>
          </cell>
          <cell r="C859" t="str">
            <v>Future</v>
          </cell>
          <cell r="D859" t="e">
            <v>#N/A</v>
          </cell>
          <cell r="E859">
            <v>-2.2716216216216694</v>
          </cell>
          <cell r="F859">
            <v>17.998648648648842</v>
          </cell>
          <cell r="G859">
            <v>13.944594594594632</v>
          </cell>
          <cell r="H859">
            <v>13.944594594594632</v>
          </cell>
          <cell r="I859" t="e">
            <v>#N/A</v>
          </cell>
          <cell r="J859" t="e">
            <v>#N/A</v>
          </cell>
          <cell r="K859">
            <v>17.5</v>
          </cell>
          <cell r="L859">
            <v>14</v>
          </cell>
          <cell r="M859" t="e">
            <v>#N/A</v>
          </cell>
          <cell r="N859">
            <v>16.5</v>
          </cell>
          <cell r="O859" t="e">
            <v>#N/A</v>
          </cell>
          <cell r="P859" t="str">
            <v/>
          </cell>
          <cell r="Q859" t="str">
            <v/>
          </cell>
          <cell r="R859">
            <v>16.5</v>
          </cell>
        </row>
        <row r="860">
          <cell r="A860" t="str">
            <v/>
          </cell>
          <cell r="B860" t="str">
            <v/>
          </cell>
          <cell r="C860" t="str">
            <v>Future</v>
          </cell>
          <cell r="D860" t="e">
            <v>#N/A</v>
          </cell>
          <cell r="E860">
            <v>-2.327027027027075</v>
          </cell>
          <cell r="F860">
            <v>18.010810810811005</v>
          </cell>
          <cell r="G860">
            <v>13.94324324324328</v>
          </cell>
          <cell r="H860">
            <v>13.94324324324328</v>
          </cell>
          <cell r="I860" t="e">
            <v>#N/A</v>
          </cell>
          <cell r="J860" t="e">
            <v>#N/A</v>
          </cell>
          <cell r="K860">
            <v>17.5</v>
          </cell>
          <cell r="L860">
            <v>14</v>
          </cell>
          <cell r="M860" t="e">
            <v>#N/A</v>
          </cell>
          <cell r="N860">
            <v>16.5</v>
          </cell>
          <cell r="O860" t="e">
            <v>#N/A</v>
          </cell>
          <cell r="P860" t="str">
            <v/>
          </cell>
          <cell r="Q860" t="str">
            <v/>
          </cell>
          <cell r="R860">
            <v>16.5</v>
          </cell>
        </row>
        <row r="861">
          <cell r="A861" t="str">
            <v/>
          </cell>
          <cell r="B861" t="str">
            <v/>
          </cell>
          <cell r="C861" t="str">
            <v>Future</v>
          </cell>
          <cell r="D861" t="e">
            <v>#N/A</v>
          </cell>
          <cell r="E861">
            <v>-2.3824324324324806</v>
          </cell>
          <cell r="F861">
            <v>18.022972972973168</v>
          </cell>
          <cell r="G861">
            <v>13.941891891891929</v>
          </cell>
          <cell r="H861">
            <v>13.941891891891929</v>
          </cell>
          <cell r="I861" t="e">
            <v>#N/A</v>
          </cell>
          <cell r="J861" t="e">
            <v>#N/A</v>
          </cell>
          <cell r="K861">
            <v>17.5</v>
          </cell>
          <cell r="L861">
            <v>14</v>
          </cell>
          <cell r="M861" t="e">
            <v>#N/A</v>
          </cell>
          <cell r="N861">
            <v>16.5</v>
          </cell>
          <cell r="O861" t="e">
            <v>#N/A</v>
          </cell>
          <cell r="P861" t="str">
            <v/>
          </cell>
          <cell r="Q861" t="str">
            <v/>
          </cell>
          <cell r="R861">
            <v>16.5</v>
          </cell>
        </row>
        <row r="862">
          <cell r="A862" t="str">
            <v/>
          </cell>
          <cell r="B862" t="str">
            <v/>
          </cell>
          <cell r="C862" t="str">
            <v>Future</v>
          </cell>
          <cell r="D862" t="e">
            <v>#N/A</v>
          </cell>
          <cell r="E862">
            <v>-2.4378378378378862</v>
          </cell>
          <cell r="F862">
            <v>18.035135135135331</v>
          </cell>
          <cell r="G862">
            <v>13.940540540540578</v>
          </cell>
          <cell r="H862">
            <v>13.940540540540578</v>
          </cell>
          <cell r="I862" t="e">
            <v>#N/A</v>
          </cell>
          <cell r="J862" t="e">
            <v>#N/A</v>
          </cell>
          <cell r="K862">
            <v>17.5</v>
          </cell>
          <cell r="L862">
            <v>14</v>
          </cell>
          <cell r="M862" t="e">
            <v>#N/A</v>
          </cell>
          <cell r="N862">
            <v>16.5</v>
          </cell>
          <cell r="O862" t="e">
            <v>#N/A</v>
          </cell>
          <cell r="P862" t="str">
            <v/>
          </cell>
          <cell r="Q862" t="str">
            <v/>
          </cell>
          <cell r="R862">
            <v>16.5</v>
          </cell>
        </row>
        <row r="863">
          <cell r="A863" t="str">
            <v/>
          </cell>
          <cell r="B863" t="str">
            <v/>
          </cell>
          <cell r="C863" t="str">
            <v>Future</v>
          </cell>
          <cell r="D863" t="e">
            <v>#N/A</v>
          </cell>
          <cell r="E863">
            <v>-2.4932432432432918</v>
          </cell>
          <cell r="F863">
            <v>18.047297297297494</v>
          </cell>
          <cell r="G863">
            <v>13.939189189189227</v>
          </cell>
          <cell r="H863">
            <v>13.939189189189227</v>
          </cell>
          <cell r="I863" t="e">
            <v>#N/A</v>
          </cell>
          <cell r="J863" t="e">
            <v>#N/A</v>
          </cell>
          <cell r="K863">
            <v>17.5</v>
          </cell>
          <cell r="L863">
            <v>14</v>
          </cell>
          <cell r="M863" t="e">
            <v>#N/A</v>
          </cell>
          <cell r="N863">
            <v>16.5</v>
          </cell>
          <cell r="O863" t="e">
            <v>#N/A</v>
          </cell>
          <cell r="P863" t="str">
            <v/>
          </cell>
          <cell r="Q863" t="str">
            <v/>
          </cell>
          <cell r="R863">
            <v>16.5</v>
          </cell>
        </row>
        <row r="864">
          <cell r="A864" t="str">
            <v/>
          </cell>
          <cell r="B864" t="str">
            <v/>
          </cell>
          <cell r="C864" t="str">
            <v>Future</v>
          </cell>
          <cell r="D864" t="e">
            <v>#N/A</v>
          </cell>
          <cell r="E864">
            <v>-2.5486486486486974</v>
          </cell>
          <cell r="F864">
            <v>18.059459459459656</v>
          </cell>
          <cell r="G864">
            <v>13.937837837837876</v>
          </cell>
          <cell r="H864">
            <v>13.937837837837876</v>
          </cell>
          <cell r="I864" t="e">
            <v>#N/A</v>
          </cell>
          <cell r="J864" t="e">
            <v>#N/A</v>
          </cell>
          <cell r="K864">
            <v>17.5</v>
          </cell>
          <cell r="L864">
            <v>14</v>
          </cell>
          <cell r="M864" t="e">
            <v>#N/A</v>
          </cell>
          <cell r="N864">
            <v>16.5</v>
          </cell>
          <cell r="O864" t="e">
            <v>#N/A</v>
          </cell>
          <cell r="P864" t="str">
            <v/>
          </cell>
          <cell r="Q864" t="str">
            <v/>
          </cell>
          <cell r="R864">
            <v>16.5</v>
          </cell>
        </row>
        <row r="865">
          <cell r="A865" t="str">
            <v/>
          </cell>
          <cell r="B865" t="str">
            <v/>
          </cell>
          <cell r="C865" t="str">
            <v>Future</v>
          </cell>
          <cell r="D865" t="e">
            <v>#N/A</v>
          </cell>
          <cell r="E865">
            <v>-2.6040540540541031</v>
          </cell>
          <cell r="F865">
            <v>18.071621621621819</v>
          </cell>
          <cell r="G865">
            <v>13.936486486486524</v>
          </cell>
          <cell r="H865">
            <v>13.936486486486524</v>
          </cell>
          <cell r="I865" t="e">
            <v>#N/A</v>
          </cell>
          <cell r="J865" t="e">
            <v>#N/A</v>
          </cell>
          <cell r="K865">
            <v>17.5</v>
          </cell>
          <cell r="L865">
            <v>14</v>
          </cell>
          <cell r="M865" t="e">
            <v>#N/A</v>
          </cell>
          <cell r="N865">
            <v>16.5</v>
          </cell>
          <cell r="O865" t="e">
            <v>#N/A</v>
          </cell>
          <cell r="P865" t="str">
            <v/>
          </cell>
          <cell r="Q865" t="str">
            <v/>
          </cell>
          <cell r="R865">
            <v>16.5</v>
          </cell>
        </row>
        <row r="866">
          <cell r="A866" t="str">
            <v/>
          </cell>
          <cell r="B866" t="str">
            <v/>
          </cell>
          <cell r="C866" t="str">
            <v>Future</v>
          </cell>
          <cell r="D866" t="e">
            <v>#N/A</v>
          </cell>
          <cell r="E866">
            <v>-2.6594594594595087</v>
          </cell>
          <cell r="F866">
            <v>18.083783783783982</v>
          </cell>
          <cell r="G866">
            <v>13.935135135135173</v>
          </cell>
          <cell r="H866">
            <v>13.935135135135173</v>
          </cell>
          <cell r="I866" t="e">
            <v>#N/A</v>
          </cell>
          <cell r="J866" t="e">
            <v>#N/A</v>
          </cell>
          <cell r="K866">
            <v>17.5</v>
          </cell>
          <cell r="L866">
            <v>14</v>
          </cell>
          <cell r="M866" t="e">
            <v>#N/A</v>
          </cell>
          <cell r="N866">
            <v>16.5</v>
          </cell>
          <cell r="O866" t="e">
            <v>#N/A</v>
          </cell>
          <cell r="P866" t="str">
            <v/>
          </cell>
          <cell r="Q866" t="str">
            <v/>
          </cell>
          <cell r="R866">
            <v>16.5</v>
          </cell>
        </row>
        <row r="867">
          <cell r="A867" t="str">
            <v/>
          </cell>
          <cell r="B867" t="str">
            <v/>
          </cell>
          <cell r="C867" t="str">
            <v>Future</v>
          </cell>
          <cell r="D867" t="e">
            <v>#N/A</v>
          </cell>
          <cell r="E867">
            <v>-2.7148648648649143</v>
          </cell>
          <cell r="F867">
            <v>18.095945945946145</v>
          </cell>
          <cell r="G867">
            <v>13.933783783783822</v>
          </cell>
          <cell r="H867">
            <v>13.933783783783822</v>
          </cell>
          <cell r="I867" t="e">
            <v>#N/A</v>
          </cell>
          <cell r="J867" t="e">
            <v>#N/A</v>
          </cell>
          <cell r="K867">
            <v>17.5</v>
          </cell>
          <cell r="L867">
            <v>14</v>
          </cell>
          <cell r="M867" t="e">
            <v>#N/A</v>
          </cell>
          <cell r="N867">
            <v>16.5</v>
          </cell>
          <cell r="O867" t="e">
            <v>#N/A</v>
          </cell>
          <cell r="P867" t="str">
            <v/>
          </cell>
          <cell r="Q867" t="str">
            <v/>
          </cell>
          <cell r="R867">
            <v>16.5</v>
          </cell>
        </row>
        <row r="868">
          <cell r="A868" t="str">
            <v/>
          </cell>
          <cell r="B868" t="str">
            <v/>
          </cell>
          <cell r="C868" t="str">
            <v>Future</v>
          </cell>
          <cell r="D868" t="e">
            <v>#N/A</v>
          </cell>
          <cell r="E868">
            <v>-2.7702702702703199</v>
          </cell>
          <cell r="F868">
            <v>18.108108108108308</v>
          </cell>
          <cell r="G868">
            <v>13.932432432432471</v>
          </cell>
          <cell r="H868">
            <v>13.932432432432471</v>
          </cell>
          <cell r="I868" t="e">
            <v>#N/A</v>
          </cell>
          <cell r="J868" t="e">
            <v>#N/A</v>
          </cell>
          <cell r="K868">
            <v>17.5</v>
          </cell>
          <cell r="L868">
            <v>14</v>
          </cell>
          <cell r="M868" t="e">
            <v>#N/A</v>
          </cell>
          <cell r="N868">
            <v>16.5</v>
          </cell>
          <cell r="O868" t="e">
            <v>#N/A</v>
          </cell>
          <cell r="P868" t="str">
            <v/>
          </cell>
          <cell r="Q868" t="str">
            <v/>
          </cell>
          <cell r="R868">
            <v>16.5</v>
          </cell>
        </row>
        <row r="869">
          <cell r="A869" t="str">
            <v/>
          </cell>
          <cell r="B869" t="str">
            <v/>
          </cell>
          <cell r="C869" t="str">
            <v>Future</v>
          </cell>
          <cell r="D869" t="e">
            <v>#N/A</v>
          </cell>
          <cell r="E869">
            <v>-2.8256756756757255</v>
          </cell>
          <cell r="F869">
            <v>18.120270270270471</v>
          </cell>
          <cell r="G869">
            <v>13.931081081081119</v>
          </cell>
          <cell r="H869">
            <v>13.931081081081119</v>
          </cell>
          <cell r="I869" t="e">
            <v>#N/A</v>
          </cell>
          <cell r="J869" t="e">
            <v>#N/A</v>
          </cell>
          <cell r="K869">
            <v>17.5</v>
          </cell>
          <cell r="L869">
            <v>14</v>
          </cell>
          <cell r="M869" t="e">
            <v>#N/A</v>
          </cell>
          <cell r="N869">
            <v>16.5</v>
          </cell>
          <cell r="O869" t="e">
            <v>#N/A</v>
          </cell>
          <cell r="P869" t="str">
            <v/>
          </cell>
          <cell r="Q869" t="str">
            <v/>
          </cell>
          <cell r="R869">
            <v>16.5</v>
          </cell>
        </row>
        <row r="870">
          <cell r="A870" t="str">
            <v/>
          </cell>
          <cell r="B870" t="str">
            <v/>
          </cell>
          <cell r="C870" t="str">
            <v>Future</v>
          </cell>
          <cell r="D870" t="e">
            <v>#N/A</v>
          </cell>
          <cell r="E870">
            <v>-2.8810810810811311</v>
          </cell>
          <cell r="F870">
            <v>18.132432432432633</v>
          </cell>
          <cell r="G870">
            <v>13.929729729729768</v>
          </cell>
          <cell r="H870">
            <v>13.929729729729768</v>
          </cell>
          <cell r="I870" t="e">
            <v>#N/A</v>
          </cell>
          <cell r="J870" t="e">
            <v>#N/A</v>
          </cell>
          <cell r="K870">
            <v>17.5</v>
          </cell>
          <cell r="L870">
            <v>14</v>
          </cell>
          <cell r="M870" t="e">
            <v>#N/A</v>
          </cell>
          <cell r="N870">
            <v>16.5</v>
          </cell>
          <cell r="O870" t="e">
            <v>#N/A</v>
          </cell>
          <cell r="P870" t="str">
            <v/>
          </cell>
          <cell r="Q870" t="str">
            <v/>
          </cell>
          <cell r="R870">
            <v>16.5</v>
          </cell>
        </row>
        <row r="871">
          <cell r="A871" t="str">
            <v/>
          </cell>
          <cell r="B871" t="str">
            <v/>
          </cell>
          <cell r="C871" t="str">
            <v>Future</v>
          </cell>
          <cell r="D871" t="e">
            <v>#N/A</v>
          </cell>
          <cell r="E871">
            <v>-2.9364864864865368</v>
          </cell>
          <cell r="F871">
            <v>18.144594594594796</v>
          </cell>
          <cell r="G871">
            <v>13.928378378378417</v>
          </cell>
          <cell r="H871">
            <v>13.928378378378417</v>
          </cell>
          <cell r="I871" t="e">
            <v>#N/A</v>
          </cell>
          <cell r="J871" t="e">
            <v>#N/A</v>
          </cell>
          <cell r="K871">
            <v>17.5</v>
          </cell>
          <cell r="L871">
            <v>14</v>
          </cell>
          <cell r="M871" t="e">
            <v>#N/A</v>
          </cell>
          <cell r="N871">
            <v>16.5</v>
          </cell>
          <cell r="O871" t="e">
            <v>#N/A</v>
          </cell>
          <cell r="P871" t="str">
            <v/>
          </cell>
          <cell r="Q871" t="str">
            <v/>
          </cell>
          <cell r="R871">
            <v>16.5</v>
          </cell>
        </row>
        <row r="872">
          <cell r="A872" t="str">
            <v/>
          </cell>
          <cell r="B872" t="str">
            <v/>
          </cell>
          <cell r="C872" t="str">
            <v>Future</v>
          </cell>
          <cell r="D872" t="e">
            <v>#N/A</v>
          </cell>
          <cell r="E872">
            <v>-2.9918918918919424</v>
          </cell>
          <cell r="F872">
            <v>18.156756756756959</v>
          </cell>
          <cell r="G872">
            <v>13.927027027027066</v>
          </cell>
          <cell r="H872">
            <v>13.927027027027066</v>
          </cell>
          <cell r="I872" t="e">
            <v>#N/A</v>
          </cell>
          <cell r="J872" t="e">
            <v>#N/A</v>
          </cell>
          <cell r="K872">
            <v>17.5</v>
          </cell>
          <cell r="L872">
            <v>14</v>
          </cell>
          <cell r="M872" t="e">
            <v>#N/A</v>
          </cell>
          <cell r="N872">
            <v>16.5</v>
          </cell>
          <cell r="O872" t="e">
            <v>#N/A</v>
          </cell>
          <cell r="P872" t="str">
            <v/>
          </cell>
          <cell r="Q872" t="str">
            <v/>
          </cell>
          <cell r="R872">
            <v>16.5</v>
          </cell>
        </row>
        <row r="873">
          <cell r="A873" t="str">
            <v/>
          </cell>
          <cell r="B873" t="str">
            <v/>
          </cell>
          <cell r="C873" t="str">
            <v>Future</v>
          </cell>
          <cell r="D873" t="e">
            <v>#N/A</v>
          </cell>
          <cell r="E873">
            <v>-3.047297297297348</v>
          </cell>
          <cell r="F873">
            <v>18.168918918919122</v>
          </cell>
          <cell r="G873">
            <v>13.925675675675715</v>
          </cell>
          <cell r="H873">
            <v>13.925675675675715</v>
          </cell>
          <cell r="I873" t="e">
            <v>#N/A</v>
          </cell>
          <cell r="J873" t="e">
            <v>#N/A</v>
          </cell>
          <cell r="K873">
            <v>17.5</v>
          </cell>
          <cell r="L873">
            <v>14</v>
          </cell>
          <cell r="M873" t="e">
            <v>#N/A</v>
          </cell>
          <cell r="N873">
            <v>16.5</v>
          </cell>
          <cell r="O873" t="e">
            <v>#N/A</v>
          </cell>
          <cell r="P873" t="str">
            <v/>
          </cell>
          <cell r="Q873" t="str">
            <v/>
          </cell>
          <cell r="R873">
            <v>16.5</v>
          </cell>
        </row>
        <row r="874">
          <cell r="A874" t="str">
            <v/>
          </cell>
          <cell r="B874" t="str">
            <v/>
          </cell>
          <cell r="C874" t="str">
            <v>Future</v>
          </cell>
          <cell r="D874" t="e">
            <v>#N/A</v>
          </cell>
          <cell r="E874">
            <v>-3.1027027027027536</v>
          </cell>
          <cell r="F874">
            <v>18.181081081081285</v>
          </cell>
          <cell r="G874">
            <v>13.924324324324363</v>
          </cell>
          <cell r="H874">
            <v>13.924324324324363</v>
          </cell>
          <cell r="I874" t="e">
            <v>#N/A</v>
          </cell>
          <cell r="J874" t="e">
            <v>#N/A</v>
          </cell>
          <cell r="K874">
            <v>17.5</v>
          </cell>
          <cell r="L874">
            <v>14</v>
          </cell>
          <cell r="M874" t="e">
            <v>#N/A</v>
          </cell>
          <cell r="N874">
            <v>16.5</v>
          </cell>
          <cell r="O874" t="e">
            <v>#N/A</v>
          </cell>
          <cell r="P874" t="str">
            <v/>
          </cell>
          <cell r="Q874" t="str">
            <v/>
          </cell>
          <cell r="R874">
            <v>16.5</v>
          </cell>
        </row>
        <row r="875">
          <cell r="A875" t="str">
            <v/>
          </cell>
          <cell r="B875" t="str">
            <v/>
          </cell>
          <cell r="C875" t="str">
            <v>Future</v>
          </cell>
          <cell r="D875" t="e">
            <v>#N/A</v>
          </cell>
          <cell r="E875">
            <v>-3.1581081081081592</v>
          </cell>
          <cell r="F875">
            <v>18.193243243243447</v>
          </cell>
          <cell r="G875">
            <v>13.922972972973012</v>
          </cell>
          <cell r="H875">
            <v>13.922972972973012</v>
          </cell>
          <cell r="I875" t="e">
            <v>#N/A</v>
          </cell>
          <cell r="J875" t="e">
            <v>#N/A</v>
          </cell>
          <cell r="K875">
            <v>17.5</v>
          </cell>
          <cell r="L875">
            <v>14</v>
          </cell>
          <cell r="M875" t="e">
            <v>#N/A</v>
          </cell>
          <cell r="N875">
            <v>16.5</v>
          </cell>
          <cell r="O875" t="e">
            <v>#N/A</v>
          </cell>
          <cell r="P875" t="str">
            <v/>
          </cell>
          <cell r="Q875" t="str">
            <v/>
          </cell>
          <cell r="R875">
            <v>16.5</v>
          </cell>
        </row>
        <row r="876">
          <cell r="A876" t="str">
            <v/>
          </cell>
          <cell r="B876" t="str">
            <v/>
          </cell>
          <cell r="C876" t="str">
            <v>Future</v>
          </cell>
          <cell r="D876" t="e">
            <v>#N/A</v>
          </cell>
          <cell r="E876">
            <v>-3.2135135135135648</v>
          </cell>
          <cell r="F876">
            <v>18.20540540540561</v>
          </cell>
          <cell r="G876">
            <v>13.921621621621661</v>
          </cell>
          <cell r="H876">
            <v>13.921621621621661</v>
          </cell>
          <cell r="I876" t="e">
            <v>#N/A</v>
          </cell>
          <cell r="J876" t="e">
            <v>#N/A</v>
          </cell>
          <cell r="K876">
            <v>17.5</v>
          </cell>
          <cell r="L876">
            <v>14</v>
          </cell>
          <cell r="M876" t="e">
            <v>#N/A</v>
          </cell>
          <cell r="N876">
            <v>16.5</v>
          </cell>
          <cell r="O876" t="e">
            <v>#N/A</v>
          </cell>
          <cell r="P876" t="str">
            <v/>
          </cell>
          <cell r="Q876" t="str">
            <v/>
          </cell>
          <cell r="R876">
            <v>16.5</v>
          </cell>
        </row>
        <row r="877">
          <cell r="A877" t="str">
            <v/>
          </cell>
          <cell r="B877" t="str">
            <v/>
          </cell>
          <cell r="C877" t="str">
            <v>Future</v>
          </cell>
          <cell r="D877" t="e">
            <v>#N/A</v>
          </cell>
          <cell r="E877">
            <v>-3.2689189189189705</v>
          </cell>
          <cell r="F877">
            <v>18.217567567567773</v>
          </cell>
          <cell r="G877">
            <v>13.92027027027031</v>
          </cell>
          <cell r="H877">
            <v>13.92027027027031</v>
          </cell>
          <cell r="I877" t="e">
            <v>#N/A</v>
          </cell>
          <cell r="J877" t="e">
            <v>#N/A</v>
          </cell>
          <cell r="K877">
            <v>17.5</v>
          </cell>
          <cell r="L877">
            <v>14</v>
          </cell>
          <cell r="M877" t="e">
            <v>#N/A</v>
          </cell>
          <cell r="N877">
            <v>16.5</v>
          </cell>
          <cell r="O877" t="e">
            <v>#N/A</v>
          </cell>
          <cell r="P877" t="str">
            <v/>
          </cell>
          <cell r="Q877" t="str">
            <v/>
          </cell>
          <cell r="R877">
            <v>16.5</v>
          </cell>
        </row>
        <row r="878">
          <cell r="A878" t="str">
            <v/>
          </cell>
          <cell r="B878" t="str">
            <v/>
          </cell>
          <cell r="C878" t="str">
            <v>Future</v>
          </cell>
          <cell r="D878" t="e">
            <v>#N/A</v>
          </cell>
          <cell r="E878">
            <v>-3.3243243243243761</v>
          </cell>
          <cell r="F878">
            <v>18.229729729729936</v>
          </cell>
          <cell r="G878">
            <v>13.918918918918958</v>
          </cell>
          <cell r="H878">
            <v>13.918918918918958</v>
          </cell>
          <cell r="I878" t="e">
            <v>#N/A</v>
          </cell>
          <cell r="J878" t="e">
            <v>#N/A</v>
          </cell>
          <cell r="K878">
            <v>17.5</v>
          </cell>
          <cell r="L878">
            <v>14</v>
          </cell>
          <cell r="M878" t="e">
            <v>#N/A</v>
          </cell>
          <cell r="N878">
            <v>16.5</v>
          </cell>
          <cell r="O878" t="e">
            <v>#N/A</v>
          </cell>
          <cell r="P878" t="str">
            <v/>
          </cell>
          <cell r="Q878" t="str">
            <v/>
          </cell>
          <cell r="R878">
            <v>16.5</v>
          </cell>
        </row>
        <row r="879">
          <cell r="A879" t="str">
            <v/>
          </cell>
          <cell r="B879" t="str">
            <v/>
          </cell>
          <cell r="C879" t="str">
            <v>Future</v>
          </cell>
          <cell r="D879" t="e">
            <v>#N/A</v>
          </cell>
          <cell r="E879">
            <v>-3.3797297297297817</v>
          </cell>
          <cell r="F879">
            <v>18.241891891892099</v>
          </cell>
          <cell r="G879">
            <v>13.917567567567607</v>
          </cell>
          <cell r="H879">
            <v>13.917567567567607</v>
          </cell>
          <cell r="I879" t="e">
            <v>#N/A</v>
          </cell>
          <cell r="J879" t="e">
            <v>#N/A</v>
          </cell>
          <cell r="K879">
            <v>17.5</v>
          </cell>
          <cell r="L879">
            <v>14</v>
          </cell>
          <cell r="M879" t="e">
            <v>#N/A</v>
          </cell>
          <cell r="N879">
            <v>16.5</v>
          </cell>
          <cell r="O879" t="e">
            <v>#N/A</v>
          </cell>
          <cell r="P879" t="str">
            <v/>
          </cell>
          <cell r="Q879" t="str">
            <v/>
          </cell>
          <cell r="R879">
            <v>16.5</v>
          </cell>
        </row>
        <row r="880">
          <cell r="A880" t="str">
            <v/>
          </cell>
          <cell r="B880" t="str">
            <v/>
          </cell>
          <cell r="C880" t="str">
            <v>Future</v>
          </cell>
          <cell r="D880" t="e">
            <v>#N/A</v>
          </cell>
          <cell r="E880">
            <v>-3.4351351351351873</v>
          </cell>
          <cell r="F880">
            <v>18.254054054054262</v>
          </cell>
          <cell r="G880">
            <v>13.916216216216256</v>
          </cell>
          <cell r="H880">
            <v>13.916216216216256</v>
          </cell>
          <cell r="I880" t="e">
            <v>#N/A</v>
          </cell>
          <cell r="J880" t="e">
            <v>#N/A</v>
          </cell>
          <cell r="K880">
            <v>17.5</v>
          </cell>
          <cell r="L880">
            <v>14</v>
          </cell>
          <cell r="M880" t="e">
            <v>#N/A</v>
          </cell>
          <cell r="N880">
            <v>16.5</v>
          </cell>
          <cell r="O880" t="e">
            <v>#N/A</v>
          </cell>
          <cell r="P880" t="str">
            <v/>
          </cell>
          <cell r="Q880" t="str">
            <v/>
          </cell>
          <cell r="R880">
            <v>16.5</v>
          </cell>
        </row>
        <row r="881">
          <cell r="A881" t="str">
            <v/>
          </cell>
          <cell r="B881" t="str">
            <v/>
          </cell>
          <cell r="C881" t="str">
            <v>Future</v>
          </cell>
          <cell r="D881" t="e">
            <v>#N/A</v>
          </cell>
          <cell r="E881">
            <v>-3.4905405405405929</v>
          </cell>
          <cell r="F881">
            <v>18.266216216216424</v>
          </cell>
          <cell r="G881">
            <v>13.914864864864905</v>
          </cell>
          <cell r="H881">
            <v>13.914864864864905</v>
          </cell>
          <cell r="I881" t="e">
            <v>#N/A</v>
          </cell>
          <cell r="J881" t="e">
            <v>#N/A</v>
          </cell>
          <cell r="K881">
            <v>17.5</v>
          </cell>
          <cell r="L881">
            <v>14</v>
          </cell>
          <cell r="M881" t="e">
            <v>#N/A</v>
          </cell>
          <cell r="N881">
            <v>16.5</v>
          </cell>
          <cell r="O881" t="e">
            <v>#N/A</v>
          </cell>
          <cell r="P881" t="str">
            <v/>
          </cell>
          <cell r="Q881" t="str">
            <v/>
          </cell>
          <cell r="R881">
            <v>16.5</v>
          </cell>
        </row>
        <row r="882">
          <cell r="A882" t="str">
            <v/>
          </cell>
          <cell r="B882" t="str">
            <v/>
          </cell>
          <cell r="C882" t="str">
            <v>Future</v>
          </cell>
          <cell r="D882" t="e">
            <v>#N/A</v>
          </cell>
          <cell r="E882">
            <v>-3.5459459459459985</v>
          </cell>
          <cell r="F882">
            <v>18.278378378378587</v>
          </cell>
          <cell r="G882">
            <v>13.913513513513553</v>
          </cell>
          <cell r="H882">
            <v>13.913513513513553</v>
          </cell>
          <cell r="I882" t="e">
            <v>#N/A</v>
          </cell>
          <cell r="J882" t="e">
            <v>#N/A</v>
          </cell>
          <cell r="K882">
            <v>17.5</v>
          </cell>
          <cell r="L882">
            <v>14</v>
          </cell>
          <cell r="M882" t="e">
            <v>#N/A</v>
          </cell>
          <cell r="N882">
            <v>16.5</v>
          </cell>
          <cell r="O882" t="e">
            <v>#N/A</v>
          </cell>
          <cell r="P882" t="str">
            <v/>
          </cell>
          <cell r="Q882" t="str">
            <v/>
          </cell>
          <cell r="R882">
            <v>16.5</v>
          </cell>
        </row>
        <row r="883">
          <cell r="A883" t="str">
            <v/>
          </cell>
          <cell r="B883" t="str">
            <v/>
          </cell>
          <cell r="C883" t="str">
            <v>Future</v>
          </cell>
          <cell r="D883" t="e">
            <v>#N/A</v>
          </cell>
          <cell r="E883">
            <v>-3.6013513513514042</v>
          </cell>
          <cell r="F883">
            <v>18.29054054054075</v>
          </cell>
          <cell r="G883">
            <v>13.912162162162202</v>
          </cell>
          <cell r="H883">
            <v>13.912162162162202</v>
          </cell>
          <cell r="I883" t="e">
            <v>#N/A</v>
          </cell>
          <cell r="J883" t="e">
            <v>#N/A</v>
          </cell>
          <cell r="K883">
            <v>17.5</v>
          </cell>
          <cell r="L883">
            <v>14</v>
          </cell>
          <cell r="M883" t="e">
            <v>#N/A</v>
          </cell>
          <cell r="N883">
            <v>16.5</v>
          </cell>
          <cell r="O883" t="e">
            <v>#N/A</v>
          </cell>
          <cell r="P883" t="str">
            <v/>
          </cell>
          <cell r="Q883" t="str">
            <v/>
          </cell>
          <cell r="R883">
            <v>16.5</v>
          </cell>
        </row>
        <row r="884">
          <cell r="A884" t="str">
            <v/>
          </cell>
          <cell r="B884" t="str">
            <v/>
          </cell>
          <cell r="C884" t="str">
            <v>Future</v>
          </cell>
          <cell r="D884" t="e">
            <v>#N/A</v>
          </cell>
          <cell r="E884">
            <v>-3.6567567567568098</v>
          </cell>
          <cell r="F884">
            <v>18.302702702702913</v>
          </cell>
          <cell r="G884">
            <v>13.910810810810851</v>
          </cell>
          <cell r="H884">
            <v>13.910810810810851</v>
          </cell>
          <cell r="I884" t="e">
            <v>#N/A</v>
          </cell>
          <cell r="J884" t="e">
            <v>#N/A</v>
          </cell>
          <cell r="K884">
            <v>17.5</v>
          </cell>
          <cell r="L884">
            <v>14</v>
          </cell>
          <cell r="M884" t="e">
            <v>#N/A</v>
          </cell>
          <cell r="N884">
            <v>16.5</v>
          </cell>
          <cell r="O884" t="e">
            <v>#N/A</v>
          </cell>
          <cell r="P884" t="str">
            <v/>
          </cell>
          <cell r="Q884" t="str">
            <v/>
          </cell>
          <cell r="R884">
            <v>16.5</v>
          </cell>
        </row>
        <row r="885">
          <cell r="A885" t="str">
            <v/>
          </cell>
          <cell r="B885" t="str">
            <v/>
          </cell>
          <cell r="C885" t="str">
            <v>Future</v>
          </cell>
          <cell r="D885" t="e">
            <v>#N/A</v>
          </cell>
          <cell r="E885">
            <v>-3.7121621621622154</v>
          </cell>
          <cell r="F885">
            <v>18.314864864865076</v>
          </cell>
          <cell r="G885">
            <v>13.9094594594595</v>
          </cell>
          <cell r="H885">
            <v>13.9094594594595</v>
          </cell>
          <cell r="I885" t="e">
            <v>#N/A</v>
          </cell>
          <cell r="J885" t="e">
            <v>#N/A</v>
          </cell>
          <cell r="K885">
            <v>17.5</v>
          </cell>
          <cell r="L885">
            <v>14</v>
          </cell>
          <cell r="M885" t="e">
            <v>#N/A</v>
          </cell>
          <cell r="N885">
            <v>16.5</v>
          </cell>
          <cell r="O885" t="e">
            <v>#N/A</v>
          </cell>
          <cell r="P885" t="str">
            <v/>
          </cell>
          <cell r="Q885" t="str">
            <v/>
          </cell>
          <cell r="R885">
            <v>16.5</v>
          </cell>
        </row>
        <row r="886">
          <cell r="A886" t="str">
            <v/>
          </cell>
          <cell r="B886" t="str">
            <v/>
          </cell>
          <cell r="C886" t="str">
            <v>Future</v>
          </cell>
          <cell r="D886" t="e">
            <v>#N/A</v>
          </cell>
          <cell r="E886">
            <v>-3.767567567567621</v>
          </cell>
          <cell r="F886">
            <v>18.327027027027238</v>
          </cell>
          <cell r="G886">
            <v>13.908108108108149</v>
          </cell>
          <cell r="H886">
            <v>13.908108108108149</v>
          </cell>
          <cell r="I886" t="e">
            <v>#N/A</v>
          </cell>
          <cell r="J886" t="e">
            <v>#N/A</v>
          </cell>
          <cell r="K886">
            <v>17.5</v>
          </cell>
          <cell r="L886">
            <v>14</v>
          </cell>
          <cell r="M886" t="e">
            <v>#N/A</v>
          </cell>
          <cell r="N886">
            <v>16.5</v>
          </cell>
          <cell r="O886" t="e">
            <v>#N/A</v>
          </cell>
          <cell r="P886" t="str">
            <v/>
          </cell>
          <cell r="Q886" t="str">
            <v/>
          </cell>
          <cell r="R886">
            <v>16.5</v>
          </cell>
        </row>
        <row r="887">
          <cell r="A887" t="str">
            <v/>
          </cell>
          <cell r="B887" t="str">
            <v/>
          </cell>
          <cell r="C887" t="str">
            <v>Future</v>
          </cell>
          <cell r="D887" t="e">
            <v>#N/A</v>
          </cell>
          <cell r="E887">
            <v>-3.8229729729730266</v>
          </cell>
          <cell r="F887">
            <v>18.339189189189401</v>
          </cell>
          <cell r="G887">
            <v>13.906756756756797</v>
          </cell>
          <cell r="H887">
            <v>13.906756756756797</v>
          </cell>
          <cell r="I887" t="e">
            <v>#N/A</v>
          </cell>
          <cell r="J887" t="e">
            <v>#N/A</v>
          </cell>
          <cell r="K887">
            <v>17.5</v>
          </cell>
          <cell r="L887">
            <v>14</v>
          </cell>
          <cell r="M887" t="e">
            <v>#N/A</v>
          </cell>
          <cell r="N887">
            <v>16.5</v>
          </cell>
          <cell r="O887" t="e">
            <v>#N/A</v>
          </cell>
          <cell r="P887" t="str">
            <v/>
          </cell>
          <cell r="Q887" t="str">
            <v/>
          </cell>
          <cell r="R887">
            <v>16.5</v>
          </cell>
        </row>
        <row r="888">
          <cell r="A888" t="str">
            <v/>
          </cell>
          <cell r="B888" t="str">
            <v/>
          </cell>
          <cell r="C888" t="str">
            <v>Future</v>
          </cell>
          <cell r="D888" t="e">
            <v>#N/A</v>
          </cell>
          <cell r="E888">
            <v>-3.8783783783784322</v>
          </cell>
          <cell r="F888">
            <v>18.351351351351564</v>
          </cell>
          <cell r="G888">
            <v>13.905405405405446</v>
          </cell>
          <cell r="H888">
            <v>13.905405405405446</v>
          </cell>
          <cell r="I888" t="e">
            <v>#N/A</v>
          </cell>
          <cell r="J888" t="e">
            <v>#N/A</v>
          </cell>
          <cell r="K888">
            <v>17.5</v>
          </cell>
          <cell r="L888">
            <v>14</v>
          </cell>
          <cell r="M888" t="e">
            <v>#N/A</v>
          </cell>
          <cell r="N888">
            <v>16.5</v>
          </cell>
          <cell r="O888" t="e">
            <v>#N/A</v>
          </cell>
          <cell r="P888" t="str">
            <v/>
          </cell>
          <cell r="Q888" t="str">
            <v/>
          </cell>
          <cell r="R888">
            <v>16.5</v>
          </cell>
        </row>
        <row r="889">
          <cell r="A889" t="str">
            <v/>
          </cell>
          <cell r="B889" t="str">
            <v/>
          </cell>
          <cell r="C889" t="str">
            <v>Future</v>
          </cell>
          <cell r="D889" t="e">
            <v>#N/A</v>
          </cell>
          <cell r="E889">
            <v>-3.9337837837838379</v>
          </cell>
          <cell r="F889">
            <v>18.363513513513727</v>
          </cell>
          <cell r="G889">
            <v>13.904054054054095</v>
          </cell>
          <cell r="H889">
            <v>13.904054054054095</v>
          </cell>
          <cell r="I889" t="e">
            <v>#N/A</v>
          </cell>
          <cell r="J889" t="e">
            <v>#N/A</v>
          </cell>
          <cell r="K889">
            <v>17.5</v>
          </cell>
          <cell r="L889">
            <v>14</v>
          </cell>
          <cell r="M889" t="e">
            <v>#N/A</v>
          </cell>
          <cell r="N889">
            <v>16.5</v>
          </cell>
          <cell r="O889" t="e">
            <v>#N/A</v>
          </cell>
          <cell r="P889" t="str">
            <v/>
          </cell>
          <cell r="Q889" t="str">
            <v/>
          </cell>
          <cell r="R889">
            <v>16.5</v>
          </cell>
        </row>
        <row r="890">
          <cell r="A890" t="str">
            <v/>
          </cell>
          <cell r="B890" t="str">
            <v/>
          </cell>
          <cell r="C890" t="str">
            <v>Future</v>
          </cell>
          <cell r="D890" t="e">
            <v>#N/A</v>
          </cell>
          <cell r="E890">
            <v>-3.9891891891892435</v>
          </cell>
          <cell r="F890">
            <v>18.37567567567589</v>
          </cell>
          <cell r="G890">
            <v>13.902702702702744</v>
          </cell>
          <cell r="H890">
            <v>13.902702702702744</v>
          </cell>
          <cell r="I890" t="e">
            <v>#N/A</v>
          </cell>
          <cell r="J890" t="e">
            <v>#N/A</v>
          </cell>
          <cell r="K890">
            <v>17.5</v>
          </cell>
          <cell r="L890">
            <v>14</v>
          </cell>
          <cell r="M890" t="e">
            <v>#N/A</v>
          </cell>
          <cell r="N890">
            <v>16.5</v>
          </cell>
          <cell r="O890" t="e">
            <v>#N/A</v>
          </cell>
          <cell r="P890" t="str">
            <v/>
          </cell>
          <cell r="Q890" t="str">
            <v/>
          </cell>
          <cell r="R890">
            <v>16.5</v>
          </cell>
        </row>
        <row r="891">
          <cell r="A891" t="str">
            <v/>
          </cell>
          <cell r="B891" t="str">
            <v/>
          </cell>
          <cell r="C891" t="str">
            <v>Future</v>
          </cell>
          <cell r="D891" t="e">
            <v>#N/A</v>
          </cell>
          <cell r="E891">
            <v>-4.0445945945946491</v>
          </cell>
          <cell r="F891">
            <v>18.387837837838052</v>
          </cell>
          <cell r="G891">
            <v>13.901351351351392</v>
          </cell>
          <cell r="H891">
            <v>13.901351351351392</v>
          </cell>
          <cell r="I891" t="e">
            <v>#N/A</v>
          </cell>
          <cell r="J891" t="e">
            <v>#N/A</v>
          </cell>
          <cell r="K891">
            <v>17.5</v>
          </cell>
          <cell r="L891">
            <v>14</v>
          </cell>
          <cell r="M891" t="e">
            <v>#N/A</v>
          </cell>
          <cell r="N891">
            <v>16.5</v>
          </cell>
          <cell r="O891" t="e">
            <v>#N/A</v>
          </cell>
          <cell r="P891" t="str">
            <v/>
          </cell>
          <cell r="Q891" t="str">
            <v/>
          </cell>
          <cell r="R891">
            <v>16.5</v>
          </cell>
        </row>
        <row r="892">
          <cell r="A892" t="str">
            <v/>
          </cell>
          <cell r="B892" t="str">
            <v/>
          </cell>
          <cell r="C892" t="str">
            <v>Future</v>
          </cell>
          <cell r="D892" t="e">
            <v>#N/A</v>
          </cell>
          <cell r="E892">
            <v>-4.1000000000000547</v>
          </cell>
          <cell r="F892">
            <v>18.400000000000215</v>
          </cell>
          <cell r="G892">
            <v>13.900000000000041</v>
          </cell>
          <cell r="H892">
            <v>13.900000000000041</v>
          </cell>
          <cell r="I892" t="e">
            <v>#N/A</v>
          </cell>
          <cell r="J892" t="e">
            <v>#N/A</v>
          </cell>
          <cell r="K892">
            <v>17.5</v>
          </cell>
          <cell r="L892">
            <v>14</v>
          </cell>
          <cell r="M892" t="e">
            <v>#N/A</v>
          </cell>
          <cell r="N892">
            <v>16.5</v>
          </cell>
          <cell r="O892" t="e">
            <v>#N/A</v>
          </cell>
          <cell r="P892" t="str">
            <v/>
          </cell>
          <cell r="Q892" t="str">
            <v/>
          </cell>
          <cell r="R892">
            <v>16.5</v>
          </cell>
        </row>
        <row r="893">
          <cell r="A893" t="str">
            <v/>
          </cell>
          <cell r="B893" t="str">
            <v/>
          </cell>
          <cell r="C893" t="str">
            <v>Future</v>
          </cell>
          <cell r="D893" t="e">
            <v>#N/A</v>
          </cell>
          <cell r="E893">
            <v>-4.1554054054054603</v>
          </cell>
          <cell r="F893">
            <v>18.412162162162378</v>
          </cell>
          <cell r="G893">
            <v>13.89864864864869</v>
          </cell>
          <cell r="H893">
            <v>13.89864864864869</v>
          </cell>
          <cell r="I893" t="e">
            <v>#N/A</v>
          </cell>
          <cell r="J893" t="e">
            <v>#N/A</v>
          </cell>
          <cell r="K893">
            <v>17.5</v>
          </cell>
          <cell r="L893">
            <v>14</v>
          </cell>
          <cell r="M893" t="e">
            <v>#N/A</v>
          </cell>
          <cell r="N893">
            <v>16.5</v>
          </cell>
          <cell r="O893" t="e">
            <v>#N/A</v>
          </cell>
          <cell r="P893" t="str">
            <v/>
          </cell>
          <cell r="Q893" t="str">
            <v/>
          </cell>
          <cell r="R893">
            <v>16.5</v>
          </cell>
        </row>
        <row r="894">
          <cell r="A894" t="str">
            <v/>
          </cell>
          <cell r="B894" t="str">
            <v/>
          </cell>
          <cell r="C894" t="str">
            <v>Future</v>
          </cell>
          <cell r="D894" t="e">
            <v>#N/A</v>
          </cell>
          <cell r="E894">
            <v>-4.2108108108108659</v>
          </cell>
          <cell r="F894">
            <v>18.424324324324541</v>
          </cell>
          <cell r="G894">
            <v>13.897297297297339</v>
          </cell>
          <cell r="H894">
            <v>13.897297297297339</v>
          </cell>
          <cell r="I894" t="e">
            <v>#N/A</v>
          </cell>
          <cell r="J894" t="e">
            <v>#N/A</v>
          </cell>
          <cell r="K894">
            <v>17.5</v>
          </cell>
          <cell r="L894">
            <v>14</v>
          </cell>
          <cell r="M894" t="e">
            <v>#N/A</v>
          </cell>
          <cell r="N894">
            <v>16.5</v>
          </cell>
          <cell r="O894" t="e">
            <v>#N/A</v>
          </cell>
          <cell r="P894" t="str">
            <v/>
          </cell>
          <cell r="Q894" t="str">
            <v/>
          </cell>
          <cell r="R894">
            <v>16.5</v>
          </cell>
        </row>
        <row r="895">
          <cell r="A895" t="str">
            <v/>
          </cell>
          <cell r="B895" t="str">
            <v/>
          </cell>
          <cell r="C895" t="str">
            <v>Future</v>
          </cell>
          <cell r="D895" t="e">
            <v>#N/A</v>
          </cell>
          <cell r="E895">
            <v>-4.2662162162162716</v>
          </cell>
          <cell r="F895">
            <v>18.436486486486704</v>
          </cell>
          <cell r="G895">
            <v>13.895945945945988</v>
          </cell>
          <cell r="H895">
            <v>13.895945945945988</v>
          </cell>
          <cell r="I895" t="e">
            <v>#N/A</v>
          </cell>
          <cell r="J895" t="e">
            <v>#N/A</v>
          </cell>
          <cell r="K895">
            <v>17.5</v>
          </cell>
          <cell r="L895">
            <v>14</v>
          </cell>
          <cell r="M895" t="e">
            <v>#N/A</v>
          </cell>
          <cell r="N895">
            <v>16.5</v>
          </cell>
          <cell r="O895" t="e">
            <v>#N/A</v>
          </cell>
          <cell r="P895" t="str">
            <v/>
          </cell>
          <cell r="Q895" t="str">
            <v/>
          </cell>
          <cell r="R895">
            <v>16.5</v>
          </cell>
        </row>
        <row r="896">
          <cell r="A896" t="str">
            <v/>
          </cell>
          <cell r="B896" t="str">
            <v/>
          </cell>
          <cell r="C896" t="str">
            <v>Future</v>
          </cell>
          <cell r="D896" t="e">
            <v>#N/A</v>
          </cell>
          <cell r="E896">
            <v>-4.3216216216216772</v>
          </cell>
          <cell r="F896">
            <v>18.448648648648867</v>
          </cell>
          <cell r="G896">
            <v>13.894594594594636</v>
          </cell>
          <cell r="H896">
            <v>13.894594594594636</v>
          </cell>
          <cell r="I896" t="e">
            <v>#N/A</v>
          </cell>
          <cell r="J896" t="e">
            <v>#N/A</v>
          </cell>
          <cell r="K896">
            <v>17.5</v>
          </cell>
          <cell r="L896">
            <v>14</v>
          </cell>
          <cell r="M896" t="e">
            <v>#N/A</v>
          </cell>
          <cell r="N896">
            <v>16.5</v>
          </cell>
          <cell r="O896" t="e">
            <v>#N/A</v>
          </cell>
          <cell r="P896" t="str">
            <v/>
          </cell>
          <cell r="Q896" t="str">
            <v/>
          </cell>
          <cell r="R896">
            <v>16.5</v>
          </cell>
        </row>
        <row r="897">
          <cell r="A897" t="str">
            <v/>
          </cell>
          <cell r="B897" t="str">
            <v/>
          </cell>
          <cell r="C897" t="str">
            <v>Future</v>
          </cell>
          <cell r="D897" t="e">
            <v>#N/A</v>
          </cell>
          <cell r="E897">
            <v>-4.3770270270270828</v>
          </cell>
          <cell r="F897">
            <v>18.460810810811029</v>
          </cell>
          <cell r="G897">
            <v>13.893243243243285</v>
          </cell>
          <cell r="H897">
            <v>13.893243243243285</v>
          </cell>
          <cell r="I897" t="e">
            <v>#N/A</v>
          </cell>
          <cell r="J897" t="e">
            <v>#N/A</v>
          </cell>
          <cell r="K897">
            <v>17.5</v>
          </cell>
          <cell r="L897">
            <v>14</v>
          </cell>
          <cell r="M897" t="e">
            <v>#N/A</v>
          </cell>
          <cell r="N897">
            <v>16.5</v>
          </cell>
          <cell r="O897" t="e">
            <v>#N/A</v>
          </cell>
          <cell r="P897" t="str">
            <v/>
          </cell>
          <cell r="Q897" t="str">
            <v/>
          </cell>
          <cell r="R897">
            <v>16.5</v>
          </cell>
        </row>
        <row r="898">
          <cell r="A898" t="str">
            <v/>
          </cell>
          <cell r="B898" t="str">
            <v/>
          </cell>
          <cell r="C898" t="str">
            <v>Future</v>
          </cell>
          <cell r="D898" t="e">
            <v>#N/A</v>
          </cell>
          <cell r="E898">
            <v>-4.4324324324324884</v>
          </cell>
          <cell r="F898">
            <v>18.472972972973192</v>
          </cell>
          <cell r="G898">
            <v>13.891891891891934</v>
          </cell>
          <cell r="H898">
            <v>13.891891891891934</v>
          </cell>
          <cell r="I898" t="e">
            <v>#N/A</v>
          </cell>
          <cell r="J898" t="e">
            <v>#N/A</v>
          </cell>
          <cell r="K898">
            <v>17.5</v>
          </cell>
          <cell r="L898">
            <v>14</v>
          </cell>
          <cell r="M898" t="e">
            <v>#N/A</v>
          </cell>
          <cell r="N898">
            <v>16.5</v>
          </cell>
          <cell r="O898" t="e">
            <v>#N/A</v>
          </cell>
          <cell r="P898" t="str">
            <v/>
          </cell>
          <cell r="Q898" t="str">
            <v/>
          </cell>
          <cell r="R898">
            <v>16.5</v>
          </cell>
        </row>
        <row r="899">
          <cell r="A899" t="str">
            <v/>
          </cell>
          <cell r="B899" t="str">
            <v/>
          </cell>
          <cell r="C899" t="str">
            <v>Future</v>
          </cell>
          <cell r="D899" t="e">
            <v>#N/A</v>
          </cell>
          <cell r="E899">
            <v>-4.487837837837894</v>
          </cell>
          <cell r="F899">
            <v>18.485135135135355</v>
          </cell>
          <cell r="G899">
            <v>13.890540540540583</v>
          </cell>
          <cell r="H899">
            <v>13.890540540540583</v>
          </cell>
          <cell r="I899" t="e">
            <v>#N/A</v>
          </cell>
          <cell r="J899" t="e">
            <v>#N/A</v>
          </cell>
          <cell r="K899">
            <v>17.5</v>
          </cell>
          <cell r="L899">
            <v>14</v>
          </cell>
          <cell r="M899" t="e">
            <v>#N/A</v>
          </cell>
          <cell r="N899">
            <v>16.5</v>
          </cell>
          <cell r="O899" t="e">
            <v>#N/A</v>
          </cell>
          <cell r="P899" t="str">
            <v/>
          </cell>
          <cell r="Q899" t="str">
            <v/>
          </cell>
          <cell r="R899">
            <v>16.5</v>
          </cell>
        </row>
        <row r="900">
          <cell r="A900" t="str">
            <v/>
          </cell>
          <cell r="B900" t="str">
            <v/>
          </cell>
          <cell r="C900" t="str">
            <v>Future</v>
          </cell>
          <cell r="D900" t="e">
            <v>#N/A</v>
          </cell>
          <cell r="E900">
            <v>-4.5432432432432996</v>
          </cell>
          <cell r="F900">
            <v>18.497297297297518</v>
          </cell>
          <cell r="G900">
            <v>13.889189189189231</v>
          </cell>
          <cell r="H900">
            <v>13.889189189189231</v>
          </cell>
          <cell r="I900" t="e">
            <v>#N/A</v>
          </cell>
          <cell r="J900" t="e">
            <v>#N/A</v>
          </cell>
          <cell r="K900">
            <v>17.5</v>
          </cell>
          <cell r="L900">
            <v>14</v>
          </cell>
          <cell r="M900" t="e">
            <v>#N/A</v>
          </cell>
          <cell r="N900">
            <v>16.5</v>
          </cell>
          <cell r="O900" t="e">
            <v>#N/A</v>
          </cell>
          <cell r="P900" t="str">
            <v/>
          </cell>
          <cell r="Q900" t="str">
            <v/>
          </cell>
          <cell r="R900">
            <v>16.5</v>
          </cell>
        </row>
        <row r="901">
          <cell r="A901" t="str">
            <v/>
          </cell>
          <cell r="B901" t="str">
            <v/>
          </cell>
          <cell r="C901" t="str">
            <v>Future</v>
          </cell>
          <cell r="D901" t="e">
            <v>#N/A</v>
          </cell>
          <cell r="E901">
            <v>-4.5986486486487053</v>
          </cell>
          <cell r="F901">
            <v>18.509459459459681</v>
          </cell>
          <cell r="G901">
            <v>13.88783783783788</v>
          </cell>
          <cell r="H901">
            <v>13.88783783783788</v>
          </cell>
          <cell r="I901" t="e">
            <v>#N/A</v>
          </cell>
          <cell r="J901" t="e">
            <v>#N/A</v>
          </cell>
          <cell r="K901">
            <v>17.5</v>
          </cell>
          <cell r="L901">
            <v>14</v>
          </cell>
          <cell r="M901" t="e">
            <v>#N/A</v>
          </cell>
          <cell r="N901">
            <v>16.5</v>
          </cell>
          <cell r="O901" t="e">
            <v>#N/A</v>
          </cell>
          <cell r="P901" t="str">
            <v/>
          </cell>
          <cell r="Q901" t="str">
            <v/>
          </cell>
          <cell r="R901">
            <v>16.5</v>
          </cell>
        </row>
        <row r="902">
          <cell r="A902" t="str">
            <v/>
          </cell>
          <cell r="B902" t="str">
            <v/>
          </cell>
          <cell r="C902" t="str">
            <v>Future</v>
          </cell>
          <cell r="D902" t="e">
            <v>#N/A</v>
          </cell>
          <cell r="E902">
            <v>-4.6540540540541109</v>
          </cell>
          <cell r="F902">
            <v>18.521621621621843</v>
          </cell>
          <cell r="G902">
            <v>13.886486486486529</v>
          </cell>
          <cell r="H902">
            <v>13.886486486486529</v>
          </cell>
          <cell r="I902" t="e">
            <v>#N/A</v>
          </cell>
          <cell r="J902" t="e">
            <v>#N/A</v>
          </cell>
          <cell r="K902">
            <v>17.5</v>
          </cell>
          <cell r="L902">
            <v>14</v>
          </cell>
          <cell r="M902" t="e">
            <v>#N/A</v>
          </cell>
          <cell r="N902">
            <v>16.5</v>
          </cell>
          <cell r="O902" t="e">
            <v>#N/A</v>
          </cell>
          <cell r="P902" t="str">
            <v/>
          </cell>
          <cell r="Q902" t="str">
            <v/>
          </cell>
          <cell r="R902">
            <v>16.5</v>
          </cell>
        </row>
        <row r="903">
          <cell r="A903" t="str">
            <v/>
          </cell>
          <cell r="B903" t="str">
            <v/>
          </cell>
          <cell r="C903" t="str">
            <v>Future</v>
          </cell>
          <cell r="D903" t="e">
            <v>#N/A</v>
          </cell>
          <cell r="E903">
            <v>-4.7094594594595165</v>
          </cell>
          <cell r="F903">
            <v>18.533783783784006</v>
          </cell>
          <cell r="G903">
            <v>13.885135135135178</v>
          </cell>
          <cell r="H903">
            <v>13.885135135135178</v>
          </cell>
          <cell r="I903" t="e">
            <v>#N/A</v>
          </cell>
          <cell r="J903" t="e">
            <v>#N/A</v>
          </cell>
          <cell r="K903">
            <v>17.5</v>
          </cell>
          <cell r="L903">
            <v>14</v>
          </cell>
          <cell r="M903" t="e">
            <v>#N/A</v>
          </cell>
          <cell r="N903">
            <v>16.5</v>
          </cell>
          <cell r="O903" t="e">
            <v>#N/A</v>
          </cell>
          <cell r="P903" t="str">
            <v/>
          </cell>
          <cell r="Q903" t="str">
            <v/>
          </cell>
          <cell r="R903">
            <v>16.5</v>
          </cell>
        </row>
        <row r="904">
          <cell r="A904" t="str">
            <v/>
          </cell>
          <cell r="B904" t="str">
            <v/>
          </cell>
          <cell r="C904" t="str">
            <v>Future</v>
          </cell>
          <cell r="D904" t="e">
            <v>#N/A</v>
          </cell>
          <cell r="E904">
            <v>-4.7648648648649221</v>
          </cell>
          <cell r="F904">
            <v>18.545945945946169</v>
          </cell>
          <cell r="G904">
            <v>13.883783783783826</v>
          </cell>
          <cell r="H904">
            <v>13.883783783783826</v>
          </cell>
          <cell r="I904" t="e">
            <v>#N/A</v>
          </cell>
          <cell r="J904" t="e">
            <v>#N/A</v>
          </cell>
          <cell r="K904">
            <v>17.5</v>
          </cell>
          <cell r="L904">
            <v>14</v>
          </cell>
          <cell r="M904" t="e">
            <v>#N/A</v>
          </cell>
          <cell r="N904">
            <v>16.5</v>
          </cell>
          <cell r="O904" t="e">
            <v>#N/A</v>
          </cell>
          <cell r="P904" t="str">
            <v/>
          </cell>
          <cell r="Q904" t="str">
            <v/>
          </cell>
          <cell r="R904">
            <v>16.5</v>
          </cell>
        </row>
        <row r="905">
          <cell r="A905" t="str">
            <v/>
          </cell>
          <cell r="B905" t="str">
            <v/>
          </cell>
          <cell r="C905" t="str">
            <v>Future</v>
          </cell>
          <cell r="D905" t="e">
            <v>#N/A</v>
          </cell>
          <cell r="E905">
            <v>-4.8202702702703277</v>
          </cell>
          <cell r="F905">
            <v>18.558108108108332</v>
          </cell>
          <cell r="G905">
            <v>13.882432432432475</v>
          </cell>
          <cell r="H905">
            <v>13.882432432432475</v>
          </cell>
          <cell r="I905" t="e">
            <v>#N/A</v>
          </cell>
          <cell r="J905" t="e">
            <v>#N/A</v>
          </cell>
          <cell r="K905">
            <v>17.5</v>
          </cell>
          <cell r="L905">
            <v>14</v>
          </cell>
          <cell r="M905" t="e">
            <v>#N/A</v>
          </cell>
          <cell r="N905">
            <v>16.5</v>
          </cell>
          <cell r="O905" t="e">
            <v>#N/A</v>
          </cell>
          <cell r="P905" t="str">
            <v/>
          </cell>
          <cell r="Q905" t="str">
            <v/>
          </cell>
          <cell r="R905">
            <v>16.5</v>
          </cell>
        </row>
        <row r="906">
          <cell r="A906" t="str">
            <v/>
          </cell>
          <cell r="B906" t="str">
            <v/>
          </cell>
          <cell r="C906" t="str">
            <v>Future</v>
          </cell>
          <cell r="D906" t="e">
            <v>#N/A</v>
          </cell>
          <cell r="E906">
            <v>-4.8756756756757333</v>
          </cell>
          <cell r="F906">
            <v>18.570270270270495</v>
          </cell>
          <cell r="G906">
            <v>13.881081081081124</v>
          </cell>
          <cell r="H906">
            <v>13.881081081081124</v>
          </cell>
          <cell r="I906" t="e">
            <v>#N/A</v>
          </cell>
          <cell r="J906" t="e">
            <v>#N/A</v>
          </cell>
          <cell r="K906">
            <v>17.5</v>
          </cell>
          <cell r="L906">
            <v>14</v>
          </cell>
          <cell r="M906" t="e">
            <v>#N/A</v>
          </cell>
          <cell r="N906">
            <v>16.5</v>
          </cell>
          <cell r="O906" t="e">
            <v>#N/A</v>
          </cell>
          <cell r="P906" t="str">
            <v/>
          </cell>
          <cell r="Q906" t="str">
            <v/>
          </cell>
          <cell r="R906">
            <v>16.5</v>
          </cell>
        </row>
        <row r="907">
          <cell r="A907" t="str">
            <v/>
          </cell>
          <cell r="B907" t="str">
            <v/>
          </cell>
          <cell r="C907" t="str">
            <v>Future</v>
          </cell>
          <cell r="D907" t="e">
            <v>#N/A</v>
          </cell>
          <cell r="E907">
            <v>-4.931081081081139</v>
          </cell>
          <cell r="F907">
            <v>18.582432432432658</v>
          </cell>
          <cell r="G907">
            <v>13.879729729729773</v>
          </cell>
          <cell r="H907">
            <v>13.879729729729773</v>
          </cell>
          <cell r="I907" t="e">
            <v>#N/A</v>
          </cell>
          <cell r="J907" t="e">
            <v>#N/A</v>
          </cell>
          <cell r="K907">
            <v>17.5</v>
          </cell>
          <cell r="L907">
            <v>14</v>
          </cell>
          <cell r="M907" t="e">
            <v>#N/A</v>
          </cell>
          <cell r="N907">
            <v>16.5</v>
          </cell>
          <cell r="O907" t="e">
            <v>#N/A</v>
          </cell>
          <cell r="P907" t="str">
            <v/>
          </cell>
          <cell r="Q907" t="str">
            <v/>
          </cell>
          <cell r="R907">
            <v>16.5</v>
          </cell>
        </row>
        <row r="908">
          <cell r="A908" t="str">
            <v/>
          </cell>
          <cell r="B908" t="str">
            <v/>
          </cell>
          <cell r="C908" t="str">
            <v>Future</v>
          </cell>
          <cell r="D908" t="e">
            <v>#N/A</v>
          </cell>
          <cell r="E908">
            <v>-4.9864864864865446</v>
          </cell>
          <cell r="F908">
            <v>18.59459459459482</v>
          </cell>
          <cell r="G908">
            <v>13.878378378378422</v>
          </cell>
          <cell r="H908">
            <v>13.878378378378422</v>
          </cell>
          <cell r="I908" t="e">
            <v>#N/A</v>
          </cell>
          <cell r="J908" t="e">
            <v>#N/A</v>
          </cell>
          <cell r="K908">
            <v>17.5</v>
          </cell>
          <cell r="L908">
            <v>14</v>
          </cell>
          <cell r="M908" t="e">
            <v>#N/A</v>
          </cell>
          <cell r="N908">
            <v>16.5</v>
          </cell>
          <cell r="O908" t="e">
            <v>#N/A</v>
          </cell>
          <cell r="P908" t="str">
            <v/>
          </cell>
          <cell r="Q908" t="str">
            <v/>
          </cell>
          <cell r="R908">
            <v>16.5</v>
          </cell>
        </row>
        <row r="909">
          <cell r="A909" t="str">
            <v/>
          </cell>
          <cell r="B909" t="str">
            <v/>
          </cell>
          <cell r="C909" t="str">
            <v>Future</v>
          </cell>
          <cell r="D909" t="e">
            <v>#N/A</v>
          </cell>
          <cell r="E909">
            <v>-5.0418918918919502</v>
          </cell>
          <cell r="F909">
            <v>18.606756756756983</v>
          </cell>
          <cell r="G909">
            <v>13.87702702702707</v>
          </cell>
          <cell r="H909">
            <v>13.87702702702707</v>
          </cell>
          <cell r="I909" t="e">
            <v>#N/A</v>
          </cell>
          <cell r="J909" t="e">
            <v>#N/A</v>
          </cell>
          <cell r="K909">
            <v>17.5</v>
          </cell>
          <cell r="L909">
            <v>14</v>
          </cell>
          <cell r="M909" t="e">
            <v>#N/A</v>
          </cell>
          <cell r="N909">
            <v>16.5</v>
          </cell>
          <cell r="O909" t="e">
            <v>#N/A</v>
          </cell>
          <cell r="P909" t="str">
            <v/>
          </cell>
          <cell r="Q909" t="str">
            <v/>
          </cell>
          <cell r="R909">
            <v>16.5</v>
          </cell>
        </row>
        <row r="910">
          <cell r="A910" t="str">
            <v/>
          </cell>
          <cell r="B910" t="str">
            <v/>
          </cell>
          <cell r="C910" t="str">
            <v>Future</v>
          </cell>
          <cell r="D910" t="e">
            <v>#N/A</v>
          </cell>
          <cell r="E910">
            <v>-5.0972972972973558</v>
          </cell>
          <cell r="F910">
            <v>18.618918918919146</v>
          </cell>
          <cell r="G910">
            <v>13.875675675675719</v>
          </cell>
          <cell r="H910">
            <v>13.875675675675719</v>
          </cell>
          <cell r="I910" t="e">
            <v>#N/A</v>
          </cell>
          <cell r="J910" t="e">
            <v>#N/A</v>
          </cell>
          <cell r="K910">
            <v>17.5</v>
          </cell>
          <cell r="L910">
            <v>14</v>
          </cell>
          <cell r="M910" t="e">
            <v>#N/A</v>
          </cell>
          <cell r="N910">
            <v>16.5</v>
          </cell>
          <cell r="O910" t="e">
            <v>#N/A</v>
          </cell>
          <cell r="P910" t="str">
            <v/>
          </cell>
          <cell r="Q910" t="str">
            <v/>
          </cell>
          <cell r="R910">
            <v>16.5</v>
          </cell>
        </row>
        <row r="911">
          <cell r="A911" t="str">
            <v/>
          </cell>
          <cell r="B911" t="str">
            <v/>
          </cell>
          <cell r="C911" t="str">
            <v>Future</v>
          </cell>
          <cell r="D911" t="e">
            <v>#N/A</v>
          </cell>
          <cell r="E911">
            <v>-5.1527027027027614</v>
          </cell>
          <cell r="F911">
            <v>18.631081081081309</v>
          </cell>
          <cell r="G911">
            <v>13.874324324324368</v>
          </cell>
          <cell r="H911">
            <v>13.874324324324368</v>
          </cell>
          <cell r="I911" t="e">
            <v>#N/A</v>
          </cell>
          <cell r="J911" t="e">
            <v>#N/A</v>
          </cell>
          <cell r="K911">
            <v>17.5</v>
          </cell>
          <cell r="L911">
            <v>14</v>
          </cell>
          <cell r="M911" t="e">
            <v>#N/A</v>
          </cell>
          <cell r="N911">
            <v>16.5</v>
          </cell>
          <cell r="O911" t="e">
            <v>#N/A</v>
          </cell>
          <cell r="P911" t="str">
            <v/>
          </cell>
          <cell r="Q911" t="str">
            <v/>
          </cell>
          <cell r="R911">
            <v>16.5</v>
          </cell>
        </row>
        <row r="912">
          <cell r="A912" t="str">
            <v/>
          </cell>
          <cell r="B912" t="str">
            <v/>
          </cell>
          <cell r="C912" t="str">
            <v>Future</v>
          </cell>
          <cell r="D912" t="e">
            <v>#N/A</v>
          </cell>
          <cell r="E912">
            <v>-5.208108108108167</v>
          </cell>
          <cell r="F912">
            <v>18.643243243243472</v>
          </cell>
          <cell r="G912">
            <v>13.872972972973017</v>
          </cell>
          <cell r="H912">
            <v>13.872972972973017</v>
          </cell>
          <cell r="I912" t="e">
            <v>#N/A</v>
          </cell>
          <cell r="J912" t="e">
            <v>#N/A</v>
          </cell>
          <cell r="K912">
            <v>17.5</v>
          </cell>
          <cell r="L912">
            <v>14</v>
          </cell>
          <cell r="M912" t="e">
            <v>#N/A</v>
          </cell>
          <cell r="N912">
            <v>16.5</v>
          </cell>
          <cell r="O912" t="e">
            <v>#N/A</v>
          </cell>
          <cell r="P912" t="str">
            <v/>
          </cell>
          <cell r="Q912" t="str">
            <v/>
          </cell>
          <cell r="R912">
            <v>16.5</v>
          </cell>
        </row>
        <row r="913">
          <cell r="A913" t="str">
            <v/>
          </cell>
          <cell r="B913" t="str">
            <v/>
          </cell>
          <cell r="C913" t="str">
            <v>Future</v>
          </cell>
          <cell r="D913" t="e">
            <v>#N/A</v>
          </cell>
          <cell r="E913">
            <v>-5.2635135135135727</v>
          </cell>
          <cell r="F913">
            <v>18.655405405405634</v>
          </cell>
          <cell r="G913">
            <v>13.871621621621665</v>
          </cell>
          <cell r="H913">
            <v>13.871621621621665</v>
          </cell>
          <cell r="I913" t="e">
            <v>#N/A</v>
          </cell>
          <cell r="J913" t="e">
            <v>#N/A</v>
          </cell>
          <cell r="K913">
            <v>17.5</v>
          </cell>
          <cell r="L913">
            <v>14</v>
          </cell>
          <cell r="M913" t="e">
            <v>#N/A</v>
          </cell>
          <cell r="N913">
            <v>16.5</v>
          </cell>
          <cell r="O913" t="e">
            <v>#N/A</v>
          </cell>
          <cell r="P913" t="str">
            <v/>
          </cell>
          <cell r="Q913" t="str">
            <v/>
          </cell>
          <cell r="R913">
            <v>16.5</v>
          </cell>
        </row>
        <row r="914">
          <cell r="A914" t="str">
            <v/>
          </cell>
          <cell r="B914" t="str">
            <v/>
          </cell>
          <cell r="C914" t="str">
            <v>Future</v>
          </cell>
          <cell r="D914" t="e">
            <v>#N/A</v>
          </cell>
          <cell r="E914">
            <v>-5.3189189189189783</v>
          </cell>
          <cell r="F914">
            <v>18.667567567567797</v>
          </cell>
          <cell r="G914">
            <v>13.870270270270314</v>
          </cell>
          <cell r="H914">
            <v>13.870270270270314</v>
          </cell>
          <cell r="I914" t="e">
            <v>#N/A</v>
          </cell>
          <cell r="J914" t="e">
            <v>#N/A</v>
          </cell>
          <cell r="K914">
            <v>17.5</v>
          </cell>
          <cell r="L914">
            <v>14</v>
          </cell>
          <cell r="M914" t="e">
            <v>#N/A</v>
          </cell>
          <cell r="N914">
            <v>16.5</v>
          </cell>
          <cell r="O914" t="e">
            <v>#N/A</v>
          </cell>
          <cell r="P914" t="str">
            <v/>
          </cell>
          <cell r="Q914" t="str">
            <v/>
          </cell>
          <cell r="R914">
            <v>16.5</v>
          </cell>
        </row>
        <row r="915">
          <cell r="A915" t="str">
            <v/>
          </cell>
          <cell r="B915" t="str">
            <v/>
          </cell>
          <cell r="C915" t="str">
            <v>Future</v>
          </cell>
          <cell r="D915" t="e">
            <v>#N/A</v>
          </cell>
          <cell r="E915">
            <v>-5.3743243243243839</v>
          </cell>
          <cell r="F915">
            <v>18.67972972972996</v>
          </cell>
          <cell r="G915">
            <v>13.868918918918963</v>
          </cell>
          <cell r="H915">
            <v>13.868918918918963</v>
          </cell>
          <cell r="I915" t="e">
            <v>#N/A</v>
          </cell>
          <cell r="J915" t="e">
            <v>#N/A</v>
          </cell>
          <cell r="K915">
            <v>17.5</v>
          </cell>
          <cell r="L915">
            <v>14</v>
          </cell>
          <cell r="M915" t="e">
            <v>#N/A</v>
          </cell>
          <cell r="N915">
            <v>16.5</v>
          </cell>
          <cell r="O915" t="e">
            <v>#N/A</v>
          </cell>
          <cell r="P915" t="str">
            <v/>
          </cell>
          <cell r="Q915" t="str">
            <v/>
          </cell>
          <cell r="R915">
            <v>16.5</v>
          </cell>
        </row>
        <row r="916">
          <cell r="A916" t="str">
            <v/>
          </cell>
          <cell r="B916" t="str">
            <v/>
          </cell>
          <cell r="C916" t="str">
            <v>Future</v>
          </cell>
          <cell r="D916" t="e">
            <v>#N/A</v>
          </cell>
          <cell r="E916">
            <v>-5.4297297297297895</v>
          </cell>
          <cell r="F916">
            <v>18.691891891892123</v>
          </cell>
          <cell r="G916">
            <v>13.867567567567612</v>
          </cell>
          <cell r="H916">
            <v>13.867567567567612</v>
          </cell>
          <cell r="I916" t="e">
            <v>#N/A</v>
          </cell>
          <cell r="J916" t="e">
            <v>#N/A</v>
          </cell>
          <cell r="K916">
            <v>17.5</v>
          </cell>
          <cell r="L916">
            <v>14</v>
          </cell>
          <cell r="M916" t="e">
            <v>#N/A</v>
          </cell>
          <cell r="N916">
            <v>16.5</v>
          </cell>
          <cell r="O916" t="e">
            <v>#N/A</v>
          </cell>
          <cell r="P916" t="str">
            <v/>
          </cell>
          <cell r="Q916" t="str">
            <v/>
          </cell>
          <cell r="R916">
            <v>16.5</v>
          </cell>
        </row>
        <row r="917">
          <cell r="A917" t="str">
            <v/>
          </cell>
          <cell r="B917" t="str">
            <v/>
          </cell>
          <cell r="C917" t="str">
            <v>Future</v>
          </cell>
          <cell r="D917" t="e">
            <v>#N/A</v>
          </cell>
          <cell r="E917">
            <v>-5.4851351351351951</v>
          </cell>
          <cell r="F917">
            <v>18.704054054054286</v>
          </cell>
          <cell r="G917">
            <v>13.866216216216261</v>
          </cell>
          <cell r="H917">
            <v>13.866216216216261</v>
          </cell>
          <cell r="I917" t="e">
            <v>#N/A</v>
          </cell>
          <cell r="J917" t="e">
            <v>#N/A</v>
          </cell>
          <cell r="K917">
            <v>17.5</v>
          </cell>
          <cell r="L917">
            <v>14</v>
          </cell>
          <cell r="M917" t="e">
            <v>#N/A</v>
          </cell>
          <cell r="N917">
            <v>16.5</v>
          </cell>
          <cell r="O917" t="e">
            <v>#N/A</v>
          </cell>
          <cell r="P917" t="str">
            <v/>
          </cell>
          <cell r="Q917" t="str">
            <v/>
          </cell>
          <cell r="R917">
            <v>16.5</v>
          </cell>
        </row>
        <row r="918">
          <cell r="A918" t="str">
            <v/>
          </cell>
          <cell r="B918" t="str">
            <v/>
          </cell>
          <cell r="C918" t="str">
            <v>Future</v>
          </cell>
          <cell r="D918" t="e">
            <v>#N/A</v>
          </cell>
          <cell r="E918">
            <v>-5.5405405405406007</v>
          </cell>
          <cell r="F918">
            <v>18.716216216216448</v>
          </cell>
          <cell r="G918">
            <v>13.864864864864909</v>
          </cell>
          <cell r="H918">
            <v>13.864864864864909</v>
          </cell>
          <cell r="I918" t="e">
            <v>#N/A</v>
          </cell>
          <cell r="J918" t="e">
            <v>#N/A</v>
          </cell>
          <cell r="K918">
            <v>17.5</v>
          </cell>
          <cell r="L918">
            <v>14</v>
          </cell>
          <cell r="M918" t="e">
            <v>#N/A</v>
          </cell>
          <cell r="N918">
            <v>16.5</v>
          </cell>
          <cell r="O918" t="e">
            <v>#N/A</v>
          </cell>
          <cell r="P918" t="str">
            <v/>
          </cell>
          <cell r="Q918" t="str">
            <v/>
          </cell>
          <cell r="R918">
            <v>16.5</v>
          </cell>
        </row>
        <row r="919">
          <cell r="A919" t="str">
            <v/>
          </cell>
          <cell r="B919" t="str">
            <v/>
          </cell>
          <cell r="C919" t="str">
            <v>Future</v>
          </cell>
          <cell r="D919" t="e">
            <v>#N/A</v>
          </cell>
          <cell r="E919">
            <v>-5.5959459459460064</v>
          </cell>
          <cell r="F919">
            <v>18.728378378378611</v>
          </cell>
          <cell r="G919">
            <v>13.863513513513558</v>
          </cell>
          <cell r="H919">
            <v>13.863513513513558</v>
          </cell>
          <cell r="I919" t="e">
            <v>#N/A</v>
          </cell>
          <cell r="J919" t="e">
            <v>#N/A</v>
          </cell>
          <cell r="K919">
            <v>17.5</v>
          </cell>
          <cell r="L919">
            <v>14</v>
          </cell>
          <cell r="M919" t="e">
            <v>#N/A</v>
          </cell>
          <cell r="N919">
            <v>16.5</v>
          </cell>
          <cell r="O919" t="e">
            <v>#N/A</v>
          </cell>
          <cell r="P919" t="str">
            <v/>
          </cell>
          <cell r="Q919" t="str">
            <v/>
          </cell>
          <cell r="R919">
            <v>16.5</v>
          </cell>
        </row>
        <row r="920">
          <cell r="A920" t="str">
            <v/>
          </cell>
          <cell r="B920" t="str">
            <v/>
          </cell>
          <cell r="C920" t="str">
            <v>Future</v>
          </cell>
          <cell r="D920" t="e">
            <v>#N/A</v>
          </cell>
          <cell r="E920">
            <v>-5.651351351351412</v>
          </cell>
          <cell r="F920">
            <v>18.740540540540774</v>
          </cell>
          <cell r="G920">
            <v>13.862162162162207</v>
          </cell>
          <cell r="H920">
            <v>13.862162162162207</v>
          </cell>
          <cell r="I920" t="e">
            <v>#N/A</v>
          </cell>
          <cell r="J920" t="e">
            <v>#N/A</v>
          </cell>
          <cell r="K920">
            <v>17.5</v>
          </cell>
          <cell r="L920">
            <v>14</v>
          </cell>
          <cell r="M920" t="e">
            <v>#N/A</v>
          </cell>
          <cell r="N920">
            <v>16.5</v>
          </cell>
          <cell r="O920" t="e">
            <v>#N/A</v>
          </cell>
          <cell r="P920" t="str">
            <v/>
          </cell>
          <cell r="Q920" t="str">
            <v/>
          </cell>
          <cell r="R920">
            <v>16.5</v>
          </cell>
        </row>
        <row r="921">
          <cell r="A921" t="str">
            <v/>
          </cell>
          <cell r="B921" t="str">
            <v/>
          </cell>
          <cell r="C921" t="str">
            <v>Future</v>
          </cell>
          <cell r="D921" t="e">
            <v>#N/A</v>
          </cell>
          <cell r="E921">
            <v>-5.7067567567568176</v>
          </cell>
          <cell r="F921">
            <v>18.752702702702937</v>
          </cell>
          <cell r="G921">
            <v>13.860810810810856</v>
          </cell>
          <cell r="H921">
            <v>13.860810810810856</v>
          </cell>
          <cell r="I921" t="e">
            <v>#N/A</v>
          </cell>
          <cell r="J921" t="e">
            <v>#N/A</v>
          </cell>
          <cell r="K921">
            <v>17.5</v>
          </cell>
          <cell r="L921">
            <v>14</v>
          </cell>
          <cell r="M921" t="e">
            <v>#N/A</v>
          </cell>
          <cell r="N921">
            <v>16.5</v>
          </cell>
          <cell r="O921" t="e">
            <v>#N/A</v>
          </cell>
          <cell r="P921" t="str">
            <v/>
          </cell>
          <cell r="Q921" t="str">
            <v/>
          </cell>
          <cell r="R921">
            <v>16.5</v>
          </cell>
        </row>
        <row r="922">
          <cell r="A922" t="str">
            <v/>
          </cell>
          <cell r="B922" t="str">
            <v/>
          </cell>
          <cell r="C922" t="str">
            <v>Future</v>
          </cell>
          <cell r="D922" t="e">
            <v>#N/A</v>
          </cell>
          <cell r="E922">
            <v>-5.7621621621622232</v>
          </cell>
          <cell r="F922">
            <v>18.7648648648651</v>
          </cell>
          <cell r="G922">
            <v>13.859459459459504</v>
          </cell>
          <cell r="H922">
            <v>13.859459459459504</v>
          </cell>
          <cell r="I922" t="e">
            <v>#N/A</v>
          </cell>
          <cell r="J922" t="e">
            <v>#N/A</v>
          </cell>
          <cell r="K922">
            <v>17.5</v>
          </cell>
          <cell r="L922">
            <v>14</v>
          </cell>
          <cell r="M922" t="e">
            <v>#N/A</v>
          </cell>
          <cell r="N922">
            <v>16.5</v>
          </cell>
          <cell r="O922" t="e">
            <v>#N/A</v>
          </cell>
          <cell r="P922" t="str">
            <v/>
          </cell>
          <cell r="Q922" t="str">
            <v/>
          </cell>
          <cell r="R922">
            <v>16.5</v>
          </cell>
        </row>
        <row r="923">
          <cell r="A923" t="str">
            <v/>
          </cell>
          <cell r="B923" t="str">
            <v/>
          </cell>
          <cell r="C923" t="str">
            <v>Future</v>
          </cell>
          <cell r="D923" t="e">
            <v>#N/A</v>
          </cell>
          <cell r="E923">
            <v>-5.8175675675676288</v>
          </cell>
          <cell r="F923">
            <v>18.777027027027263</v>
          </cell>
          <cell r="G923">
            <v>13.858108108108153</v>
          </cell>
          <cell r="H923">
            <v>13.858108108108153</v>
          </cell>
          <cell r="I923" t="e">
            <v>#N/A</v>
          </cell>
          <cell r="J923" t="e">
            <v>#N/A</v>
          </cell>
          <cell r="K923">
            <v>17.5</v>
          </cell>
          <cell r="L923">
            <v>14</v>
          </cell>
          <cell r="M923" t="e">
            <v>#N/A</v>
          </cell>
          <cell r="N923">
            <v>16.5</v>
          </cell>
          <cell r="O923" t="e">
            <v>#N/A</v>
          </cell>
          <cell r="P923" t="str">
            <v/>
          </cell>
          <cell r="Q923" t="str">
            <v/>
          </cell>
          <cell r="R923">
            <v>16.5</v>
          </cell>
        </row>
        <row r="924">
          <cell r="A924" t="str">
            <v/>
          </cell>
          <cell r="B924" t="str">
            <v/>
          </cell>
          <cell r="C924" t="str">
            <v>Future</v>
          </cell>
          <cell r="D924" t="e">
            <v>#N/A</v>
          </cell>
          <cell r="E924">
            <v>-5.8729729729730344</v>
          </cell>
          <cell r="F924">
            <v>18.789189189189425</v>
          </cell>
          <cell r="G924">
            <v>13.856756756756802</v>
          </cell>
          <cell r="H924">
            <v>13.856756756756802</v>
          </cell>
          <cell r="I924" t="e">
            <v>#N/A</v>
          </cell>
          <cell r="J924" t="e">
            <v>#N/A</v>
          </cell>
          <cell r="K924">
            <v>17.5</v>
          </cell>
          <cell r="L924">
            <v>14</v>
          </cell>
          <cell r="M924" t="e">
            <v>#N/A</v>
          </cell>
          <cell r="N924">
            <v>16.5</v>
          </cell>
          <cell r="O924" t="e">
            <v>#N/A</v>
          </cell>
          <cell r="P924" t="str">
            <v/>
          </cell>
          <cell r="Q924" t="str">
            <v/>
          </cell>
          <cell r="R924">
            <v>16.5</v>
          </cell>
        </row>
        <row r="925">
          <cell r="A925" t="str">
            <v/>
          </cell>
          <cell r="B925" t="str">
            <v/>
          </cell>
          <cell r="C925" t="str">
            <v>Future</v>
          </cell>
          <cell r="D925" t="e">
            <v>#N/A</v>
          </cell>
          <cell r="E925">
            <v>-5.9283783783784401</v>
          </cell>
          <cell r="F925">
            <v>18.801351351351588</v>
          </cell>
          <cell r="G925">
            <v>13.855405405405451</v>
          </cell>
          <cell r="H925">
            <v>13.855405405405451</v>
          </cell>
          <cell r="I925" t="e">
            <v>#N/A</v>
          </cell>
          <cell r="J925" t="e">
            <v>#N/A</v>
          </cell>
          <cell r="K925">
            <v>17.5</v>
          </cell>
          <cell r="L925">
            <v>14</v>
          </cell>
          <cell r="M925" t="e">
            <v>#N/A</v>
          </cell>
          <cell r="N925">
            <v>16.5</v>
          </cell>
          <cell r="O925" t="e">
            <v>#N/A</v>
          </cell>
          <cell r="P925" t="str">
            <v/>
          </cell>
          <cell r="Q925" t="str">
            <v/>
          </cell>
          <cell r="R925">
            <v>16.5</v>
          </cell>
        </row>
        <row r="926">
          <cell r="A926" t="str">
            <v/>
          </cell>
          <cell r="B926" t="str">
            <v/>
          </cell>
          <cell r="C926" t="str">
            <v>Future</v>
          </cell>
          <cell r="D926" t="e">
            <v>#N/A</v>
          </cell>
          <cell r="E926">
            <v>-5.9837837837838457</v>
          </cell>
          <cell r="F926">
            <v>18.813513513513751</v>
          </cell>
          <cell r="G926">
            <v>13.8540540540541</v>
          </cell>
          <cell r="H926">
            <v>13.8540540540541</v>
          </cell>
          <cell r="I926" t="e">
            <v>#N/A</v>
          </cell>
          <cell r="J926" t="e">
            <v>#N/A</v>
          </cell>
          <cell r="K926">
            <v>17.5</v>
          </cell>
          <cell r="L926">
            <v>14</v>
          </cell>
          <cell r="M926" t="e">
            <v>#N/A</v>
          </cell>
          <cell r="N926">
            <v>16.5</v>
          </cell>
          <cell r="O926" t="e">
            <v>#N/A</v>
          </cell>
          <cell r="P926" t="str">
            <v/>
          </cell>
          <cell r="Q926" t="str">
            <v/>
          </cell>
          <cell r="R926">
            <v>16.5</v>
          </cell>
        </row>
        <row r="927">
          <cell r="A927" t="str">
            <v/>
          </cell>
          <cell r="B927" t="str">
            <v/>
          </cell>
          <cell r="C927" t="str">
            <v>Future</v>
          </cell>
          <cell r="D927" t="e">
            <v>#N/A</v>
          </cell>
          <cell r="E927">
            <v>-6.0391891891892513</v>
          </cell>
          <cell r="F927">
            <v>18.825675675675914</v>
          </cell>
          <cell r="G927">
            <v>13.852702702702748</v>
          </cell>
          <cell r="H927">
            <v>13.852702702702748</v>
          </cell>
          <cell r="I927" t="e">
            <v>#N/A</v>
          </cell>
          <cell r="J927" t="e">
            <v>#N/A</v>
          </cell>
          <cell r="K927">
            <v>17.5</v>
          </cell>
          <cell r="L927">
            <v>14</v>
          </cell>
          <cell r="M927" t="e">
            <v>#N/A</v>
          </cell>
          <cell r="N927">
            <v>16.5</v>
          </cell>
          <cell r="O927" t="e">
            <v>#N/A</v>
          </cell>
          <cell r="P927" t="str">
            <v/>
          </cell>
          <cell r="Q927" t="str">
            <v/>
          </cell>
          <cell r="R927">
            <v>16.5</v>
          </cell>
        </row>
        <row r="928">
          <cell r="A928" t="str">
            <v/>
          </cell>
          <cell r="B928" t="str">
            <v/>
          </cell>
          <cell r="C928" t="str">
            <v>Future</v>
          </cell>
          <cell r="D928" t="e">
            <v>#N/A</v>
          </cell>
          <cell r="E928">
            <v>-6.0945945945946569</v>
          </cell>
          <cell r="F928">
            <v>18.837837837838077</v>
          </cell>
          <cell r="G928">
            <v>13.851351351351397</v>
          </cell>
          <cell r="H928">
            <v>13.851351351351397</v>
          </cell>
          <cell r="I928" t="e">
            <v>#N/A</v>
          </cell>
          <cell r="J928" t="e">
            <v>#N/A</v>
          </cell>
          <cell r="K928">
            <v>17.5</v>
          </cell>
          <cell r="L928">
            <v>14</v>
          </cell>
          <cell r="M928" t="e">
            <v>#N/A</v>
          </cell>
          <cell r="N928">
            <v>16.5</v>
          </cell>
          <cell r="O928" t="e">
            <v>#N/A</v>
          </cell>
          <cell r="P928" t="str">
            <v/>
          </cell>
          <cell r="Q928" t="str">
            <v/>
          </cell>
          <cell r="R928">
            <v>16.5</v>
          </cell>
        </row>
        <row r="929">
          <cell r="A929" t="str">
            <v/>
          </cell>
          <cell r="B929" t="str">
            <v/>
          </cell>
          <cell r="C929" t="str">
            <v>Future</v>
          </cell>
          <cell r="D929" t="e">
            <v>#N/A</v>
          </cell>
          <cell r="E929">
            <v>-6.1500000000000625</v>
          </cell>
          <cell r="F929">
            <v>18.850000000000239</v>
          </cell>
          <cell r="G929">
            <v>13.850000000000046</v>
          </cell>
          <cell r="H929">
            <v>13.850000000000046</v>
          </cell>
          <cell r="I929" t="e">
            <v>#N/A</v>
          </cell>
          <cell r="J929" t="e">
            <v>#N/A</v>
          </cell>
          <cell r="K929">
            <v>17.5</v>
          </cell>
          <cell r="L929">
            <v>14</v>
          </cell>
          <cell r="M929" t="e">
            <v>#N/A</v>
          </cell>
          <cell r="N929">
            <v>16.5</v>
          </cell>
          <cell r="O929" t="e">
            <v>#N/A</v>
          </cell>
          <cell r="P929" t="str">
            <v/>
          </cell>
          <cell r="Q929" t="str">
            <v/>
          </cell>
          <cell r="R929">
            <v>16.5</v>
          </cell>
        </row>
        <row r="930">
          <cell r="A930" t="str">
            <v/>
          </cell>
          <cell r="B930" t="str">
            <v/>
          </cell>
          <cell r="C930" t="str">
            <v>Future</v>
          </cell>
          <cell r="D930" t="e">
            <v>#N/A</v>
          </cell>
          <cell r="E930">
            <v>-6.2054054054054681</v>
          </cell>
          <cell r="F930">
            <v>18.862162162162402</v>
          </cell>
          <cell r="G930">
            <v>13.848648648648695</v>
          </cell>
          <cell r="H930">
            <v>13.848648648648695</v>
          </cell>
          <cell r="I930" t="e">
            <v>#N/A</v>
          </cell>
          <cell r="J930" t="e">
            <v>#N/A</v>
          </cell>
          <cell r="K930">
            <v>17.5</v>
          </cell>
          <cell r="L930">
            <v>14</v>
          </cell>
          <cell r="M930" t="e">
            <v>#N/A</v>
          </cell>
          <cell r="N930">
            <v>16.5</v>
          </cell>
          <cell r="O930" t="e">
            <v>#N/A</v>
          </cell>
          <cell r="P930" t="str">
            <v/>
          </cell>
          <cell r="Q930" t="str">
            <v/>
          </cell>
          <cell r="R930">
            <v>16.5</v>
          </cell>
        </row>
        <row r="931">
          <cell r="A931" t="str">
            <v/>
          </cell>
          <cell r="B931" t="str">
            <v/>
          </cell>
          <cell r="C931" t="str">
            <v>Future</v>
          </cell>
          <cell r="D931" t="e">
            <v>#N/A</v>
          </cell>
          <cell r="E931">
            <v>-6.2608108108108738</v>
          </cell>
          <cell r="F931">
            <v>18.874324324324565</v>
          </cell>
          <cell r="G931">
            <v>13.847297297297343</v>
          </cell>
          <cell r="H931">
            <v>13.847297297297343</v>
          </cell>
          <cell r="I931" t="e">
            <v>#N/A</v>
          </cell>
          <cell r="J931" t="e">
            <v>#N/A</v>
          </cell>
          <cell r="K931">
            <v>17.5</v>
          </cell>
          <cell r="L931">
            <v>14</v>
          </cell>
          <cell r="M931" t="e">
            <v>#N/A</v>
          </cell>
          <cell r="N931">
            <v>16.5</v>
          </cell>
          <cell r="O931" t="e">
            <v>#N/A</v>
          </cell>
          <cell r="P931" t="str">
            <v/>
          </cell>
          <cell r="Q931" t="str">
            <v/>
          </cell>
          <cell r="R931">
            <v>16.5</v>
          </cell>
        </row>
        <row r="932">
          <cell r="A932" t="str">
            <v/>
          </cell>
          <cell r="B932" t="str">
            <v/>
          </cell>
          <cell r="C932" t="str">
            <v>Future</v>
          </cell>
          <cell r="D932" t="e">
            <v>#N/A</v>
          </cell>
          <cell r="E932">
            <v>-6.3162162162162794</v>
          </cell>
          <cell r="F932">
            <v>18.886486486486728</v>
          </cell>
          <cell r="G932">
            <v>13.845945945945992</v>
          </cell>
          <cell r="H932">
            <v>13.845945945945992</v>
          </cell>
          <cell r="I932" t="e">
            <v>#N/A</v>
          </cell>
          <cell r="J932" t="e">
            <v>#N/A</v>
          </cell>
          <cell r="K932">
            <v>17.5</v>
          </cell>
          <cell r="L932">
            <v>14</v>
          </cell>
          <cell r="M932" t="e">
            <v>#N/A</v>
          </cell>
          <cell r="N932">
            <v>16.5</v>
          </cell>
          <cell r="O932" t="e">
            <v>#N/A</v>
          </cell>
          <cell r="P932" t="str">
            <v/>
          </cell>
          <cell r="Q932" t="str">
            <v/>
          </cell>
          <cell r="R932">
            <v>16.5</v>
          </cell>
        </row>
        <row r="933">
          <cell r="A933" t="str">
            <v/>
          </cell>
          <cell r="B933" t="str">
            <v/>
          </cell>
          <cell r="C933" t="str">
            <v>Future</v>
          </cell>
          <cell r="D933" t="e">
            <v>#N/A</v>
          </cell>
          <cell r="E933">
            <v>-6.371621621621685</v>
          </cell>
          <cell r="F933">
            <v>18.898648648648891</v>
          </cell>
          <cell r="G933">
            <v>13.844594594594641</v>
          </cell>
          <cell r="H933">
            <v>13.844594594594641</v>
          </cell>
          <cell r="I933" t="e">
            <v>#N/A</v>
          </cell>
          <cell r="J933" t="e">
            <v>#N/A</v>
          </cell>
          <cell r="K933">
            <v>17.5</v>
          </cell>
          <cell r="L933">
            <v>14</v>
          </cell>
          <cell r="M933" t="e">
            <v>#N/A</v>
          </cell>
          <cell r="N933">
            <v>16.5</v>
          </cell>
          <cell r="O933" t="e">
            <v>#N/A</v>
          </cell>
          <cell r="P933" t="str">
            <v/>
          </cell>
          <cell r="Q933" t="str">
            <v/>
          </cell>
          <cell r="R933">
            <v>16.5</v>
          </cell>
        </row>
        <row r="934">
          <cell r="A934" t="str">
            <v/>
          </cell>
          <cell r="B934" t="str">
            <v/>
          </cell>
          <cell r="C934" t="str">
            <v>Future</v>
          </cell>
          <cell r="D934" t="e">
            <v>#N/A</v>
          </cell>
          <cell r="E934">
            <v>-6.4270270270270906</v>
          </cell>
          <cell r="F934">
            <v>18.910810810811054</v>
          </cell>
          <cell r="G934">
            <v>13.84324324324329</v>
          </cell>
          <cell r="H934">
            <v>13.84324324324329</v>
          </cell>
          <cell r="I934" t="e">
            <v>#N/A</v>
          </cell>
          <cell r="J934" t="e">
            <v>#N/A</v>
          </cell>
          <cell r="K934">
            <v>17.5</v>
          </cell>
          <cell r="L934">
            <v>14</v>
          </cell>
          <cell r="M934" t="e">
            <v>#N/A</v>
          </cell>
          <cell r="N934">
            <v>16.5</v>
          </cell>
          <cell r="O934" t="e">
            <v>#N/A</v>
          </cell>
          <cell r="P934" t="str">
            <v/>
          </cell>
          <cell r="Q934" t="str">
            <v/>
          </cell>
          <cell r="R934">
            <v>16.5</v>
          </cell>
        </row>
        <row r="935">
          <cell r="A935" t="str">
            <v/>
          </cell>
          <cell r="B935" t="str">
            <v/>
          </cell>
          <cell r="C935" t="str">
            <v>Future</v>
          </cell>
          <cell r="D935" t="e">
            <v>#N/A</v>
          </cell>
          <cell r="E935">
            <v>-6.4824324324324962</v>
          </cell>
          <cell r="F935">
            <v>18.922972972973216</v>
          </cell>
          <cell r="G935">
            <v>13.841891891891938</v>
          </cell>
          <cell r="H935">
            <v>13.841891891891938</v>
          </cell>
          <cell r="I935" t="e">
            <v>#N/A</v>
          </cell>
          <cell r="J935" t="e">
            <v>#N/A</v>
          </cell>
          <cell r="K935">
            <v>17.5</v>
          </cell>
          <cell r="L935">
            <v>14</v>
          </cell>
          <cell r="M935" t="e">
            <v>#N/A</v>
          </cell>
          <cell r="N935">
            <v>16.5</v>
          </cell>
          <cell r="O935" t="e">
            <v>#N/A</v>
          </cell>
          <cell r="P935" t="str">
            <v/>
          </cell>
          <cell r="Q935" t="str">
            <v/>
          </cell>
          <cell r="R935">
            <v>16.5</v>
          </cell>
        </row>
        <row r="936">
          <cell r="A936" t="str">
            <v/>
          </cell>
          <cell r="B936" t="str">
            <v/>
          </cell>
          <cell r="C936" t="str">
            <v>Future</v>
          </cell>
          <cell r="D936" t="e">
            <v>#N/A</v>
          </cell>
          <cell r="E936">
            <v>-6.5378378378379018</v>
          </cell>
          <cell r="F936">
            <v>18.935135135135379</v>
          </cell>
          <cell r="G936">
            <v>13.840540540540587</v>
          </cell>
          <cell r="H936">
            <v>13.840540540540587</v>
          </cell>
          <cell r="I936" t="e">
            <v>#N/A</v>
          </cell>
          <cell r="J936" t="e">
            <v>#N/A</v>
          </cell>
          <cell r="K936">
            <v>17.5</v>
          </cell>
          <cell r="L936">
            <v>14</v>
          </cell>
          <cell r="M936" t="e">
            <v>#N/A</v>
          </cell>
          <cell r="N936">
            <v>16.5</v>
          </cell>
          <cell r="O936" t="e">
            <v>#N/A</v>
          </cell>
          <cell r="P936" t="str">
            <v/>
          </cell>
          <cell r="Q936" t="str">
            <v/>
          </cell>
          <cell r="R936">
            <v>16.5</v>
          </cell>
        </row>
        <row r="937">
          <cell r="A937" t="str">
            <v/>
          </cell>
          <cell r="B937" t="str">
            <v/>
          </cell>
          <cell r="C937" t="str">
            <v>Future</v>
          </cell>
          <cell r="D937" t="e">
            <v>#N/A</v>
          </cell>
          <cell r="E937">
            <v>-6.5932432432433075</v>
          </cell>
          <cell r="F937">
            <v>18.947297297297542</v>
          </cell>
          <cell r="G937">
            <v>13.839189189189236</v>
          </cell>
          <cell r="H937">
            <v>13.839189189189236</v>
          </cell>
          <cell r="I937" t="e">
            <v>#N/A</v>
          </cell>
          <cell r="J937" t="e">
            <v>#N/A</v>
          </cell>
          <cell r="K937">
            <v>17.5</v>
          </cell>
          <cell r="L937">
            <v>14</v>
          </cell>
          <cell r="M937" t="e">
            <v>#N/A</v>
          </cell>
          <cell r="N937">
            <v>16.5</v>
          </cell>
          <cell r="O937" t="e">
            <v>#N/A</v>
          </cell>
          <cell r="P937" t="str">
            <v/>
          </cell>
          <cell r="Q937" t="str">
            <v/>
          </cell>
          <cell r="R937">
            <v>16.5</v>
          </cell>
        </row>
        <row r="938">
          <cell r="A938" t="str">
            <v/>
          </cell>
          <cell r="B938" t="str">
            <v/>
          </cell>
          <cell r="C938" t="str">
            <v>Future</v>
          </cell>
          <cell r="D938" t="e">
            <v>#N/A</v>
          </cell>
          <cell r="E938">
            <v>-6.6486486486487131</v>
          </cell>
          <cell r="F938">
            <v>18.959459459459705</v>
          </cell>
          <cell r="G938">
            <v>13.837837837837885</v>
          </cell>
          <cell r="H938">
            <v>13.837837837837885</v>
          </cell>
          <cell r="I938" t="e">
            <v>#N/A</v>
          </cell>
          <cell r="J938" t="e">
            <v>#N/A</v>
          </cell>
          <cell r="K938">
            <v>17.5</v>
          </cell>
          <cell r="L938">
            <v>14</v>
          </cell>
          <cell r="M938" t="e">
            <v>#N/A</v>
          </cell>
          <cell r="N938">
            <v>16.5</v>
          </cell>
          <cell r="O938" t="e">
            <v>#N/A</v>
          </cell>
          <cell r="P938" t="str">
            <v/>
          </cell>
          <cell r="Q938" t="str">
            <v/>
          </cell>
          <cell r="R938">
            <v>16.5</v>
          </cell>
        </row>
        <row r="939">
          <cell r="A939" t="str">
            <v/>
          </cell>
          <cell r="B939" t="str">
            <v/>
          </cell>
          <cell r="C939" t="str">
            <v>Future</v>
          </cell>
          <cell r="D939" t="e">
            <v>#N/A</v>
          </cell>
          <cell r="E939">
            <v>-6.7040540540541187</v>
          </cell>
          <cell r="F939">
            <v>18.971621621621868</v>
          </cell>
          <cell r="G939">
            <v>13.836486486486534</v>
          </cell>
          <cell r="H939">
            <v>13.836486486486534</v>
          </cell>
          <cell r="I939" t="e">
            <v>#N/A</v>
          </cell>
          <cell r="J939" t="e">
            <v>#N/A</v>
          </cell>
          <cell r="K939">
            <v>17.5</v>
          </cell>
          <cell r="L939">
            <v>14</v>
          </cell>
          <cell r="M939" t="e">
            <v>#N/A</v>
          </cell>
          <cell r="N939">
            <v>16.5</v>
          </cell>
          <cell r="O939" t="e">
            <v>#N/A</v>
          </cell>
          <cell r="P939" t="str">
            <v/>
          </cell>
          <cell r="Q939" t="str">
            <v/>
          </cell>
          <cell r="R939">
            <v>16.5</v>
          </cell>
        </row>
        <row r="940">
          <cell r="A940" t="str">
            <v/>
          </cell>
          <cell r="B940" t="str">
            <v/>
          </cell>
          <cell r="C940" t="str">
            <v>Future</v>
          </cell>
          <cell r="D940" t="e">
            <v>#N/A</v>
          </cell>
          <cell r="E940">
            <v>-6.7594594594595243</v>
          </cell>
          <cell r="F940">
            <v>18.98378378378403</v>
          </cell>
          <cell r="G940">
            <v>13.835135135135182</v>
          </cell>
          <cell r="H940">
            <v>13.835135135135182</v>
          </cell>
          <cell r="I940" t="e">
            <v>#N/A</v>
          </cell>
          <cell r="J940" t="e">
            <v>#N/A</v>
          </cell>
          <cell r="K940">
            <v>17.5</v>
          </cell>
          <cell r="L940">
            <v>14</v>
          </cell>
          <cell r="M940" t="e">
            <v>#N/A</v>
          </cell>
          <cell r="N940">
            <v>16.5</v>
          </cell>
          <cell r="O940" t="e">
            <v>#N/A</v>
          </cell>
          <cell r="P940" t="str">
            <v/>
          </cell>
          <cell r="Q940" t="str">
            <v/>
          </cell>
          <cell r="R940">
            <v>16.5</v>
          </cell>
        </row>
        <row r="941">
          <cell r="A941" t="str">
            <v/>
          </cell>
          <cell r="B941" t="str">
            <v/>
          </cell>
          <cell r="C941" t="str">
            <v>Future</v>
          </cell>
          <cell r="D941" t="e">
            <v>#N/A</v>
          </cell>
          <cell r="E941">
            <v>-6.8148648648649299</v>
          </cell>
          <cell r="F941">
            <v>18.995945945946193</v>
          </cell>
          <cell r="G941">
            <v>13.833783783783831</v>
          </cell>
          <cell r="H941">
            <v>13.833783783783831</v>
          </cell>
          <cell r="I941" t="e">
            <v>#N/A</v>
          </cell>
          <cell r="J941" t="e">
            <v>#N/A</v>
          </cell>
          <cell r="K941">
            <v>17.5</v>
          </cell>
          <cell r="L941">
            <v>14</v>
          </cell>
          <cell r="M941" t="e">
            <v>#N/A</v>
          </cell>
          <cell r="N941">
            <v>16.5</v>
          </cell>
          <cell r="O941" t="e">
            <v>#N/A</v>
          </cell>
          <cell r="P941" t="str">
            <v/>
          </cell>
          <cell r="Q941" t="str">
            <v/>
          </cell>
          <cell r="R941">
            <v>16.5</v>
          </cell>
        </row>
        <row r="942">
          <cell r="A942" t="str">
            <v/>
          </cell>
          <cell r="B942" t="str">
            <v/>
          </cell>
          <cell r="C942" t="str">
            <v>Future</v>
          </cell>
          <cell r="D942" t="e">
            <v>#N/A</v>
          </cell>
          <cell r="E942">
            <v>-6.8702702702703355</v>
          </cell>
          <cell r="F942">
            <v>19.008108108108356</v>
          </cell>
          <cell r="G942">
            <v>13.83243243243248</v>
          </cell>
          <cell r="H942">
            <v>13.83243243243248</v>
          </cell>
          <cell r="I942" t="e">
            <v>#N/A</v>
          </cell>
          <cell r="J942" t="e">
            <v>#N/A</v>
          </cell>
          <cell r="K942">
            <v>17.5</v>
          </cell>
          <cell r="L942">
            <v>14</v>
          </cell>
          <cell r="M942" t="e">
            <v>#N/A</v>
          </cell>
          <cell r="N942">
            <v>16.5</v>
          </cell>
          <cell r="O942" t="e">
            <v>#N/A</v>
          </cell>
          <cell r="P942" t="str">
            <v/>
          </cell>
          <cell r="Q942" t="str">
            <v/>
          </cell>
          <cell r="R942">
            <v>16.5</v>
          </cell>
        </row>
        <row r="943">
          <cell r="A943" t="str">
            <v/>
          </cell>
          <cell r="B943" t="str">
            <v/>
          </cell>
          <cell r="C943" t="str">
            <v>Future</v>
          </cell>
          <cell r="D943" t="e">
            <v>#N/A</v>
          </cell>
          <cell r="E943">
            <v>-6.9256756756757412</v>
          </cell>
          <cell r="F943">
            <v>19.020270270270519</v>
          </cell>
          <cell r="G943">
            <v>13.831081081081129</v>
          </cell>
          <cell r="H943">
            <v>13.831081081081129</v>
          </cell>
          <cell r="I943" t="e">
            <v>#N/A</v>
          </cell>
          <cell r="J943" t="e">
            <v>#N/A</v>
          </cell>
          <cell r="K943">
            <v>17.5</v>
          </cell>
          <cell r="L943">
            <v>14</v>
          </cell>
          <cell r="M943" t="e">
            <v>#N/A</v>
          </cell>
          <cell r="N943">
            <v>16.5</v>
          </cell>
          <cell r="O943" t="e">
            <v>#N/A</v>
          </cell>
          <cell r="P943" t="str">
            <v/>
          </cell>
          <cell r="Q943" t="str">
            <v/>
          </cell>
          <cell r="R943">
            <v>16.5</v>
          </cell>
        </row>
        <row r="944">
          <cell r="A944" t="str">
            <v/>
          </cell>
          <cell r="B944" t="str">
            <v/>
          </cell>
          <cell r="C944" t="str">
            <v>Future</v>
          </cell>
          <cell r="D944" t="e">
            <v>#N/A</v>
          </cell>
          <cell r="E944">
            <v>-6.9810810810811468</v>
          </cell>
          <cell r="F944">
            <v>19.032432432432682</v>
          </cell>
          <cell r="G944">
            <v>13.829729729729777</v>
          </cell>
          <cell r="H944">
            <v>13.829729729729777</v>
          </cell>
          <cell r="I944" t="e">
            <v>#N/A</v>
          </cell>
          <cell r="J944" t="e">
            <v>#N/A</v>
          </cell>
          <cell r="K944">
            <v>17.5</v>
          </cell>
          <cell r="L944">
            <v>14</v>
          </cell>
          <cell r="M944" t="e">
            <v>#N/A</v>
          </cell>
          <cell r="N944">
            <v>16.5</v>
          </cell>
          <cell r="O944" t="e">
            <v>#N/A</v>
          </cell>
          <cell r="P944" t="str">
            <v/>
          </cell>
          <cell r="Q944" t="str">
            <v/>
          </cell>
          <cell r="R944">
            <v>16.5</v>
          </cell>
        </row>
        <row r="945">
          <cell r="A945" t="str">
            <v/>
          </cell>
          <cell r="B945" t="str">
            <v/>
          </cell>
          <cell r="C945" t="str">
            <v>Future</v>
          </cell>
          <cell r="D945" t="e">
            <v>#N/A</v>
          </cell>
          <cell r="E945">
            <v>-7.0364864864865524</v>
          </cell>
          <cell r="F945">
            <v>19.044594594594844</v>
          </cell>
          <cell r="G945">
            <v>13.828378378378426</v>
          </cell>
          <cell r="H945">
            <v>13.828378378378426</v>
          </cell>
          <cell r="I945" t="e">
            <v>#N/A</v>
          </cell>
          <cell r="J945" t="e">
            <v>#N/A</v>
          </cell>
          <cell r="K945">
            <v>17.5</v>
          </cell>
          <cell r="L945">
            <v>14</v>
          </cell>
          <cell r="M945" t="e">
            <v>#N/A</v>
          </cell>
          <cell r="N945">
            <v>16.5</v>
          </cell>
          <cell r="O945" t="e">
            <v>#N/A</v>
          </cell>
          <cell r="P945" t="str">
            <v/>
          </cell>
          <cell r="Q945" t="str">
            <v/>
          </cell>
          <cell r="R945">
            <v>16.5</v>
          </cell>
        </row>
        <row r="946">
          <cell r="A946" t="str">
            <v/>
          </cell>
          <cell r="B946" t="str">
            <v/>
          </cell>
          <cell r="C946" t="str">
            <v>Future</v>
          </cell>
          <cell r="D946" t="e">
            <v>#N/A</v>
          </cell>
          <cell r="E946">
            <v>-7.091891891891958</v>
          </cell>
          <cell r="F946">
            <v>19.056756756757007</v>
          </cell>
          <cell r="G946">
            <v>13.827027027027075</v>
          </cell>
          <cell r="H946">
            <v>13.827027027027075</v>
          </cell>
          <cell r="I946" t="e">
            <v>#N/A</v>
          </cell>
          <cell r="J946" t="e">
            <v>#N/A</v>
          </cell>
          <cell r="K946">
            <v>17.5</v>
          </cell>
          <cell r="L946">
            <v>14</v>
          </cell>
          <cell r="M946" t="e">
            <v>#N/A</v>
          </cell>
          <cell r="N946">
            <v>16.5</v>
          </cell>
          <cell r="O946" t="e">
            <v>#N/A</v>
          </cell>
          <cell r="P946" t="str">
            <v/>
          </cell>
          <cell r="Q946" t="str">
            <v/>
          </cell>
          <cell r="R946">
            <v>16.5</v>
          </cell>
        </row>
        <row r="947">
          <cell r="A947" t="str">
            <v/>
          </cell>
          <cell r="B947" t="str">
            <v/>
          </cell>
          <cell r="C947" t="str">
            <v>Future</v>
          </cell>
          <cell r="D947" t="e">
            <v>#N/A</v>
          </cell>
          <cell r="E947">
            <v>-7.1472972972973636</v>
          </cell>
          <cell r="F947">
            <v>19.06891891891917</v>
          </cell>
          <cell r="G947">
            <v>13.825675675675724</v>
          </cell>
          <cell r="H947">
            <v>13.825675675675724</v>
          </cell>
          <cell r="I947" t="e">
            <v>#N/A</v>
          </cell>
          <cell r="J947" t="e">
            <v>#N/A</v>
          </cell>
          <cell r="K947">
            <v>17.5</v>
          </cell>
          <cell r="L947">
            <v>14</v>
          </cell>
          <cell r="M947" t="e">
            <v>#N/A</v>
          </cell>
          <cell r="N947">
            <v>16.5</v>
          </cell>
          <cell r="O947" t="e">
            <v>#N/A</v>
          </cell>
          <cell r="P947" t="str">
            <v/>
          </cell>
          <cell r="Q947" t="str">
            <v/>
          </cell>
          <cell r="R947">
            <v>16.5</v>
          </cell>
        </row>
        <row r="948">
          <cell r="A948" t="str">
            <v/>
          </cell>
          <cell r="B948" t="str">
            <v/>
          </cell>
          <cell r="C948" t="str">
            <v>Future</v>
          </cell>
          <cell r="D948" t="e">
            <v>#N/A</v>
          </cell>
          <cell r="E948">
            <v>-7.2027027027027692</v>
          </cell>
          <cell r="F948">
            <v>19.081081081081333</v>
          </cell>
          <cell r="G948">
            <v>13.824324324324373</v>
          </cell>
          <cell r="H948">
            <v>13.824324324324373</v>
          </cell>
          <cell r="I948" t="e">
            <v>#N/A</v>
          </cell>
          <cell r="J948" t="e">
            <v>#N/A</v>
          </cell>
          <cell r="K948">
            <v>17.5</v>
          </cell>
          <cell r="L948">
            <v>14</v>
          </cell>
          <cell r="M948" t="e">
            <v>#N/A</v>
          </cell>
          <cell r="N948">
            <v>16.5</v>
          </cell>
          <cell r="O948" t="e">
            <v>#N/A</v>
          </cell>
          <cell r="P948" t="str">
            <v/>
          </cell>
          <cell r="Q948" t="str">
            <v/>
          </cell>
          <cell r="R948">
            <v>16.5</v>
          </cell>
        </row>
        <row r="949">
          <cell r="A949" t="str">
            <v/>
          </cell>
          <cell r="B949" t="str">
            <v/>
          </cell>
          <cell r="C949" t="str">
            <v>Future</v>
          </cell>
          <cell r="D949" t="e">
            <v>#N/A</v>
          </cell>
          <cell r="E949">
            <v>-7.2581081081081749</v>
          </cell>
          <cell r="F949">
            <v>19.093243243243496</v>
          </cell>
          <cell r="G949">
            <v>13.822972972973021</v>
          </cell>
          <cell r="H949">
            <v>13.822972972973021</v>
          </cell>
          <cell r="I949" t="e">
            <v>#N/A</v>
          </cell>
          <cell r="J949" t="e">
            <v>#N/A</v>
          </cell>
          <cell r="K949">
            <v>17.5</v>
          </cell>
          <cell r="L949">
            <v>14</v>
          </cell>
          <cell r="M949" t="e">
            <v>#N/A</v>
          </cell>
          <cell r="N949">
            <v>16.5</v>
          </cell>
          <cell r="O949" t="e">
            <v>#N/A</v>
          </cell>
          <cell r="P949" t="str">
            <v/>
          </cell>
          <cell r="Q949" t="str">
            <v/>
          </cell>
          <cell r="R949">
            <v>16.5</v>
          </cell>
        </row>
        <row r="950">
          <cell r="A950" t="str">
            <v/>
          </cell>
          <cell r="B950" t="str">
            <v/>
          </cell>
          <cell r="C950" t="str">
            <v>Future</v>
          </cell>
          <cell r="D950" t="e">
            <v>#N/A</v>
          </cell>
          <cell r="E950">
            <v>-7.3135135135135805</v>
          </cell>
          <cell r="F950">
            <v>19.105405405405659</v>
          </cell>
          <cell r="G950">
            <v>13.82162162162167</v>
          </cell>
          <cell r="H950">
            <v>13.82162162162167</v>
          </cell>
          <cell r="I950" t="e">
            <v>#N/A</v>
          </cell>
          <cell r="J950" t="e">
            <v>#N/A</v>
          </cell>
          <cell r="K950">
            <v>17.5</v>
          </cell>
          <cell r="L950">
            <v>14</v>
          </cell>
          <cell r="M950" t="e">
            <v>#N/A</v>
          </cell>
          <cell r="N950">
            <v>16.5</v>
          </cell>
          <cell r="O950" t="e">
            <v>#N/A</v>
          </cell>
          <cell r="P950" t="str">
            <v/>
          </cell>
          <cell r="Q950" t="str">
            <v/>
          </cell>
          <cell r="R950">
            <v>16.5</v>
          </cell>
        </row>
        <row r="951">
          <cell r="A951" t="str">
            <v/>
          </cell>
          <cell r="B951" t="str">
            <v/>
          </cell>
          <cell r="C951" t="str">
            <v>Future</v>
          </cell>
          <cell r="D951" t="e">
            <v>#N/A</v>
          </cell>
          <cell r="E951">
            <v>-7.3689189189189861</v>
          </cell>
          <cell r="F951">
            <v>19.117567567567821</v>
          </cell>
          <cell r="G951">
            <v>13.820270270270319</v>
          </cell>
          <cell r="H951">
            <v>13.820270270270319</v>
          </cell>
          <cell r="I951" t="e">
            <v>#N/A</v>
          </cell>
          <cell r="J951" t="e">
            <v>#N/A</v>
          </cell>
          <cell r="K951">
            <v>17.5</v>
          </cell>
          <cell r="L951">
            <v>14</v>
          </cell>
          <cell r="M951" t="e">
            <v>#N/A</v>
          </cell>
          <cell r="N951">
            <v>16.5</v>
          </cell>
          <cell r="O951" t="e">
            <v>#N/A</v>
          </cell>
          <cell r="P951" t="str">
            <v/>
          </cell>
          <cell r="Q951" t="str">
            <v/>
          </cell>
          <cell r="R951">
            <v>16.5</v>
          </cell>
        </row>
        <row r="952">
          <cell r="A952" t="str">
            <v/>
          </cell>
          <cell r="B952" t="str">
            <v/>
          </cell>
          <cell r="C952" t="str">
            <v>Future</v>
          </cell>
          <cell r="D952" t="e">
            <v>#N/A</v>
          </cell>
          <cell r="E952">
            <v>-7.4243243243243917</v>
          </cell>
          <cell r="F952">
            <v>19.129729729729984</v>
          </cell>
          <cell r="G952">
            <v>13.818918918918968</v>
          </cell>
          <cell r="H952">
            <v>13.818918918918968</v>
          </cell>
          <cell r="I952" t="e">
            <v>#N/A</v>
          </cell>
          <cell r="J952" t="e">
            <v>#N/A</v>
          </cell>
          <cell r="K952">
            <v>17.5</v>
          </cell>
          <cell r="L952">
            <v>14</v>
          </cell>
          <cell r="M952" t="e">
            <v>#N/A</v>
          </cell>
          <cell r="N952">
            <v>16.5</v>
          </cell>
          <cell r="O952" t="e">
            <v>#N/A</v>
          </cell>
          <cell r="P952" t="str">
            <v/>
          </cell>
          <cell r="Q952" t="str">
            <v/>
          </cell>
          <cell r="R952">
            <v>16.5</v>
          </cell>
        </row>
        <row r="953">
          <cell r="A953" t="str">
            <v/>
          </cell>
          <cell r="B953" t="str">
            <v/>
          </cell>
          <cell r="C953" t="str">
            <v>Future</v>
          </cell>
          <cell r="D953" t="e">
            <v>#N/A</v>
          </cell>
          <cell r="E953">
            <v>-7.4797297297297973</v>
          </cell>
          <cell r="F953">
            <v>19.141891891892147</v>
          </cell>
          <cell r="G953">
            <v>13.817567567567616</v>
          </cell>
          <cell r="H953">
            <v>13.817567567567616</v>
          </cell>
          <cell r="I953" t="e">
            <v>#N/A</v>
          </cell>
          <cell r="J953" t="e">
            <v>#N/A</v>
          </cell>
          <cell r="K953">
            <v>17.5</v>
          </cell>
          <cell r="L953">
            <v>14</v>
          </cell>
          <cell r="M953" t="e">
            <v>#N/A</v>
          </cell>
          <cell r="N953">
            <v>16.5</v>
          </cell>
          <cell r="O953" t="e">
            <v>#N/A</v>
          </cell>
          <cell r="P953" t="str">
            <v/>
          </cell>
          <cell r="Q953" t="str">
            <v/>
          </cell>
          <cell r="R953">
            <v>16.5</v>
          </cell>
        </row>
        <row r="954">
          <cell r="A954" t="str">
            <v/>
          </cell>
          <cell r="B954" t="str">
            <v/>
          </cell>
          <cell r="C954" t="str">
            <v>Future</v>
          </cell>
          <cell r="D954" t="e">
            <v>#N/A</v>
          </cell>
          <cell r="E954">
            <v>-7.5351351351352029</v>
          </cell>
          <cell r="F954">
            <v>19.15405405405431</v>
          </cell>
          <cell r="G954">
            <v>13.816216216216265</v>
          </cell>
          <cell r="H954">
            <v>13.816216216216265</v>
          </cell>
          <cell r="I954" t="e">
            <v>#N/A</v>
          </cell>
          <cell r="J954" t="e">
            <v>#N/A</v>
          </cell>
          <cell r="K954">
            <v>17.5</v>
          </cell>
          <cell r="L954">
            <v>14</v>
          </cell>
          <cell r="M954" t="e">
            <v>#N/A</v>
          </cell>
          <cell r="N954">
            <v>16.5</v>
          </cell>
          <cell r="O954" t="e">
            <v>#N/A</v>
          </cell>
          <cell r="P954" t="str">
            <v/>
          </cell>
          <cell r="Q954" t="str">
            <v/>
          </cell>
          <cell r="R954">
            <v>16.5</v>
          </cell>
        </row>
        <row r="955">
          <cell r="A955" t="str">
            <v/>
          </cell>
          <cell r="B955" t="str">
            <v/>
          </cell>
          <cell r="C955" t="str">
            <v>Future</v>
          </cell>
          <cell r="D955" t="e">
            <v>#N/A</v>
          </cell>
          <cell r="E955">
            <v>-7.5905405405406086</v>
          </cell>
          <cell r="F955">
            <v>19.166216216216473</v>
          </cell>
          <cell r="G955">
            <v>13.814864864864914</v>
          </cell>
          <cell r="H955">
            <v>13.814864864864914</v>
          </cell>
          <cell r="I955" t="e">
            <v>#N/A</v>
          </cell>
          <cell r="J955" t="e">
            <v>#N/A</v>
          </cell>
          <cell r="K955">
            <v>17.5</v>
          </cell>
          <cell r="L955">
            <v>14</v>
          </cell>
          <cell r="M955" t="e">
            <v>#N/A</v>
          </cell>
          <cell r="N955">
            <v>16.5</v>
          </cell>
          <cell r="O955" t="e">
            <v>#N/A</v>
          </cell>
          <cell r="P955" t="str">
            <v/>
          </cell>
          <cell r="Q955" t="str">
            <v/>
          </cell>
          <cell r="R955">
            <v>16.5</v>
          </cell>
        </row>
        <row r="956">
          <cell r="A956" t="str">
            <v/>
          </cell>
          <cell r="B956" t="str">
            <v/>
          </cell>
          <cell r="C956" t="str">
            <v>Future</v>
          </cell>
          <cell r="D956" t="e">
            <v>#N/A</v>
          </cell>
          <cell r="E956">
            <v>-7.6459459459460142</v>
          </cell>
          <cell r="F956">
            <v>19.178378378378635</v>
          </cell>
          <cell r="G956">
            <v>13.813513513513563</v>
          </cell>
          <cell r="H956">
            <v>13.813513513513563</v>
          </cell>
          <cell r="I956" t="e">
            <v>#N/A</v>
          </cell>
          <cell r="J956" t="e">
            <v>#N/A</v>
          </cell>
          <cell r="K956">
            <v>17.5</v>
          </cell>
          <cell r="L956">
            <v>14</v>
          </cell>
          <cell r="M956" t="e">
            <v>#N/A</v>
          </cell>
          <cell r="N956">
            <v>16.5</v>
          </cell>
          <cell r="O956" t="e">
            <v>#N/A</v>
          </cell>
          <cell r="P956" t="str">
            <v/>
          </cell>
          <cell r="Q956" t="str">
            <v/>
          </cell>
          <cell r="R956">
            <v>16.5</v>
          </cell>
        </row>
        <row r="957">
          <cell r="A957" t="str">
            <v/>
          </cell>
          <cell r="B957" t="str">
            <v/>
          </cell>
          <cell r="C957" t="str">
            <v>Future</v>
          </cell>
          <cell r="D957" t="e">
            <v>#N/A</v>
          </cell>
          <cell r="E957">
            <v>-7.7013513513514198</v>
          </cell>
          <cell r="F957">
            <v>19.190540540540798</v>
          </cell>
          <cell r="G957">
            <v>13.812162162162211</v>
          </cell>
          <cell r="H957">
            <v>13.812162162162211</v>
          </cell>
          <cell r="I957" t="e">
            <v>#N/A</v>
          </cell>
          <cell r="J957" t="e">
            <v>#N/A</v>
          </cell>
          <cell r="K957">
            <v>17.5</v>
          </cell>
          <cell r="L957">
            <v>14</v>
          </cell>
          <cell r="M957" t="e">
            <v>#N/A</v>
          </cell>
          <cell r="N957">
            <v>16.5</v>
          </cell>
          <cell r="O957" t="e">
            <v>#N/A</v>
          </cell>
          <cell r="P957" t="str">
            <v/>
          </cell>
          <cell r="Q957" t="str">
            <v/>
          </cell>
          <cell r="R957">
            <v>16.5</v>
          </cell>
        </row>
        <row r="958">
          <cell r="A958" t="str">
            <v/>
          </cell>
          <cell r="B958" t="str">
            <v/>
          </cell>
          <cell r="C958" t="str">
            <v>Future</v>
          </cell>
          <cell r="D958" t="e">
            <v>#N/A</v>
          </cell>
          <cell r="E958">
            <v>-7.7567567567568254</v>
          </cell>
          <cell r="F958">
            <v>19.202702702702961</v>
          </cell>
          <cell r="G958">
            <v>13.81081081081086</v>
          </cell>
          <cell r="H958">
            <v>13.81081081081086</v>
          </cell>
          <cell r="I958" t="e">
            <v>#N/A</v>
          </cell>
          <cell r="J958" t="e">
            <v>#N/A</v>
          </cell>
          <cell r="K958">
            <v>17.5</v>
          </cell>
          <cell r="L958">
            <v>14</v>
          </cell>
          <cell r="M958" t="e">
            <v>#N/A</v>
          </cell>
          <cell r="N958">
            <v>16.5</v>
          </cell>
          <cell r="O958" t="e">
            <v>#N/A</v>
          </cell>
          <cell r="P958" t="str">
            <v/>
          </cell>
          <cell r="Q958" t="str">
            <v/>
          </cell>
          <cell r="R958">
            <v>16.5</v>
          </cell>
        </row>
        <row r="959">
          <cell r="A959" t="str">
            <v/>
          </cell>
          <cell r="B959" t="str">
            <v/>
          </cell>
          <cell r="C959" t="str">
            <v>Future</v>
          </cell>
          <cell r="D959" t="e">
            <v>#N/A</v>
          </cell>
          <cell r="E959">
            <v>-7.812162162162231</v>
          </cell>
          <cell r="F959">
            <v>19.214864864865124</v>
          </cell>
          <cell r="G959">
            <v>13.809459459459509</v>
          </cell>
          <cell r="H959">
            <v>13.809459459459509</v>
          </cell>
          <cell r="I959" t="e">
            <v>#N/A</v>
          </cell>
          <cell r="J959" t="e">
            <v>#N/A</v>
          </cell>
          <cell r="K959">
            <v>17.5</v>
          </cell>
          <cell r="L959">
            <v>14</v>
          </cell>
          <cell r="M959" t="e">
            <v>#N/A</v>
          </cell>
          <cell r="N959">
            <v>16.5</v>
          </cell>
          <cell r="O959" t="e">
            <v>#N/A</v>
          </cell>
          <cell r="P959" t="str">
            <v/>
          </cell>
          <cell r="Q959" t="str">
            <v/>
          </cell>
          <cell r="R959">
            <v>16.5</v>
          </cell>
        </row>
        <row r="960">
          <cell r="A960" t="str">
            <v/>
          </cell>
          <cell r="B960" t="str">
            <v/>
          </cell>
          <cell r="C960" t="str">
            <v>Future</v>
          </cell>
          <cell r="D960" t="e">
            <v>#N/A</v>
          </cell>
          <cell r="E960">
            <v>-7.8675675675676366</v>
          </cell>
          <cell r="F960">
            <v>19.227027027027287</v>
          </cell>
          <cell r="G960">
            <v>13.808108108108158</v>
          </cell>
          <cell r="H960">
            <v>13.808108108108158</v>
          </cell>
          <cell r="I960" t="e">
            <v>#N/A</v>
          </cell>
          <cell r="J960" t="e">
            <v>#N/A</v>
          </cell>
          <cell r="K960">
            <v>17.5</v>
          </cell>
          <cell r="L960">
            <v>14</v>
          </cell>
          <cell r="M960" t="e">
            <v>#N/A</v>
          </cell>
          <cell r="N960">
            <v>16.5</v>
          </cell>
          <cell r="O960" t="e">
            <v>#N/A</v>
          </cell>
          <cell r="P960" t="str">
            <v/>
          </cell>
          <cell r="Q960" t="str">
            <v/>
          </cell>
          <cell r="R960">
            <v>16.5</v>
          </cell>
        </row>
        <row r="961">
          <cell r="A961" t="str">
            <v/>
          </cell>
          <cell r="B961" t="str">
            <v/>
          </cell>
          <cell r="C961" t="str">
            <v>Future</v>
          </cell>
          <cell r="D961" t="e">
            <v>#N/A</v>
          </cell>
          <cell r="E961">
            <v>-7.9229729729730423</v>
          </cell>
          <cell r="F961">
            <v>19.23918918918945</v>
          </cell>
          <cell r="G961">
            <v>13.806756756756807</v>
          </cell>
          <cell r="H961">
            <v>13.806756756756807</v>
          </cell>
          <cell r="I961" t="e">
            <v>#N/A</v>
          </cell>
          <cell r="J961" t="e">
            <v>#N/A</v>
          </cell>
          <cell r="K961">
            <v>17.5</v>
          </cell>
          <cell r="L961">
            <v>14</v>
          </cell>
          <cell r="M961" t="e">
            <v>#N/A</v>
          </cell>
          <cell r="N961">
            <v>16.5</v>
          </cell>
          <cell r="O961" t="e">
            <v>#N/A</v>
          </cell>
          <cell r="P961" t="str">
            <v/>
          </cell>
          <cell r="Q961" t="str">
            <v/>
          </cell>
          <cell r="R961">
            <v>16.5</v>
          </cell>
        </row>
        <row r="962">
          <cell r="A962" t="str">
            <v/>
          </cell>
          <cell r="B962" t="str">
            <v/>
          </cell>
          <cell r="C962" t="str">
            <v>Future</v>
          </cell>
          <cell r="D962" t="e">
            <v>#N/A</v>
          </cell>
          <cell r="E962">
            <v>-7.9783783783784479</v>
          </cell>
          <cell r="F962">
            <v>19.251351351351612</v>
          </cell>
          <cell r="G962">
            <v>13.805405405405455</v>
          </cell>
          <cell r="H962">
            <v>13.805405405405455</v>
          </cell>
          <cell r="I962" t="e">
            <v>#N/A</v>
          </cell>
          <cell r="J962" t="e">
            <v>#N/A</v>
          </cell>
          <cell r="K962">
            <v>17.5</v>
          </cell>
          <cell r="L962">
            <v>14</v>
          </cell>
          <cell r="M962" t="e">
            <v>#N/A</v>
          </cell>
          <cell r="N962">
            <v>16.5</v>
          </cell>
          <cell r="O962" t="e">
            <v>#N/A</v>
          </cell>
          <cell r="P962" t="str">
            <v/>
          </cell>
          <cell r="Q962" t="str">
            <v/>
          </cell>
          <cell r="R962">
            <v>16.5</v>
          </cell>
        </row>
        <row r="963">
          <cell r="A963" t="str">
            <v/>
          </cell>
          <cell r="B963" t="str">
            <v/>
          </cell>
          <cell r="C963" t="str">
            <v>Future</v>
          </cell>
          <cell r="D963" t="e">
            <v>#N/A</v>
          </cell>
          <cell r="E963">
            <v>-8.0337837837838535</v>
          </cell>
          <cell r="F963">
            <v>19.263513513513775</v>
          </cell>
          <cell r="G963">
            <v>13.804054054054104</v>
          </cell>
          <cell r="H963">
            <v>13.804054054054104</v>
          </cell>
          <cell r="I963" t="e">
            <v>#N/A</v>
          </cell>
          <cell r="J963" t="e">
            <v>#N/A</v>
          </cell>
          <cell r="K963">
            <v>17.5</v>
          </cell>
          <cell r="L963">
            <v>14</v>
          </cell>
          <cell r="M963" t="e">
            <v>#N/A</v>
          </cell>
          <cell r="N963">
            <v>16.5</v>
          </cell>
          <cell r="O963" t="e">
            <v>#N/A</v>
          </cell>
          <cell r="P963" t="str">
            <v/>
          </cell>
          <cell r="Q963" t="str">
            <v/>
          </cell>
          <cell r="R963">
            <v>16.5</v>
          </cell>
        </row>
        <row r="964">
          <cell r="A964" t="str">
            <v/>
          </cell>
          <cell r="B964" t="str">
            <v/>
          </cell>
          <cell r="C964" t="str">
            <v>Future</v>
          </cell>
          <cell r="D964" t="e">
            <v>#N/A</v>
          </cell>
          <cell r="E964">
            <v>-8.0891891891892591</v>
          </cell>
          <cell r="F964">
            <v>19.275675675675938</v>
          </cell>
          <cell r="G964">
            <v>13.802702702702753</v>
          </cell>
          <cell r="H964">
            <v>13.802702702702753</v>
          </cell>
          <cell r="I964" t="e">
            <v>#N/A</v>
          </cell>
          <cell r="J964" t="e">
            <v>#N/A</v>
          </cell>
          <cell r="K964">
            <v>17.5</v>
          </cell>
          <cell r="L964">
            <v>14</v>
          </cell>
          <cell r="M964" t="e">
            <v>#N/A</v>
          </cell>
          <cell r="N964">
            <v>16.5</v>
          </cell>
          <cell r="O964" t="e">
            <v>#N/A</v>
          </cell>
          <cell r="P964" t="str">
            <v/>
          </cell>
          <cell r="Q964" t="str">
            <v/>
          </cell>
          <cell r="R964">
            <v>16.5</v>
          </cell>
        </row>
        <row r="965">
          <cell r="A965" t="str">
            <v/>
          </cell>
          <cell r="B965" t="str">
            <v/>
          </cell>
          <cell r="C965" t="str">
            <v>Future</v>
          </cell>
          <cell r="D965" t="e">
            <v>#N/A</v>
          </cell>
          <cell r="E965">
            <v>-8.1445945945946647</v>
          </cell>
          <cell r="F965">
            <v>19.287837837838101</v>
          </cell>
          <cell r="G965">
            <v>13.801351351351402</v>
          </cell>
          <cell r="H965">
            <v>13.801351351351402</v>
          </cell>
          <cell r="I965" t="e">
            <v>#N/A</v>
          </cell>
          <cell r="J965" t="e">
            <v>#N/A</v>
          </cell>
          <cell r="K965">
            <v>17.5</v>
          </cell>
          <cell r="L965">
            <v>14</v>
          </cell>
          <cell r="M965" t="e">
            <v>#N/A</v>
          </cell>
          <cell r="N965">
            <v>16.5</v>
          </cell>
          <cell r="O965" t="e">
            <v>#N/A</v>
          </cell>
          <cell r="P965" t="str">
            <v/>
          </cell>
          <cell r="Q965" t="str">
            <v/>
          </cell>
          <cell r="R965">
            <v>16.5</v>
          </cell>
        </row>
        <row r="966">
          <cell r="A966" t="str">
            <v/>
          </cell>
          <cell r="B966" t="str">
            <v/>
          </cell>
          <cell r="C966" t="str">
            <v>Future</v>
          </cell>
          <cell r="D966" t="e">
            <v>#N/A</v>
          </cell>
          <cell r="E966">
            <v>-8.2000000000000703</v>
          </cell>
          <cell r="F966">
            <v>19.300000000000264</v>
          </cell>
          <cell r="G966">
            <v>13.80000000000005</v>
          </cell>
          <cell r="H966">
            <v>13.80000000000005</v>
          </cell>
          <cell r="I966" t="e">
            <v>#N/A</v>
          </cell>
          <cell r="J966" t="e">
            <v>#N/A</v>
          </cell>
          <cell r="K966">
            <v>17.5</v>
          </cell>
          <cell r="L966">
            <v>14</v>
          </cell>
          <cell r="M966" t="e">
            <v>#N/A</v>
          </cell>
          <cell r="N966">
            <v>16.5</v>
          </cell>
          <cell r="O966" t="e">
            <v>#N/A</v>
          </cell>
          <cell r="P966" t="str">
            <v/>
          </cell>
          <cell r="Q966" t="str">
            <v/>
          </cell>
          <cell r="R966">
            <v>16.5</v>
          </cell>
        </row>
        <row r="967">
          <cell r="A967" t="str">
            <v/>
          </cell>
          <cell r="B967" t="str">
            <v/>
          </cell>
          <cell r="C967" t="str">
            <v>Future</v>
          </cell>
          <cell r="D967" t="e">
            <v>#N/A</v>
          </cell>
          <cell r="E967">
            <v>-8.255405405405476</v>
          </cell>
          <cell r="F967">
            <v>19.312162162162426</v>
          </cell>
          <cell r="G967">
            <v>13.798648648648699</v>
          </cell>
          <cell r="H967">
            <v>13.798648648648699</v>
          </cell>
          <cell r="I967" t="e">
            <v>#N/A</v>
          </cell>
          <cell r="J967" t="e">
            <v>#N/A</v>
          </cell>
          <cell r="K967">
            <v>17.5</v>
          </cell>
          <cell r="L967">
            <v>14</v>
          </cell>
          <cell r="M967" t="e">
            <v>#N/A</v>
          </cell>
          <cell r="N967">
            <v>16.5</v>
          </cell>
          <cell r="O967" t="e">
            <v>#N/A</v>
          </cell>
          <cell r="P967" t="str">
            <v/>
          </cell>
          <cell r="Q967" t="str">
            <v/>
          </cell>
          <cell r="R967">
            <v>16.5</v>
          </cell>
        </row>
        <row r="968">
          <cell r="A968" t="str">
            <v/>
          </cell>
          <cell r="B968" t="str">
            <v/>
          </cell>
          <cell r="C968" t="str">
            <v>Future</v>
          </cell>
          <cell r="D968" t="e">
            <v>#N/A</v>
          </cell>
          <cell r="E968">
            <v>-8.3108108108108816</v>
          </cell>
          <cell r="F968">
            <v>19.324324324324589</v>
          </cell>
          <cell r="G968">
            <v>13.797297297297348</v>
          </cell>
          <cell r="H968">
            <v>13.797297297297348</v>
          </cell>
          <cell r="I968" t="e">
            <v>#N/A</v>
          </cell>
          <cell r="J968" t="e">
            <v>#N/A</v>
          </cell>
          <cell r="K968">
            <v>17.5</v>
          </cell>
          <cell r="L968">
            <v>14</v>
          </cell>
          <cell r="M968" t="e">
            <v>#N/A</v>
          </cell>
          <cell r="N968">
            <v>16.5</v>
          </cell>
          <cell r="O968" t="e">
            <v>#N/A</v>
          </cell>
          <cell r="P968" t="str">
            <v/>
          </cell>
          <cell r="Q968" t="str">
            <v/>
          </cell>
          <cell r="R968">
            <v>16.5</v>
          </cell>
        </row>
        <row r="969">
          <cell r="A969" t="str">
            <v/>
          </cell>
          <cell r="B969" t="str">
            <v/>
          </cell>
          <cell r="C969" t="str">
            <v>Future</v>
          </cell>
          <cell r="D969" t="e">
            <v>#N/A</v>
          </cell>
          <cell r="E969">
            <v>-8.3662162162162872</v>
          </cell>
          <cell r="F969">
            <v>19.336486486486752</v>
          </cell>
          <cell r="G969">
            <v>13.795945945945997</v>
          </cell>
          <cell r="H969">
            <v>13.795945945945997</v>
          </cell>
          <cell r="I969" t="e">
            <v>#N/A</v>
          </cell>
          <cell r="J969" t="e">
            <v>#N/A</v>
          </cell>
          <cell r="K969">
            <v>17.5</v>
          </cell>
          <cell r="L969">
            <v>14</v>
          </cell>
          <cell r="M969" t="e">
            <v>#N/A</v>
          </cell>
          <cell r="N969">
            <v>16.5</v>
          </cell>
          <cell r="O969" t="e">
            <v>#N/A</v>
          </cell>
          <cell r="P969" t="str">
            <v/>
          </cell>
          <cell r="Q969" t="str">
            <v/>
          </cell>
          <cell r="R969">
            <v>16.5</v>
          </cell>
        </row>
        <row r="970">
          <cell r="A970" t="str">
            <v/>
          </cell>
          <cell r="B970" t="str">
            <v/>
          </cell>
          <cell r="C970" t="str">
            <v>Future</v>
          </cell>
          <cell r="D970" t="e">
            <v>#N/A</v>
          </cell>
          <cell r="E970">
            <v>-8.4216216216216928</v>
          </cell>
          <cell r="F970">
            <v>19.348648648648915</v>
          </cell>
          <cell r="G970">
            <v>13.794594594594646</v>
          </cell>
          <cell r="H970">
            <v>13.794594594594646</v>
          </cell>
          <cell r="I970" t="e">
            <v>#N/A</v>
          </cell>
          <cell r="J970" t="e">
            <v>#N/A</v>
          </cell>
          <cell r="K970">
            <v>17.5</v>
          </cell>
          <cell r="L970">
            <v>14</v>
          </cell>
          <cell r="M970" t="e">
            <v>#N/A</v>
          </cell>
          <cell r="N970">
            <v>16.5</v>
          </cell>
          <cell r="O970" t="e">
            <v>#N/A</v>
          </cell>
          <cell r="P970" t="str">
            <v/>
          </cell>
          <cell r="Q970" t="str">
            <v/>
          </cell>
          <cell r="R970">
            <v>16.5</v>
          </cell>
        </row>
        <row r="971">
          <cell r="A971" t="str">
            <v/>
          </cell>
          <cell r="B971" t="str">
            <v/>
          </cell>
          <cell r="C971" t="str">
            <v>Future</v>
          </cell>
          <cell r="D971" t="e">
            <v>#N/A</v>
          </cell>
          <cell r="E971">
            <v>-8.4770270270270984</v>
          </cell>
          <cell r="F971">
            <v>19.360810810811078</v>
          </cell>
          <cell r="G971">
            <v>13.793243243243294</v>
          </cell>
          <cell r="H971">
            <v>13.793243243243294</v>
          </cell>
          <cell r="I971" t="e">
            <v>#N/A</v>
          </cell>
          <cell r="J971" t="e">
            <v>#N/A</v>
          </cell>
          <cell r="K971">
            <v>17.5</v>
          </cell>
          <cell r="L971">
            <v>14</v>
          </cell>
          <cell r="M971" t="e">
            <v>#N/A</v>
          </cell>
          <cell r="N971">
            <v>16.5</v>
          </cell>
          <cell r="O971" t="e">
            <v>#N/A</v>
          </cell>
          <cell r="P971" t="str">
            <v/>
          </cell>
          <cell r="Q971" t="str">
            <v/>
          </cell>
          <cell r="R971">
            <v>16.5</v>
          </cell>
        </row>
        <row r="972">
          <cell r="A972" t="str">
            <v/>
          </cell>
          <cell r="B972" t="str">
            <v/>
          </cell>
          <cell r="C972" t="str">
            <v>Future</v>
          </cell>
          <cell r="D972" t="e">
            <v>#N/A</v>
          </cell>
          <cell r="E972">
            <v>-8.532432432432504</v>
          </cell>
          <cell r="F972">
            <v>19.372972972973241</v>
          </cell>
          <cell r="G972">
            <v>13.791891891891943</v>
          </cell>
          <cell r="H972">
            <v>13.791891891891943</v>
          </cell>
          <cell r="I972" t="e">
            <v>#N/A</v>
          </cell>
          <cell r="J972" t="e">
            <v>#N/A</v>
          </cell>
          <cell r="K972">
            <v>17.5</v>
          </cell>
          <cell r="L972">
            <v>14</v>
          </cell>
          <cell r="M972" t="e">
            <v>#N/A</v>
          </cell>
          <cell r="N972">
            <v>16.5</v>
          </cell>
          <cell r="O972" t="e">
            <v>#N/A</v>
          </cell>
          <cell r="P972" t="str">
            <v/>
          </cell>
          <cell r="Q972" t="str">
            <v/>
          </cell>
          <cell r="R972">
            <v>16.5</v>
          </cell>
        </row>
        <row r="973">
          <cell r="A973" t="str">
            <v/>
          </cell>
          <cell r="B973" t="str">
            <v/>
          </cell>
          <cell r="C973" t="str">
            <v>Future</v>
          </cell>
          <cell r="D973" t="e">
            <v>#N/A</v>
          </cell>
          <cell r="E973">
            <v>-8.5878378378379097</v>
          </cell>
          <cell r="F973">
            <v>19.385135135135403</v>
          </cell>
          <cell r="G973">
            <v>13.790540540540592</v>
          </cell>
          <cell r="H973">
            <v>13.790540540540592</v>
          </cell>
          <cell r="I973" t="e">
            <v>#N/A</v>
          </cell>
          <cell r="J973" t="e">
            <v>#N/A</v>
          </cell>
          <cell r="K973">
            <v>17.5</v>
          </cell>
          <cell r="L973">
            <v>14</v>
          </cell>
          <cell r="M973" t="e">
            <v>#N/A</v>
          </cell>
          <cell r="N973">
            <v>16.5</v>
          </cell>
          <cell r="O973" t="e">
            <v>#N/A</v>
          </cell>
          <cell r="P973" t="str">
            <v/>
          </cell>
          <cell r="Q973" t="str">
            <v/>
          </cell>
          <cell r="R973">
            <v>16.5</v>
          </cell>
        </row>
        <row r="974">
          <cell r="A974" t="str">
            <v/>
          </cell>
          <cell r="B974" t="str">
            <v/>
          </cell>
          <cell r="C974" t="str">
            <v>Future</v>
          </cell>
          <cell r="D974" t="e">
            <v>#N/A</v>
          </cell>
          <cell r="E974">
            <v>-8.6432432432433153</v>
          </cell>
          <cell r="F974">
            <v>19.397297297297566</v>
          </cell>
          <cell r="G974">
            <v>13.789189189189241</v>
          </cell>
          <cell r="H974">
            <v>13.789189189189241</v>
          </cell>
          <cell r="I974" t="e">
            <v>#N/A</v>
          </cell>
          <cell r="J974" t="e">
            <v>#N/A</v>
          </cell>
          <cell r="K974">
            <v>17.5</v>
          </cell>
          <cell r="L974">
            <v>14</v>
          </cell>
          <cell r="M974" t="e">
            <v>#N/A</v>
          </cell>
          <cell r="N974">
            <v>16.5</v>
          </cell>
          <cell r="O974" t="e">
            <v>#N/A</v>
          </cell>
          <cell r="P974" t="str">
            <v/>
          </cell>
          <cell r="Q974" t="str">
            <v/>
          </cell>
          <cell r="R974">
            <v>16.5</v>
          </cell>
        </row>
        <row r="975">
          <cell r="A975" t="str">
            <v/>
          </cell>
          <cell r="B975" t="str">
            <v/>
          </cell>
          <cell r="C975" t="str">
            <v>Future</v>
          </cell>
          <cell r="D975" t="e">
            <v>#N/A</v>
          </cell>
          <cell r="E975">
            <v>-8.6986486486487209</v>
          </cell>
          <cell r="F975">
            <v>19.409459459459729</v>
          </cell>
          <cell r="G975">
            <v>13.787837837837889</v>
          </cell>
          <cell r="H975">
            <v>13.787837837837889</v>
          </cell>
          <cell r="I975" t="e">
            <v>#N/A</v>
          </cell>
          <cell r="J975" t="e">
            <v>#N/A</v>
          </cell>
          <cell r="K975">
            <v>17.5</v>
          </cell>
          <cell r="L975">
            <v>14</v>
          </cell>
          <cell r="M975" t="e">
            <v>#N/A</v>
          </cell>
          <cell r="N975">
            <v>16.5</v>
          </cell>
          <cell r="O975" t="e">
            <v>#N/A</v>
          </cell>
          <cell r="P975" t="str">
            <v/>
          </cell>
          <cell r="Q975" t="str">
            <v/>
          </cell>
          <cell r="R975">
            <v>16.5</v>
          </cell>
        </row>
        <row r="976">
          <cell r="A976" t="str">
            <v/>
          </cell>
          <cell r="B976" t="str">
            <v/>
          </cell>
          <cell r="C976" t="str">
            <v>Future</v>
          </cell>
          <cell r="D976" t="e">
            <v>#N/A</v>
          </cell>
          <cell r="E976">
            <v>-8.7540540540541265</v>
          </cell>
          <cell r="F976">
            <v>19.421621621621892</v>
          </cell>
          <cell r="G976">
            <v>13.786486486486538</v>
          </cell>
          <cell r="H976">
            <v>13.786486486486538</v>
          </cell>
          <cell r="I976" t="e">
            <v>#N/A</v>
          </cell>
          <cell r="J976" t="e">
            <v>#N/A</v>
          </cell>
          <cell r="K976">
            <v>17.5</v>
          </cell>
          <cell r="L976">
            <v>14</v>
          </cell>
          <cell r="M976" t="e">
            <v>#N/A</v>
          </cell>
          <cell r="N976">
            <v>16.5</v>
          </cell>
          <cell r="O976" t="e">
            <v>#N/A</v>
          </cell>
          <cell r="P976" t="str">
            <v/>
          </cell>
          <cell r="Q976" t="str">
            <v/>
          </cell>
          <cell r="R976">
            <v>16.5</v>
          </cell>
        </row>
        <row r="977">
          <cell r="A977" t="str">
            <v/>
          </cell>
          <cell r="B977" t="str">
            <v/>
          </cell>
          <cell r="C977" t="str">
            <v>Future</v>
          </cell>
          <cell r="D977" t="e">
            <v>#N/A</v>
          </cell>
          <cell r="E977">
            <v>-8.8094594594595321</v>
          </cell>
          <cell r="F977">
            <v>19.433783783784055</v>
          </cell>
          <cell r="G977">
            <v>13.785135135135187</v>
          </cell>
          <cell r="H977">
            <v>13.785135135135187</v>
          </cell>
          <cell r="I977" t="e">
            <v>#N/A</v>
          </cell>
          <cell r="J977" t="e">
            <v>#N/A</v>
          </cell>
          <cell r="K977">
            <v>17.5</v>
          </cell>
          <cell r="L977">
            <v>14</v>
          </cell>
          <cell r="M977" t="e">
            <v>#N/A</v>
          </cell>
          <cell r="N977">
            <v>16.5</v>
          </cell>
          <cell r="O977" t="e">
            <v>#N/A</v>
          </cell>
          <cell r="P977" t="str">
            <v/>
          </cell>
          <cell r="Q977" t="str">
            <v/>
          </cell>
          <cell r="R977">
            <v>16.5</v>
          </cell>
        </row>
        <row r="978">
          <cell r="A978" t="str">
            <v/>
          </cell>
          <cell r="B978" t="str">
            <v/>
          </cell>
          <cell r="C978" t="str">
            <v>Future</v>
          </cell>
          <cell r="D978" t="e">
            <v>#N/A</v>
          </cell>
          <cell r="E978">
            <v>-8.8648648648649377</v>
          </cell>
          <cell r="F978">
            <v>19.445945945946217</v>
          </cell>
          <cell r="G978">
            <v>13.783783783783836</v>
          </cell>
          <cell r="H978">
            <v>13.783783783783836</v>
          </cell>
          <cell r="I978" t="e">
            <v>#N/A</v>
          </cell>
          <cell r="J978" t="e">
            <v>#N/A</v>
          </cell>
          <cell r="K978">
            <v>17.5</v>
          </cell>
          <cell r="L978">
            <v>14</v>
          </cell>
          <cell r="M978" t="e">
            <v>#N/A</v>
          </cell>
          <cell r="N978">
            <v>16.5</v>
          </cell>
          <cell r="O978" t="e">
            <v>#N/A</v>
          </cell>
          <cell r="P978" t="str">
            <v/>
          </cell>
          <cell r="Q978" t="str">
            <v/>
          </cell>
          <cell r="R978">
            <v>16.5</v>
          </cell>
        </row>
        <row r="979">
          <cell r="A979" t="str">
            <v/>
          </cell>
          <cell r="B979" t="str">
            <v/>
          </cell>
          <cell r="C979" t="str">
            <v>Future</v>
          </cell>
          <cell r="D979" t="e">
            <v>#N/A</v>
          </cell>
          <cell r="E979">
            <v>-8.9202702702703434</v>
          </cell>
          <cell r="F979">
            <v>19.45810810810838</v>
          </cell>
          <cell r="G979">
            <v>13.782432432432485</v>
          </cell>
          <cell r="H979">
            <v>13.782432432432485</v>
          </cell>
          <cell r="I979" t="e">
            <v>#N/A</v>
          </cell>
          <cell r="J979" t="e">
            <v>#N/A</v>
          </cell>
          <cell r="K979">
            <v>17.5</v>
          </cell>
          <cell r="L979">
            <v>14</v>
          </cell>
          <cell r="M979" t="e">
            <v>#N/A</v>
          </cell>
          <cell r="N979">
            <v>16.5</v>
          </cell>
          <cell r="O979" t="e">
            <v>#N/A</v>
          </cell>
          <cell r="P979" t="str">
            <v/>
          </cell>
          <cell r="Q979" t="str">
            <v/>
          </cell>
          <cell r="R979">
            <v>16.5</v>
          </cell>
        </row>
        <row r="980">
          <cell r="A980" t="str">
            <v/>
          </cell>
          <cell r="B980" t="str">
            <v/>
          </cell>
          <cell r="C980" t="str">
            <v>Future</v>
          </cell>
          <cell r="D980" t="e">
            <v>#N/A</v>
          </cell>
          <cell r="E980">
            <v>-8.975675675675749</v>
          </cell>
          <cell r="F980">
            <v>19.470270270270543</v>
          </cell>
          <cell r="G980">
            <v>13.781081081081133</v>
          </cell>
          <cell r="H980">
            <v>13.781081081081133</v>
          </cell>
          <cell r="I980" t="e">
            <v>#N/A</v>
          </cell>
          <cell r="J980" t="e">
            <v>#N/A</v>
          </cell>
          <cell r="K980">
            <v>17.5</v>
          </cell>
          <cell r="L980">
            <v>14</v>
          </cell>
          <cell r="M980" t="e">
            <v>#N/A</v>
          </cell>
          <cell r="N980">
            <v>16.5</v>
          </cell>
          <cell r="O980" t="e">
            <v>#N/A</v>
          </cell>
          <cell r="P980" t="str">
            <v/>
          </cell>
          <cell r="Q980" t="str">
            <v/>
          </cell>
          <cell r="R980">
            <v>16.5</v>
          </cell>
        </row>
        <row r="981">
          <cell r="A981" t="str">
            <v/>
          </cell>
          <cell r="B981" t="str">
            <v/>
          </cell>
          <cell r="C981" t="str">
            <v>Future</v>
          </cell>
          <cell r="D981" t="e">
            <v>#N/A</v>
          </cell>
          <cell r="E981">
            <v>-9.0310810810811546</v>
          </cell>
          <cell r="F981">
            <v>19.482432432432706</v>
          </cell>
          <cell r="G981">
            <v>13.779729729729782</v>
          </cell>
          <cell r="H981">
            <v>13.779729729729782</v>
          </cell>
          <cell r="I981" t="e">
            <v>#N/A</v>
          </cell>
          <cell r="J981" t="e">
            <v>#N/A</v>
          </cell>
          <cell r="K981">
            <v>17.5</v>
          </cell>
          <cell r="L981">
            <v>14</v>
          </cell>
          <cell r="M981" t="e">
            <v>#N/A</v>
          </cell>
          <cell r="N981">
            <v>16.5</v>
          </cell>
          <cell r="O981" t="e">
            <v>#N/A</v>
          </cell>
          <cell r="P981" t="str">
            <v/>
          </cell>
          <cell r="Q981" t="str">
            <v/>
          </cell>
          <cell r="R981">
            <v>16.5</v>
          </cell>
        </row>
        <row r="982">
          <cell r="A982" t="str">
            <v/>
          </cell>
          <cell r="B982" t="str">
            <v/>
          </cell>
          <cell r="C982" t="str">
            <v>Future</v>
          </cell>
          <cell r="D982" t="e">
            <v>#N/A</v>
          </cell>
          <cell r="E982">
            <v>-9.0864864864865602</v>
          </cell>
          <cell r="F982">
            <v>19.494594594594869</v>
          </cell>
          <cell r="G982">
            <v>13.778378378378431</v>
          </cell>
          <cell r="H982">
            <v>13.778378378378431</v>
          </cell>
          <cell r="I982" t="e">
            <v>#N/A</v>
          </cell>
          <cell r="J982" t="e">
            <v>#N/A</v>
          </cell>
          <cell r="K982">
            <v>17.5</v>
          </cell>
          <cell r="L982">
            <v>14</v>
          </cell>
          <cell r="M982" t="e">
            <v>#N/A</v>
          </cell>
          <cell r="N982">
            <v>16.5</v>
          </cell>
          <cell r="O982" t="e">
            <v>#N/A</v>
          </cell>
          <cell r="P982" t="str">
            <v/>
          </cell>
          <cell r="Q982" t="str">
            <v/>
          </cell>
          <cell r="R982">
            <v>16.5</v>
          </cell>
        </row>
        <row r="983">
          <cell r="A983" t="str">
            <v/>
          </cell>
          <cell r="B983" t="str">
            <v/>
          </cell>
          <cell r="C983" t="str">
            <v>Future</v>
          </cell>
          <cell r="D983" t="e">
            <v>#N/A</v>
          </cell>
          <cell r="E983">
            <v>-9.1418918918919658</v>
          </cell>
          <cell r="F983">
            <v>19.506756756757031</v>
          </cell>
          <cell r="G983">
            <v>13.77702702702708</v>
          </cell>
          <cell r="H983">
            <v>13.77702702702708</v>
          </cell>
          <cell r="I983" t="e">
            <v>#N/A</v>
          </cell>
          <cell r="J983" t="e">
            <v>#N/A</v>
          </cell>
          <cell r="K983">
            <v>17.5</v>
          </cell>
          <cell r="L983">
            <v>14</v>
          </cell>
          <cell r="M983" t="e">
            <v>#N/A</v>
          </cell>
          <cell r="N983">
            <v>16.5</v>
          </cell>
          <cell r="O983" t="e">
            <v>#N/A</v>
          </cell>
          <cell r="P983" t="str">
            <v/>
          </cell>
          <cell r="Q983" t="str">
            <v/>
          </cell>
          <cell r="R983">
            <v>16.5</v>
          </cell>
        </row>
        <row r="984">
          <cell r="A984" t="str">
            <v/>
          </cell>
          <cell r="B984" t="str">
            <v/>
          </cell>
          <cell r="C984" t="str">
            <v>Future</v>
          </cell>
          <cell r="D984" t="e">
            <v>#N/A</v>
          </cell>
          <cell r="E984">
            <v>-9.1972972972973714</v>
          </cell>
          <cell r="F984">
            <v>19.518918918919194</v>
          </cell>
          <cell r="G984">
            <v>13.775675675675728</v>
          </cell>
          <cell r="H984">
            <v>13.775675675675728</v>
          </cell>
          <cell r="I984" t="e">
            <v>#N/A</v>
          </cell>
          <cell r="J984" t="e">
            <v>#N/A</v>
          </cell>
          <cell r="K984">
            <v>17.5</v>
          </cell>
          <cell r="L984">
            <v>14</v>
          </cell>
          <cell r="M984" t="e">
            <v>#N/A</v>
          </cell>
          <cell r="N984">
            <v>16.5</v>
          </cell>
          <cell r="O984" t="e">
            <v>#N/A</v>
          </cell>
          <cell r="P984" t="str">
            <v/>
          </cell>
          <cell r="Q984" t="str">
            <v/>
          </cell>
          <cell r="R984">
            <v>16.5</v>
          </cell>
        </row>
        <row r="985">
          <cell r="A985" t="str">
            <v/>
          </cell>
          <cell r="B985" t="str">
            <v/>
          </cell>
          <cell r="C985" t="str">
            <v>Future</v>
          </cell>
          <cell r="D985" t="e">
            <v>#N/A</v>
          </cell>
          <cell r="E985">
            <v>-9.2527027027027771</v>
          </cell>
          <cell r="F985">
            <v>19.531081081081357</v>
          </cell>
          <cell r="G985">
            <v>13.774324324324377</v>
          </cell>
          <cell r="H985">
            <v>13.774324324324377</v>
          </cell>
          <cell r="I985" t="e">
            <v>#N/A</v>
          </cell>
          <cell r="J985" t="e">
            <v>#N/A</v>
          </cell>
          <cell r="K985">
            <v>17.5</v>
          </cell>
          <cell r="L985">
            <v>14</v>
          </cell>
          <cell r="M985" t="e">
            <v>#N/A</v>
          </cell>
          <cell r="N985">
            <v>16.5</v>
          </cell>
          <cell r="O985" t="e">
            <v>#N/A</v>
          </cell>
          <cell r="P985" t="str">
            <v/>
          </cell>
          <cell r="Q985" t="str">
            <v/>
          </cell>
          <cell r="R985">
            <v>16.5</v>
          </cell>
        </row>
        <row r="986">
          <cell r="A986" t="str">
            <v/>
          </cell>
          <cell r="B986" t="str">
            <v/>
          </cell>
          <cell r="C986" t="str">
            <v>Future</v>
          </cell>
          <cell r="D986" t="e">
            <v>#N/A</v>
          </cell>
          <cell r="E986">
            <v>-9.3081081081081827</v>
          </cell>
          <cell r="F986">
            <v>19.54324324324352</v>
          </cell>
          <cell r="G986">
            <v>13.772972972973026</v>
          </cell>
          <cell r="H986">
            <v>13.772972972973026</v>
          </cell>
          <cell r="I986" t="e">
            <v>#N/A</v>
          </cell>
          <cell r="J986" t="e">
            <v>#N/A</v>
          </cell>
          <cell r="K986">
            <v>17.5</v>
          </cell>
          <cell r="L986">
            <v>14</v>
          </cell>
          <cell r="M986" t="e">
            <v>#N/A</v>
          </cell>
          <cell r="N986">
            <v>16.5</v>
          </cell>
          <cell r="O986" t="e">
            <v>#N/A</v>
          </cell>
          <cell r="P986" t="str">
            <v/>
          </cell>
          <cell r="Q986" t="str">
            <v/>
          </cell>
          <cell r="R986">
            <v>16.5</v>
          </cell>
        </row>
        <row r="987">
          <cell r="A987" t="str">
            <v/>
          </cell>
          <cell r="B987" t="str">
            <v/>
          </cell>
          <cell r="C987" t="str">
            <v>Future</v>
          </cell>
          <cell r="D987" t="e">
            <v>#N/A</v>
          </cell>
          <cell r="E987">
            <v>-9.3635135135135883</v>
          </cell>
          <cell r="F987">
            <v>19.555405405405683</v>
          </cell>
          <cell r="G987">
            <v>13.771621621621675</v>
          </cell>
          <cell r="H987">
            <v>13.771621621621675</v>
          </cell>
          <cell r="I987" t="e">
            <v>#N/A</v>
          </cell>
          <cell r="J987" t="e">
            <v>#N/A</v>
          </cell>
          <cell r="K987">
            <v>17.5</v>
          </cell>
          <cell r="L987">
            <v>14</v>
          </cell>
          <cell r="M987" t="e">
            <v>#N/A</v>
          </cell>
          <cell r="N987">
            <v>16.5</v>
          </cell>
          <cell r="O987" t="e">
            <v>#N/A</v>
          </cell>
          <cell r="P987" t="str">
            <v/>
          </cell>
          <cell r="Q987" t="str">
            <v/>
          </cell>
          <cell r="R987">
            <v>16.5</v>
          </cell>
        </row>
        <row r="988">
          <cell r="A988" t="str">
            <v/>
          </cell>
          <cell r="B988" t="str">
            <v/>
          </cell>
          <cell r="C988" t="str">
            <v>Future</v>
          </cell>
          <cell r="D988" t="e">
            <v>#N/A</v>
          </cell>
          <cell r="E988">
            <v>-9.4189189189189939</v>
          </cell>
          <cell r="F988">
            <v>19.567567567567846</v>
          </cell>
          <cell r="G988">
            <v>13.770270270270323</v>
          </cell>
          <cell r="H988">
            <v>13.770270270270323</v>
          </cell>
          <cell r="I988" t="e">
            <v>#N/A</v>
          </cell>
          <cell r="J988" t="e">
            <v>#N/A</v>
          </cell>
          <cell r="K988">
            <v>17.5</v>
          </cell>
          <cell r="L988">
            <v>14</v>
          </cell>
          <cell r="M988" t="e">
            <v>#N/A</v>
          </cell>
          <cell r="N988">
            <v>16.5</v>
          </cell>
          <cell r="O988" t="e">
            <v>#N/A</v>
          </cell>
          <cell r="P988" t="str">
            <v/>
          </cell>
          <cell r="Q988" t="str">
            <v/>
          </cell>
          <cell r="R988">
            <v>16.5</v>
          </cell>
        </row>
        <row r="989">
          <cell r="A989" t="str">
            <v/>
          </cell>
          <cell r="B989" t="str">
            <v/>
          </cell>
          <cell r="C989" t="str">
            <v>Future</v>
          </cell>
          <cell r="D989" t="e">
            <v>#N/A</v>
          </cell>
          <cell r="E989">
            <v>-9.4743243243243995</v>
          </cell>
          <cell r="F989">
            <v>19.579729729730008</v>
          </cell>
          <cell r="G989">
            <v>13.768918918918972</v>
          </cell>
          <cell r="H989">
            <v>13.768918918918972</v>
          </cell>
          <cell r="I989" t="e">
            <v>#N/A</v>
          </cell>
          <cell r="J989" t="e">
            <v>#N/A</v>
          </cell>
          <cell r="K989">
            <v>17.5</v>
          </cell>
          <cell r="L989">
            <v>14</v>
          </cell>
          <cell r="M989" t="e">
            <v>#N/A</v>
          </cell>
          <cell r="N989">
            <v>16.5</v>
          </cell>
          <cell r="O989" t="e">
            <v>#N/A</v>
          </cell>
          <cell r="P989" t="str">
            <v/>
          </cell>
          <cell r="Q989" t="str">
            <v/>
          </cell>
          <cell r="R989">
            <v>16.5</v>
          </cell>
        </row>
        <row r="990">
          <cell r="A990" t="str">
            <v/>
          </cell>
          <cell r="B990" t="str">
            <v/>
          </cell>
          <cell r="C990" t="str">
            <v>Future</v>
          </cell>
          <cell r="D990" t="e">
            <v>#N/A</v>
          </cell>
          <cell r="E990">
            <v>-9.5297297297298051</v>
          </cell>
          <cell r="F990">
            <v>19.591891891892171</v>
          </cell>
          <cell r="G990">
            <v>13.767567567567621</v>
          </cell>
          <cell r="H990">
            <v>13.767567567567621</v>
          </cell>
          <cell r="I990" t="e">
            <v>#N/A</v>
          </cell>
          <cell r="J990" t="e">
            <v>#N/A</v>
          </cell>
          <cell r="K990">
            <v>17.5</v>
          </cell>
          <cell r="L990">
            <v>14</v>
          </cell>
          <cell r="M990" t="e">
            <v>#N/A</v>
          </cell>
          <cell r="N990">
            <v>16.5</v>
          </cell>
          <cell r="O990" t="e">
            <v>#N/A</v>
          </cell>
          <cell r="P990" t="str">
            <v/>
          </cell>
          <cell r="Q990" t="str">
            <v/>
          </cell>
          <cell r="R990">
            <v>16.5</v>
          </cell>
        </row>
        <row r="991">
          <cell r="A991" t="str">
            <v/>
          </cell>
          <cell r="B991" t="str">
            <v/>
          </cell>
          <cell r="C991" t="str">
            <v>Future</v>
          </cell>
          <cell r="D991" t="e">
            <v>#N/A</v>
          </cell>
          <cell r="E991">
            <v>-9.5851351351352108</v>
          </cell>
          <cell r="F991">
            <v>19.604054054054334</v>
          </cell>
          <cell r="G991">
            <v>13.76621621621627</v>
          </cell>
          <cell r="H991">
            <v>13.76621621621627</v>
          </cell>
          <cell r="I991" t="e">
            <v>#N/A</v>
          </cell>
          <cell r="J991" t="e">
            <v>#N/A</v>
          </cell>
          <cell r="K991">
            <v>17.5</v>
          </cell>
          <cell r="L991">
            <v>14</v>
          </cell>
          <cell r="M991" t="e">
            <v>#N/A</v>
          </cell>
          <cell r="N991">
            <v>16.5</v>
          </cell>
          <cell r="O991" t="e">
            <v>#N/A</v>
          </cell>
          <cell r="P991" t="str">
            <v/>
          </cell>
          <cell r="Q991" t="str">
            <v/>
          </cell>
          <cell r="R991">
            <v>16.5</v>
          </cell>
        </row>
        <row r="992">
          <cell r="A992" t="str">
            <v/>
          </cell>
          <cell r="B992" t="str">
            <v/>
          </cell>
          <cell r="C992" t="str">
            <v>Future</v>
          </cell>
          <cell r="D992" t="e">
            <v>#N/A</v>
          </cell>
          <cell r="E992">
            <v>-9.6405405405406164</v>
          </cell>
          <cell r="F992">
            <v>19.616216216216497</v>
          </cell>
          <cell r="G992">
            <v>13.764864864864919</v>
          </cell>
          <cell r="H992">
            <v>13.764864864864919</v>
          </cell>
          <cell r="I992" t="e">
            <v>#N/A</v>
          </cell>
          <cell r="J992" t="e">
            <v>#N/A</v>
          </cell>
          <cell r="K992">
            <v>17.5</v>
          </cell>
          <cell r="L992">
            <v>14</v>
          </cell>
          <cell r="M992" t="e">
            <v>#N/A</v>
          </cell>
          <cell r="N992">
            <v>16.5</v>
          </cell>
          <cell r="O992" t="e">
            <v>#N/A</v>
          </cell>
          <cell r="P992" t="str">
            <v/>
          </cell>
          <cell r="Q992" t="str">
            <v/>
          </cell>
          <cell r="R992">
            <v>16.5</v>
          </cell>
        </row>
        <row r="993">
          <cell r="A993" t="str">
            <v/>
          </cell>
          <cell r="B993" t="str">
            <v/>
          </cell>
          <cell r="C993" t="str">
            <v>Future</v>
          </cell>
          <cell r="D993" t="e">
            <v>#N/A</v>
          </cell>
          <cell r="E993">
            <v>-9.695945945946022</v>
          </cell>
          <cell r="F993">
            <v>19.62837837837866</v>
          </cell>
          <cell r="G993">
            <v>13.763513513513567</v>
          </cell>
          <cell r="H993">
            <v>13.763513513513567</v>
          </cell>
          <cell r="I993" t="e">
            <v>#N/A</v>
          </cell>
          <cell r="J993" t="e">
            <v>#N/A</v>
          </cell>
          <cell r="K993">
            <v>17.5</v>
          </cell>
          <cell r="L993">
            <v>14</v>
          </cell>
          <cell r="M993" t="e">
            <v>#N/A</v>
          </cell>
          <cell r="N993">
            <v>16.5</v>
          </cell>
          <cell r="O993" t="e">
            <v>#N/A</v>
          </cell>
          <cell r="P993" t="str">
            <v/>
          </cell>
          <cell r="Q993" t="str">
            <v/>
          </cell>
          <cell r="R993">
            <v>16.5</v>
          </cell>
        </row>
        <row r="994">
          <cell r="A994" t="str">
            <v/>
          </cell>
          <cell r="B994" t="str">
            <v/>
          </cell>
          <cell r="C994" t="str">
            <v>Future</v>
          </cell>
          <cell r="D994" t="e">
            <v>#N/A</v>
          </cell>
          <cell r="E994">
            <v>-9.7513513513514276</v>
          </cell>
          <cell r="F994">
            <v>19.640540540540822</v>
          </cell>
          <cell r="G994">
            <v>13.762162162162216</v>
          </cell>
          <cell r="H994">
            <v>13.762162162162216</v>
          </cell>
          <cell r="I994" t="e">
            <v>#N/A</v>
          </cell>
          <cell r="J994" t="e">
            <v>#N/A</v>
          </cell>
          <cell r="K994">
            <v>17.5</v>
          </cell>
          <cell r="L994">
            <v>14</v>
          </cell>
          <cell r="M994" t="e">
            <v>#N/A</v>
          </cell>
          <cell r="N994">
            <v>16.5</v>
          </cell>
          <cell r="O994" t="e">
            <v>#N/A</v>
          </cell>
          <cell r="P994" t="str">
            <v/>
          </cell>
          <cell r="Q994" t="str">
            <v/>
          </cell>
          <cell r="R994">
            <v>16.5</v>
          </cell>
        </row>
        <row r="995">
          <cell r="A995" t="str">
            <v/>
          </cell>
          <cell r="B995" t="str">
            <v/>
          </cell>
          <cell r="C995" t="str">
            <v>Future</v>
          </cell>
          <cell r="D995" t="e">
            <v>#N/A</v>
          </cell>
          <cell r="E995">
            <v>-9.8067567567568332</v>
          </cell>
          <cell r="F995">
            <v>19.652702702702985</v>
          </cell>
          <cell r="G995">
            <v>13.760810810810865</v>
          </cell>
          <cell r="H995">
            <v>13.760810810810865</v>
          </cell>
          <cell r="I995" t="e">
            <v>#N/A</v>
          </cell>
          <cell r="J995" t="e">
            <v>#N/A</v>
          </cell>
          <cell r="K995">
            <v>17.5</v>
          </cell>
          <cell r="L995">
            <v>14</v>
          </cell>
          <cell r="M995" t="e">
            <v>#N/A</v>
          </cell>
          <cell r="N995">
            <v>16.5</v>
          </cell>
          <cell r="O995" t="e">
            <v>#N/A</v>
          </cell>
          <cell r="P995" t="str">
            <v/>
          </cell>
          <cell r="Q995" t="str">
            <v/>
          </cell>
          <cell r="R995">
            <v>16.5</v>
          </cell>
        </row>
        <row r="996">
          <cell r="A996" t="str">
            <v/>
          </cell>
          <cell r="B996" t="str">
            <v/>
          </cell>
          <cell r="C996" t="str">
            <v>Future</v>
          </cell>
          <cell r="D996" t="e">
            <v>#N/A</v>
          </cell>
          <cell r="E996">
            <v>-9.8621621621622388</v>
          </cell>
          <cell r="F996">
            <v>19.664864864865148</v>
          </cell>
          <cell r="G996">
            <v>13.759459459459514</v>
          </cell>
          <cell r="H996">
            <v>13.759459459459514</v>
          </cell>
          <cell r="I996" t="e">
            <v>#N/A</v>
          </cell>
          <cell r="J996" t="e">
            <v>#N/A</v>
          </cell>
          <cell r="K996">
            <v>17.5</v>
          </cell>
          <cell r="L996">
            <v>14</v>
          </cell>
          <cell r="M996" t="e">
            <v>#N/A</v>
          </cell>
          <cell r="N996">
            <v>16.5</v>
          </cell>
          <cell r="O996" t="e">
            <v>#N/A</v>
          </cell>
          <cell r="P996" t="str">
            <v/>
          </cell>
          <cell r="Q996" t="str">
            <v/>
          </cell>
          <cell r="R996">
            <v>16.5</v>
          </cell>
        </row>
        <row r="997">
          <cell r="A997" t="str">
            <v/>
          </cell>
          <cell r="B997" t="str">
            <v/>
          </cell>
          <cell r="C997" t="str">
            <v>Future</v>
          </cell>
          <cell r="D997" t="e">
            <v>#N/A</v>
          </cell>
          <cell r="E997">
            <v>-9.9175675675676445</v>
          </cell>
          <cell r="F997">
            <v>19.677027027027311</v>
          </cell>
          <cell r="G997">
            <v>13.758108108108162</v>
          </cell>
          <cell r="H997">
            <v>13.758108108108162</v>
          </cell>
          <cell r="I997" t="e">
            <v>#N/A</v>
          </cell>
          <cell r="J997" t="e">
            <v>#N/A</v>
          </cell>
          <cell r="K997">
            <v>17.5</v>
          </cell>
          <cell r="L997">
            <v>14</v>
          </cell>
          <cell r="M997" t="e">
            <v>#N/A</v>
          </cell>
          <cell r="N997">
            <v>16.5</v>
          </cell>
          <cell r="O997" t="e">
            <v>#N/A</v>
          </cell>
          <cell r="P997" t="str">
            <v/>
          </cell>
          <cell r="Q997" t="str">
            <v/>
          </cell>
          <cell r="R997">
            <v>16.5</v>
          </cell>
        </row>
        <row r="998">
          <cell r="A998" t="str">
            <v/>
          </cell>
          <cell r="B998" t="str">
            <v/>
          </cell>
          <cell r="C998" t="str">
            <v>Future</v>
          </cell>
          <cell r="D998" t="e">
            <v>#N/A</v>
          </cell>
          <cell r="E998">
            <v>-9.9729729729730501</v>
          </cell>
          <cell r="F998">
            <v>19.689189189189474</v>
          </cell>
          <cell r="G998">
            <v>13.756756756756811</v>
          </cell>
          <cell r="H998">
            <v>13.756756756756811</v>
          </cell>
          <cell r="I998" t="e">
            <v>#N/A</v>
          </cell>
          <cell r="J998" t="e">
            <v>#N/A</v>
          </cell>
          <cell r="K998">
            <v>17.5</v>
          </cell>
          <cell r="L998">
            <v>14</v>
          </cell>
          <cell r="M998" t="e">
            <v>#N/A</v>
          </cell>
          <cell r="N998">
            <v>16.5</v>
          </cell>
          <cell r="O998" t="e">
            <v>#N/A</v>
          </cell>
          <cell r="P998" t="str">
            <v/>
          </cell>
          <cell r="Q998" t="str">
            <v/>
          </cell>
          <cell r="R998">
            <v>16.5</v>
          </cell>
        </row>
        <row r="999">
          <cell r="A999" t="str">
            <v/>
          </cell>
          <cell r="B999" t="str">
            <v/>
          </cell>
          <cell r="C999" t="str">
            <v>Future</v>
          </cell>
          <cell r="D999" t="e">
            <v>#N/A</v>
          </cell>
          <cell r="E999">
            <v>-10.028378378378456</v>
          </cell>
          <cell r="F999">
            <v>19.701351351351637</v>
          </cell>
          <cell r="G999">
            <v>13.75540540540546</v>
          </cell>
          <cell r="H999">
            <v>13.75540540540546</v>
          </cell>
          <cell r="I999" t="e">
            <v>#N/A</v>
          </cell>
          <cell r="J999" t="e">
            <v>#N/A</v>
          </cell>
          <cell r="K999">
            <v>17.5</v>
          </cell>
          <cell r="L999">
            <v>14</v>
          </cell>
          <cell r="M999" t="e">
            <v>#N/A</v>
          </cell>
          <cell r="N999">
            <v>16.5</v>
          </cell>
          <cell r="O999" t="e">
            <v>#N/A</v>
          </cell>
          <cell r="P999" t="str">
            <v/>
          </cell>
          <cell r="Q999" t="str">
            <v/>
          </cell>
          <cell r="R999">
            <v>16.5</v>
          </cell>
        </row>
        <row r="1000">
          <cell r="A1000" t="str">
            <v/>
          </cell>
          <cell r="B1000" t="str">
            <v/>
          </cell>
          <cell r="C1000" t="str">
            <v>Future</v>
          </cell>
          <cell r="D1000" t="e">
            <v>#N/A</v>
          </cell>
          <cell r="E1000">
            <v>-10.083783783783861</v>
          </cell>
          <cell r="F1000">
            <v>19.713513513513799</v>
          </cell>
          <cell r="G1000">
            <v>13.754054054054109</v>
          </cell>
          <cell r="H1000">
            <v>13.754054054054109</v>
          </cell>
          <cell r="I1000" t="e">
            <v>#N/A</v>
          </cell>
          <cell r="J1000" t="e">
            <v>#N/A</v>
          </cell>
          <cell r="K1000">
            <v>17.5</v>
          </cell>
          <cell r="L1000">
            <v>14</v>
          </cell>
          <cell r="M1000" t="e">
            <v>#N/A</v>
          </cell>
          <cell r="N1000">
            <v>16.5</v>
          </cell>
          <cell r="O1000" t="e">
            <v>#N/A</v>
          </cell>
          <cell r="P1000" t="str">
            <v/>
          </cell>
          <cell r="Q1000" t="str">
            <v/>
          </cell>
          <cell r="R1000">
            <v>16.5</v>
          </cell>
        </row>
        <row r="1001">
          <cell r="A1001" t="str">
            <v/>
          </cell>
          <cell r="B1001" t="str">
            <v/>
          </cell>
          <cell r="C1001" t="str">
            <v>Future</v>
          </cell>
          <cell r="D1001" t="e">
            <v>#N/A</v>
          </cell>
          <cell r="E1001">
            <v>-10.139189189189267</v>
          </cell>
          <cell r="F1001">
            <v>19.725675675675962</v>
          </cell>
          <cell r="G1001">
            <v>13.752702702702758</v>
          </cell>
          <cell r="H1001">
            <v>13.752702702702758</v>
          </cell>
          <cell r="I1001" t="e">
            <v>#N/A</v>
          </cell>
          <cell r="J1001" t="e">
            <v>#N/A</v>
          </cell>
          <cell r="K1001">
            <v>17.5</v>
          </cell>
          <cell r="L1001">
            <v>14</v>
          </cell>
          <cell r="M1001" t="e">
            <v>#N/A</v>
          </cell>
          <cell r="N1001">
            <v>16.5</v>
          </cell>
          <cell r="O1001" t="e">
            <v>#N/A</v>
          </cell>
          <cell r="P1001" t="str">
            <v/>
          </cell>
          <cell r="Q1001" t="str">
            <v/>
          </cell>
          <cell r="R1001">
            <v>16.5</v>
          </cell>
        </row>
        <row r="1002">
          <cell r="A1002" t="str">
            <v/>
          </cell>
          <cell r="B1002" t="str">
            <v/>
          </cell>
          <cell r="C1002" t="str">
            <v>Future</v>
          </cell>
          <cell r="D1002" t="e">
            <v>#N/A</v>
          </cell>
          <cell r="E1002">
            <v>-10.194594594594673</v>
          </cell>
          <cell r="F1002">
            <v>19.737837837838125</v>
          </cell>
          <cell r="G1002">
            <v>13.751351351351406</v>
          </cell>
          <cell r="H1002">
            <v>13.751351351351406</v>
          </cell>
          <cell r="I1002" t="e">
            <v>#N/A</v>
          </cell>
          <cell r="J1002" t="e">
            <v>#N/A</v>
          </cell>
          <cell r="K1002">
            <v>17.5</v>
          </cell>
          <cell r="L1002">
            <v>14</v>
          </cell>
          <cell r="M1002" t="e">
            <v>#N/A</v>
          </cell>
          <cell r="N1002">
            <v>16.5</v>
          </cell>
          <cell r="O1002" t="e">
            <v>#N/A</v>
          </cell>
          <cell r="P1002" t="str">
            <v/>
          </cell>
          <cell r="Q1002" t="str">
            <v/>
          </cell>
          <cell r="R1002">
            <v>16.5</v>
          </cell>
        </row>
        <row r="1003">
          <cell r="A1003" t="str">
            <v/>
          </cell>
          <cell r="B1003" t="str">
            <v/>
          </cell>
          <cell r="C1003" t="str">
            <v>Future</v>
          </cell>
          <cell r="D1003" t="e">
            <v>#N/A</v>
          </cell>
          <cell r="E1003">
            <v>-10.250000000000078</v>
          </cell>
          <cell r="F1003">
            <v>19.750000000000288</v>
          </cell>
          <cell r="G1003">
            <v>13.750000000000055</v>
          </cell>
          <cell r="H1003">
            <v>13.750000000000055</v>
          </cell>
          <cell r="I1003" t="e">
            <v>#N/A</v>
          </cell>
          <cell r="J1003" t="e">
            <v>#N/A</v>
          </cell>
          <cell r="K1003">
            <v>17.5</v>
          </cell>
          <cell r="L1003">
            <v>14</v>
          </cell>
          <cell r="M1003" t="e">
            <v>#N/A</v>
          </cell>
          <cell r="N1003">
            <v>16.5</v>
          </cell>
          <cell r="O1003" t="e">
            <v>#N/A</v>
          </cell>
          <cell r="P1003" t="str">
            <v/>
          </cell>
          <cell r="Q1003" t="str">
            <v/>
          </cell>
          <cell r="R1003">
            <v>16.5</v>
          </cell>
        </row>
        <row r="1004">
          <cell r="A1004" t="str">
            <v/>
          </cell>
          <cell r="B1004" t="str">
            <v/>
          </cell>
          <cell r="C1004" t="str">
            <v>Future</v>
          </cell>
          <cell r="D1004" t="e">
            <v>#N/A</v>
          </cell>
          <cell r="E1004">
            <v>-10.305405405405484</v>
          </cell>
          <cell r="F1004">
            <v>19.762162162162451</v>
          </cell>
          <cell r="G1004">
            <v>13.748648648648704</v>
          </cell>
          <cell r="H1004">
            <v>13.748648648648704</v>
          </cell>
          <cell r="I1004" t="e">
            <v>#N/A</v>
          </cell>
          <cell r="J1004" t="e">
            <v>#N/A</v>
          </cell>
          <cell r="K1004">
            <v>17.5</v>
          </cell>
          <cell r="L1004">
            <v>14</v>
          </cell>
          <cell r="M1004" t="e">
            <v>#N/A</v>
          </cell>
          <cell r="N1004">
            <v>16.5</v>
          </cell>
          <cell r="O1004" t="e">
            <v>#N/A</v>
          </cell>
          <cell r="P1004" t="str">
            <v/>
          </cell>
          <cell r="Q1004" t="str">
            <v/>
          </cell>
          <cell r="R1004">
            <v>16.5</v>
          </cell>
        </row>
        <row r="1005">
          <cell r="A1005" t="str">
            <v/>
          </cell>
          <cell r="B1005" t="str">
            <v/>
          </cell>
          <cell r="C1005" t="str">
            <v>Future</v>
          </cell>
          <cell r="D1005" t="e">
            <v>#N/A</v>
          </cell>
          <cell r="E1005">
            <v>-10.360810810810889</v>
          </cell>
          <cell r="F1005">
            <v>19.774324324324613</v>
          </cell>
          <cell r="G1005">
            <v>13.747297297297353</v>
          </cell>
          <cell r="H1005">
            <v>13.747297297297353</v>
          </cell>
          <cell r="I1005" t="e">
            <v>#N/A</v>
          </cell>
          <cell r="J1005" t="e">
            <v>#N/A</v>
          </cell>
          <cell r="K1005">
            <v>17.5</v>
          </cell>
          <cell r="L1005">
            <v>14</v>
          </cell>
          <cell r="M1005" t="e">
            <v>#N/A</v>
          </cell>
          <cell r="N1005">
            <v>16.5</v>
          </cell>
          <cell r="O1005" t="e">
            <v>#N/A</v>
          </cell>
          <cell r="P1005" t="str">
            <v/>
          </cell>
          <cell r="Q1005" t="str">
            <v/>
          </cell>
          <cell r="R1005">
            <v>16.5</v>
          </cell>
        </row>
        <row r="1006">
          <cell r="A1006" t="str">
            <v/>
          </cell>
          <cell r="B1006" t="str">
            <v/>
          </cell>
          <cell r="C1006" t="str">
            <v>Future</v>
          </cell>
          <cell r="D1006" t="e">
            <v>#N/A</v>
          </cell>
          <cell r="E1006">
            <v>-10.416216216216295</v>
          </cell>
          <cell r="F1006">
            <v>19.786486486486776</v>
          </cell>
          <cell r="G1006">
            <v>13.745945945946001</v>
          </cell>
          <cell r="H1006">
            <v>13.745945945946001</v>
          </cell>
          <cell r="I1006" t="e">
            <v>#N/A</v>
          </cell>
          <cell r="J1006" t="e">
            <v>#N/A</v>
          </cell>
          <cell r="K1006">
            <v>17.5</v>
          </cell>
          <cell r="L1006">
            <v>14</v>
          </cell>
          <cell r="M1006" t="e">
            <v>#N/A</v>
          </cell>
          <cell r="N1006">
            <v>16.5</v>
          </cell>
          <cell r="O1006" t="e">
            <v>#N/A</v>
          </cell>
          <cell r="P1006" t="str">
            <v/>
          </cell>
          <cell r="Q1006" t="str">
            <v/>
          </cell>
          <cell r="R1006">
            <v>16.5</v>
          </cell>
        </row>
        <row r="1007">
          <cell r="A1007" t="str">
            <v/>
          </cell>
          <cell r="B1007" t="str">
            <v/>
          </cell>
          <cell r="C1007" t="str">
            <v>Future</v>
          </cell>
          <cell r="D1007" t="e">
            <v>#N/A</v>
          </cell>
          <cell r="E1007">
            <v>-10.471621621621701</v>
          </cell>
          <cell r="F1007">
            <v>19.798648648648939</v>
          </cell>
          <cell r="G1007">
            <v>13.74459459459465</v>
          </cell>
          <cell r="H1007">
            <v>13.74459459459465</v>
          </cell>
          <cell r="I1007" t="e">
            <v>#N/A</v>
          </cell>
          <cell r="J1007" t="e">
            <v>#N/A</v>
          </cell>
          <cell r="K1007">
            <v>17.5</v>
          </cell>
          <cell r="L1007">
            <v>14</v>
          </cell>
          <cell r="M1007" t="e">
            <v>#N/A</v>
          </cell>
          <cell r="N1007">
            <v>16.5</v>
          </cell>
          <cell r="O1007" t="e">
            <v>#N/A</v>
          </cell>
          <cell r="P1007" t="str">
            <v/>
          </cell>
          <cell r="Q1007" t="str">
            <v/>
          </cell>
          <cell r="R1007">
            <v>16.5</v>
          </cell>
        </row>
        <row r="1008">
          <cell r="A1008" t="str">
            <v/>
          </cell>
          <cell r="B1008" t="str">
            <v/>
          </cell>
          <cell r="C1008" t="str">
            <v>Future</v>
          </cell>
          <cell r="D1008" t="e">
            <v>#N/A</v>
          </cell>
          <cell r="E1008">
            <v>-10.527027027027106</v>
          </cell>
          <cell r="F1008">
            <v>19.810810810811102</v>
          </cell>
          <cell r="G1008">
            <v>13.743243243243299</v>
          </cell>
          <cell r="H1008">
            <v>13.743243243243299</v>
          </cell>
          <cell r="I1008" t="e">
            <v>#N/A</v>
          </cell>
          <cell r="J1008" t="e">
            <v>#N/A</v>
          </cell>
          <cell r="K1008">
            <v>17.5</v>
          </cell>
          <cell r="L1008">
            <v>14</v>
          </cell>
          <cell r="M1008" t="e">
            <v>#N/A</v>
          </cell>
          <cell r="N1008">
            <v>16.5</v>
          </cell>
          <cell r="O1008" t="e">
            <v>#N/A</v>
          </cell>
          <cell r="P1008" t="str">
            <v/>
          </cell>
          <cell r="Q1008" t="str">
            <v/>
          </cell>
          <cell r="R1008">
            <v>16.5</v>
          </cell>
        </row>
        <row r="1009">
          <cell r="A1009" t="str">
            <v/>
          </cell>
          <cell r="B1009" t="str">
            <v/>
          </cell>
          <cell r="C1009" t="str">
            <v>Future</v>
          </cell>
          <cell r="D1009" t="e">
            <v>#N/A</v>
          </cell>
          <cell r="E1009">
            <v>-10.582432432432512</v>
          </cell>
          <cell r="F1009">
            <v>19.822972972973265</v>
          </cell>
          <cell r="G1009">
            <v>13.741891891891948</v>
          </cell>
          <cell r="H1009">
            <v>13.741891891891948</v>
          </cell>
          <cell r="I1009" t="e">
            <v>#N/A</v>
          </cell>
          <cell r="J1009" t="e">
            <v>#N/A</v>
          </cell>
          <cell r="K1009">
            <v>17.5</v>
          </cell>
          <cell r="L1009">
            <v>14</v>
          </cell>
          <cell r="M1009" t="e">
            <v>#N/A</v>
          </cell>
          <cell r="N1009">
            <v>16.5</v>
          </cell>
          <cell r="O1009" t="e">
            <v>#N/A</v>
          </cell>
          <cell r="P1009" t="str">
            <v/>
          </cell>
          <cell r="Q1009" t="str">
            <v/>
          </cell>
          <cell r="R1009">
            <v>16.5</v>
          </cell>
        </row>
        <row r="1010">
          <cell r="A1010" t="str">
            <v/>
          </cell>
          <cell r="B1010" t="str">
            <v/>
          </cell>
          <cell r="C1010" t="str">
            <v>Future</v>
          </cell>
          <cell r="D1010" t="e">
            <v>#N/A</v>
          </cell>
          <cell r="E1010">
            <v>-10.637837837837917</v>
          </cell>
          <cell r="F1010">
            <v>19.835135135135427</v>
          </cell>
          <cell r="G1010">
            <v>13.740540540540596</v>
          </cell>
          <cell r="H1010">
            <v>13.740540540540596</v>
          </cell>
          <cell r="I1010" t="e">
            <v>#N/A</v>
          </cell>
          <cell r="J1010" t="e">
            <v>#N/A</v>
          </cell>
          <cell r="K1010">
            <v>17.5</v>
          </cell>
          <cell r="L1010">
            <v>14</v>
          </cell>
          <cell r="M1010" t="e">
            <v>#N/A</v>
          </cell>
          <cell r="N1010">
            <v>16.5</v>
          </cell>
          <cell r="O1010" t="e">
            <v>#N/A</v>
          </cell>
          <cell r="P1010" t="str">
            <v/>
          </cell>
          <cell r="Q1010" t="str">
            <v/>
          </cell>
          <cell r="R1010">
            <v>16.5</v>
          </cell>
        </row>
        <row r="1011">
          <cell r="A1011" t="str">
            <v/>
          </cell>
          <cell r="B1011" t="str">
            <v/>
          </cell>
          <cell r="C1011" t="str">
            <v>Future</v>
          </cell>
          <cell r="D1011" t="e">
            <v>#N/A</v>
          </cell>
          <cell r="E1011">
            <v>-10.693243243243323</v>
          </cell>
          <cell r="F1011">
            <v>19.84729729729759</v>
          </cell>
          <cell r="G1011">
            <v>13.739189189189245</v>
          </cell>
          <cell r="H1011">
            <v>13.739189189189245</v>
          </cell>
          <cell r="I1011" t="e">
            <v>#N/A</v>
          </cell>
          <cell r="J1011" t="e">
            <v>#N/A</v>
          </cell>
          <cell r="K1011">
            <v>17.5</v>
          </cell>
          <cell r="L1011">
            <v>14</v>
          </cell>
          <cell r="M1011" t="e">
            <v>#N/A</v>
          </cell>
          <cell r="N1011">
            <v>16.5</v>
          </cell>
          <cell r="O1011" t="e">
            <v>#N/A</v>
          </cell>
          <cell r="P1011" t="str">
            <v/>
          </cell>
          <cell r="Q1011" t="str">
            <v/>
          </cell>
          <cell r="R1011">
            <v>16.5</v>
          </cell>
        </row>
        <row r="1012">
          <cell r="A1012" t="str">
            <v/>
          </cell>
          <cell r="B1012" t="str">
            <v/>
          </cell>
          <cell r="C1012" t="str">
            <v>Future</v>
          </cell>
          <cell r="D1012" t="e">
            <v>#N/A</v>
          </cell>
          <cell r="E1012">
            <v>-10.748648648648729</v>
          </cell>
          <cell r="F1012">
            <v>19.859459459459753</v>
          </cell>
          <cell r="G1012">
            <v>13.737837837837894</v>
          </cell>
          <cell r="H1012">
            <v>13.737837837837894</v>
          </cell>
          <cell r="I1012" t="e">
            <v>#N/A</v>
          </cell>
          <cell r="J1012" t="e">
            <v>#N/A</v>
          </cell>
          <cell r="K1012">
            <v>17.5</v>
          </cell>
          <cell r="L1012">
            <v>14</v>
          </cell>
          <cell r="M1012" t="e">
            <v>#N/A</v>
          </cell>
          <cell r="N1012">
            <v>16.5</v>
          </cell>
          <cell r="O1012" t="e">
            <v>#N/A</v>
          </cell>
          <cell r="P1012" t="str">
            <v/>
          </cell>
          <cell r="Q1012" t="str">
            <v/>
          </cell>
          <cell r="R1012">
            <v>16.5</v>
          </cell>
        </row>
        <row r="1013">
          <cell r="A1013" t="str">
            <v/>
          </cell>
          <cell r="B1013" t="str">
            <v/>
          </cell>
          <cell r="C1013" t="str">
            <v>Future</v>
          </cell>
          <cell r="D1013" t="e">
            <v>#N/A</v>
          </cell>
          <cell r="E1013">
            <v>-10.804054054054134</v>
          </cell>
          <cell r="F1013">
            <v>19.871621621621916</v>
          </cell>
          <cell r="G1013">
            <v>13.736486486486543</v>
          </cell>
          <cell r="H1013">
            <v>13.736486486486543</v>
          </cell>
          <cell r="I1013" t="e">
            <v>#N/A</v>
          </cell>
          <cell r="J1013" t="e">
            <v>#N/A</v>
          </cell>
          <cell r="K1013">
            <v>17.5</v>
          </cell>
          <cell r="L1013">
            <v>14</v>
          </cell>
          <cell r="M1013" t="e">
            <v>#N/A</v>
          </cell>
          <cell r="N1013">
            <v>16.5</v>
          </cell>
          <cell r="O1013" t="e">
            <v>#N/A</v>
          </cell>
          <cell r="P1013" t="str">
            <v/>
          </cell>
          <cell r="Q1013" t="str">
            <v/>
          </cell>
          <cell r="R1013">
            <v>16.5</v>
          </cell>
        </row>
        <row r="1014">
          <cell r="A1014" t="str">
            <v/>
          </cell>
          <cell r="B1014" t="str">
            <v/>
          </cell>
          <cell r="C1014" t="str">
            <v>Future</v>
          </cell>
          <cell r="D1014" t="e">
            <v>#N/A</v>
          </cell>
          <cell r="E1014">
            <v>-10.85945945945954</v>
          </cell>
          <cell r="F1014">
            <v>19.883783783784079</v>
          </cell>
          <cell r="G1014">
            <v>13.735135135135192</v>
          </cell>
          <cell r="H1014">
            <v>13.735135135135192</v>
          </cell>
          <cell r="I1014" t="e">
            <v>#N/A</v>
          </cell>
          <cell r="J1014" t="e">
            <v>#N/A</v>
          </cell>
          <cell r="K1014">
            <v>17.5</v>
          </cell>
          <cell r="L1014">
            <v>14</v>
          </cell>
          <cell r="M1014" t="e">
            <v>#N/A</v>
          </cell>
          <cell r="N1014">
            <v>16.5</v>
          </cell>
          <cell r="O1014" t="e">
            <v>#N/A</v>
          </cell>
          <cell r="P1014" t="str">
            <v/>
          </cell>
          <cell r="Q1014" t="str">
            <v/>
          </cell>
          <cell r="R1014">
            <v>16.5</v>
          </cell>
        </row>
        <row r="1015">
          <cell r="A1015" t="str">
            <v/>
          </cell>
          <cell r="B1015" t="str">
            <v/>
          </cell>
          <cell r="C1015" t="str">
            <v>Future</v>
          </cell>
          <cell r="D1015" t="e">
            <v>#N/A</v>
          </cell>
          <cell r="E1015">
            <v>-10.914864864864946</v>
          </cell>
          <cell r="F1015">
            <v>19.895945945946242</v>
          </cell>
          <cell r="G1015">
            <v>13.73378378378384</v>
          </cell>
          <cell r="H1015">
            <v>13.73378378378384</v>
          </cell>
          <cell r="I1015" t="e">
            <v>#N/A</v>
          </cell>
          <cell r="J1015" t="e">
            <v>#N/A</v>
          </cell>
          <cell r="K1015">
            <v>17.5</v>
          </cell>
          <cell r="L1015">
            <v>14</v>
          </cell>
          <cell r="M1015" t="e">
            <v>#N/A</v>
          </cell>
          <cell r="N1015">
            <v>16.5</v>
          </cell>
          <cell r="O1015" t="e">
            <v>#N/A</v>
          </cell>
          <cell r="P1015" t="str">
            <v/>
          </cell>
          <cell r="Q1015" t="str">
            <v/>
          </cell>
          <cell r="R1015">
            <v>16.5</v>
          </cell>
        </row>
        <row r="1016">
          <cell r="A1016" t="str">
            <v/>
          </cell>
          <cell r="B1016" t="str">
            <v/>
          </cell>
          <cell r="C1016" t="str">
            <v>Future</v>
          </cell>
          <cell r="D1016" t="e">
            <v>#N/A</v>
          </cell>
          <cell r="E1016">
            <v>-10.970270270270351</v>
          </cell>
          <cell r="F1016">
            <v>19.908108108108404</v>
          </cell>
          <cell r="G1016">
            <v>13.732432432432489</v>
          </cell>
          <cell r="H1016">
            <v>13.732432432432489</v>
          </cell>
          <cell r="I1016" t="e">
            <v>#N/A</v>
          </cell>
          <cell r="J1016" t="e">
            <v>#N/A</v>
          </cell>
          <cell r="K1016">
            <v>17.5</v>
          </cell>
          <cell r="L1016">
            <v>14</v>
          </cell>
          <cell r="M1016" t="e">
            <v>#N/A</v>
          </cell>
          <cell r="N1016">
            <v>16.5</v>
          </cell>
          <cell r="O1016" t="e">
            <v>#N/A</v>
          </cell>
          <cell r="P1016" t="str">
            <v/>
          </cell>
          <cell r="Q1016" t="str">
            <v/>
          </cell>
          <cell r="R1016">
            <v>16.5</v>
          </cell>
        </row>
        <row r="1017">
          <cell r="A1017" t="str">
            <v/>
          </cell>
          <cell r="B1017" t="str">
            <v/>
          </cell>
          <cell r="C1017" t="str">
            <v>Future</v>
          </cell>
          <cell r="D1017" t="e">
            <v>#N/A</v>
          </cell>
          <cell r="E1017">
            <v>-11.025675675675757</v>
          </cell>
          <cell r="F1017">
            <v>19.920270270270567</v>
          </cell>
          <cell r="G1017">
            <v>13.731081081081138</v>
          </cell>
          <cell r="H1017">
            <v>13.731081081081138</v>
          </cell>
          <cell r="I1017" t="e">
            <v>#N/A</v>
          </cell>
          <cell r="J1017" t="e">
            <v>#N/A</v>
          </cell>
          <cell r="K1017">
            <v>17.5</v>
          </cell>
          <cell r="L1017">
            <v>14</v>
          </cell>
          <cell r="M1017" t="e">
            <v>#N/A</v>
          </cell>
          <cell r="N1017">
            <v>16.5</v>
          </cell>
          <cell r="O1017" t="e">
            <v>#N/A</v>
          </cell>
          <cell r="P1017" t="str">
            <v/>
          </cell>
          <cell r="Q1017" t="str">
            <v/>
          </cell>
          <cell r="R1017">
            <v>16.5</v>
          </cell>
        </row>
        <row r="1018">
          <cell r="A1018" t="str">
            <v/>
          </cell>
          <cell r="B1018" t="str">
            <v/>
          </cell>
          <cell r="C1018" t="str">
            <v>Future</v>
          </cell>
          <cell r="D1018" t="e">
            <v>#N/A</v>
          </cell>
          <cell r="E1018">
            <v>-11.081081081081162</v>
          </cell>
          <cell r="F1018">
            <v>19.93243243243273</v>
          </cell>
          <cell r="G1018">
            <v>13.729729729729787</v>
          </cell>
          <cell r="H1018">
            <v>13.729729729729787</v>
          </cell>
          <cell r="I1018" t="e">
            <v>#N/A</v>
          </cell>
          <cell r="J1018" t="e">
            <v>#N/A</v>
          </cell>
          <cell r="K1018">
            <v>17.5</v>
          </cell>
          <cell r="L1018">
            <v>14</v>
          </cell>
          <cell r="M1018" t="e">
            <v>#N/A</v>
          </cell>
          <cell r="N1018">
            <v>16.5</v>
          </cell>
          <cell r="O1018" t="e">
            <v>#N/A</v>
          </cell>
          <cell r="P1018" t="str">
            <v/>
          </cell>
          <cell r="Q1018" t="str">
            <v/>
          </cell>
          <cell r="R1018">
            <v>16.5</v>
          </cell>
        </row>
        <row r="1019">
          <cell r="A1019" t="str">
            <v/>
          </cell>
          <cell r="B1019" t="str">
            <v/>
          </cell>
          <cell r="C1019" t="str">
            <v>Future</v>
          </cell>
          <cell r="D1019" t="e">
            <v>#N/A</v>
          </cell>
          <cell r="E1019">
            <v>-11.136486486486568</v>
          </cell>
          <cell r="F1019">
            <v>19.944594594594893</v>
          </cell>
          <cell r="G1019">
            <v>13.728378378378435</v>
          </cell>
          <cell r="H1019">
            <v>13.728378378378435</v>
          </cell>
          <cell r="I1019" t="e">
            <v>#N/A</v>
          </cell>
          <cell r="J1019" t="e">
            <v>#N/A</v>
          </cell>
          <cell r="K1019">
            <v>17.5</v>
          </cell>
          <cell r="L1019">
            <v>14</v>
          </cell>
          <cell r="M1019" t="e">
            <v>#N/A</v>
          </cell>
          <cell r="N1019">
            <v>16.5</v>
          </cell>
          <cell r="O1019" t="e">
            <v>#N/A</v>
          </cell>
          <cell r="P1019" t="str">
            <v/>
          </cell>
          <cell r="Q1019" t="str">
            <v/>
          </cell>
          <cell r="R1019">
            <v>16.5</v>
          </cell>
        </row>
        <row r="1020">
          <cell r="A1020" t="str">
            <v/>
          </cell>
          <cell r="B1020" t="str">
            <v/>
          </cell>
          <cell r="C1020" t="str">
            <v>Future</v>
          </cell>
          <cell r="D1020" t="e">
            <v>#N/A</v>
          </cell>
          <cell r="E1020">
            <v>-11.191891891891974</v>
          </cell>
          <cell r="F1020">
            <v>19.956756756757056</v>
          </cell>
          <cell r="G1020">
            <v>13.727027027027084</v>
          </cell>
          <cell r="H1020">
            <v>13.727027027027084</v>
          </cell>
          <cell r="I1020" t="e">
            <v>#N/A</v>
          </cell>
          <cell r="J1020" t="e">
            <v>#N/A</v>
          </cell>
          <cell r="K1020">
            <v>17.5</v>
          </cell>
          <cell r="L1020">
            <v>14</v>
          </cell>
          <cell r="M1020" t="e">
            <v>#N/A</v>
          </cell>
          <cell r="N1020">
            <v>16.5</v>
          </cell>
          <cell r="O1020" t="e">
            <v>#N/A</v>
          </cell>
          <cell r="P1020" t="str">
            <v/>
          </cell>
          <cell r="Q1020" t="str">
            <v/>
          </cell>
          <cell r="R1020">
            <v>16.5</v>
          </cell>
        </row>
        <row r="1021">
          <cell r="A1021" t="str">
            <v/>
          </cell>
          <cell r="B1021" t="str">
            <v/>
          </cell>
          <cell r="C1021" t="str">
            <v>Future</v>
          </cell>
          <cell r="D1021" t="e">
            <v>#N/A</v>
          </cell>
          <cell r="E1021">
            <v>-11.247297297297379</v>
          </cell>
          <cell r="F1021">
            <v>19.968918918919218</v>
          </cell>
          <cell r="G1021">
            <v>13.725675675675733</v>
          </cell>
          <cell r="H1021">
            <v>13.725675675675733</v>
          </cell>
          <cell r="I1021" t="e">
            <v>#N/A</v>
          </cell>
          <cell r="J1021" t="e">
            <v>#N/A</v>
          </cell>
          <cell r="K1021">
            <v>17.5</v>
          </cell>
          <cell r="L1021">
            <v>14</v>
          </cell>
          <cell r="M1021" t="e">
            <v>#N/A</v>
          </cell>
          <cell r="N1021">
            <v>16.5</v>
          </cell>
          <cell r="O1021" t="e">
            <v>#N/A</v>
          </cell>
          <cell r="P1021" t="str">
            <v/>
          </cell>
          <cell r="Q1021" t="str">
            <v/>
          </cell>
          <cell r="R1021">
            <v>16.5</v>
          </cell>
        </row>
        <row r="1022">
          <cell r="A1022" t="str">
            <v/>
          </cell>
          <cell r="B1022" t="str">
            <v/>
          </cell>
          <cell r="C1022" t="str">
            <v>Future</v>
          </cell>
          <cell r="D1022" t="e">
            <v>#N/A</v>
          </cell>
          <cell r="E1022">
            <v>-11.302702702702785</v>
          </cell>
          <cell r="F1022">
            <v>19.981081081081381</v>
          </cell>
          <cell r="G1022">
            <v>13.724324324324382</v>
          </cell>
          <cell r="H1022">
            <v>13.724324324324382</v>
          </cell>
          <cell r="I1022" t="e">
            <v>#N/A</v>
          </cell>
          <cell r="J1022" t="e">
            <v>#N/A</v>
          </cell>
          <cell r="K1022">
            <v>17.5</v>
          </cell>
          <cell r="L1022">
            <v>14</v>
          </cell>
          <cell r="M1022" t="e">
            <v>#N/A</v>
          </cell>
          <cell r="N1022">
            <v>16.5</v>
          </cell>
          <cell r="O1022" t="e">
            <v>#N/A</v>
          </cell>
          <cell r="P1022" t="str">
            <v/>
          </cell>
          <cell r="Q1022" t="str">
            <v/>
          </cell>
          <cell r="R1022">
            <v>16.5</v>
          </cell>
        </row>
        <row r="1023">
          <cell r="A1023" t="str">
            <v/>
          </cell>
          <cell r="B1023" t="str">
            <v/>
          </cell>
          <cell r="C1023" t="str">
            <v>Future</v>
          </cell>
          <cell r="D1023" t="e">
            <v>#N/A</v>
          </cell>
          <cell r="E1023">
            <v>-11.35810810810819</v>
          </cell>
          <cell r="F1023">
            <v>19.993243243243544</v>
          </cell>
          <cell r="G1023">
            <v>13.722972972973031</v>
          </cell>
          <cell r="H1023">
            <v>13.722972972973031</v>
          </cell>
          <cell r="I1023" t="e">
            <v>#N/A</v>
          </cell>
          <cell r="J1023" t="e">
            <v>#N/A</v>
          </cell>
          <cell r="K1023">
            <v>17.5</v>
          </cell>
          <cell r="L1023">
            <v>14</v>
          </cell>
          <cell r="M1023" t="e">
            <v>#N/A</v>
          </cell>
          <cell r="N1023">
            <v>16.5</v>
          </cell>
          <cell r="O1023" t="e">
            <v>#N/A</v>
          </cell>
          <cell r="P1023" t="str">
            <v/>
          </cell>
          <cell r="Q1023" t="str">
            <v/>
          </cell>
          <cell r="R1023">
            <v>16.5</v>
          </cell>
        </row>
        <row r="1024">
          <cell r="A1024" t="str">
            <v/>
          </cell>
          <cell r="B1024" t="str">
            <v/>
          </cell>
          <cell r="C1024" t="str">
            <v>Future</v>
          </cell>
          <cell r="D1024" t="e">
            <v>#N/A</v>
          </cell>
          <cell r="E1024">
            <v>-11.413513513513596</v>
          </cell>
          <cell r="F1024">
            <v>20.005405405405707</v>
          </cell>
          <cell r="G1024">
            <v>13.721621621621679</v>
          </cell>
          <cell r="H1024">
            <v>13.721621621621679</v>
          </cell>
          <cell r="I1024" t="e">
            <v>#N/A</v>
          </cell>
          <cell r="J1024" t="e">
            <v>#N/A</v>
          </cell>
          <cell r="K1024">
            <v>17.5</v>
          </cell>
          <cell r="L1024">
            <v>14</v>
          </cell>
          <cell r="M1024" t="e">
            <v>#N/A</v>
          </cell>
          <cell r="N1024">
            <v>16.5</v>
          </cell>
          <cell r="O1024" t="e">
            <v>#N/A</v>
          </cell>
          <cell r="P1024" t="str">
            <v/>
          </cell>
          <cell r="Q1024" t="str">
            <v/>
          </cell>
          <cell r="R1024">
            <v>16.5</v>
          </cell>
        </row>
        <row r="1025">
          <cell r="A1025" t="str">
            <v/>
          </cell>
          <cell r="B1025" t="str">
            <v/>
          </cell>
          <cell r="C1025" t="str">
            <v>Future</v>
          </cell>
          <cell r="D1025" t="e">
            <v>#N/A</v>
          </cell>
          <cell r="E1025">
            <v>-11.468918918919002</v>
          </cell>
          <cell r="F1025">
            <v>20.01756756756787</v>
          </cell>
          <cell r="G1025">
            <v>13.720270270270328</v>
          </cell>
          <cell r="H1025">
            <v>13.720270270270328</v>
          </cell>
          <cell r="I1025" t="e">
            <v>#N/A</v>
          </cell>
          <cell r="J1025" t="e">
            <v>#N/A</v>
          </cell>
          <cell r="K1025">
            <v>17.5</v>
          </cell>
          <cell r="L1025">
            <v>14</v>
          </cell>
          <cell r="M1025" t="e">
            <v>#N/A</v>
          </cell>
          <cell r="N1025">
            <v>16.5</v>
          </cell>
          <cell r="O1025" t="e">
            <v>#N/A</v>
          </cell>
          <cell r="P1025" t="str">
            <v/>
          </cell>
          <cell r="Q1025" t="str">
            <v/>
          </cell>
          <cell r="R1025">
            <v>16.5</v>
          </cell>
        </row>
        <row r="1026">
          <cell r="A1026" t="str">
            <v/>
          </cell>
          <cell r="B1026" t="str">
            <v/>
          </cell>
          <cell r="C1026" t="str">
            <v>Future</v>
          </cell>
          <cell r="D1026" t="e">
            <v>#N/A</v>
          </cell>
          <cell r="E1026">
            <v>-11.524324324324407</v>
          </cell>
          <cell r="F1026">
            <v>20.029729729730033</v>
          </cell>
          <cell r="G1026">
            <v>13.718918918918977</v>
          </cell>
          <cell r="H1026">
            <v>13.718918918918977</v>
          </cell>
          <cell r="I1026" t="e">
            <v>#N/A</v>
          </cell>
          <cell r="J1026" t="e">
            <v>#N/A</v>
          </cell>
          <cell r="K1026">
            <v>17.5</v>
          </cell>
          <cell r="L1026">
            <v>14</v>
          </cell>
          <cell r="M1026" t="e">
            <v>#N/A</v>
          </cell>
          <cell r="N1026">
            <v>16.5</v>
          </cell>
          <cell r="O1026" t="e">
            <v>#N/A</v>
          </cell>
          <cell r="P1026" t="str">
            <v/>
          </cell>
          <cell r="Q1026" t="str">
            <v/>
          </cell>
          <cell r="R1026">
            <v>16.5</v>
          </cell>
        </row>
        <row r="1027">
          <cell r="A1027" t="str">
            <v/>
          </cell>
          <cell r="B1027" t="str">
            <v/>
          </cell>
          <cell r="C1027" t="str">
            <v>Future</v>
          </cell>
          <cell r="D1027" t="e">
            <v>#N/A</v>
          </cell>
          <cell r="E1027">
            <v>-11.579729729729813</v>
          </cell>
          <cell r="F1027">
            <v>20.041891891892195</v>
          </cell>
          <cell r="G1027">
            <v>13.717567567567626</v>
          </cell>
          <cell r="H1027">
            <v>13.717567567567626</v>
          </cell>
          <cell r="I1027" t="e">
            <v>#N/A</v>
          </cell>
          <cell r="J1027" t="e">
            <v>#N/A</v>
          </cell>
          <cell r="K1027">
            <v>17.5</v>
          </cell>
          <cell r="L1027">
            <v>14</v>
          </cell>
          <cell r="M1027" t="e">
            <v>#N/A</v>
          </cell>
          <cell r="N1027">
            <v>16.5</v>
          </cell>
          <cell r="O1027" t="e">
            <v>#N/A</v>
          </cell>
          <cell r="P1027" t="str">
            <v/>
          </cell>
          <cell r="Q1027" t="str">
            <v/>
          </cell>
          <cell r="R1027">
            <v>16.5</v>
          </cell>
        </row>
        <row r="1028">
          <cell r="A1028" t="str">
            <v/>
          </cell>
          <cell r="B1028" t="str">
            <v/>
          </cell>
          <cell r="C1028" t="str">
            <v>Future</v>
          </cell>
          <cell r="D1028" t="e">
            <v>#N/A</v>
          </cell>
          <cell r="E1028">
            <v>-11.635135135135219</v>
          </cell>
          <cell r="F1028">
            <v>20.054054054054358</v>
          </cell>
          <cell r="G1028">
            <v>13.716216216216274</v>
          </cell>
          <cell r="H1028">
            <v>13.716216216216274</v>
          </cell>
          <cell r="I1028" t="e">
            <v>#N/A</v>
          </cell>
          <cell r="J1028" t="e">
            <v>#N/A</v>
          </cell>
          <cell r="K1028">
            <v>17.5</v>
          </cell>
          <cell r="L1028">
            <v>14</v>
          </cell>
          <cell r="M1028" t="e">
            <v>#N/A</v>
          </cell>
          <cell r="N1028">
            <v>16.5</v>
          </cell>
          <cell r="O1028" t="e">
            <v>#N/A</v>
          </cell>
          <cell r="P1028" t="str">
            <v/>
          </cell>
          <cell r="Q1028" t="str">
            <v/>
          </cell>
          <cell r="R1028">
            <v>16.5</v>
          </cell>
        </row>
        <row r="1029">
          <cell r="A1029" t="str">
            <v/>
          </cell>
          <cell r="B1029" t="str">
            <v/>
          </cell>
          <cell r="C1029" t="str">
            <v>Future</v>
          </cell>
          <cell r="D1029" t="e">
            <v>#N/A</v>
          </cell>
          <cell r="E1029">
            <v>-11.690540540540624</v>
          </cell>
          <cell r="F1029">
            <v>20.066216216216521</v>
          </cell>
          <cell r="G1029">
            <v>13.714864864864923</v>
          </cell>
          <cell r="H1029">
            <v>13.714864864864923</v>
          </cell>
          <cell r="I1029" t="e">
            <v>#N/A</v>
          </cell>
          <cell r="J1029" t="e">
            <v>#N/A</v>
          </cell>
          <cell r="K1029">
            <v>17.5</v>
          </cell>
          <cell r="L1029">
            <v>14</v>
          </cell>
          <cell r="M1029" t="e">
            <v>#N/A</v>
          </cell>
          <cell r="N1029">
            <v>16.5</v>
          </cell>
          <cell r="O1029" t="e">
            <v>#N/A</v>
          </cell>
          <cell r="P1029" t="str">
            <v/>
          </cell>
          <cell r="Q1029" t="str">
            <v/>
          </cell>
          <cell r="R1029">
            <v>16.5</v>
          </cell>
        </row>
        <row r="1030">
          <cell r="A1030" t="str">
            <v/>
          </cell>
          <cell r="B1030" t="str">
            <v/>
          </cell>
          <cell r="C1030" t="str">
            <v>Future</v>
          </cell>
          <cell r="D1030" t="e">
            <v>#N/A</v>
          </cell>
          <cell r="E1030">
            <v>-11.74594594594603</v>
          </cell>
          <cell r="F1030">
            <v>20.078378378378684</v>
          </cell>
          <cell r="G1030">
            <v>13.713513513513572</v>
          </cell>
          <cell r="H1030">
            <v>13.713513513513572</v>
          </cell>
          <cell r="I1030" t="e">
            <v>#N/A</v>
          </cell>
          <cell r="J1030" t="e">
            <v>#N/A</v>
          </cell>
          <cell r="K1030">
            <v>17.5</v>
          </cell>
          <cell r="L1030">
            <v>14</v>
          </cell>
          <cell r="M1030" t="e">
            <v>#N/A</v>
          </cell>
          <cell r="N1030">
            <v>16.5</v>
          </cell>
          <cell r="O1030" t="e">
            <v>#N/A</v>
          </cell>
          <cell r="P1030" t="str">
            <v/>
          </cell>
          <cell r="Q1030" t="str">
            <v/>
          </cell>
          <cell r="R1030">
            <v>16.5</v>
          </cell>
        </row>
        <row r="1031">
          <cell r="A1031" t="str">
            <v/>
          </cell>
          <cell r="B1031" t="str">
            <v/>
          </cell>
          <cell r="C1031" t="str">
            <v>Future</v>
          </cell>
          <cell r="D1031" t="e">
            <v>#N/A</v>
          </cell>
          <cell r="E1031">
            <v>-11.801351351351435</v>
          </cell>
          <cell r="F1031">
            <v>20.090540540540847</v>
          </cell>
          <cell r="G1031">
            <v>13.712162162162221</v>
          </cell>
          <cell r="H1031">
            <v>13.712162162162221</v>
          </cell>
          <cell r="I1031" t="e">
            <v>#N/A</v>
          </cell>
          <cell r="J1031" t="e">
            <v>#N/A</v>
          </cell>
          <cell r="K1031">
            <v>17.5</v>
          </cell>
          <cell r="L1031">
            <v>14</v>
          </cell>
          <cell r="M1031" t="e">
            <v>#N/A</v>
          </cell>
          <cell r="N1031">
            <v>16.5</v>
          </cell>
          <cell r="O1031" t="e">
            <v>#N/A</v>
          </cell>
          <cell r="P1031" t="str">
            <v/>
          </cell>
          <cell r="Q1031" t="str">
            <v/>
          </cell>
          <cell r="R1031">
            <v>16.5</v>
          </cell>
        </row>
        <row r="1032">
          <cell r="A1032" t="str">
            <v/>
          </cell>
          <cell r="B1032" t="str">
            <v/>
          </cell>
          <cell r="C1032" t="str">
            <v>Future</v>
          </cell>
          <cell r="D1032" t="e">
            <v>#N/A</v>
          </cell>
          <cell r="E1032">
            <v>-11.856756756756841</v>
          </cell>
          <cell r="F1032">
            <v>20.102702702703009</v>
          </cell>
          <cell r="G1032">
            <v>13.710810810810869</v>
          </cell>
          <cell r="H1032">
            <v>13.710810810810869</v>
          </cell>
          <cell r="I1032" t="e">
            <v>#N/A</v>
          </cell>
          <cell r="J1032" t="e">
            <v>#N/A</v>
          </cell>
          <cell r="K1032">
            <v>17.5</v>
          </cell>
          <cell r="L1032">
            <v>14</v>
          </cell>
          <cell r="M1032" t="e">
            <v>#N/A</v>
          </cell>
          <cell r="N1032">
            <v>16.5</v>
          </cell>
          <cell r="O1032" t="e">
            <v>#N/A</v>
          </cell>
          <cell r="P1032" t="str">
            <v/>
          </cell>
          <cell r="Q1032" t="str">
            <v/>
          </cell>
          <cell r="R1032">
            <v>16.5</v>
          </cell>
        </row>
        <row r="1033">
          <cell r="A1033" t="str">
            <v/>
          </cell>
          <cell r="B1033" t="str">
            <v/>
          </cell>
          <cell r="C1033" t="str">
            <v>Future</v>
          </cell>
          <cell r="D1033" t="e">
            <v>#N/A</v>
          </cell>
          <cell r="E1033">
            <v>-11.912162162162247</v>
          </cell>
          <cell r="F1033">
            <v>20.114864864865172</v>
          </cell>
          <cell r="G1033">
            <v>13.709459459459518</v>
          </cell>
          <cell r="H1033">
            <v>13.709459459459518</v>
          </cell>
          <cell r="I1033" t="e">
            <v>#N/A</v>
          </cell>
          <cell r="J1033" t="e">
            <v>#N/A</v>
          </cell>
          <cell r="K1033">
            <v>17.5</v>
          </cell>
          <cell r="L1033">
            <v>14</v>
          </cell>
          <cell r="M1033" t="e">
            <v>#N/A</v>
          </cell>
          <cell r="N1033">
            <v>16.5</v>
          </cell>
          <cell r="O1033" t="e">
            <v>#N/A</v>
          </cell>
          <cell r="P1033" t="str">
            <v/>
          </cell>
          <cell r="Q1033" t="str">
            <v/>
          </cell>
          <cell r="R1033">
            <v>16.5</v>
          </cell>
        </row>
        <row r="1034">
          <cell r="A1034" t="str">
            <v/>
          </cell>
          <cell r="B1034" t="str">
            <v/>
          </cell>
          <cell r="C1034" t="str">
            <v>Future</v>
          </cell>
          <cell r="D1034" t="e">
            <v>#N/A</v>
          </cell>
          <cell r="E1034">
            <v>-11.967567567567652</v>
          </cell>
          <cell r="F1034">
            <v>20.127027027027335</v>
          </cell>
          <cell r="G1034">
            <v>13.708108108108167</v>
          </cell>
          <cell r="H1034">
            <v>13.708108108108167</v>
          </cell>
          <cell r="I1034" t="e">
            <v>#N/A</v>
          </cell>
          <cell r="J1034" t="e">
            <v>#N/A</v>
          </cell>
          <cell r="K1034">
            <v>17.5</v>
          </cell>
          <cell r="L1034">
            <v>14</v>
          </cell>
          <cell r="M1034" t="e">
            <v>#N/A</v>
          </cell>
          <cell r="N1034">
            <v>16.5</v>
          </cell>
          <cell r="O1034" t="e">
            <v>#N/A</v>
          </cell>
          <cell r="P1034" t="str">
            <v/>
          </cell>
          <cell r="Q1034" t="str">
            <v/>
          </cell>
          <cell r="R1034">
            <v>16.5</v>
          </cell>
        </row>
        <row r="1035">
          <cell r="A1035" t="str">
            <v/>
          </cell>
          <cell r="B1035" t="str">
            <v/>
          </cell>
          <cell r="C1035" t="str">
            <v>Future</v>
          </cell>
          <cell r="D1035" t="e">
            <v>#N/A</v>
          </cell>
          <cell r="E1035">
            <v>-12.022972972973058</v>
          </cell>
          <cell r="F1035">
            <v>20.139189189189498</v>
          </cell>
          <cell r="G1035">
            <v>13.706756756756816</v>
          </cell>
          <cell r="H1035">
            <v>13.706756756756816</v>
          </cell>
          <cell r="I1035" t="e">
            <v>#N/A</v>
          </cell>
          <cell r="J1035" t="e">
            <v>#N/A</v>
          </cell>
          <cell r="K1035">
            <v>17.5</v>
          </cell>
          <cell r="L1035">
            <v>14</v>
          </cell>
          <cell r="M1035" t="e">
            <v>#N/A</v>
          </cell>
          <cell r="N1035">
            <v>16.5</v>
          </cell>
          <cell r="O1035" t="e">
            <v>#N/A</v>
          </cell>
          <cell r="P1035" t="str">
            <v/>
          </cell>
          <cell r="Q1035" t="str">
            <v/>
          </cell>
          <cell r="R1035">
            <v>16.5</v>
          </cell>
        </row>
        <row r="1036">
          <cell r="A1036" t="str">
            <v/>
          </cell>
          <cell r="B1036" t="str">
            <v/>
          </cell>
          <cell r="C1036" t="str">
            <v>Future</v>
          </cell>
          <cell r="D1036" t="e">
            <v>#N/A</v>
          </cell>
          <cell r="E1036">
            <v>-12.078378378378464</v>
          </cell>
          <cell r="F1036">
            <v>20.151351351351661</v>
          </cell>
          <cell r="G1036">
            <v>13.705405405405465</v>
          </cell>
          <cell r="H1036">
            <v>13.705405405405465</v>
          </cell>
          <cell r="I1036" t="e">
            <v>#N/A</v>
          </cell>
          <cell r="J1036" t="e">
            <v>#N/A</v>
          </cell>
          <cell r="K1036">
            <v>17.5</v>
          </cell>
          <cell r="L1036">
            <v>14</v>
          </cell>
          <cell r="M1036" t="e">
            <v>#N/A</v>
          </cell>
          <cell r="N1036">
            <v>16.5</v>
          </cell>
          <cell r="O1036" t="e">
            <v>#N/A</v>
          </cell>
          <cell r="P1036" t="str">
            <v/>
          </cell>
          <cell r="Q1036" t="str">
            <v/>
          </cell>
          <cell r="R1036">
            <v>16.5</v>
          </cell>
        </row>
        <row r="1037">
          <cell r="A1037" t="str">
            <v/>
          </cell>
          <cell r="B1037" t="str">
            <v/>
          </cell>
          <cell r="C1037" t="str">
            <v>Future</v>
          </cell>
          <cell r="D1037" t="e">
            <v>#N/A</v>
          </cell>
          <cell r="E1037">
            <v>-12.133783783783869</v>
          </cell>
          <cell r="F1037">
            <v>20.163513513513823</v>
          </cell>
          <cell r="G1037">
            <v>13.704054054054113</v>
          </cell>
          <cell r="H1037">
            <v>13.704054054054113</v>
          </cell>
          <cell r="I1037" t="e">
            <v>#N/A</v>
          </cell>
          <cell r="J1037" t="e">
            <v>#N/A</v>
          </cell>
          <cell r="K1037">
            <v>17.5</v>
          </cell>
          <cell r="L1037">
            <v>14</v>
          </cell>
          <cell r="M1037" t="e">
            <v>#N/A</v>
          </cell>
          <cell r="N1037">
            <v>16.5</v>
          </cell>
          <cell r="O1037" t="e">
            <v>#N/A</v>
          </cell>
          <cell r="P1037" t="str">
            <v/>
          </cell>
          <cell r="Q1037" t="str">
            <v/>
          </cell>
          <cell r="R1037">
            <v>16.5</v>
          </cell>
        </row>
        <row r="1038">
          <cell r="A1038" t="str">
            <v/>
          </cell>
          <cell r="B1038" t="str">
            <v/>
          </cell>
          <cell r="C1038" t="str">
            <v>Future</v>
          </cell>
          <cell r="D1038" t="e">
            <v>#N/A</v>
          </cell>
          <cell r="E1038">
            <v>-12.189189189189275</v>
          </cell>
          <cell r="F1038">
            <v>20.175675675675986</v>
          </cell>
          <cell r="G1038">
            <v>13.702702702702762</v>
          </cell>
          <cell r="H1038">
            <v>13.702702702702762</v>
          </cell>
          <cell r="I1038" t="e">
            <v>#N/A</v>
          </cell>
          <cell r="J1038" t="e">
            <v>#N/A</v>
          </cell>
          <cell r="K1038">
            <v>17.5</v>
          </cell>
          <cell r="L1038">
            <v>14</v>
          </cell>
          <cell r="M1038" t="e">
            <v>#N/A</v>
          </cell>
          <cell r="N1038">
            <v>16.5</v>
          </cell>
          <cell r="O1038" t="e">
            <v>#N/A</v>
          </cell>
          <cell r="P1038" t="str">
            <v/>
          </cell>
          <cell r="Q1038" t="str">
            <v/>
          </cell>
          <cell r="R1038">
            <v>16.5</v>
          </cell>
        </row>
        <row r="1039">
          <cell r="A1039" t="str">
            <v/>
          </cell>
          <cell r="B1039" t="str">
            <v/>
          </cell>
          <cell r="C1039" t="str">
            <v>Future</v>
          </cell>
          <cell r="D1039" t="e">
            <v>#N/A</v>
          </cell>
          <cell r="E1039">
            <v>-12.24459459459468</v>
          </cell>
          <cell r="F1039">
            <v>20.187837837838149</v>
          </cell>
          <cell r="G1039">
            <v>13.701351351351411</v>
          </cell>
          <cell r="H1039">
            <v>13.701351351351411</v>
          </cell>
          <cell r="I1039" t="e">
            <v>#N/A</v>
          </cell>
          <cell r="J1039" t="e">
            <v>#N/A</v>
          </cell>
          <cell r="K1039">
            <v>17.5</v>
          </cell>
          <cell r="L1039">
            <v>14</v>
          </cell>
          <cell r="M1039" t="e">
            <v>#N/A</v>
          </cell>
          <cell r="N1039">
            <v>16.5</v>
          </cell>
          <cell r="O1039" t="e">
            <v>#N/A</v>
          </cell>
          <cell r="P1039" t="str">
            <v/>
          </cell>
          <cell r="Q1039" t="str">
            <v/>
          </cell>
          <cell r="R1039">
            <v>16.5</v>
          </cell>
        </row>
        <row r="1040">
          <cell r="A1040" t="str">
            <v/>
          </cell>
          <cell r="B1040" t="str">
            <v/>
          </cell>
          <cell r="C1040" t="str">
            <v>Future</v>
          </cell>
          <cell r="D1040" t="e">
            <v>#N/A</v>
          </cell>
          <cell r="E1040">
            <v>-12.300000000000086</v>
          </cell>
          <cell r="F1040">
            <v>20.200000000000312</v>
          </cell>
          <cell r="G1040">
            <v>13.70000000000006</v>
          </cell>
          <cell r="H1040">
            <v>13.70000000000006</v>
          </cell>
          <cell r="I1040" t="e">
            <v>#N/A</v>
          </cell>
          <cell r="J1040" t="e">
            <v>#N/A</v>
          </cell>
          <cell r="K1040">
            <v>17.5</v>
          </cell>
          <cell r="L1040">
            <v>14</v>
          </cell>
          <cell r="M1040" t="e">
            <v>#N/A</v>
          </cell>
          <cell r="N1040">
            <v>16.5</v>
          </cell>
          <cell r="O1040" t="e">
            <v>#N/A</v>
          </cell>
          <cell r="P1040" t="str">
            <v/>
          </cell>
          <cell r="Q1040" t="str">
            <v/>
          </cell>
          <cell r="R1040">
            <v>16.5</v>
          </cell>
        </row>
        <row r="1041">
          <cell r="A1041" t="str">
            <v/>
          </cell>
          <cell r="B1041" t="str">
            <v/>
          </cell>
          <cell r="C1041" t="str">
            <v>Future</v>
          </cell>
          <cell r="D1041" t="e">
            <v>#N/A</v>
          </cell>
          <cell r="E1041">
            <v>-12.355405405405492</v>
          </cell>
          <cell r="F1041">
            <v>20.212162162162475</v>
          </cell>
          <cell r="G1041">
            <v>13.698648648648708</v>
          </cell>
          <cell r="H1041">
            <v>13.698648648648708</v>
          </cell>
          <cell r="I1041" t="e">
            <v>#N/A</v>
          </cell>
          <cell r="J1041" t="e">
            <v>#N/A</v>
          </cell>
          <cell r="K1041">
            <v>17.5</v>
          </cell>
          <cell r="L1041">
            <v>14</v>
          </cell>
          <cell r="M1041" t="e">
            <v>#N/A</v>
          </cell>
          <cell r="N1041">
            <v>16.5</v>
          </cell>
          <cell r="O1041" t="e">
            <v>#N/A</v>
          </cell>
          <cell r="P1041" t="str">
            <v/>
          </cell>
          <cell r="Q1041" t="str">
            <v/>
          </cell>
          <cell r="R1041">
            <v>16.5</v>
          </cell>
        </row>
        <row r="1042">
          <cell r="A1042" t="str">
            <v/>
          </cell>
          <cell r="B1042" t="str">
            <v/>
          </cell>
          <cell r="C1042" t="str">
            <v>Future</v>
          </cell>
          <cell r="D1042" t="e">
            <v>#N/A</v>
          </cell>
          <cell r="E1042">
            <v>-12.410810810810897</v>
          </cell>
          <cell r="F1042">
            <v>20.224324324324638</v>
          </cell>
          <cell r="G1042">
            <v>13.697297297297357</v>
          </cell>
          <cell r="H1042">
            <v>13.697297297297357</v>
          </cell>
          <cell r="I1042" t="e">
            <v>#N/A</v>
          </cell>
          <cell r="J1042" t="e">
            <v>#N/A</v>
          </cell>
          <cell r="K1042">
            <v>17.5</v>
          </cell>
          <cell r="L1042">
            <v>14</v>
          </cell>
          <cell r="M1042" t="e">
            <v>#N/A</v>
          </cell>
          <cell r="N1042">
            <v>16.5</v>
          </cell>
          <cell r="O1042" t="e">
            <v>#N/A</v>
          </cell>
          <cell r="P1042" t="str">
            <v/>
          </cell>
          <cell r="Q1042" t="str">
            <v/>
          </cell>
          <cell r="R1042">
            <v>16.5</v>
          </cell>
        </row>
        <row r="1043">
          <cell r="A1043" t="str">
            <v/>
          </cell>
          <cell r="B1043" t="str">
            <v/>
          </cell>
          <cell r="C1043" t="str">
            <v>Future</v>
          </cell>
          <cell r="D1043" t="e">
            <v>#N/A</v>
          </cell>
          <cell r="E1043">
            <v>-12.466216216216303</v>
          </cell>
          <cell r="F1043">
            <v>20.2364864864868</v>
          </cell>
          <cell r="G1043">
            <v>13.695945945946006</v>
          </cell>
          <cell r="H1043">
            <v>13.695945945946006</v>
          </cell>
          <cell r="I1043" t="e">
            <v>#N/A</v>
          </cell>
          <cell r="J1043" t="e">
            <v>#N/A</v>
          </cell>
          <cell r="K1043">
            <v>17.5</v>
          </cell>
          <cell r="L1043">
            <v>14</v>
          </cell>
          <cell r="M1043" t="e">
            <v>#N/A</v>
          </cell>
          <cell r="N1043">
            <v>16.5</v>
          </cell>
          <cell r="O1043" t="e">
            <v>#N/A</v>
          </cell>
          <cell r="P1043" t="str">
            <v/>
          </cell>
          <cell r="Q1043" t="str">
            <v/>
          </cell>
          <cell r="R1043">
            <v>16.5</v>
          </cell>
        </row>
        <row r="1044">
          <cell r="A1044" t="str">
            <v/>
          </cell>
          <cell r="B1044" t="str">
            <v/>
          </cell>
          <cell r="C1044" t="str">
            <v>Future</v>
          </cell>
          <cell r="D1044" t="e">
            <v>#N/A</v>
          </cell>
          <cell r="E1044">
            <v>-12.521621621621708</v>
          </cell>
          <cell r="F1044">
            <v>20.248648648648963</v>
          </cell>
          <cell r="G1044">
            <v>13.694594594594655</v>
          </cell>
          <cell r="H1044">
            <v>13.694594594594655</v>
          </cell>
          <cell r="I1044" t="e">
            <v>#N/A</v>
          </cell>
          <cell r="J1044" t="e">
            <v>#N/A</v>
          </cell>
          <cell r="K1044">
            <v>17.5</v>
          </cell>
          <cell r="L1044">
            <v>14</v>
          </cell>
          <cell r="M1044" t="e">
            <v>#N/A</v>
          </cell>
          <cell r="N1044">
            <v>16.5</v>
          </cell>
          <cell r="O1044" t="e">
            <v>#N/A</v>
          </cell>
          <cell r="P1044" t="str">
            <v/>
          </cell>
          <cell r="Q1044" t="str">
            <v/>
          </cell>
          <cell r="R1044">
            <v>16.5</v>
          </cell>
        </row>
        <row r="1045">
          <cell r="A1045" t="str">
            <v/>
          </cell>
          <cell r="B1045" t="str">
            <v/>
          </cell>
          <cell r="C1045" t="str">
            <v>Future</v>
          </cell>
          <cell r="D1045" t="e">
            <v>#N/A</v>
          </cell>
          <cell r="E1045">
            <v>-12.577027027027114</v>
          </cell>
          <cell r="F1045">
            <v>20.260810810811126</v>
          </cell>
          <cell r="G1045">
            <v>13.693243243243304</v>
          </cell>
          <cell r="H1045">
            <v>13.693243243243304</v>
          </cell>
          <cell r="I1045" t="e">
            <v>#N/A</v>
          </cell>
          <cell r="J1045" t="e">
            <v>#N/A</v>
          </cell>
          <cell r="K1045">
            <v>17.5</v>
          </cell>
          <cell r="L1045">
            <v>14</v>
          </cell>
          <cell r="M1045" t="e">
            <v>#N/A</v>
          </cell>
          <cell r="N1045">
            <v>16.5</v>
          </cell>
          <cell r="O1045" t="e">
            <v>#N/A</v>
          </cell>
          <cell r="P1045" t="str">
            <v/>
          </cell>
          <cell r="Q1045" t="str">
            <v/>
          </cell>
          <cell r="R1045">
            <v>16.5</v>
          </cell>
        </row>
        <row r="1046">
          <cell r="A1046" t="str">
            <v/>
          </cell>
          <cell r="B1046" t="str">
            <v/>
          </cell>
          <cell r="C1046" t="str">
            <v>Future</v>
          </cell>
          <cell r="D1046" t="e">
            <v>#N/A</v>
          </cell>
          <cell r="E1046">
            <v>-12.63243243243252</v>
          </cell>
          <cell r="F1046">
            <v>20.272972972973289</v>
          </cell>
          <cell r="G1046">
            <v>13.691891891891952</v>
          </cell>
          <cell r="H1046">
            <v>13.691891891891952</v>
          </cell>
          <cell r="I1046" t="e">
            <v>#N/A</v>
          </cell>
          <cell r="J1046" t="e">
            <v>#N/A</v>
          </cell>
          <cell r="K1046">
            <v>17.5</v>
          </cell>
          <cell r="L1046">
            <v>14</v>
          </cell>
          <cell r="M1046" t="e">
            <v>#N/A</v>
          </cell>
          <cell r="N1046">
            <v>16.5</v>
          </cell>
          <cell r="O1046" t="e">
            <v>#N/A</v>
          </cell>
          <cell r="P1046" t="str">
            <v/>
          </cell>
          <cell r="Q1046" t="str">
            <v/>
          </cell>
          <cell r="R1046">
            <v>16.5</v>
          </cell>
        </row>
        <row r="1047">
          <cell r="A1047" t="str">
            <v/>
          </cell>
          <cell r="B1047" t="str">
            <v/>
          </cell>
          <cell r="C1047" t="str">
            <v>Future</v>
          </cell>
          <cell r="D1047" t="e">
            <v>#N/A</v>
          </cell>
          <cell r="E1047">
            <v>-12.687837837837925</v>
          </cell>
          <cell r="F1047">
            <v>20.285135135135452</v>
          </cell>
          <cell r="G1047">
            <v>13.690540540540601</v>
          </cell>
          <cell r="H1047">
            <v>13.690540540540601</v>
          </cell>
          <cell r="I1047" t="e">
            <v>#N/A</v>
          </cell>
          <cell r="J1047" t="e">
            <v>#N/A</v>
          </cell>
          <cell r="K1047">
            <v>17.5</v>
          </cell>
          <cell r="L1047">
            <v>14</v>
          </cell>
          <cell r="M1047" t="e">
            <v>#N/A</v>
          </cell>
          <cell r="N1047">
            <v>16.5</v>
          </cell>
          <cell r="O1047" t="e">
            <v>#N/A</v>
          </cell>
          <cell r="P1047" t="str">
            <v/>
          </cell>
          <cell r="Q1047" t="str">
            <v/>
          </cell>
          <cell r="R1047">
            <v>16.5</v>
          </cell>
        </row>
        <row r="1048">
          <cell r="A1048" t="str">
            <v/>
          </cell>
          <cell r="B1048" t="str">
            <v/>
          </cell>
          <cell r="C1048" t="str">
            <v>Future</v>
          </cell>
          <cell r="D1048" t="e">
            <v>#N/A</v>
          </cell>
          <cell r="E1048">
            <v>-12.743243243243331</v>
          </cell>
          <cell r="F1048">
            <v>20.297297297297614</v>
          </cell>
          <cell r="G1048">
            <v>13.68918918918925</v>
          </cell>
          <cell r="H1048">
            <v>13.68918918918925</v>
          </cell>
          <cell r="I1048" t="e">
            <v>#N/A</v>
          </cell>
          <cell r="J1048" t="e">
            <v>#N/A</v>
          </cell>
          <cell r="K1048">
            <v>17.5</v>
          </cell>
          <cell r="L1048">
            <v>14</v>
          </cell>
          <cell r="M1048" t="e">
            <v>#N/A</v>
          </cell>
          <cell r="N1048">
            <v>16.5</v>
          </cell>
          <cell r="O1048" t="e">
            <v>#N/A</v>
          </cell>
          <cell r="P1048" t="str">
            <v/>
          </cell>
          <cell r="Q1048" t="str">
            <v/>
          </cell>
          <cell r="R1048">
            <v>16.5</v>
          </cell>
        </row>
        <row r="1049">
          <cell r="A1049" t="str">
            <v/>
          </cell>
          <cell r="B1049" t="str">
            <v/>
          </cell>
          <cell r="C1049" t="str">
            <v>Future</v>
          </cell>
          <cell r="D1049" t="e">
            <v>#N/A</v>
          </cell>
          <cell r="E1049">
            <v>-12.798648648648737</v>
          </cell>
          <cell r="F1049">
            <v>20.309459459459777</v>
          </cell>
          <cell r="G1049">
            <v>13.687837837837899</v>
          </cell>
          <cell r="H1049">
            <v>13.687837837837899</v>
          </cell>
          <cell r="I1049" t="e">
            <v>#N/A</v>
          </cell>
          <cell r="J1049" t="e">
            <v>#N/A</v>
          </cell>
          <cell r="K1049">
            <v>17.5</v>
          </cell>
          <cell r="L1049">
            <v>14</v>
          </cell>
          <cell r="M1049" t="e">
            <v>#N/A</v>
          </cell>
          <cell r="N1049">
            <v>16.5</v>
          </cell>
          <cell r="O1049" t="e">
            <v>#N/A</v>
          </cell>
          <cell r="P1049" t="str">
            <v/>
          </cell>
          <cell r="Q1049" t="str">
            <v/>
          </cell>
          <cell r="R1049">
            <v>16.5</v>
          </cell>
        </row>
        <row r="1050">
          <cell r="A1050" t="str">
            <v/>
          </cell>
          <cell r="B1050" t="str">
            <v/>
          </cell>
          <cell r="C1050" t="str">
            <v>Future</v>
          </cell>
          <cell r="D1050" t="e">
            <v>#N/A</v>
          </cell>
          <cell r="E1050">
            <v>-12.854054054054142</v>
          </cell>
          <cell r="F1050">
            <v>20.32162162162194</v>
          </cell>
          <cell r="G1050">
            <v>13.686486486486547</v>
          </cell>
          <cell r="H1050">
            <v>13.686486486486547</v>
          </cell>
          <cell r="I1050" t="e">
            <v>#N/A</v>
          </cell>
          <cell r="J1050" t="e">
            <v>#N/A</v>
          </cell>
          <cell r="K1050">
            <v>17.5</v>
          </cell>
          <cell r="L1050">
            <v>14</v>
          </cell>
          <cell r="M1050" t="e">
            <v>#N/A</v>
          </cell>
          <cell r="N1050">
            <v>16.5</v>
          </cell>
          <cell r="O1050" t="e">
            <v>#N/A</v>
          </cell>
          <cell r="P1050" t="str">
            <v/>
          </cell>
          <cell r="Q1050" t="str">
            <v/>
          </cell>
          <cell r="R1050">
            <v>16.5</v>
          </cell>
        </row>
        <row r="1051">
          <cell r="A1051" t="str">
            <v/>
          </cell>
          <cell r="B1051" t="str">
            <v/>
          </cell>
          <cell r="C1051" t="str">
            <v>Future</v>
          </cell>
          <cell r="D1051" t="e">
            <v>#N/A</v>
          </cell>
          <cell r="E1051">
            <v>-12.909459459459548</v>
          </cell>
          <cell r="F1051">
            <v>20.333783783784103</v>
          </cell>
          <cell r="G1051">
            <v>13.685135135135196</v>
          </cell>
          <cell r="H1051">
            <v>13.685135135135196</v>
          </cell>
          <cell r="I1051" t="e">
            <v>#N/A</v>
          </cell>
          <cell r="J1051" t="e">
            <v>#N/A</v>
          </cell>
          <cell r="K1051">
            <v>17.5</v>
          </cell>
          <cell r="L1051">
            <v>14</v>
          </cell>
          <cell r="M1051" t="e">
            <v>#N/A</v>
          </cell>
          <cell r="N1051">
            <v>16.5</v>
          </cell>
          <cell r="O1051" t="e">
            <v>#N/A</v>
          </cell>
          <cell r="P1051" t="str">
            <v/>
          </cell>
          <cell r="Q1051" t="str">
            <v/>
          </cell>
          <cell r="R1051">
            <v>16.5</v>
          </cell>
        </row>
        <row r="1052">
          <cell r="A1052" t="str">
            <v/>
          </cell>
          <cell r="B1052" t="str">
            <v/>
          </cell>
          <cell r="C1052" t="str">
            <v>Future</v>
          </cell>
          <cell r="D1052" t="e">
            <v>#N/A</v>
          </cell>
          <cell r="E1052">
            <v>-12.964864864864953</v>
          </cell>
          <cell r="F1052">
            <v>20.345945945946266</v>
          </cell>
          <cell r="G1052">
            <v>13.683783783783845</v>
          </cell>
          <cell r="H1052">
            <v>13.683783783783845</v>
          </cell>
          <cell r="I1052" t="e">
            <v>#N/A</v>
          </cell>
          <cell r="J1052" t="e">
            <v>#N/A</v>
          </cell>
          <cell r="K1052">
            <v>17.5</v>
          </cell>
          <cell r="L1052">
            <v>14</v>
          </cell>
          <cell r="M1052" t="e">
            <v>#N/A</v>
          </cell>
          <cell r="N1052">
            <v>16.5</v>
          </cell>
          <cell r="O1052" t="e">
            <v>#N/A</v>
          </cell>
          <cell r="P1052" t="str">
            <v/>
          </cell>
          <cell r="Q1052" t="str">
            <v/>
          </cell>
          <cell r="R1052">
            <v>16.5</v>
          </cell>
        </row>
        <row r="1053">
          <cell r="A1053" t="str">
            <v/>
          </cell>
          <cell r="B1053" t="str">
            <v/>
          </cell>
          <cell r="C1053" t="str">
            <v>Future</v>
          </cell>
          <cell r="D1053" t="e">
            <v>#N/A</v>
          </cell>
          <cell r="E1053">
            <v>-13.020270270270359</v>
          </cell>
          <cell r="F1053">
            <v>20.358108108108429</v>
          </cell>
          <cell r="G1053">
            <v>13.682432432432494</v>
          </cell>
          <cell r="H1053">
            <v>13.682432432432494</v>
          </cell>
          <cell r="I1053" t="e">
            <v>#N/A</v>
          </cell>
          <cell r="J1053" t="e">
            <v>#N/A</v>
          </cell>
          <cell r="K1053">
            <v>17.5</v>
          </cell>
          <cell r="L1053">
            <v>14</v>
          </cell>
          <cell r="M1053" t="e">
            <v>#N/A</v>
          </cell>
          <cell r="N1053">
            <v>16.5</v>
          </cell>
          <cell r="O1053" t="e">
            <v>#N/A</v>
          </cell>
          <cell r="P1053" t="str">
            <v/>
          </cell>
          <cell r="Q1053" t="str">
            <v/>
          </cell>
          <cell r="R1053">
            <v>16.5</v>
          </cell>
        </row>
        <row r="1054">
          <cell r="A1054" t="str">
            <v/>
          </cell>
          <cell r="B1054" t="str">
            <v/>
          </cell>
          <cell r="C1054" t="str">
            <v>Future</v>
          </cell>
          <cell r="D1054" t="e">
            <v>#N/A</v>
          </cell>
          <cell r="E1054">
            <v>-13.075675675675765</v>
          </cell>
          <cell r="F1054">
            <v>20.370270270270591</v>
          </cell>
          <cell r="G1054">
            <v>13.681081081081143</v>
          </cell>
          <cell r="H1054">
            <v>13.681081081081143</v>
          </cell>
          <cell r="I1054" t="e">
            <v>#N/A</v>
          </cell>
          <cell r="J1054" t="e">
            <v>#N/A</v>
          </cell>
          <cell r="K1054">
            <v>17.5</v>
          </cell>
          <cell r="L1054">
            <v>14</v>
          </cell>
          <cell r="M1054" t="e">
            <v>#N/A</v>
          </cell>
          <cell r="N1054">
            <v>16.5</v>
          </cell>
          <cell r="O1054" t="e">
            <v>#N/A</v>
          </cell>
          <cell r="P1054" t="str">
            <v/>
          </cell>
          <cell r="Q1054" t="str">
            <v/>
          </cell>
          <cell r="R1054">
            <v>16.5</v>
          </cell>
        </row>
        <row r="1055">
          <cell r="A1055" t="str">
            <v/>
          </cell>
          <cell r="B1055" t="str">
            <v/>
          </cell>
          <cell r="C1055" t="str">
            <v>Future</v>
          </cell>
          <cell r="D1055" t="e">
            <v>#N/A</v>
          </cell>
          <cell r="E1055">
            <v>-13.13108108108117</v>
          </cell>
          <cell r="F1055">
            <v>20.382432432432754</v>
          </cell>
          <cell r="G1055">
            <v>13.679729729729791</v>
          </cell>
          <cell r="H1055">
            <v>13.679729729729791</v>
          </cell>
          <cell r="I1055" t="e">
            <v>#N/A</v>
          </cell>
          <cell r="J1055" t="e">
            <v>#N/A</v>
          </cell>
          <cell r="K1055">
            <v>17.5</v>
          </cell>
          <cell r="L1055">
            <v>14</v>
          </cell>
          <cell r="M1055" t="e">
            <v>#N/A</v>
          </cell>
          <cell r="N1055">
            <v>16.5</v>
          </cell>
          <cell r="O1055" t="e">
            <v>#N/A</v>
          </cell>
          <cell r="P1055" t="str">
            <v/>
          </cell>
          <cell r="Q1055" t="str">
            <v/>
          </cell>
          <cell r="R1055">
            <v>16.5</v>
          </cell>
        </row>
        <row r="1056">
          <cell r="A1056" t="str">
            <v/>
          </cell>
          <cell r="B1056" t="str">
            <v/>
          </cell>
          <cell r="C1056" t="str">
            <v>Future</v>
          </cell>
          <cell r="D1056" t="e">
            <v>#N/A</v>
          </cell>
          <cell r="E1056">
            <v>-13.186486486486576</v>
          </cell>
          <cell r="F1056">
            <v>20.394594594594917</v>
          </cell>
          <cell r="G1056">
            <v>13.67837837837844</v>
          </cell>
          <cell r="H1056">
            <v>13.67837837837844</v>
          </cell>
          <cell r="I1056" t="e">
            <v>#N/A</v>
          </cell>
          <cell r="J1056" t="e">
            <v>#N/A</v>
          </cell>
          <cell r="K1056">
            <v>17.5</v>
          </cell>
          <cell r="L1056">
            <v>14</v>
          </cell>
          <cell r="M1056" t="e">
            <v>#N/A</v>
          </cell>
          <cell r="N1056">
            <v>16.5</v>
          </cell>
          <cell r="O1056" t="e">
            <v>#N/A</v>
          </cell>
          <cell r="P1056" t="str">
            <v/>
          </cell>
          <cell r="Q1056" t="str">
            <v/>
          </cell>
          <cell r="R1056">
            <v>16.5</v>
          </cell>
        </row>
        <row r="1057">
          <cell r="A1057" t="str">
            <v/>
          </cell>
          <cell r="B1057" t="str">
            <v/>
          </cell>
          <cell r="C1057" t="str">
            <v>Future</v>
          </cell>
          <cell r="D1057" t="e">
            <v>#N/A</v>
          </cell>
          <cell r="E1057">
            <v>-13.241891891891981</v>
          </cell>
          <cell r="F1057">
            <v>20.40675675675708</v>
          </cell>
          <cell r="G1057">
            <v>13.677027027027089</v>
          </cell>
          <cell r="H1057">
            <v>13.677027027027089</v>
          </cell>
          <cell r="I1057" t="e">
            <v>#N/A</v>
          </cell>
          <cell r="J1057" t="e">
            <v>#N/A</v>
          </cell>
          <cell r="K1057">
            <v>17.5</v>
          </cell>
          <cell r="L1057">
            <v>14</v>
          </cell>
          <cell r="M1057" t="e">
            <v>#N/A</v>
          </cell>
          <cell r="N1057">
            <v>16.5</v>
          </cell>
          <cell r="O1057" t="e">
            <v>#N/A</v>
          </cell>
          <cell r="P1057" t="str">
            <v/>
          </cell>
          <cell r="Q1057" t="str">
            <v/>
          </cell>
          <cell r="R1057">
            <v>16.5</v>
          </cell>
        </row>
        <row r="1058">
          <cell r="A1058" t="str">
            <v/>
          </cell>
          <cell r="B1058" t="str">
            <v/>
          </cell>
          <cell r="C1058" t="str">
            <v>Future</v>
          </cell>
          <cell r="D1058" t="e">
            <v>#N/A</v>
          </cell>
          <cell r="E1058">
            <v>-13.297297297297387</v>
          </cell>
          <cell r="F1058">
            <v>20.418918918919243</v>
          </cell>
          <cell r="G1058">
            <v>13.675675675675738</v>
          </cell>
          <cell r="H1058">
            <v>13.675675675675738</v>
          </cell>
          <cell r="I1058" t="e">
            <v>#N/A</v>
          </cell>
          <cell r="J1058" t="e">
            <v>#N/A</v>
          </cell>
          <cell r="K1058">
            <v>17.5</v>
          </cell>
          <cell r="L1058">
            <v>14</v>
          </cell>
          <cell r="M1058" t="e">
            <v>#N/A</v>
          </cell>
          <cell r="N1058">
            <v>16.5</v>
          </cell>
          <cell r="O1058" t="e">
            <v>#N/A</v>
          </cell>
          <cell r="P1058" t="str">
            <v/>
          </cell>
          <cell r="Q1058" t="str">
            <v/>
          </cell>
          <cell r="R1058">
            <v>16.5</v>
          </cell>
        </row>
        <row r="1059">
          <cell r="A1059" t="str">
            <v/>
          </cell>
          <cell r="B1059" t="str">
            <v/>
          </cell>
          <cell r="C1059" t="str">
            <v>Future</v>
          </cell>
          <cell r="D1059" t="e">
            <v>#N/A</v>
          </cell>
          <cell r="E1059">
            <v>-13.352702702702793</v>
          </cell>
          <cell r="F1059">
            <v>20.431081081081405</v>
          </cell>
          <cell r="G1059">
            <v>13.674324324324386</v>
          </cell>
          <cell r="H1059">
            <v>13.674324324324386</v>
          </cell>
          <cell r="I1059" t="e">
            <v>#N/A</v>
          </cell>
          <cell r="J1059" t="e">
            <v>#N/A</v>
          </cell>
          <cell r="K1059">
            <v>17.5</v>
          </cell>
          <cell r="L1059">
            <v>14</v>
          </cell>
          <cell r="M1059" t="e">
            <v>#N/A</v>
          </cell>
          <cell r="N1059">
            <v>16.5</v>
          </cell>
          <cell r="O1059" t="e">
            <v>#N/A</v>
          </cell>
          <cell r="P1059" t="str">
            <v/>
          </cell>
          <cell r="Q1059" t="str">
            <v/>
          </cell>
          <cell r="R1059">
            <v>16.5</v>
          </cell>
        </row>
        <row r="1060">
          <cell r="A1060" t="str">
            <v/>
          </cell>
          <cell r="B1060" t="str">
            <v/>
          </cell>
          <cell r="C1060" t="str">
            <v>Future</v>
          </cell>
          <cell r="D1060" t="e">
            <v>#N/A</v>
          </cell>
          <cell r="E1060">
            <v>-13.408108108108198</v>
          </cell>
          <cell r="F1060">
            <v>20.443243243243568</v>
          </cell>
          <cell r="G1060">
            <v>13.672972972973035</v>
          </cell>
          <cell r="H1060">
            <v>13.672972972973035</v>
          </cell>
          <cell r="I1060" t="e">
            <v>#N/A</v>
          </cell>
          <cell r="J1060" t="e">
            <v>#N/A</v>
          </cell>
          <cell r="K1060">
            <v>17.5</v>
          </cell>
          <cell r="L1060">
            <v>14</v>
          </cell>
          <cell r="M1060" t="e">
            <v>#N/A</v>
          </cell>
          <cell r="N1060">
            <v>16.5</v>
          </cell>
          <cell r="O1060" t="e">
            <v>#N/A</v>
          </cell>
          <cell r="P1060" t="str">
            <v/>
          </cell>
          <cell r="Q1060" t="str">
            <v/>
          </cell>
          <cell r="R1060">
            <v>16.5</v>
          </cell>
        </row>
        <row r="1061">
          <cell r="A1061" t="str">
            <v/>
          </cell>
          <cell r="B1061" t="str">
            <v/>
          </cell>
          <cell r="C1061" t="str">
            <v>Future</v>
          </cell>
          <cell r="D1061" t="e">
            <v>#N/A</v>
          </cell>
          <cell r="E1061">
            <v>-13.463513513513604</v>
          </cell>
          <cell r="F1061">
            <v>20.455405405405731</v>
          </cell>
          <cell r="G1061">
            <v>13.671621621621684</v>
          </cell>
          <cell r="H1061">
            <v>13.671621621621684</v>
          </cell>
          <cell r="I1061" t="e">
            <v>#N/A</v>
          </cell>
          <cell r="J1061" t="e">
            <v>#N/A</v>
          </cell>
          <cell r="K1061">
            <v>17.5</v>
          </cell>
          <cell r="L1061">
            <v>14</v>
          </cell>
          <cell r="M1061" t="e">
            <v>#N/A</v>
          </cell>
          <cell r="N1061">
            <v>16.5</v>
          </cell>
          <cell r="O1061" t="e">
            <v>#N/A</v>
          </cell>
          <cell r="P1061" t="str">
            <v/>
          </cell>
          <cell r="Q1061" t="str">
            <v/>
          </cell>
          <cell r="R1061">
            <v>16.5</v>
          </cell>
        </row>
        <row r="1062">
          <cell r="A1062" t="str">
            <v/>
          </cell>
          <cell r="B1062" t="str">
            <v/>
          </cell>
          <cell r="C1062" t="str">
            <v>Future</v>
          </cell>
          <cell r="D1062" t="e">
            <v>#N/A</v>
          </cell>
          <cell r="E1062">
            <v>-13.51891891891901</v>
          </cell>
          <cell r="F1062">
            <v>20.467567567567894</v>
          </cell>
          <cell r="G1062">
            <v>13.670270270270333</v>
          </cell>
          <cell r="H1062">
            <v>13.670270270270333</v>
          </cell>
          <cell r="I1062" t="e">
            <v>#N/A</v>
          </cell>
          <cell r="J1062" t="e">
            <v>#N/A</v>
          </cell>
          <cell r="K1062">
            <v>17.5</v>
          </cell>
          <cell r="L1062">
            <v>14</v>
          </cell>
          <cell r="M1062" t="e">
            <v>#N/A</v>
          </cell>
          <cell r="N1062">
            <v>16.5</v>
          </cell>
          <cell r="O1062" t="e">
            <v>#N/A</v>
          </cell>
          <cell r="P1062" t="str">
            <v/>
          </cell>
          <cell r="Q1062" t="str">
            <v/>
          </cell>
          <cell r="R1062">
            <v>16.5</v>
          </cell>
        </row>
        <row r="1063">
          <cell r="A1063" t="str">
            <v/>
          </cell>
          <cell r="B1063" t="str">
            <v/>
          </cell>
          <cell r="C1063" t="str">
            <v>Future</v>
          </cell>
          <cell r="D1063" t="e">
            <v>#N/A</v>
          </cell>
          <cell r="E1063">
            <v>-13.574324324324415</v>
          </cell>
          <cell r="F1063">
            <v>20.479729729730057</v>
          </cell>
          <cell r="G1063">
            <v>13.668918918918981</v>
          </cell>
          <cell r="H1063">
            <v>13.668918918918981</v>
          </cell>
          <cell r="I1063" t="e">
            <v>#N/A</v>
          </cell>
          <cell r="J1063" t="e">
            <v>#N/A</v>
          </cell>
          <cell r="K1063">
            <v>17.5</v>
          </cell>
          <cell r="L1063">
            <v>14</v>
          </cell>
          <cell r="M1063" t="e">
            <v>#N/A</v>
          </cell>
          <cell r="N1063">
            <v>16.5</v>
          </cell>
          <cell r="O1063" t="e">
            <v>#N/A</v>
          </cell>
          <cell r="P1063" t="str">
            <v/>
          </cell>
          <cell r="Q1063" t="str">
            <v/>
          </cell>
          <cell r="R1063">
            <v>16.5</v>
          </cell>
        </row>
        <row r="1064">
          <cell r="A1064" t="str">
            <v/>
          </cell>
          <cell r="B1064" t="str">
            <v/>
          </cell>
          <cell r="C1064" t="str">
            <v>Future</v>
          </cell>
          <cell r="D1064" t="e">
            <v>#N/A</v>
          </cell>
          <cell r="E1064">
            <v>-13.629729729729821</v>
          </cell>
          <cell r="F1064">
            <v>20.491891891892219</v>
          </cell>
          <cell r="G1064">
            <v>13.66756756756763</v>
          </cell>
          <cell r="H1064">
            <v>13.66756756756763</v>
          </cell>
          <cell r="I1064" t="e">
            <v>#N/A</v>
          </cell>
          <cell r="J1064" t="e">
            <v>#N/A</v>
          </cell>
          <cell r="K1064">
            <v>17.5</v>
          </cell>
          <cell r="L1064">
            <v>14</v>
          </cell>
          <cell r="M1064" t="e">
            <v>#N/A</v>
          </cell>
          <cell r="N1064">
            <v>16.5</v>
          </cell>
          <cell r="O1064" t="e">
            <v>#N/A</v>
          </cell>
          <cell r="P1064" t="str">
            <v/>
          </cell>
          <cell r="Q1064" t="str">
            <v/>
          </cell>
          <cell r="R1064">
            <v>16.5</v>
          </cell>
        </row>
        <row r="1065">
          <cell r="A1065" t="str">
            <v/>
          </cell>
          <cell r="B1065" t="str">
            <v/>
          </cell>
          <cell r="C1065" t="str">
            <v>Future</v>
          </cell>
          <cell r="D1065" t="e">
            <v>#N/A</v>
          </cell>
          <cell r="E1065">
            <v>-13.685135135135226</v>
          </cell>
          <cell r="F1065">
            <v>20.504054054054382</v>
          </cell>
          <cell r="G1065">
            <v>13.666216216216279</v>
          </cell>
          <cell r="H1065">
            <v>13.666216216216279</v>
          </cell>
          <cell r="I1065" t="e">
            <v>#N/A</v>
          </cell>
          <cell r="J1065" t="e">
            <v>#N/A</v>
          </cell>
          <cell r="K1065">
            <v>17.5</v>
          </cell>
          <cell r="L1065">
            <v>14</v>
          </cell>
          <cell r="M1065" t="e">
            <v>#N/A</v>
          </cell>
          <cell r="N1065">
            <v>16.5</v>
          </cell>
          <cell r="O1065" t="e">
            <v>#N/A</v>
          </cell>
          <cell r="P1065" t="str">
            <v/>
          </cell>
          <cell r="Q1065" t="str">
            <v/>
          </cell>
          <cell r="R1065">
            <v>16.5</v>
          </cell>
        </row>
        <row r="1066">
          <cell r="A1066" t="str">
            <v/>
          </cell>
          <cell r="B1066" t="str">
            <v/>
          </cell>
          <cell r="C1066" t="str">
            <v>Future</v>
          </cell>
          <cell r="D1066" t="e">
            <v>#N/A</v>
          </cell>
          <cell r="E1066">
            <v>-13.740540540540632</v>
          </cell>
          <cell r="F1066">
            <v>20.516216216216545</v>
          </cell>
          <cell r="G1066">
            <v>13.664864864864928</v>
          </cell>
          <cell r="H1066">
            <v>13.664864864864928</v>
          </cell>
          <cell r="I1066" t="e">
            <v>#N/A</v>
          </cell>
          <cell r="J1066" t="e">
            <v>#N/A</v>
          </cell>
          <cell r="K1066">
            <v>17.5</v>
          </cell>
          <cell r="L1066">
            <v>14</v>
          </cell>
          <cell r="M1066" t="e">
            <v>#N/A</v>
          </cell>
          <cell r="N1066">
            <v>16.5</v>
          </cell>
          <cell r="O1066" t="e">
            <v>#N/A</v>
          </cell>
          <cell r="P1066" t="str">
            <v/>
          </cell>
          <cell r="Q1066" t="str">
            <v/>
          </cell>
          <cell r="R1066">
            <v>16.5</v>
          </cell>
        </row>
        <row r="1067">
          <cell r="A1067" t="str">
            <v/>
          </cell>
          <cell r="B1067" t="str">
            <v/>
          </cell>
          <cell r="C1067" t="str">
            <v>Future</v>
          </cell>
          <cell r="D1067" t="e">
            <v>#N/A</v>
          </cell>
          <cell r="E1067">
            <v>-13.795945945946038</v>
          </cell>
          <cell r="F1067">
            <v>20.528378378378708</v>
          </cell>
          <cell r="G1067">
            <v>13.663513513513577</v>
          </cell>
          <cell r="H1067">
            <v>13.663513513513577</v>
          </cell>
          <cell r="I1067" t="e">
            <v>#N/A</v>
          </cell>
          <cell r="J1067" t="e">
            <v>#N/A</v>
          </cell>
          <cell r="K1067">
            <v>17.5</v>
          </cell>
          <cell r="L1067">
            <v>14</v>
          </cell>
          <cell r="M1067" t="e">
            <v>#N/A</v>
          </cell>
          <cell r="N1067">
            <v>16.5</v>
          </cell>
          <cell r="O1067" t="e">
            <v>#N/A</v>
          </cell>
          <cell r="P1067" t="str">
            <v/>
          </cell>
          <cell r="Q1067" t="str">
            <v/>
          </cell>
          <cell r="R1067">
            <v>16.5</v>
          </cell>
        </row>
        <row r="1068">
          <cell r="A1068" t="str">
            <v/>
          </cell>
          <cell r="B1068" t="str">
            <v/>
          </cell>
          <cell r="C1068" t="str">
            <v>Future</v>
          </cell>
          <cell r="D1068" t="e">
            <v>#N/A</v>
          </cell>
          <cell r="E1068">
            <v>-13.851351351351443</v>
          </cell>
          <cell r="F1068">
            <v>20.540540540540871</v>
          </cell>
          <cell r="G1068">
            <v>13.662162162162225</v>
          </cell>
          <cell r="H1068">
            <v>13.662162162162225</v>
          </cell>
          <cell r="I1068" t="e">
            <v>#N/A</v>
          </cell>
          <cell r="J1068" t="e">
            <v>#N/A</v>
          </cell>
          <cell r="K1068">
            <v>17.5</v>
          </cell>
          <cell r="L1068">
            <v>14</v>
          </cell>
          <cell r="M1068" t="e">
            <v>#N/A</v>
          </cell>
          <cell r="N1068">
            <v>16.5</v>
          </cell>
          <cell r="O1068" t="e">
            <v>#N/A</v>
          </cell>
          <cell r="P1068" t="str">
            <v/>
          </cell>
          <cell r="Q1068" t="str">
            <v/>
          </cell>
          <cell r="R1068">
            <v>16.5</v>
          </cell>
        </row>
        <row r="1069">
          <cell r="A1069" t="str">
            <v/>
          </cell>
          <cell r="B1069" t="str">
            <v/>
          </cell>
          <cell r="C1069" t="str">
            <v>Future</v>
          </cell>
          <cell r="D1069" t="e">
            <v>#N/A</v>
          </cell>
          <cell r="E1069">
            <v>-13.906756756756849</v>
          </cell>
          <cell r="F1069">
            <v>20.552702702703034</v>
          </cell>
          <cell r="G1069">
            <v>13.660810810810874</v>
          </cell>
          <cell r="H1069">
            <v>13.660810810810874</v>
          </cell>
          <cell r="I1069" t="e">
            <v>#N/A</v>
          </cell>
          <cell r="J1069" t="e">
            <v>#N/A</v>
          </cell>
          <cell r="K1069">
            <v>17.5</v>
          </cell>
          <cell r="L1069">
            <v>14</v>
          </cell>
          <cell r="M1069" t="e">
            <v>#N/A</v>
          </cell>
          <cell r="N1069">
            <v>16.5</v>
          </cell>
          <cell r="O1069" t="e">
            <v>#N/A</v>
          </cell>
          <cell r="P1069" t="str">
            <v/>
          </cell>
          <cell r="Q1069" t="str">
            <v/>
          </cell>
          <cell r="R1069">
            <v>16.5</v>
          </cell>
        </row>
        <row r="1070">
          <cell r="A1070" t="str">
            <v/>
          </cell>
          <cell r="B1070" t="str">
            <v/>
          </cell>
          <cell r="C1070" t="str">
            <v>Future</v>
          </cell>
          <cell r="D1070" t="e">
            <v>#N/A</v>
          </cell>
          <cell r="E1070">
            <v>-13.962162162162254</v>
          </cell>
          <cell r="F1070">
            <v>20.564864864865196</v>
          </cell>
          <cell r="G1070">
            <v>13.659459459459523</v>
          </cell>
          <cell r="H1070">
            <v>13.659459459459523</v>
          </cell>
          <cell r="I1070" t="e">
            <v>#N/A</v>
          </cell>
          <cell r="J1070" t="e">
            <v>#N/A</v>
          </cell>
          <cell r="K1070">
            <v>17.5</v>
          </cell>
          <cell r="L1070">
            <v>14</v>
          </cell>
          <cell r="M1070" t="e">
            <v>#N/A</v>
          </cell>
          <cell r="N1070">
            <v>16.5</v>
          </cell>
          <cell r="O1070" t="e">
            <v>#N/A</v>
          </cell>
          <cell r="P1070" t="str">
            <v/>
          </cell>
          <cell r="Q1070" t="str">
            <v/>
          </cell>
          <cell r="R1070">
            <v>16.5</v>
          </cell>
        </row>
        <row r="1071">
          <cell r="A1071" t="str">
            <v/>
          </cell>
          <cell r="B1071" t="str">
            <v/>
          </cell>
          <cell r="C1071" t="str">
            <v>Future</v>
          </cell>
          <cell r="D1071" t="e">
            <v>#N/A</v>
          </cell>
          <cell r="E1071">
            <v>-14.01756756756766</v>
          </cell>
          <cell r="F1071">
            <v>20.577027027027359</v>
          </cell>
          <cell r="G1071">
            <v>13.658108108108172</v>
          </cell>
          <cell r="H1071">
            <v>13.658108108108172</v>
          </cell>
          <cell r="I1071" t="e">
            <v>#N/A</v>
          </cell>
          <cell r="J1071" t="e">
            <v>#N/A</v>
          </cell>
          <cell r="K1071">
            <v>17.5</v>
          </cell>
          <cell r="L1071">
            <v>14</v>
          </cell>
          <cell r="M1071" t="e">
            <v>#N/A</v>
          </cell>
          <cell r="N1071">
            <v>16.5</v>
          </cell>
          <cell r="O1071" t="e">
            <v>#N/A</v>
          </cell>
          <cell r="P1071" t="str">
            <v/>
          </cell>
          <cell r="Q1071" t="str">
            <v/>
          </cell>
          <cell r="R1071">
            <v>16.5</v>
          </cell>
        </row>
        <row r="1072">
          <cell r="A1072" t="str">
            <v/>
          </cell>
          <cell r="B1072" t="str">
            <v/>
          </cell>
          <cell r="C1072" t="str">
            <v>Future</v>
          </cell>
          <cell r="D1072" t="e">
            <v>#N/A</v>
          </cell>
          <cell r="E1072">
            <v>-14.072972972973066</v>
          </cell>
          <cell r="F1072">
            <v>20.589189189189522</v>
          </cell>
          <cell r="G1072">
            <v>13.65675675675682</v>
          </cell>
          <cell r="H1072">
            <v>13.65675675675682</v>
          </cell>
          <cell r="I1072" t="e">
            <v>#N/A</v>
          </cell>
          <cell r="J1072" t="e">
            <v>#N/A</v>
          </cell>
          <cell r="K1072">
            <v>17.5</v>
          </cell>
          <cell r="L1072">
            <v>14</v>
          </cell>
          <cell r="M1072" t="e">
            <v>#N/A</v>
          </cell>
          <cell r="N1072">
            <v>16.5</v>
          </cell>
          <cell r="O1072" t="e">
            <v>#N/A</v>
          </cell>
          <cell r="P1072" t="str">
            <v/>
          </cell>
          <cell r="Q1072" t="str">
            <v/>
          </cell>
          <cell r="R1072">
            <v>16.5</v>
          </cell>
        </row>
        <row r="1073">
          <cell r="A1073" t="str">
            <v/>
          </cell>
          <cell r="B1073" t="str">
            <v/>
          </cell>
          <cell r="C1073" t="str">
            <v>Future</v>
          </cell>
          <cell r="D1073" t="e">
            <v>#N/A</v>
          </cell>
          <cell r="E1073">
            <v>-14.128378378378471</v>
          </cell>
          <cell r="F1073">
            <v>20.601351351351685</v>
          </cell>
          <cell r="G1073">
            <v>13.655405405405469</v>
          </cell>
          <cell r="H1073">
            <v>13.655405405405469</v>
          </cell>
          <cell r="I1073" t="e">
            <v>#N/A</v>
          </cell>
          <cell r="J1073" t="e">
            <v>#N/A</v>
          </cell>
          <cell r="K1073">
            <v>17.5</v>
          </cell>
          <cell r="L1073">
            <v>14</v>
          </cell>
          <cell r="M1073" t="e">
            <v>#N/A</v>
          </cell>
          <cell r="N1073">
            <v>16.5</v>
          </cell>
          <cell r="O1073" t="e">
            <v>#N/A</v>
          </cell>
          <cell r="P1073" t="str">
            <v/>
          </cell>
          <cell r="Q1073" t="str">
            <v/>
          </cell>
          <cell r="R1073">
            <v>16.5</v>
          </cell>
        </row>
        <row r="1074">
          <cell r="A1074" t="str">
            <v/>
          </cell>
          <cell r="B1074" t="str">
            <v/>
          </cell>
          <cell r="C1074" t="str">
            <v>Future</v>
          </cell>
          <cell r="D1074" t="e">
            <v>#N/A</v>
          </cell>
          <cell r="E1074">
            <v>-14.183783783783877</v>
          </cell>
          <cell r="F1074">
            <v>20.613513513513848</v>
          </cell>
          <cell r="G1074">
            <v>13.654054054054118</v>
          </cell>
          <cell r="H1074">
            <v>13.654054054054118</v>
          </cell>
          <cell r="I1074" t="e">
            <v>#N/A</v>
          </cell>
          <cell r="J1074" t="e">
            <v>#N/A</v>
          </cell>
          <cell r="K1074">
            <v>17.5</v>
          </cell>
          <cell r="L1074">
            <v>14</v>
          </cell>
          <cell r="M1074" t="e">
            <v>#N/A</v>
          </cell>
          <cell r="N1074">
            <v>16.5</v>
          </cell>
          <cell r="O1074" t="e">
            <v>#N/A</v>
          </cell>
          <cell r="P1074" t="str">
            <v/>
          </cell>
          <cell r="Q1074" t="str">
            <v/>
          </cell>
          <cell r="R1074">
            <v>16.5</v>
          </cell>
        </row>
        <row r="1075">
          <cell r="A1075" t="str">
            <v/>
          </cell>
          <cell r="B1075" t="str">
            <v/>
          </cell>
          <cell r="C1075" t="str">
            <v>Future</v>
          </cell>
          <cell r="D1075" t="e">
            <v>#N/A</v>
          </cell>
          <cell r="E1075">
            <v>-14.239189189189283</v>
          </cell>
          <cell r="F1075">
            <v>20.62567567567601</v>
          </cell>
          <cell r="G1075">
            <v>13.652702702702767</v>
          </cell>
          <cell r="H1075">
            <v>13.652702702702767</v>
          </cell>
          <cell r="I1075" t="e">
            <v>#N/A</v>
          </cell>
          <cell r="J1075" t="e">
            <v>#N/A</v>
          </cell>
          <cell r="K1075">
            <v>17.5</v>
          </cell>
          <cell r="L1075">
            <v>14</v>
          </cell>
          <cell r="M1075" t="e">
            <v>#N/A</v>
          </cell>
          <cell r="N1075">
            <v>16.5</v>
          </cell>
          <cell r="O1075" t="e">
            <v>#N/A</v>
          </cell>
          <cell r="P1075" t="str">
            <v/>
          </cell>
          <cell r="Q1075" t="str">
            <v/>
          </cell>
          <cell r="R1075">
            <v>16.5</v>
          </cell>
        </row>
        <row r="1076">
          <cell r="A1076" t="str">
            <v/>
          </cell>
          <cell r="B1076" t="str">
            <v/>
          </cell>
          <cell r="C1076" t="str">
            <v>Future</v>
          </cell>
          <cell r="D1076" t="e">
            <v>#N/A</v>
          </cell>
          <cell r="E1076">
            <v>-14.294594594594688</v>
          </cell>
          <cell r="F1076">
            <v>20.637837837838173</v>
          </cell>
          <cell r="G1076">
            <v>13.651351351351416</v>
          </cell>
          <cell r="H1076">
            <v>13.651351351351416</v>
          </cell>
          <cell r="I1076" t="e">
            <v>#N/A</v>
          </cell>
          <cell r="J1076" t="e">
            <v>#N/A</v>
          </cell>
          <cell r="K1076">
            <v>17.5</v>
          </cell>
          <cell r="L1076">
            <v>14</v>
          </cell>
          <cell r="M1076" t="e">
            <v>#N/A</v>
          </cell>
          <cell r="N1076">
            <v>16.5</v>
          </cell>
          <cell r="O1076" t="e">
            <v>#N/A</v>
          </cell>
          <cell r="P1076" t="str">
            <v/>
          </cell>
          <cell r="Q1076" t="str">
            <v/>
          </cell>
          <cell r="R1076">
            <v>16.5</v>
          </cell>
        </row>
        <row r="1077">
          <cell r="A1077" t="str">
            <v/>
          </cell>
          <cell r="B1077" t="str">
            <v/>
          </cell>
          <cell r="C1077" t="str">
            <v>Future</v>
          </cell>
          <cell r="D1077" t="e">
            <v>#N/A</v>
          </cell>
          <cell r="E1077">
            <v>-14.350000000000094</v>
          </cell>
          <cell r="F1077">
            <v>20.650000000000336</v>
          </cell>
          <cell r="G1077">
            <v>13.650000000000064</v>
          </cell>
          <cell r="H1077">
            <v>13.650000000000064</v>
          </cell>
          <cell r="I1077" t="e">
            <v>#N/A</v>
          </cell>
          <cell r="J1077" t="e">
            <v>#N/A</v>
          </cell>
          <cell r="K1077">
            <v>17.5</v>
          </cell>
          <cell r="L1077">
            <v>14</v>
          </cell>
          <cell r="M1077" t="e">
            <v>#N/A</v>
          </cell>
          <cell r="N1077">
            <v>16.5</v>
          </cell>
          <cell r="O1077" t="e">
            <v>#N/A</v>
          </cell>
          <cell r="P1077" t="str">
            <v/>
          </cell>
          <cell r="Q1077" t="str">
            <v/>
          </cell>
          <cell r="R1077">
            <v>16.5</v>
          </cell>
        </row>
        <row r="1078">
          <cell r="A1078" t="str">
            <v/>
          </cell>
          <cell r="B1078" t="str">
            <v/>
          </cell>
          <cell r="C1078" t="str">
            <v>Future</v>
          </cell>
          <cell r="D1078" t="e">
            <v>#N/A</v>
          </cell>
          <cell r="E1078">
            <v>-14.405405405405499</v>
          </cell>
          <cell r="F1078">
            <v>20.662162162162499</v>
          </cell>
          <cell r="G1078">
            <v>13.648648648648713</v>
          </cell>
          <cell r="H1078">
            <v>13.648648648648713</v>
          </cell>
          <cell r="I1078" t="e">
            <v>#N/A</v>
          </cell>
          <cell r="J1078" t="e">
            <v>#N/A</v>
          </cell>
          <cell r="K1078">
            <v>17.5</v>
          </cell>
          <cell r="L1078">
            <v>14</v>
          </cell>
          <cell r="M1078" t="e">
            <v>#N/A</v>
          </cell>
          <cell r="N1078">
            <v>16.5</v>
          </cell>
          <cell r="O1078" t="e">
            <v>#N/A</v>
          </cell>
          <cell r="P1078" t="str">
            <v/>
          </cell>
          <cell r="Q1078" t="str">
            <v/>
          </cell>
          <cell r="R1078">
            <v>16.5</v>
          </cell>
        </row>
        <row r="1079">
          <cell r="A1079" t="str">
            <v/>
          </cell>
          <cell r="B1079" t="str">
            <v/>
          </cell>
          <cell r="C1079" t="str">
            <v>Future</v>
          </cell>
          <cell r="D1079" t="e">
            <v>#N/A</v>
          </cell>
          <cell r="E1079">
            <v>-14.460810810810905</v>
          </cell>
          <cell r="F1079">
            <v>20.674324324324662</v>
          </cell>
          <cell r="G1079">
            <v>13.647297297297362</v>
          </cell>
          <cell r="H1079">
            <v>13.647297297297362</v>
          </cell>
          <cell r="I1079" t="e">
            <v>#N/A</v>
          </cell>
          <cell r="J1079" t="e">
            <v>#N/A</v>
          </cell>
          <cell r="K1079">
            <v>17.5</v>
          </cell>
          <cell r="L1079">
            <v>14</v>
          </cell>
          <cell r="M1079" t="e">
            <v>#N/A</v>
          </cell>
          <cell r="N1079">
            <v>16.5</v>
          </cell>
          <cell r="O1079" t="e">
            <v>#N/A</v>
          </cell>
          <cell r="P1079" t="str">
            <v/>
          </cell>
          <cell r="Q1079" t="str">
            <v/>
          </cell>
          <cell r="R1079">
            <v>16.5</v>
          </cell>
        </row>
        <row r="1080">
          <cell r="A1080" t="str">
            <v/>
          </cell>
          <cell r="B1080" t="str">
            <v/>
          </cell>
          <cell r="C1080" t="str">
            <v>Future</v>
          </cell>
          <cell r="D1080" t="e">
            <v>#N/A</v>
          </cell>
          <cell r="E1080">
            <v>-14.516216216216311</v>
          </cell>
          <cell r="F1080">
            <v>20.686486486486825</v>
          </cell>
          <cell r="G1080">
            <v>13.645945945946011</v>
          </cell>
          <cell r="H1080">
            <v>13.645945945946011</v>
          </cell>
          <cell r="I1080" t="e">
            <v>#N/A</v>
          </cell>
          <cell r="J1080" t="e">
            <v>#N/A</v>
          </cell>
          <cell r="K1080">
            <v>17.5</v>
          </cell>
          <cell r="L1080">
            <v>14</v>
          </cell>
          <cell r="M1080" t="e">
            <v>#N/A</v>
          </cell>
          <cell r="N1080">
            <v>16.5</v>
          </cell>
          <cell r="O1080" t="e">
            <v>#N/A</v>
          </cell>
          <cell r="P1080" t="str">
            <v/>
          </cell>
          <cell r="Q1080" t="str">
            <v/>
          </cell>
          <cell r="R1080">
            <v>16.5</v>
          </cell>
        </row>
        <row r="1081">
          <cell r="A1081" t="str">
            <v/>
          </cell>
          <cell r="B1081" t="str">
            <v/>
          </cell>
          <cell r="C1081" t="str">
            <v>Future</v>
          </cell>
          <cell r="D1081" t="e">
            <v>#N/A</v>
          </cell>
          <cell r="E1081">
            <v>-14.571621621621716</v>
          </cell>
          <cell r="F1081">
            <v>20.698648648648987</v>
          </cell>
          <cell r="G1081">
            <v>13.644594594594659</v>
          </cell>
          <cell r="H1081">
            <v>13.644594594594659</v>
          </cell>
          <cell r="I1081" t="e">
            <v>#N/A</v>
          </cell>
          <cell r="J1081" t="e">
            <v>#N/A</v>
          </cell>
          <cell r="K1081">
            <v>17.5</v>
          </cell>
          <cell r="L1081">
            <v>14</v>
          </cell>
          <cell r="M1081" t="e">
            <v>#N/A</v>
          </cell>
          <cell r="N1081">
            <v>16.5</v>
          </cell>
          <cell r="O1081" t="e">
            <v>#N/A</v>
          </cell>
          <cell r="P1081" t="str">
            <v/>
          </cell>
          <cell r="Q1081" t="str">
            <v/>
          </cell>
          <cell r="R1081">
            <v>16.5</v>
          </cell>
        </row>
        <row r="1082">
          <cell r="A1082" t="str">
            <v/>
          </cell>
          <cell r="B1082" t="str">
            <v/>
          </cell>
          <cell r="C1082" t="str">
            <v>Future</v>
          </cell>
          <cell r="D1082" t="e">
            <v>#N/A</v>
          </cell>
          <cell r="E1082">
            <v>-14.627027027027122</v>
          </cell>
          <cell r="F1082">
            <v>20.71081081081115</v>
          </cell>
          <cell r="G1082">
            <v>13.643243243243308</v>
          </cell>
          <cell r="H1082">
            <v>13.643243243243308</v>
          </cell>
          <cell r="I1082" t="e">
            <v>#N/A</v>
          </cell>
          <cell r="J1082" t="e">
            <v>#N/A</v>
          </cell>
          <cell r="K1082">
            <v>17.5</v>
          </cell>
          <cell r="L1082">
            <v>14</v>
          </cell>
          <cell r="M1082" t="e">
            <v>#N/A</v>
          </cell>
          <cell r="N1082">
            <v>16.5</v>
          </cell>
          <cell r="O1082" t="e">
            <v>#N/A</v>
          </cell>
          <cell r="P1082" t="str">
            <v/>
          </cell>
          <cell r="Q1082" t="str">
            <v/>
          </cell>
          <cell r="R1082">
            <v>16.5</v>
          </cell>
        </row>
        <row r="1083">
          <cell r="A1083" t="str">
            <v/>
          </cell>
          <cell r="B1083" t="str">
            <v/>
          </cell>
          <cell r="C1083" t="str">
            <v>Future</v>
          </cell>
          <cell r="D1083" t="e">
            <v>#N/A</v>
          </cell>
          <cell r="E1083">
            <v>-14.682432432432527</v>
          </cell>
          <cell r="F1083">
            <v>20.722972972973313</v>
          </cell>
          <cell r="G1083">
            <v>13.641891891891957</v>
          </cell>
          <cell r="H1083">
            <v>13.641891891891957</v>
          </cell>
          <cell r="I1083" t="e">
            <v>#N/A</v>
          </cell>
          <cell r="J1083" t="e">
            <v>#N/A</v>
          </cell>
          <cell r="K1083">
            <v>17.5</v>
          </cell>
          <cell r="L1083">
            <v>14</v>
          </cell>
          <cell r="M1083" t="e">
            <v>#N/A</v>
          </cell>
          <cell r="N1083">
            <v>16.5</v>
          </cell>
          <cell r="O1083" t="e">
            <v>#N/A</v>
          </cell>
          <cell r="P1083" t="str">
            <v/>
          </cell>
          <cell r="Q1083" t="str">
            <v/>
          </cell>
          <cell r="R1083">
            <v>16.5</v>
          </cell>
        </row>
        <row r="1084">
          <cell r="A1084" t="str">
            <v/>
          </cell>
          <cell r="B1084" t="str">
            <v/>
          </cell>
          <cell r="C1084" t="str">
            <v>Future</v>
          </cell>
          <cell r="D1084" t="e">
            <v>#N/A</v>
          </cell>
          <cell r="E1084">
            <v>-14.737837837837933</v>
          </cell>
          <cell r="F1084">
            <v>20.735135135135476</v>
          </cell>
          <cell r="G1084">
            <v>13.640540540540606</v>
          </cell>
          <cell r="H1084">
            <v>13.640540540540606</v>
          </cell>
          <cell r="I1084" t="e">
            <v>#N/A</v>
          </cell>
          <cell r="J1084" t="e">
            <v>#N/A</v>
          </cell>
          <cell r="K1084">
            <v>17.5</v>
          </cell>
          <cell r="L1084">
            <v>14</v>
          </cell>
          <cell r="M1084" t="e">
            <v>#N/A</v>
          </cell>
          <cell r="N1084">
            <v>16.5</v>
          </cell>
          <cell r="O1084" t="e">
            <v>#N/A</v>
          </cell>
          <cell r="P1084" t="str">
            <v/>
          </cell>
          <cell r="Q1084" t="str">
            <v/>
          </cell>
          <cell r="R1084">
            <v>16.5</v>
          </cell>
        </row>
        <row r="1085">
          <cell r="A1085" t="str">
            <v/>
          </cell>
          <cell r="B1085" t="str">
            <v/>
          </cell>
          <cell r="C1085" t="str">
            <v>Future</v>
          </cell>
          <cell r="D1085" t="e">
            <v>#N/A</v>
          </cell>
          <cell r="E1085">
            <v>-14.793243243243339</v>
          </cell>
          <cell r="F1085">
            <v>20.747297297297639</v>
          </cell>
          <cell r="G1085">
            <v>13.639189189189254</v>
          </cell>
          <cell r="H1085">
            <v>13.639189189189254</v>
          </cell>
          <cell r="I1085" t="e">
            <v>#N/A</v>
          </cell>
          <cell r="J1085" t="e">
            <v>#N/A</v>
          </cell>
          <cell r="K1085">
            <v>17.5</v>
          </cell>
          <cell r="L1085">
            <v>14</v>
          </cell>
          <cell r="M1085" t="e">
            <v>#N/A</v>
          </cell>
          <cell r="N1085">
            <v>16.5</v>
          </cell>
          <cell r="O1085" t="e">
            <v>#N/A</v>
          </cell>
          <cell r="P1085" t="str">
            <v/>
          </cell>
          <cell r="Q1085" t="str">
            <v/>
          </cell>
          <cell r="R1085">
            <v>16.5</v>
          </cell>
        </row>
        <row r="1086">
          <cell r="A1086" t="str">
            <v/>
          </cell>
          <cell r="B1086" t="str">
            <v/>
          </cell>
          <cell r="C1086" t="str">
            <v>Future</v>
          </cell>
          <cell r="D1086" t="e">
            <v>#N/A</v>
          </cell>
          <cell r="E1086">
            <v>-14.848648648648744</v>
          </cell>
          <cell r="F1086">
            <v>20.759459459459801</v>
          </cell>
          <cell r="G1086">
            <v>13.637837837837903</v>
          </cell>
          <cell r="H1086">
            <v>13.637837837837903</v>
          </cell>
          <cell r="I1086" t="e">
            <v>#N/A</v>
          </cell>
          <cell r="J1086" t="e">
            <v>#N/A</v>
          </cell>
          <cell r="K1086">
            <v>17.5</v>
          </cell>
          <cell r="L1086">
            <v>14</v>
          </cell>
          <cell r="M1086" t="e">
            <v>#N/A</v>
          </cell>
          <cell r="N1086">
            <v>16.5</v>
          </cell>
          <cell r="O1086" t="e">
            <v>#N/A</v>
          </cell>
          <cell r="P1086" t="str">
            <v/>
          </cell>
          <cell r="Q1086" t="str">
            <v/>
          </cell>
          <cell r="R1086">
            <v>16.5</v>
          </cell>
        </row>
        <row r="1087">
          <cell r="A1087" t="str">
            <v/>
          </cell>
          <cell r="B1087" t="str">
            <v/>
          </cell>
          <cell r="C1087" t="str">
            <v>Future</v>
          </cell>
          <cell r="D1087" t="e">
            <v>#N/A</v>
          </cell>
          <cell r="E1087">
            <v>-14.90405405405415</v>
          </cell>
          <cell r="F1087">
            <v>20.771621621621964</v>
          </cell>
          <cell r="G1087">
            <v>13.636486486486552</v>
          </cell>
          <cell r="H1087">
            <v>13.636486486486552</v>
          </cell>
          <cell r="I1087" t="e">
            <v>#N/A</v>
          </cell>
          <cell r="J1087" t="e">
            <v>#N/A</v>
          </cell>
          <cell r="K1087">
            <v>17.5</v>
          </cell>
          <cell r="L1087">
            <v>14</v>
          </cell>
          <cell r="M1087" t="e">
            <v>#N/A</v>
          </cell>
          <cell r="N1087">
            <v>16.5</v>
          </cell>
          <cell r="O1087" t="e">
            <v>#N/A</v>
          </cell>
          <cell r="P1087" t="str">
            <v/>
          </cell>
          <cell r="Q1087" t="str">
            <v/>
          </cell>
          <cell r="R1087">
            <v>16.5</v>
          </cell>
        </row>
        <row r="1088">
          <cell r="A1088" t="str">
            <v/>
          </cell>
          <cell r="B1088" t="str">
            <v/>
          </cell>
          <cell r="C1088" t="str">
            <v>Future</v>
          </cell>
          <cell r="D1088" t="e">
            <v>#N/A</v>
          </cell>
          <cell r="E1088">
            <v>-14.959459459459556</v>
          </cell>
          <cell r="F1088">
            <v>20.783783783784127</v>
          </cell>
          <cell r="G1088">
            <v>13.635135135135201</v>
          </cell>
          <cell r="H1088">
            <v>13.635135135135201</v>
          </cell>
          <cell r="I1088" t="e">
            <v>#N/A</v>
          </cell>
          <cell r="J1088" t="e">
            <v>#N/A</v>
          </cell>
          <cell r="K1088">
            <v>17.5</v>
          </cell>
          <cell r="L1088">
            <v>14</v>
          </cell>
          <cell r="M1088" t="e">
            <v>#N/A</v>
          </cell>
          <cell r="N1088">
            <v>16.5</v>
          </cell>
          <cell r="O1088" t="e">
            <v>#N/A</v>
          </cell>
          <cell r="P1088" t="str">
            <v/>
          </cell>
          <cell r="Q1088" t="str">
            <v/>
          </cell>
          <cell r="R1088">
            <v>16.5</v>
          </cell>
        </row>
        <row r="1089">
          <cell r="A1089" t="str">
            <v/>
          </cell>
          <cell r="B1089" t="str">
            <v/>
          </cell>
          <cell r="C1089" t="str">
            <v>Future</v>
          </cell>
          <cell r="D1089" t="e">
            <v>#N/A</v>
          </cell>
          <cell r="E1089">
            <v>-15.014864864864961</v>
          </cell>
          <cell r="F1089">
            <v>20.79594594594629</v>
          </cell>
          <cell r="G1089">
            <v>13.63378378378385</v>
          </cell>
          <cell r="H1089">
            <v>13.63378378378385</v>
          </cell>
          <cell r="I1089" t="e">
            <v>#N/A</v>
          </cell>
          <cell r="J1089" t="e">
            <v>#N/A</v>
          </cell>
          <cell r="K1089">
            <v>17.5</v>
          </cell>
          <cell r="L1089">
            <v>14</v>
          </cell>
          <cell r="M1089" t="e">
            <v>#N/A</v>
          </cell>
          <cell r="N1089">
            <v>16.5</v>
          </cell>
          <cell r="O1089" t="e">
            <v>#N/A</v>
          </cell>
          <cell r="P1089" t="str">
            <v/>
          </cell>
          <cell r="Q1089" t="str">
            <v/>
          </cell>
          <cell r="R1089">
            <v>16.5</v>
          </cell>
        </row>
        <row r="1090">
          <cell r="A1090" t="str">
            <v/>
          </cell>
          <cell r="B1090" t="str">
            <v/>
          </cell>
          <cell r="C1090" t="str">
            <v>Future</v>
          </cell>
          <cell r="D1090" t="e">
            <v>#N/A</v>
          </cell>
          <cell r="E1090">
            <v>-15.070270270270367</v>
          </cell>
          <cell r="F1090">
            <v>20.808108108108453</v>
          </cell>
          <cell r="G1090">
            <v>13.632432432432498</v>
          </cell>
          <cell r="H1090">
            <v>13.632432432432498</v>
          </cell>
          <cell r="I1090" t="e">
            <v>#N/A</v>
          </cell>
          <cell r="J1090" t="e">
            <v>#N/A</v>
          </cell>
          <cell r="K1090">
            <v>17.5</v>
          </cell>
          <cell r="L1090">
            <v>14</v>
          </cell>
          <cell r="M1090" t="e">
            <v>#N/A</v>
          </cell>
          <cell r="N1090">
            <v>16.5</v>
          </cell>
          <cell r="O1090" t="e">
            <v>#N/A</v>
          </cell>
          <cell r="P1090" t="str">
            <v/>
          </cell>
          <cell r="Q1090" t="str">
            <v/>
          </cell>
          <cell r="R1090">
            <v>16.5</v>
          </cell>
        </row>
        <row r="1091">
          <cell r="A1091" t="str">
            <v/>
          </cell>
          <cell r="B1091" t="str">
            <v/>
          </cell>
          <cell r="C1091" t="str">
            <v>Future</v>
          </cell>
          <cell r="D1091" t="e">
            <v>#N/A</v>
          </cell>
          <cell r="E1091">
            <v>-15.125675675675772</v>
          </cell>
          <cell r="F1091">
            <v>20.820270270270615</v>
          </cell>
          <cell r="G1091">
            <v>13.631081081081147</v>
          </cell>
          <cell r="H1091">
            <v>13.631081081081147</v>
          </cell>
          <cell r="I1091" t="e">
            <v>#N/A</v>
          </cell>
          <cell r="J1091" t="e">
            <v>#N/A</v>
          </cell>
          <cell r="K1091">
            <v>17.5</v>
          </cell>
          <cell r="L1091">
            <v>14</v>
          </cell>
          <cell r="M1091" t="e">
            <v>#N/A</v>
          </cell>
          <cell r="N1091">
            <v>16.5</v>
          </cell>
          <cell r="O1091" t="e">
            <v>#N/A</v>
          </cell>
          <cell r="P1091" t="str">
            <v/>
          </cell>
          <cell r="Q1091" t="str">
            <v/>
          </cell>
          <cell r="R1091">
            <v>16.5</v>
          </cell>
        </row>
        <row r="1092">
          <cell r="A1092" t="str">
            <v/>
          </cell>
          <cell r="B1092" t="str">
            <v/>
          </cell>
          <cell r="C1092" t="str">
            <v>Future</v>
          </cell>
          <cell r="D1092" t="e">
            <v>#N/A</v>
          </cell>
          <cell r="E1092">
            <v>-15.181081081081178</v>
          </cell>
          <cell r="F1092">
            <v>20.832432432432778</v>
          </cell>
          <cell r="G1092">
            <v>13.629729729729796</v>
          </cell>
          <cell r="H1092">
            <v>13.629729729729796</v>
          </cell>
          <cell r="I1092" t="e">
            <v>#N/A</v>
          </cell>
          <cell r="J1092" t="e">
            <v>#N/A</v>
          </cell>
          <cell r="K1092">
            <v>17.5</v>
          </cell>
          <cell r="L1092">
            <v>14</v>
          </cell>
          <cell r="M1092" t="e">
            <v>#N/A</v>
          </cell>
          <cell r="N1092">
            <v>16.5</v>
          </cell>
          <cell r="O1092" t="e">
            <v>#N/A</v>
          </cell>
          <cell r="P1092" t="str">
            <v/>
          </cell>
          <cell r="Q1092" t="str">
            <v/>
          </cell>
          <cell r="R1092">
            <v>16.5</v>
          </cell>
        </row>
        <row r="1093">
          <cell r="A1093" t="str">
            <v/>
          </cell>
          <cell r="B1093" t="str">
            <v/>
          </cell>
          <cell r="C1093" t="str">
            <v>Future</v>
          </cell>
          <cell r="D1093" t="e">
            <v>#N/A</v>
          </cell>
          <cell r="E1093">
            <v>-15.236486486486584</v>
          </cell>
          <cell r="F1093">
            <v>20.844594594594941</v>
          </cell>
          <cell r="G1093">
            <v>13.628378378378445</v>
          </cell>
          <cell r="H1093">
            <v>13.628378378378445</v>
          </cell>
          <cell r="I1093" t="e">
            <v>#N/A</v>
          </cell>
          <cell r="J1093" t="e">
            <v>#N/A</v>
          </cell>
          <cell r="K1093">
            <v>17.5</v>
          </cell>
          <cell r="L1093">
            <v>14</v>
          </cell>
          <cell r="M1093" t="e">
            <v>#N/A</v>
          </cell>
          <cell r="N1093">
            <v>16.5</v>
          </cell>
          <cell r="O1093" t="e">
            <v>#N/A</v>
          </cell>
          <cell r="P1093" t="str">
            <v/>
          </cell>
          <cell r="Q1093" t="str">
            <v/>
          </cell>
          <cell r="R1093">
            <v>16.5</v>
          </cell>
        </row>
        <row r="1094">
          <cell r="A1094" t="str">
            <v/>
          </cell>
          <cell r="B1094" t="str">
            <v/>
          </cell>
          <cell r="C1094" t="str">
            <v>Future</v>
          </cell>
          <cell r="D1094" t="e">
            <v>#N/A</v>
          </cell>
          <cell r="E1094">
            <v>-15.291891891891989</v>
          </cell>
          <cell r="F1094">
            <v>20.856756756757104</v>
          </cell>
          <cell r="G1094">
            <v>13.627027027027093</v>
          </cell>
          <cell r="H1094">
            <v>13.627027027027093</v>
          </cell>
          <cell r="I1094" t="e">
            <v>#N/A</v>
          </cell>
          <cell r="J1094" t="e">
            <v>#N/A</v>
          </cell>
          <cell r="K1094">
            <v>17.5</v>
          </cell>
          <cell r="L1094">
            <v>14</v>
          </cell>
          <cell r="M1094" t="e">
            <v>#N/A</v>
          </cell>
          <cell r="N1094">
            <v>16.5</v>
          </cell>
          <cell r="O1094" t="e">
            <v>#N/A</v>
          </cell>
          <cell r="P1094" t="str">
            <v/>
          </cell>
          <cell r="Q1094" t="str">
            <v/>
          </cell>
          <cell r="R1094">
            <v>16.5</v>
          </cell>
        </row>
        <row r="1095">
          <cell r="A1095" t="str">
            <v/>
          </cell>
          <cell r="B1095" t="str">
            <v/>
          </cell>
          <cell r="C1095" t="str">
            <v>Future</v>
          </cell>
          <cell r="D1095" t="e">
            <v>#N/A</v>
          </cell>
          <cell r="E1095">
            <v>-15.347297297297395</v>
          </cell>
          <cell r="F1095">
            <v>20.868918918919267</v>
          </cell>
          <cell r="G1095">
            <v>13.625675675675742</v>
          </cell>
          <cell r="H1095">
            <v>13.625675675675742</v>
          </cell>
          <cell r="I1095" t="e">
            <v>#N/A</v>
          </cell>
          <cell r="J1095" t="e">
            <v>#N/A</v>
          </cell>
          <cell r="K1095">
            <v>17.5</v>
          </cell>
          <cell r="L1095">
            <v>14</v>
          </cell>
          <cell r="M1095" t="e">
            <v>#N/A</v>
          </cell>
          <cell r="N1095">
            <v>16.5</v>
          </cell>
          <cell r="O1095" t="e">
            <v>#N/A</v>
          </cell>
          <cell r="P1095" t="str">
            <v/>
          </cell>
          <cell r="Q1095" t="str">
            <v/>
          </cell>
          <cell r="R1095">
            <v>16.5</v>
          </cell>
        </row>
        <row r="1096">
          <cell r="A1096" t="str">
            <v/>
          </cell>
          <cell r="B1096" t="str">
            <v/>
          </cell>
          <cell r="C1096" t="str">
            <v>Future</v>
          </cell>
          <cell r="D1096" t="e">
            <v>#N/A</v>
          </cell>
          <cell r="E1096">
            <v>-15.402702702702801</v>
          </cell>
          <cell r="F1096">
            <v>20.88108108108143</v>
          </cell>
          <cell r="G1096">
            <v>13.624324324324391</v>
          </cell>
          <cell r="H1096">
            <v>13.624324324324391</v>
          </cell>
          <cell r="I1096" t="e">
            <v>#N/A</v>
          </cell>
          <cell r="J1096" t="e">
            <v>#N/A</v>
          </cell>
          <cell r="K1096">
            <v>17.5</v>
          </cell>
          <cell r="L1096">
            <v>14</v>
          </cell>
          <cell r="M1096" t="e">
            <v>#N/A</v>
          </cell>
          <cell r="N1096">
            <v>16.5</v>
          </cell>
          <cell r="O1096" t="e">
            <v>#N/A</v>
          </cell>
          <cell r="P1096" t="str">
            <v/>
          </cell>
          <cell r="Q1096" t="str">
            <v/>
          </cell>
          <cell r="R1096">
            <v>16.5</v>
          </cell>
        </row>
        <row r="1097">
          <cell r="A1097" t="str">
            <v/>
          </cell>
          <cell r="B1097" t="str">
            <v/>
          </cell>
          <cell r="C1097" t="str">
            <v>Future</v>
          </cell>
          <cell r="D1097" t="e">
            <v>#N/A</v>
          </cell>
          <cell r="E1097">
            <v>-15.458108108108206</v>
          </cell>
          <cell r="F1097">
            <v>20.893243243243592</v>
          </cell>
          <cell r="G1097">
            <v>13.62297297297304</v>
          </cell>
          <cell r="H1097">
            <v>13.62297297297304</v>
          </cell>
          <cell r="I1097" t="e">
            <v>#N/A</v>
          </cell>
          <cell r="J1097" t="e">
            <v>#N/A</v>
          </cell>
          <cell r="K1097">
            <v>17.5</v>
          </cell>
          <cell r="L1097">
            <v>14</v>
          </cell>
          <cell r="M1097" t="e">
            <v>#N/A</v>
          </cell>
          <cell r="N1097">
            <v>16.5</v>
          </cell>
          <cell r="O1097" t="e">
            <v>#N/A</v>
          </cell>
          <cell r="P1097" t="str">
            <v/>
          </cell>
          <cell r="Q1097" t="str">
            <v/>
          </cell>
          <cell r="R1097">
            <v>16.5</v>
          </cell>
        </row>
        <row r="1098">
          <cell r="A1098" t="str">
            <v/>
          </cell>
          <cell r="B1098" t="str">
            <v/>
          </cell>
          <cell r="C1098" t="str">
            <v>Future</v>
          </cell>
          <cell r="D1098" t="e">
            <v>#N/A</v>
          </cell>
          <cell r="E1098">
            <v>-15.513513513513612</v>
          </cell>
          <cell r="F1098">
            <v>20.905405405405755</v>
          </cell>
          <cell r="G1098">
            <v>13.621621621621689</v>
          </cell>
          <cell r="H1098">
            <v>13.621621621621689</v>
          </cell>
          <cell r="I1098" t="e">
            <v>#N/A</v>
          </cell>
          <cell r="J1098" t="e">
            <v>#N/A</v>
          </cell>
          <cell r="K1098">
            <v>17.5</v>
          </cell>
          <cell r="L1098">
            <v>14</v>
          </cell>
          <cell r="M1098" t="e">
            <v>#N/A</v>
          </cell>
          <cell r="N1098">
            <v>16.5</v>
          </cell>
          <cell r="O1098" t="e">
            <v>#N/A</v>
          </cell>
          <cell r="P1098" t="str">
            <v/>
          </cell>
          <cell r="Q1098" t="str">
            <v/>
          </cell>
          <cell r="R1098">
            <v>16.5</v>
          </cell>
        </row>
        <row r="1099">
          <cell r="A1099" t="str">
            <v/>
          </cell>
          <cell r="B1099" t="str">
            <v/>
          </cell>
          <cell r="C1099" t="str">
            <v>Future</v>
          </cell>
          <cell r="D1099" t="e">
            <v>#N/A</v>
          </cell>
          <cell r="E1099">
            <v>-15.568918918919017</v>
          </cell>
          <cell r="F1099">
            <v>20.917567567567918</v>
          </cell>
          <cell r="G1099">
            <v>13.620270270270337</v>
          </cell>
          <cell r="H1099">
            <v>13.620270270270337</v>
          </cell>
          <cell r="I1099" t="e">
            <v>#N/A</v>
          </cell>
          <cell r="J1099" t="e">
            <v>#N/A</v>
          </cell>
          <cell r="K1099">
            <v>17.5</v>
          </cell>
          <cell r="L1099">
            <v>14</v>
          </cell>
          <cell r="M1099" t="e">
            <v>#N/A</v>
          </cell>
          <cell r="N1099">
            <v>16.5</v>
          </cell>
          <cell r="O1099" t="e">
            <v>#N/A</v>
          </cell>
          <cell r="P1099" t="str">
            <v/>
          </cell>
          <cell r="Q1099" t="str">
            <v/>
          </cell>
          <cell r="R1099">
            <v>16.5</v>
          </cell>
        </row>
        <row r="1100">
          <cell r="A1100" t="str">
            <v/>
          </cell>
          <cell r="B1100" t="str">
            <v/>
          </cell>
          <cell r="C1100" t="str">
            <v>Future</v>
          </cell>
          <cell r="D1100" t="e">
            <v>#N/A</v>
          </cell>
          <cell r="E1100">
            <v>-15.624324324324423</v>
          </cell>
          <cell r="F1100">
            <v>20.929729729730081</v>
          </cell>
          <cell r="G1100">
            <v>13.618918918918986</v>
          </cell>
          <cell r="H1100">
            <v>13.618918918918986</v>
          </cell>
          <cell r="I1100" t="e">
            <v>#N/A</v>
          </cell>
          <cell r="J1100" t="e">
            <v>#N/A</v>
          </cell>
          <cell r="K1100">
            <v>17.5</v>
          </cell>
          <cell r="L1100">
            <v>14</v>
          </cell>
          <cell r="M1100" t="e">
            <v>#N/A</v>
          </cell>
          <cell r="N1100">
            <v>16.5</v>
          </cell>
          <cell r="O1100" t="e">
            <v>#N/A</v>
          </cell>
          <cell r="P1100" t="str">
            <v/>
          </cell>
          <cell r="Q1100" t="str">
            <v/>
          </cell>
          <cell r="R1100">
            <v>16.5</v>
          </cell>
        </row>
        <row r="1101">
          <cell r="A1101" t="str">
            <v/>
          </cell>
          <cell r="B1101" t="str">
            <v/>
          </cell>
          <cell r="C1101" t="str">
            <v>Future</v>
          </cell>
          <cell r="D1101" t="e">
            <v>#N/A</v>
          </cell>
          <cell r="E1101">
            <v>-15.679729729729829</v>
          </cell>
          <cell r="F1101">
            <v>20.941891891892244</v>
          </cell>
          <cell r="G1101">
            <v>13.617567567567635</v>
          </cell>
          <cell r="H1101">
            <v>13.617567567567635</v>
          </cell>
          <cell r="I1101" t="e">
            <v>#N/A</v>
          </cell>
          <cell r="J1101" t="e">
            <v>#N/A</v>
          </cell>
          <cell r="K1101">
            <v>17.5</v>
          </cell>
          <cell r="L1101">
            <v>14</v>
          </cell>
          <cell r="M1101" t="e">
            <v>#N/A</v>
          </cell>
          <cell r="N1101">
            <v>16.5</v>
          </cell>
          <cell r="O1101" t="e">
            <v>#N/A</v>
          </cell>
          <cell r="P1101" t="str">
            <v/>
          </cell>
          <cell r="Q1101" t="str">
            <v/>
          </cell>
          <cell r="R1101">
            <v>16.5</v>
          </cell>
        </row>
        <row r="1102">
          <cell r="A1102" t="str">
            <v/>
          </cell>
          <cell r="B1102" t="str">
            <v/>
          </cell>
          <cell r="C1102" t="str">
            <v>Future</v>
          </cell>
          <cell r="D1102" t="e">
            <v>#N/A</v>
          </cell>
          <cell r="E1102">
            <v>-15.735135135135234</v>
          </cell>
          <cell r="F1102">
            <v>20.954054054054406</v>
          </cell>
          <cell r="G1102">
            <v>13.616216216216284</v>
          </cell>
          <cell r="H1102">
            <v>13.616216216216284</v>
          </cell>
          <cell r="I1102" t="e">
            <v>#N/A</v>
          </cell>
          <cell r="J1102" t="e">
            <v>#N/A</v>
          </cell>
          <cell r="K1102">
            <v>17.5</v>
          </cell>
          <cell r="L1102">
            <v>14</v>
          </cell>
          <cell r="M1102" t="e">
            <v>#N/A</v>
          </cell>
          <cell r="N1102">
            <v>16.5</v>
          </cell>
          <cell r="O1102" t="e">
            <v>#N/A</v>
          </cell>
          <cell r="P1102" t="str">
            <v/>
          </cell>
          <cell r="Q1102" t="str">
            <v/>
          </cell>
          <cell r="R1102">
            <v>16.5</v>
          </cell>
        </row>
        <row r="1103">
          <cell r="A1103" t="str">
            <v/>
          </cell>
          <cell r="B1103" t="str">
            <v/>
          </cell>
          <cell r="C1103" t="str">
            <v>Future</v>
          </cell>
          <cell r="D1103" t="e">
            <v>#N/A</v>
          </cell>
          <cell r="E1103">
            <v>-15.79054054054064</v>
          </cell>
          <cell r="F1103">
            <v>20.966216216216569</v>
          </cell>
          <cell r="G1103">
            <v>13.614864864864932</v>
          </cell>
          <cell r="H1103">
            <v>13.614864864864932</v>
          </cell>
          <cell r="I1103" t="e">
            <v>#N/A</v>
          </cell>
          <cell r="J1103" t="e">
            <v>#N/A</v>
          </cell>
          <cell r="K1103">
            <v>17.5</v>
          </cell>
          <cell r="L1103">
            <v>14</v>
          </cell>
          <cell r="M1103" t="e">
            <v>#N/A</v>
          </cell>
          <cell r="N1103">
            <v>16.5</v>
          </cell>
          <cell r="O1103" t="e">
            <v>#N/A</v>
          </cell>
          <cell r="P1103" t="str">
            <v/>
          </cell>
          <cell r="Q1103" t="str">
            <v/>
          </cell>
          <cell r="R1103">
            <v>16.5</v>
          </cell>
        </row>
        <row r="1104">
          <cell r="A1104" t="str">
            <v/>
          </cell>
          <cell r="B1104" t="str">
            <v/>
          </cell>
          <cell r="C1104" t="str">
            <v>Future</v>
          </cell>
          <cell r="D1104" t="e">
            <v>#N/A</v>
          </cell>
          <cell r="E1104">
            <v>-15.845945945946045</v>
          </cell>
          <cell r="F1104">
            <v>20.978378378378732</v>
          </cell>
          <cell r="G1104">
            <v>13.613513513513581</v>
          </cell>
          <cell r="H1104">
            <v>13.613513513513581</v>
          </cell>
          <cell r="I1104" t="e">
            <v>#N/A</v>
          </cell>
          <cell r="J1104" t="e">
            <v>#N/A</v>
          </cell>
          <cell r="K1104">
            <v>17.5</v>
          </cell>
          <cell r="L1104">
            <v>14</v>
          </cell>
          <cell r="M1104" t="e">
            <v>#N/A</v>
          </cell>
          <cell r="N1104">
            <v>16.5</v>
          </cell>
          <cell r="O1104" t="e">
            <v>#N/A</v>
          </cell>
          <cell r="P1104" t="str">
            <v/>
          </cell>
          <cell r="Q1104" t="str">
            <v/>
          </cell>
          <cell r="R1104">
            <v>16.5</v>
          </cell>
        </row>
        <row r="1105">
          <cell r="A1105" t="str">
            <v/>
          </cell>
          <cell r="B1105" t="str">
            <v/>
          </cell>
          <cell r="C1105" t="str">
            <v>Future</v>
          </cell>
          <cell r="D1105" t="e">
            <v>#N/A</v>
          </cell>
          <cell r="E1105">
            <v>-15.901351351351451</v>
          </cell>
          <cell r="F1105">
            <v>20.990540540540895</v>
          </cell>
          <cell r="G1105">
            <v>13.61216216216223</v>
          </cell>
          <cell r="H1105">
            <v>13.61216216216223</v>
          </cell>
          <cell r="I1105" t="e">
            <v>#N/A</v>
          </cell>
          <cell r="J1105" t="e">
            <v>#N/A</v>
          </cell>
          <cell r="K1105">
            <v>17.5</v>
          </cell>
          <cell r="L1105">
            <v>14</v>
          </cell>
          <cell r="M1105" t="e">
            <v>#N/A</v>
          </cell>
          <cell r="N1105">
            <v>16.5</v>
          </cell>
          <cell r="O1105" t="e">
            <v>#N/A</v>
          </cell>
          <cell r="P1105" t="str">
            <v/>
          </cell>
          <cell r="Q1105" t="str">
            <v/>
          </cell>
          <cell r="R1105">
            <v>16.5</v>
          </cell>
        </row>
        <row r="1106">
          <cell r="A1106" t="str">
            <v/>
          </cell>
          <cell r="B1106" t="str">
            <v/>
          </cell>
          <cell r="C1106" t="str">
            <v>Future</v>
          </cell>
          <cell r="D1106" t="e">
            <v>#N/A</v>
          </cell>
          <cell r="E1106">
            <v>-15.956756756756857</v>
          </cell>
          <cell r="F1106">
            <v>21.002702702703058</v>
          </cell>
          <cell r="G1106">
            <v>13.610810810810879</v>
          </cell>
          <cell r="H1106">
            <v>13.610810810810879</v>
          </cell>
          <cell r="I1106" t="e">
            <v>#N/A</v>
          </cell>
          <cell r="J1106" t="e">
            <v>#N/A</v>
          </cell>
          <cell r="K1106">
            <v>17.5</v>
          </cell>
          <cell r="L1106">
            <v>14</v>
          </cell>
          <cell r="M1106" t="e">
            <v>#N/A</v>
          </cell>
          <cell r="N1106">
            <v>16.5</v>
          </cell>
          <cell r="O1106" t="e">
            <v>#N/A</v>
          </cell>
          <cell r="P1106" t="str">
            <v/>
          </cell>
          <cell r="Q1106" t="str">
            <v/>
          </cell>
          <cell r="R1106">
            <v>16.5</v>
          </cell>
        </row>
        <row r="1107">
          <cell r="A1107" t="str">
            <v/>
          </cell>
          <cell r="B1107" t="str">
            <v/>
          </cell>
          <cell r="C1107" t="str">
            <v>Future</v>
          </cell>
          <cell r="D1107" t="e">
            <v>#N/A</v>
          </cell>
          <cell r="E1107">
            <v>-16.012162162162262</v>
          </cell>
          <cell r="F1107">
            <v>21.014864864865221</v>
          </cell>
          <cell r="G1107">
            <v>13.609459459459528</v>
          </cell>
          <cell r="H1107">
            <v>13.609459459459528</v>
          </cell>
          <cell r="I1107" t="e">
            <v>#N/A</v>
          </cell>
          <cell r="J1107" t="e">
            <v>#N/A</v>
          </cell>
          <cell r="K1107">
            <v>17.5</v>
          </cell>
          <cell r="L1107">
            <v>14</v>
          </cell>
          <cell r="M1107" t="e">
            <v>#N/A</v>
          </cell>
          <cell r="N1107">
            <v>16.5</v>
          </cell>
          <cell r="O1107" t="e">
            <v>#N/A</v>
          </cell>
          <cell r="P1107" t="str">
            <v/>
          </cell>
          <cell r="Q1107" t="str">
            <v/>
          </cell>
          <cell r="R1107">
            <v>16.5</v>
          </cell>
        </row>
        <row r="1108">
          <cell r="A1108" t="str">
            <v/>
          </cell>
          <cell r="B1108" t="str">
            <v/>
          </cell>
          <cell r="C1108" t="str">
            <v>Future</v>
          </cell>
          <cell r="D1108" t="e">
            <v>#N/A</v>
          </cell>
          <cell r="E1108">
            <v>-16.067567567567668</v>
          </cell>
          <cell r="F1108">
            <v>21.027027027027383</v>
          </cell>
          <cell r="G1108">
            <v>13.608108108108176</v>
          </cell>
          <cell r="H1108">
            <v>13.608108108108176</v>
          </cell>
          <cell r="I1108" t="e">
            <v>#N/A</v>
          </cell>
          <cell r="J1108" t="e">
            <v>#N/A</v>
          </cell>
          <cell r="K1108">
            <v>17.5</v>
          </cell>
          <cell r="L1108">
            <v>14</v>
          </cell>
          <cell r="M1108" t="e">
            <v>#N/A</v>
          </cell>
          <cell r="N1108">
            <v>16.5</v>
          </cell>
          <cell r="O1108" t="e">
            <v>#N/A</v>
          </cell>
          <cell r="P1108" t="str">
            <v/>
          </cell>
          <cell r="Q1108" t="str">
            <v/>
          </cell>
          <cell r="R1108">
            <v>16.5</v>
          </cell>
        </row>
        <row r="1109">
          <cell r="A1109" t="str">
            <v/>
          </cell>
          <cell r="B1109" t="str">
            <v/>
          </cell>
          <cell r="C1109" t="str">
            <v>Future</v>
          </cell>
          <cell r="D1109" t="e">
            <v>#N/A</v>
          </cell>
          <cell r="E1109">
            <v>-16.122972972973074</v>
          </cell>
          <cell r="F1109">
            <v>21.039189189189546</v>
          </cell>
          <cell r="G1109">
            <v>13.606756756756825</v>
          </cell>
          <cell r="H1109">
            <v>13.606756756756825</v>
          </cell>
          <cell r="I1109" t="e">
            <v>#N/A</v>
          </cell>
          <cell r="J1109" t="e">
            <v>#N/A</v>
          </cell>
          <cell r="K1109">
            <v>17.5</v>
          </cell>
          <cell r="L1109">
            <v>14</v>
          </cell>
          <cell r="M1109" t="e">
            <v>#N/A</v>
          </cell>
          <cell r="N1109">
            <v>16.5</v>
          </cell>
          <cell r="O1109" t="e">
            <v>#N/A</v>
          </cell>
          <cell r="P1109" t="str">
            <v/>
          </cell>
          <cell r="Q1109" t="str">
            <v/>
          </cell>
          <cell r="R1109">
            <v>16.5</v>
          </cell>
        </row>
        <row r="1110">
          <cell r="A1110" t="str">
            <v/>
          </cell>
          <cell r="B1110" t="str">
            <v/>
          </cell>
          <cell r="C1110" t="str">
            <v>Future</v>
          </cell>
          <cell r="D1110" t="e">
            <v>#N/A</v>
          </cell>
          <cell r="E1110">
            <v>-16.178378378378479</v>
          </cell>
          <cell r="F1110">
            <v>21.051351351351709</v>
          </cell>
          <cell r="G1110">
            <v>13.605405405405474</v>
          </cell>
          <cell r="H1110">
            <v>13.605405405405474</v>
          </cell>
          <cell r="I1110" t="e">
            <v>#N/A</v>
          </cell>
          <cell r="J1110" t="e">
            <v>#N/A</v>
          </cell>
          <cell r="K1110">
            <v>17.5</v>
          </cell>
          <cell r="L1110">
            <v>14</v>
          </cell>
          <cell r="M1110" t="e">
            <v>#N/A</v>
          </cell>
          <cell r="N1110">
            <v>16.5</v>
          </cell>
          <cell r="O1110" t="e">
            <v>#N/A</v>
          </cell>
          <cell r="P1110" t="str">
            <v/>
          </cell>
          <cell r="Q1110" t="str">
            <v/>
          </cell>
          <cell r="R1110">
            <v>16.5</v>
          </cell>
        </row>
        <row r="1111">
          <cell r="A1111" t="str">
            <v/>
          </cell>
          <cell r="B1111" t="str">
            <v/>
          </cell>
          <cell r="C1111" t="str">
            <v>Future</v>
          </cell>
          <cell r="D1111" t="e">
            <v>#N/A</v>
          </cell>
          <cell r="E1111">
            <v>-16.233783783783885</v>
          </cell>
          <cell r="F1111">
            <v>21.063513513513872</v>
          </cell>
          <cell r="G1111">
            <v>13.604054054054123</v>
          </cell>
          <cell r="H1111">
            <v>13.604054054054123</v>
          </cell>
          <cell r="I1111" t="e">
            <v>#N/A</v>
          </cell>
          <cell r="J1111" t="e">
            <v>#N/A</v>
          </cell>
          <cell r="K1111">
            <v>17.5</v>
          </cell>
          <cell r="L1111">
            <v>14</v>
          </cell>
          <cell r="M1111" t="e">
            <v>#N/A</v>
          </cell>
          <cell r="N1111">
            <v>16.5</v>
          </cell>
          <cell r="O1111" t="e">
            <v>#N/A</v>
          </cell>
          <cell r="P1111" t="str">
            <v/>
          </cell>
          <cell r="Q1111" t="str">
            <v/>
          </cell>
          <cell r="R1111">
            <v>16.5</v>
          </cell>
        </row>
        <row r="1112">
          <cell r="A1112" t="str">
            <v/>
          </cell>
          <cell r="B1112" t="str">
            <v/>
          </cell>
          <cell r="C1112" t="str">
            <v>Future</v>
          </cell>
          <cell r="D1112" t="e">
            <v>#N/A</v>
          </cell>
          <cell r="E1112">
            <v>-16.28918918918929</v>
          </cell>
          <cell r="F1112">
            <v>21.075675675676035</v>
          </cell>
          <cell r="G1112">
            <v>13.602702702702771</v>
          </cell>
          <cell r="H1112">
            <v>13.602702702702771</v>
          </cell>
          <cell r="I1112" t="e">
            <v>#N/A</v>
          </cell>
          <cell r="J1112" t="e">
            <v>#N/A</v>
          </cell>
          <cell r="K1112">
            <v>17.5</v>
          </cell>
          <cell r="L1112">
            <v>14</v>
          </cell>
          <cell r="M1112" t="e">
            <v>#N/A</v>
          </cell>
          <cell r="N1112">
            <v>16.5</v>
          </cell>
          <cell r="O1112" t="e">
            <v>#N/A</v>
          </cell>
          <cell r="P1112" t="str">
            <v/>
          </cell>
          <cell r="Q1112" t="str">
            <v/>
          </cell>
          <cell r="R1112">
            <v>16.5</v>
          </cell>
        </row>
        <row r="1113">
          <cell r="A1113" t="str">
            <v/>
          </cell>
          <cell r="B1113" t="str">
            <v/>
          </cell>
          <cell r="C1113" t="str">
            <v>Future</v>
          </cell>
          <cell r="D1113" t="e">
            <v>#N/A</v>
          </cell>
          <cell r="E1113">
            <v>-16.344594594594696</v>
          </cell>
          <cell r="F1113">
            <v>21.087837837838197</v>
          </cell>
          <cell r="G1113">
            <v>13.60135135135142</v>
          </cell>
          <cell r="H1113">
            <v>13.60135135135142</v>
          </cell>
          <cell r="I1113" t="e">
            <v>#N/A</v>
          </cell>
          <cell r="J1113" t="e">
            <v>#N/A</v>
          </cell>
          <cell r="K1113">
            <v>17.5</v>
          </cell>
          <cell r="L1113">
            <v>14</v>
          </cell>
          <cell r="M1113" t="e">
            <v>#N/A</v>
          </cell>
          <cell r="N1113">
            <v>16.5</v>
          </cell>
          <cell r="O1113" t="e">
            <v>#N/A</v>
          </cell>
          <cell r="P1113" t="str">
            <v/>
          </cell>
          <cell r="Q1113" t="str">
            <v/>
          </cell>
          <cell r="R1113">
            <v>16.5</v>
          </cell>
        </row>
        <row r="1114">
          <cell r="A1114" t="str">
            <v/>
          </cell>
          <cell r="B1114" t="str">
            <v/>
          </cell>
          <cell r="C1114" t="str">
            <v>Future</v>
          </cell>
          <cell r="D1114" t="e">
            <v>#N/A</v>
          </cell>
          <cell r="E1114">
            <v>-16.400000000000102</v>
          </cell>
          <cell r="F1114">
            <v>21.10000000000036</v>
          </cell>
          <cell r="G1114">
            <v>13.600000000000069</v>
          </cell>
          <cell r="H1114">
            <v>13.600000000000069</v>
          </cell>
          <cell r="I1114" t="e">
            <v>#N/A</v>
          </cell>
          <cell r="J1114" t="e">
            <v>#N/A</v>
          </cell>
          <cell r="K1114">
            <v>17.5</v>
          </cell>
          <cell r="L1114">
            <v>14</v>
          </cell>
          <cell r="M1114" t="e">
            <v>#N/A</v>
          </cell>
          <cell r="N1114">
            <v>16.5</v>
          </cell>
          <cell r="O1114" t="e">
            <v>#N/A</v>
          </cell>
          <cell r="P1114" t="str">
            <v/>
          </cell>
          <cell r="Q1114" t="str">
            <v/>
          </cell>
          <cell r="R1114">
            <v>16.5</v>
          </cell>
        </row>
        <row r="1115">
          <cell r="A1115" t="str">
            <v/>
          </cell>
          <cell r="B1115" t="str">
            <v/>
          </cell>
          <cell r="C1115" t="str">
            <v>Future</v>
          </cell>
          <cell r="D1115" t="e">
            <v>#N/A</v>
          </cell>
          <cell r="E1115">
            <v>-16.455405405405507</v>
          </cell>
          <cell r="F1115">
            <v>21.112162162162523</v>
          </cell>
          <cell r="G1115">
            <v>13.598648648648718</v>
          </cell>
          <cell r="H1115">
            <v>13.598648648648718</v>
          </cell>
          <cell r="I1115" t="e">
            <v>#N/A</v>
          </cell>
          <cell r="J1115" t="e">
            <v>#N/A</v>
          </cell>
          <cell r="K1115">
            <v>17.5</v>
          </cell>
          <cell r="L1115">
            <v>14</v>
          </cell>
          <cell r="M1115" t="e">
            <v>#N/A</v>
          </cell>
          <cell r="N1115">
            <v>16.5</v>
          </cell>
          <cell r="O1115" t="e">
            <v>#N/A</v>
          </cell>
          <cell r="P1115" t="str">
            <v/>
          </cell>
          <cell r="Q1115" t="str">
            <v/>
          </cell>
          <cell r="R1115">
            <v>16.5</v>
          </cell>
        </row>
        <row r="1116">
          <cell r="A1116" t="str">
            <v/>
          </cell>
          <cell r="B1116" t="str">
            <v/>
          </cell>
          <cell r="C1116" t="str">
            <v>Future</v>
          </cell>
          <cell r="D1116" t="e">
            <v>#N/A</v>
          </cell>
          <cell r="E1116">
            <v>-16.510810810810913</v>
          </cell>
          <cell r="F1116">
            <v>21.124324324324686</v>
          </cell>
          <cell r="G1116">
            <v>13.597297297297366</v>
          </cell>
          <cell r="H1116">
            <v>13.597297297297366</v>
          </cell>
          <cell r="I1116" t="e">
            <v>#N/A</v>
          </cell>
          <cell r="J1116" t="e">
            <v>#N/A</v>
          </cell>
          <cell r="K1116">
            <v>17.5</v>
          </cell>
          <cell r="L1116">
            <v>14</v>
          </cell>
          <cell r="M1116" t="e">
            <v>#N/A</v>
          </cell>
          <cell r="N1116">
            <v>16.5</v>
          </cell>
          <cell r="O1116" t="e">
            <v>#N/A</v>
          </cell>
          <cell r="P1116" t="str">
            <v/>
          </cell>
          <cell r="Q1116" t="str">
            <v/>
          </cell>
          <cell r="R1116">
            <v>16.5</v>
          </cell>
        </row>
        <row r="1117">
          <cell r="A1117" t="str">
            <v/>
          </cell>
          <cell r="B1117" t="str">
            <v/>
          </cell>
          <cell r="C1117" t="str">
            <v>Future</v>
          </cell>
          <cell r="D1117" t="e">
            <v>#N/A</v>
          </cell>
          <cell r="E1117">
            <v>-16.566216216216318</v>
          </cell>
          <cell r="F1117">
            <v>21.136486486486849</v>
          </cell>
          <cell r="G1117">
            <v>13.595945945946015</v>
          </cell>
          <cell r="H1117">
            <v>13.595945945946015</v>
          </cell>
          <cell r="I1117" t="e">
            <v>#N/A</v>
          </cell>
          <cell r="J1117" t="e">
            <v>#N/A</v>
          </cell>
          <cell r="K1117">
            <v>17.5</v>
          </cell>
          <cell r="L1117">
            <v>14</v>
          </cell>
          <cell r="M1117" t="e">
            <v>#N/A</v>
          </cell>
          <cell r="N1117">
            <v>16.5</v>
          </cell>
          <cell r="O1117" t="e">
            <v>#N/A</v>
          </cell>
          <cell r="P1117" t="str">
            <v/>
          </cell>
          <cell r="Q1117" t="str">
            <v/>
          </cell>
          <cell r="R1117">
            <v>16.5</v>
          </cell>
        </row>
        <row r="1118">
          <cell r="A1118" t="str">
            <v/>
          </cell>
          <cell r="B1118" t="str">
            <v/>
          </cell>
          <cell r="C1118" t="str">
            <v>Future</v>
          </cell>
          <cell r="D1118" t="e">
            <v>#N/A</v>
          </cell>
          <cell r="E1118">
            <v>-16.621621621621724</v>
          </cell>
          <cell r="F1118">
            <v>21.148648648649012</v>
          </cell>
          <cell r="G1118">
            <v>13.594594594594664</v>
          </cell>
          <cell r="H1118">
            <v>13.594594594594664</v>
          </cell>
          <cell r="I1118" t="e">
            <v>#N/A</v>
          </cell>
          <cell r="J1118" t="e">
            <v>#N/A</v>
          </cell>
          <cell r="K1118">
            <v>17.5</v>
          </cell>
          <cell r="L1118">
            <v>14</v>
          </cell>
          <cell r="M1118" t="e">
            <v>#N/A</v>
          </cell>
          <cell r="N1118">
            <v>16.5</v>
          </cell>
          <cell r="O1118" t="e">
            <v>#N/A</v>
          </cell>
          <cell r="P1118" t="str">
            <v/>
          </cell>
          <cell r="Q1118" t="str">
            <v/>
          </cell>
          <cell r="R1118">
            <v>16.5</v>
          </cell>
        </row>
        <row r="1119">
          <cell r="A1119" t="str">
            <v/>
          </cell>
          <cell r="B1119" t="str">
            <v/>
          </cell>
          <cell r="C1119" t="str">
            <v>Future</v>
          </cell>
          <cell r="D1119" t="e">
            <v>#N/A</v>
          </cell>
          <cell r="E1119">
            <v>-16.67702702702713</v>
          </cell>
          <cell r="F1119">
            <v>21.160810810811174</v>
          </cell>
          <cell r="G1119">
            <v>13.593243243243313</v>
          </cell>
          <cell r="H1119">
            <v>13.593243243243313</v>
          </cell>
          <cell r="I1119" t="e">
            <v>#N/A</v>
          </cell>
          <cell r="J1119" t="e">
            <v>#N/A</v>
          </cell>
          <cell r="K1119">
            <v>17.5</v>
          </cell>
          <cell r="L1119">
            <v>14</v>
          </cell>
          <cell r="M1119" t="e">
            <v>#N/A</v>
          </cell>
          <cell r="N1119">
            <v>16.5</v>
          </cell>
          <cell r="O1119" t="e">
            <v>#N/A</v>
          </cell>
          <cell r="P1119" t="str">
            <v/>
          </cell>
          <cell r="Q1119" t="str">
            <v/>
          </cell>
          <cell r="R1119">
            <v>16.5</v>
          </cell>
        </row>
        <row r="1120">
          <cell r="A1120" t="str">
            <v/>
          </cell>
          <cell r="B1120" t="str">
            <v/>
          </cell>
          <cell r="C1120" t="str">
            <v>Future</v>
          </cell>
          <cell r="D1120" t="e">
            <v>#N/A</v>
          </cell>
          <cell r="E1120">
            <v>-16.732432432432535</v>
          </cell>
          <cell r="F1120">
            <v>21.172972972973337</v>
          </cell>
          <cell r="G1120">
            <v>13.591891891891962</v>
          </cell>
          <cell r="H1120">
            <v>13.591891891891962</v>
          </cell>
          <cell r="I1120" t="e">
            <v>#N/A</v>
          </cell>
          <cell r="J1120" t="e">
            <v>#N/A</v>
          </cell>
          <cell r="K1120">
            <v>17.5</v>
          </cell>
          <cell r="L1120">
            <v>14</v>
          </cell>
          <cell r="M1120" t="e">
            <v>#N/A</v>
          </cell>
          <cell r="N1120">
            <v>16.5</v>
          </cell>
          <cell r="O1120" t="e">
            <v>#N/A</v>
          </cell>
          <cell r="P1120" t="str">
            <v/>
          </cell>
          <cell r="Q1120" t="str">
            <v/>
          </cell>
          <cell r="R1120">
            <v>16.5</v>
          </cell>
        </row>
        <row r="1121">
          <cell r="A1121" t="str">
            <v/>
          </cell>
          <cell r="B1121" t="str">
            <v/>
          </cell>
          <cell r="C1121" t="str">
            <v>Future</v>
          </cell>
          <cell r="D1121" t="e">
            <v>#N/A</v>
          </cell>
          <cell r="E1121">
            <v>-16.787837837837941</v>
          </cell>
          <cell r="F1121">
            <v>21.1851351351355</v>
          </cell>
          <cell r="G1121">
            <v>13.59054054054061</v>
          </cell>
          <cell r="H1121">
            <v>13.59054054054061</v>
          </cell>
          <cell r="I1121" t="e">
            <v>#N/A</v>
          </cell>
          <cell r="J1121" t="e">
            <v>#N/A</v>
          </cell>
          <cell r="K1121">
            <v>17.5</v>
          </cell>
          <cell r="L1121">
            <v>14</v>
          </cell>
          <cell r="M1121" t="e">
            <v>#N/A</v>
          </cell>
          <cell r="N1121">
            <v>16.5</v>
          </cell>
          <cell r="O1121" t="e">
            <v>#N/A</v>
          </cell>
          <cell r="P1121" t="str">
            <v/>
          </cell>
          <cell r="Q1121" t="str">
            <v/>
          </cell>
          <cell r="R1121">
            <v>16.5</v>
          </cell>
        </row>
        <row r="1122">
          <cell r="A1122" t="str">
            <v/>
          </cell>
          <cell r="B1122" t="str">
            <v/>
          </cell>
          <cell r="C1122" t="str">
            <v>Future</v>
          </cell>
          <cell r="D1122" t="e">
            <v>#N/A</v>
          </cell>
          <cell r="E1122">
            <v>-16.843243243243347</v>
          </cell>
          <cell r="F1122">
            <v>21.197297297297663</v>
          </cell>
          <cell r="G1122">
            <v>13.589189189189259</v>
          </cell>
          <cell r="H1122">
            <v>13.589189189189259</v>
          </cell>
          <cell r="I1122" t="e">
            <v>#N/A</v>
          </cell>
          <cell r="J1122" t="e">
            <v>#N/A</v>
          </cell>
          <cell r="K1122">
            <v>17.5</v>
          </cell>
          <cell r="L1122">
            <v>14</v>
          </cell>
          <cell r="M1122" t="e">
            <v>#N/A</v>
          </cell>
          <cell r="N1122">
            <v>16.5</v>
          </cell>
          <cell r="O1122" t="e">
            <v>#N/A</v>
          </cell>
          <cell r="P1122" t="str">
            <v/>
          </cell>
          <cell r="Q1122" t="str">
            <v/>
          </cell>
          <cell r="R1122">
            <v>16.5</v>
          </cell>
        </row>
        <row r="1123">
          <cell r="A1123" t="str">
            <v/>
          </cell>
          <cell r="B1123" t="str">
            <v/>
          </cell>
          <cell r="C1123" t="str">
            <v>Future</v>
          </cell>
          <cell r="D1123" t="e">
            <v>#N/A</v>
          </cell>
          <cell r="E1123">
            <v>-16.898648648648752</v>
          </cell>
          <cell r="F1123">
            <v>21.209459459459826</v>
          </cell>
          <cell r="G1123">
            <v>13.587837837837908</v>
          </cell>
          <cell r="H1123">
            <v>13.587837837837908</v>
          </cell>
          <cell r="I1123" t="e">
            <v>#N/A</v>
          </cell>
          <cell r="J1123" t="e">
            <v>#N/A</v>
          </cell>
          <cell r="K1123">
            <v>17.5</v>
          </cell>
          <cell r="L1123">
            <v>14</v>
          </cell>
          <cell r="M1123" t="e">
            <v>#N/A</v>
          </cell>
          <cell r="N1123">
            <v>16.5</v>
          </cell>
          <cell r="O1123" t="e">
            <v>#N/A</v>
          </cell>
          <cell r="P1123" t="str">
            <v/>
          </cell>
          <cell r="Q1123" t="str">
            <v/>
          </cell>
          <cell r="R1123">
            <v>16.5</v>
          </cell>
        </row>
        <row r="1124">
          <cell r="A1124" t="str">
            <v/>
          </cell>
          <cell r="B1124" t="str">
            <v/>
          </cell>
          <cell r="C1124" t="str">
            <v>Future</v>
          </cell>
          <cell r="D1124" t="e">
            <v>#N/A</v>
          </cell>
          <cell r="E1124">
            <v>-16.954054054054158</v>
          </cell>
          <cell r="F1124">
            <v>21.221621621621988</v>
          </cell>
          <cell r="G1124">
            <v>13.586486486486557</v>
          </cell>
          <cell r="H1124">
            <v>13.586486486486557</v>
          </cell>
          <cell r="I1124" t="e">
            <v>#N/A</v>
          </cell>
          <cell r="J1124" t="e">
            <v>#N/A</v>
          </cell>
          <cell r="K1124">
            <v>17.5</v>
          </cell>
          <cell r="L1124">
            <v>14</v>
          </cell>
          <cell r="M1124" t="e">
            <v>#N/A</v>
          </cell>
          <cell r="N1124">
            <v>16.5</v>
          </cell>
          <cell r="O1124" t="e">
            <v>#N/A</v>
          </cell>
          <cell r="P1124" t="str">
            <v/>
          </cell>
          <cell r="Q1124" t="str">
            <v/>
          </cell>
          <cell r="R1124">
            <v>16.5</v>
          </cell>
        </row>
        <row r="1125">
          <cell r="A1125" t="str">
            <v/>
          </cell>
          <cell r="B1125" t="str">
            <v/>
          </cell>
          <cell r="C1125" t="str">
            <v>Future</v>
          </cell>
          <cell r="D1125" t="e">
            <v>#N/A</v>
          </cell>
          <cell r="E1125">
            <v>-17.009459459459563</v>
          </cell>
          <cell r="F1125">
            <v>21.233783783784151</v>
          </cell>
          <cell r="G1125">
            <v>13.585135135135205</v>
          </cell>
          <cell r="H1125">
            <v>13.585135135135205</v>
          </cell>
          <cell r="I1125" t="e">
            <v>#N/A</v>
          </cell>
          <cell r="J1125" t="e">
            <v>#N/A</v>
          </cell>
          <cell r="K1125">
            <v>17.5</v>
          </cell>
          <cell r="L1125">
            <v>14</v>
          </cell>
          <cell r="M1125" t="e">
            <v>#N/A</v>
          </cell>
          <cell r="N1125">
            <v>16.5</v>
          </cell>
          <cell r="O1125" t="e">
            <v>#N/A</v>
          </cell>
          <cell r="P1125" t="str">
            <v/>
          </cell>
          <cell r="Q1125" t="str">
            <v/>
          </cell>
          <cell r="R1125">
            <v>16.5</v>
          </cell>
        </row>
        <row r="1126">
          <cell r="A1126" t="str">
            <v/>
          </cell>
          <cell r="B1126" t="str">
            <v/>
          </cell>
          <cell r="C1126" t="str">
            <v>Future</v>
          </cell>
          <cell r="D1126" t="e">
            <v>#N/A</v>
          </cell>
          <cell r="E1126">
            <v>-17.064864864864969</v>
          </cell>
          <cell r="F1126">
            <v>21.245945945946314</v>
          </cell>
          <cell r="G1126">
            <v>13.583783783783854</v>
          </cell>
          <cell r="H1126">
            <v>13.583783783783854</v>
          </cell>
          <cell r="I1126" t="e">
            <v>#N/A</v>
          </cell>
          <cell r="J1126" t="e">
            <v>#N/A</v>
          </cell>
          <cell r="K1126">
            <v>17.5</v>
          </cell>
          <cell r="L1126">
            <v>14</v>
          </cell>
          <cell r="M1126" t="e">
            <v>#N/A</v>
          </cell>
          <cell r="N1126">
            <v>16.5</v>
          </cell>
          <cell r="O1126" t="e">
            <v>#N/A</v>
          </cell>
          <cell r="P1126" t="str">
            <v/>
          </cell>
          <cell r="Q1126" t="str">
            <v/>
          </cell>
          <cell r="R1126">
            <v>16.5</v>
          </cell>
        </row>
        <row r="1127">
          <cell r="A1127" t="str">
            <v/>
          </cell>
          <cell r="B1127" t="str">
            <v/>
          </cell>
          <cell r="C1127" t="str">
            <v>Future</v>
          </cell>
          <cell r="D1127" t="e">
            <v>#N/A</v>
          </cell>
          <cell r="E1127">
            <v>-17.120270270270375</v>
          </cell>
          <cell r="F1127">
            <v>21.258108108108477</v>
          </cell>
          <cell r="G1127">
            <v>13.582432432432503</v>
          </cell>
          <cell r="H1127">
            <v>13.582432432432503</v>
          </cell>
          <cell r="I1127" t="e">
            <v>#N/A</v>
          </cell>
          <cell r="J1127" t="e">
            <v>#N/A</v>
          </cell>
          <cell r="K1127">
            <v>17.5</v>
          </cell>
          <cell r="L1127">
            <v>14</v>
          </cell>
          <cell r="M1127" t="e">
            <v>#N/A</v>
          </cell>
          <cell r="N1127">
            <v>16.5</v>
          </cell>
          <cell r="O1127" t="e">
            <v>#N/A</v>
          </cell>
          <cell r="P1127" t="str">
            <v/>
          </cell>
          <cell r="Q1127" t="str">
            <v/>
          </cell>
          <cell r="R1127">
            <v>16.5</v>
          </cell>
        </row>
        <row r="1128">
          <cell r="A1128" t="str">
            <v/>
          </cell>
          <cell r="B1128" t="str">
            <v/>
          </cell>
          <cell r="C1128" t="str">
            <v>Future</v>
          </cell>
          <cell r="D1128" t="e">
            <v>#N/A</v>
          </cell>
          <cell r="E1128">
            <v>-17.17567567567578</v>
          </cell>
          <cell r="F1128">
            <v>21.27027027027064</v>
          </cell>
          <cell r="G1128">
            <v>13.581081081081152</v>
          </cell>
          <cell r="H1128">
            <v>13.581081081081152</v>
          </cell>
          <cell r="I1128" t="e">
            <v>#N/A</v>
          </cell>
          <cell r="J1128" t="e">
            <v>#N/A</v>
          </cell>
          <cell r="K1128">
            <v>17.5</v>
          </cell>
          <cell r="L1128">
            <v>14</v>
          </cell>
          <cell r="M1128" t="e">
            <v>#N/A</v>
          </cell>
          <cell r="N1128">
            <v>16.5</v>
          </cell>
          <cell r="O1128" t="e">
            <v>#N/A</v>
          </cell>
          <cell r="P1128" t="str">
            <v/>
          </cell>
          <cell r="Q1128" t="str">
            <v/>
          </cell>
          <cell r="R1128">
            <v>16.5</v>
          </cell>
        </row>
        <row r="1129">
          <cell r="A1129" t="str">
            <v/>
          </cell>
          <cell r="B1129" t="str">
            <v/>
          </cell>
          <cell r="C1129" t="str">
            <v>Future</v>
          </cell>
          <cell r="D1129" t="e">
            <v>#N/A</v>
          </cell>
          <cell r="E1129">
            <v>-17.231081081081186</v>
          </cell>
          <cell r="F1129">
            <v>21.282432432432802</v>
          </cell>
          <cell r="G1129">
            <v>13.579729729729801</v>
          </cell>
          <cell r="H1129">
            <v>13.579729729729801</v>
          </cell>
          <cell r="I1129" t="e">
            <v>#N/A</v>
          </cell>
          <cell r="J1129" t="e">
            <v>#N/A</v>
          </cell>
          <cell r="K1129">
            <v>17.5</v>
          </cell>
          <cell r="L1129">
            <v>14</v>
          </cell>
          <cell r="M1129" t="e">
            <v>#N/A</v>
          </cell>
          <cell r="N1129">
            <v>16.5</v>
          </cell>
          <cell r="O1129" t="e">
            <v>#N/A</v>
          </cell>
          <cell r="P1129" t="str">
            <v/>
          </cell>
          <cell r="Q1129" t="str">
            <v/>
          </cell>
          <cell r="R1129">
            <v>16.5</v>
          </cell>
        </row>
        <row r="1130">
          <cell r="A1130" t="str">
            <v/>
          </cell>
          <cell r="B1130" t="str">
            <v/>
          </cell>
          <cell r="C1130" t="str">
            <v>Future</v>
          </cell>
          <cell r="D1130" t="e">
            <v>#N/A</v>
          </cell>
          <cell r="E1130">
            <v>-17.286486486486591</v>
          </cell>
          <cell r="F1130">
            <v>21.294594594594965</v>
          </cell>
          <cell r="G1130">
            <v>13.578378378378449</v>
          </cell>
          <cell r="H1130">
            <v>13.578378378378449</v>
          </cell>
          <cell r="I1130" t="e">
            <v>#N/A</v>
          </cell>
          <cell r="J1130" t="e">
            <v>#N/A</v>
          </cell>
          <cell r="K1130">
            <v>17.5</v>
          </cell>
          <cell r="L1130">
            <v>14</v>
          </cell>
          <cell r="M1130" t="e">
            <v>#N/A</v>
          </cell>
          <cell r="N1130">
            <v>16.5</v>
          </cell>
          <cell r="O1130" t="e">
            <v>#N/A</v>
          </cell>
          <cell r="P1130" t="str">
            <v/>
          </cell>
          <cell r="Q1130" t="str">
            <v/>
          </cell>
          <cell r="R1130">
            <v>16.5</v>
          </cell>
        </row>
        <row r="1131">
          <cell r="A1131" t="str">
            <v/>
          </cell>
          <cell r="B1131" t="str">
            <v/>
          </cell>
          <cell r="C1131" t="str">
            <v>Future</v>
          </cell>
          <cell r="D1131" t="e">
            <v>#N/A</v>
          </cell>
          <cell r="E1131">
            <v>-17.341891891891997</v>
          </cell>
          <cell r="F1131">
            <v>21.306756756757128</v>
          </cell>
          <cell r="G1131">
            <v>13.577027027027098</v>
          </cell>
          <cell r="H1131">
            <v>13.577027027027098</v>
          </cell>
          <cell r="I1131" t="e">
            <v>#N/A</v>
          </cell>
          <cell r="J1131" t="e">
            <v>#N/A</v>
          </cell>
          <cell r="K1131">
            <v>17.5</v>
          </cell>
          <cell r="L1131">
            <v>14</v>
          </cell>
          <cell r="M1131" t="e">
            <v>#N/A</v>
          </cell>
          <cell r="N1131">
            <v>16.5</v>
          </cell>
          <cell r="O1131" t="e">
            <v>#N/A</v>
          </cell>
          <cell r="P1131" t="str">
            <v/>
          </cell>
          <cell r="Q1131" t="str">
            <v/>
          </cell>
          <cell r="R1131">
            <v>16.5</v>
          </cell>
        </row>
        <row r="1132">
          <cell r="A1132" t="str">
            <v/>
          </cell>
          <cell r="B1132" t="str">
            <v/>
          </cell>
          <cell r="C1132" t="str">
            <v>Future</v>
          </cell>
          <cell r="D1132" t="e">
            <v>#N/A</v>
          </cell>
          <cell r="E1132">
            <v>-17.397297297297403</v>
          </cell>
          <cell r="F1132">
            <v>21.318918918919291</v>
          </cell>
          <cell r="G1132">
            <v>13.575675675675747</v>
          </cell>
          <cell r="H1132">
            <v>13.575675675675747</v>
          </cell>
          <cell r="I1132" t="e">
            <v>#N/A</v>
          </cell>
          <cell r="J1132" t="e">
            <v>#N/A</v>
          </cell>
          <cell r="K1132">
            <v>17.5</v>
          </cell>
          <cell r="L1132">
            <v>14</v>
          </cell>
          <cell r="M1132" t="e">
            <v>#N/A</v>
          </cell>
          <cell r="N1132">
            <v>16.5</v>
          </cell>
          <cell r="O1132" t="e">
            <v>#N/A</v>
          </cell>
          <cell r="P1132" t="str">
            <v/>
          </cell>
          <cell r="Q1132" t="str">
            <v/>
          </cell>
          <cell r="R1132">
            <v>16.5</v>
          </cell>
        </row>
        <row r="1133">
          <cell r="A1133" t="str">
            <v/>
          </cell>
          <cell r="B1133" t="str">
            <v/>
          </cell>
          <cell r="C1133" t="str">
            <v>Future</v>
          </cell>
          <cell r="D1133" t="e">
            <v>#N/A</v>
          </cell>
          <cell r="E1133">
            <v>-17.452702702702808</v>
          </cell>
          <cell r="F1133">
            <v>21.331081081081454</v>
          </cell>
          <cell r="G1133">
            <v>13.574324324324396</v>
          </cell>
          <cell r="H1133">
            <v>13.574324324324396</v>
          </cell>
          <cell r="I1133" t="e">
            <v>#N/A</v>
          </cell>
          <cell r="J1133" t="e">
            <v>#N/A</v>
          </cell>
          <cell r="K1133">
            <v>17.5</v>
          </cell>
          <cell r="L1133">
            <v>14</v>
          </cell>
          <cell r="M1133" t="e">
            <v>#N/A</v>
          </cell>
          <cell r="N1133">
            <v>16.5</v>
          </cell>
          <cell r="O1133" t="e">
            <v>#N/A</v>
          </cell>
          <cell r="P1133" t="str">
            <v/>
          </cell>
          <cell r="Q1133" t="str">
            <v/>
          </cell>
          <cell r="R1133">
            <v>16.5</v>
          </cell>
        </row>
        <row r="1134">
          <cell r="A1134" t="str">
            <v/>
          </cell>
          <cell r="B1134" t="str">
            <v/>
          </cell>
          <cell r="C1134" t="str">
            <v>Future</v>
          </cell>
          <cell r="D1134" t="e">
            <v>#N/A</v>
          </cell>
          <cell r="E1134">
            <v>-17.508108108108214</v>
          </cell>
          <cell r="F1134">
            <v>21.343243243243617</v>
          </cell>
          <cell r="G1134">
            <v>13.572972972973044</v>
          </cell>
          <cell r="H1134">
            <v>13.572972972973044</v>
          </cell>
          <cell r="I1134" t="e">
            <v>#N/A</v>
          </cell>
          <cell r="J1134" t="e">
            <v>#N/A</v>
          </cell>
          <cell r="K1134">
            <v>17.5</v>
          </cell>
          <cell r="L1134">
            <v>14</v>
          </cell>
          <cell r="M1134" t="e">
            <v>#N/A</v>
          </cell>
          <cell r="N1134">
            <v>16.5</v>
          </cell>
          <cell r="O1134" t="e">
            <v>#N/A</v>
          </cell>
          <cell r="P1134" t="str">
            <v/>
          </cell>
          <cell r="Q1134" t="str">
            <v/>
          </cell>
          <cell r="R1134">
            <v>16.5</v>
          </cell>
        </row>
        <row r="1135">
          <cell r="A1135" t="str">
            <v/>
          </cell>
          <cell r="B1135" t="str">
            <v/>
          </cell>
          <cell r="C1135" t="str">
            <v>Future</v>
          </cell>
          <cell r="D1135" t="e">
            <v>#N/A</v>
          </cell>
          <cell r="E1135">
            <v>-17.56351351351362</v>
          </cell>
          <cell r="F1135">
            <v>21.355405405405779</v>
          </cell>
          <cell r="G1135">
            <v>13.571621621621693</v>
          </cell>
          <cell r="H1135">
            <v>13.571621621621693</v>
          </cell>
          <cell r="I1135" t="e">
            <v>#N/A</v>
          </cell>
          <cell r="J1135" t="e">
            <v>#N/A</v>
          </cell>
          <cell r="K1135">
            <v>17.5</v>
          </cell>
          <cell r="L1135">
            <v>14</v>
          </cell>
          <cell r="M1135" t="e">
            <v>#N/A</v>
          </cell>
          <cell r="N1135">
            <v>16.5</v>
          </cell>
          <cell r="O1135" t="e">
            <v>#N/A</v>
          </cell>
          <cell r="P1135" t="str">
            <v/>
          </cell>
          <cell r="Q1135" t="str">
            <v/>
          </cell>
          <cell r="R1135">
            <v>16.5</v>
          </cell>
        </row>
        <row r="1136">
          <cell r="A1136" t="str">
            <v/>
          </cell>
          <cell r="B1136" t="str">
            <v/>
          </cell>
          <cell r="C1136" t="str">
            <v>Future</v>
          </cell>
          <cell r="D1136" t="e">
            <v>#N/A</v>
          </cell>
          <cell r="E1136">
            <v>-17.618918918919025</v>
          </cell>
          <cell r="F1136">
            <v>21.367567567567942</v>
          </cell>
          <cell r="G1136">
            <v>13.570270270270342</v>
          </cell>
          <cell r="H1136">
            <v>13.570270270270342</v>
          </cell>
          <cell r="I1136" t="e">
            <v>#N/A</v>
          </cell>
          <cell r="J1136" t="e">
            <v>#N/A</v>
          </cell>
          <cell r="K1136">
            <v>17.5</v>
          </cell>
          <cell r="L1136">
            <v>14</v>
          </cell>
          <cell r="M1136" t="e">
            <v>#N/A</v>
          </cell>
          <cell r="N1136">
            <v>16.5</v>
          </cell>
          <cell r="O1136" t="e">
            <v>#N/A</v>
          </cell>
          <cell r="P1136" t="str">
            <v/>
          </cell>
          <cell r="Q1136" t="str">
            <v/>
          </cell>
          <cell r="R1136">
            <v>16.5</v>
          </cell>
        </row>
        <row r="1137">
          <cell r="A1137" t="str">
            <v/>
          </cell>
          <cell r="B1137" t="str">
            <v/>
          </cell>
          <cell r="C1137" t="str">
            <v>Future</v>
          </cell>
          <cell r="D1137" t="e">
            <v>#N/A</v>
          </cell>
          <cell r="E1137">
            <v>-17.674324324324431</v>
          </cell>
          <cell r="F1137">
            <v>21.379729729730105</v>
          </cell>
          <cell r="G1137">
            <v>13.568918918918991</v>
          </cell>
          <cell r="H1137">
            <v>13.568918918918991</v>
          </cell>
          <cell r="I1137" t="e">
            <v>#N/A</v>
          </cell>
          <cell r="J1137" t="e">
            <v>#N/A</v>
          </cell>
          <cell r="K1137">
            <v>17.5</v>
          </cell>
          <cell r="L1137">
            <v>14</v>
          </cell>
          <cell r="M1137" t="e">
            <v>#N/A</v>
          </cell>
          <cell r="N1137">
            <v>16.5</v>
          </cell>
          <cell r="O1137" t="e">
            <v>#N/A</v>
          </cell>
          <cell r="P1137" t="str">
            <v/>
          </cell>
          <cell r="Q1137" t="str">
            <v/>
          </cell>
          <cell r="R1137">
            <v>16.5</v>
          </cell>
        </row>
        <row r="1138">
          <cell r="A1138" t="str">
            <v/>
          </cell>
          <cell r="B1138" t="str">
            <v/>
          </cell>
          <cell r="C1138" t="str">
            <v>Future</v>
          </cell>
          <cell r="D1138" t="e">
            <v>#N/A</v>
          </cell>
          <cell r="E1138">
            <v>-17.729729729729836</v>
          </cell>
          <cell r="F1138">
            <v>21.391891891892268</v>
          </cell>
          <cell r="G1138">
            <v>13.567567567567639</v>
          </cell>
          <cell r="H1138">
            <v>13.567567567567639</v>
          </cell>
          <cell r="I1138" t="e">
            <v>#N/A</v>
          </cell>
          <cell r="J1138" t="e">
            <v>#N/A</v>
          </cell>
          <cell r="K1138">
            <v>17.5</v>
          </cell>
          <cell r="L1138">
            <v>14</v>
          </cell>
          <cell r="M1138" t="e">
            <v>#N/A</v>
          </cell>
          <cell r="N1138">
            <v>16.5</v>
          </cell>
          <cell r="O1138" t="e">
            <v>#N/A</v>
          </cell>
          <cell r="P1138" t="str">
            <v/>
          </cell>
          <cell r="Q1138" t="str">
            <v/>
          </cell>
          <cell r="R1138">
            <v>16.5</v>
          </cell>
        </row>
        <row r="1139">
          <cell r="A1139" t="str">
            <v/>
          </cell>
          <cell r="B1139" t="str">
            <v/>
          </cell>
          <cell r="C1139" t="str">
            <v>Future</v>
          </cell>
          <cell r="D1139" t="e">
            <v>#N/A</v>
          </cell>
          <cell r="E1139">
            <v>-17.785135135135242</v>
          </cell>
          <cell r="F1139">
            <v>21.404054054054431</v>
          </cell>
          <cell r="G1139">
            <v>13.566216216216288</v>
          </cell>
          <cell r="H1139">
            <v>13.566216216216288</v>
          </cell>
          <cell r="I1139" t="e">
            <v>#N/A</v>
          </cell>
          <cell r="J1139" t="e">
            <v>#N/A</v>
          </cell>
          <cell r="K1139">
            <v>17.5</v>
          </cell>
          <cell r="L1139">
            <v>14</v>
          </cell>
          <cell r="M1139" t="e">
            <v>#N/A</v>
          </cell>
          <cell r="N1139">
            <v>16.5</v>
          </cell>
          <cell r="O1139" t="e">
            <v>#N/A</v>
          </cell>
          <cell r="P1139" t="str">
            <v/>
          </cell>
          <cell r="Q1139" t="str">
            <v/>
          </cell>
          <cell r="R1139">
            <v>16.5</v>
          </cell>
        </row>
        <row r="1140">
          <cell r="A1140" t="str">
            <v/>
          </cell>
          <cell r="B1140" t="str">
            <v/>
          </cell>
          <cell r="C1140" t="str">
            <v>Future</v>
          </cell>
          <cell r="D1140" t="e">
            <v>#N/A</v>
          </cell>
          <cell r="E1140">
            <v>-17.840540540540648</v>
          </cell>
          <cell r="F1140">
            <v>21.416216216216593</v>
          </cell>
          <cell r="G1140">
            <v>13.564864864864937</v>
          </cell>
          <cell r="H1140">
            <v>13.564864864864937</v>
          </cell>
          <cell r="I1140" t="e">
            <v>#N/A</v>
          </cell>
          <cell r="J1140" t="e">
            <v>#N/A</v>
          </cell>
          <cell r="K1140">
            <v>17.5</v>
          </cell>
          <cell r="L1140">
            <v>14</v>
          </cell>
          <cell r="M1140" t="e">
            <v>#N/A</v>
          </cell>
          <cell r="N1140">
            <v>16.5</v>
          </cell>
          <cell r="O1140" t="e">
            <v>#N/A</v>
          </cell>
          <cell r="P1140" t="str">
            <v/>
          </cell>
          <cell r="Q1140" t="str">
            <v/>
          </cell>
          <cell r="R1140">
            <v>16.5</v>
          </cell>
        </row>
        <row r="1141">
          <cell r="A1141" t="str">
            <v/>
          </cell>
          <cell r="B1141" t="str">
            <v/>
          </cell>
          <cell r="C1141" t="str">
            <v>Future</v>
          </cell>
          <cell r="D1141" t="e">
            <v>#N/A</v>
          </cell>
          <cell r="E1141">
            <v>-17.895945945946053</v>
          </cell>
          <cell r="F1141">
            <v>21.428378378378756</v>
          </cell>
          <cell r="G1141">
            <v>13.563513513513586</v>
          </cell>
          <cell r="H1141">
            <v>13.563513513513586</v>
          </cell>
          <cell r="I1141" t="e">
            <v>#N/A</v>
          </cell>
          <cell r="J1141" t="e">
            <v>#N/A</v>
          </cell>
          <cell r="K1141">
            <v>17.5</v>
          </cell>
          <cell r="L1141">
            <v>14</v>
          </cell>
          <cell r="M1141" t="e">
            <v>#N/A</v>
          </cell>
          <cell r="N1141">
            <v>16.5</v>
          </cell>
          <cell r="O1141" t="e">
            <v>#N/A</v>
          </cell>
          <cell r="P1141" t="str">
            <v/>
          </cell>
          <cell r="Q1141" t="str">
            <v/>
          </cell>
          <cell r="R1141">
            <v>16.5</v>
          </cell>
        </row>
        <row r="1142">
          <cell r="A1142" t="str">
            <v/>
          </cell>
          <cell r="B1142" t="str">
            <v/>
          </cell>
          <cell r="C1142" t="str">
            <v>Future</v>
          </cell>
          <cell r="D1142" t="e">
            <v>#N/A</v>
          </cell>
          <cell r="E1142">
            <v>-17.951351351351459</v>
          </cell>
          <cell r="F1142">
            <v>21.440540540540919</v>
          </cell>
          <cell r="G1142">
            <v>13.562162162162235</v>
          </cell>
          <cell r="H1142">
            <v>13.562162162162235</v>
          </cell>
          <cell r="I1142" t="e">
            <v>#N/A</v>
          </cell>
          <cell r="J1142" t="e">
            <v>#N/A</v>
          </cell>
          <cell r="K1142">
            <v>17.5</v>
          </cell>
          <cell r="L1142">
            <v>14</v>
          </cell>
          <cell r="M1142" t="e">
            <v>#N/A</v>
          </cell>
          <cell r="N1142">
            <v>16.5</v>
          </cell>
          <cell r="O1142" t="e">
            <v>#N/A</v>
          </cell>
          <cell r="P1142" t="str">
            <v/>
          </cell>
          <cell r="Q1142" t="str">
            <v/>
          </cell>
          <cell r="R1142">
            <v>16.5</v>
          </cell>
        </row>
        <row r="1143">
          <cell r="A1143" t="str">
            <v/>
          </cell>
          <cell r="B1143" t="str">
            <v/>
          </cell>
          <cell r="C1143" t="str">
            <v>Future</v>
          </cell>
          <cell r="D1143" t="e">
            <v>#N/A</v>
          </cell>
          <cell r="E1143">
            <v>-18.006756756756864</v>
          </cell>
          <cell r="F1143">
            <v>21.452702702703082</v>
          </cell>
          <cell r="G1143">
            <v>13.560810810810883</v>
          </cell>
          <cell r="H1143">
            <v>13.560810810810883</v>
          </cell>
          <cell r="I1143" t="e">
            <v>#N/A</v>
          </cell>
          <cell r="J1143" t="e">
            <v>#N/A</v>
          </cell>
          <cell r="K1143">
            <v>17.5</v>
          </cell>
          <cell r="L1143">
            <v>14</v>
          </cell>
          <cell r="M1143" t="e">
            <v>#N/A</v>
          </cell>
          <cell r="N1143">
            <v>16.5</v>
          </cell>
          <cell r="O1143" t="e">
            <v>#N/A</v>
          </cell>
          <cell r="P1143" t="str">
            <v/>
          </cell>
          <cell r="Q1143" t="str">
            <v/>
          </cell>
          <cell r="R1143">
            <v>16.5</v>
          </cell>
        </row>
        <row r="1144">
          <cell r="A1144" t="str">
            <v/>
          </cell>
          <cell r="B1144" t="str">
            <v/>
          </cell>
          <cell r="C1144" t="str">
            <v>Future</v>
          </cell>
          <cell r="D1144" t="e">
            <v>#N/A</v>
          </cell>
          <cell r="E1144">
            <v>-18.06216216216227</v>
          </cell>
          <cell r="F1144">
            <v>21.464864864865245</v>
          </cell>
          <cell r="G1144">
            <v>13.559459459459532</v>
          </cell>
          <cell r="H1144">
            <v>13.559459459459532</v>
          </cell>
          <cell r="I1144" t="e">
            <v>#N/A</v>
          </cell>
          <cell r="J1144" t="e">
            <v>#N/A</v>
          </cell>
          <cell r="K1144">
            <v>17.5</v>
          </cell>
          <cell r="L1144">
            <v>14</v>
          </cell>
          <cell r="M1144" t="e">
            <v>#N/A</v>
          </cell>
          <cell r="N1144">
            <v>16.5</v>
          </cell>
          <cell r="O1144" t="e">
            <v>#N/A</v>
          </cell>
          <cell r="P1144" t="str">
            <v/>
          </cell>
          <cell r="Q1144" t="str">
            <v/>
          </cell>
          <cell r="R1144">
            <v>16.5</v>
          </cell>
        </row>
        <row r="1145">
          <cell r="A1145" t="str">
            <v/>
          </cell>
          <cell r="B1145" t="str">
            <v/>
          </cell>
          <cell r="C1145" t="str">
            <v>Future</v>
          </cell>
          <cell r="D1145" t="e">
            <v>#N/A</v>
          </cell>
          <cell r="E1145">
            <v>-18.117567567567676</v>
          </cell>
          <cell r="F1145">
            <v>21.477027027027408</v>
          </cell>
          <cell r="G1145">
            <v>13.558108108108181</v>
          </cell>
          <cell r="H1145">
            <v>13.558108108108181</v>
          </cell>
          <cell r="I1145" t="e">
            <v>#N/A</v>
          </cell>
          <cell r="J1145" t="e">
            <v>#N/A</v>
          </cell>
          <cell r="K1145">
            <v>17.5</v>
          </cell>
          <cell r="L1145">
            <v>14</v>
          </cell>
          <cell r="M1145" t="e">
            <v>#N/A</v>
          </cell>
          <cell r="N1145">
            <v>16.5</v>
          </cell>
          <cell r="O1145" t="e">
            <v>#N/A</v>
          </cell>
          <cell r="P1145" t="str">
            <v/>
          </cell>
          <cell r="Q1145" t="str">
            <v/>
          </cell>
          <cell r="R1145">
            <v>16.5</v>
          </cell>
        </row>
        <row r="1146">
          <cell r="A1146" t="str">
            <v/>
          </cell>
          <cell r="B1146" t="str">
            <v/>
          </cell>
          <cell r="C1146" t="str">
            <v>Future</v>
          </cell>
          <cell r="D1146" t="e">
            <v>#N/A</v>
          </cell>
          <cell r="E1146">
            <v>-18.172972972973081</v>
          </cell>
          <cell r="F1146">
            <v>21.48918918918957</v>
          </cell>
          <cell r="G1146">
            <v>13.55675675675683</v>
          </cell>
          <cell r="H1146">
            <v>13.55675675675683</v>
          </cell>
          <cell r="I1146" t="e">
            <v>#N/A</v>
          </cell>
          <cell r="J1146" t="e">
            <v>#N/A</v>
          </cell>
          <cell r="K1146">
            <v>17.5</v>
          </cell>
          <cell r="L1146">
            <v>14</v>
          </cell>
          <cell r="M1146" t="e">
            <v>#N/A</v>
          </cell>
          <cell r="N1146">
            <v>16.5</v>
          </cell>
          <cell r="O1146" t="e">
            <v>#N/A</v>
          </cell>
          <cell r="P1146" t="str">
            <v/>
          </cell>
          <cell r="Q1146" t="str">
            <v/>
          </cell>
          <cell r="R1146">
            <v>16.5</v>
          </cell>
        </row>
        <row r="1147">
          <cell r="A1147" t="str">
            <v/>
          </cell>
          <cell r="B1147" t="str">
            <v/>
          </cell>
          <cell r="C1147" t="str">
            <v>Future</v>
          </cell>
          <cell r="D1147" t="e">
            <v>#N/A</v>
          </cell>
          <cell r="E1147">
            <v>-18.228378378378487</v>
          </cell>
          <cell r="F1147">
            <v>21.501351351351733</v>
          </cell>
          <cell r="G1147">
            <v>13.555405405405478</v>
          </cell>
          <cell r="H1147">
            <v>13.555405405405478</v>
          </cell>
          <cell r="I1147" t="e">
            <v>#N/A</v>
          </cell>
          <cell r="J1147" t="e">
            <v>#N/A</v>
          </cell>
          <cell r="K1147">
            <v>17.5</v>
          </cell>
          <cell r="L1147">
            <v>14</v>
          </cell>
          <cell r="M1147" t="e">
            <v>#N/A</v>
          </cell>
          <cell r="N1147">
            <v>16.5</v>
          </cell>
          <cell r="O1147" t="e">
            <v>#N/A</v>
          </cell>
          <cell r="P1147" t="str">
            <v/>
          </cell>
          <cell r="Q1147" t="str">
            <v/>
          </cell>
          <cell r="R1147">
            <v>16.5</v>
          </cell>
        </row>
        <row r="1148">
          <cell r="A1148" t="str">
            <v/>
          </cell>
          <cell r="B1148" t="str">
            <v/>
          </cell>
          <cell r="C1148" t="str">
            <v>Future</v>
          </cell>
          <cell r="D1148" t="e">
            <v>#N/A</v>
          </cell>
          <cell r="E1148">
            <v>-18.283783783783893</v>
          </cell>
          <cell r="F1148">
            <v>21.513513513513896</v>
          </cell>
          <cell r="G1148">
            <v>13.554054054054127</v>
          </cell>
          <cell r="H1148">
            <v>13.554054054054127</v>
          </cell>
          <cell r="I1148" t="e">
            <v>#N/A</v>
          </cell>
          <cell r="J1148" t="e">
            <v>#N/A</v>
          </cell>
          <cell r="K1148">
            <v>17.5</v>
          </cell>
          <cell r="L1148">
            <v>14</v>
          </cell>
          <cell r="M1148" t="e">
            <v>#N/A</v>
          </cell>
          <cell r="N1148">
            <v>16.5</v>
          </cell>
          <cell r="O1148" t="e">
            <v>#N/A</v>
          </cell>
          <cell r="P1148" t="str">
            <v/>
          </cell>
          <cell r="Q1148" t="str">
            <v/>
          </cell>
          <cell r="R1148">
            <v>16.5</v>
          </cell>
        </row>
        <row r="1149">
          <cell r="A1149" t="str">
            <v/>
          </cell>
          <cell r="B1149" t="str">
            <v/>
          </cell>
          <cell r="C1149" t="str">
            <v>Future</v>
          </cell>
          <cell r="D1149" t="e">
            <v>#N/A</v>
          </cell>
          <cell r="E1149">
            <v>-18.339189189189298</v>
          </cell>
          <cell r="F1149">
            <v>21.525675675676059</v>
          </cell>
          <cell r="G1149">
            <v>13.552702702702776</v>
          </cell>
          <cell r="H1149">
            <v>13.552702702702776</v>
          </cell>
          <cell r="I1149" t="e">
            <v>#N/A</v>
          </cell>
          <cell r="J1149" t="e">
            <v>#N/A</v>
          </cell>
          <cell r="K1149">
            <v>17.5</v>
          </cell>
          <cell r="L1149">
            <v>14</v>
          </cell>
          <cell r="M1149" t="e">
            <v>#N/A</v>
          </cell>
          <cell r="N1149">
            <v>16.5</v>
          </cell>
          <cell r="O1149" t="e">
            <v>#N/A</v>
          </cell>
          <cell r="P1149" t="str">
            <v/>
          </cell>
          <cell r="Q1149" t="str">
            <v/>
          </cell>
          <cell r="R1149">
            <v>16.5</v>
          </cell>
        </row>
        <row r="1150">
          <cell r="A1150" t="str">
            <v/>
          </cell>
          <cell r="B1150" t="str">
            <v/>
          </cell>
          <cell r="C1150" t="str">
            <v>Future</v>
          </cell>
          <cell r="D1150" t="e">
            <v>#N/A</v>
          </cell>
          <cell r="E1150">
            <v>-18.394594594594704</v>
          </cell>
          <cell r="F1150">
            <v>21.537837837838222</v>
          </cell>
          <cell r="G1150">
            <v>13.551351351351425</v>
          </cell>
          <cell r="H1150">
            <v>13.551351351351425</v>
          </cell>
          <cell r="I1150" t="e">
            <v>#N/A</v>
          </cell>
          <cell r="J1150" t="e">
            <v>#N/A</v>
          </cell>
          <cell r="K1150">
            <v>17.5</v>
          </cell>
          <cell r="L1150">
            <v>14</v>
          </cell>
          <cell r="M1150" t="e">
            <v>#N/A</v>
          </cell>
          <cell r="N1150">
            <v>16.5</v>
          </cell>
          <cell r="O1150" t="e">
            <v>#N/A</v>
          </cell>
          <cell r="P1150" t="str">
            <v/>
          </cell>
          <cell r="Q1150" t="str">
            <v/>
          </cell>
          <cell r="R1150">
            <v>16.5</v>
          </cell>
        </row>
        <row r="1151">
          <cell r="A1151" t="str">
            <v/>
          </cell>
          <cell r="B1151" t="str">
            <v/>
          </cell>
          <cell r="C1151" t="str">
            <v>Future</v>
          </cell>
          <cell r="D1151" t="e">
            <v>#N/A</v>
          </cell>
          <cell r="E1151">
            <v>-18.450000000000109</v>
          </cell>
          <cell r="F1151">
            <v>21.550000000000384</v>
          </cell>
          <cell r="G1151">
            <v>13.550000000000074</v>
          </cell>
          <cell r="H1151">
            <v>13.550000000000074</v>
          </cell>
          <cell r="I1151" t="e">
            <v>#N/A</v>
          </cell>
          <cell r="J1151" t="e">
            <v>#N/A</v>
          </cell>
          <cell r="K1151">
            <v>17.5</v>
          </cell>
          <cell r="L1151">
            <v>14</v>
          </cell>
          <cell r="M1151" t="e">
            <v>#N/A</v>
          </cell>
          <cell r="N1151">
            <v>16.5</v>
          </cell>
          <cell r="O1151" t="e">
            <v>#N/A</v>
          </cell>
          <cell r="P1151" t="str">
            <v/>
          </cell>
          <cell r="Q1151" t="str">
            <v/>
          </cell>
          <cell r="R1151">
            <v>16.5</v>
          </cell>
        </row>
        <row r="1152">
          <cell r="A1152" t="str">
            <v/>
          </cell>
          <cell r="B1152" t="str">
            <v/>
          </cell>
          <cell r="C1152" t="str">
            <v>Future</v>
          </cell>
          <cell r="D1152" t="e">
            <v>#N/A</v>
          </cell>
          <cell r="E1152">
            <v>-18.505405405405515</v>
          </cell>
          <cell r="F1152">
            <v>21.562162162162547</v>
          </cell>
          <cell r="G1152">
            <v>13.548648648648722</v>
          </cell>
          <cell r="H1152">
            <v>13.548648648648722</v>
          </cell>
          <cell r="I1152" t="e">
            <v>#N/A</v>
          </cell>
          <cell r="J1152" t="e">
            <v>#N/A</v>
          </cell>
          <cell r="K1152">
            <v>17.5</v>
          </cell>
          <cell r="L1152">
            <v>14</v>
          </cell>
          <cell r="M1152" t="e">
            <v>#N/A</v>
          </cell>
          <cell r="N1152">
            <v>16.5</v>
          </cell>
          <cell r="O1152" t="e">
            <v>#N/A</v>
          </cell>
          <cell r="P1152" t="str">
            <v/>
          </cell>
          <cell r="Q1152" t="str">
            <v/>
          </cell>
          <cell r="R1152">
            <v>16.5</v>
          </cell>
        </row>
        <row r="1153">
          <cell r="A1153" t="str">
            <v/>
          </cell>
          <cell r="B1153" t="str">
            <v/>
          </cell>
          <cell r="C1153" t="str">
            <v>Future</v>
          </cell>
          <cell r="D1153" t="e">
            <v>#N/A</v>
          </cell>
          <cell r="E1153">
            <v>-18.560810810810921</v>
          </cell>
          <cell r="F1153">
            <v>21.57432432432471</v>
          </cell>
          <cell r="G1153">
            <v>13.547297297297371</v>
          </cell>
          <cell r="H1153">
            <v>13.547297297297371</v>
          </cell>
          <cell r="I1153" t="e">
            <v>#N/A</v>
          </cell>
          <cell r="J1153" t="e">
            <v>#N/A</v>
          </cell>
          <cell r="K1153">
            <v>17.5</v>
          </cell>
          <cell r="L1153">
            <v>14</v>
          </cell>
          <cell r="M1153" t="e">
            <v>#N/A</v>
          </cell>
          <cell r="N1153">
            <v>16.5</v>
          </cell>
          <cell r="O1153" t="e">
            <v>#N/A</v>
          </cell>
          <cell r="P1153" t="str">
            <v/>
          </cell>
          <cell r="Q1153" t="str">
            <v/>
          </cell>
          <cell r="R1153">
            <v>16.5</v>
          </cell>
        </row>
        <row r="1154">
          <cell r="A1154" t="str">
            <v/>
          </cell>
          <cell r="B1154" t="str">
            <v/>
          </cell>
          <cell r="C1154" t="str">
            <v>Future</v>
          </cell>
          <cell r="D1154" t="e">
            <v>#N/A</v>
          </cell>
          <cell r="E1154">
            <v>-18.616216216216326</v>
          </cell>
          <cell r="F1154">
            <v>21.586486486486873</v>
          </cell>
          <cell r="G1154">
            <v>13.54594594594602</v>
          </cell>
          <cell r="H1154">
            <v>13.54594594594602</v>
          </cell>
          <cell r="I1154" t="e">
            <v>#N/A</v>
          </cell>
          <cell r="J1154" t="e">
            <v>#N/A</v>
          </cell>
          <cell r="K1154">
            <v>17.5</v>
          </cell>
          <cell r="L1154">
            <v>14</v>
          </cell>
          <cell r="M1154" t="e">
            <v>#N/A</v>
          </cell>
          <cell r="N1154">
            <v>16.5</v>
          </cell>
          <cell r="O1154" t="e">
            <v>#N/A</v>
          </cell>
          <cell r="P1154" t="str">
            <v/>
          </cell>
          <cell r="Q1154" t="str">
            <v/>
          </cell>
          <cell r="R1154">
            <v>16.5</v>
          </cell>
        </row>
        <row r="1155">
          <cell r="A1155" t="str">
            <v/>
          </cell>
          <cell r="B1155" t="str">
            <v/>
          </cell>
          <cell r="C1155" t="str">
            <v>Future</v>
          </cell>
          <cell r="D1155" t="e">
            <v>#N/A</v>
          </cell>
          <cell r="E1155">
            <v>-18.671621621621732</v>
          </cell>
          <cell r="F1155">
            <v>21.598648648649036</v>
          </cell>
          <cell r="G1155">
            <v>13.544594594594669</v>
          </cell>
          <cell r="H1155">
            <v>13.544594594594669</v>
          </cell>
          <cell r="I1155" t="e">
            <v>#N/A</v>
          </cell>
          <cell r="J1155" t="e">
            <v>#N/A</v>
          </cell>
          <cell r="K1155">
            <v>17.5</v>
          </cell>
          <cell r="L1155">
            <v>14</v>
          </cell>
          <cell r="M1155" t="e">
            <v>#N/A</v>
          </cell>
          <cell r="N1155">
            <v>16.5</v>
          </cell>
          <cell r="O1155" t="e">
            <v>#N/A</v>
          </cell>
          <cell r="P1155" t="str">
            <v/>
          </cell>
          <cell r="Q1155" t="str">
            <v/>
          </cell>
          <cell r="R1155">
            <v>16.5</v>
          </cell>
        </row>
        <row r="1156">
          <cell r="A1156" t="str">
            <v/>
          </cell>
          <cell r="B1156" t="str">
            <v/>
          </cell>
          <cell r="C1156" t="str">
            <v>Future</v>
          </cell>
          <cell r="D1156" t="e">
            <v>#N/A</v>
          </cell>
          <cell r="E1156">
            <v>-18.727027027027138</v>
          </cell>
          <cell r="F1156">
            <v>21.610810810811198</v>
          </cell>
          <cell r="G1156">
            <v>13.543243243243317</v>
          </cell>
          <cell r="H1156">
            <v>13.543243243243317</v>
          </cell>
          <cell r="I1156" t="e">
            <v>#N/A</v>
          </cell>
          <cell r="J1156" t="e">
            <v>#N/A</v>
          </cell>
          <cell r="K1156">
            <v>17.5</v>
          </cell>
          <cell r="L1156">
            <v>14</v>
          </cell>
          <cell r="M1156" t="e">
            <v>#N/A</v>
          </cell>
          <cell r="N1156">
            <v>16.5</v>
          </cell>
          <cell r="O1156" t="e">
            <v>#N/A</v>
          </cell>
          <cell r="P1156" t="str">
            <v/>
          </cell>
          <cell r="Q1156" t="str">
            <v/>
          </cell>
          <cell r="R1156">
            <v>16.5</v>
          </cell>
        </row>
        <row r="1157">
          <cell r="A1157" t="str">
            <v/>
          </cell>
          <cell r="B1157" t="str">
            <v/>
          </cell>
          <cell r="C1157" t="str">
            <v>Future</v>
          </cell>
          <cell r="D1157" t="e">
            <v>#N/A</v>
          </cell>
          <cell r="E1157">
            <v>-18.782432432432543</v>
          </cell>
          <cell r="F1157">
            <v>21.622972972973361</v>
          </cell>
          <cell r="G1157">
            <v>13.541891891891966</v>
          </cell>
          <cell r="H1157">
            <v>13.541891891891966</v>
          </cell>
          <cell r="I1157" t="e">
            <v>#N/A</v>
          </cell>
          <cell r="J1157" t="e">
            <v>#N/A</v>
          </cell>
          <cell r="K1157">
            <v>17.5</v>
          </cell>
          <cell r="L1157">
            <v>14</v>
          </cell>
          <cell r="M1157" t="e">
            <v>#N/A</v>
          </cell>
          <cell r="N1157">
            <v>16.5</v>
          </cell>
          <cell r="O1157" t="e">
            <v>#N/A</v>
          </cell>
          <cell r="P1157" t="str">
            <v/>
          </cell>
          <cell r="Q1157" t="str">
            <v/>
          </cell>
          <cell r="R1157">
            <v>16.5</v>
          </cell>
        </row>
        <row r="1158">
          <cell r="A1158" t="str">
            <v/>
          </cell>
          <cell r="B1158" t="str">
            <v/>
          </cell>
          <cell r="C1158" t="str">
            <v>Future</v>
          </cell>
          <cell r="D1158" t="e">
            <v>#N/A</v>
          </cell>
          <cell r="E1158">
            <v>-18.837837837837949</v>
          </cell>
          <cell r="F1158">
            <v>21.635135135135524</v>
          </cell>
          <cell r="G1158">
            <v>13.540540540540615</v>
          </cell>
          <cell r="H1158">
            <v>13.540540540540615</v>
          </cell>
          <cell r="I1158" t="e">
            <v>#N/A</v>
          </cell>
          <cell r="J1158" t="e">
            <v>#N/A</v>
          </cell>
          <cell r="K1158">
            <v>17.5</v>
          </cell>
          <cell r="L1158">
            <v>14</v>
          </cell>
          <cell r="M1158" t="e">
            <v>#N/A</v>
          </cell>
          <cell r="N1158">
            <v>16.5</v>
          </cell>
          <cell r="O1158" t="e">
            <v>#N/A</v>
          </cell>
          <cell r="P1158" t="str">
            <v/>
          </cell>
          <cell r="Q1158" t="str">
            <v/>
          </cell>
          <cell r="R1158">
            <v>16.5</v>
          </cell>
        </row>
        <row r="1159">
          <cell r="A1159" t="str">
            <v/>
          </cell>
          <cell r="B1159" t="str">
            <v/>
          </cell>
          <cell r="C1159" t="str">
            <v>Future</v>
          </cell>
          <cell r="D1159" t="e">
            <v>#N/A</v>
          </cell>
          <cell r="E1159">
            <v>-18.893243243243354</v>
          </cell>
          <cell r="F1159">
            <v>21.647297297297687</v>
          </cell>
          <cell r="G1159">
            <v>13.539189189189264</v>
          </cell>
          <cell r="H1159">
            <v>13.539189189189264</v>
          </cell>
          <cell r="I1159" t="e">
            <v>#N/A</v>
          </cell>
          <cell r="J1159" t="e">
            <v>#N/A</v>
          </cell>
          <cell r="K1159">
            <v>17.5</v>
          </cell>
          <cell r="L1159">
            <v>14</v>
          </cell>
          <cell r="M1159" t="e">
            <v>#N/A</v>
          </cell>
          <cell r="N1159">
            <v>16.5</v>
          </cell>
          <cell r="O1159" t="e">
            <v>#N/A</v>
          </cell>
          <cell r="P1159" t="str">
            <v/>
          </cell>
          <cell r="Q1159" t="str">
            <v/>
          </cell>
          <cell r="R1159">
            <v>16.5</v>
          </cell>
        </row>
        <row r="1160">
          <cell r="A1160" t="str">
            <v/>
          </cell>
          <cell r="B1160" t="str">
            <v/>
          </cell>
          <cell r="C1160" t="str">
            <v>Future</v>
          </cell>
          <cell r="D1160" t="e">
            <v>#N/A</v>
          </cell>
          <cell r="E1160">
            <v>-18.94864864864876</v>
          </cell>
          <cell r="F1160">
            <v>21.65945945945985</v>
          </cell>
          <cell r="G1160">
            <v>13.537837837837913</v>
          </cell>
          <cell r="H1160">
            <v>13.537837837837913</v>
          </cell>
          <cell r="I1160" t="e">
            <v>#N/A</v>
          </cell>
          <cell r="J1160" t="e">
            <v>#N/A</v>
          </cell>
          <cell r="K1160">
            <v>17.5</v>
          </cell>
          <cell r="L1160">
            <v>14</v>
          </cell>
          <cell r="M1160" t="e">
            <v>#N/A</v>
          </cell>
          <cell r="N1160">
            <v>16.5</v>
          </cell>
          <cell r="O1160" t="e">
            <v>#N/A</v>
          </cell>
          <cell r="P1160" t="str">
            <v/>
          </cell>
          <cell r="Q1160" t="str">
            <v/>
          </cell>
          <cell r="R1160">
            <v>16.5</v>
          </cell>
        </row>
        <row r="1161">
          <cell r="A1161" t="str">
            <v/>
          </cell>
          <cell r="B1161" t="str">
            <v/>
          </cell>
          <cell r="C1161" t="str">
            <v>Future</v>
          </cell>
          <cell r="D1161" t="e">
            <v>#N/A</v>
          </cell>
          <cell r="E1161">
            <v>-19.004054054054166</v>
          </cell>
          <cell r="F1161">
            <v>21.671621621622013</v>
          </cell>
          <cell r="G1161">
            <v>13.536486486486561</v>
          </cell>
          <cell r="H1161">
            <v>13.536486486486561</v>
          </cell>
          <cell r="I1161" t="e">
            <v>#N/A</v>
          </cell>
          <cell r="J1161" t="e">
            <v>#N/A</v>
          </cell>
          <cell r="K1161">
            <v>17.5</v>
          </cell>
          <cell r="L1161">
            <v>14</v>
          </cell>
          <cell r="M1161" t="e">
            <v>#N/A</v>
          </cell>
          <cell r="N1161">
            <v>16.5</v>
          </cell>
          <cell r="O1161" t="e">
            <v>#N/A</v>
          </cell>
          <cell r="P1161" t="str">
            <v/>
          </cell>
          <cell r="Q1161" t="str">
            <v/>
          </cell>
          <cell r="R1161">
            <v>16.5</v>
          </cell>
        </row>
        <row r="1162">
          <cell r="A1162" t="str">
            <v/>
          </cell>
          <cell r="B1162" t="str">
            <v/>
          </cell>
          <cell r="C1162" t="str">
            <v>Future</v>
          </cell>
          <cell r="D1162" t="e">
            <v>#N/A</v>
          </cell>
          <cell r="E1162">
            <v>-19.059459459459571</v>
          </cell>
          <cell r="F1162">
            <v>21.683783783784175</v>
          </cell>
          <cell r="G1162">
            <v>13.53513513513521</v>
          </cell>
          <cell r="H1162">
            <v>13.53513513513521</v>
          </cell>
          <cell r="I1162" t="e">
            <v>#N/A</v>
          </cell>
          <cell r="J1162" t="e">
            <v>#N/A</v>
          </cell>
          <cell r="K1162">
            <v>17.5</v>
          </cell>
          <cell r="L1162">
            <v>14</v>
          </cell>
          <cell r="M1162" t="e">
            <v>#N/A</v>
          </cell>
          <cell r="N1162">
            <v>16.5</v>
          </cell>
          <cell r="O1162" t="e">
            <v>#N/A</v>
          </cell>
          <cell r="P1162" t="str">
            <v/>
          </cell>
          <cell r="Q1162" t="str">
            <v/>
          </cell>
          <cell r="R1162">
            <v>16.5</v>
          </cell>
        </row>
        <row r="1163">
          <cell r="A1163" t="str">
            <v/>
          </cell>
          <cell r="B1163" t="str">
            <v/>
          </cell>
          <cell r="C1163" t="str">
            <v>Future</v>
          </cell>
          <cell r="D1163" t="e">
            <v>#N/A</v>
          </cell>
          <cell r="E1163">
            <v>-19.114864864864977</v>
          </cell>
          <cell r="F1163">
            <v>21.695945945946338</v>
          </cell>
          <cell r="G1163">
            <v>13.533783783783859</v>
          </cell>
          <cell r="H1163">
            <v>13.533783783783859</v>
          </cell>
          <cell r="I1163" t="e">
            <v>#N/A</v>
          </cell>
          <cell r="J1163" t="e">
            <v>#N/A</v>
          </cell>
          <cell r="K1163">
            <v>17.5</v>
          </cell>
          <cell r="L1163">
            <v>14</v>
          </cell>
          <cell r="M1163" t="e">
            <v>#N/A</v>
          </cell>
          <cell r="N1163">
            <v>16.5</v>
          </cell>
          <cell r="O1163" t="e">
            <v>#N/A</v>
          </cell>
          <cell r="P1163" t="str">
            <v/>
          </cell>
          <cell r="Q1163" t="str">
            <v/>
          </cell>
          <cell r="R1163">
            <v>16.5</v>
          </cell>
        </row>
        <row r="1164">
          <cell r="A1164" t="str">
            <v/>
          </cell>
          <cell r="B1164" t="str">
            <v/>
          </cell>
          <cell r="C1164" t="str">
            <v>Future</v>
          </cell>
          <cell r="D1164" t="e">
            <v>#N/A</v>
          </cell>
          <cell r="E1164">
            <v>-19.170270270270382</v>
          </cell>
          <cell r="F1164">
            <v>21.708108108108501</v>
          </cell>
          <cell r="G1164">
            <v>13.532432432432508</v>
          </cell>
          <cell r="H1164">
            <v>13.532432432432508</v>
          </cell>
          <cell r="I1164" t="e">
            <v>#N/A</v>
          </cell>
          <cell r="J1164" t="e">
            <v>#N/A</v>
          </cell>
          <cell r="K1164">
            <v>17.5</v>
          </cell>
          <cell r="L1164">
            <v>14</v>
          </cell>
          <cell r="M1164" t="e">
            <v>#N/A</v>
          </cell>
          <cell r="N1164">
            <v>16.5</v>
          </cell>
          <cell r="O1164" t="e">
            <v>#N/A</v>
          </cell>
          <cell r="P1164" t="str">
            <v/>
          </cell>
          <cell r="Q1164" t="str">
            <v/>
          </cell>
          <cell r="R1164">
            <v>16.5</v>
          </cell>
        </row>
        <row r="1165">
          <cell r="A1165" t="str">
            <v/>
          </cell>
          <cell r="B1165" t="str">
            <v/>
          </cell>
          <cell r="C1165" t="str">
            <v>Future</v>
          </cell>
          <cell r="D1165" t="e">
            <v>#N/A</v>
          </cell>
          <cell r="E1165">
            <v>-19.225675675675788</v>
          </cell>
          <cell r="F1165">
            <v>21.720270270270664</v>
          </cell>
          <cell r="G1165">
            <v>13.531081081081156</v>
          </cell>
          <cell r="H1165">
            <v>13.531081081081156</v>
          </cell>
          <cell r="I1165" t="e">
            <v>#N/A</v>
          </cell>
          <cell r="J1165" t="e">
            <v>#N/A</v>
          </cell>
          <cell r="K1165">
            <v>17.5</v>
          </cell>
          <cell r="L1165">
            <v>14</v>
          </cell>
          <cell r="M1165" t="e">
            <v>#N/A</v>
          </cell>
          <cell r="N1165">
            <v>16.5</v>
          </cell>
          <cell r="O1165" t="e">
            <v>#N/A</v>
          </cell>
          <cell r="P1165" t="str">
            <v/>
          </cell>
          <cell r="Q1165" t="str">
            <v/>
          </cell>
          <cell r="R1165">
            <v>16.5</v>
          </cell>
        </row>
        <row r="1166">
          <cell r="A1166" t="str">
            <v/>
          </cell>
          <cell r="B1166" t="str">
            <v/>
          </cell>
          <cell r="C1166" t="str">
            <v>Future</v>
          </cell>
          <cell r="D1166" t="e">
            <v>#N/A</v>
          </cell>
          <cell r="E1166">
            <v>-19.281081081081194</v>
          </cell>
          <cell r="F1166">
            <v>21.732432432432827</v>
          </cell>
          <cell r="G1166">
            <v>13.529729729729805</v>
          </cell>
          <cell r="H1166">
            <v>13.529729729729805</v>
          </cell>
          <cell r="I1166" t="e">
            <v>#N/A</v>
          </cell>
          <cell r="J1166" t="e">
            <v>#N/A</v>
          </cell>
          <cell r="K1166">
            <v>17.5</v>
          </cell>
          <cell r="L1166">
            <v>14</v>
          </cell>
          <cell r="M1166" t="e">
            <v>#N/A</v>
          </cell>
          <cell r="N1166">
            <v>16.5</v>
          </cell>
          <cell r="O1166" t="e">
            <v>#N/A</v>
          </cell>
          <cell r="P1166" t="str">
            <v/>
          </cell>
          <cell r="Q1166" t="str">
            <v/>
          </cell>
          <cell r="R1166">
            <v>16.5</v>
          </cell>
        </row>
        <row r="1167">
          <cell r="A1167" t="str">
            <v/>
          </cell>
          <cell r="B1167" t="str">
            <v/>
          </cell>
          <cell r="C1167" t="str">
            <v>Future</v>
          </cell>
          <cell r="D1167" t="e">
            <v>#N/A</v>
          </cell>
          <cell r="E1167">
            <v>-19.336486486486599</v>
          </cell>
          <cell r="F1167">
            <v>21.744594594594989</v>
          </cell>
          <cell r="G1167">
            <v>13.528378378378454</v>
          </cell>
          <cell r="H1167">
            <v>13.528378378378454</v>
          </cell>
          <cell r="I1167" t="e">
            <v>#N/A</v>
          </cell>
          <cell r="J1167" t="e">
            <v>#N/A</v>
          </cell>
          <cell r="K1167">
            <v>17.5</v>
          </cell>
          <cell r="L1167">
            <v>14</v>
          </cell>
          <cell r="M1167" t="e">
            <v>#N/A</v>
          </cell>
          <cell r="N1167">
            <v>16.5</v>
          </cell>
          <cell r="O1167" t="e">
            <v>#N/A</v>
          </cell>
          <cell r="P1167" t="str">
            <v/>
          </cell>
          <cell r="Q1167" t="str">
            <v/>
          </cell>
          <cell r="R1167">
            <v>16.5</v>
          </cell>
        </row>
        <row r="1168">
          <cell r="A1168" t="str">
            <v/>
          </cell>
          <cell r="B1168" t="str">
            <v/>
          </cell>
          <cell r="C1168" t="str">
            <v>Future</v>
          </cell>
          <cell r="D1168" t="e">
            <v>#N/A</v>
          </cell>
          <cell r="E1168">
            <v>-19.391891891892005</v>
          </cell>
          <cell r="F1168">
            <v>21.756756756757152</v>
          </cell>
          <cell r="G1168">
            <v>13.527027027027103</v>
          </cell>
          <cell r="H1168">
            <v>13.527027027027103</v>
          </cell>
          <cell r="I1168" t="e">
            <v>#N/A</v>
          </cell>
          <cell r="J1168" t="e">
            <v>#N/A</v>
          </cell>
          <cell r="K1168">
            <v>17.5</v>
          </cell>
          <cell r="L1168">
            <v>14</v>
          </cell>
          <cell r="M1168" t="e">
            <v>#N/A</v>
          </cell>
          <cell r="N1168">
            <v>16.5</v>
          </cell>
          <cell r="O1168" t="e">
            <v>#N/A</v>
          </cell>
          <cell r="P1168" t="str">
            <v/>
          </cell>
          <cell r="Q1168" t="str">
            <v/>
          </cell>
          <cell r="R1168">
            <v>16.5</v>
          </cell>
        </row>
        <row r="1169">
          <cell r="A1169" t="str">
            <v/>
          </cell>
          <cell r="B1169" t="str">
            <v/>
          </cell>
          <cell r="C1169" t="str">
            <v>Future</v>
          </cell>
          <cell r="D1169" t="e">
            <v>#N/A</v>
          </cell>
          <cell r="E1169">
            <v>-19.447297297297411</v>
          </cell>
          <cell r="F1169">
            <v>21.768918918919315</v>
          </cell>
          <cell r="G1169">
            <v>13.525675675675751</v>
          </cell>
          <cell r="H1169">
            <v>13.525675675675751</v>
          </cell>
          <cell r="I1169" t="e">
            <v>#N/A</v>
          </cell>
          <cell r="J1169" t="e">
            <v>#N/A</v>
          </cell>
          <cell r="K1169">
            <v>17.5</v>
          </cell>
          <cell r="L1169">
            <v>14</v>
          </cell>
          <cell r="M1169" t="e">
            <v>#N/A</v>
          </cell>
          <cell r="N1169">
            <v>16.5</v>
          </cell>
          <cell r="O1169" t="e">
            <v>#N/A</v>
          </cell>
          <cell r="P1169" t="str">
            <v/>
          </cell>
          <cell r="Q1169" t="str">
            <v/>
          </cell>
          <cell r="R1169">
            <v>16.5</v>
          </cell>
        </row>
        <row r="1170">
          <cell r="A1170" t="str">
            <v/>
          </cell>
          <cell r="B1170" t="str">
            <v/>
          </cell>
          <cell r="C1170" t="str">
            <v>Future</v>
          </cell>
          <cell r="D1170" t="e">
            <v>#N/A</v>
          </cell>
          <cell r="E1170">
            <v>-19.502702702702816</v>
          </cell>
          <cell r="F1170">
            <v>21.781081081081478</v>
          </cell>
          <cell r="G1170">
            <v>13.5243243243244</v>
          </cell>
          <cell r="H1170">
            <v>13.5243243243244</v>
          </cell>
          <cell r="I1170" t="e">
            <v>#N/A</v>
          </cell>
          <cell r="J1170" t="e">
            <v>#N/A</v>
          </cell>
          <cell r="K1170">
            <v>17.5</v>
          </cell>
          <cell r="L1170">
            <v>14</v>
          </cell>
          <cell r="M1170" t="e">
            <v>#N/A</v>
          </cell>
          <cell r="N1170">
            <v>16.5</v>
          </cell>
          <cell r="O1170" t="e">
            <v>#N/A</v>
          </cell>
          <cell r="P1170" t="str">
            <v/>
          </cell>
          <cell r="Q1170" t="str">
            <v/>
          </cell>
          <cell r="R1170">
            <v>16.5</v>
          </cell>
        </row>
        <row r="1171">
          <cell r="A1171" t="str">
            <v/>
          </cell>
          <cell r="B1171" t="str">
            <v/>
          </cell>
          <cell r="C1171" t="str">
            <v>Future</v>
          </cell>
          <cell r="D1171" t="e">
            <v>#N/A</v>
          </cell>
          <cell r="E1171">
            <v>-19.558108108108222</v>
          </cell>
          <cell r="F1171">
            <v>21.793243243243641</v>
          </cell>
          <cell r="G1171">
            <v>13.522972972973049</v>
          </cell>
          <cell r="H1171">
            <v>13.522972972973049</v>
          </cell>
          <cell r="I1171" t="e">
            <v>#N/A</v>
          </cell>
          <cell r="J1171" t="e">
            <v>#N/A</v>
          </cell>
          <cell r="K1171">
            <v>17.5</v>
          </cell>
          <cell r="L1171">
            <v>14</v>
          </cell>
          <cell r="M1171" t="e">
            <v>#N/A</v>
          </cell>
          <cell r="N1171">
            <v>16.5</v>
          </cell>
          <cell r="O1171" t="e">
            <v>#N/A</v>
          </cell>
          <cell r="P1171" t="str">
            <v/>
          </cell>
          <cell r="Q1171" t="str">
            <v/>
          </cell>
          <cell r="R1171">
            <v>16.5</v>
          </cell>
        </row>
        <row r="1172">
          <cell r="A1172" t="str">
            <v/>
          </cell>
          <cell r="B1172" t="str">
            <v/>
          </cell>
          <cell r="C1172" t="str">
            <v>Future</v>
          </cell>
          <cell r="D1172" t="e">
            <v>#N/A</v>
          </cell>
          <cell r="E1172">
            <v>-19.613513513513627</v>
          </cell>
          <cell r="F1172">
            <v>21.805405405405804</v>
          </cell>
          <cell r="G1172">
            <v>13.521621621621698</v>
          </cell>
          <cell r="H1172">
            <v>13.521621621621698</v>
          </cell>
          <cell r="I1172" t="e">
            <v>#N/A</v>
          </cell>
          <cell r="J1172" t="e">
            <v>#N/A</v>
          </cell>
          <cell r="K1172">
            <v>17.5</v>
          </cell>
          <cell r="L1172">
            <v>14</v>
          </cell>
          <cell r="M1172" t="e">
            <v>#N/A</v>
          </cell>
          <cell r="N1172">
            <v>16.5</v>
          </cell>
          <cell r="O1172" t="e">
            <v>#N/A</v>
          </cell>
          <cell r="P1172" t="str">
            <v/>
          </cell>
          <cell r="Q1172" t="str">
            <v/>
          </cell>
          <cell r="R1172">
            <v>16.5</v>
          </cell>
        </row>
        <row r="1173">
          <cell r="A1173" t="str">
            <v/>
          </cell>
          <cell r="B1173" t="str">
            <v/>
          </cell>
          <cell r="C1173" t="str">
            <v>Future</v>
          </cell>
          <cell r="D1173" t="e">
            <v>#N/A</v>
          </cell>
          <cell r="E1173">
            <v>-19.668918918919033</v>
          </cell>
          <cell r="F1173">
            <v>21.817567567567966</v>
          </cell>
          <cell r="G1173">
            <v>13.520270270270347</v>
          </cell>
          <cell r="H1173">
            <v>13.520270270270347</v>
          </cell>
          <cell r="I1173" t="e">
            <v>#N/A</v>
          </cell>
          <cell r="J1173" t="e">
            <v>#N/A</v>
          </cell>
          <cell r="K1173">
            <v>17.5</v>
          </cell>
          <cell r="L1173">
            <v>14</v>
          </cell>
          <cell r="M1173" t="e">
            <v>#N/A</v>
          </cell>
          <cell r="N1173">
            <v>16.5</v>
          </cell>
          <cell r="O1173" t="e">
            <v>#N/A</v>
          </cell>
          <cell r="P1173" t="str">
            <v/>
          </cell>
          <cell r="Q1173" t="str">
            <v/>
          </cell>
          <cell r="R1173">
            <v>16.5</v>
          </cell>
        </row>
        <row r="1174">
          <cell r="A1174" t="str">
            <v/>
          </cell>
          <cell r="B1174" t="str">
            <v/>
          </cell>
          <cell r="C1174" t="str">
            <v>Future</v>
          </cell>
          <cell r="D1174" t="e">
            <v>#N/A</v>
          </cell>
          <cell r="E1174">
            <v>-19.724324324324439</v>
          </cell>
          <cell r="F1174">
            <v>21.829729729730129</v>
          </cell>
          <cell r="G1174">
            <v>13.518918918918995</v>
          </cell>
          <cell r="H1174">
            <v>13.518918918918995</v>
          </cell>
          <cell r="I1174" t="e">
            <v>#N/A</v>
          </cell>
          <cell r="J1174" t="e">
            <v>#N/A</v>
          </cell>
          <cell r="K1174">
            <v>17.5</v>
          </cell>
          <cell r="L1174">
            <v>14</v>
          </cell>
          <cell r="M1174" t="e">
            <v>#N/A</v>
          </cell>
          <cell r="N1174">
            <v>16.5</v>
          </cell>
          <cell r="O1174" t="e">
            <v>#N/A</v>
          </cell>
          <cell r="P1174" t="str">
            <v/>
          </cell>
          <cell r="Q1174" t="str">
            <v/>
          </cell>
          <cell r="R1174">
            <v>16.5</v>
          </cell>
        </row>
        <row r="1175">
          <cell r="A1175" t="str">
            <v/>
          </cell>
          <cell r="B1175" t="str">
            <v/>
          </cell>
          <cell r="C1175" t="str">
            <v>Future</v>
          </cell>
          <cell r="D1175" t="e">
            <v>#N/A</v>
          </cell>
          <cell r="E1175">
            <v>-19.779729729729844</v>
          </cell>
          <cell r="F1175">
            <v>21.841891891892292</v>
          </cell>
          <cell r="G1175">
            <v>13.517567567567644</v>
          </cell>
          <cell r="H1175">
            <v>13.517567567567644</v>
          </cell>
          <cell r="I1175" t="e">
            <v>#N/A</v>
          </cell>
          <cell r="J1175" t="e">
            <v>#N/A</v>
          </cell>
          <cell r="K1175">
            <v>17.5</v>
          </cell>
          <cell r="L1175">
            <v>14</v>
          </cell>
          <cell r="M1175" t="e">
            <v>#N/A</v>
          </cell>
          <cell r="N1175">
            <v>16.5</v>
          </cell>
          <cell r="O1175" t="e">
            <v>#N/A</v>
          </cell>
          <cell r="P1175" t="str">
            <v/>
          </cell>
          <cell r="Q1175" t="str">
            <v/>
          </cell>
          <cell r="R1175">
            <v>16.5</v>
          </cell>
        </row>
        <row r="1176">
          <cell r="A1176" t="str">
            <v/>
          </cell>
          <cell r="B1176" t="str">
            <v/>
          </cell>
          <cell r="C1176" t="str">
            <v>Future</v>
          </cell>
          <cell r="D1176" t="e">
            <v>#N/A</v>
          </cell>
          <cell r="E1176">
            <v>-19.83513513513525</v>
          </cell>
          <cell r="F1176">
            <v>21.854054054054455</v>
          </cell>
          <cell r="G1176">
            <v>13.516216216216293</v>
          </cell>
          <cell r="H1176">
            <v>13.516216216216293</v>
          </cell>
          <cell r="I1176" t="e">
            <v>#N/A</v>
          </cell>
          <cell r="J1176" t="e">
            <v>#N/A</v>
          </cell>
          <cell r="K1176">
            <v>17.5</v>
          </cell>
          <cell r="L1176">
            <v>14</v>
          </cell>
          <cell r="M1176" t="e">
            <v>#N/A</v>
          </cell>
          <cell r="N1176">
            <v>16.5</v>
          </cell>
          <cell r="O1176" t="e">
            <v>#N/A</v>
          </cell>
          <cell r="P1176" t="str">
            <v/>
          </cell>
          <cell r="Q1176" t="str">
            <v/>
          </cell>
          <cell r="R1176">
            <v>16.5</v>
          </cell>
        </row>
        <row r="1177">
          <cell r="A1177" t="str">
            <v/>
          </cell>
          <cell r="B1177" t="str">
            <v/>
          </cell>
          <cell r="C1177" t="str">
            <v>Future</v>
          </cell>
          <cell r="D1177" t="e">
            <v>#N/A</v>
          </cell>
          <cell r="E1177">
            <v>-19.890540540540655</v>
          </cell>
          <cell r="F1177">
            <v>21.866216216216618</v>
          </cell>
          <cell r="G1177">
            <v>13.514864864864942</v>
          </cell>
          <cell r="H1177">
            <v>13.514864864864942</v>
          </cell>
          <cell r="I1177" t="e">
            <v>#N/A</v>
          </cell>
          <cell r="J1177" t="e">
            <v>#N/A</v>
          </cell>
          <cell r="K1177">
            <v>17.5</v>
          </cell>
          <cell r="L1177">
            <v>14</v>
          </cell>
          <cell r="M1177" t="e">
            <v>#N/A</v>
          </cell>
          <cell r="N1177">
            <v>16.5</v>
          </cell>
          <cell r="O1177" t="e">
            <v>#N/A</v>
          </cell>
          <cell r="P1177" t="str">
            <v/>
          </cell>
          <cell r="Q1177" t="str">
            <v/>
          </cell>
          <cell r="R1177">
            <v>16.5</v>
          </cell>
        </row>
        <row r="1178">
          <cell r="A1178" t="str">
            <v/>
          </cell>
          <cell r="B1178" t="str">
            <v/>
          </cell>
          <cell r="C1178" t="str">
            <v>Future</v>
          </cell>
          <cell r="D1178" t="e">
            <v>#N/A</v>
          </cell>
          <cell r="E1178">
            <v>-19.945945945946061</v>
          </cell>
          <cell r="F1178">
            <v>21.87837837837878</v>
          </cell>
          <cell r="G1178">
            <v>13.51351351351359</v>
          </cell>
          <cell r="H1178">
            <v>13.51351351351359</v>
          </cell>
          <cell r="I1178" t="e">
            <v>#N/A</v>
          </cell>
          <cell r="J1178" t="e">
            <v>#N/A</v>
          </cell>
          <cell r="K1178">
            <v>17.5</v>
          </cell>
          <cell r="L1178">
            <v>14</v>
          </cell>
          <cell r="M1178" t="e">
            <v>#N/A</v>
          </cell>
          <cell r="N1178">
            <v>16.5</v>
          </cell>
          <cell r="O1178" t="e">
            <v>#N/A</v>
          </cell>
          <cell r="P1178" t="str">
            <v/>
          </cell>
          <cell r="Q1178" t="str">
            <v/>
          </cell>
          <cell r="R1178">
            <v>16.5</v>
          </cell>
        </row>
        <row r="1179">
          <cell r="A1179" t="str">
            <v/>
          </cell>
          <cell r="B1179" t="str">
            <v/>
          </cell>
          <cell r="C1179" t="str">
            <v>Future</v>
          </cell>
          <cell r="D1179" t="e">
            <v>#N/A</v>
          </cell>
          <cell r="E1179">
            <v>-20.001351351351467</v>
          </cell>
          <cell r="F1179">
            <v>21.890540540540943</v>
          </cell>
          <cell r="G1179">
            <v>13.512162162162239</v>
          </cell>
          <cell r="H1179">
            <v>13.512162162162239</v>
          </cell>
          <cell r="I1179" t="e">
            <v>#N/A</v>
          </cell>
          <cell r="J1179" t="e">
            <v>#N/A</v>
          </cell>
          <cell r="K1179">
            <v>17.5</v>
          </cell>
          <cell r="L1179">
            <v>14</v>
          </cell>
          <cell r="M1179" t="e">
            <v>#N/A</v>
          </cell>
          <cell r="N1179">
            <v>16.5</v>
          </cell>
          <cell r="O1179" t="e">
            <v>#N/A</v>
          </cell>
          <cell r="P1179" t="str">
            <v/>
          </cell>
          <cell r="Q1179" t="str">
            <v/>
          </cell>
          <cell r="R1179">
            <v>16.5</v>
          </cell>
        </row>
        <row r="1180">
          <cell r="A1180" t="str">
            <v/>
          </cell>
          <cell r="B1180" t="str">
            <v/>
          </cell>
          <cell r="C1180" t="str">
            <v>Future</v>
          </cell>
          <cell r="D1180" t="e">
            <v>#N/A</v>
          </cell>
          <cell r="E1180">
            <v>-20.056756756756872</v>
          </cell>
          <cell r="F1180">
            <v>21.902702702703106</v>
          </cell>
          <cell r="G1180">
            <v>13.510810810810888</v>
          </cell>
          <cell r="H1180">
            <v>13.510810810810888</v>
          </cell>
          <cell r="I1180" t="e">
            <v>#N/A</v>
          </cell>
          <cell r="J1180" t="e">
            <v>#N/A</v>
          </cell>
          <cell r="K1180">
            <v>17.5</v>
          </cell>
          <cell r="L1180">
            <v>14</v>
          </cell>
          <cell r="M1180" t="e">
            <v>#N/A</v>
          </cell>
          <cell r="N1180">
            <v>16.5</v>
          </cell>
          <cell r="O1180" t="e">
            <v>#N/A</v>
          </cell>
          <cell r="P1180" t="str">
            <v/>
          </cell>
          <cell r="Q1180" t="str">
            <v/>
          </cell>
          <cell r="R1180">
            <v>16.5</v>
          </cell>
        </row>
        <row r="1181">
          <cell r="A1181" t="str">
            <v/>
          </cell>
          <cell r="B1181" t="str">
            <v/>
          </cell>
          <cell r="C1181" t="str">
            <v>Future</v>
          </cell>
          <cell r="D1181" t="e">
            <v>#N/A</v>
          </cell>
          <cell r="E1181">
            <v>-20.112162162162278</v>
          </cell>
          <cell r="F1181">
            <v>21.914864864865269</v>
          </cell>
          <cell r="G1181">
            <v>13.509459459459537</v>
          </cell>
          <cell r="H1181">
            <v>13.509459459459537</v>
          </cell>
          <cell r="I1181" t="e">
            <v>#N/A</v>
          </cell>
          <cell r="J1181" t="e">
            <v>#N/A</v>
          </cell>
          <cell r="K1181">
            <v>17.5</v>
          </cell>
          <cell r="L1181">
            <v>14</v>
          </cell>
          <cell r="M1181" t="e">
            <v>#N/A</v>
          </cell>
          <cell r="N1181">
            <v>16.5</v>
          </cell>
          <cell r="O1181" t="e">
            <v>#N/A</v>
          </cell>
          <cell r="P1181" t="str">
            <v/>
          </cell>
          <cell r="Q1181" t="str">
            <v/>
          </cell>
          <cell r="R1181">
            <v>16.5</v>
          </cell>
        </row>
        <row r="1182">
          <cell r="A1182" t="str">
            <v/>
          </cell>
          <cell r="B1182" t="str">
            <v/>
          </cell>
          <cell r="C1182" t="str">
            <v>Future</v>
          </cell>
          <cell r="D1182" t="e">
            <v>#N/A</v>
          </cell>
          <cell r="E1182">
            <v>-20.167567567567684</v>
          </cell>
          <cell r="F1182">
            <v>21.927027027027432</v>
          </cell>
          <cell r="G1182">
            <v>13.508108108108186</v>
          </cell>
          <cell r="H1182">
            <v>13.508108108108186</v>
          </cell>
          <cell r="I1182" t="e">
            <v>#N/A</v>
          </cell>
          <cell r="J1182" t="e">
            <v>#N/A</v>
          </cell>
          <cell r="K1182">
            <v>17.5</v>
          </cell>
          <cell r="L1182">
            <v>14</v>
          </cell>
          <cell r="M1182" t="e">
            <v>#N/A</v>
          </cell>
          <cell r="N1182">
            <v>16.5</v>
          </cell>
          <cell r="O1182" t="e">
            <v>#N/A</v>
          </cell>
          <cell r="P1182" t="str">
            <v/>
          </cell>
          <cell r="Q1182" t="str">
            <v/>
          </cell>
          <cell r="R1182">
            <v>16.5</v>
          </cell>
        </row>
        <row r="1183">
          <cell r="A1183" t="str">
            <v/>
          </cell>
          <cell r="B1183" t="str">
            <v/>
          </cell>
          <cell r="C1183" t="str">
            <v>Future</v>
          </cell>
          <cell r="D1183" t="e">
            <v>#N/A</v>
          </cell>
          <cell r="E1183">
            <v>-20.222972972973089</v>
          </cell>
          <cell r="F1183">
            <v>21.939189189189594</v>
          </cell>
          <cell r="G1183">
            <v>13.506756756756834</v>
          </cell>
          <cell r="H1183">
            <v>13.506756756756834</v>
          </cell>
          <cell r="I1183" t="e">
            <v>#N/A</v>
          </cell>
          <cell r="J1183" t="e">
            <v>#N/A</v>
          </cell>
          <cell r="K1183">
            <v>17.5</v>
          </cell>
          <cell r="L1183">
            <v>14</v>
          </cell>
          <cell r="M1183" t="e">
            <v>#N/A</v>
          </cell>
          <cell r="N1183">
            <v>16.5</v>
          </cell>
          <cell r="O1183" t="e">
            <v>#N/A</v>
          </cell>
          <cell r="P1183" t="str">
            <v/>
          </cell>
          <cell r="Q1183" t="str">
            <v/>
          </cell>
          <cell r="R1183">
            <v>16.5</v>
          </cell>
        </row>
        <row r="1184">
          <cell r="A1184" t="str">
            <v/>
          </cell>
          <cell r="B1184" t="str">
            <v/>
          </cell>
          <cell r="C1184" t="str">
            <v>Future</v>
          </cell>
          <cell r="D1184" t="e">
            <v>#N/A</v>
          </cell>
          <cell r="E1184">
            <v>-20.278378378378495</v>
          </cell>
          <cell r="F1184">
            <v>21.951351351351757</v>
          </cell>
          <cell r="G1184">
            <v>13.505405405405483</v>
          </cell>
          <cell r="H1184">
            <v>13.505405405405483</v>
          </cell>
          <cell r="I1184" t="e">
            <v>#N/A</v>
          </cell>
          <cell r="J1184" t="e">
            <v>#N/A</v>
          </cell>
          <cell r="K1184">
            <v>17.5</v>
          </cell>
          <cell r="L1184">
            <v>14</v>
          </cell>
          <cell r="M1184" t="e">
            <v>#N/A</v>
          </cell>
          <cell r="N1184">
            <v>16.5</v>
          </cell>
          <cell r="O1184" t="e">
            <v>#N/A</v>
          </cell>
          <cell r="P1184" t="str">
            <v/>
          </cell>
          <cell r="Q1184" t="str">
            <v/>
          </cell>
          <cell r="R1184">
            <v>16.5</v>
          </cell>
        </row>
        <row r="1185">
          <cell r="A1185" t="str">
            <v/>
          </cell>
          <cell r="B1185" t="str">
            <v/>
          </cell>
          <cell r="C1185" t="str">
            <v>Future</v>
          </cell>
          <cell r="D1185" t="e">
            <v>#N/A</v>
          </cell>
          <cell r="E1185">
            <v>-20.3337837837839</v>
          </cell>
          <cell r="F1185">
            <v>21.96351351351392</v>
          </cell>
          <cell r="G1185">
            <v>13.504054054054132</v>
          </cell>
          <cell r="H1185">
            <v>13.504054054054132</v>
          </cell>
          <cell r="I1185" t="e">
            <v>#N/A</v>
          </cell>
          <cell r="J1185" t="e">
            <v>#N/A</v>
          </cell>
          <cell r="K1185">
            <v>17.5</v>
          </cell>
          <cell r="L1185">
            <v>14</v>
          </cell>
          <cell r="M1185" t="e">
            <v>#N/A</v>
          </cell>
          <cell r="N1185">
            <v>16.5</v>
          </cell>
          <cell r="O1185" t="e">
            <v>#N/A</v>
          </cell>
          <cell r="P1185" t="str">
            <v/>
          </cell>
          <cell r="Q1185" t="str">
            <v/>
          </cell>
          <cell r="R1185">
            <v>16.5</v>
          </cell>
        </row>
        <row r="1186">
          <cell r="A1186" t="str">
            <v/>
          </cell>
          <cell r="B1186" t="str">
            <v/>
          </cell>
          <cell r="C1186" t="str">
            <v>Future</v>
          </cell>
          <cell r="D1186" t="e">
            <v>#N/A</v>
          </cell>
          <cell r="E1186">
            <v>-20.389189189189306</v>
          </cell>
          <cell r="F1186">
            <v>21.975675675676083</v>
          </cell>
          <cell r="G1186">
            <v>13.502702702702781</v>
          </cell>
          <cell r="H1186">
            <v>13.502702702702781</v>
          </cell>
          <cell r="I1186" t="e">
            <v>#N/A</v>
          </cell>
          <cell r="J1186" t="e">
            <v>#N/A</v>
          </cell>
          <cell r="K1186">
            <v>17.5</v>
          </cell>
          <cell r="L1186">
            <v>14</v>
          </cell>
          <cell r="M1186" t="e">
            <v>#N/A</v>
          </cell>
          <cell r="N1186">
            <v>16.5</v>
          </cell>
          <cell r="O1186" t="e">
            <v>#N/A</v>
          </cell>
          <cell r="P1186" t="str">
            <v/>
          </cell>
          <cell r="Q1186" t="str">
            <v/>
          </cell>
          <cell r="R1186">
            <v>16.5</v>
          </cell>
        </row>
        <row r="1187">
          <cell r="A1187" t="str">
            <v/>
          </cell>
          <cell r="B1187" t="str">
            <v/>
          </cell>
          <cell r="C1187" t="str">
            <v>Future</v>
          </cell>
          <cell r="D1187" t="e">
            <v>#N/A</v>
          </cell>
          <cell r="E1187">
            <v>-20.444594594594712</v>
          </cell>
          <cell r="F1187">
            <v>21.987837837838246</v>
          </cell>
          <cell r="G1187">
            <v>13.501351351351429</v>
          </cell>
          <cell r="H1187">
            <v>13.501351351351429</v>
          </cell>
          <cell r="I1187" t="e">
            <v>#N/A</v>
          </cell>
          <cell r="J1187" t="e">
            <v>#N/A</v>
          </cell>
          <cell r="K1187">
            <v>17.5</v>
          </cell>
          <cell r="L1187">
            <v>14</v>
          </cell>
          <cell r="M1187" t="e">
            <v>#N/A</v>
          </cell>
          <cell r="N1187">
            <v>16.5</v>
          </cell>
          <cell r="O1187" t="e">
            <v>#N/A</v>
          </cell>
          <cell r="P1187" t="str">
            <v/>
          </cell>
          <cell r="Q1187" t="str">
            <v/>
          </cell>
          <cell r="R1187">
            <v>16.5</v>
          </cell>
        </row>
        <row r="1188">
          <cell r="A1188" t="str">
            <v/>
          </cell>
          <cell r="B1188" t="str">
            <v/>
          </cell>
          <cell r="C1188" t="str">
            <v>Future</v>
          </cell>
          <cell r="D1188" t="e">
            <v>#N/A</v>
          </cell>
          <cell r="E1188">
            <v>-20.500000000000117</v>
          </cell>
          <cell r="F1188">
            <v>22.000000000000409</v>
          </cell>
          <cell r="G1188">
            <v>13.500000000000078</v>
          </cell>
          <cell r="H1188">
            <v>13.500000000000078</v>
          </cell>
          <cell r="I1188" t="e">
            <v>#N/A</v>
          </cell>
          <cell r="J1188" t="e">
            <v>#N/A</v>
          </cell>
          <cell r="K1188">
            <v>17.5</v>
          </cell>
          <cell r="L1188">
            <v>14</v>
          </cell>
          <cell r="M1188" t="e">
            <v>#N/A</v>
          </cell>
          <cell r="N1188">
            <v>16.5</v>
          </cell>
          <cell r="O1188" t="e">
            <v>#N/A</v>
          </cell>
          <cell r="P1188" t="str">
            <v/>
          </cell>
          <cell r="Q1188" t="str">
            <v/>
          </cell>
          <cell r="R1188">
            <v>16.5</v>
          </cell>
        </row>
        <row r="1189">
          <cell r="A1189" t="str">
            <v/>
          </cell>
          <cell r="B1189" t="str">
            <v/>
          </cell>
          <cell r="C1189" t="str">
            <v>Future</v>
          </cell>
          <cell r="D1189" t="e">
            <v>#N/A</v>
          </cell>
          <cell r="E1189">
            <v>-20.555405405405523</v>
          </cell>
          <cell r="F1189">
            <v>22.012162162162571</v>
          </cell>
          <cell r="G1189">
            <v>13.498648648648727</v>
          </cell>
          <cell r="H1189">
            <v>13.498648648648727</v>
          </cell>
          <cell r="I1189" t="e">
            <v>#N/A</v>
          </cell>
          <cell r="J1189" t="e">
            <v>#N/A</v>
          </cell>
          <cell r="K1189">
            <v>17.5</v>
          </cell>
          <cell r="L1189">
            <v>14</v>
          </cell>
          <cell r="M1189" t="e">
            <v>#N/A</v>
          </cell>
          <cell r="N1189">
            <v>16.5</v>
          </cell>
          <cell r="O1189" t="e">
            <v>#N/A</v>
          </cell>
          <cell r="P1189" t="str">
            <v/>
          </cell>
          <cell r="Q1189" t="str">
            <v/>
          </cell>
          <cell r="R1189">
            <v>16.5</v>
          </cell>
        </row>
        <row r="1190">
          <cell r="A1190" t="str">
            <v/>
          </cell>
          <cell r="B1190" t="str">
            <v/>
          </cell>
          <cell r="C1190" t="str">
            <v>Future</v>
          </cell>
          <cell r="D1190" t="e">
            <v>#N/A</v>
          </cell>
          <cell r="E1190">
            <v>-20.610810810810928</v>
          </cell>
          <cell r="F1190">
            <v>22.024324324324734</v>
          </cell>
          <cell r="G1190">
            <v>13.497297297297376</v>
          </cell>
          <cell r="H1190">
            <v>13.497297297297376</v>
          </cell>
          <cell r="I1190" t="e">
            <v>#N/A</v>
          </cell>
          <cell r="J1190" t="e">
            <v>#N/A</v>
          </cell>
          <cell r="K1190">
            <v>17.5</v>
          </cell>
          <cell r="L1190">
            <v>14</v>
          </cell>
          <cell r="M1190" t="e">
            <v>#N/A</v>
          </cell>
          <cell r="N1190">
            <v>16.5</v>
          </cell>
          <cell r="O1190" t="e">
            <v>#N/A</v>
          </cell>
          <cell r="P1190" t="str">
            <v/>
          </cell>
          <cell r="Q1190" t="str">
            <v/>
          </cell>
          <cell r="R1190">
            <v>16.5</v>
          </cell>
        </row>
        <row r="1191">
          <cell r="A1191" t="str">
            <v/>
          </cell>
          <cell r="B1191" t="str">
            <v/>
          </cell>
          <cell r="C1191" t="str">
            <v>Future</v>
          </cell>
          <cell r="D1191" t="e">
            <v>#N/A</v>
          </cell>
          <cell r="E1191">
            <v>-20.666216216216334</v>
          </cell>
          <cell r="F1191">
            <v>22.036486486486897</v>
          </cell>
          <cell r="G1191">
            <v>13.495945945946024</v>
          </cell>
          <cell r="H1191">
            <v>13.495945945946024</v>
          </cell>
          <cell r="I1191" t="e">
            <v>#N/A</v>
          </cell>
          <cell r="J1191" t="e">
            <v>#N/A</v>
          </cell>
          <cell r="K1191">
            <v>17.5</v>
          </cell>
          <cell r="L1191">
            <v>14</v>
          </cell>
          <cell r="M1191" t="e">
            <v>#N/A</v>
          </cell>
          <cell r="N1191">
            <v>16.5</v>
          </cell>
          <cell r="O1191" t="e">
            <v>#N/A</v>
          </cell>
          <cell r="P1191" t="str">
            <v/>
          </cell>
          <cell r="Q1191" t="str">
            <v/>
          </cell>
          <cell r="R1191">
            <v>16.5</v>
          </cell>
        </row>
        <row r="1192">
          <cell r="A1192" t="str">
            <v/>
          </cell>
          <cell r="B1192" t="str">
            <v/>
          </cell>
          <cell r="C1192" t="str">
            <v>Future</v>
          </cell>
          <cell r="D1192" t="e">
            <v>#N/A</v>
          </cell>
          <cell r="E1192">
            <v>-20.72162162162174</v>
          </cell>
          <cell r="F1192">
            <v>22.04864864864906</v>
          </cell>
          <cell r="G1192">
            <v>13.494594594594673</v>
          </cell>
          <cell r="H1192">
            <v>13.494594594594673</v>
          </cell>
          <cell r="I1192" t="e">
            <v>#N/A</v>
          </cell>
          <cell r="J1192" t="e">
            <v>#N/A</v>
          </cell>
          <cell r="K1192">
            <v>17.5</v>
          </cell>
          <cell r="L1192">
            <v>14</v>
          </cell>
          <cell r="M1192" t="e">
            <v>#N/A</v>
          </cell>
          <cell r="N1192">
            <v>16.5</v>
          </cell>
          <cell r="O1192" t="e">
            <v>#N/A</v>
          </cell>
          <cell r="P1192" t="str">
            <v/>
          </cell>
          <cell r="Q1192" t="str">
            <v/>
          </cell>
          <cell r="R1192">
            <v>16.5</v>
          </cell>
        </row>
        <row r="1193">
          <cell r="A1193" t="str">
            <v/>
          </cell>
          <cell r="B1193" t="str">
            <v/>
          </cell>
          <cell r="C1193" t="str">
            <v>Future</v>
          </cell>
          <cell r="D1193" t="e">
            <v>#N/A</v>
          </cell>
          <cell r="E1193">
            <v>-20.777027027027145</v>
          </cell>
          <cell r="F1193">
            <v>22.060810810811223</v>
          </cell>
          <cell r="G1193">
            <v>13.493243243243322</v>
          </cell>
          <cell r="H1193">
            <v>13.493243243243322</v>
          </cell>
          <cell r="I1193" t="e">
            <v>#N/A</v>
          </cell>
          <cell r="J1193" t="e">
            <v>#N/A</v>
          </cell>
          <cell r="K1193">
            <v>17.5</v>
          </cell>
          <cell r="L1193">
            <v>14</v>
          </cell>
          <cell r="M1193" t="e">
            <v>#N/A</v>
          </cell>
          <cell r="N1193">
            <v>16.5</v>
          </cell>
          <cell r="O1193" t="e">
            <v>#N/A</v>
          </cell>
          <cell r="P1193" t="str">
            <v/>
          </cell>
          <cell r="Q1193" t="str">
            <v/>
          </cell>
          <cell r="R1193">
            <v>16.5</v>
          </cell>
        </row>
        <row r="1194">
          <cell r="A1194" t="str">
            <v/>
          </cell>
          <cell r="B1194" t="str">
            <v/>
          </cell>
          <cell r="C1194" t="str">
            <v>Future</v>
          </cell>
          <cell r="D1194" t="e">
            <v>#N/A</v>
          </cell>
          <cell r="E1194">
            <v>-20.832432432432551</v>
          </cell>
          <cell r="F1194">
            <v>22.072972972973385</v>
          </cell>
          <cell r="G1194">
            <v>13.491891891891971</v>
          </cell>
          <cell r="H1194">
            <v>13.491891891891971</v>
          </cell>
          <cell r="I1194" t="e">
            <v>#N/A</v>
          </cell>
          <cell r="J1194" t="e">
            <v>#N/A</v>
          </cell>
          <cell r="K1194">
            <v>17.5</v>
          </cell>
          <cell r="L1194">
            <v>14</v>
          </cell>
          <cell r="M1194" t="e">
            <v>#N/A</v>
          </cell>
          <cell r="N1194">
            <v>16.5</v>
          </cell>
          <cell r="O1194" t="e">
            <v>#N/A</v>
          </cell>
          <cell r="P1194" t="str">
            <v/>
          </cell>
          <cell r="Q1194" t="str">
            <v/>
          </cell>
          <cell r="R1194">
            <v>16.5</v>
          </cell>
        </row>
        <row r="1195">
          <cell r="A1195" t="str">
            <v/>
          </cell>
          <cell r="B1195" t="str">
            <v/>
          </cell>
          <cell r="C1195" t="str">
            <v>Future</v>
          </cell>
          <cell r="D1195" t="e">
            <v>#N/A</v>
          </cell>
          <cell r="E1195">
            <v>-20.887837837837957</v>
          </cell>
          <cell r="F1195">
            <v>22.085135135135548</v>
          </cell>
          <cell r="G1195">
            <v>13.49054054054062</v>
          </cell>
          <cell r="H1195">
            <v>13.49054054054062</v>
          </cell>
          <cell r="I1195" t="e">
            <v>#N/A</v>
          </cell>
          <cell r="J1195" t="e">
            <v>#N/A</v>
          </cell>
          <cell r="K1195">
            <v>17.5</v>
          </cell>
          <cell r="L1195">
            <v>14</v>
          </cell>
          <cell r="M1195" t="e">
            <v>#N/A</v>
          </cell>
          <cell r="N1195">
            <v>16.5</v>
          </cell>
          <cell r="O1195" t="e">
            <v>#N/A</v>
          </cell>
          <cell r="P1195" t="str">
            <v/>
          </cell>
          <cell r="Q1195" t="str">
            <v/>
          </cell>
          <cell r="R1195">
            <v>16.5</v>
          </cell>
        </row>
        <row r="1196">
          <cell r="A1196" t="str">
            <v/>
          </cell>
          <cell r="B1196" t="str">
            <v/>
          </cell>
          <cell r="C1196" t="str">
            <v>Future</v>
          </cell>
          <cell r="D1196" t="e">
            <v>#N/A</v>
          </cell>
          <cell r="E1196">
            <v>-20.943243243243362</v>
          </cell>
          <cell r="F1196">
            <v>22.097297297297711</v>
          </cell>
          <cell r="G1196">
            <v>13.489189189189268</v>
          </cell>
          <cell r="H1196">
            <v>13.489189189189268</v>
          </cell>
          <cell r="I1196" t="e">
            <v>#N/A</v>
          </cell>
          <cell r="J1196" t="e">
            <v>#N/A</v>
          </cell>
          <cell r="K1196">
            <v>17.5</v>
          </cell>
          <cell r="L1196">
            <v>14</v>
          </cell>
          <cell r="M1196" t="e">
            <v>#N/A</v>
          </cell>
          <cell r="N1196">
            <v>16.5</v>
          </cell>
          <cell r="O1196" t="e">
            <v>#N/A</v>
          </cell>
          <cell r="P1196" t="str">
            <v/>
          </cell>
          <cell r="Q1196" t="str">
            <v/>
          </cell>
          <cell r="R1196">
            <v>16.5</v>
          </cell>
        </row>
        <row r="1197">
          <cell r="A1197" t="str">
            <v/>
          </cell>
          <cell r="B1197" t="str">
            <v/>
          </cell>
          <cell r="C1197" t="str">
            <v>Future</v>
          </cell>
          <cell r="D1197" t="e">
            <v>#N/A</v>
          </cell>
          <cell r="E1197">
            <v>-20.998648648648768</v>
          </cell>
          <cell r="F1197">
            <v>22.109459459459874</v>
          </cell>
          <cell r="G1197">
            <v>13.487837837837917</v>
          </cell>
          <cell r="H1197">
            <v>13.487837837837917</v>
          </cell>
          <cell r="I1197" t="e">
            <v>#N/A</v>
          </cell>
          <cell r="J1197" t="e">
            <v>#N/A</v>
          </cell>
          <cell r="K1197">
            <v>17.5</v>
          </cell>
          <cell r="L1197">
            <v>14</v>
          </cell>
          <cell r="M1197" t="e">
            <v>#N/A</v>
          </cell>
          <cell r="N1197">
            <v>16.5</v>
          </cell>
          <cell r="O1197" t="e">
            <v>#N/A</v>
          </cell>
          <cell r="P1197" t="str">
            <v/>
          </cell>
          <cell r="Q1197" t="str">
            <v/>
          </cell>
          <cell r="R1197">
            <v>16.5</v>
          </cell>
        </row>
        <row r="1198">
          <cell r="A1198" t="str">
            <v/>
          </cell>
          <cell r="B1198" t="str">
            <v/>
          </cell>
          <cell r="C1198" t="str">
            <v>Future</v>
          </cell>
          <cell r="D1198" t="e">
            <v>#N/A</v>
          </cell>
          <cell r="E1198">
            <v>-21.054054054054173</v>
          </cell>
          <cell r="F1198">
            <v>22.121621621622037</v>
          </cell>
          <cell r="G1198">
            <v>13.486486486486566</v>
          </cell>
          <cell r="H1198">
            <v>13.486486486486566</v>
          </cell>
          <cell r="I1198" t="e">
            <v>#N/A</v>
          </cell>
          <cell r="J1198" t="e">
            <v>#N/A</v>
          </cell>
          <cell r="K1198">
            <v>17.5</v>
          </cell>
          <cell r="L1198">
            <v>14</v>
          </cell>
          <cell r="M1198" t="e">
            <v>#N/A</v>
          </cell>
          <cell r="N1198">
            <v>16.5</v>
          </cell>
          <cell r="O1198" t="e">
            <v>#N/A</v>
          </cell>
          <cell r="P1198" t="str">
            <v/>
          </cell>
          <cell r="Q1198" t="str">
            <v/>
          </cell>
          <cell r="R1198">
            <v>16.5</v>
          </cell>
        </row>
        <row r="1199">
          <cell r="A1199" t="str">
            <v/>
          </cell>
          <cell r="B1199" t="str">
            <v/>
          </cell>
          <cell r="C1199" t="str">
            <v>Future</v>
          </cell>
          <cell r="D1199" t="e">
            <v>#N/A</v>
          </cell>
          <cell r="E1199">
            <v>-21.109459459459579</v>
          </cell>
          <cell r="F1199">
            <v>22.1337837837842</v>
          </cell>
          <cell r="G1199">
            <v>13.485135135135215</v>
          </cell>
          <cell r="H1199">
            <v>13.485135135135215</v>
          </cell>
          <cell r="I1199" t="e">
            <v>#N/A</v>
          </cell>
          <cell r="J1199" t="e">
            <v>#N/A</v>
          </cell>
          <cell r="K1199">
            <v>17.5</v>
          </cell>
          <cell r="L1199">
            <v>14</v>
          </cell>
          <cell r="M1199" t="e">
            <v>#N/A</v>
          </cell>
          <cell r="N1199">
            <v>16.5</v>
          </cell>
          <cell r="O1199" t="e">
            <v>#N/A</v>
          </cell>
          <cell r="P1199" t="str">
            <v/>
          </cell>
          <cell r="Q1199" t="str">
            <v/>
          </cell>
          <cell r="R1199">
            <v>16.5</v>
          </cell>
        </row>
        <row r="1200">
          <cell r="A1200" t="str">
            <v/>
          </cell>
          <cell r="B1200" t="str">
            <v/>
          </cell>
          <cell r="C1200" t="str">
            <v>Future</v>
          </cell>
          <cell r="D1200" t="e">
            <v>#N/A</v>
          </cell>
          <cell r="E1200">
            <v>-21.164864864864985</v>
          </cell>
          <cell r="F1200">
            <v>22.145945945946362</v>
          </cell>
          <cell r="G1200">
            <v>13.483783783783863</v>
          </cell>
          <cell r="H1200">
            <v>13.483783783783863</v>
          </cell>
          <cell r="I1200" t="e">
            <v>#N/A</v>
          </cell>
          <cell r="J1200" t="e">
            <v>#N/A</v>
          </cell>
          <cell r="K1200">
            <v>17.5</v>
          </cell>
          <cell r="L1200">
            <v>14</v>
          </cell>
          <cell r="M1200" t="e">
            <v>#N/A</v>
          </cell>
          <cell r="N1200">
            <v>16.5</v>
          </cell>
          <cell r="O1200" t="e">
            <v>#N/A</v>
          </cell>
          <cell r="P1200" t="str">
            <v/>
          </cell>
          <cell r="Q1200" t="str">
            <v/>
          </cell>
          <cell r="R1200">
            <v>16.5</v>
          </cell>
        </row>
        <row r="1201">
          <cell r="A1201" t="str">
            <v/>
          </cell>
          <cell r="B1201" t="str">
            <v/>
          </cell>
          <cell r="C1201" t="str">
            <v>Future</v>
          </cell>
          <cell r="D1201" t="e">
            <v>#N/A</v>
          </cell>
          <cell r="E1201">
            <v>-21.22027027027039</v>
          </cell>
          <cell r="F1201">
            <v>22.158108108108525</v>
          </cell>
          <cell r="G1201">
            <v>13.482432432432512</v>
          </cell>
          <cell r="H1201">
            <v>13.482432432432512</v>
          </cell>
          <cell r="I1201" t="e">
            <v>#N/A</v>
          </cell>
          <cell r="J1201" t="e">
            <v>#N/A</v>
          </cell>
          <cell r="K1201">
            <v>17.5</v>
          </cell>
          <cell r="L1201">
            <v>14</v>
          </cell>
          <cell r="M1201" t="e">
            <v>#N/A</v>
          </cell>
          <cell r="N1201">
            <v>16.5</v>
          </cell>
          <cell r="O1201" t="e">
            <v>#N/A</v>
          </cell>
          <cell r="P1201" t="str">
            <v/>
          </cell>
          <cell r="Q1201" t="str">
            <v/>
          </cell>
          <cell r="R1201">
            <v>16.5</v>
          </cell>
        </row>
        <row r="1202">
          <cell r="A1202" t="str">
            <v/>
          </cell>
          <cell r="B1202" t="str">
            <v/>
          </cell>
          <cell r="C1202" t="str">
            <v>Future</v>
          </cell>
          <cell r="D1202" t="e">
            <v>#N/A</v>
          </cell>
          <cell r="E1202">
            <v>-21.275675675675796</v>
          </cell>
          <cell r="F1202">
            <v>22.170270270270688</v>
          </cell>
          <cell r="G1202">
            <v>13.481081081081161</v>
          </cell>
          <cell r="H1202">
            <v>13.481081081081161</v>
          </cell>
          <cell r="I1202" t="e">
            <v>#N/A</v>
          </cell>
          <cell r="J1202" t="e">
            <v>#N/A</v>
          </cell>
          <cell r="K1202">
            <v>17.5</v>
          </cell>
          <cell r="L1202">
            <v>14</v>
          </cell>
          <cell r="M1202" t="e">
            <v>#N/A</v>
          </cell>
          <cell r="N1202">
            <v>16.5</v>
          </cell>
          <cell r="O1202" t="e">
            <v>#N/A</v>
          </cell>
          <cell r="P1202" t="str">
            <v/>
          </cell>
          <cell r="Q1202" t="str">
            <v/>
          </cell>
          <cell r="R1202">
            <v>16.5</v>
          </cell>
        </row>
        <row r="1203">
          <cell r="A1203" t="str">
            <v/>
          </cell>
          <cell r="B1203" t="str">
            <v/>
          </cell>
          <cell r="C1203" t="str">
            <v>Future</v>
          </cell>
          <cell r="D1203" t="e">
            <v>#N/A</v>
          </cell>
          <cell r="E1203">
            <v>-21.331081081081201</v>
          </cell>
          <cell r="F1203">
            <v>22.182432432432851</v>
          </cell>
          <cell r="G1203">
            <v>13.47972972972981</v>
          </cell>
          <cell r="H1203">
            <v>13.47972972972981</v>
          </cell>
          <cell r="I1203" t="e">
            <v>#N/A</v>
          </cell>
          <cell r="J1203" t="e">
            <v>#N/A</v>
          </cell>
          <cell r="K1203">
            <v>17.5</v>
          </cell>
          <cell r="L1203">
            <v>14</v>
          </cell>
          <cell r="M1203" t="e">
            <v>#N/A</v>
          </cell>
          <cell r="N1203">
            <v>16.5</v>
          </cell>
          <cell r="O1203" t="e">
            <v>#N/A</v>
          </cell>
          <cell r="P1203" t="str">
            <v/>
          </cell>
          <cell r="Q1203" t="str">
            <v/>
          </cell>
          <cell r="R1203">
            <v>16.5</v>
          </cell>
        </row>
        <row r="1204">
          <cell r="A1204" t="str">
            <v/>
          </cell>
          <cell r="B1204" t="str">
            <v/>
          </cell>
          <cell r="C1204" t="str">
            <v>Future</v>
          </cell>
          <cell r="D1204" t="e">
            <v>#N/A</v>
          </cell>
          <cell r="E1204">
            <v>-21.386486486486607</v>
          </cell>
          <cell r="F1204">
            <v>22.194594594595014</v>
          </cell>
          <cell r="G1204">
            <v>13.478378378378459</v>
          </cell>
          <cell r="H1204">
            <v>13.478378378378459</v>
          </cell>
          <cell r="I1204" t="e">
            <v>#N/A</v>
          </cell>
          <cell r="J1204" t="e">
            <v>#N/A</v>
          </cell>
          <cell r="K1204">
            <v>17.5</v>
          </cell>
          <cell r="L1204">
            <v>14</v>
          </cell>
          <cell r="M1204" t="e">
            <v>#N/A</v>
          </cell>
          <cell r="N1204">
            <v>16.5</v>
          </cell>
          <cell r="O1204" t="e">
            <v>#N/A</v>
          </cell>
          <cell r="P1204" t="str">
            <v/>
          </cell>
          <cell r="Q1204" t="str">
            <v/>
          </cell>
          <cell r="R1204">
            <v>16.5</v>
          </cell>
        </row>
        <row r="1205">
          <cell r="A1205" t="str">
            <v/>
          </cell>
          <cell r="B1205" t="str">
            <v/>
          </cell>
          <cell r="C1205" t="str">
            <v>Future</v>
          </cell>
          <cell r="D1205" t="e">
            <v>#N/A</v>
          </cell>
          <cell r="E1205">
            <v>-21.441891891892013</v>
          </cell>
          <cell r="F1205">
            <v>22.206756756757176</v>
          </cell>
          <cell r="G1205">
            <v>13.477027027027107</v>
          </cell>
          <cell r="H1205">
            <v>13.477027027027107</v>
          </cell>
          <cell r="I1205" t="e">
            <v>#N/A</v>
          </cell>
          <cell r="J1205" t="e">
            <v>#N/A</v>
          </cell>
          <cell r="K1205">
            <v>17.5</v>
          </cell>
          <cell r="L1205">
            <v>14</v>
          </cell>
          <cell r="M1205" t="e">
            <v>#N/A</v>
          </cell>
          <cell r="N1205">
            <v>16.5</v>
          </cell>
          <cell r="O1205" t="e">
            <v>#N/A</v>
          </cell>
          <cell r="P1205" t="str">
            <v/>
          </cell>
          <cell r="Q1205" t="str">
            <v/>
          </cell>
          <cell r="R1205">
            <v>16.5</v>
          </cell>
        </row>
        <row r="1206">
          <cell r="A1206" t="str">
            <v/>
          </cell>
          <cell r="B1206" t="str">
            <v/>
          </cell>
          <cell r="C1206" t="str">
            <v>Future</v>
          </cell>
          <cell r="D1206" t="e">
            <v>#N/A</v>
          </cell>
          <cell r="E1206">
            <v>-21.497297297297418</v>
          </cell>
          <cell r="F1206">
            <v>22.218918918919339</v>
          </cell>
          <cell r="G1206">
            <v>13.475675675675756</v>
          </cell>
          <cell r="H1206">
            <v>13.475675675675756</v>
          </cell>
          <cell r="I1206" t="e">
            <v>#N/A</v>
          </cell>
          <cell r="J1206" t="e">
            <v>#N/A</v>
          </cell>
          <cell r="K1206">
            <v>17.5</v>
          </cell>
          <cell r="L1206">
            <v>14</v>
          </cell>
          <cell r="M1206" t="e">
            <v>#N/A</v>
          </cell>
          <cell r="N1206">
            <v>16.5</v>
          </cell>
          <cell r="O1206" t="e">
            <v>#N/A</v>
          </cell>
          <cell r="P1206" t="str">
            <v/>
          </cell>
          <cell r="Q1206" t="str">
            <v/>
          </cell>
          <cell r="R1206">
            <v>16.5</v>
          </cell>
        </row>
        <row r="1207">
          <cell r="A1207" t="str">
            <v/>
          </cell>
          <cell r="B1207" t="str">
            <v/>
          </cell>
          <cell r="C1207" t="str">
            <v>Future</v>
          </cell>
          <cell r="D1207" t="e">
            <v>#N/A</v>
          </cell>
          <cell r="E1207">
            <v>-21.552702702702824</v>
          </cell>
          <cell r="F1207">
            <v>22.231081081081502</v>
          </cell>
          <cell r="G1207">
            <v>13.474324324324405</v>
          </cell>
          <cell r="H1207">
            <v>13.474324324324405</v>
          </cell>
          <cell r="I1207" t="e">
            <v>#N/A</v>
          </cell>
          <cell r="J1207" t="e">
            <v>#N/A</v>
          </cell>
          <cell r="K1207">
            <v>17.5</v>
          </cell>
          <cell r="L1207">
            <v>14</v>
          </cell>
          <cell r="M1207" t="e">
            <v>#N/A</v>
          </cell>
          <cell r="N1207">
            <v>16.5</v>
          </cell>
          <cell r="O1207" t="e">
            <v>#N/A</v>
          </cell>
          <cell r="P1207" t="str">
            <v/>
          </cell>
          <cell r="Q1207" t="str">
            <v/>
          </cell>
          <cell r="R1207">
            <v>16.5</v>
          </cell>
        </row>
        <row r="1208">
          <cell r="A1208" t="str">
            <v/>
          </cell>
          <cell r="B1208" t="str">
            <v/>
          </cell>
          <cell r="C1208" t="str">
            <v>Future</v>
          </cell>
          <cell r="D1208" t="e">
            <v>#N/A</v>
          </cell>
          <cell r="E1208">
            <v>-21.60810810810823</v>
          </cell>
          <cell r="F1208">
            <v>22.243243243243665</v>
          </cell>
          <cell r="G1208">
            <v>13.472972972973054</v>
          </cell>
          <cell r="H1208">
            <v>13.472972972973054</v>
          </cell>
          <cell r="I1208" t="e">
            <v>#N/A</v>
          </cell>
          <cell r="J1208" t="e">
            <v>#N/A</v>
          </cell>
          <cell r="K1208">
            <v>17.5</v>
          </cell>
          <cell r="L1208">
            <v>14</v>
          </cell>
          <cell r="M1208" t="e">
            <v>#N/A</v>
          </cell>
          <cell r="N1208">
            <v>16.5</v>
          </cell>
          <cell r="O1208" t="e">
            <v>#N/A</v>
          </cell>
          <cell r="P1208" t="str">
            <v/>
          </cell>
          <cell r="Q1208" t="str">
            <v/>
          </cell>
          <cell r="R1208">
            <v>16.5</v>
          </cell>
        </row>
        <row r="1209">
          <cell r="A1209" t="str">
            <v/>
          </cell>
          <cell r="B1209" t="str">
            <v/>
          </cell>
          <cell r="C1209" t="str">
            <v>Future</v>
          </cell>
          <cell r="D1209" t="e">
            <v>#N/A</v>
          </cell>
          <cell r="E1209">
            <v>-21.663513513513635</v>
          </cell>
          <cell r="F1209">
            <v>22.255405405405828</v>
          </cell>
          <cell r="G1209">
            <v>13.471621621621702</v>
          </cell>
          <cell r="H1209">
            <v>13.471621621621702</v>
          </cell>
          <cell r="I1209" t="e">
            <v>#N/A</v>
          </cell>
          <cell r="J1209" t="e">
            <v>#N/A</v>
          </cell>
          <cell r="K1209">
            <v>17.5</v>
          </cell>
          <cell r="L1209">
            <v>14</v>
          </cell>
          <cell r="M1209" t="e">
            <v>#N/A</v>
          </cell>
          <cell r="N1209">
            <v>16.5</v>
          </cell>
          <cell r="O1209" t="e">
            <v>#N/A</v>
          </cell>
          <cell r="P1209" t="str">
            <v/>
          </cell>
          <cell r="Q1209" t="str">
            <v/>
          </cell>
          <cell r="R1209">
            <v>16.5</v>
          </cell>
        </row>
        <row r="1210">
          <cell r="A1210" t="str">
            <v/>
          </cell>
          <cell r="B1210" t="str">
            <v/>
          </cell>
          <cell r="C1210" t="str">
            <v>Future</v>
          </cell>
          <cell r="D1210" t="e">
            <v>#N/A</v>
          </cell>
          <cell r="E1210">
            <v>-21.718918918919041</v>
          </cell>
          <cell r="F1210">
            <v>22.26756756756799</v>
          </cell>
          <cell r="G1210">
            <v>13.470270270270351</v>
          </cell>
          <cell r="H1210">
            <v>13.470270270270351</v>
          </cell>
          <cell r="I1210" t="e">
            <v>#N/A</v>
          </cell>
          <cell r="J1210" t="e">
            <v>#N/A</v>
          </cell>
          <cell r="K1210">
            <v>17.5</v>
          </cell>
          <cell r="L1210">
            <v>14</v>
          </cell>
          <cell r="M1210" t="e">
            <v>#N/A</v>
          </cell>
          <cell r="N1210">
            <v>16.5</v>
          </cell>
          <cell r="O1210" t="e">
            <v>#N/A</v>
          </cell>
          <cell r="P1210" t="str">
            <v/>
          </cell>
          <cell r="Q1210" t="str">
            <v/>
          </cell>
          <cell r="R1210">
            <v>16.5</v>
          </cell>
        </row>
        <row r="1211">
          <cell r="A1211" t="str">
            <v/>
          </cell>
          <cell r="B1211" t="str">
            <v/>
          </cell>
          <cell r="C1211" t="str">
            <v>Future</v>
          </cell>
          <cell r="D1211" t="e">
            <v>#N/A</v>
          </cell>
          <cell r="E1211">
            <v>-21.774324324324446</v>
          </cell>
          <cell r="F1211">
            <v>22.279729729730153</v>
          </cell>
          <cell r="G1211">
            <v>13.468918918919</v>
          </cell>
          <cell r="H1211">
            <v>13.468918918919</v>
          </cell>
          <cell r="I1211" t="e">
            <v>#N/A</v>
          </cell>
          <cell r="J1211" t="e">
            <v>#N/A</v>
          </cell>
          <cell r="K1211">
            <v>17.5</v>
          </cell>
          <cell r="L1211">
            <v>14</v>
          </cell>
          <cell r="M1211" t="e">
            <v>#N/A</v>
          </cell>
          <cell r="N1211">
            <v>16.5</v>
          </cell>
          <cell r="O1211" t="e">
            <v>#N/A</v>
          </cell>
          <cell r="P1211" t="str">
            <v/>
          </cell>
          <cell r="Q1211" t="str">
            <v/>
          </cell>
          <cell r="R1211">
            <v>16.5</v>
          </cell>
        </row>
        <row r="1212">
          <cell r="A1212" t="str">
            <v/>
          </cell>
          <cell r="B1212" t="str">
            <v/>
          </cell>
          <cell r="C1212" t="str">
            <v>Future</v>
          </cell>
          <cell r="D1212" t="e">
            <v>#N/A</v>
          </cell>
          <cell r="E1212">
            <v>-21.829729729729852</v>
          </cell>
          <cell r="F1212">
            <v>22.291891891892316</v>
          </cell>
          <cell r="G1212">
            <v>13.467567567567649</v>
          </cell>
          <cell r="H1212">
            <v>13.467567567567649</v>
          </cell>
          <cell r="I1212" t="e">
            <v>#N/A</v>
          </cell>
          <cell r="J1212" t="e">
            <v>#N/A</v>
          </cell>
          <cell r="K1212">
            <v>17.5</v>
          </cell>
          <cell r="L1212">
            <v>14</v>
          </cell>
          <cell r="M1212" t="e">
            <v>#N/A</v>
          </cell>
          <cell r="N1212">
            <v>16.5</v>
          </cell>
          <cell r="O1212" t="e">
            <v>#N/A</v>
          </cell>
          <cell r="P1212" t="str">
            <v/>
          </cell>
          <cell r="Q1212" t="str">
            <v/>
          </cell>
          <cell r="R1212">
            <v>16.5</v>
          </cell>
        </row>
        <row r="1213">
          <cell r="A1213" t="str">
            <v/>
          </cell>
          <cell r="B1213" t="str">
            <v/>
          </cell>
          <cell r="C1213" t="str">
            <v>Future</v>
          </cell>
          <cell r="D1213" t="e">
            <v>#N/A</v>
          </cell>
          <cell r="E1213">
            <v>-21.885135135135258</v>
          </cell>
          <cell r="F1213">
            <v>22.304054054054479</v>
          </cell>
          <cell r="G1213">
            <v>13.466216216216297</v>
          </cell>
          <cell r="H1213">
            <v>13.466216216216297</v>
          </cell>
          <cell r="I1213" t="e">
            <v>#N/A</v>
          </cell>
          <cell r="J1213" t="e">
            <v>#N/A</v>
          </cell>
          <cell r="K1213">
            <v>17.5</v>
          </cell>
          <cell r="L1213">
            <v>14</v>
          </cell>
          <cell r="M1213" t="e">
            <v>#N/A</v>
          </cell>
          <cell r="N1213">
            <v>16.5</v>
          </cell>
          <cell r="O1213" t="e">
            <v>#N/A</v>
          </cell>
          <cell r="P1213" t="str">
            <v/>
          </cell>
          <cell r="Q1213" t="str">
            <v/>
          </cell>
          <cell r="R1213">
            <v>16.5</v>
          </cell>
        </row>
        <row r="1214">
          <cell r="A1214" t="str">
            <v/>
          </cell>
          <cell r="B1214" t="str">
            <v/>
          </cell>
          <cell r="C1214" t="str">
            <v>Future</v>
          </cell>
          <cell r="D1214" t="e">
            <v>#N/A</v>
          </cell>
          <cell r="E1214">
            <v>-21.940540540540663</v>
          </cell>
          <cell r="F1214">
            <v>22.316216216216642</v>
          </cell>
          <cell r="G1214">
            <v>13.464864864864946</v>
          </cell>
          <cell r="H1214">
            <v>13.464864864864946</v>
          </cell>
          <cell r="I1214" t="e">
            <v>#N/A</v>
          </cell>
          <cell r="J1214" t="e">
            <v>#N/A</v>
          </cell>
          <cell r="K1214">
            <v>17.5</v>
          </cell>
          <cell r="L1214">
            <v>14</v>
          </cell>
          <cell r="M1214" t="e">
            <v>#N/A</v>
          </cell>
          <cell r="N1214">
            <v>16.5</v>
          </cell>
          <cell r="O1214" t="e">
            <v>#N/A</v>
          </cell>
          <cell r="P1214" t="str">
            <v/>
          </cell>
          <cell r="Q1214" t="str">
            <v/>
          </cell>
          <cell r="R1214">
            <v>16.5</v>
          </cell>
        </row>
        <row r="1215">
          <cell r="A1215" t="str">
            <v/>
          </cell>
          <cell r="B1215" t="str">
            <v/>
          </cell>
          <cell r="C1215" t="str">
            <v>Future</v>
          </cell>
          <cell r="D1215" t="e">
            <v>#N/A</v>
          </cell>
          <cell r="E1215">
            <v>-21.995945945946069</v>
          </cell>
          <cell r="F1215">
            <v>22.328378378378805</v>
          </cell>
          <cell r="G1215">
            <v>13.463513513513595</v>
          </cell>
          <cell r="H1215">
            <v>13.463513513513595</v>
          </cell>
          <cell r="I1215" t="e">
            <v>#N/A</v>
          </cell>
          <cell r="J1215" t="e">
            <v>#N/A</v>
          </cell>
          <cell r="K1215">
            <v>17.5</v>
          </cell>
          <cell r="L1215">
            <v>14</v>
          </cell>
          <cell r="M1215" t="e">
            <v>#N/A</v>
          </cell>
          <cell r="N1215">
            <v>16.5</v>
          </cell>
          <cell r="O1215" t="e">
            <v>#N/A</v>
          </cell>
          <cell r="P1215" t="str">
            <v/>
          </cell>
          <cell r="Q1215" t="str">
            <v/>
          </cell>
          <cell r="R1215">
            <v>16.5</v>
          </cell>
        </row>
        <row r="1216">
          <cell r="A1216" t="str">
            <v/>
          </cell>
          <cell r="B1216" t="str">
            <v/>
          </cell>
          <cell r="C1216" t="str">
            <v>Future</v>
          </cell>
          <cell r="D1216" t="e">
            <v>#N/A</v>
          </cell>
          <cell r="E1216">
            <v>-22.051351351351475</v>
          </cell>
          <cell r="F1216">
            <v>22.340540540540967</v>
          </cell>
          <cell r="G1216">
            <v>13.462162162162244</v>
          </cell>
          <cell r="H1216">
            <v>13.462162162162244</v>
          </cell>
          <cell r="I1216" t="e">
            <v>#N/A</v>
          </cell>
          <cell r="J1216" t="e">
            <v>#N/A</v>
          </cell>
          <cell r="K1216">
            <v>17.5</v>
          </cell>
          <cell r="L1216">
            <v>14</v>
          </cell>
          <cell r="M1216" t="e">
            <v>#N/A</v>
          </cell>
          <cell r="N1216">
            <v>16.5</v>
          </cell>
          <cell r="O1216" t="e">
            <v>#N/A</v>
          </cell>
          <cell r="P1216" t="str">
            <v/>
          </cell>
          <cell r="Q1216" t="str">
            <v/>
          </cell>
          <cell r="R1216">
            <v>16.5</v>
          </cell>
        </row>
        <row r="1217">
          <cell r="A1217" t="str">
            <v/>
          </cell>
          <cell r="B1217" t="str">
            <v/>
          </cell>
          <cell r="C1217" t="str">
            <v>Future</v>
          </cell>
          <cell r="D1217" t="e">
            <v>#N/A</v>
          </cell>
          <cell r="E1217">
            <v>-22.10675675675688</v>
          </cell>
          <cell r="F1217">
            <v>22.35270270270313</v>
          </cell>
          <cell r="G1217">
            <v>13.460810810810893</v>
          </cell>
          <cell r="H1217">
            <v>13.460810810810893</v>
          </cell>
          <cell r="I1217" t="e">
            <v>#N/A</v>
          </cell>
          <cell r="J1217" t="e">
            <v>#N/A</v>
          </cell>
          <cell r="K1217">
            <v>17.5</v>
          </cell>
          <cell r="L1217">
            <v>14</v>
          </cell>
          <cell r="M1217" t="e">
            <v>#N/A</v>
          </cell>
          <cell r="N1217">
            <v>16.5</v>
          </cell>
          <cell r="O1217" t="e">
            <v>#N/A</v>
          </cell>
          <cell r="P1217" t="str">
            <v/>
          </cell>
          <cell r="Q1217" t="str">
            <v/>
          </cell>
          <cell r="R1217">
            <v>16.5</v>
          </cell>
        </row>
        <row r="1218">
          <cell r="A1218" t="str">
            <v/>
          </cell>
          <cell r="B1218" t="str">
            <v/>
          </cell>
          <cell r="C1218" t="str">
            <v>Future</v>
          </cell>
          <cell r="D1218" t="e">
            <v>#N/A</v>
          </cell>
          <cell r="E1218">
            <v>-22.162162162162286</v>
          </cell>
          <cell r="F1218">
            <v>22.364864864865293</v>
          </cell>
          <cell r="G1218">
            <v>13.459459459459541</v>
          </cell>
          <cell r="H1218">
            <v>13.459459459459541</v>
          </cell>
          <cell r="I1218" t="e">
            <v>#N/A</v>
          </cell>
          <cell r="J1218" t="e">
            <v>#N/A</v>
          </cell>
          <cell r="K1218">
            <v>17.5</v>
          </cell>
          <cell r="L1218">
            <v>14</v>
          </cell>
          <cell r="M1218" t="e">
            <v>#N/A</v>
          </cell>
          <cell r="N1218">
            <v>16.5</v>
          </cell>
          <cell r="O1218" t="e">
            <v>#N/A</v>
          </cell>
          <cell r="P1218" t="str">
            <v/>
          </cell>
          <cell r="Q1218" t="str">
            <v/>
          </cell>
          <cell r="R1218">
            <v>16.5</v>
          </cell>
        </row>
        <row r="1219">
          <cell r="A1219" t="str">
            <v/>
          </cell>
          <cell r="B1219" t="str">
            <v/>
          </cell>
          <cell r="C1219" t="str">
            <v>Future</v>
          </cell>
          <cell r="D1219" t="e">
            <v>#N/A</v>
          </cell>
          <cell r="E1219">
            <v>-22.217567567567691</v>
          </cell>
          <cell r="F1219">
            <v>22.377027027027456</v>
          </cell>
          <cell r="G1219">
            <v>13.45810810810819</v>
          </cell>
          <cell r="H1219">
            <v>13.45810810810819</v>
          </cell>
          <cell r="I1219" t="e">
            <v>#N/A</v>
          </cell>
          <cell r="J1219" t="e">
            <v>#N/A</v>
          </cell>
          <cell r="K1219">
            <v>17.5</v>
          </cell>
          <cell r="L1219">
            <v>14</v>
          </cell>
          <cell r="M1219" t="e">
            <v>#N/A</v>
          </cell>
          <cell r="N1219">
            <v>16.5</v>
          </cell>
          <cell r="O1219" t="e">
            <v>#N/A</v>
          </cell>
          <cell r="P1219" t="str">
            <v/>
          </cell>
          <cell r="Q1219" t="str">
            <v/>
          </cell>
          <cell r="R1219">
            <v>16.5</v>
          </cell>
        </row>
        <row r="1220">
          <cell r="A1220" t="str">
            <v/>
          </cell>
          <cell r="B1220" t="str">
            <v/>
          </cell>
          <cell r="C1220" t="str">
            <v>Future</v>
          </cell>
          <cell r="D1220" t="e">
            <v>#N/A</v>
          </cell>
          <cell r="E1220">
            <v>-22.272972972973097</v>
          </cell>
          <cell r="F1220">
            <v>22.389189189189619</v>
          </cell>
          <cell r="G1220">
            <v>13.456756756756839</v>
          </cell>
          <cell r="H1220">
            <v>13.456756756756839</v>
          </cell>
          <cell r="I1220" t="e">
            <v>#N/A</v>
          </cell>
          <cell r="J1220" t="e">
            <v>#N/A</v>
          </cell>
          <cell r="K1220">
            <v>17.5</v>
          </cell>
          <cell r="L1220">
            <v>14</v>
          </cell>
          <cell r="M1220" t="e">
            <v>#N/A</v>
          </cell>
          <cell r="N1220">
            <v>16.5</v>
          </cell>
          <cell r="O1220" t="e">
            <v>#N/A</v>
          </cell>
          <cell r="P1220" t="str">
            <v/>
          </cell>
          <cell r="Q1220" t="str">
            <v/>
          </cell>
          <cell r="R1220">
            <v>16.5</v>
          </cell>
        </row>
        <row r="1221">
          <cell r="A1221" t="str">
            <v/>
          </cell>
          <cell r="B1221" t="str">
            <v/>
          </cell>
          <cell r="C1221" t="str">
            <v>Future</v>
          </cell>
          <cell r="D1221" t="e">
            <v>#N/A</v>
          </cell>
          <cell r="E1221">
            <v>-22.328378378378503</v>
          </cell>
          <cell r="F1221">
            <v>22.401351351351781</v>
          </cell>
          <cell r="G1221">
            <v>13.455405405405488</v>
          </cell>
          <cell r="H1221">
            <v>13.455405405405488</v>
          </cell>
          <cell r="I1221" t="e">
            <v>#N/A</v>
          </cell>
          <cell r="J1221" t="e">
            <v>#N/A</v>
          </cell>
          <cell r="K1221">
            <v>17.5</v>
          </cell>
          <cell r="L1221">
            <v>14</v>
          </cell>
          <cell r="M1221" t="e">
            <v>#N/A</v>
          </cell>
          <cell r="N1221">
            <v>16.5</v>
          </cell>
          <cell r="O1221" t="e">
            <v>#N/A</v>
          </cell>
          <cell r="P1221" t="str">
            <v/>
          </cell>
          <cell r="Q1221" t="str">
            <v/>
          </cell>
          <cell r="R1221">
            <v>16.5</v>
          </cell>
        </row>
        <row r="1222">
          <cell r="A1222" t="str">
            <v/>
          </cell>
          <cell r="B1222" t="str">
            <v/>
          </cell>
          <cell r="C1222" t="str">
            <v>Future</v>
          </cell>
          <cell r="D1222" t="e">
            <v>#N/A</v>
          </cell>
          <cell r="E1222">
            <v>-22.383783783783908</v>
          </cell>
          <cell r="F1222">
            <v>22.413513513513944</v>
          </cell>
          <cell r="G1222">
            <v>13.454054054054136</v>
          </cell>
          <cell r="H1222">
            <v>13.454054054054136</v>
          </cell>
          <cell r="I1222" t="e">
            <v>#N/A</v>
          </cell>
          <cell r="J1222" t="e">
            <v>#N/A</v>
          </cell>
          <cell r="K1222">
            <v>17.5</v>
          </cell>
          <cell r="L1222">
            <v>14</v>
          </cell>
          <cell r="M1222" t="e">
            <v>#N/A</v>
          </cell>
          <cell r="N1222">
            <v>16.5</v>
          </cell>
          <cell r="O1222" t="e">
            <v>#N/A</v>
          </cell>
          <cell r="P1222" t="str">
            <v/>
          </cell>
          <cell r="Q1222" t="str">
            <v/>
          </cell>
          <cell r="R1222">
            <v>16.5</v>
          </cell>
        </row>
        <row r="1223">
          <cell r="A1223" t="str">
            <v/>
          </cell>
          <cell r="B1223" t="str">
            <v/>
          </cell>
          <cell r="C1223" t="str">
            <v>Future</v>
          </cell>
          <cell r="D1223" t="e">
            <v>#N/A</v>
          </cell>
          <cell r="E1223">
            <v>-22.439189189189314</v>
          </cell>
          <cell r="F1223">
            <v>22.425675675676107</v>
          </cell>
          <cell r="G1223">
            <v>13.452702702702785</v>
          </cell>
          <cell r="H1223">
            <v>13.452702702702785</v>
          </cell>
          <cell r="I1223" t="e">
            <v>#N/A</v>
          </cell>
          <cell r="J1223" t="e">
            <v>#N/A</v>
          </cell>
          <cell r="K1223">
            <v>17.5</v>
          </cell>
          <cell r="L1223">
            <v>14</v>
          </cell>
          <cell r="M1223" t="e">
            <v>#N/A</v>
          </cell>
          <cell r="N1223">
            <v>16.5</v>
          </cell>
          <cell r="O1223" t="e">
            <v>#N/A</v>
          </cell>
          <cell r="P1223" t="str">
            <v/>
          </cell>
          <cell r="Q1223" t="str">
            <v/>
          </cell>
          <cell r="R1223">
            <v>16.5</v>
          </cell>
        </row>
        <row r="1224">
          <cell r="A1224" t="str">
            <v/>
          </cell>
          <cell r="B1224" t="str">
            <v/>
          </cell>
          <cell r="C1224" t="str">
            <v>Future</v>
          </cell>
          <cell r="D1224" t="e">
            <v>#N/A</v>
          </cell>
          <cell r="E1224">
            <v>-22.494594594594719</v>
          </cell>
          <cell r="F1224">
            <v>22.43783783783827</v>
          </cell>
          <cell r="G1224">
            <v>13.451351351351434</v>
          </cell>
          <cell r="H1224">
            <v>13.451351351351434</v>
          </cell>
          <cell r="I1224" t="e">
            <v>#N/A</v>
          </cell>
          <cell r="J1224" t="e">
            <v>#N/A</v>
          </cell>
          <cell r="K1224">
            <v>17.5</v>
          </cell>
          <cell r="L1224">
            <v>14</v>
          </cell>
          <cell r="M1224" t="e">
            <v>#N/A</v>
          </cell>
          <cell r="N1224">
            <v>16.5</v>
          </cell>
          <cell r="O1224" t="e">
            <v>#N/A</v>
          </cell>
          <cell r="P1224" t="str">
            <v/>
          </cell>
          <cell r="Q1224" t="str">
            <v/>
          </cell>
          <cell r="R1224">
            <v>16.5</v>
          </cell>
        </row>
        <row r="1225">
          <cell r="A1225" t="str">
            <v/>
          </cell>
          <cell r="B1225" t="str">
            <v/>
          </cell>
          <cell r="C1225" t="str">
            <v>Future</v>
          </cell>
          <cell r="D1225" t="e">
            <v>#N/A</v>
          </cell>
          <cell r="E1225">
            <v>-22.550000000000125</v>
          </cell>
          <cell r="F1225">
            <v>22.450000000000433</v>
          </cell>
          <cell r="G1225">
            <v>13.450000000000083</v>
          </cell>
          <cell r="H1225">
            <v>13.450000000000083</v>
          </cell>
          <cell r="I1225" t="e">
            <v>#N/A</v>
          </cell>
          <cell r="J1225" t="e">
            <v>#N/A</v>
          </cell>
          <cell r="K1225">
            <v>17.5</v>
          </cell>
          <cell r="L1225">
            <v>14</v>
          </cell>
          <cell r="M1225" t="e">
            <v>#N/A</v>
          </cell>
          <cell r="N1225">
            <v>16.5</v>
          </cell>
          <cell r="O1225" t="e">
            <v>#N/A</v>
          </cell>
          <cell r="P1225" t="str">
            <v/>
          </cell>
          <cell r="Q1225" t="str">
            <v/>
          </cell>
          <cell r="R1225">
            <v>16.5</v>
          </cell>
        </row>
        <row r="1226">
          <cell r="A1226" t="str">
            <v/>
          </cell>
          <cell r="B1226" t="str">
            <v/>
          </cell>
          <cell r="C1226" t="str">
            <v>Future</v>
          </cell>
          <cell r="D1226" t="e">
            <v>#N/A</v>
          </cell>
          <cell r="E1226">
            <v>-22.605405405405531</v>
          </cell>
          <cell r="F1226">
            <v>22.462162162162596</v>
          </cell>
          <cell r="G1226">
            <v>13.448648648648732</v>
          </cell>
          <cell r="H1226">
            <v>13.448648648648732</v>
          </cell>
          <cell r="I1226" t="e">
            <v>#N/A</v>
          </cell>
          <cell r="J1226" t="e">
            <v>#N/A</v>
          </cell>
          <cell r="K1226">
            <v>17.5</v>
          </cell>
          <cell r="L1226">
            <v>14</v>
          </cell>
          <cell r="M1226" t="e">
            <v>#N/A</v>
          </cell>
          <cell r="N1226">
            <v>16.5</v>
          </cell>
          <cell r="O1226" t="e">
            <v>#N/A</v>
          </cell>
          <cell r="P1226" t="str">
            <v/>
          </cell>
          <cell r="Q1226" t="str">
            <v/>
          </cell>
          <cell r="R1226">
            <v>16.5</v>
          </cell>
        </row>
        <row r="1227">
          <cell r="A1227" t="str">
            <v/>
          </cell>
          <cell r="B1227" t="str">
            <v/>
          </cell>
          <cell r="C1227" t="str">
            <v>Future</v>
          </cell>
          <cell r="D1227" t="e">
            <v>#N/A</v>
          </cell>
          <cell r="E1227">
            <v>-22.660810810810936</v>
          </cell>
          <cell r="F1227">
            <v>22.474324324324758</v>
          </cell>
          <cell r="G1227">
            <v>13.44729729729738</v>
          </cell>
          <cell r="H1227">
            <v>13.44729729729738</v>
          </cell>
          <cell r="I1227" t="e">
            <v>#N/A</v>
          </cell>
          <cell r="J1227" t="e">
            <v>#N/A</v>
          </cell>
          <cell r="K1227">
            <v>17.5</v>
          </cell>
          <cell r="L1227">
            <v>14</v>
          </cell>
          <cell r="M1227" t="e">
            <v>#N/A</v>
          </cell>
          <cell r="N1227">
            <v>16.5</v>
          </cell>
          <cell r="O1227" t="e">
            <v>#N/A</v>
          </cell>
          <cell r="P1227" t="str">
            <v/>
          </cell>
          <cell r="Q1227" t="str">
            <v/>
          </cell>
          <cell r="R1227">
            <v>16.5</v>
          </cell>
        </row>
        <row r="1228">
          <cell r="A1228" t="str">
            <v/>
          </cell>
          <cell r="B1228" t="str">
            <v/>
          </cell>
          <cell r="C1228" t="str">
            <v>Future</v>
          </cell>
          <cell r="D1228" t="e">
            <v>#N/A</v>
          </cell>
          <cell r="E1228">
            <v>-22.716216216216342</v>
          </cell>
          <cell r="F1228">
            <v>22.486486486486921</v>
          </cell>
          <cell r="G1228">
            <v>13.445945945946029</v>
          </cell>
          <cell r="H1228">
            <v>13.445945945946029</v>
          </cell>
          <cell r="I1228" t="e">
            <v>#N/A</v>
          </cell>
          <cell r="J1228" t="e">
            <v>#N/A</v>
          </cell>
          <cell r="K1228">
            <v>17.5</v>
          </cell>
          <cell r="L1228">
            <v>14</v>
          </cell>
          <cell r="M1228" t="e">
            <v>#N/A</v>
          </cell>
          <cell r="N1228">
            <v>16.5</v>
          </cell>
          <cell r="O1228" t="e">
            <v>#N/A</v>
          </cell>
          <cell r="P1228" t="str">
            <v/>
          </cell>
          <cell r="Q1228" t="str">
            <v/>
          </cell>
          <cell r="R1228">
            <v>16.5</v>
          </cell>
        </row>
        <row r="1229">
          <cell r="A1229" t="str">
            <v/>
          </cell>
          <cell r="B1229" t="str">
            <v/>
          </cell>
          <cell r="C1229" t="str">
            <v>Future</v>
          </cell>
          <cell r="D1229" t="e">
            <v>#N/A</v>
          </cell>
          <cell r="E1229">
            <v>-22.771621621621748</v>
          </cell>
          <cell r="F1229">
            <v>22.498648648649084</v>
          </cell>
          <cell r="G1229">
            <v>13.444594594594678</v>
          </cell>
          <cell r="H1229">
            <v>13.444594594594678</v>
          </cell>
          <cell r="I1229" t="e">
            <v>#N/A</v>
          </cell>
          <cell r="J1229" t="e">
            <v>#N/A</v>
          </cell>
          <cell r="K1229">
            <v>17.5</v>
          </cell>
          <cell r="L1229">
            <v>14</v>
          </cell>
          <cell r="M1229" t="e">
            <v>#N/A</v>
          </cell>
          <cell r="N1229">
            <v>16.5</v>
          </cell>
          <cell r="O1229" t="e">
            <v>#N/A</v>
          </cell>
          <cell r="P1229" t="str">
            <v/>
          </cell>
          <cell r="Q1229" t="str">
            <v/>
          </cell>
          <cell r="R1229">
            <v>16.5</v>
          </cell>
        </row>
        <row r="1230">
          <cell r="A1230" t="str">
            <v/>
          </cell>
          <cell r="B1230" t="str">
            <v/>
          </cell>
          <cell r="C1230" t="str">
            <v>Future</v>
          </cell>
          <cell r="D1230" t="e">
            <v>#N/A</v>
          </cell>
          <cell r="E1230">
            <v>-22.827027027027153</v>
          </cell>
          <cell r="F1230">
            <v>22.510810810811247</v>
          </cell>
          <cell r="G1230">
            <v>13.443243243243327</v>
          </cell>
          <cell r="H1230">
            <v>13.443243243243327</v>
          </cell>
          <cell r="I1230" t="e">
            <v>#N/A</v>
          </cell>
          <cell r="J1230" t="e">
            <v>#N/A</v>
          </cell>
          <cell r="K1230">
            <v>17.5</v>
          </cell>
          <cell r="L1230">
            <v>14</v>
          </cell>
          <cell r="M1230" t="e">
            <v>#N/A</v>
          </cell>
          <cell r="N1230">
            <v>16.5</v>
          </cell>
          <cell r="O1230" t="e">
            <v>#N/A</v>
          </cell>
          <cell r="P1230" t="str">
            <v/>
          </cell>
          <cell r="Q1230" t="str">
            <v/>
          </cell>
          <cell r="R1230">
            <v>16.5</v>
          </cell>
        </row>
        <row r="1231">
          <cell r="A1231" t="str">
            <v/>
          </cell>
          <cell r="B1231" t="str">
            <v/>
          </cell>
          <cell r="C1231" t="str">
            <v>Future</v>
          </cell>
          <cell r="D1231" t="e">
            <v>#N/A</v>
          </cell>
          <cell r="E1231">
            <v>-22.882432432432559</v>
          </cell>
          <cell r="F1231">
            <v>22.52297297297341</v>
          </cell>
          <cell r="G1231">
            <v>13.441891891891975</v>
          </cell>
          <cell r="H1231">
            <v>13.441891891891975</v>
          </cell>
          <cell r="I1231" t="e">
            <v>#N/A</v>
          </cell>
          <cell r="J1231" t="e">
            <v>#N/A</v>
          </cell>
          <cell r="K1231">
            <v>17.5</v>
          </cell>
          <cell r="L1231">
            <v>14</v>
          </cell>
          <cell r="M1231" t="e">
            <v>#N/A</v>
          </cell>
          <cell r="N1231">
            <v>16.5</v>
          </cell>
          <cell r="O1231" t="e">
            <v>#N/A</v>
          </cell>
          <cell r="P1231" t="str">
            <v/>
          </cell>
          <cell r="Q1231" t="str">
            <v/>
          </cell>
          <cell r="R1231">
            <v>16.5</v>
          </cell>
        </row>
        <row r="1232">
          <cell r="A1232" t="str">
            <v/>
          </cell>
          <cell r="B1232" t="str">
            <v/>
          </cell>
          <cell r="C1232" t="str">
            <v>Future</v>
          </cell>
          <cell r="D1232" t="e">
            <v>#N/A</v>
          </cell>
          <cell r="E1232">
            <v>-22.937837837837964</v>
          </cell>
          <cell r="F1232">
            <v>22.535135135135572</v>
          </cell>
          <cell r="G1232">
            <v>13.440540540540624</v>
          </cell>
          <cell r="H1232">
            <v>13.440540540540624</v>
          </cell>
          <cell r="I1232" t="e">
            <v>#N/A</v>
          </cell>
          <cell r="J1232" t="e">
            <v>#N/A</v>
          </cell>
          <cell r="K1232">
            <v>17.5</v>
          </cell>
          <cell r="L1232">
            <v>14</v>
          </cell>
          <cell r="M1232" t="e">
            <v>#N/A</v>
          </cell>
          <cell r="N1232">
            <v>16.5</v>
          </cell>
          <cell r="O1232" t="e">
            <v>#N/A</v>
          </cell>
          <cell r="P1232" t="str">
            <v/>
          </cell>
          <cell r="Q1232" t="str">
            <v/>
          </cell>
          <cell r="R1232">
            <v>16.5</v>
          </cell>
        </row>
        <row r="1233">
          <cell r="A1233" t="str">
            <v/>
          </cell>
          <cell r="B1233" t="str">
            <v/>
          </cell>
          <cell r="C1233" t="str">
            <v>Future</v>
          </cell>
          <cell r="D1233" t="e">
            <v>#N/A</v>
          </cell>
          <cell r="E1233">
            <v>-22.99324324324337</v>
          </cell>
          <cell r="F1233">
            <v>22.547297297297735</v>
          </cell>
          <cell r="G1233">
            <v>13.439189189189273</v>
          </cell>
          <cell r="H1233">
            <v>13.439189189189273</v>
          </cell>
          <cell r="I1233" t="e">
            <v>#N/A</v>
          </cell>
          <cell r="J1233" t="e">
            <v>#N/A</v>
          </cell>
          <cell r="K1233">
            <v>17.5</v>
          </cell>
          <cell r="L1233">
            <v>14</v>
          </cell>
          <cell r="M1233" t="e">
            <v>#N/A</v>
          </cell>
          <cell r="N1233">
            <v>16.5</v>
          </cell>
          <cell r="O1233" t="e">
            <v>#N/A</v>
          </cell>
          <cell r="P1233" t="str">
            <v/>
          </cell>
          <cell r="Q1233" t="str">
            <v/>
          </cell>
          <cell r="R1233">
            <v>16.5</v>
          </cell>
        </row>
        <row r="1234">
          <cell r="A1234" t="str">
            <v/>
          </cell>
          <cell r="B1234" t="str">
            <v/>
          </cell>
          <cell r="C1234" t="str">
            <v>Future</v>
          </cell>
          <cell r="D1234" t="e">
            <v>#N/A</v>
          </cell>
          <cell r="E1234">
            <v>-23.048648648648776</v>
          </cell>
          <cell r="F1234">
            <v>22.559459459459898</v>
          </cell>
          <cell r="G1234">
            <v>13.437837837837922</v>
          </cell>
          <cell r="H1234">
            <v>13.437837837837922</v>
          </cell>
          <cell r="I1234" t="e">
            <v>#N/A</v>
          </cell>
          <cell r="J1234" t="e">
            <v>#N/A</v>
          </cell>
          <cell r="K1234">
            <v>17.5</v>
          </cell>
          <cell r="L1234">
            <v>14</v>
          </cell>
          <cell r="M1234" t="e">
            <v>#N/A</v>
          </cell>
          <cell r="N1234">
            <v>16.5</v>
          </cell>
          <cell r="O1234" t="e">
            <v>#N/A</v>
          </cell>
          <cell r="P1234" t="str">
            <v/>
          </cell>
          <cell r="Q1234" t="str">
            <v/>
          </cell>
          <cell r="R1234">
            <v>16.5</v>
          </cell>
        </row>
        <row r="1235">
          <cell r="A1235" t="str">
            <v/>
          </cell>
          <cell r="B1235" t="str">
            <v/>
          </cell>
          <cell r="C1235" t="str">
            <v>Future</v>
          </cell>
          <cell r="D1235" t="e">
            <v>#N/A</v>
          </cell>
          <cell r="E1235">
            <v>-23.104054054054181</v>
          </cell>
          <cell r="F1235">
            <v>22.571621621622061</v>
          </cell>
          <cell r="G1235">
            <v>13.436486486486571</v>
          </cell>
          <cell r="H1235">
            <v>13.436486486486571</v>
          </cell>
          <cell r="I1235" t="e">
            <v>#N/A</v>
          </cell>
          <cell r="J1235" t="e">
            <v>#N/A</v>
          </cell>
          <cell r="K1235">
            <v>17.5</v>
          </cell>
          <cell r="L1235">
            <v>14</v>
          </cell>
          <cell r="M1235" t="e">
            <v>#N/A</v>
          </cell>
          <cell r="N1235">
            <v>16.5</v>
          </cell>
          <cell r="O1235" t="e">
            <v>#N/A</v>
          </cell>
          <cell r="P1235" t="str">
            <v/>
          </cell>
          <cell r="Q1235" t="str">
            <v/>
          </cell>
          <cell r="R1235">
            <v>16.5</v>
          </cell>
        </row>
        <row r="1236">
          <cell r="A1236" t="str">
            <v/>
          </cell>
          <cell r="B1236" t="str">
            <v/>
          </cell>
          <cell r="C1236" t="str">
            <v>Future</v>
          </cell>
          <cell r="D1236" t="e">
            <v>#N/A</v>
          </cell>
          <cell r="E1236">
            <v>-23.159459459459587</v>
          </cell>
          <cell r="F1236">
            <v>22.583783783784224</v>
          </cell>
          <cell r="G1236">
            <v>13.435135135135219</v>
          </cell>
          <cell r="H1236">
            <v>13.435135135135219</v>
          </cell>
          <cell r="I1236" t="e">
            <v>#N/A</v>
          </cell>
          <cell r="J1236" t="e">
            <v>#N/A</v>
          </cell>
          <cell r="K1236">
            <v>17.5</v>
          </cell>
          <cell r="L1236">
            <v>14</v>
          </cell>
          <cell r="M1236" t="e">
            <v>#N/A</v>
          </cell>
          <cell r="N1236">
            <v>16.5</v>
          </cell>
          <cell r="O1236" t="e">
            <v>#N/A</v>
          </cell>
          <cell r="P1236" t="str">
            <v/>
          </cell>
          <cell r="Q1236" t="str">
            <v/>
          </cell>
          <cell r="R1236">
            <v>16.5</v>
          </cell>
        </row>
        <row r="1237">
          <cell r="A1237" t="str">
            <v/>
          </cell>
          <cell r="B1237" t="str">
            <v/>
          </cell>
          <cell r="C1237" t="str">
            <v>Future</v>
          </cell>
          <cell r="D1237" t="e">
            <v>#N/A</v>
          </cell>
          <cell r="E1237">
            <v>-23.214864864864992</v>
          </cell>
          <cell r="F1237">
            <v>22.595945945946387</v>
          </cell>
          <cell r="G1237">
            <v>13.433783783783868</v>
          </cell>
          <cell r="H1237">
            <v>13.433783783783868</v>
          </cell>
          <cell r="I1237" t="e">
            <v>#N/A</v>
          </cell>
          <cell r="J1237" t="e">
            <v>#N/A</v>
          </cell>
          <cell r="K1237">
            <v>17.5</v>
          </cell>
          <cell r="L1237">
            <v>14</v>
          </cell>
          <cell r="M1237" t="e">
            <v>#N/A</v>
          </cell>
          <cell r="N1237">
            <v>16.5</v>
          </cell>
          <cell r="O1237" t="e">
            <v>#N/A</v>
          </cell>
          <cell r="P1237" t="str">
            <v/>
          </cell>
          <cell r="Q1237" t="str">
            <v/>
          </cell>
          <cell r="R1237">
            <v>16.5</v>
          </cell>
        </row>
        <row r="1238">
          <cell r="A1238" t="str">
            <v/>
          </cell>
          <cell r="B1238" t="str">
            <v/>
          </cell>
          <cell r="C1238" t="str">
            <v>Future</v>
          </cell>
          <cell r="D1238" t="e">
            <v>#N/A</v>
          </cell>
          <cell r="E1238">
            <v>-23.270270270270398</v>
          </cell>
          <cell r="F1238">
            <v>22.608108108108549</v>
          </cell>
          <cell r="G1238">
            <v>13.432432432432517</v>
          </cell>
          <cell r="H1238">
            <v>13.432432432432517</v>
          </cell>
          <cell r="I1238" t="e">
            <v>#N/A</v>
          </cell>
          <cell r="J1238" t="e">
            <v>#N/A</v>
          </cell>
          <cell r="K1238">
            <v>17.5</v>
          </cell>
          <cell r="L1238">
            <v>14</v>
          </cell>
          <cell r="M1238" t="e">
            <v>#N/A</v>
          </cell>
          <cell r="N1238">
            <v>16.5</v>
          </cell>
          <cell r="O1238" t="e">
            <v>#N/A</v>
          </cell>
          <cell r="P1238" t="str">
            <v/>
          </cell>
          <cell r="Q1238" t="str">
            <v/>
          </cell>
          <cell r="R1238">
            <v>16.5</v>
          </cell>
        </row>
        <row r="1239">
          <cell r="A1239" t="str">
            <v/>
          </cell>
          <cell r="B1239" t="str">
            <v/>
          </cell>
          <cell r="C1239" t="str">
            <v>Future</v>
          </cell>
          <cell r="D1239" t="e">
            <v>#N/A</v>
          </cell>
          <cell r="E1239">
            <v>-23.325675675675804</v>
          </cell>
          <cell r="F1239">
            <v>22.620270270270712</v>
          </cell>
          <cell r="G1239">
            <v>13.431081081081166</v>
          </cell>
          <cell r="H1239">
            <v>13.431081081081166</v>
          </cell>
          <cell r="I1239" t="e">
            <v>#N/A</v>
          </cell>
          <cell r="J1239" t="e">
            <v>#N/A</v>
          </cell>
          <cell r="K1239">
            <v>17.5</v>
          </cell>
          <cell r="L1239">
            <v>14</v>
          </cell>
          <cell r="M1239" t="e">
            <v>#N/A</v>
          </cell>
          <cell r="N1239">
            <v>16.5</v>
          </cell>
          <cell r="O1239" t="e">
            <v>#N/A</v>
          </cell>
          <cell r="P1239" t="str">
            <v/>
          </cell>
          <cell r="Q1239" t="str">
            <v/>
          </cell>
          <cell r="R1239">
            <v>16.5</v>
          </cell>
        </row>
        <row r="1240">
          <cell r="A1240" t="str">
            <v/>
          </cell>
          <cell r="B1240" t="str">
            <v/>
          </cell>
          <cell r="C1240" t="str">
            <v>Future</v>
          </cell>
          <cell r="D1240" t="e">
            <v>#N/A</v>
          </cell>
          <cell r="E1240">
            <v>-23.381081081081209</v>
          </cell>
          <cell r="F1240">
            <v>22.632432432432875</v>
          </cell>
          <cell r="G1240">
            <v>13.429729729729814</v>
          </cell>
          <cell r="H1240">
            <v>13.429729729729814</v>
          </cell>
          <cell r="I1240" t="e">
            <v>#N/A</v>
          </cell>
          <cell r="J1240" t="e">
            <v>#N/A</v>
          </cell>
          <cell r="K1240">
            <v>17.5</v>
          </cell>
          <cell r="L1240">
            <v>14</v>
          </cell>
          <cell r="M1240" t="e">
            <v>#N/A</v>
          </cell>
          <cell r="N1240">
            <v>16.5</v>
          </cell>
          <cell r="O1240" t="e">
            <v>#N/A</v>
          </cell>
          <cell r="P1240" t="str">
            <v/>
          </cell>
          <cell r="Q1240" t="str">
            <v/>
          </cell>
          <cell r="R1240">
            <v>16.5</v>
          </cell>
        </row>
        <row r="1241">
          <cell r="A1241" t="str">
            <v/>
          </cell>
          <cell r="B1241" t="str">
            <v/>
          </cell>
          <cell r="C1241" t="str">
            <v>Future</v>
          </cell>
          <cell r="D1241" t="e">
            <v>#N/A</v>
          </cell>
          <cell r="E1241">
            <v>-23.436486486486615</v>
          </cell>
          <cell r="F1241">
            <v>22.644594594595038</v>
          </cell>
          <cell r="G1241">
            <v>13.428378378378463</v>
          </cell>
          <cell r="H1241">
            <v>13.428378378378463</v>
          </cell>
          <cell r="I1241" t="e">
            <v>#N/A</v>
          </cell>
          <cell r="J1241" t="e">
            <v>#N/A</v>
          </cell>
          <cell r="K1241">
            <v>17.5</v>
          </cell>
          <cell r="L1241">
            <v>14</v>
          </cell>
          <cell r="M1241" t="e">
            <v>#N/A</v>
          </cell>
          <cell r="N1241">
            <v>16.5</v>
          </cell>
          <cell r="O1241" t="e">
            <v>#N/A</v>
          </cell>
          <cell r="P1241" t="str">
            <v/>
          </cell>
          <cell r="Q1241" t="str">
            <v/>
          </cell>
          <cell r="R1241">
            <v>16.5</v>
          </cell>
        </row>
        <row r="1242">
          <cell r="A1242" t="str">
            <v/>
          </cell>
          <cell r="B1242" t="str">
            <v/>
          </cell>
          <cell r="C1242" t="str">
            <v>Future</v>
          </cell>
          <cell r="D1242" t="e">
            <v>#N/A</v>
          </cell>
          <cell r="E1242">
            <v>-23.491891891892021</v>
          </cell>
          <cell r="F1242">
            <v>22.656756756757201</v>
          </cell>
          <cell r="G1242">
            <v>13.427027027027112</v>
          </cell>
          <cell r="H1242">
            <v>13.427027027027112</v>
          </cell>
          <cell r="I1242" t="e">
            <v>#N/A</v>
          </cell>
          <cell r="J1242" t="e">
            <v>#N/A</v>
          </cell>
          <cell r="K1242">
            <v>17.5</v>
          </cell>
          <cell r="L1242">
            <v>14</v>
          </cell>
          <cell r="M1242" t="e">
            <v>#N/A</v>
          </cell>
          <cell r="N1242">
            <v>16.5</v>
          </cell>
          <cell r="O1242" t="e">
            <v>#N/A</v>
          </cell>
          <cell r="P1242" t="str">
            <v/>
          </cell>
          <cell r="Q1242" t="str">
            <v/>
          </cell>
          <cell r="R1242">
            <v>16.5</v>
          </cell>
        </row>
        <row r="1243">
          <cell r="A1243" t="str">
            <v/>
          </cell>
          <cell r="B1243" t="str">
            <v/>
          </cell>
          <cell r="C1243" t="str">
            <v>Future</v>
          </cell>
          <cell r="D1243" t="e">
            <v>#N/A</v>
          </cell>
          <cell r="E1243">
            <v>-23.547297297297426</v>
          </cell>
          <cell r="F1243">
            <v>22.668918918919363</v>
          </cell>
          <cell r="G1243">
            <v>13.425675675675761</v>
          </cell>
          <cell r="H1243">
            <v>13.425675675675761</v>
          </cell>
          <cell r="I1243" t="e">
            <v>#N/A</v>
          </cell>
          <cell r="J1243" t="e">
            <v>#N/A</v>
          </cell>
          <cell r="K1243">
            <v>17.5</v>
          </cell>
          <cell r="L1243">
            <v>14</v>
          </cell>
          <cell r="M1243" t="e">
            <v>#N/A</v>
          </cell>
          <cell r="N1243">
            <v>16.5</v>
          </cell>
          <cell r="O1243" t="e">
            <v>#N/A</v>
          </cell>
          <cell r="P1243" t="str">
            <v/>
          </cell>
          <cell r="Q1243" t="str">
            <v/>
          </cell>
          <cell r="R1243">
            <v>16.5</v>
          </cell>
        </row>
        <row r="1244">
          <cell r="A1244" t="str">
            <v/>
          </cell>
          <cell r="B1244" t="str">
            <v/>
          </cell>
          <cell r="C1244" t="str">
            <v>Future</v>
          </cell>
          <cell r="D1244" t="e">
            <v>#N/A</v>
          </cell>
          <cell r="E1244">
            <v>-23.602702702702832</v>
          </cell>
          <cell r="F1244">
            <v>22.681081081081526</v>
          </cell>
          <cell r="G1244">
            <v>13.424324324324409</v>
          </cell>
          <cell r="H1244">
            <v>13.424324324324409</v>
          </cell>
          <cell r="I1244" t="e">
            <v>#N/A</v>
          </cell>
          <cell r="J1244" t="e">
            <v>#N/A</v>
          </cell>
          <cell r="K1244">
            <v>17.5</v>
          </cell>
          <cell r="L1244">
            <v>14</v>
          </cell>
          <cell r="M1244" t="e">
            <v>#N/A</v>
          </cell>
          <cell r="N1244">
            <v>16.5</v>
          </cell>
          <cell r="O1244" t="e">
            <v>#N/A</v>
          </cell>
          <cell r="P1244" t="str">
            <v/>
          </cell>
          <cell r="Q1244" t="str">
            <v/>
          </cell>
          <cell r="R1244">
            <v>16.5</v>
          </cell>
        </row>
        <row r="1245">
          <cell r="A1245" t="str">
            <v/>
          </cell>
          <cell r="B1245" t="str">
            <v/>
          </cell>
          <cell r="C1245" t="str">
            <v>Future</v>
          </cell>
          <cell r="D1245" t="e">
            <v>#N/A</v>
          </cell>
          <cell r="E1245">
            <v>-23.658108108108237</v>
          </cell>
          <cell r="F1245">
            <v>22.693243243243689</v>
          </cell>
          <cell r="G1245">
            <v>13.422972972973058</v>
          </cell>
          <cell r="H1245">
            <v>13.422972972973058</v>
          </cell>
          <cell r="I1245" t="e">
            <v>#N/A</v>
          </cell>
          <cell r="J1245" t="e">
            <v>#N/A</v>
          </cell>
          <cell r="K1245">
            <v>17.5</v>
          </cell>
          <cell r="L1245">
            <v>14</v>
          </cell>
          <cell r="M1245" t="e">
            <v>#N/A</v>
          </cell>
          <cell r="N1245">
            <v>16.5</v>
          </cell>
          <cell r="O1245" t="e">
            <v>#N/A</v>
          </cell>
          <cell r="P1245" t="str">
            <v/>
          </cell>
          <cell r="Q1245" t="str">
            <v/>
          </cell>
          <cell r="R1245">
            <v>16.5</v>
          </cell>
        </row>
        <row r="1246">
          <cell r="A1246" t="str">
            <v/>
          </cell>
          <cell r="B1246" t="str">
            <v/>
          </cell>
          <cell r="C1246" t="str">
            <v>Future</v>
          </cell>
          <cell r="D1246" t="e">
            <v>#N/A</v>
          </cell>
          <cell r="E1246">
            <v>-23.713513513513643</v>
          </cell>
          <cell r="F1246">
            <v>22.705405405405852</v>
          </cell>
          <cell r="G1246">
            <v>13.421621621621707</v>
          </cell>
          <cell r="H1246">
            <v>13.421621621621707</v>
          </cell>
          <cell r="I1246" t="e">
            <v>#N/A</v>
          </cell>
          <cell r="J1246" t="e">
            <v>#N/A</v>
          </cell>
          <cell r="K1246">
            <v>17.5</v>
          </cell>
          <cell r="L1246">
            <v>14</v>
          </cell>
          <cell r="M1246" t="e">
            <v>#N/A</v>
          </cell>
          <cell r="N1246">
            <v>16.5</v>
          </cell>
          <cell r="O1246" t="e">
            <v>#N/A</v>
          </cell>
          <cell r="P1246" t="str">
            <v/>
          </cell>
          <cell r="Q1246" t="str">
            <v/>
          </cell>
          <cell r="R1246">
            <v>16.5</v>
          </cell>
        </row>
        <row r="1247">
          <cell r="A1247" t="str">
            <v/>
          </cell>
          <cell r="B1247" t="str">
            <v/>
          </cell>
          <cell r="C1247" t="str">
            <v>Future</v>
          </cell>
          <cell r="D1247" t="e">
            <v>#N/A</v>
          </cell>
          <cell r="E1247">
            <v>-23.768918918919049</v>
          </cell>
          <cell r="F1247">
            <v>22.717567567568015</v>
          </cell>
          <cell r="G1247">
            <v>13.420270270270356</v>
          </cell>
          <cell r="H1247">
            <v>13.420270270270356</v>
          </cell>
          <cell r="I1247" t="e">
            <v>#N/A</v>
          </cell>
          <cell r="J1247" t="e">
            <v>#N/A</v>
          </cell>
          <cell r="K1247">
            <v>17.5</v>
          </cell>
          <cell r="L1247">
            <v>14</v>
          </cell>
          <cell r="M1247" t="e">
            <v>#N/A</v>
          </cell>
          <cell r="N1247">
            <v>16.5</v>
          </cell>
          <cell r="O1247" t="e">
            <v>#N/A</v>
          </cell>
          <cell r="P1247" t="str">
            <v/>
          </cell>
          <cell r="Q1247" t="str">
            <v/>
          </cell>
          <cell r="R1247">
            <v>16.5</v>
          </cell>
        </row>
        <row r="1248">
          <cell r="A1248" t="str">
            <v/>
          </cell>
          <cell r="B1248" t="str">
            <v/>
          </cell>
          <cell r="C1248" t="str">
            <v>Future</v>
          </cell>
          <cell r="D1248" t="e">
            <v>#N/A</v>
          </cell>
          <cell r="E1248">
            <v>-23.824324324324454</v>
          </cell>
          <cell r="F1248">
            <v>22.729729729730177</v>
          </cell>
          <cell r="G1248">
            <v>13.418918918919005</v>
          </cell>
          <cell r="H1248">
            <v>13.418918918919005</v>
          </cell>
          <cell r="I1248" t="e">
            <v>#N/A</v>
          </cell>
          <cell r="J1248" t="e">
            <v>#N/A</v>
          </cell>
          <cell r="K1248">
            <v>17.5</v>
          </cell>
          <cell r="L1248">
            <v>14</v>
          </cell>
          <cell r="M1248" t="e">
            <v>#N/A</v>
          </cell>
          <cell r="N1248">
            <v>16.5</v>
          </cell>
          <cell r="O1248" t="e">
            <v>#N/A</v>
          </cell>
          <cell r="P1248" t="str">
            <v/>
          </cell>
          <cell r="Q1248" t="str">
            <v/>
          </cell>
          <cell r="R1248">
            <v>16.5</v>
          </cell>
        </row>
        <row r="1249">
          <cell r="A1249" t="str">
            <v/>
          </cell>
          <cell r="B1249" t="str">
            <v/>
          </cell>
          <cell r="C1249" t="str">
            <v>Future</v>
          </cell>
          <cell r="D1249" t="e">
            <v>#N/A</v>
          </cell>
          <cell r="E1249">
            <v>-23.87972972972986</v>
          </cell>
          <cell r="F1249">
            <v>22.74189189189234</v>
          </cell>
          <cell r="G1249">
            <v>13.417567567567653</v>
          </cell>
          <cell r="H1249">
            <v>13.417567567567653</v>
          </cell>
          <cell r="I1249" t="e">
            <v>#N/A</v>
          </cell>
          <cell r="J1249" t="e">
            <v>#N/A</v>
          </cell>
          <cell r="K1249">
            <v>17.5</v>
          </cell>
          <cell r="L1249">
            <v>14</v>
          </cell>
          <cell r="M1249" t="e">
            <v>#N/A</v>
          </cell>
          <cell r="N1249">
            <v>16.5</v>
          </cell>
          <cell r="O1249" t="e">
            <v>#N/A</v>
          </cell>
          <cell r="P1249" t="str">
            <v/>
          </cell>
          <cell r="Q1249" t="str">
            <v/>
          </cell>
          <cell r="R1249">
            <v>16.5</v>
          </cell>
        </row>
        <row r="1250">
          <cell r="A1250" t="str">
            <v/>
          </cell>
          <cell r="B1250" t="str">
            <v/>
          </cell>
          <cell r="C1250" t="str">
            <v>Future</v>
          </cell>
          <cell r="D1250" t="e">
            <v>#N/A</v>
          </cell>
          <cell r="E1250">
            <v>-23.935135135135265</v>
          </cell>
          <cell r="F1250">
            <v>22.754054054054503</v>
          </cell>
          <cell r="G1250">
            <v>13.416216216216302</v>
          </cell>
          <cell r="H1250">
            <v>13.416216216216302</v>
          </cell>
          <cell r="I1250" t="e">
            <v>#N/A</v>
          </cell>
          <cell r="J1250" t="e">
            <v>#N/A</v>
          </cell>
          <cell r="K1250">
            <v>17.5</v>
          </cell>
          <cell r="L1250">
            <v>14</v>
          </cell>
          <cell r="M1250" t="e">
            <v>#N/A</v>
          </cell>
          <cell r="N1250">
            <v>16.5</v>
          </cell>
          <cell r="O1250" t="e">
            <v>#N/A</v>
          </cell>
          <cell r="P1250" t="str">
            <v/>
          </cell>
          <cell r="Q1250" t="str">
            <v/>
          </cell>
          <cell r="R1250">
            <v>16.5</v>
          </cell>
        </row>
        <row r="1251">
          <cell r="A1251" t="str">
            <v/>
          </cell>
          <cell r="B1251" t="str">
            <v/>
          </cell>
          <cell r="C1251" t="str">
            <v>Future</v>
          </cell>
          <cell r="D1251" t="e">
            <v>#N/A</v>
          </cell>
          <cell r="E1251">
            <v>-23.990540540540671</v>
          </cell>
          <cell r="F1251">
            <v>22.766216216216666</v>
          </cell>
          <cell r="G1251">
            <v>13.414864864864951</v>
          </cell>
          <cell r="H1251">
            <v>13.414864864864951</v>
          </cell>
          <cell r="I1251" t="e">
            <v>#N/A</v>
          </cell>
          <cell r="J1251" t="e">
            <v>#N/A</v>
          </cell>
          <cell r="K1251">
            <v>17.5</v>
          </cell>
          <cell r="L1251">
            <v>14</v>
          </cell>
          <cell r="M1251" t="e">
            <v>#N/A</v>
          </cell>
          <cell r="N1251">
            <v>16.5</v>
          </cell>
          <cell r="O1251" t="e">
            <v>#N/A</v>
          </cell>
          <cell r="P1251" t="str">
            <v/>
          </cell>
          <cell r="Q1251" t="str">
            <v/>
          </cell>
          <cell r="R1251">
            <v>16.5</v>
          </cell>
        </row>
        <row r="1252">
          <cell r="A1252" t="str">
            <v/>
          </cell>
          <cell r="B1252" t="str">
            <v/>
          </cell>
          <cell r="C1252" t="str">
            <v>Future</v>
          </cell>
          <cell r="D1252" t="e">
            <v>#N/A</v>
          </cell>
          <cell r="E1252">
            <v>-24.045945945946077</v>
          </cell>
          <cell r="F1252">
            <v>22.778378378378829</v>
          </cell>
          <cell r="G1252">
            <v>13.4135135135136</v>
          </cell>
          <cell r="H1252">
            <v>13.4135135135136</v>
          </cell>
          <cell r="I1252" t="e">
            <v>#N/A</v>
          </cell>
          <cell r="J1252" t="e">
            <v>#N/A</v>
          </cell>
          <cell r="K1252">
            <v>17.5</v>
          </cell>
          <cell r="L1252">
            <v>14</v>
          </cell>
          <cell r="M1252" t="e">
            <v>#N/A</v>
          </cell>
          <cell r="N1252">
            <v>16.5</v>
          </cell>
          <cell r="O1252" t="e">
            <v>#N/A</v>
          </cell>
          <cell r="P1252" t="str">
            <v/>
          </cell>
          <cell r="Q1252" t="str">
            <v/>
          </cell>
          <cell r="R1252">
            <v>16.5</v>
          </cell>
        </row>
        <row r="1253">
          <cell r="A1253" t="str">
            <v/>
          </cell>
          <cell r="P1253" t="str">
            <v/>
          </cell>
          <cell r="Q1253" t="str">
            <v/>
          </cell>
        </row>
      </sheetData>
      <sheetData sheetId="11" refreshError="1"/>
      <sheetData sheetId="12" refreshError="1"/>
      <sheetData sheetId="13" refreshError="1">
        <row r="1">
          <cell r="N1" t="str">
            <v>SmartCharts</v>
          </cell>
          <cell r="AW1" t="str">
            <v>.</v>
          </cell>
        </row>
        <row r="2">
          <cell r="AW2" t="str">
            <v>.</v>
          </cell>
        </row>
        <row r="3">
          <cell r="AW3" t="str">
            <v>.</v>
          </cell>
        </row>
        <row r="4">
          <cell r="AW4" t="str">
            <v>.</v>
          </cell>
        </row>
        <row r="5">
          <cell r="C5" t="str">
            <v>Define value axis here:</v>
          </cell>
        </row>
        <row r="6">
          <cell r="C6" t="str">
            <v>Capex ($mil)</v>
          </cell>
        </row>
        <row r="10">
          <cell r="C10" t="str">
            <v>Input your data here:</v>
          </cell>
          <cell r="AW10" t="str">
            <v>.</v>
          </cell>
        </row>
        <row r="11">
          <cell r="C11">
            <v>2009</v>
          </cell>
          <cell r="D11">
            <v>800.62199999999996</v>
          </cell>
        </row>
        <row r="12">
          <cell r="C12">
            <v>2010</v>
          </cell>
          <cell r="D12">
            <v>568.05700000000002</v>
          </cell>
          <cell r="AW12" t="str">
            <v>.</v>
          </cell>
        </row>
        <row r="13">
          <cell r="C13" t="str">
            <v>2011e</v>
          </cell>
          <cell r="D13">
            <v>488.18299999999999</v>
          </cell>
          <cell r="AW13" t="str">
            <v>.</v>
          </cell>
        </row>
        <row r="14">
          <cell r="C14" t="str">
            <v>2012e</v>
          </cell>
          <cell r="D14">
            <v>473.17525000000001</v>
          </cell>
          <cell r="AW14" t="str">
            <v>.</v>
          </cell>
        </row>
        <row r="15">
          <cell r="C15" t="str">
            <v>2013e</v>
          </cell>
          <cell r="D15">
            <v>411.15758333333338</v>
          </cell>
          <cell r="AW15" t="str">
            <v>.</v>
          </cell>
        </row>
        <row r="16">
          <cell r="C16" t="str">
            <v>2014e</v>
          </cell>
          <cell r="D16">
            <v>411.15758333333338</v>
          </cell>
          <cell r="AW16" t="str">
            <v>.</v>
          </cell>
        </row>
        <row r="17">
          <cell r="C17" t="str">
            <v>2015e</v>
          </cell>
          <cell r="D17">
            <v>411.15758333333338</v>
          </cell>
          <cell r="AW17" t="str">
            <v>.</v>
          </cell>
        </row>
        <row r="18">
          <cell r="AW18" t="str">
            <v>.</v>
          </cell>
        </row>
        <row r="19">
          <cell r="AW19" t="str">
            <v>.</v>
          </cell>
        </row>
        <row r="20">
          <cell r="AW20" t="str">
            <v>.</v>
          </cell>
        </row>
        <row r="21">
          <cell r="AW21" t="str">
            <v>.</v>
          </cell>
        </row>
        <row r="22">
          <cell r="AW22" t="str">
            <v>.</v>
          </cell>
        </row>
        <row r="23">
          <cell r="AW23" t="str">
            <v>.</v>
          </cell>
        </row>
        <row r="24">
          <cell r="AW24" t="str">
            <v>.</v>
          </cell>
        </row>
        <row r="25">
          <cell r="AW25" t="str">
            <v>.</v>
          </cell>
        </row>
        <row r="26">
          <cell r="AW26" t="str">
            <v>.</v>
          </cell>
        </row>
        <row r="27">
          <cell r="AW27" t="str">
            <v>.</v>
          </cell>
        </row>
        <row r="28">
          <cell r="AW28" t="str">
            <v>.</v>
          </cell>
        </row>
        <row r="29">
          <cell r="AW29" t="str">
            <v>.</v>
          </cell>
        </row>
        <row r="30">
          <cell r="AW30" t="str">
            <v>.</v>
          </cell>
        </row>
        <row r="31">
          <cell r="AW31" t="str">
            <v>.</v>
          </cell>
        </row>
        <row r="32">
          <cell r="AW32" t="str">
            <v>.</v>
          </cell>
        </row>
        <row r="33">
          <cell r="AW33" t="str">
            <v>.</v>
          </cell>
        </row>
        <row r="34">
          <cell r="AW34" t="str">
            <v>.</v>
          </cell>
        </row>
        <row r="35">
          <cell r="AW35" t="str">
            <v>.</v>
          </cell>
        </row>
        <row r="36">
          <cell r="AW36" t="str">
            <v>.</v>
          </cell>
        </row>
        <row r="37">
          <cell r="AW37" t="str">
            <v>.</v>
          </cell>
        </row>
        <row r="38">
          <cell r="AW38" t="str">
            <v>.</v>
          </cell>
        </row>
        <row r="39">
          <cell r="AW39" t="str">
            <v>.</v>
          </cell>
        </row>
        <row r="40">
          <cell r="AW40" t="str">
            <v>.</v>
          </cell>
        </row>
        <row r="41">
          <cell r="AW41" t="str">
            <v>.</v>
          </cell>
        </row>
        <row r="42">
          <cell r="AW42" t="str">
            <v>.</v>
          </cell>
        </row>
        <row r="43">
          <cell r="AW43" t="str">
            <v>.</v>
          </cell>
        </row>
        <row r="44">
          <cell r="AW44" t="str">
            <v>.</v>
          </cell>
        </row>
        <row r="45">
          <cell r="AW45" t="str">
            <v>.</v>
          </cell>
        </row>
        <row r="46">
          <cell r="AW46" t="str">
            <v>.</v>
          </cell>
        </row>
        <row r="47">
          <cell r="AW47" t="str">
            <v>.</v>
          </cell>
        </row>
        <row r="48">
          <cell r="AW48" t="str">
            <v>.</v>
          </cell>
        </row>
        <row r="49">
          <cell r="AW49" t="str">
            <v>.</v>
          </cell>
        </row>
        <row r="50">
          <cell r="AW50" t="str">
            <v>.</v>
          </cell>
        </row>
        <row r="51">
          <cell r="AW51" t="str">
            <v>.</v>
          </cell>
        </row>
        <row r="52">
          <cell r="AW52" t="str">
            <v>.</v>
          </cell>
        </row>
        <row r="53">
          <cell r="AW53" t="str">
            <v>.</v>
          </cell>
        </row>
        <row r="54">
          <cell r="AW54" t="str">
            <v>.</v>
          </cell>
        </row>
        <row r="55">
          <cell r="AW55" t="str">
            <v>.</v>
          </cell>
        </row>
        <row r="56">
          <cell r="AW56" t="str">
            <v>.</v>
          </cell>
        </row>
        <row r="57">
          <cell r="AW57" t="str">
            <v>.</v>
          </cell>
        </row>
        <row r="58">
          <cell r="AW58" t="str">
            <v>.</v>
          </cell>
        </row>
        <row r="59">
          <cell r="AW59" t="str">
            <v>.</v>
          </cell>
        </row>
        <row r="60">
          <cell r="AW60" t="str">
            <v>.</v>
          </cell>
        </row>
        <row r="61">
          <cell r="AW61" t="str">
            <v>.</v>
          </cell>
        </row>
        <row r="62">
          <cell r="AW62" t="str">
            <v>.</v>
          </cell>
        </row>
        <row r="63">
          <cell r="AW63" t="str">
            <v>.</v>
          </cell>
        </row>
        <row r="64">
          <cell r="AW64" t="str">
            <v>.</v>
          </cell>
        </row>
        <row r="65">
          <cell r="AW65" t="str">
            <v>.</v>
          </cell>
        </row>
        <row r="66">
          <cell r="AW66" t="str">
            <v>.</v>
          </cell>
        </row>
        <row r="67">
          <cell r="AW67" t="str">
            <v>.</v>
          </cell>
        </row>
        <row r="68">
          <cell r="AW68" t="str">
            <v>.</v>
          </cell>
        </row>
        <row r="69">
          <cell r="AW69" t="str">
            <v>.</v>
          </cell>
        </row>
        <row r="70">
          <cell r="AW70" t="str">
            <v>.</v>
          </cell>
        </row>
        <row r="71">
          <cell r="AW71" t="str">
            <v>.</v>
          </cell>
        </row>
        <row r="72">
          <cell r="AW72" t="str">
            <v>.</v>
          </cell>
        </row>
        <row r="73">
          <cell r="AW73" t="str">
            <v>.</v>
          </cell>
        </row>
        <row r="74">
          <cell r="AW74" t="str">
            <v>.</v>
          </cell>
        </row>
        <row r="75">
          <cell r="AW75" t="str">
            <v>.</v>
          </cell>
        </row>
        <row r="76">
          <cell r="AW76" t="str">
            <v>.</v>
          </cell>
        </row>
        <row r="77">
          <cell r="AW77" t="str">
            <v>.</v>
          </cell>
        </row>
        <row r="78">
          <cell r="AW78" t="str">
            <v>.</v>
          </cell>
        </row>
        <row r="79">
          <cell r="AW79" t="str">
            <v>.</v>
          </cell>
        </row>
        <row r="80">
          <cell r="AW80" t="str">
            <v>.</v>
          </cell>
        </row>
        <row r="81">
          <cell r="AW81" t="str">
            <v>.</v>
          </cell>
        </row>
        <row r="82">
          <cell r="AW82" t="str">
            <v>.</v>
          </cell>
        </row>
        <row r="83">
          <cell r="AW83" t="str">
            <v>.</v>
          </cell>
        </row>
        <row r="84">
          <cell r="AW84" t="str">
            <v>.</v>
          </cell>
        </row>
        <row r="85">
          <cell r="AW85" t="str">
            <v>.</v>
          </cell>
        </row>
        <row r="86">
          <cell r="AW86" t="str">
            <v>.</v>
          </cell>
        </row>
        <row r="87">
          <cell r="AW87" t="str">
            <v>.</v>
          </cell>
        </row>
        <row r="88">
          <cell r="AW88" t="str">
            <v>.</v>
          </cell>
        </row>
        <row r="89">
          <cell r="AW89" t="str">
            <v>.</v>
          </cell>
        </row>
        <row r="90">
          <cell r="AW90" t="str">
            <v>.</v>
          </cell>
        </row>
        <row r="91">
          <cell r="AW91" t="str">
            <v>.</v>
          </cell>
        </row>
        <row r="92">
          <cell r="AW92" t="str">
            <v>.</v>
          </cell>
        </row>
        <row r="93">
          <cell r="AW93" t="str">
            <v>.</v>
          </cell>
        </row>
        <row r="94">
          <cell r="AW94" t="str">
            <v>.</v>
          </cell>
        </row>
        <row r="95">
          <cell r="AW95" t="str">
            <v>.</v>
          </cell>
        </row>
        <row r="96">
          <cell r="AW96" t="str">
            <v>.</v>
          </cell>
        </row>
        <row r="97">
          <cell r="AW97" t="str">
            <v>.</v>
          </cell>
        </row>
        <row r="98">
          <cell r="AW98" t="str">
            <v>.</v>
          </cell>
        </row>
        <row r="99">
          <cell r="AW99" t="str">
            <v>.</v>
          </cell>
        </row>
        <row r="100">
          <cell r="AW100" t="str">
            <v>.</v>
          </cell>
        </row>
        <row r="101">
          <cell r="AW101" t="str">
            <v>.</v>
          </cell>
        </row>
        <row r="102">
          <cell r="AW102" t="str">
            <v>.</v>
          </cell>
        </row>
        <row r="103">
          <cell r="AW103" t="str">
            <v>.</v>
          </cell>
        </row>
        <row r="104">
          <cell r="AW104" t="str">
            <v>.</v>
          </cell>
        </row>
        <row r="105">
          <cell r="AW105" t="str">
            <v>.</v>
          </cell>
        </row>
        <row r="106">
          <cell r="AW106" t="str">
            <v>.</v>
          </cell>
        </row>
        <row r="107">
          <cell r="AW107" t="str">
            <v>.</v>
          </cell>
        </row>
        <row r="108">
          <cell r="AW108" t="str">
            <v>.</v>
          </cell>
        </row>
        <row r="109">
          <cell r="AW109" t="str">
            <v>.</v>
          </cell>
        </row>
        <row r="110">
          <cell r="AW110" t="str">
            <v>.</v>
          </cell>
        </row>
        <row r="111">
          <cell r="AW111" t="str">
            <v>.</v>
          </cell>
        </row>
        <row r="112">
          <cell r="AW112" t="str">
            <v>.</v>
          </cell>
        </row>
        <row r="113">
          <cell r="AW113" t="str">
            <v>.</v>
          </cell>
        </row>
        <row r="114">
          <cell r="AW114" t="str">
            <v>.</v>
          </cell>
        </row>
        <row r="115">
          <cell r="AW115" t="str">
            <v>.</v>
          </cell>
        </row>
        <row r="116">
          <cell r="AW116" t="str">
            <v>.</v>
          </cell>
        </row>
        <row r="117">
          <cell r="AW117" t="str">
            <v>.</v>
          </cell>
        </row>
        <row r="118">
          <cell r="AW118" t="str">
            <v>.</v>
          </cell>
        </row>
        <row r="119">
          <cell r="AW119" t="str">
            <v>.</v>
          </cell>
        </row>
        <row r="120">
          <cell r="AW120" t="str">
            <v>.</v>
          </cell>
        </row>
        <row r="121">
          <cell r="AW121" t="str">
            <v>.</v>
          </cell>
        </row>
        <row r="122">
          <cell r="AW122" t="str">
            <v>.</v>
          </cell>
        </row>
        <row r="123">
          <cell r="AW123" t="str">
            <v>.</v>
          </cell>
        </row>
        <row r="124">
          <cell r="AW124" t="str">
            <v>.</v>
          </cell>
        </row>
        <row r="125">
          <cell r="AW125" t="str">
            <v>.</v>
          </cell>
        </row>
        <row r="126">
          <cell r="AW126" t="str">
            <v>.</v>
          </cell>
        </row>
        <row r="127">
          <cell r="AW127" t="str">
            <v>.</v>
          </cell>
        </row>
        <row r="128">
          <cell r="AW128" t="str">
            <v>.</v>
          </cell>
        </row>
        <row r="129">
          <cell r="AW129" t="str">
            <v>.</v>
          </cell>
        </row>
        <row r="130">
          <cell r="AW130" t="str">
            <v>.</v>
          </cell>
        </row>
        <row r="131">
          <cell r="AW131" t="str">
            <v>.</v>
          </cell>
        </row>
        <row r="132">
          <cell r="AW132" t="str">
            <v>.</v>
          </cell>
        </row>
        <row r="133">
          <cell r="AW133" t="str">
            <v>.</v>
          </cell>
        </row>
        <row r="134">
          <cell r="AW134" t="str">
            <v>.</v>
          </cell>
        </row>
        <row r="135">
          <cell r="AW135" t="str">
            <v>.</v>
          </cell>
        </row>
        <row r="136">
          <cell r="AW136" t="str">
            <v>.</v>
          </cell>
        </row>
        <row r="137">
          <cell r="AW137" t="str">
            <v>.</v>
          </cell>
        </row>
        <row r="138">
          <cell r="AW138" t="str">
            <v>.</v>
          </cell>
        </row>
        <row r="139">
          <cell r="AW139" t="str">
            <v>.</v>
          </cell>
        </row>
        <row r="140">
          <cell r="AW140" t="str">
            <v>.</v>
          </cell>
        </row>
        <row r="141">
          <cell r="AW141" t="str">
            <v>.</v>
          </cell>
        </row>
        <row r="142">
          <cell r="AW142" t="str">
            <v>.</v>
          </cell>
        </row>
        <row r="143">
          <cell r="AW143" t="str">
            <v>.</v>
          </cell>
        </row>
        <row r="144">
          <cell r="AW144" t="str">
            <v>.</v>
          </cell>
        </row>
        <row r="145">
          <cell r="AW145" t="str">
            <v>.</v>
          </cell>
        </row>
        <row r="146">
          <cell r="AW146" t="str">
            <v>.</v>
          </cell>
        </row>
        <row r="147">
          <cell r="AW147" t="str">
            <v>.</v>
          </cell>
        </row>
        <row r="148">
          <cell r="AW148" t="str">
            <v>.</v>
          </cell>
        </row>
        <row r="149">
          <cell r="AW149" t="str">
            <v>.</v>
          </cell>
        </row>
        <row r="150">
          <cell r="AW150" t="str">
            <v>.</v>
          </cell>
        </row>
        <row r="151">
          <cell r="AW151" t="str">
            <v>.</v>
          </cell>
        </row>
        <row r="152">
          <cell r="AW152" t="str">
            <v>.</v>
          </cell>
        </row>
        <row r="153">
          <cell r="AW153" t="str">
            <v>.</v>
          </cell>
        </row>
        <row r="154">
          <cell r="AW154" t="str">
            <v>.</v>
          </cell>
        </row>
        <row r="155">
          <cell r="AW155" t="str">
            <v>.</v>
          </cell>
        </row>
        <row r="156">
          <cell r="AW156" t="str">
            <v>.</v>
          </cell>
        </row>
        <row r="157">
          <cell r="AW157" t="str">
            <v>.</v>
          </cell>
        </row>
        <row r="158">
          <cell r="AW158" t="str">
            <v>.</v>
          </cell>
        </row>
        <row r="159">
          <cell r="AW159" t="str">
            <v>.</v>
          </cell>
        </row>
        <row r="160">
          <cell r="AW160" t="str">
            <v>.</v>
          </cell>
        </row>
        <row r="161">
          <cell r="AW161" t="str">
            <v>.</v>
          </cell>
        </row>
        <row r="162">
          <cell r="AW162" t="str">
            <v>.</v>
          </cell>
        </row>
        <row r="163">
          <cell r="AW163" t="str">
            <v>.</v>
          </cell>
        </row>
        <row r="164">
          <cell r="AW164" t="str">
            <v>.</v>
          </cell>
        </row>
        <row r="165">
          <cell r="AW165" t="str">
            <v>.</v>
          </cell>
        </row>
        <row r="166">
          <cell r="AW166" t="str">
            <v>.</v>
          </cell>
        </row>
        <row r="167">
          <cell r="AW167" t="str">
            <v>.</v>
          </cell>
        </row>
        <row r="168">
          <cell r="AW168" t="str">
            <v>.</v>
          </cell>
        </row>
        <row r="169">
          <cell r="AW169" t="str">
            <v>.</v>
          </cell>
        </row>
        <row r="170">
          <cell r="AW170" t="str">
            <v>.</v>
          </cell>
        </row>
        <row r="171">
          <cell r="AW171" t="str">
            <v>.</v>
          </cell>
        </row>
        <row r="172">
          <cell r="AW172" t="str">
            <v>.</v>
          </cell>
        </row>
        <row r="173">
          <cell r="AW173" t="str">
            <v>.</v>
          </cell>
        </row>
        <row r="174">
          <cell r="AW174" t="str">
            <v>.</v>
          </cell>
        </row>
        <row r="175">
          <cell r="AW175" t="str">
            <v>.</v>
          </cell>
        </row>
        <row r="176">
          <cell r="AW176" t="str">
            <v>.</v>
          </cell>
        </row>
        <row r="177">
          <cell r="AW177" t="str">
            <v>.</v>
          </cell>
        </row>
        <row r="178">
          <cell r="AW178" t="str">
            <v>.</v>
          </cell>
        </row>
        <row r="179">
          <cell r="AW179" t="str">
            <v>.</v>
          </cell>
        </row>
        <row r="180">
          <cell r="AW180" t="str">
            <v>.</v>
          </cell>
        </row>
        <row r="181">
          <cell r="AW181" t="str">
            <v>.</v>
          </cell>
        </row>
        <row r="182">
          <cell r="AW182" t="str">
            <v>.</v>
          </cell>
        </row>
        <row r="183">
          <cell r="AW183" t="str">
            <v>.</v>
          </cell>
        </row>
        <row r="184">
          <cell r="AW184" t="str">
            <v>.</v>
          </cell>
        </row>
        <row r="185">
          <cell r="AW185" t="str">
            <v>.</v>
          </cell>
        </row>
        <row r="186">
          <cell r="AW186" t="str">
            <v>.</v>
          </cell>
        </row>
        <row r="187">
          <cell r="AW187" t="str">
            <v>.</v>
          </cell>
        </row>
        <row r="188">
          <cell r="AW188" t="str">
            <v>.</v>
          </cell>
        </row>
        <row r="189">
          <cell r="AW189" t="str">
            <v>.</v>
          </cell>
        </row>
        <row r="190">
          <cell r="AW190" t="str">
            <v>.</v>
          </cell>
        </row>
        <row r="191">
          <cell r="AW191" t="str">
            <v>.</v>
          </cell>
        </row>
        <row r="192">
          <cell r="AW192" t="str">
            <v>.</v>
          </cell>
        </row>
        <row r="193">
          <cell r="AW193" t="str">
            <v>.</v>
          </cell>
        </row>
        <row r="194">
          <cell r="AW194" t="str">
            <v>.</v>
          </cell>
        </row>
        <row r="195">
          <cell r="AW195" t="str">
            <v>.</v>
          </cell>
        </row>
        <row r="196">
          <cell r="AW196" t="str">
            <v>.</v>
          </cell>
        </row>
        <row r="197">
          <cell r="AW197" t="str">
            <v>.</v>
          </cell>
        </row>
        <row r="198">
          <cell r="AW198" t="str">
            <v>.</v>
          </cell>
        </row>
        <row r="199">
          <cell r="AW199" t="str">
            <v>.</v>
          </cell>
        </row>
        <row r="200">
          <cell r="AW200" t="str">
            <v>.</v>
          </cell>
        </row>
        <row r="201">
          <cell r="AW201" t="str">
            <v>.</v>
          </cell>
        </row>
        <row r="202">
          <cell r="AW202" t="str">
            <v>.</v>
          </cell>
        </row>
        <row r="203">
          <cell r="AW203" t="str">
            <v>.</v>
          </cell>
        </row>
        <row r="204">
          <cell r="AW204" t="str">
            <v>.</v>
          </cell>
        </row>
        <row r="205">
          <cell r="AW205" t="str">
            <v>.</v>
          </cell>
        </row>
        <row r="206">
          <cell r="AW206" t="str">
            <v>.</v>
          </cell>
        </row>
        <row r="207">
          <cell r="AW207" t="str">
            <v>.</v>
          </cell>
        </row>
        <row r="208">
          <cell r="AW208" t="str">
            <v>.</v>
          </cell>
        </row>
        <row r="209">
          <cell r="AW209" t="str">
            <v>.</v>
          </cell>
        </row>
        <row r="210">
          <cell r="AW210" t="str">
            <v>.</v>
          </cell>
        </row>
        <row r="211">
          <cell r="AW211" t="str">
            <v>.</v>
          </cell>
        </row>
        <row r="212">
          <cell r="AW212" t="str">
            <v>.</v>
          </cell>
        </row>
        <row r="213">
          <cell r="AW213" t="str">
            <v>.</v>
          </cell>
        </row>
        <row r="214">
          <cell r="AW214" t="str">
            <v>.</v>
          </cell>
        </row>
        <row r="215">
          <cell r="AW215" t="str">
            <v>.</v>
          </cell>
        </row>
        <row r="216">
          <cell r="AW216" t="str">
            <v>.</v>
          </cell>
        </row>
        <row r="217">
          <cell r="AW217" t="str">
            <v>.</v>
          </cell>
        </row>
        <row r="218">
          <cell r="AW218" t="str">
            <v>.</v>
          </cell>
        </row>
        <row r="219">
          <cell r="AW219" t="str">
            <v>.</v>
          </cell>
        </row>
        <row r="220">
          <cell r="AW220" t="str">
            <v>.</v>
          </cell>
        </row>
        <row r="221">
          <cell r="AW221" t="str">
            <v>.</v>
          </cell>
        </row>
        <row r="222">
          <cell r="AW222" t="str">
            <v>.</v>
          </cell>
        </row>
        <row r="223">
          <cell r="AW223" t="str">
            <v>.</v>
          </cell>
        </row>
        <row r="224">
          <cell r="AW224" t="str">
            <v>.</v>
          </cell>
        </row>
        <row r="225">
          <cell r="AW225" t="str">
            <v>.</v>
          </cell>
        </row>
        <row r="226">
          <cell r="AW226" t="str">
            <v>.</v>
          </cell>
        </row>
        <row r="227">
          <cell r="AW227" t="str">
            <v>.</v>
          </cell>
        </row>
        <row r="228">
          <cell r="AW228" t="str">
            <v>.</v>
          </cell>
        </row>
        <row r="229">
          <cell r="AW229" t="str">
            <v>.</v>
          </cell>
        </row>
        <row r="230">
          <cell r="AW230" t="str">
            <v>.</v>
          </cell>
        </row>
        <row r="231">
          <cell r="AW231" t="str">
            <v>.</v>
          </cell>
        </row>
        <row r="232">
          <cell r="AW232" t="str">
            <v>.</v>
          </cell>
        </row>
        <row r="233">
          <cell r="AW233" t="str">
            <v>.</v>
          </cell>
        </row>
        <row r="234">
          <cell r="AW234" t="str">
            <v>.</v>
          </cell>
        </row>
        <row r="235">
          <cell r="AW235" t="str">
            <v>.</v>
          </cell>
        </row>
        <row r="236">
          <cell r="AW236" t="str">
            <v>.</v>
          </cell>
        </row>
        <row r="237">
          <cell r="AW237" t="str">
            <v>.</v>
          </cell>
        </row>
        <row r="238">
          <cell r="AW238" t="str">
            <v>.</v>
          </cell>
        </row>
        <row r="239">
          <cell r="AW239" t="str">
            <v>.</v>
          </cell>
        </row>
        <row r="240">
          <cell r="AW240" t="str">
            <v>.</v>
          </cell>
        </row>
        <row r="241">
          <cell r="AW241" t="str">
            <v>.</v>
          </cell>
        </row>
        <row r="242">
          <cell r="AW242" t="str">
            <v>.</v>
          </cell>
        </row>
        <row r="243">
          <cell r="AW243" t="str">
            <v>.</v>
          </cell>
        </row>
        <row r="244">
          <cell r="AW244" t="str">
            <v>.</v>
          </cell>
        </row>
        <row r="245">
          <cell r="AW245" t="str">
            <v>.</v>
          </cell>
        </row>
        <row r="246">
          <cell r="AW246" t="str">
            <v>.</v>
          </cell>
        </row>
        <row r="247">
          <cell r="AW247" t="str">
            <v>.</v>
          </cell>
        </row>
        <row r="248">
          <cell r="AW248" t="str">
            <v>.</v>
          </cell>
        </row>
        <row r="249">
          <cell r="AW249" t="str">
            <v>.</v>
          </cell>
        </row>
        <row r="250">
          <cell r="AW250" t="str">
            <v>.</v>
          </cell>
        </row>
        <row r="251">
          <cell r="AW251" t="str">
            <v>.</v>
          </cell>
        </row>
        <row r="252">
          <cell r="AW252" t="str">
            <v>.</v>
          </cell>
        </row>
        <row r="253">
          <cell r="AW253" t="str">
            <v>.</v>
          </cell>
        </row>
        <row r="254">
          <cell r="AW254" t="str">
            <v>.</v>
          </cell>
        </row>
        <row r="255">
          <cell r="AW255" t="str">
            <v>.</v>
          </cell>
        </row>
        <row r="256">
          <cell r="AW256" t="str">
            <v>.</v>
          </cell>
        </row>
        <row r="257">
          <cell r="AW257" t="str">
            <v>.</v>
          </cell>
        </row>
        <row r="258">
          <cell r="AW258" t="str">
            <v>.</v>
          </cell>
        </row>
        <row r="259">
          <cell r="AW259" t="str">
            <v>.</v>
          </cell>
        </row>
        <row r="260">
          <cell r="AW260" t="str">
            <v>.</v>
          </cell>
        </row>
        <row r="261">
          <cell r="AW261" t="str">
            <v>.</v>
          </cell>
        </row>
        <row r="262">
          <cell r="AW262" t="str">
            <v>.</v>
          </cell>
        </row>
        <row r="263">
          <cell r="AW263" t="str">
            <v>.</v>
          </cell>
        </row>
        <row r="264">
          <cell r="AW264" t="str">
            <v>.</v>
          </cell>
        </row>
        <row r="265">
          <cell r="AW265" t="str">
            <v>.</v>
          </cell>
        </row>
        <row r="266">
          <cell r="AW266" t="str">
            <v>.</v>
          </cell>
        </row>
        <row r="267">
          <cell r="AW267" t="str">
            <v>.</v>
          </cell>
        </row>
        <row r="268">
          <cell r="AW268" t="str">
            <v>.</v>
          </cell>
        </row>
        <row r="269">
          <cell r="AW269" t="str">
            <v>.</v>
          </cell>
        </row>
        <row r="270">
          <cell r="AW270" t="str">
            <v>.</v>
          </cell>
        </row>
        <row r="271">
          <cell r="AW271" t="str">
            <v>.</v>
          </cell>
        </row>
        <row r="272">
          <cell r="AW272" t="str">
            <v>.</v>
          </cell>
        </row>
        <row r="273">
          <cell r="AW273" t="str">
            <v>.</v>
          </cell>
        </row>
        <row r="274">
          <cell r="AW274" t="str">
            <v>.</v>
          </cell>
        </row>
        <row r="275">
          <cell r="AW275" t="str">
            <v>.</v>
          </cell>
        </row>
        <row r="276">
          <cell r="AW276" t="str">
            <v>.</v>
          </cell>
        </row>
        <row r="277">
          <cell r="AW277" t="str">
            <v>.</v>
          </cell>
        </row>
        <row r="278">
          <cell r="AW278" t="str">
            <v>.</v>
          </cell>
        </row>
        <row r="279">
          <cell r="AW279" t="str">
            <v>.</v>
          </cell>
        </row>
        <row r="280">
          <cell r="AW280" t="str">
            <v>.</v>
          </cell>
        </row>
        <row r="281">
          <cell r="AW281" t="str">
            <v>.</v>
          </cell>
        </row>
        <row r="282">
          <cell r="AW282" t="str">
            <v>.</v>
          </cell>
        </row>
        <row r="283">
          <cell r="AW283" t="str">
            <v>.</v>
          </cell>
        </row>
        <row r="284">
          <cell r="AW284" t="str">
            <v>.</v>
          </cell>
        </row>
        <row r="285">
          <cell r="AW285" t="str">
            <v>.</v>
          </cell>
        </row>
        <row r="286">
          <cell r="AW286" t="str">
            <v>.</v>
          </cell>
        </row>
        <row r="287">
          <cell r="AW287" t="str">
            <v>.</v>
          </cell>
        </row>
        <row r="288">
          <cell r="AW288" t="str">
            <v>.</v>
          </cell>
        </row>
        <row r="289">
          <cell r="AW289" t="str">
            <v>.</v>
          </cell>
        </row>
        <row r="290">
          <cell r="AW290" t="str">
            <v>.</v>
          </cell>
        </row>
        <row r="291">
          <cell r="AW291" t="str">
            <v>.</v>
          </cell>
        </row>
        <row r="292">
          <cell r="AW292" t="str">
            <v>.</v>
          </cell>
        </row>
        <row r="293">
          <cell r="AW293" t="str">
            <v>.</v>
          </cell>
        </row>
        <row r="294">
          <cell r="AW294" t="str">
            <v>.</v>
          </cell>
        </row>
        <row r="295">
          <cell r="AW295" t="str">
            <v>.</v>
          </cell>
        </row>
        <row r="296">
          <cell r="AW296" t="str">
            <v>.</v>
          </cell>
        </row>
        <row r="297">
          <cell r="AW297" t="str">
            <v>.</v>
          </cell>
        </row>
        <row r="298">
          <cell r="AW298" t="str">
            <v>.</v>
          </cell>
        </row>
        <row r="299">
          <cell r="AW299" t="str">
            <v>.</v>
          </cell>
        </row>
        <row r="300">
          <cell r="AW300" t="str">
            <v>.</v>
          </cell>
        </row>
        <row r="301">
          <cell r="AW301" t="str">
            <v>.</v>
          </cell>
        </row>
        <row r="302">
          <cell r="AW302" t="str">
            <v>.</v>
          </cell>
        </row>
        <row r="303">
          <cell r="AW303" t="str">
            <v>.</v>
          </cell>
        </row>
        <row r="304">
          <cell r="AW304" t="str">
            <v>.</v>
          </cell>
        </row>
        <row r="305">
          <cell r="AW305" t="str">
            <v>.</v>
          </cell>
        </row>
        <row r="306">
          <cell r="AW306" t="str">
            <v>.</v>
          </cell>
        </row>
        <row r="307">
          <cell r="AW307" t="str">
            <v>.</v>
          </cell>
        </row>
        <row r="308">
          <cell r="AW308" t="str">
            <v>.</v>
          </cell>
        </row>
        <row r="309">
          <cell r="AW309" t="str">
            <v>.</v>
          </cell>
        </row>
        <row r="310">
          <cell r="AW310" t="str">
            <v>.</v>
          </cell>
        </row>
        <row r="311">
          <cell r="AW311" t="str">
            <v>.</v>
          </cell>
        </row>
        <row r="312">
          <cell r="AW312" t="str">
            <v>.</v>
          </cell>
        </row>
        <row r="313">
          <cell r="AW313" t="str">
            <v>.</v>
          </cell>
        </row>
        <row r="314">
          <cell r="AW314" t="str">
            <v>.</v>
          </cell>
        </row>
        <row r="315">
          <cell r="AW315" t="str">
            <v>.</v>
          </cell>
        </row>
        <row r="316">
          <cell r="AW316" t="str">
            <v>.</v>
          </cell>
        </row>
        <row r="317">
          <cell r="AW317" t="str">
            <v>.</v>
          </cell>
        </row>
        <row r="318">
          <cell r="AW318" t="str">
            <v>.</v>
          </cell>
        </row>
        <row r="319">
          <cell r="AW319" t="str">
            <v>.</v>
          </cell>
        </row>
        <row r="320">
          <cell r="AW320" t="str">
            <v>.</v>
          </cell>
        </row>
        <row r="321">
          <cell r="AW321" t="str">
            <v>.</v>
          </cell>
        </row>
        <row r="322">
          <cell r="AW322" t="str">
            <v>.</v>
          </cell>
        </row>
        <row r="323">
          <cell r="AW323" t="str">
            <v>.</v>
          </cell>
        </row>
        <row r="324">
          <cell r="AW324" t="str">
            <v>.</v>
          </cell>
        </row>
        <row r="325">
          <cell r="AW325" t="str">
            <v>.</v>
          </cell>
        </row>
        <row r="326">
          <cell r="AW326" t="str">
            <v>.</v>
          </cell>
        </row>
        <row r="327">
          <cell r="AW327" t="str">
            <v>.</v>
          </cell>
        </row>
        <row r="328">
          <cell r="AW328" t="str">
            <v>.</v>
          </cell>
        </row>
        <row r="329">
          <cell r="AW329" t="str">
            <v>.</v>
          </cell>
        </row>
        <row r="330">
          <cell r="AW330" t="str">
            <v>.</v>
          </cell>
        </row>
        <row r="331">
          <cell r="AW331" t="str">
            <v>.</v>
          </cell>
        </row>
        <row r="332">
          <cell r="AW332" t="str">
            <v>.</v>
          </cell>
        </row>
        <row r="333">
          <cell r="AW333" t="str">
            <v>.</v>
          </cell>
        </row>
        <row r="334">
          <cell r="AW334" t="str">
            <v>.</v>
          </cell>
        </row>
        <row r="335">
          <cell r="AW335" t="str">
            <v>.</v>
          </cell>
        </row>
        <row r="336">
          <cell r="AW336" t="str">
            <v>.</v>
          </cell>
        </row>
        <row r="337">
          <cell r="AW337" t="str">
            <v>.</v>
          </cell>
        </row>
        <row r="338">
          <cell r="AW338" t="str">
            <v>.</v>
          </cell>
        </row>
        <row r="339">
          <cell r="AW339" t="str">
            <v>.</v>
          </cell>
        </row>
        <row r="340">
          <cell r="AW340" t="str">
            <v>.</v>
          </cell>
        </row>
        <row r="341">
          <cell r="AW341" t="str">
            <v>.</v>
          </cell>
        </row>
        <row r="342">
          <cell r="AW342" t="str">
            <v>.</v>
          </cell>
        </row>
        <row r="343">
          <cell r="AW343" t="str">
            <v>.</v>
          </cell>
        </row>
        <row r="344">
          <cell r="AW344" t="str">
            <v>.</v>
          </cell>
        </row>
        <row r="345">
          <cell r="AW345" t="str">
            <v>.</v>
          </cell>
        </row>
        <row r="346">
          <cell r="AW346" t="str">
            <v>.</v>
          </cell>
        </row>
        <row r="347">
          <cell r="AW347" t="str">
            <v>.</v>
          </cell>
        </row>
        <row r="348">
          <cell r="AW348" t="str">
            <v>.</v>
          </cell>
        </row>
        <row r="349">
          <cell r="AW349" t="str">
            <v>.</v>
          </cell>
        </row>
        <row r="350">
          <cell r="AW350" t="str">
            <v>.</v>
          </cell>
        </row>
        <row r="351">
          <cell r="AW351" t="str">
            <v>.</v>
          </cell>
        </row>
        <row r="352">
          <cell r="AW352" t="str">
            <v>.</v>
          </cell>
        </row>
        <row r="353">
          <cell r="AW353" t="str">
            <v>.</v>
          </cell>
        </row>
        <row r="354">
          <cell r="AW354" t="str">
            <v>.</v>
          </cell>
        </row>
        <row r="355">
          <cell r="AW355" t="str">
            <v>.</v>
          </cell>
        </row>
        <row r="356">
          <cell r="AW356" t="str">
            <v>.</v>
          </cell>
        </row>
        <row r="357">
          <cell r="AW357" t="str">
            <v>.</v>
          </cell>
        </row>
        <row r="358">
          <cell r="AW358" t="str">
            <v>.</v>
          </cell>
        </row>
        <row r="359">
          <cell r="AW359" t="str">
            <v>.</v>
          </cell>
        </row>
        <row r="360">
          <cell r="AW360" t="str">
            <v>.</v>
          </cell>
        </row>
        <row r="361">
          <cell r="AW361" t="str">
            <v>.</v>
          </cell>
        </row>
        <row r="362">
          <cell r="AW362" t="str">
            <v>.</v>
          </cell>
        </row>
        <row r="363">
          <cell r="AW363" t="str">
            <v>.</v>
          </cell>
        </row>
        <row r="364">
          <cell r="AW364" t="str">
            <v>.</v>
          </cell>
        </row>
        <row r="365">
          <cell r="AW365" t="str">
            <v>.</v>
          </cell>
        </row>
        <row r="366">
          <cell r="AW366" t="str">
            <v>.</v>
          </cell>
        </row>
        <row r="367">
          <cell r="AW367" t="str">
            <v>.</v>
          </cell>
        </row>
        <row r="368">
          <cell r="AW368" t="str">
            <v>.</v>
          </cell>
        </row>
        <row r="369">
          <cell r="AW369" t="str">
            <v>.</v>
          </cell>
        </row>
        <row r="370">
          <cell r="AW370" t="str">
            <v>.</v>
          </cell>
        </row>
        <row r="371">
          <cell r="AW371" t="str">
            <v>.</v>
          </cell>
        </row>
        <row r="372">
          <cell r="AW372" t="str">
            <v>.</v>
          </cell>
        </row>
        <row r="373">
          <cell r="AW373" t="str">
            <v>.</v>
          </cell>
        </row>
        <row r="374">
          <cell r="AW374" t="str">
            <v>.</v>
          </cell>
        </row>
        <row r="375">
          <cell r="AW375" t="str">
            <v>.</v>
          </cell>
        </row>
        <row r="376">
          <cell r="AW376" t="str">
            <v>.</v>
          </cell>
        </row>
        <row r="377">
          <cell r="AW377" t="str">
            <v>.</v>
          </cell>
        </row>
        <row r="378">
          <cell r="AW378" t="str">
            <v>.</v>
          </cell>
        </row>
        <row r="379">
          <cell r="AW379" t="str">
            <v>.</v>
          </cell>
        </row>
        <row r="380">
          <cell r="AW380" t="str">
            <v>.</v>
          </cell>
        </row>
        <row r="381">
          <cell r="AW381" t="str">
            <v>.</v>
          </cell>
        </row>
        <row r="382">
          <cell r="AW382" t="str">
            <v>.</v>
          </cell>
        </row>
        <row r="383">
          <cell r="AW383" t="str">
            <v>.</v>
          </cell>
        </row>
        <row r="384">
          <cell r="AW384" t="str">
            <v>.</v>
          </cell>
        </row>
        <row r="385">
          <cell r="AW385" t="str">
            <v>.</v>
          </cell>
        </row>
        <row r="386">
          <cell r="AW386" t="str">
            <v>.</v>
          </cell>
        </row>
        <row r="387">
          <cell r="AW387" t="str">
            <v>.</v>
          </cell>
        </row>
        <row r="388">
          <cell r="AW388" t="str">
            <v>.</v>
          </cell>
        </row>
        <row r="389">
          <cell r="AW389" t="str">
            <v>.</v>
          </cell>
        </row>
        <row r="390">
          <cell r="AW390" t="str">
            <v>.</v>
          </cell>
        </row>
        <row r="391">
          <cell r="AW391" t="str">
            <v>.</v>
          </cell>
        </row>
        <row r="392">
          <cell r="AW392" t="str">
            <v>.</v>
          </cell>
        </row>
        <row r="393">
          <cell r="AW393" t="str">
            <v>.</v>
          </cell>
        </row>
        <row r="394">
          <cell r="AW394" t="str">
            <v>.</v>
          </cell>
        </row>
        <row r="395">
          <cell r="AW395" t="str">
            <v>.</v>
          </cell>
        </row>
        <row r="396">
          <cell r="AW396" t="str">
            <v>.</v>
          </cell>
        </row>
        <row r="397">
          <cell r="AW397" t="str">
            <v>.</v>
          </cell>
        </row>
        <row r="398">
          <cell r="AW398" t="str">
            <v>.</v>
          </cell>
        </row>
        <row r="399">
          <cell r="AW399" t="str">
            <v>.</v>
          </cell>
        </row>
        <row r="400">
          <cell r="AW400" t="str">
            <v>.</v>
          </cell>
        </row>
        <row r="401">
          <cell r="AW401" t="str">
            <v>.</v>
          </cell>
        </row>
        <row r="402">
          <cell r="AW402" t="str">
            <v>.</v>
          </cell>
        </row>
        <row r="403">
          <cell r="AW403" t="str">
            <v>.</v>
          </cell>
        </row>
        <row r="404">
          <cell r="AW404" t="str">
            <v>.</v>
          </cell>
        </row>
        <row r="405">
          <cell r="AW405" t="str">
            <v>.</v>
          </cell>
        </row>
        <row r="406">
          <cell r="AW406" t="str">
            <v>.</v>
          </cell>
        </row>
        <row r="407">
          <cell r="AW407" t="str">
            <v>.</v>
          </cell>
        </row>
        <row r="408">
          <cell r="AW408" t="str">
            <v>.</v>
          </cell>
        </row>
        <row r="409">
          <cell r="AW409" t="str">
            <v>.</v>
          </cell>
        </row>
        <row r="410">
          <cell r="AW410" t="str">
            <v>.</v>
          </cell>
        </row>
        <row r="411">
          <cell r="AW411" t="str">
            <v>.</v>
          </cell>
        </row>
        <row r="412">
          <cell r="AW412" t="str">
            <v>.</v>
          </cell>
        </row>
        <row r="413">
          <cell r="AW413" t="str">
            <v>.</v>
          </cell>
        </row>
        <row r="414">
          <cell r="AW414" t="str">
            <v>.</v>
          </cell>
        </row>
        <row r="415">
          <cell r="AW415" t="str">
            <v>.</v>
          </cell>
        </row>
        <row r="416">
          <cell r="AW416" t="str">
            <v>.</v>
          </cell>
        </row>
        <row r="417">
          <cell r="AW417" t="str">
            <v>.</v>
          </cell>
        </row>
        <row r="418">
          <cell r="AW418" t="str">
            <v>.</v>
          </cell>
        </row>
        <row r="419">
          <cell r="AW419" t="str">
            <v>.</v>
          </cell>
        </row>
        <row r="420">
          <cell r="AW420" t="str">
            <v>.</v>
          </cell>
        </row>
        <row r="421">
          <cell r="AW421" t="str">
            <v>.</v>
          </cell>
        </row>
        <row r="422">
          <cell r="AW422" t="str">
            <v>.</v>
          </cell>
        </row>
        <row r="423">
          <cell r="AW423" t="str">
            <v>.</v>
          </cell>
        </row>
        <row r="424">
          <cell r="AW424" t="str">
            <v>.</v>
          </cell>
        </row>
        <row r="425">
          <cell r="AW425" t="str">
            <v>.</v>
          </cell>
        </row>
        <row r="426">
          <cell r="AW426" t="str">
            <v>.</v>
          </cell>
        </row>
        <row r="427">
          <cell r="AW427" t="str">
            <v>.</v>
          </cell>
        </row>
        <row r="428">
          <cell r="AW428" t="str">
            <v>.</v>
          </cell>
        </row>
        <row r="429">
          <cell r="AW429" t="str">
            <v>.</v>
          </cell>
        </row>
        <row r="430">
          <cell r="AW430" t="str">
            <v>.</v>
          </cell>
        </row>
        <row r="431">
          <cell r="AW431" t="str">
            <v>.</v>
          </cell>
        </row>
        <row r="432">
          <cell r="AW432" t="str">
            <v>.</v>
          </cell>
        </row>
        <row r="433">
          <cell r="AW433" t="str">
            <v>.</v>
          </cell>
        </row>
        <row r="434">
          <cell r="AW434" t="str">
            <v>.</v>
          </cell>
        </row>
        <row r="435">
          <cell r="AW435" t="str">
            <v>.</v>
          </cell>
        </row>
        <row r="436">
          <cell r="AW436" t="str">
            <v>.</v>
          </cell>
        </row>
        <row r="437">
          <cell r="AW437" t="str">
            <v>.</v>
          </cell>
        </row>
        <row r="438">
          <cell r="AW438" t="str">
            <v>.</v>
          </cell>
        </row>
        <row r="439">
          <cell r="AW439" t="str">
            <v>.</v>
          </cell>
        </row>
        <row r="440">
          <cell r="AW440" t="str">
            <v>.</v>
          </cell>
        </row>
        <row r="441">
          <cell r="AW441" t="str">
            <v>.</v>
          </cell>
        </row>
        <row r="442">
          <cell r="AW442" t="str">
            <v>.</v>
          </cell>
        </row>
        <row r="443">
          <cell r="AW443" t="str">
            <v>.</v>
          </cell>
        </row>
        <row r="444">
          <cell r="AW444" t="str">
            <v>.</v>
          </cell>
        </row>
        <row r="445">
          <cell r="AW445" t="str">
            <v>.</v>
          </cell>
        </row>
        <row r="446">
          <cell r="AW446" t="str">
            <v>.</v>
          </cell>
        </row>
        <row r="447">
          <cell r="AW447" t="str">
            <v>.</v>
          </cell>
        </row>
        <row r="448">
          <cell r="AW448" t="str">
            <v>.</v>
          </cell>
        </row>
        <row r="449">
          <cell r="AW449" t="str">
            <v>.</v>
          </cell>
        </row>
        <row r="450">
          <cell r="AW450" t="str">
            <v>.</v>
          </cell>
        </row>
        <row r="451">
          <cell r="AW451" t="str">
            <v>.</v>
          </cell>
        </row>
        <row r="452">
          <cell r="AW452" t="str">
            <v>.</v>
          </cell>
        </row>
        <row r="453">
          <cell r="AW453" t="str">
            <v>.</v>
          </cell>
        </row>
        <row r="454">
          <cell r="AW454" t="str">
            <v>.</v>
          </cell>
        </row>
        <row r="455">
          <cell r="AW455" t="str">
            <v>.</v>
          </cell>
        </row>
        <row r="456">
          <cell r="AW456" t="str">
            <v>.</v>
          </cell>
        </row>
        <row r="457">
          <cell r="AW457" t="str">
            <v>.</v>
          </cell>
        </row>
        <row r="458">
          <cell r="AW458" t="str">
            <v>.</v>
          </cell>
        </row>
        <row r="459">
          <cell r="AW459" t="str">
            <v>.</v>
          </cell>
        </row>
        <row r="460">
          <cell r="AW460" t="str">
            <v>.</v>
          </cell>
        </row>
        <row r="461">
          <cell r="AW461" t="str">
            <v>.</v>
          </cell>
        </row>
        <row r="462">
          <cell r="AW462" t="str">
            <v>.</v>
          </cell>
        </row>
        <row r="463">
          <cell r="AW463" t="str">
            <v>.</v>
          </cell>
        </row>
        <row r="464">
          <cell r="AW464" t="str">
            <v>.</v>
          </cell>
        </row>
        <row r="465">
          <cell r="AW465" t="str">
            <v>.</v>
          </cell>
        </row>
        <row r="466">
          <cell r="AW466" t="str">
            <v>.</v>
          </cell>
        </row>
        <row r="467">
          <cell r="AW467" t="str">
            <v>.</v>
          </cell>
        </row>
        <row r="468">
          <cell r="AW468" t="str">
            <v>.</v>
          </cell>
        </row>
        <row r="469">
          <cell r="AW469" t="str">
            <v>.</v>
          </cell>
        </row>
        <row r="470">
          <cell r="AW470" t="str">
            <v>.</v>
          </cell>
        </row>
        <row r="471">
          <cell r="AW471" t="str">
            <v>.</v>
          </cell>
        </row>
        <row r="472">
          <cell r="AW472" t="str">
            <v>.</v>
          </cell>
        </row>
        <row r="473">
          <cell r="AW473" t="str">
            <v>.</v>
          </cell>
        </row>
        <row r="474">
          <cell r="AW474" t="str">
            <v>.</v>
          </cell>
        </row>
        <row r="475">
          <cell r="AW475" t="str">
            <v>.</v>
          </cell>
        </row>
        <row r="476">
          <cell r="AW476" t="str">
            <v>.</v>
          </cell>
        </row>
        <row r="477">
          <cell r="AW477" t="str">
            <v>.</v>
          </cell>
        </row>
        <row r="478">
          <cell r="AW478" t="str">
            <v>.</v>
          </cell>
        </row>
        <row r="479">
          <cell r="AW479" t="str">
            <v>.</v>
          </cell>
        </row>
        <row r="480">
          <cell r="AW480" t="str">
            <v>.</v>
          </cell>
        </row>
        <row r="481">
          <cell r="AW481" t="str">
            <v>.</v>
          </cell>
        </row>
        <row r="482">
          <cell r="AW482" t="str">
            <v>.</v>
          </cell>
        </row>
        <row r="483">
          <cell r="AW483" t="str">
            <v>.</v>
          </cell>
        </row>
        <row r="484">
          <cell r="AW484" t="str">
            <v>.</v>
          </cell>
        </row>
        <row r="485">
          <cell r="AW485" t="str">
            <v>.</v>
          </cell>
        </row>
        <row r="486">
          <cell r="AW486" t="str">
            <v>.</v>
          </cell>
        </row>
        <row r="487">
          <cell r="AW487" t="str">
            <v>.</v>
          </cell>
        </row>
        <row r="488">
          <cell r="AW488" t="str">
            <v>.</v>
          </cell>
        </row>
        <row r="489">
          <cell r="AW489" t="str">
            <v>.</v>
          </cell>
        </row>
        <row r="490">
          <cell r="AW490" t="str">
            <v>.</v>
          </cell>
        </row>
        <row r="491">
          <cell r="AW491" t="str">
            <v>.</v>
          </cell>
        </row>
        <row r="492">
          <cell r="AW492" t="str">
            <v>.</v>
          </cell>
        </row>
        <row r="493">
          <cell r="AW493" t="str">
            <v>.</v>
          </cell>
        </row>
        <row r="494">
          <cell r="AW494" t="str">
            <v>.</v>
          </cell>
        </row>
        <row r="495">
          <cell r="AW495" t="str">
            <v>.</v>
          </cell>
        </row>
        <row r="496">
          <cell r="AW496" t="str">
            <v>.</v>
          </cell>
        </row>
        <row r="497">
          <cell r="AW497" t="str">
            <v>.</v>
          </cell>
        </row>
        <row r="498">
          <cell r="AW498" t="str">
            <v>.</v>
          </cell>
        </row>
        <row r="499">
          <cell r="AW499" t="str">
            <v>.</v>
          </cell>
        </row>
        <row r="500">
          <cell r="AW500" t="str">
            <v>.</v>
          </cell>
        </row>
        <row r="501">
          <cell r="AW501" t="str">
            <v>.</v>
          </cell>
        </row>
        <row r="502">
          <cell r="AW502" t="str">
            <v>.</v>
          </cell>
        </row>
        <row r="503">
          <cell r="AW503" t="str">
            <v>.</v>
          </cell>
        </row>
        <row r="504">
          <cell r="AW504" t="str">
            <v>.</v>
          </cell>
        </row>
        <row r="505">
          <cell r="AW505" t="str">
            <v>.</v>
          </cell>
        </row>
        <row r="506">
          <cell r="AW506" t="str">
            <v>.</v>
          </cell>
        </row>
        <row r="507">
          <cell r="AW507" t="str">
            <v>.</v>
          </cell>
        </row>
        <row r="508">
          <cell r="AW508" t="str">
            <v>.</v>
          </cell>
        </row>
        <row r="509">
          <cell r="AW509" t="str">
            <v>.</v>
          </cell>
        </row>
        <row r="510">
          <cell r="AW510" t="str">
            <v>.</v>
          </cell>
        </row>
        <row r="511">
          <cell r="AW511" t="str">
            <v>.</v>
          </cell>
        </row>
        <row r="512">
          <cell r="AW512" t="str">
            <v>.</v>
          </cell>
        </row>
        <row r="513">
          <cell r="AW513" t="str">
            <v>.</v>
          </cell>
        </row>
        <row r="514">
          <cell r="AW514" t="str">
            <v>.</v>
          </cell>
        </row>
        <row r="515">
          <cell r="AW515" t="str">
            <v>.</v>
          </cell>
        </row>
        <row r="516">
          <cell r="AW516" t="str">
            <v>.</v>
          </cell>
        </row>
        <row r="517">
          <cell r="AW517" t="str">
            <v>.</v>
          </cell>
        </row>
        <row r="518">
          <cell r="AW518" t="str">
            <v>.</v>
          </cell>
        </row>
        <row r="519">
          <cell r="AW519" t="str">
            <v>.</v>
          </cell>
        </row>
        <row r="520">
          <cell r="AW520" t="str">
            <v>.</v>
          </cell>
        </row>
        <row r="521">
          <cell r="AW521" t="str">
            <v>.</v>
          </cell>
        </row>
        <row r="522">
          <cell r="AW522" t="str">
            <v>.</v>
          </cell>
        </row>
        <row r="523">
          <cell r="AW523" t="str">
            <v>.</v>
          </cell>
        </row>
        <row r="524">
          <cell r="AW524" t="str">
            <v>.</v>
          </cell>
        </row>
        <row r="525">
          <cell r="AW525" t="str">
            <v>.</v>
          </cell>
        </row>
        <row r="526">
          <cell r="AW526" t="str">
            <v>.</v>
          </cell>
        </row>
        <row r="527">
          <cell r="AW527" t="str">
            <v>.</v>
          </cell>
        </row>
        <row r="528">
          <cell r="AW528" t="str">
            <v>.</v>
          </cell>
        </row>
        <row r="529">
          <cell r="AW529" t="str">
            <v>.</v>
          </cell>
        </row>
        <row r="530">
          <cell r="AW530" t="str">
            <v>.</v>
          </cell>
        </row>
        <row r="531">
          <cell r="AW531" t="str">
            <v>.</v>
          </cell>
        </row>
        <row r="532">
          <cell r="AW532" t="str">
            <v>.</v>
          </cell>
        </row>
        <row r="533">
          <cell r="AW533" t="str">
            <v>.</v>
          </cell>
        </row>
        <row r="534">
          <cell r="AW534" t="str">
            <v>.</v>
          </cell>
        </row>
        <row r="535">
          <cell r="AW535" t="str">
            <v>.</v>
          </cell>
        </row>
        <row r="536">
          <cell r="AW536" t="str">
            <v>.</v>
          </cell>
        </row>
        <row r="537">
          <cell r="AW537" t="str">
            <v>.</v>
          </cell>
        </row>
        <row r="538">
          <cell r="AW538" t="str">
            <v>.</v>
          </cell>
        </row>
        <row r="539">
          <cell r="AW539" t="str">
            <v>.</v>
          </cell>
        </row>
        <row r="540">
          <cell r="AW540" t="str">
            <v>.</v>
          </cell>
        </row>
        <row r="541">
          <cell r="AW541" t="str">
            <v>.</v>
          </cell>
        </row>
        <row r="542">
          <cell r="AW542" t="str">
            <v>.</v>
          </cell>
        </row>
        <row r="543">
          <cell r="AW543" t="str">
            <v>.</v>
          </cell>
        </row>
        <row r="544">
          <cell r="AW544" t="str">
            <v>.</v>
          </cell>
        </row>
        <row r="545">
          <cell r="AW545" t="str">
            <v>.</v>
          </cell>
        </row>
        <row r="546">
          <cell r="AW546" t="str">
            <v>.</v>
          </cell>
        </row>
        <row r="547">
          <cell r="AW547" t="str">
            <v>.</v>
          </cell>
        </row>
        <row r="548">
          <cell r="AW548" t="str">
            <v>.</v>
          </cell>
        </row>
        <row r="549">
          <cell r="AW549" t="str">
            <v>.</v>
          </cell>
        </row>
        <row r="550">
          <cell r="AW550" t="str">
            <v>.</v>
          </cell>
        </row>
        <row r="551">
          <cell r="AW551" t="str">
            <v>.</v>
          </cell>
        </row>
        <row r="552">
          <cell r="AW552" t="str">
            <v>.</v>
          </cell>
        </row>
        <row r="553">
          <cell r="AW553" t="str">
            <v>.</v>
          </cell>
        </row>
        <row r="554">
          <cell r="AW554" t="str">
            <v>.</v>
          </cell>
        </row>
        <row r="555">
          <cell r="AW555" t="str">
            <v>.</v>
          </cell>
        </row>
        <row r="556">
          <cell r="AW556" t="str">
            <v>.</v>
          </cell>
        </row>
        <row r="557">
          <cell r="AW557" t="str">
            <v>.</v>
          </cell>
        </row>
        <row r="558">
          <cell r="AW558" t="str">
            <v>.</v>
          </cell>
        </row>
        <row r="559">
          <cell r="AW559" t="str">
            <v>.</v>
          </cell>
        </row>
        <row r="560">
          <cell r="AW560" t="str">
            <v>.</v>
          </cell>
        </row>
        <row r="561">
          <cell r="AW561" t="str">
            <v>.</v>
          </cell>
        </row>
        <row r="562">
          <cell r="AW562" t="str">
            <v>.</v>
          </cell>
        </row>
        <row r="563">
          <cell r="AW563" t="str">
            <v>.</v>
          </cell>
        </row>
        <row r="564">
          <cell r="AW564" t="str">
            <v>.</v>
          </cell>
        </row>
        <row r="565">
          <cell r="AW565" t="str">
            <v>.</v>
          </cell>
        </row>
        <row r="566">
          <cell r="AW566" t="str">
            <v>.</v>
          </cell>
        </row>
        <row r="567">
          <cell r="AW567" t="str">
            <v>.</v>
          </cell>
        </row>
        <row r="568">
          <cell r="AW568" t="str">
            <v>.</v>
          </cell>
        </row>
        <row r="569">
          <cell r="AW569" t="str">
            <v>.</v>
          </cell>
        </row>
        <row r="570">
          <cell r="AW570" t="str">
            <v>.</v>
          </cell>
        </row>
        <row r="571">
          <cell r="AW571" t="str">
            <v>.</v>
          </cell>
        </row>
        <row r="572">
          <cell r="AW572" t="str">
            <v>.</v>
          </cell>
        </row>
        <row r="573">
          <cell r="AW573" t="str">
            <v>.</v>
          </cell>
        </row>
        <row r="574">
          <cell r="AW574" t="str">
            <v>.</v>
          </cell>
        </row>
        <row r="575">
          <cell r="AW575" t="str">
            <v>.</v>
          </cell>
        </row>
        <row r="576">
          <cell r="AW576" t="str">
            <v>.</v>
          </cell>
        </row>
        <row r="577">
          <cell r="AW577" t="str">
            <v>.</v>
          </cell>
        </row>
        <row r="578">
          <cell r="AW578" t="str">
            <v>.</v>
          </cell>
        </row>
        <row r="579">
          <cell r="AW579" t="str">
            <v>.</v>
          </cell>
        </row>
        <row r="580">
          <cell r="AW580" t="str">
            <v>.</v>
          </cell>
        </row>
        <row r="581">
          <cell r="AW581" t="str">
            <v>.</v>
          </cell>
        </row>
        <row r="582">
          <cell r="AW582" t="str">
            <v>.</v>
          </cell>
        </row>
        <row r="583">
          <cell r="AW583" t="str">
            <v>.</v>
          </cell>
        </row>
        <row r="584">
          <cell r="AW584" t="str">
            <v>.</v>
          </cell>
        </row>
        <row r="585">
          <cell r="AW585" t="str">
            <v>.</v>
          </cell>
        </row>
        <row r="586">
          <cell r="AW586" t="str">
            <v>.</v>
          </cell>
        </row>
        <row r="587">
          <cell r="AW587" t="str">
            <v>.</v>
          </cell>
        </row>
        <row r="588">
          <cell r="AW588" t="str">
            <v>.</v>
          </cell>
        </row>
        <row r="589">
          <cell r="AW589" t="str">
            <v>.</v>
          </cell>
        </row>
        <row r="590">
          <cell r="AW590" t="str">
            <v>.</v>
          </cell>
        </row>
        <row r="591">
          <cell r="AW591" t="str">
            <v>.</v>
          </cell>
        </row>
        <row r="592">
          <cell r="AW592" t="str">
            <v>.</v>
          </cell>
        </row>
        <row r="593">
          <cell r="AW593" t="str">
            <v>.</v>
          </cell>
        </row>
        <row r="594">
          <cell r="AW594" t="str">
            <v>.</v>
          </cell>
        </row>
        <row r="595">
          <cell r="AW595" t="str">
            <v>.</v>
          </cell>
        </row>
        <row r="596">
          <cell r="AW596" t="str">
            <v>.</v>
          </cell>
        </row>
        <row r="597">
          <cell r="AW597" t="str">
            <v>.</v>
          </cell>
        </row>
        <row r="598">
          <cell r="AW598" t="str">
            <v>.</v>
          </cell>
        </row>
        <row r="599">
          <cell r="AW599" t="str">
            <v>.</v>
          </cell>
        </row>
        <row r="600">
          <cell r="AW600" t="str">
            <v>.</v>
          </cell>
        </row>
        <row r="601">
          <cell r="AW601" t="str">
            <v>.</v>
          </cell>
        </row>
        <row r="602">
          <cell r="AW602" t="str">
            <v>.</v>
          </cell>
        </row>
        <row r="603">
          <cell r="AW603" t="str">
            <v>.</v>
          </cell>
        </row>
        <row r="604">
          <cell r="AW604" t="str">
            <v>.</v>
          </cell>
        </row>
        <row r="605">
          <cell r="AW605" t="str">
            <v>.</v>
          </cell>
        </row>
        <row r="606">
          <cell r="AW606" t="str">
            <v>.</v>
          </cell>
        </row>
        <row r="607">
          <cell r="AW607" t="str">
            <v>.</v>
          </cell>
        </row>
        <row r="608">
          <cell r="AW608" t="str">
            <v>.</v>
          </cell>
        </row>
        <row r="609">
          <cell r="AW609" t="str">
            <v>.</v>
          </cell>
        </row>
        <row r="610">
          <cell r="AW610" t="str">
            <v>.</v>
          </cell>
        </row>
        <row r="611">
          <cell r="AW611" t="str">
            <v>.</v>
          </cell>
        </row>
        <row r="612">
          <cell r="AW612" t="str">
            <v>.</v>
          </cell>
        </row>
        <row r="613">
          <cell r="AW613" t="str">
            <v>.</v>
          </cell>
        </row>
        <row r="614">
          <cell r="AW614" t="str">
            <v>.</v>
          </cell>
        </row>
        <row r="615">
          <cell r="AW615" t="str">
            <v>.</v>
          </cell>
        </row>
        <row r="616">
          <cell r="AW616" t="str">
            <v>.</v>
          </cell>
        </row>
        <row r="617">
          <cell r="AW617" t="str">
            <v>.</v>
          </cell>
        </row>
        <row r="618">
          <cell r="AW618" t="str">
            <v>.</v>
          </cell>
        </row>
        <row r="619">
          <cell r="AW619" t="str">
            <v>.</v>
          </cell>
        </row>
        <row r="620">
          <cell r="AW620" t="str">
            <v>.</v>
          </cell>
        </row>
        <row r="621">
          <cell r="AW621" t="str">
            <v>.</v>
          </cell>
        </row>
        <row r="622">
          <cell r="AW622" t="str">
            <v>.</v>
          </cell>
        </row>
        <row r="623">
          <cell r="AW623" t="str">
            <v>.</v>
          </cell>
        </row>
        <row r="624">
          <cell r="AW624" t="str">
            <v>.</v>
          </cell>
        </row>
        <row r="625">
          <cell r="AW625" t="str">
            <v>.</v>
          </cell>
        </row>
        <row r="626">
          <cell r="AW626" t="str">
            <v>.</v>
          </cell>
        </row>
        <row r="627">
          <cell r="AW627" t="str">
            <v>.</v>
          </cell>
        </row>
        <row r="628">
          <cell r="AW628" t="str">
            <v>.</v>
          </cell>
        </row>
        <row r="629">
          <cell r="AW629" t="str">
            <v>.</v>
          </cell>
        </row>
        <row r="630">
          <cell r="AW630" t="str">
            <v>.</v>
          </cell>
        </row>
        <row r="631">
          <cell r="AW631" t="str">
            <v>.</v>
          </cell>
        </row>
        <row r="632">
          <cell r="AW632" t="str">
            <v>.</v>
          </cell>
        </row>
        <row r="633">
          <cell r="AW633" t="str">
            <v>.</v>
          </cell>
        </row>
        <row r="634">
          <cell r="AW634" t="str">
            <v>.</v>
          </cell>
        </row>
        <row r="635">
          <cell r="AW635" t="str">
            <v>.</v>
          </cell>
        </row>
        <row r="636">
          <cell r="AW636" t="str">
            <v>.</v>
          </cell>
        </row>
        <row r="637">
          <cell r="AW637" t="str">
            <v>.</v>
          </cell>
        </row>
        <row r="638">
          <cell r="AW638" t="str">
            <v>.</v>
          </cell>
        </row>
        <row r="639">
          <cell r="AW639" t="str">
            <v>.</v>
          </cell>
        </row>
        <row r="640">
          <cell r="AW640" t="str">
            <v>.</v>
          </cell>
        </row>
        <row r="641">
          <cell r="AW641" t="str">
            <v>.</v>
          </cell>
        </row>
        <row r="642">
          <cell r="AW642" t="str">
            <v>.</v>
          </cell>
        </row>
        <row r="643">
          <cell r="AW643" t="str">
            <v>.</v>
          </cell>
        </row>
        <row r="644">
          <cell r="AW644" t="str">
            <v>.</v>
          </cell>
        </row>
        <row r="645">
          <cell r="AW645" t="str">
            <v>.</v>
          </cell>
        </row>
        <row r="646">
          <cell r="AW646" t="str">
            <v>.</v>
          </cell>
        </row>
        <row r="647">
          <cell r="AW647" t="str">
            <v>.</v>
          </cell>
        </row>
        <row r="648">
          <cell r="AW648" t="str">
            <v>.</v>
          </cell>
        </row>
        <row r="649">
          <cell r="AW649" t="str">
            <v>.</v>
          </cell>
        </row>
        <row r="650">
          <cell r="AW650" t="str">
            <v>.</v>
          </cell>
        </row>
        <row r="651">
          <cell r="AW651" t="str">
            <v>.</v>
          </cell>
        </row>
        <row r="652">
          <cell r="AW652" t="str">
            <v>.</v>
          </cell>
        </row>
        <row r="653">
          <cell r="AW653" t="str">
            <v>.</v>
          </cell>
        </row>
        <row r="654">
          <cell r="AW654" t="str">
            <v>.</v>
          </cell>
        </row>
        <row r="655">
          <cell r="AW655" t="str">
            <v>.</v>
          </cell>
        </row>
        <row r="656">
          <cell r="AW656" t="str">
            <v>.</v>
          </cell>
        </row>
        <row r="657">
          <cell r="AW657" t="str">
            <v>.</v>
          </cell>
        </row>
        <row r="658">
          <cell r="AW658" t="str">
            <v>.</v>
          </cell>
        </row>
        <row r="659">
          <cell r="AW659" t="str">
            <v>.</v>
          </cell>
        </row>
        <row r="660">
          <cell r="AW660" t="str">
            <v>.</v>
          </cell>
        </row>
        <row r="661">
          <cell r="AW661" t="str">
            <v>.</v>
          </cell>
        </row>
        <row r="662">
          <cell r="AW662" t="str">
            <v>.</v>
          </cell>
        </row>
        <row r="663">
          <cell r="AW663" t="str">
            <v>.</v>
          </cell>
        </row>
        <row r="664">
          <cell r="AW664" t="str">
            <v>.</v>
          </cell>
        </row>
        <row r="665">
          <cell r="AW665" t="str">
            <v>.</v>
          </cell>
        </row>
        <row r="666">
          <cell r="AW666" t="str">
            <v>.</v>
          </cell>
        </row>
        <row r="667">
          <cell r="AW667" t="str">
            <v>.</v>
          </cell>
        </row>
        <row r="668">
          <cell r="AW668" t="str">
            <v>.</v>
          </cell>
        </row>
        <row r="669">
          <cell r="AW669" t="str">
            <v>.</v>
          </cell>
        </row>
        <row r="670">
          <cell r="AW670" t="str">
            <v>.</v>
          </cell>
        </row>
        <row r="671">
          <cell r="AW671" t="str">
            <v>.</v>
          </cell>
        </row>
        <row r="672">
          <cell r="AW672" t="str">
            <v>.</v>
          </cell>
        </row>
        <row r="673">
          <cell r="AW673" t="str">
            <v>.</v>
          </cell>
        </row>
        <row r="674">
          <cell r="AW674" t="str">
            <v>.</v>
          </cell>
        </row>
        <row r="675">
          <cell r="AW675" t="str">
            <v>.</v>
          </cell>
        </row>
        <row r="676">
          <cell r="AW676" t="str">
            <v>.</v>
          </cell>
        </row>
        <row r="677">
          <cell r="AW677" t="str">
            <v>.</v>
          </cell>
        </row>
        <row r="678">
          <cell r="AW678" t="str">
            <v>.</v>
          </cell>
        </row>
        <row r="679">
          <cell r="AW679" t="str">
            <v>.</v>
          </cell>
        </row>
        <row r="680">
          <cell r="AW680" t="str">
            <v>.</v>
          </cell>
        </row>
        <row r="681">
          <cell r="AW681" t="str">
            <v>.</v>
          </cell>
        </row>
        <row r="682">
          <cell r="AW682" t="str">
            <v>.</v>
          </cell>
        </row>
        <row r="683">
          <cell r="AW683" t="str">
            <v>.</v>
          </cell>
        </row>
        <row r="684">
          <cell r="AW684" t="str">
            <v>.</v>
          </cell>
        </row>
        <row r="685">
          <cell r="AW685" t="str">
            <v>.</v>
          </cell>
        </row>
        <row r="686">
          <cell r="AW686" t="str">
            <v>.</v>
          </cell>
        </row>
        <row r="687">
          <cell r="AW687" t="str">
            <v>.</v>
          </cell>
        </row>
        <row r="688">
          <cell r="AW688" t="str">
            <v>.</v>
          </cell>
        </row>
        <row r="689">
          <cell r="AW689" t="str">
            <v>.</v>
          </cell>
        </row>
        <row r="690">
          <cell r="AW690" t="str">
            <v>.</v>
          </cell>
        </row>
        <row r="691">
          <cell r="AW691" t="str">
            <v>.</v>
          </cell>
        </row>
        <row r="692">
          <cell r="AW692" t="str">
            <v>.</v>
          </cell>
        </row>
        <row r="693">
          <cell r="AW693" t="str">
            <v>.</v>
          </cell>
        </row>
        <row r="694">
          <cell r="AW694" t="str">
            <v>.</v>
          </cell>
        </row>
        <row r="695">
          <cell r="AW695" t="str">
            <v>.</v>
          </cell>
        </row>
        <row r="696">
          <cell r="AW696" t="str">
            <v>.</v>
          </cell>
        </row>
        <row r="697">
          <cell r="AW697" t="str">
            <v>.</v>
          </cell>
        </row>
        <row r="698">
          <cell r="AW698" t="str">
            <v>.</v>
          </cell>
        </row>
        <row r="699">
          <cell r="AW699" t="str">
            <v>.</v>
          </cell>
        </row>
        <row r="700">
          <cell r="AW700" t="str">
            <v>.</v>
          </cell>
        </row>
        <row r="701">
          <cell r="AW701" t="str">
            <v>.</v>
          </cell>
        </row>
        <row r="702">
          <cell r="AW702" t="str">
            <v>.</v>
          </cell>
        </row>
        <row r="703">
          <cell r="AW703" t="str">
            <v>.</v>
          </cell>
        </row>
        <row r="704">
          <cell r="AW704" t="str">
            <v>.</v>
          </cell>
        </row>
        <row r="705">
          <cell r="AW705" t="str">
            <v>.</v>
          </cell>
        </row>
        <row r="706">
          <cell r="AW706" t="str">
            <v>.</v>
          </cell>
        </row>
        <row r="707">
          <cell r="AW707" t="str">
            <v>.</v>
          </cell>
        </row>
        <row r="708">
          <cell r="AW708" t="str">
            <v>.</v>
          </cell>
        </row>
        <row r="709">
          <cell r="AW709" t="str">
            <v>.</v>
          </cell>
        </row>
        <row r="710">
          <cell r="AW710" t="str">
            <v>.</v>
          </cell>
        </row>
        <row r="711">
          <cell r="AW711" t="str">
            <v>.</v>
          </cell>
        </row>
        <row r="712">
          <cell r="AW712" t="str">
            <v>.</v>
          </cell>
        </row>
        <row r="713">
          <cell r="AW713" t="str">
            <v>.</v>
          </cell>
        </row>
        <row r="714">
          <cell r="AW714" t="str">
            <v>.</v>
          </cell>
        </row>
        <row r="715">
          <cell r="AW715" t="str">
            <v>.</v>
          </cell>
        </row>
        <row r="716">
          <cell r="AW716" t="str">
            <v>.</v>
          </cell>
        </row>
        <row r="717">
          <cell r="AW717" t="str">
            <v>.</v>
          </cell>
        </row>
        <row r="718">
          <cell r="AW718" t="str">
            <v>.</v>
          </cell>
        </row>
        <row r="719">
          <cell r="AW719" t="str">
            <v>.</v>
          </cell>
        </row>
        <row r="720">
          <cell r="AW720" t="str">
            <v>.</v>
          </cell>
        </row>
        <row r="721">
          <cell r="AW721" t="str">
            <v>.</v>
          </cell>
        </row>
        <row r="722">
          <cell r="AW722" t="str">
            <v>.</v>
          </cell>
        </row>
        <row r="723">
          <cell r="AW723" t="str">
            <v>.</v>
          </cell>
        </row>
        <row r="724">
          <cell r="AW724" t="str">
            <v>.</v>
          </cell>
        </row>
        <row r="725">
          <cell r="AW725" t="str">
            <v>.</v>
          </cell>
        </row>
        <row r="726">
          <cell r="AW726" t="str">
            <v>.</v>
          </cell>
        </row>
        <row r="727">
          <cell r="AW727" t="str">
            <v>.</v>
          </cell>
        </row>
        <row r="728">
          <cell r="AW728" t="str">
            <v>.</v>
          </cell>
        </row>
        <row r="729">
          <cell r="AW729" t="str">
            <v>.</v>
          </cell>
        </row>
        <row r="730">
          <cell r="AW730" t="str">
            <v>.</v>
          </cell>
        </row>
        <row r="731">
          <cell r="AW731" t="str">
            <v>.</v>
          </cell>
        </row>
        <row r="732">
          <cell r="AW732" t="str">
            <v>.</v>
          </cell>
        </row>
        <row r="733">
          <cell r="AW733" t="str">
            <v>.</v>
          </cell>
        </row>
        <row r="734">
          <cell r="AW734" t="str">
            <v>.</v>
          </cell>
        </row>
        <row r="735">
          <cell r="AW735" t="str">
            <v>.</v>
          </cell>
        </row>
        <row r="736">
          <cell r="AW736" t="str">
            <v>.</v>
          </cell>
        </row>
        <row r="737">
          <cell r="AW737" t="str">
            <v>.</v>
          </cell>
        </row>
        <row r="738">
          <cell r="AW738" t="str">
            <v>.</v>
          </cell>
        </row>
        <row r="739">
          <cell r="AW739" t="str">
            <v>.</v>
          </cell>
        </row>
        <row r="740">
          <cell r="AW740" t="str">
            <v>.</v>
          </cell>
        </row>
        <row r="741">
          <cell r="AW741" t="str">
            <v>.</v>
          </cell>
        </row>
        <row r="742">
          <cell r="AW742" t="str">
            <v>.</v>
          </cell>
        </row>
        <row r="743">
          <cell r="AW743" t="str">
            <v>.</v>
          </cell>
        </row>
        <row r="744">
          <cell r="AW744" t="str">
            <v>.</v>
          </cell>
        </row>
        <row r="745">
          <cell r="AW745" t="str">
            <v>.</v>
          </cell>
        </row>
        <row r="746">
          <cell r="AW746" t="str">
            <v>.</v>
          </cell>
        </row>
        <row r="747">
          <cell r="AW747" t="str">
            <v>.</v>
          </cell>
        </row>
        <row r="748">
          <cell r="AW748" t="str">
            <v>.</v>
          </cell>
        </row>
        <row r="749">
          <cell r="AW749" t="str">
            <v>.</v>
          </cell>
        </row>
        <row r="750">
          <cell r="AW750" t="str">
            <v>.</v>
          </cell>
        </row>
        <row r="751">
          <cell r="AW751" t="str">
            <v>.</v>
          </cell>
        </row>
        <row r="752">
          <cell r="AW752" t="str">
            <v>.</v>
          </cell>
        </row>
        <row r="753">
          <cell r="AW753" t="str">
            <v>.</v>
          </cell>
        </row>
        <row r="754">
          <cell r="AW754" t="str">
            <v>.</v>
          </cell>
        </row>
        <row r="755">
          <cell r="AW755" t="str">
            <v>.</v>
          </cell>
        </row>
        <row r="756">
          <cell r="AW756" t="str">
            <v>.</v>
          </cell>
        </row>
        <row r="757">
          <cell r="AW757" t="str">
            <v>.</v>
          </cell>
        </row>
        <row r="758">
          <cell r="AW758" t="str">
            <v>.</v>
          </cell>
        </row>
        <row r="759">
          <cell r="AW759" t="str">
            <v>.</v>
          </cell>
        </row>
        <row r="760">
          <cell r="AW760" t="str">
            <v>.</v>
          </cell>
        </row>
        <row r="761">
          <cell r="AW761" t="str">
            <v>.</v>
          </cell>
        </row>
        <row r="762">
          <cell r="AW762" t="str">
            <v>.</v>
          </cell>
        </row>
        <row r="763">
          <cell r="AW763" t="str">
            <v>.</v>
          </cell>
        </row>
        <row r="764">
          <cell r="AW764" t="str">
            <v>.</v>
          </cell>
        </row>
        <row r="765">
          <cell r="AW765" t="str">
            <v>.</v>
          </cell>
        </row>
        <row r="766">
          <cell r="AW766" t="str">
            <v>.</v>
          </cell>
        </row>
        <row r="767">
          <cell r="AW767" t="str">
            <v>.</v>
          </cell>
        </row>
        <row r="768">
          <cell r="AW768" t="str">
            <v>.</v>
          </cell>
        </row>
        <row r="769">
          <cell r="AW769" t="str">
            <v>.</v>
          </cell>
        </row>
        <row r="770">
          <cell r="AW770" t="str">
            <v>.</v>
          </cell>
        </row>
        <row r="771">
          <cell r="AW771" t="str">
            <v>.</v>
          </cell>
        </row>
        <row r="772">
          <cell r="AW772" t="str">
            <v>.</v>
          </cell>
        </row>
        <row r="773">
          <cell r="AW773" t="str">
            <v>.</v>
          </cell>
        </row>
        <row r="774">
          <cell r="AW774" t="str">
            <v>.</v>
          </cell>
        </row>
        <row r="775">
          <cell r="AW775" t="str">
            <v>.</v>
          </cell>
        </row>
        <row r="776">
          <cell r="AW776" t="str">
            <v>.</v>
          </cell>
        </row>
        <row r="777">
          <cell r="AW777" t="str">
            <v>.</v>
          </cell>
        </row>
        <row r="778">
          <cell r="AW778" t="str">
            <v>.</v>
          </cell>
        </row>
        <row r="779">
          <cell r="AW779" t="str">
            <v>.</v>
          </cell>
        </row>
        <row r="780">
          <cell r="AW780" t="str">
            <v>.</v>
          </cell>
        </row>
        <row r="781">
          <cell r="AW781" t="str">
            <v>.</v>
          </cell>
        </row>
        <row r="782">
          <cell r="AW782" t="str">
            <v>.</v>
          </cell>
        </row>
        <row r="783">
          <cell r="AW783" t="str">
            <v>.</v>
          </cell>
        </row>
        <row r="784">
          <cell r="AW784" t="str">
            <v>.</v>
          </cell>
        </row>
        <row r="785">
          <cell r="AW785" t="str">
            <v>.</v>
          </cell>
        </row>
        <row r="786">
          <cell r="AW786" t="str">
            <v>.</v>
          </cell>
        </row>
        <row r="787">
          <cell r="AW787" t="str">
            <v>.</v>
          </cell>
        </row>
        <row r="788">
          <cell r="AW788" t="str">
            <v>.</v>
          </cell>
        </row>
        <row r="789">
          <cell r="AW789" t="str">
            <v>.</v>
          </cell>
        </row>
        <row r="790">
          <cell r="AW790" t="str">
            <v>.</v>
          </cell>
        </row>
        <row r="791">
          <cell r="AW791" t="str">
            <v>.</v>
          </cell>
        </row>
        <row r="792">
          <cell r="AW792" t="str">
            <v>.</v>
          </cell>
        </row>
        <row r="793">
          <cell r="AW793" t="str">
            <v>.</v>
          </cell>
        </row>
        <row r="794">
          <cell r="AW794" t="str">
            <v>.</v>
          </cell>
        </row>
        <row r="795">
          <cell r="AW795" t="str">
            <v>.</v>
          </cell>
        </row>
        <row r="796">
          <cell r="AW796" t="str">
            <v>.</v>
          </cell>
        </row>
        <row r="797">
          <cell r="AW797" t="str">
            <v>.</v>
          </cell>
        </row>
        <row r="798">
          <cell r="AW798" t="str">
            <v>.</v>
          </cell>
        </row>
        <row r="799">
          <cell r="AW799" t="str">
            <v>.</v>
          </cell>
        </row>
        <row r="800">
          <cell r="AW800" t="str">
            <v>.</v>
          </cell>
        </row>
        <row r="801">
          <cell r="AW801" t="str">
            <v>.</v>
          </cell>
        </row>
        <row r="802">
          <cell r="AW802" t="str">
            <v>.</v>
          </cell>
        </row>
        <row r="803">
          <cell r="AW803" t="str">
            <v>.</v>
          </cell>
        </row>
        <row r="804">
          <cell r="AW804" t="str">
            <v>.</v>
          </cell>
        </row>
        <row r="805">
          <cell r="AW805" t="str">
            <v>.</v>
          </cell>
        </row>
        <row r="806">
          <cell r="AW806" t="str">
            <v>.</v>
          </cell>
        </row>
        <row r="807">
          <cell r="AW807" t="str">
            <v>.</v>
          </cell>
        </row>
        <row r="808">
          <cell r="AW808" t="str">
            <v>.</v>
          </cell>
        </row>
        <row r="809">
          <cell r="AW809" t="str">
            <v>.</v>
          </cell>
        </row>
        <row r="810">
          <cell r="AW810" t="str">
            <v>.</v>
          </cell>
        </row>
        <row r="811">
          <cell r="AW811" t="str">
            <v>.</v>
          </cell>
        </row>
        <row r="812">
          <cell r="AW812" t="str">
            <v>.</v>
          </cell>
        </row>
        <row r="813">
          <cell r="AW813" t="str">
            <v>.</v>
          </cell>
        </row>
        <row r="814">
          <cell r="AW814" t="str">
            <v>.</v>
          </cell>
        </row>
        <row r="815">
          <cell r="AW815" t="str">
            <v>.</v>
          </cell>
        </row>
        <row r="816">
          <cell r="AW816" t="str">
            <v>.</v>
          </cell>
        </row>
        <row r="817">
          <cell r="AW817" t="str">
            <v>.</v>
          </cell>
        </row>
        <row r="818">
          <cell r="AW818" t="str">
            <v>.</v>
          </cell>
        </row>
        <row r="819">
          <cell r="AW819" t="str">
            <v>.</v>
          </cell>
        </row>
        <row r="820">
          <cell r="AW820" t="str">
            <v>.</v>
          </cell>
        </row>
        <row r="821">
          <cell r="AW821" t="str">
            <v>.</v>
          </cell>
        </row>
        <row r="822">
          <cell r="AW822" t="str">
            <v>.</v>
          </cell>
        </row>
        <row r="823">
          <cell r="AW823" t="str">
            <v>.</v>
          </cell>
        </row>
        <row r="824">
          <cell r="AW824" t="str">
            <v>.</v>
          </cell>
        </row>
        <row r="825">
          <cell r="AW825" t="str">
            <v>.</v>
          </cell>
        </row>
        <row r="826">
          <cell r="AW826" t="str">
            <v>.</v>
          </cell>
        </row>
        <row r="827">
          <cell r="AW827" t="str">
            <v>.</v>
          </cell>
        </row>
        <row r="828">
          <cell r="AW828" t="str">
            <v>.</v>
          </cell>
        </row>
        <row r="829">
          <cell r="AW829" t="str">
            <v>.</v>
          </cell>
        </row>
        <row r="830">
          <cell r="AW830" t="str">
            <v>.</v>
          </cell>
        </row>
        <row r="831">
          <cell r="AW831" t="str">
            <v>.</v>
          </cell>
        </row>
        <row r="832">
          <cell r="AW832" t="str">
            <v>.</v>
          </cell>
        </row>
        <row r="833">
          <cell r="AW833" t="str">
            <v>.</v>
          </cell>
        </row>
        <row r="834">
          <cell r="AW834" t="str">
            <v>.</v>
          </cell>
        </row>
        <row r="835">
          <cell r="AW835" t="str">
            <v>.</v>
          </cell>
        </row>
        <row r="836">
          <cell r="AW836" t="str">
            <v>.</v>
          </cell>
        </row>
        <row r="837">
          <cell r="AW837" t="str">
            <v>.</v>
          </cell>
        </row>
        <row r="838">
          <cell r="AW838" t="str">
            <v>.</v>
          </cell>
        </row>
        <row r="839">
          <cell r="AW839" t="str">
            <v>.</v>
          </cell>
        </row>
        <row r="840">
          <cell r="AW840" t="str">
            <v>.</v>
          </cell>
        </row>
        <row r="841">
          <cell r="AW841" t="str">
            <v>.</v>
          </cell>
        </row>
        <row r="842">
          <cell r="AW842" t="str">
            <v>.</v>
          </cell>
        </row>
        <row r="843">
          <cell r="AW843" t="str">
            <v>.</v>
          </cell>
        </row>
        <row r="844">
          <cell r="AW844" t="str">
            <v>.</v>
          </cell>
        </row>
        <row r="845">
          <cell r="AW845" t="str">
            <v>.</v>
          </cell>
        </row>
        <row r="846">
          <cell r="AW846" t="str">
            <v>.</v>
          </cell>
        </row>
        <row r="847">
          <cell r="AW847" t="str">
            <v>.</v>
          </cell>
        </row>
        <row r="848">
          <cell r="AW848" t="str">
            <v>.</v>
          </cell>
        </row>
        <row r="849">
          <cell r="AW849" t="str">
            <v>.</v>
          </cell>
        </row>
        <row r="850">
          <cell r="AW850" t="str">
            <v>.</v>
          </cell>
        </row>
        <row r="851">
          <cell r="AW851" t="str">
            <v>.</v>
          </cell>
        </row>
        <row r="852">
          <cell r="AW852" t="str">
            <v>.</v>
          </cell>
        </row>
        <row r="853">
          <cell r="AW853" t="str">
            <v>.</v>
          </cell>
        </row>
        <row r="854">
          <cell r="AW854" t="str">
            <v>.</v>
          </cell>
        </row>
        <row r="855">
          <cell r="AW855" t="str">
            <v>.</v>
          </cell>
        </row>
        <row r="856">
          <cell r="AW856" t="str">
            <v>.</v>
          </cell>
        </row>
        <row r="857">
          <cell r="AW857" t="str">
            <v>.</v>
          </cell>
        </row>
        <row r="858">
          <cell r="AW858" t="str">
            <v>.</v>
          </cell>
        </row>
        <row r="859">
          <cell r="AW859" t="str">
            <v>.</v>
          </cell>
        </row>
        <row r="860">
          <cell r="AW860" t="str">
            <v>.</v>
          </cell>
        </row>
        <row r="861">
          <cell r="AW861" t="str">
            <v>.</v>
          </cell>
        </row>
        <row r="862">
          <cell r="AW862" t="str">
            <v>.</v>
          </cell>
        </row>
        <row r="863">
          <cell r="AW863" t="str">
            <v>.</v>
          </cell>
        </row>
        <row r="864">
          <cell r="AW864" t="str">
            <v>.</v>
          </cell>
        </row>
        <row r="865">
          <cell r="AW865" t="str">
            <v>.</v>
          </cell>
        </row>
        <row r="866">
          <cell r="AW866" t="str">
            <v>.</v>
          </cell>
        </row>
        <row r="867">
          <cell r="AW867" t="str">
            <v>.</v>
          </cell>
        </row>
        <row r="868">
          <cell r="AW868" t="str">
            <v>.</v>
          </cell>
        </row>
        <row r="869">
          <cell r="AW869" t="str">
            <v>.</v>
          </cell>
        </row>
        <row r="870">
          <cell r="AW870" t="str">
            <v>.</v>
          </cell>
        </row>
        <row r="871">
          <cell r="AW871" t="str">
            <v>.</v>
          </cell>
        </row>
        <row r="872">
          <cell r="AW872" t="str">
            <v>.</v>
          </cell>
        </row>
        <row r="873">
          <cell r="AW873" t="str">
            <v>.</v>
          </cell>
        </row>
        <row r="874">
          <cell r="AW874" t="str">
            <v>.</v>
          </cell>
        </row>
        <row r="875">
          <cell r="AW875" t="str">
            <v>.</v>
          </cell>
        </row>
        <row r="876">
          <cell r="AW876" t="str">
            <v>.</v>
          </cell>
        </row>
        <row r="877">
          <cell r="AW877" t="str">
            <v>.</v>
          </cell>
        </row>
        <row r="878">
          <cell r="AW878" t="str">
            <v>.</v>
          </cell>
        </row>
        <row r="879">
          <cell r="AW879" t="str">
            <v>.</v>
          </cell>
        </row>
        <row r="880">
          <cell r="AW880" t="str">
            <v>.</v>
          </cell>
        </row>
        <row r="881">
          <cell r="AW881" t="str">
            <v>.</v>
          </cell>
        </row>
        <row r="882">
          <cell r="AW882" t="str">
            <v>.</v>
          </cell>
        </row>
        <row r="883">
          <cell r="AW883" t="str">
            <v>.</v>
          </cell>
        </row>
        <row r="884">
          <cell r="AW884" t="str">
            <v>.</v>
          </cell>
        </row>
        <row r="885">
          <cell r="AW885" t="str">
            <v>.</v>
          </cell>
        </row>
        <row r="886">
          <cell r="AW886" t="str">
            <v>.</v>
          </cell>
        </row>
        <row r="887">
          <cell r="AW887" t="str">
            <v>.</v>
          </cell>
        </row>
        <row r="888">
          <cell r="AW888" t="str">
            <v>.</v>
          </cell>
        </row>
        <row r="889">
          <cell r="AW889" t="str">
            <v>.</v>
          </cell>
        </row>
        <row r="890">
          <cell r="AW890" t="str">
            <v>.</v>
          </cell>
        </row>
        <row r="891">
          <cell r="AW891" t="str">
            <v>.</v>
          </cell>
        </row>
        <row r="892">
          <cell r="AW892" t="str">
            <v>.</v>
          </cell>
        </row>
        <row r="893">
          <cell r="AW893" t="str">
            <v>.</v>
          </cell>
        </row>
        <row r="894">
          <cell r="AW894" t="str">
            <v>.</v>
          </cell>
        </row>
        <row r="895">
          <cell r="AW895" t="str">
            <v>.</v>
          </cell>
        </row>
        <row r="896">
          <cell r="AW896" t="str">
            <v>.</v>
          </cell>
        </row>
        <row r="897">
          <cell r="AW897" t="str">
            <v>.</v>
          </cell>
        </row>
        <row r="898">
          <cell r="AW898" t="str">
            <v>.</v>
          </cell>
        </row>
        <row r="899">
          <cell r="AW899" t="str">
            <v>.</v>
          </cell>
        </row>
        <row r="900">
          <cell r="AW900" t="str">
            <v>.</v>
          </cell>
        </row>
        <row r="901">
          <cell r="AW901" t="str">
            <v>.</v>
          </cell>
        </row>
        <row r="902">
          <cell r="AW902" t="str">
            <v>.</v>
          </cell>
        </row>
        <row r="903">
          <cell r="AW903" t="str">
            <v>.</v>
          </cell>
        </row>
        <row r="904">
          <cell r="AW904" t="str">
            <v>.</v>
          </cell>
        </row>
        <row r="905">
          <cell r="AW905" t="str">
            <v>.</v>
          </cell>
        </row>
        <row r="906">
          <cell r="AW906" t="str">
            <v>.</v>
          </cell>
        </row>
        <row r="907">
          <cell r="AW907" t="str">
            <v>.</v>
          </cell>
        </row>
        <row r="908">
          <cell r="AW908" t="str">
            <v>.</v>
          </cell>
        </row>
        <row r="909">
          <cell r="AW909" t="str">
            <v>.</v>
          </cell>
        </row>
        <row r="910">
          <cell r="AW910" t="str">
            <v>.</v>
          </cell>
        </row>
        <row r="911">
          <cell r="AW911" t="str">
            <v>.</v>
          </cell>
        </row>
        <row r="912">
          <cell r="AW912" t="str">
            <v>.</v>
          </cell>
        </row>
        <row r="913">
          <cell r="AW913" t="str">
            <v>.</v>
          </cell>
        </row>
        <row r="914">
          <cell r="AW914" t="str">
            <v>.</v>
          </cell>
        </row>
        <row r="915">
          <cell r="AW915" t="str">
            <v>.</v>
          </cell>
        </row>
        <row r="916">
          <cell r="AW916" t="str">
            <v>.</v>
          </cell>
        </row>
        <row r="917">
          <cell r="AW917" t="str">
            <v>.</v>
          </cell>
        </row>
        <row r="918">
          <cell r="AW918" t="str">
            <v>.</v>
          </cell>
        </row>
        <row r="919">
          <cell r="AW919" t="str">
            <v>.</v>
          </cell>
        </row>
        <row r="920">
          <cell r="AW920" t="str">
            <v>.</v>
          </cell>
        </row>
        <row r="921">
          <cell r="AW921" t="str">
            <v>.</v>
          </cell>
        </row>
        <row r="922">
          <cell r="AW922" t="str">
            <v>.</v>
          </cell>
        </row>
        <row r="923">
          <cell r="AW923" t="str">
            <v>.</v>
          </cell>
        </row>
        <row r="924">
          <cell r="AW924" t="str">
            <v>.</v>
          </cell>
        </row>
        <row r="925">
          <cell r="AW925" t="str">
            <v>.</v>
          </cell>
        </row>
        <row r="926">
          <cell r="AW926" t="str">
            <v>.</v>
          </cell>
        </row>
        <row r="927">
          <cell r="AW927" t="str">
            <v>.</v>
          </cell>
        </row>
        <row r="928">
          <cell r="AW928" t="str">
            <v>.</v>
          </cell>
        </row>
        <row r="929">
          <cell r="AW929" t="str">
            <v>.</v>
          </cell>
        </row>
        <row r="930">
          <cell r="AW930" t="str">
            <v>.</v>
          </cell>
        </row>
        <row r="931">
          <cell r="AW931" t="str">
            <v>.</v>
          </cell>
        </row>
        <row r="932">
          <cell r="AW932" t="str">
            <v>.</v>
          </cell>
        </row>
        <row r="933">
          <cell r="AW933" t="str">
            <v>.</v>
          </cell>
        </row>
        <row r="934">
          <cell r="AW934" t="str">
            <v>.</v>
          </cell>
        </row>
        <row r="935">
          <cell r="AW935" t="str">
            <v>.</v>
          </cell>
        </row>
        <row r="936">
          <cell r="AW936" t="str">
            <v>.</v>
          </cell>
        </row>
        <row r="937">
          <cell r="AW937" t="str">
            <v>.</v>
          </cell>
        </row>
        <row r="938">
          <cell r="AW938" t="str">
            <v>.</v>
          </cell>
        </row>
        <row r="939">
          <cell r="AW939" t="str">
            <v>.</v>
          </cell>
        </row>
        <row r="940">
          <cell r="AW940" t="str">
            <v>.</v>
          </cell>
        </row>
        <row r="941">
          <cell r="AW941" t="str">
            <v>.</v>
          </cell>
        </row>
        <row r="942">
          <cell r="AW942" t="str">
            <v>.</v>
          </cell>
        </row>
        <row r="943">
          <cell r="AW943" t="str">
            <v>.</v>
          </cell>
        </row>
        <row r="944">
          <cell r="AW944" t="str">
            <v>.</v>
          </cell>
        </row>
        <row r="945">
          <cell r="AW945" t="str">
            <v>.</v>
          </cell>
        </row>
        <row r="946">
          <cell r="AW946" t="str">
            <v>.</v>
          </cell>
        </row>
        <row r="947">
          <cell r="AW947" t="str">
            <v>.</v>
          </cell>
        </row>
        <row r="948">
          <cell r="AW948" t="str">
            <v>.</v>
          </cell>
        </row>
        <row r="949">
          <cell r="AW949" t="str">
            <v>.</v>
          </cell>
        </row>
        <row r="950">
          <cell r="AW950" t="str">
            <v>.</v>
          </cell>
        </row>
        <row r="951">
          <cell r="AW951" t="str">
            <v>.</v>
          </cell>
        </row>
        <row r="952">
          <cell r="AW952" t="str">
            <v>.</v>
          </cell>
        </row>
        <row r="953">
          <cell r="AW953" t="str">
            <v>.</v>
          </cell>
        </row>
        <row r="954">
          <cell r="AW954" t="str">
            <v>.</v>
          </cell>
        </row>
        <row r="955">
          <cell r="AW955" t="str">
            <v>.</v>
          </cell>
        </row>
        <row r="956">
          <cell r="AW956" t="str">
            <v>.</v>
          </cell>
        </row>
        <row r="957">
          <cell r="AW957" t="str">
            <v>.</v>
          </cell>
        </row>
        <row r="958">
          <cell r="AW958" t="str">
            <v>.</v>
          </cell>
        </row>
        <row r="959">
          <cell r="AW959" t="str">
            <v>.</v>
          </cell>
        </row>
        <row r="960">
          <cell r="AW960" t="str">
            <v>.</v>
          </cell>
        </row>
        <row r="961">
          <cell r="AW961" t="str">
            <v>.</v>
          </cell>
        </row>
        <row r="962">
          <cell r="AW962" t="str">
            <v>.</v>
          </cell>
        </row>
        <row r="963">
          <cell r="AW963" t="str">
            <v>.</v>
          </cell>
        </row>
        <row r="964">
          <cell r="AW964" t="str">
            <v>.</v>
          </cell>
        </row>
        <row r="965">
          <cell r="AW965" t="str">
            <v>.</v>
          </cell>
        </row>
        <row r="966">
          <cell r="AW966" t="str">
            <v>.</v>
          </cell>
        </row>
        <row r="967">
          <cell r="AW967" t="str">
            <v>.</v>
          </cell>
        </row>
        <row r="968">
          <cell r="AW968" t="str">
            <v>.</v>
          </cell>
        </row>
        <row r="969">
          <cell r="AW969" t="str">
            <v>.</v>
          </cell>
        </row>
        <row r="970">
          <cell r="AW970" t="str">
            <v>.</v>
          </cell>
        </row>
        <row r="971">
          <cell r="AW971" t="str">
            <v>.</v>
          </cell>
        </row>
        <row r="972">
          <cell r="AW972" t="str">
            <v>.</v>
          </cell>
        </row>
        <row r="973">
          <cell r="AW973" t="str">
            <v>.</v>
          </cell>
        </row>
        <row r="974">
          <cell r="AW974" t="str">
            <v>.</v>
          </cell>
        </row>
        <row r="975">
          <cell r="AW975" t="str">
            <v>.</v>
          </cell>
        </row>
        <row r="976">
          <cell r="AW976" t="str">
            <v>.</v>
          </cell>
        </row>
        <row r="977">
          <cell r="AW977" t="str">
            <v>.</v>
          </cell>
        </row>
        <row r="978">
          <cell r="AW978" t="str">
            <v>.</v>
          </cell>
        </row>
        <row r="979">
          <cell r="AW979" t="str">
            <v>.</v>
          </cell>
        </row>
        <row r="980">
          <cell r="AW980" t="str">
            <v>.</v>
          </cell>
        </row>
        <row r="981">
          <cell r="AW981" t="str">
            <v>.</v>
          </cell>
        </row>
        <row r="982">
          <cell r="AW982" t="str">
            <v>.</v>
          </cell>
        </row>
        <row r="983">
          <cell r="AW983" t="str">
            <v>.</v>
          </cell>
        </row>
        <row r="984">
          <cell r="AW984" t="str">
            <v>.</v>
          </cell>
        </row>
        <row r="985">
          <cell r="AW985" t="str">
            <v>.</v>
          </cell>
        </row>
        <row r="986">
          <cell r="AW986" t="str">
            <v>.</v>
          </cell>
        </row>
        <row r="987">
          <cell r="AW987" t="str">
            <v>.</v>
          </cell>
        </row>
        <row r="988">
          <cell r="AW988" t="str">
            <v>.</v>
          </cell>
        </row>
        <row r="989">
          <cell r="AW989" t="str">
            <v>.</v>
          </cell>
        </row>
        <row r="990">
          <cell r="AW990" t="str">
            <v>.</v>
          </cell>
        </row>
        <row r="991">
          <cell r="AW991" t="str">
            <v>.</v>
          </cell>
        </row>
        <row r="992">
          <cell r="AW992" t="str">
            <v>.</v>
          </cell>
        </row>
        <row r="993">
          <cell r="AW993" t="str">
            <v>.</v>
          </cell>
        </row>
        <row r="994">
          <cell r="AW994" t="str">
            <v>.</v>
          </cell>
        </row>
        <row r="995">
          <cell r="AW995" t="str">
            <v>.</v>
          </cell>
        </row>
        <row r="996">
          <cell r="A996" t="str">
            <v>.</v>
          </cell>
          <cell r="B996" t="str">
            <v>.</v>
          </cell>
          <cell r="C996" t="str">
            <v>.</v>
          </cell>
          <cell r="D996" t="str">
            <v>.</v>
          </cell>
          <cell r="E996" t="str">
            <v>.</v>
          </cell>
          <cell r="F996" t="str">
            <v>.</v>
          </cell>
          <cell r="O996" t="str">
            <v>.</v>
          </cell>
          <cell r="P996" t="str">
            <v>.</v>
          </cell>
          <cell r="Q996" t="str">
            <v>.</v>
          </cell>
          <cell r="R996" t="str">
            <v>.</v>
          </cell>
          <cell r="S996" t="str">
            <v>.</v>
          </cell>
          <cell r="T996" t="str">
            <v>.</v>
          </cell>
          <cell r="U996" t="str">
            <v>.</v>
          </cell>
          <cell r="V996" t="str">
            <v>.</v>
          </cell>
          <cell r="W996" t="str">
            <v>.</v>
          </cell>
          <cell r="X996" t="str">
            <v>.</v>
          </cell>
          <cell r="Y996" t="str">
            <v>.</v>
          </cell>
          <cell r="Z996" t="str">
            <v>.</v>
          </cell>
          <cell r="AA996" t="str">
            <v>.</v>
          </cell>
          <cell r="AB996" t="str">
            <v>.</v>
          </cell>
          <cell r="AC996" t="str">
            <v>.</v>
          </cell>
          <cell r="AD996" t="str">
            <v>.</v>
          </cell>
          <cell r="AE996" t="str">
            <v>.</v>
          </cell>
          <cell r="AF996" t="str">
            <v>.</v>
          </cell>
          <cell r="AG996" t="str">
            <v>.</v>
          </cell>
          <cell r="AH996" t="str">
            <v>.</v>
          </cell>
          <cell r="AI996" t="str">
            <v>.</v>
          </cell>
          <cell r="AJ996" t="str">
            <v>.</v>
          </cell>
          <cell r="AK996" t="str">
            <v>.</v>
          </cell>
          <cell r="AL996" t="str">
            <v>.</v>
          </cell>
          <cell r="AM996" t="str">
            <v>.</v>
          </cell>
          <cell r="AN996" t="str">
            <v>.</v>
          </cell>
          <cell r="AO996" t="str">
            <v>.</v>
          </cell>
          <cell r="AP996" t="str">
            <v>.</v>
          </cell>
          <cell r="AQ996" t="str">
            <v>.</v>
          </cell>
          <cell r="AR996" t="str">
            <v>.</v>
          </cell>
          <cell r="AS996" t="str">
            <v>.</v>
          </cell>
          <cell r="AT996" t="str">
            <v>.</v>
          </cell>
          <cell r="AU996" t="str">
            <v>.</v>
          </cell>
          <cell r="AV996" t="str">
            <v>.</v>
          </cell>
          <cell r="AW996" t="str">
            <v>.</v>
          </cell>
        </row>
      </sheetData>
      <sheetData sheetId="14" refreshError="1">
        <row r="1">
          <cell r="P1" t="str">
            <v>SmartCharts</v>
          </cell>
        </row>
        <row r="6">
          <cell r="C6" t="str">
            <v>Input value axis title here:</v>
          </cell>
        </row>
        <row r="7">
          <cell r="C7" t="str">
            <v>Current Dividend as % of Projected FCF</v>
          </cell>
        </row>
        <row r="10">
          <cell r="C10" t="str">
            <v>Input your data here:</v>
          </cell>
          <cell r="BB10" t="str">
            <v>.</v>
          </cell>
        </row>
        <row r="11">
          <cell r="D11" t="str">
            <v>Pre-Dividend FCF</v>
          </cell>
          <cell r="E11" t="str">
            <v>Current Dividend</v>
          </cell>
          <cell r="F11" t="str">
            <v>Div. / FCF</v>
          </cell>
          <cell r="AB11" t="str">
            <v>Cells below are used for chart calculations; please do not make any changes</v>
          </cell>
        </row>
        <row r="12">
          <cell r="AB12">
            <v>244.75657931408091</v>
          </cell>
          <cell r="AC12">
            <v>244.75657931408091</v>
          </cell>
        </row>
        <row r="13">
          <cell r="AB13">
            <v>244.75657931408091</v>
          </cell>
          <cell r="AC13">
            <v>244.75657931408091</v>
          </cell>
        </row>
        <row r="14">
          <cell r="C14" t="str">
            <v>2011e</v>
          </cell>
          <cell r="D14">
            <v>96.736330472514965</v>
          </cell>
          <cell r="E14">
            <v>113</v>
          </cell>
          <cell r="F14">
            <v>1.1681236971471223</v>
          </cell>
          <cell r="AB14">
            <v>148.02024884156594</v>
          </cell>
          <cell r="AC14">
            <v>131.75657931408091</v>
          </cell>
        </row>
        <row r="15">
          <cell r="C15" t="str">
            <v>2012e</v>
          </cell>
          <cell r="D15">
            <v>170.37541823634081</v>
          </cell>
          <cell r="E15">
            <v>113</v>
          </cell>
          <cell r="F15">
            <v>0.66324121853804663</v>
          </cell>
          <cell r="AB15">
            <v>74.381161077740103</v>
          </cell>
          <cell r="AC15">
            <v>131.75657931408091</v>
          </cell>
        </row>
        <row r="16">
          <cell r="C16" t="str">
            <v>2013e</v>
          </cell>
          <cell r="D16">
            <v>192.95025703722308</v>
          </cell>
          <cell r="E16">
            <v>113</v>
          </cell>
          <cell r="F16">
            <v>0.58564316904848979</v>
          </cell>
          <cell r="AB16">
            <v>51.806322276857827</v>
          </cell>
          <cell r="AC16">
            <v>131.75657931408091</v>
          </cell>
        </row>
        <row r="17">
          <cell r="C17" t="str">
            <v>2014e</v>
          </cell>
          <cell r="D17">
            <v>216.27040321437914</v>
          </cell>
          <cell r="E17">
            <v>113</v>
          </cell>
          <cell r="F17">
            <v>0.52249405522210157</v>
          </cell>
          <cell r="AB17">
            <v>28.486176099701765</v>
          </cell>
          <cell r="AC17">
            <v>131.75657931408091</v>
          </cell>
        </row>
        <row r="18">
          <cell r="C18" t="str">
            <v>2015e</v>
          </cell>
          <cell r="D18">
            <v>244.75657931408091</v>
          </cell>
          <cell r="E18">
            <v>113</v>
          </cell>
          <cell r="F18">
            <v>0.46168319689986403</v>
          </cell>
          <cell r="AB18">
            <v>0</v>
          </cell>
          <cell r="AC18">
            <v>131.75657931408091</v>
          </cell>
        </row>
        <row r="19">
          <cell r="AB19">
            <v>244.75657931408091</v>
          </cell>
          <cell r="AC19">
            <v>244.75657931408091</v>
          </cell>
        </row>
        <row r="20">
          <cell r="AB20">
            <v>244.75657931408091</v>
          </cell>
          <cell r="AC20">
            <v>244.75657931408091</v>
          </cell>
        </row>
        <row r="21">
          <cell r="AB21">
            <v>244.75657931408091</v>
          </cell>
          <cell r="AC21">
            <v>244.75657931408091</v>
          </cell>
        </row>
        <row r="22">
          <cell r="AB22">
            <v>244.75657931408091</v>
          </cell>
          <cell r="AC22">
            <v>244.75657931408091</v>
          </cell>
        </row>
        <row r="23">
          <cell r="AB23">
            <v>244.75657931408091</v>
          </cell>
          <cell r="AC23">
            <v>244.75657931408091</v>
          </cell>
        </row>
        <row r="24">
          <cell r="AB24">
            <v>244.75657931408091</v>
          </cell>
          <cell r="AC24">
            <v>244.75657931408091</v>
          </cell>
        </row>
        <row r="25">
          <cell r="AB25">
            <v>244.75657931408091</v>
          </cell>
          <cell r="AC25">
            <v>244.75657931408091</v>
          </cell>
        </row>
        <row r="26">
          <cell r="AB26">
            <v>244.75657931408091</v>
          </cell>
          <cell r="AC26">
            <v>244.75657931408091</v>
          </cell>
        </row>
        <row r="27">
          <cell r="AB27">
            <v>244.75657931408091</v>
          </cell>
          <cell r="AC27">
            <v>244.75657931408091</v>
          </cell>
        </row>
        <row r="28">
          <cell r="AB28">
            <v>244.75657931408091</v>
          </cell>
          <cell r="AC28">
            <v>244.75657931408091</v>
          </cell>
        </row>
        <row r="29">
          <cell r="AB29">
            <v>244.75657931408091</v>
          </cell>
          <cell r="AC29">
            <v>244.75657931408091</v>
          </cell>
        </row>
        <row r="30">
          <cell r="AB30">
            <v>244.75657931408091</v>
          </cell>
          <cell r="AC30">
            <v>244.75657931408091</v>
          </cell>
        </row>
        <row r="31">
          <cell r="AB31">
            <v>244.75657931408091</v>
          </cell>
          <cell r="AC31">
            <v>244.75657931408091</v>
          </cell>
        </row>
        <row r="998">
          <cell r="R998" t="str">
            <v>.</v>
          </cell>
          <cell r="S998" t="str">
            <v>.</v>
          </cell>
          <cell r="T998" t="str">
            <v>.</v>
          </cell>
          <cell r="U998" t="str">
            <v>.</v>
          </cell>
          <cell r="V998" t="str">
            <v>.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Valuation Summary"/>
      <sheetName val="EWC"/>
      <sheetName val="MW-Cache"/>
      <sheetName val="mwareSettings"/>
      <sheetName val="Rate Case"/>
      <sheetName val="EMG 5"/>
    </sheetNames>
    <sheetDataSet>
      <sheetData sheetId="0" refreshError="1"/>
      <sheetData sheetId="1" refreshError="1">
        <row r="8">
          <cell r="BO8">
            <v>0.4</v>
          </cell>
        </row>
        <row r="11">
          <cell r="BO11">
            <v>72.260000000000005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troduction"/>
      <sheetName val="Income Statement"/>
      <sheetName val="Cash Flow"/>
      <sheetName val="Balance Sheet"/>
      <sheetName val="Fin Stats"/>
      <sheetName val="PTF Worksheet"/>
      <sheetName val="Power Plants"/>
      <sheetName val="Op Co"/>
      <sheetName val="DCF - Valuation"/>
      <sheetName val="New Resources"/>
      <sheetName val="Trading Vol"/>
      <sheetName val="TX Brownfield"/>
      <sheetName val="ERCOT Res Margin"/>
      <sheetName val="SE Assets &amp; RFPs"/>
    </sheetNames>
    <sheetDataSet>
      <sheetData sheetId="0" refreshError="1"/>
      <sheetData sheetId="1" refreshError="1">
        <row r="1">
          <cell r="O1" t="str">
            <v>Jennifer Rowland/Seth Tennant (212) 622-6702/6616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 Statement"/>
      <sheetName val="Fin Stats"/>
      <sheetName val="Model Introduction"/>
      <sheetName val="Quarterly"/>
      <sheetName val="Cash Flow"/>
      <sheetName val="Balance Sheet"/>
      <sheetName val="APS"/>
      <sheetName val="Power Plants"/>
    </sheetNames>
    <sheetDataSet>
      <sheetData sheetId="0" refreshError="1">
        <row r="1">
          <cell r="K1" t="str">
            <v>no</v>
          </cell>
        </row>
        <row r="2">
          <cell r="K2" t="str">
            <v>yes</v>
          </cell>
        </row>
      </sheetData>
      <sheetData sheetId="1" refreshError="1">
        <row r="22">
          <cell r="B22">
            <v>0.77868308483197712</v>
          </cell>
          <cell r="C22">
            <v>0.77606831840530421</v>
          </cell>
          <cell r="D22">
            <v>0.74089945591522299</v>
          </cell>
          <cell r="E22">
            <v>0.56459162653765549</v>
          </cell>
          <cell r="F22">
            <v>0.55949532085758447</v>
          </cell>
          <cell r="G22">
            <v>0.73700848488157678</v>
          </cell>
          <cell r="H22">
            <v>0.69402864309410139</v>
          </cell>
          <cell r="I22">
            <v>0.70492076089335931</v>
          </cell>
          <cell r="J22">
            <v>0.70594664159430798</v>
          </cell>
          <cell r="K22">
            <v>0.6975307483044092</v>
          </cell>
          <cell r="L22">
            <v>0.69864210564587026</v>
          </cell>
        </row>
        <row r="23">
          <cell r="B23">
            <v>0.26512586803380017</v>
          </cell>
          <cell r="C23">
            <v>0.26212612094661353</v>
          </cell>
          <cell r="D23">
            <v>0.24889253359674626</v>
          </cell>
          <cell r="E23">
            <v>0.20671051526483869</v>
          </cell>
          <cell r="F23">
            <v>0.19918190876953953</v>
          </cell>
          <cell r="G23">
            <v>0.19567402614588736</v>
          </cell>
          <cell r="H23">
            <v>0.17107108535153723</v>
          </cell>
          <cell r="I23">
            <v>0.19520208673037562</v>
          </cell>
          <cell r="J23">
            <v>0.21129361392514523</v>
          </cell>
          <cell r="K23">
            <v>0.2082445975058651</v>
          </cell>
          <cell r="L23">
            <v>0.20815358761461225</v>
          </cell>
        </row>
        <row r="24">
          <cell r="B24">
            <v>0.26088832927490679</v>
          </cell>
          <cell r="C24">
            <v>0.25757266872681783</v>
          </cell>
          <cell r="D24">
            <v>0.25312829427217692</v>
          </cell>
          <cell r="E24">
            <v>0.20558951018777882</v>
          </cell>
          <cell r="F24">
            <v>0.19707200770300976</v>
          </cell>
          <cell r="G24">
            <v>0.18863988224226549</v>
          </cell>
          <cell r="H24">
            <v>0.18144387994827263</v>
          </cell>
          <cell r="I24">
            <v>0.19520208673037562</v>
          </cell>
          <cell r="J24">
            <v>0.21129361392514523</v>
          </cell>
          <cell r="K24">
            <v>0.2082445975058651</v>
          </cell>
          <cell r="L24">
            <v>0.20815358761461225</v>
          </cell>
        </row>
        <row r="25">
          <cell r="B25">
            <v>0.18185176534040171</v>
          </cell>
          <cell r="C25">
            <v>0.18649941016318411</v>
          </cell>
          <cell r="D25">
            <v>0.18699715115774271</v>
          </cell>
          <cell r="E25">
            <v>0.15916925734134915</v>
          </cell>
          <cell r="F25">
            <v>0.15937015873315177</v>
          </cell>
          <cell r="G25">
            <v>0.13394601026285033</v>
          </cell>
          <cell r="H25">
            <v>0.11928802506306217</v>
          </cell>
          <cell r="I25">
            <v>0.12875036830087194</v>
          </cell>
          <cell r="J25">
            <v>0.1486966617201877</v>
          </cell>
          <cell r="K25">
            <v>0.14377537219807365</v>
          </cell>
          <cell r="L25">
            <v>0.14648565228403998</v>
          </cell>
        </row>
        <row r="26">
          <cell r="B26">
            <v>0.11822201815916197</v>
          </cell>
          <cell r="C26">
            <v>0.11874566422274271</v>
          </cell>
          <cell r="D26">
            <v>0.1226324993488165</v>
          </cell>
          <cell r="E26">
            <v>9.6916130099419157E-2</v>
          </cell>
          <cell r="F26">
            <v>9.6454682648604906E-2</v>
          </cell>
          <cell r="G26">
            <v>8.1581432984526719E-2</v>
          </cell>
          <cell r="H26">
            <v>8.1826866705561496E-2</v>
          </cell>
          <cell r="I26">
            <v>7.8537724663531885E-2</v>
          </cell>
          <cell r="J26">
            <v>9.0704963649314505E-2</v>
          </cell>
          <cell r="K26">
            <v>8.7702977040824942E-2</v>
          </cell>
          <cell r="L26">
            <v>8.9356247893264379E-2</v>
          </cell>
        </row>
        <row r="29">
          <cell r="B29">
            <v>3.4429436923328942E-2</v>
          </cell>
          <cell r="C29">
            <v>3.5613639256115222E-2</v>
          </cell>
          <cell r="D29">
            <v>4.0382013379539436E-2</v>
          </cell>
          <cell r="E29">
            <v>4.4156396121133194E-2</v>
          </cell>
          <cell r="F29">
            <v>4.3469069913782049E-2</v>
          </cell>
          <cell r="G29">
            <v>2.6293957209824085E-2</v>
          </cell>
          <cell r="H29">
            <v>2.6927331351401528E-2</v>
          </cell>
          <cell r="I29">
            <v>2.6258240985668199E-2</v>
          </cell>
          <cell r="J29">
            <v>3.2988277881780916E-2</v>
          </cell>
          <cell r="K29">
            <v>3.1580055492802954E-2</v>
          </cell>
          <cell r="L29">
            <v>3.288898464941778E-2</v>
          </cell>
        </row>
        <row r="30">
          <cell r="B30">
            <v>0.10727568535752587</v>
          </cell>
          <cell r="C30">
            <v>0.1089888716857194</v>
          </cell>
          <cell r="D30">
            <v>0.12085679246022625</v>
          </cell>
          <cell r="E30">
            <v>0.13177966314092776</v>
          </cell>
          <cell r="F30">
            <v>0.13411082300277516</v>
          </cell>
          <cell r="G30">
            <v>8.298293155729565E-2</v>
          </cell>
          <cell r="H30">
            <v>8.4685748760105831E-2</v>
          </cell>
          <cell r="I30">
            <v>8.1853777456058971E-2</v>
          </cell>
          <cell r="J30">
            <v>0.10026353723059922</v>
          </cell>
          <cell r="K30">
            <v>9.307361227777565E-2</v>
          </cell>
          <cell r="L30">
            <v>9.4387736900846675E-2</v>
          </cell>
        </row>
        <row r="31">
          <cell r="B31">
            <v>7.2264624543368086E-2</v>
          </cell>
          <cell r="C31">
            <v>7.1857363711487862E-2</v>
          </cell>
          <cell r="D31">
            <v>7.9219866129955185E-2</v>
          </cell>
          <cell r="E31">
            <v>8.2655835228165483E-2</v>
          </cell>
          <cell r="F31">
            <v>7.6463608154272986E-2</v>
          </cell>
          <cell r="G31">
            <v>5.1994278471109386E-2</v>
          </cell>
          <cell r="H31">
            <v>5.6995930564830218E-2</v>
          </cell>
          <cell r="I31">
            <v>5.4579630121736056E-2</v>
          </cell>
          <cell r="J31">
            <v>6.4433361252323407E-2</v>
          </cell>
          <cell r="K31">
            <v>6.2986023648644238E-2</v>
          </cell>
          <cell r="L31">
            <v>6.4307005297087078E-2</v>
          </cell>
        </row>
        <row r="32">
          <cell r="B32">
            <v>0.42281997187060483</v>
          </cell>
          <cell r="C32">
            <v>0.1084138281647178</v>
          </cell>
          <cell r="D32">
            <v>-0.24764039641340263</v>
          </cell>
          <cell r="E32">
            <v>0.60520287958115204</v>
          </cell>
          <cell r="F32">
            <v>-8.9334453075792575E-2</v>
          </cell>
          <cell r="G32">
            <v>-0.14659498207885299</v>
          </cell>
          <cell r="H32">
            <v>0.22455265473745961</v>
          </cell>
        </row>
        <row r="35">
          <cell r="B35">
            <v>130.75</v>
          </cell>
          <cell r="C35">
            <v>178.83</v>
          </cell>
          <cell r="D35">
            <v>38.299999999999997</v>
          </cell>
          <cell r="E35">
            <v>82.775000000000006</v>
          </cell>
          <cell r="F35">
            <v>405.762</v>
          </cell>
          <cell r="G35">
            <v>102.18300000000001</v>
          </cell>
          <cell r="H35">
            <v>102.18300000000001</v>
          </cell>
          <cell r="I35">
            <v>102.18300000000001</v>
          </cell>
          <cell r="J35">
            <v>102.18300000000001</v>
          </cell>
          <cell r="K35">
            <v>102.18300000000001</v>
          </cell>
          <cell r="L35">
            <v>102.18300000000001</v>
          </cell>
        </row>
        <row r="36">
          <cell r="B36">
            <v>2352.9430000000002</v>
          </cell>
          <cell r="C36">
            <v>2217.0059999999999</v>
          </cell>
          <cell r="D36">
            <v>2320.8500000000004</v>
          </cell>
          <cell r="E36">
            <v>2418.5520000000001</v>
          </cell>
          <cell r="F36">
            <v>2799.2179999999998</v>
          </cell>
          <cell r="G36">
            <v>3162.7180000000003</v>
          </cell>
          <cell r="H36">
            <v>3494.2825784246579</v>
          </cell>
          <cell r="I36">
            <v>3409.4023946979632</v>
          </cell>
          <cell r="J36">
            <v>3356.307959796603</v>
          </cell>
          <cell r="K36">
            <v>3235.6895480620424</v>
          </cell>
          <cell r="L36">
            <v>3235.6895480620424</v>
          </cell>
        </row>
        <row r="37">
          <cell r="B37">
            <v>171.161</v>
          </cell>
          <cell r="C37">
            <v>95.241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</row>
        <row r="38">
          <cell r="B38">
            <v>2027.4359999999999</v>
          </cell>
          <cell r="C38">
            <v>2163.3510000000001</v>
          </cell>
          <cell r="D38">
            <v>2205.7330000000002</v>
          </cell>
          <cell r="E38">
            <v>2382.7139999999999</v>
          </cell>
          <cell r="F38">
            <v>2499.3229999999999</v>
          </cell>
          <cell r="G38">
            <v>2686.1529999999998</v>
          </cell>
          <cell r="H38">
            <v>2759.296875</v>
          </cell>
          <cell r="I38">
            <v>2821.0838979547543</v>
          </cell>
          <cell r="J38">
            <v>2933.86001457155</v>
          </cell>
          <cell r="K38">
            <v>3026.3719752234369</v>
          </cell>
          <cell r="L38">
            <v>3122.5776971706782</v>
          </cell>
        </row>
        <row r="39">
          <cell r="B39">
            <v>4682.29</v>
          </cell>
          <cell r="C39">
            <v>4654.4279999999999</v>
          </cell>
          <cell r="D39">
            <v>4564.8830000000007</v>
          </cell>
          <cell r="E39">
            <v>4884.0410000000002</v>
          </cell>
          <cell r="F39">
            <v>5704.3029999999999</v>
          </cell>
          <cell r="G39">
            <v>5951.0540000000001</v>
          </cell>
          <cell r="H39">
            <v>6355.7624534246579</v>
          </cell>
          <cell r="I39">
            <v>6332.6692926527176</v>
          </cell>
          <cell r="J39">
            <v>6392.3509743681534</v>
          </cell>
          <cell r="K39">
            <v>6364.2445232854789</v>
          </cell>
          <cell r="L39">
            <v>6460.4502452327206</v>
          </cell>
        </row>
        <row r="41">
          <cell r="B41">
            <v>0.50251970723727069</v>
          </cell>
          <cell r="C41">
            <v>0.47632190249800832</v>
          </cell>
          <cell r="D41">
            <v>0.50841390677482867</v>
          </cell>
          <cell r="E41">
            <v>0.49519486015780784</v>
          </cell>
          <cell r="F41">
            <v>0.49072042631676471</v>
          </cell>
          <cell r="G41">
            <v>0.53145510022258247</v>
          </cell>
          <cell r="H41">
            <v>0.54978180887516392</v>
          </cell>
          <cell r="I41">
            <v>0.53838314257995701</v>
          </cell>
          <cell r="J41">
            <v>0.52505063837305244</v>
          </cell>
          <cell r="K41">
            <v>0.50841691205033235</v>
          </cell>
          <cell r="L41">
            <v>0.50084582733993099</v>
          </cell>
        </row>
        <row r="42">
          <cell r="B42">
            <v>0.53044407757742473</v>
          </cell>
          <cell r="C42">
            <v>0.51474337985247598</v>
          </cell>
          <cell r="D42">
            <v>0.51680404514201139</v>
          </cell>
          <cell r="E42">
            <v>0.51214291608117135</v>
          </cell>
          <cell r="F42">
            <v>0.56185304322017959</v>
          </cell>
          <cell r="G42">
            <v>0.54862567202381296</v>
          </cell>
          <cell r="H42">
            <v>0.56585903025478623</v>
          </cell>
          <cell r="I42">
            <v>0.55451899229479285</v>
          </cell>
          <cell r="J42">
            <v>0.54103583699711588</v>
          </cell>
          <cell r="K42">
            <v>0.52447270620251063</v>
          </cell>
          <cell r="L42">
            <v>0.51666252681461589</v>
          </cell>
        </row>
        <row r="43">
          <cell r="B43">
            <v>0.43300094611824552</v>
          </cell>
          <cell r="C43">
            <v>0.4647941701966386</v>
          </cell>
          <cell r="D43">
            <v>0.48319595485798866</v>
          </cell>
          <cell r="E43">
            <v>0.48785708391882865</v>
          </cell>
          <cell r="F43">
            <v>0.43814695677982041</v>
          </cell>
          <cell r="G43">
            <v>0.45137432797618704</v>
          </cell>
          <cell r="H43">
            <v>0.43414096974521377</v>
          </cell>
          <cell r="I43">
            <v>0.44548100770520721</v>
          </cell>
          <cell r="J43">
            <v>0.45896416300288406</v>
          </cell>
          <cell r="K43">
            <v>0.47552729379748943</v>
          </cell>
          <cell r="L43">
            <v>0.48333747318538411</v>
          </cell>
        </row>
        <row r="44">
          <cell r="B44">
            <v>3.6554976304329717E-2</v>
          </cell>
          <cell r="C44">
            <v>2.0462449950885479E-2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B45">
            <v>2.9342101554263951</v>
          </cell>
          <cell r="C45">
            <v>3.2130507699344415</v>
          </cell>
          <cell r="D45">
            <v>3.5435593285054274</v>
          </cell>
          <cell r="E45">
            <v>3.8531244179829027</v>
          </cell>
          <cell r="F45">
            <v>3.8041997019713105</v>
          </cell>
          <cell r="G45">
            <v>2.6412958646796154</v>
          </cell>
          <cell r="H45">
            <v>2.4990566498851354</v>
          </cell>
          <cell r="I45">
            <v>2.6619930489627879</v>
          </cell>
          <cell r="J45">
            <v>3.2140353503573347</v>
          </cell>
          <cell r="K45">
            <v>3.2301395977950058</v>
          </cell>
          <cell r="L45">
            <v>3.3753941411983486</v>
          </cell>
          <cell r="M45" t="str">
            <v>why add back taxes OTI?</v>
          </cell>
        </row>
        <row r="50">
          <cell r="B50">
            <v>2483.6930000000002</v>
          </cell>
          <cell r="C50">
            <v>2395.8359999999998</v>
          </cell>
          <cell r="D50">
            <v>2359.1500000000005</v>
          </cell>
          <cell r="E50">
            <v>2501.3270000000002</v>
          </cell>
          <cell r="F50">
            <v>3204.98</v>
          </cell>
          <cell r="G50">
            <v>3264.9010000000003</v>
          </cell>
          <cell r="H50">
            <v>3596.4655784246579</v>
          </cell>
          <cell r="I50">
            <v>3511.5853946979632</v>
          </cell>
          <cell r="J50">
            <v>3458.490959796603</v>
          </cell>
          <cell r="K50">
            <v>3337.8725480620424</v>
          </cell>
          <cell r="L50">
            <v>3337.8725480620424</v>
          </cell>
        </row>
        <row r="51">
          <cell r="B51">
            <v>2456.2089999999998</v>
          </cell>
          <cell r="C51">
            <v>2375.2979999999998</v>
          </cell>
          <cell r="D51">
            <v>2338.4450000000006</v>
          </cell>
          <cell r="E51">
            <v>2490.9639999999999</v>
          </cell>
          <cell r="F51">
            <v>3176.3609999999999</v>
          </cell>
          <cell r="G51">
            <v>3187.1940000000009</v>
          </cell>
          <cell r="H51">
            <v>3518.7585784246585</v>
          </cell>
          <cell r="I51">
            <v>3433.8783946979638</v>
          </cell>
          <cell r="J51">
            <v>3380.7839597966035</v>
          </cell>
          <cell r="K51">
            <v>3260.1655480620429</v>
          </cell>
          <cell r="L51">
            <v>3119.937592121988</v>
          </cell>
        </row>
        <row r="52">
          <cell r="B52">
            <v>171.161</v>
          </cell>
          <cell r="C52">
            <v>95.241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B54">
            <v>84.824946999999995</v>
          </cell>
          <cell r="C54">
            <v>84.824946999999995</v>
          </cell>
          <cell r="D54">
            <v>84.824946999999995</v>
          </cell>
          <cell r="E54">
            <v>84.824946999999995</v>
          </cell>
          <cell r="F54">
            <v>84.824946999999995</v>
          </cell>
          <cell r="G54">
            <v>91.379947000000001</v>
          </cell>
          <cell r="H54">
            <v>91.287999999999997</v>
          </cell>
          <cell r="I54">
            <v>91.287999999999997</v>
          </cell>
          <cell r="J54">
            <v>91.287999999999997</v>
          </cell>
          <cell r="K54">
            <v>91.287999999999997</v>
          </cell>
          <cell r="L54">
            <v>91.287999999999997</v>
          </cell>
        </row>
        <row r="55">
          <cell r="B55">
            <v>39.340000000000003</v>
          </cell>
          <cell r="C55">
            <v>42.38</v>
          </cell>
          <cell r="D55">
            <v>30.56</v>
          </cell>
          <cell r="E55">
            <v>47.63</v>
          </cell>
          <cell r="F55">
            <v>41.85</v>
          </cell>
          <cell r="G55">
            <v>34.090000000000003</v>
          </cell>
          <cell r="H55">
            <v>40.020000000000003</v>
          </cell>
          <cell r="I55">
            <v>40.020000000000003</v>
          </cell>
          <cell r="J55">
            <v>40.020000000000003</v>
          </cell>
          <cell r="K55">
            <v>40.020000000000003</v>
          </cell>
          <cell r="L55">
            <v>40.020000000000003</v>
          </cell>
        </row>
        <row r="56">
          <cell r="B56">
            <v>3337.0134149800001</v>
          </cell>
          <cell r="C56">
            <v>3594.88125386</v>
          </cell>
          <cell r="D56">
            <v>2592.2503803199997</v>
          </cell>
          <cell r="E56">
            <v>4040.2122256100001</v>
          </cell>
          <cell r="F56">
            <v>3549.92403195</v>
          </cell>
          <cell r="G56">
            <v>3115.1423932300004</v>
          </cell>
          <cell r="H56">
            <v>3653.3457600000002</v>
          </cell>
          <cell r="I56">
            <v>3653.3457600000002</v>
          </cell>
          <cell r="J56">
            <v>3653.3457600000002</v>
          </cell>
          <cell r="K56">
            <v>3653.3457600000002</v>
          </cell>
          <cell r="L56">
            <v>3653.3457600000002</v>
          </cell>
        </row>
        <row r="57">
          <cell r="B57">
            <v>5964.3834149800005</v>
          </cell>
          <cell r="C57">
            <v>6065.4202538600002</v>
          </cell>
          <cell r="D57">
            <v>4930.6953803200004</v>
          </cell>
          <cell r="E57">
            <v>6531.1762256100001</v>
          </cell>
          <cell r="F57">
            <v>6726.2850319499994</v>
          </cell>
          <cell r="G57">
            <v>6302.3363932300017</v>
          </cell>
          <cell r="H57">
            <v>7172.1043384246586</v>
          </cell>
          <cell r="I57">
            <v>7087.224154697964</v>
          </cell>
          <cell r="J57">
            <v>7034.1297197966032</v>
          </cell>
          <cell r="K57">
            <v>6913.5113080620431</v>
          </cell>
          <cell r="L57">
            <v>6773.2833521219882</v>
          </cell>
        </row>
        <row r="59">
          <cell r="B59">
            <v>7.1419052193648733E-2</v>
          </cell>
          <cell r="C59">
            <v>6.7209355657072631E-2</v>
          </cell>
          <cell r="D59">
            <v>6.6095673047197198E-2</v>
          </cell>
          <cell r="E59">
            <v>6.8489985653671426E-2</v>
          </cell>
          <cell r="F59">
            <v>6.1623743692724553E-2</v>
          </cell>
          <cell r="G59">
            <v>5.8224563944839172E-2</v>
          </cell>
          <cell r="H59">
            <v>5.8000000000000003E-2</v>
          </cell>
          <cell r="I59">
            <v>0.06</v>
          </cell>
          <cell r="J59">
            <v>0.06</v>
          </cell>
          <cell r="K59">
            <v>0.06</v>
          </cell>
          <cell r="L59">
            <v>0.06</v>
          </cell>
        </row>
        <row r="60">
          <cell r="B60">
            <v>1.2250413823173705</v>
          </cell>
          <cell r="C60">
            <v>1.1074652240898493</v>
          </cell>
          <cell r="D60">
            <v>1.0695537492525162</v>
          </cell>
          <cell r="E60">
            <v>1.049780628308727</v>
          </cell>
          <cell r="F60">
            <v>1.2823392574709231</v>
          </cell>
          <cell r="G60">
            <v>1.2154560816156044</v>
          </cell>
          <cell r="H60">
            <v>1.3033992866116146</v>
          </cell>
          <cell r="I60">
            <v>1.2447646088242228</v>
          </cell>
          <cell r="J60">
            <v>1.1788193515094032</v>
          </cell>
          <cell r="K60">
            <v>1.1029287131221228</v>
          </cell>
          <cell r="L60">
            <v>1.0689477962666676</v>
          </cell>
        </row>
        <row r="61">
          <cell r="B61">
            <v>0.53044407757742473</v>
          </cell>
          <cell r="C61">
            <v>0.51474337985247598</v>
          </cell>
          <cell r="D61">
            <v>0.51680404514201139</v>
          </cell>
          <cell r="E61">
            <v>0.51214291608117135</v>
          </cell>
          <cell r="F61">
            <v>0.56185304322017959</v>
          </cell>
          <cell r="G61">
            <v>0.54862567202381296</v>
          </cell>
          <cell r="H61">
            <v>0.56585903025478623</v>
          </cell>
          <cell r="I61">
            <v>0.55451899229479285</v>
          </cell>
          <cell r="J61">
            <v>0.54103583699711588</v>
          </cell>
          <cell r="K61">
            <v>0.52447270620251063</v>
          </cell>
          <cell r="L61">
            <v>0.51666252681461589</v>
          </cell>
        </row>
        <row r="62">
          <cell r="B62">
            <v>0.41451067388284157</v>
          </cell>
          <cell r="C62">
            <v>0.39366619027996919</v>
          </cell>
          <cell r="D62">
            <v>0.47646116629484381</v>
          </cell>
          <cell r="E62">
            <v>0.38237590783027842</v>
          </cell>
          <cell r="F62">
            <v>0.47446714044208105</v>
          </cell>
          <cell r="G62">
            <v>0.51173648810358507</v>
          </cell>
          <cell r="H62">
            <v>0.49607712677474292</v>
          </cell>
          <cell r="I62">
            <v>0.4901073463065248</v>
          </cell>
          <cell r="J62">
            <v>0.48630066972284408</v>
          </cell>
          <cell r="K62">
            <v>0.47743789436712591</v>
          </cell>
          <cell r="L62">
            <v>0.47743789436712591</v>
          </cell>
        </row>
        <row r="66">
          <cell r="B66">
            <v>7.5977710553970706E-2</v>
          </cell>
          <cell r="C66">
            <v>7.7249979326107346E-2</v>
          </cell>
          <cell r="D66">
            <v>8.3353354292845475E-2</v>
          </cell>
          <cell r="E66">
            <v>9.3669566055606654E-2</v>
          </cell>
          <cell r="F66">
            <v>8.8814110892888112E-2</v>
          </cell>
          <cell r="G66">
            <v>6.0799238384120408E-2</v>
          </cell>
          <cell r="H66">
            <v>5.9708988914749503E-2</v>
          </cell>
          <cell r="I66">
            <v>6.5263711881527839E-2</v>
          </cell>
          <cell r="J66">
            <v>7.6844884451492762E-2</v>
          </cell>
          <cell r="K66">
            <v>7.4984637548282912E-2</v>
          </cell>
          <cell r="L66">
            <v>7.6614230220987886E-2</v>
          </cell>
        </row>
        <row r="67">
          <cell r="B67">
            <v>9.1004533008720551E-2</v>
          </cell>
          <cell r="C67">
            <v>8.8829998434062585E-2</v>
          </cell>
          <cell r="D67">
            <v>9.5142593390104516E-2</v>
          </cell>
          <cell r="E67">
            <v>0.10419309915734913</v>
          </cell>
          <cell r="F67">
            <v>7.5825321705534923E-2</v>
          </cell>
          <cell r="G67">
            <v>0.10641773201130075</v>
          </cell>
          <cell r="H67">
            <v>7.069003098962412E-2</v>
          </cell>
          <cell r="I67">
            <v>8.2490386641547356E-2</v>
          </cell>
          <cell r="J67">
            <v>9.0424324384454316E-2</v>
          </cell>
          <cell r="K67">
            <v>9.1707759900882035E-2</v>
          </cell>
          <cell r="L67">
            <v>9.4545730492907626E-2</v>
          </cell>
        </row>
        <row r="74">
          <cell r="B74">
            <v>2.6997279285722819</v>
          </cell>
          <cell r="C74">
            <v>2.5481084105032643</v>
          </cell>
          <cell r="D74">
            <v>2.415469076999317</v>
          </cell>
          <cell r="E74">
            <v>2.3320874162059351</v>
          </cell>
          <cell r="F74">
            <v>2.9222121420723677</v>
          </cell>
          <cell r="G74">
            <v>3.5396408429479345</v>
          </cell>
          <cell r="H74">
            <v>3.7880460051343272</v>
          </cell>
          <cell r="I74">
            <v>3.4466743542136675</v>
          </cell>
          <cell r="J74">
            <v>3.0204432253681572</v>
          </cell>
          <cell r="K74">
            <v>2.8921701379812936</v>
          </cell>
          <cell r="L74">
            <v>2.7986823133468923</v>
          </cell>
        </row>
        <row r="75">
          <cell r="B75">
            <v>5.1863989221064042</v>
          </cell>
          <cell r="C75">
            <v>5.7340509223967073</v>
          </cell>
          <cell r="D75">
            <v>6.2152957197948346</v>
          </cell>
          <cell r="E75">
            <v>6.4439130774360613</v>
          </cell>
          <cell r="F75">
            <v>6.237928131860631</v>
          </cell>
          <cell r="G75">
            <v>4.8970921620574108</v>
          </cell>
          <cell r="H75">
            <v>4.6406227088322982</v>
          </cell>
          <cell r="I75">
            <v>4.7778355009750619</v>
          </cell>
          <cell r="J75">
            <v>5.4759210454593399</v>
          </cell>
          <cell r="K75">
            <v>5.6604121959133007</v>
          </cell>
          <cell r="L75">
            <v>5.9551834758748692</v>
          </cell>
        </row>
        <row r="76">
          <cell r="B76">
            <v>7.9803771084376534</v>
          </cell>
          <cell r="C76">
            <v>8.2211465830170525</v>
          </cell>
          <cell r="D76">
            <v>7.4676964689250367</v>
          </cell>
          <cell r="E76">
            <v>8.9479902625495278</v>
          </cell>
          <cell r="F76">
            <v>8.1249998085217783</v>
          </cell>
          <cell r="G76">
            <v>10.254636343320499</v>
          </cell>
          <cell r="H76">
            <v>6.8157168862187003</v>
          </cell>
          <cell r="I76">
            <v>7.0195890596680615</v>
          </cell>
          <cell r="J76">
            <v>7.516717778282012</v>
          </cell>
          <cell r="K76">
            <v>7.4554020692514413</v>
          </cell>
          <cell r="L76">
            <v>7.8501242195521268</v>
          </cell>
        </row>
        <row r="77">
          <cell r="B77">
            <v>0.28809679779264197</v>
          </cell>
          <cell r="C77">
            <v>0.27899155033983958</v>
          </cell>
          <cell r="D77">
            <v>0.261554373397198</v>
          </cell>
          <cell r="E77">
            <v>0.28016848656733012</v>
          </cell>
          <cell r="F77">
            <v>0.17216706500508577</v>
          </cell>
          <cell r="G77">
            <v>0.24902654016155451</v>
          </cell>
          <cell r="H77">
            <v>0.19427935142536698</v>
          </cell>
          <cell r="I77">
            <v>0.20206630999949976</v>
          </cell>
          <cell r="J77">
            <v>0.22884865272666285</v>
          </cell>
          <cell r="K77">
            <v>0.24053663796061861</v>
          </cell>
          <cell r="L77">
            <v>0.25071454643560781</v>
          </cell>
        </row>
        <row r="78">
          <cell r="B78">
            <v>0.25100485446470244</v>
          </cell>
          <cell r="C78">
            <v>0.25287123158680308</v>
          </cell>
          <cell r="D78">
            <v>0.26941907042790819</v>
          </cell>
          <cell r="E78">
            <v>0.2852062125423826</v>
          </cell>
          <cell r="F78">
            <v>0.17817365474979557</v>
          </cell>
          <cell r="G78">
            <v>0.26670762758196942</v>
          </cell>
          <cell r="H78">
            <v>0.16830733768359432</v>
          </cell>
          <cell r="I78">
            <v>0.20431819337499155</v>
          </cell>
          <cell r="J78">
            <v>0.22866153015703403</v>
          </cell>
          <cell r="K78">
            <v>0.24131437019733359</v>
          </cell>
          <cell r="L78">
            <v>0.24992414896859885</v>
          </cell>
        </row>
        <row r="79">
          <cell r="B79">
            <v>0.21228831421596803</v>
          </cell>
          <cell r="C79">
            <v>0.20952561026714681</v>
          </cell>
          <cell r="D79">
            <v>0.22181251722018508</v>
          </cell>
          <cell r="E79">
            <v>0.2369386329736177</v>
          </cell>
          <cell r="F79">
            <v>0.13786170272513393</v>
          </cell>
          <cell r="G79">
            <v>0.22452533782800749</v>
          </cell>
          <cell r="H79">
            <v>0.12453321512714843</v>
          </cell>
          <cell r="I79">
            <v>0.15687506405467222</v>
          </cell>
          <cell r="J79">
            <v>0.17785052557648862</v>
          </cell>
          <cell r="K79">
            <v>0.18593232749251909</v>
          </cell>
          <cell r="L79">
            <v>0.1918071905746577</v>
          </cell>
        </row>
        <row r="82">
          <cell r="B82">
            <v>2.9896269096142105</v>
          </cell>
          <cell r="C82">
            <v>2.9652782176221635</v>
          </cell>
          <cell r="D82">
            <v>2.2413871640359466</v>
          </cell>
          <cell r="E82">
            <v>2.0936464707124998</v>
          </cell>
          <cell r="F82">
            <v>1.9818176180274707</v>
          </cell>
          <cell r="G82">
            <v>2.3897116661642559</v>
          </cell>
          <cell r="H82">
            <v>2.5452381240834008</v>
          </cell>
          <cell r="I82">
            <v>2.4371480909920908</v>
          </cell>
          <cell r="J82">
            <v>2.2115018389272976</v>
          </cell>
          <cell r="K82">
            <v>2.1860156914406863</v>
          </cell>
          <cell r="L82">
            <v>2.085631859415026</v>
          </cell>
        </row>
        <row r="83">
          <cell r="B83">
            <v>2.9158830685692023</v>
          </cell>
          <cell r="C83">
            <v>2.7572084772763126</v>
          </cell>
          <cell r="D83">
            <v>1.5805932384256305</v>
          </cell>
          <cell r="E83">
            <v>1.9243311945410693</v>
          </cell>
          <cell r="F83">
            <v>2.5504639562025861</v>
          </cell>
          <cell r="G83">
            <v>2.2365746651101626</v>
          </cell>
          <cell r="H83">
            <v>2.4663366101100372</v>
          </cell>
          <cell r="I83">
            <v>2.2281945137994579</v>
          </cell>
          <cell r="J83">
            <v>2.2241545949557389</v>
          </cell>
          <cell r="K83">
            <v>2.1288109023230124</v>
          </cell>
        </row>
        <row r="85">
          <cell r="B85">
            <v>6.4831734365458331</v>
          </cell>
          <cell r="C85">
            <v>6.4509208318505582</v>
          </cell>
          <cell r="D85">
            <v>5.0484039672196959</v>
          </cell>
          <cell r="E85">
            <v>6.0892773670809355</v>
          </cell>
          <cell r="F85">
            <v>6.1328407014720563</v>
          </cell>
          <cell r="G85">
            <v>6.8326749581301502</v>
          </cell>
          <cell r="H85">
            <v>7.5541557663055636</v>
          </cell>
          <cell r="I85">
            <v>6.9562180584995126</v>
          </cell>
          <cell r="J85">
            <v>6.1431964708012341</v>
          </cell>
          <cell r="K85">
            <v>5.9903578299842799</v>
          </cell>
          <cell r="L85">
            <v>5.6791468361716522</v>
          </cell>
        </row>
        <row r="86">
          <cell r="B86">
            <v>6.3434623835591095</v>
          </cell>
          <cell r="C86">
            <v>6.2102176895085837</v>
          </cell>
          <cell r="D86">
            <v>4.5970849271562688</v>
          </cell>
          <cell r="E86">
            <v>5.9549458868672875</v>
          </cell>
          <cell r="F86">
            <v>7.2922986701279973</v>
          </cell>
          <cell r="G86">
            <v>6.6380560794480896</v>
          </cell>
          <cell r="H86">
            <v>7.0395292469084465</v>
          </cell>
          <cell r="I86">
            <v>6.1895660372007937</v>
          </cell>
          <cell r="J86">
            <v>6.0948701993112531</v>
          </cell>
          <cell r="K86">
            <v>5.7967227754788846</v>
          </cell>
        </row>
        <row r="88">
          <cell r="B88">
            <v>5.4283632998031797</v>
          </cell>
          <cell r="C88">
            <v>5.9701825900653329</v>
          </cell>
          <cell r="D88">
            <v>4.0872797986154827</v>
          </cell>
          <cell r="E88">
            <v>5.6707149905942567</v>
          </cell>
          <cell r="F88">
            <v>6.2242606949038892</v>
          </cell>
          <cell r="G88">
            <v>3.3262623367257196</v>
          </cell>
          <cell r="H88">
            <v>6.0432154659793706</v>
          </cell>
          <cell r="I88">
            <v>5.099716456509003</v>
          </cell>
          <cell r="J88">
            <v>4.626755540892848</v>
          </cell>
          <cell r="K88">
            <v>4.5425882101289128</v>
          </cell>
          <cell r="L88">
            <v>4.3860980122045747</v>
          </cell>
        </row>
        <row r="91">
          <cell r="B91">
            <v>14.348351621328252</v>
          </cell>
          <cell r="C91">
            <v>14.891241704131879</v>
          </cell>
          <cell r="D91">
            <v>9.6298913156295001</v>
          </cell>
          <cell r="E91">
            <v>13.380833156926812</v>
          </cell>
          <cell r="F91">
            <v>10.857296245498182</v>
          </cell>
          <cell r="G91">
            <v>13.462153723164471</v>
          </cell>
          <cell r="H91">
            <v>15.864739174935824</v>
          </cell>
          <cell r="I91">
            <v>16.020783055852679</v>
          </cell>
          <cell r="J91">
            <v>12.682421476397479</v>
          </cell>
          <cell r="K91">
            <v>13.191572415001621</v>
          </cell>
          <cell r="L91">
            <v>12.60868479211968</v>
          </cell>
        </row>
        <row r="94">
          <cell r="B94">
            <v>1.6459278689832872</v>
          </cell>
          <cell r="C94">
            <v>1.6617189045420737</v>
          </cell>
          <cell r="D94">
            <v>1.1752330768592569</v>
          </cell>
          <cell r="E94">
            <v>1.6956345686515462</v>
          </cell>
          <cell r="F94">
            <v>1.4203542447094673</v>
          </cell>
          <cell r="G94">
            <v>1.1597040054047556</v>
          </cell>
          <cell r="H94">
            <v>1.3240132995837934</v>
          </cell>
          <cell r="I94">
            <v>1.2950149276484204</v>
          </cell>
          <cell r="J94">
            <v>1.2452351993125077</v>
          </cell>
          <cell r="K94">
            <v>1.2071701000106816</v>
          </cell>
          <cell r="L94">
            <v>1.1699775359665969</v>
          </cell>
        </row>
        <row r="99">
          <cell r="B99">
            <v>1995.0260000000001</v>
          </cell>
          <cell r="C99">
            <v>2045.481</v>
          </cell>
          <cell r="D99">
            <v>2199.8409999999999</v>
          </cell>
          <cell r="E99">
            <v>3119.5220000000004</v>
          </cell>
          <cell r="F99">
            <v>3393.998</v>
          </cell>
          <cell r="G99">
            <v>2637.2789999999995</v>
          </cell>
          <cell r="H99">
            <v>2817.8519999999999</v>
          </cell>
          <cell r="I99">
            <v>2907.9989767109164</v>
          </cell>
          <cell r="J99">
            <v>3180.7026320215728</v>
          </cell>
          <cell r="K99">
            <v>3162.6082718124117</v>
          </cell>
          <cell r="L99">
            <v>3247.5929639959304</v>
          </cell>
        </row>
        <row r="100">
          <cell r="B100">
            <v>919.97900000000027</v>
          </cell>
          <cell r="C100">
            <v>940.24099999999999</v>
          </cell>
          <cell r="D100">
            <v>976.68399999999986</v>
          </cell>
          <cell r="E100">
            <v>1072.5700000000002</v>
          </cell>
          <cell r="F100">
            <v>1096.7649999999999</v>
          </cell>
          <cell r="G100">
            <v>922.38199999999961</v>
          </cell>
          <cell r="H100">
            <v>949.42499999999984</v>
          </cell>
          <cell r="I100">
            <v>1018.8329484637677</v>
          </cell>
          <cell r="J100">
            <v>1145.0276339410593</v>
          </cell>
          <cell r="K100">
            <v>1154.1065666322952</v>
          </cell>
          <cell r="L100">
            <v>1192.6586065677252</v>
          </cell>
        </row>
        <row r="101">
          <cell r="B101">
            <v>520.47900000000027</v>
          </cell>
          <cell r="C101">
            <v>526.86</v>
          </cell>
          <cell r="D101">
            <v>556.84199999999987</v>
          </cell>
          <cell r="E101">
            <v>641.34100000000024</v>
          </cell>
          <cell r="F101">
            <v>668.86199999999974</v>
          </cell>
          <cell r="G101">
            <v>497.49599999999958</v>
          </cell>
          <cell r="H101">
            <v>511.28199999999987</v>
          </cell>
          <cell r="I101">
            <v>567.64746846376784</v>
          </cell>
          <cell r="J101">
            <v>672.06215394105948</v>
          </cell>
          <cell r="K101">
            <v>658.59608663229528</v>
          </cell>
          <cell r="L101">
            <v>675.99812656772519</v>
          </cell>
        </row>
        <row r="103">
          <cell r="B103">
            <v>177.38300000000001</v>
          </cell>
          <cell r="C103">
            <v>163.97499999999999</v>
          </cell>
          <cell r="D103">
            <v>157.142</v>
          </cell>
          <cell r="E103">
            <v>166.447</v>
          </cell>
          <cell r="F103">
            <v>175.822</v>
          </cell>
          <cell r="G103">
            <v>188.35300000000001</v>
          </cell>
          <cell r="H103">
            <v>204.59</v>
          </cell>
          <cell r="I103">
            <v>213.24152919367862</v>
          </cell>
          <cell r="J103">
            <v>209.10229063483698</v>
          </cell>
          <cell r="K103">
            <v>203.89090523575933</v>
          </cell>
          <cell r="L103">
            <v>200.27235288372253</v>
          </cell>
        </row>
        <row r="104">
          <cell r="B104">
            <v>362.79900000000026</v>
          </cell>
          <cell r="C104">
            <v>381.48099999999999</v>
          </cell>
          <cell r="D104">
            <v>411.36399999999986</v>
          </cell>
          <cell r="E104">
            <v>496.53200000000027</v>
          </cell>
          <cell r="F104">
            <v>540.9019999999997</v>
          </cell>
          <cell r="G104">
            <v>353.25299999999959</v>
          </cell>
          <cell r="H104">
            <v>336.13599999999985</v>
          </cell>
          <cell r="I104">
            <v>374.40593927008922</v>
          </cell>
          <cell r="J104">
            <v>472.95986330622247</v>
          </cell>
          <cell r="K104">
            <v>454.70518139653598</v>
          </cell>
          <cell r="L104">
            <v>475.72577368400266</v>
          </cell>
        </row>
        <row r="106">
          <cell r="B106">
            <v>235.85600000000028</v>
          </cell>
          <cell r="C106">
            <v>242.892</v>
          </cell>
          <cell r="D106">
            <v>269.77199999999982</v>
          </cell>
          <cell r="E106">
            <v>302.33200000000028</v>
          </cell>
          <cell r="F106">
            <v>327.36699999999973</v>
          </cell>
          <cell r="G106">
            <v>215.15299999999959</v>
          </cell>
          <cell r="H106">
            <v>230.57599999999985</v>
          </cell>
          <cell r="I106">
            <v>228.38762295475442</v>
          </cell>
          <cell r="J106">
            <v>288.50551661679572</v>
          </cell>
          <cell r="K106">
            <v>277.37016065188698</v>
          </cell>
          <cell r="L106">
            <v>290.19272194724158</v>
          </cell>
        </row>
        <row r="107">
          <cell r="B107">
            <v>2.7417783616009705</v>
          </cell>
          <cell r="C107">
            <v>2.8459681765987859</v>
          </cell>
          <cell r="D107">
            <v>3.1734522227058291</v>
          </cell>
          <cell r="E107">
            <v>3.5595690822393626</v>
          </cell>
          <cell r="F107">
            <v>3.8545508065465643</v>
          </cell>
          <cell r="G107">
            <v>2.5322842615696013</v>
          </cell>
          <cell r="H107">
            <v>2.522575351457796</v>
          </cell>
          <cell r="I107">
            <v>2.4980052386003679</v>
          </cell>
          <cell r="J107">
            <v>3.155548810176267</v>
          </cell>
          <cell r="K107">
            <v>3.0337550930993458</v>
          </cell>
          <cell r="L107">
            <v>3.1740027338150414</v>
          </cell>
        </row>
        <row r="110">
          <cell r="B110">
            <v>399.5</v>
          </cell>
          <cell r="C110">
            <v>413.38099999999997</v>
          </cell>
          <cell r="D110">
            <v>419.84199999999998</v>
          </cell>
          <cell r="E110">
            <v>431.22899999999998</v>
          </cell>
          <cell r="F110">
            <v>427.90300000000002</v>
          </cell>
          <cell r="G110">
            <v>424.88600000000002</v>
          </cell>
          <cell r="H110">
            <v>438.14299999999997</v>
          </cell>
          <cell r="I110">
            <v>451.18547999999993</v>
          </cell>
          <cell r="J110">
            <v>472.96547999999996</v>
          </cell>
          <cell r="K110">
            <v>495.51047999999992</v>
          </cell>
          <cell r="L110">
            <v>516.66047999999989</v>
          </cell>
        </row>
        <row r="111">
          <cell r="B111">
            <v>307.87599999999998</v>
          </cell>
          <cell r="C111">
            <v>319.142</v>
          </cell>
          <cell r="D111">
            <v>343.44799999999998</v>
          </cell>
          <cell r="E111">
            <v>658.60799999999995</v>
          </cell>
          <cell r="F111">
            <v>1055.5740000000001</v>
          </cell>
          <cell r="G111">
            <v>895.52200000000005</v>
          </cell>
          <cell r="H111">
            <v>750</v>
          </cell>
          <cell r="I111">
            <v>446</v>
          </cell>
          <cell r="J111">
            <v>552</v>
          </cell>
          <cell r="K111">
            <v>500</v>
          </cell>
          <cell r="L111">
            <v>500</v>
          </cell>
        </row>
        <row r="113">
          <cell r="B113">
            <v>623.41900000000032</v>
          </cell>
          <cell r="C113">
            <v>605.83799999999985</v>
          </cell>
          <cell r="D113">
            <v>635.5999999999998</v>
          </cell>
          <cell r="E113">
            <v>713.39400000000023</v>
          </cell>
          <cell r="F113">
            <v>571.04299999999978</v>
          </cell>
          <cell r="G113">
            <v>870.77399999999955</v>
          </cell>
          <cell r="H113">
            <v>605.31154657534228</v>
          </cell>
          <cell r="I113">
            <v>717.48078372669443</v>
          </cell>
          <cell r="J113">
            <v>790.82383490136044</v>
          </cell>
          <cell r="K113">
            <v>805.47661173456083</v>
          </cell>
          <cell r="L113">
            <v>834.21495594005455</v>
          </cell>
        </row>
        <row r="114">
          <cell r="B114">
            <v>219.38300000000038</v>
          </cell>
          <cell r="C114">
            <v>182.84699999999987</v>
          </cell>
          <cell r="D114">
            <v>179.84099999999978</v>
          </cell>
          <cell r="E114">
            <v>-65.946999999999662</v>
          </cell>
          <cell r="F114">
            <v>-613.73000000000025</v>
          </cell>
          <cell r="G114">
            <v>-162.46900000000051</v>
          </cell>
          <cell r="H114">
            <v>-302.12057842465777</v>
          </cell>
          <cell r="I114">
            <v>104.88018372669444</v>
          </cell>
          <cell r="J114">
            <v>63.094434901360387</v>
          </cell>
          <cell r="K114">
            <v>120.61841173456082</v>
          </cell>
          <cell r="L114">
            <v>140.22795594005447</v>
          </cell>
        </row>
        <row r="116">
          <cell r="B116">
            <v>7.2471199562907636</v>
          </cell>
          <cell r="C116">
            <v>7.0986103625243109</v>
          </cell>
          <cell r="D116">
            <v>7.4768553917820446</v>
          </cell>
          <cell r="E116">
            <v>8.3992935774415756</v>
          </cell>
          <cell r="F116">
            <v>6.7236900977275376</v>
          </cell>
          <cell r="G116">
            <v>10.248740643095894</v>
          </cell>
          <cell r="H116">
            <v>6.622302352993187</v>
          </cell>
          <cell r="I116">
            <v>7.8474951188552131</v>
          </cell>
          <cell r="J116">
            <v>8.649689754794597</v>
          </cell>
          <cell r="K116">
            <v>8.8099555030686538</v>
          </cell>
          <cell r="L116">
            <v>9.1242831073637678</v>
          </cell>
        </row>
        <row r="118">
          <cell r="B118">
            <v>1.125</v>
          </cell>
          <cell r="C118">
            <v>1.2250000000000001</v>
          </cell>
          <cell r="D118">
            <v>1.325</v>
          </cell>
          <cell r="E118">
            <v>1.425</v>
          </cell>
          <cell r="F118">
            <v>1.5249999999999999</v>
          </cell>
          <cell r="G118">
            <v>1.625</v>
          </cell>
          <cell r="H118">
            <v>1.7250000000000001</v>
          </cell>
          <cell r="I118">
            <v>1.8250000000000002</v>
          </cell>
          <cell r="J118">
            <v>1.9250000000000003</v>
          </cell>
          <cell r="K118">
            <v>2.0250000000000004</v>
          </cell>
          <cell r="L118">
            <v>2.1250000000000004</v>
          </cell>
        </row>
        <row r="119">
          <cell r="B119">
            <v>0.41031763024896495</v>
          </cell>
          <cell r="C119">
            <v>0.43043348484099936</v>
          </cell>
          <cell r="D119">
            <v>0.41752637412333404</v>
          </cell>
          <cell r="E119">
            <v>0.40032935646904694</v>
          </cell>
          <cell r="F119">
            <v>0.39563624311552509</v>
          </cell>
          <cell r="G119">
            <v>0.64171310648701274</v>
          </cell>
          <cell r="H119">
            <v>0.683824964436889</v>
          </cell>
          <cell r="I119">
            <v>0.73058293545555075</v>
          </cell>
          <cell r="J119">
            <v>0.61003651529398173</v>
          </cell>
          <cell r="K119">
            <v>0.66748960870510454</v>
          </cell>
          <cell r="L119">
            <v>0.66950162876697461</v>
          </cell>
        </row>
        <row r="133">
          <cell r="B133">
            <v>8.9177971870604833E-2</v>
          </cell>
          <cell r="C133">
            <v>-0.1773721718352822</v>
          </cell>
          <cell r="D133">
            <v>-0.45807239641340264</v>
          </cell>
          <cell r="E133">
            <v>0.69648887958115202</v>
          </cell>
          <cell r="F133">
            <v>2.8915546924207419E-2</v>
          </cell>
          <cell r="G133">
            <v>7.4410017921147015E-2</v>
          </cell>
          <cell r="H133">
            <v>-6.2296345262540409E-2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troduction"/>
      <sheetName val="Income Statement"/>
      <sheetName val="Cash Flow"/>
      <sheetName val="Balance Sheet"/>
      <sheetName val="Fin Stats"/>
      <sheetName val="PTF Worksheet"/>
      <sheetName val="Power Plants"/>
      <sheetName val="Op Co"/>
      <sheetName val="DCF - Valuation"/>
    </sheetNames>
    <sheetDataSet>
      <sheetData sheetId="0" refreshError="1"/>
      <sheetData sheetId="1" refreshError="1">
        <row r="1">
          <cell r="A1" t="str">
            <v>Wisconsin Energy Corporation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ImportantDisclosures"/>
      <sheetName val="IndexInformation"/>
      <sheetName val="Income"/>
      <sheetName val="GWP"/>
      <sheetName val="Income Statement"/>
      <sheetName val="Margins"/>
      <sheetName val="Euro vs. PM"/>
      <sheetName val="Ruble"/>
      <sheetName val="Comps"/>
      <sheetName val="Switches"/>
      <sheetName val="MS_IRI_Methodology"/>
      <sheetName val="MARKET_SHARE ($)_RAW_DATA"/>
      <sheetName val="NEXXUS_RAW_DATA"/>
      <sheetName val="HAIR_CARE_MARKET SHARE ROLL-UP"/>
      <sheetName val="TOTAL_ACV_DOLLAR_SALES"/>
      <sheetName val="EBITDA"/>
      <sheetName val="SSB Nielsen Sales"/>
      <sheetName val="TimeSeries"/>
      <sheetName val="Valuation Analyzer"/>
      <sheetName val="GWP-WLine"/>
      <sheetName val="TS_Stnd_Dev_Band"/>
      <sheetName val="Print "/>
      <sheetName val="Lookup"/>
      <sheetName val="Input"/>
      <sheetName val="99 cons YTD"/>
      <sheetName val="KPN"/>
      <sheetName val="Realizations vs Average"/>
      <sheetName val="B"/>
      <sheetName val="Ratios"/>
      <sheetName val="C"/>
      <sheetName val="summary"/>
      <sheetName val="Oil Consumption – barrels"/>
      <sheetName val="rev change analysis"/>
      <sheetName val="O1000"/>
      <sheetName val="S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Price Deck"/>
      <sheetName val="Prior Week"/>
      <sheetName val="Price Change"/>
      <sheetName val="Analyzer"/>
      <sheetName val="Summary"/>
      <sheetName val="Price Deck"/>
      <sheetName val="Off Peak"/>
      <sheetName val="Peak"/>
      <sheetName val="Historicals"/>
      <sheetName val="Gas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ning"/>
      <sheetName val="Insurance"/>
      <sheetName val="Banks"/>
      <sheetName val="Oils"/>
      <sheetName val="General Europe"/>
      <sheetName val="General UK"/>
      <sheetName val="Latest_Chart"/>
      <sheetName val="Add4Sheet"/>
      <sheetName val="Module2"/>
      <sheetName val="Module1"/>
      <sheetName val="LINKTAB"/>
      <sheetName val="Model"/>
      <sheetName val="P"/>
      <sheetName val="Market_Share"/>
      <sheetName val="Assumptions"/>
      <sheetName val="Summary"/>
      <sheetName val="Consol_Income"/>
      <sheetName val="Rate Case"/>
      <sheetName val="Balance Sheet"/>
      <sheetName val="Sheet9"/>
      <sheetName val="Leases"/>
      <sheetName val="Graph"/>
      <sheetName val="Income"/>
      <sheetName val="Financial Summary"/>
      <sheetName val="BizJet Deliveries"/>
      <sheetName val="Exclusion List"/>
      <sheetName val="CFOld"/>
      <sheetName val="PLOld"/>
      <sheetName val="Headline"/>
      <sheetName val="MTT old"/>
      <sheetName val="DOMNETREV1002B"/>
      <sheetName val="Cash flow"/>
      <sheetName val="Profit &amp; Loss"/>
      <sheetName val="Inputs, sensitivity &amp; val"/>
      <sheetName val="c1"/>
      <sheetName val="Monthly figures"/>
      <sheetName val="Consolidated"/>
      <sheetName val="CENMODEL"/>
      <sheetName val="Customize Your Statement"/>
      <sheetName val="Sainsbury"/>
      <sheetName val="KQ"/>
      <sheetName val="Presentation Tables"/>
      <sheetName val="BS"/>
    </sheetNames>
    <definedNames>
      <definedName name="Update_Thi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mailto:jim.kobus@morganstanley.com" TargetMode="External" Type="http://schemas.openxmlformats.org/officeDocument/2006/relationships/hyperlink"/>
<Relationship Id="rId2" Target="mailto:ethan.ellison@morganstanley.com" TargetMode="External" Type="http://schemas.openxmlformats.org/officeDocument/2006/relationships/hyperlink"/>
<Relationship Id="rId3" Target="../printerSettings/printerSettings2.bin" Type="http://schemas.openxmlformats.org/officeDocument/2006/relationships/printerSettings"/>
<Relationship Id="rId4" Target="../drawings/drawing2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3.xml" Type="http://schemas.openxmlformats.org/officeDocument/2006/relationships/drawing"/>
<Relationship Id="rId3" Target="../drawings/vmlDrawing2.vml" Type="http://schemas.openxmlformats.org/officeDocument/2006/relationships/vmlDrawing"/>
<Relationship Id="rId4" Target="../comments2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drawing4.xml" Type="http://schemas.openxmlformats.org/officeDocument/2006/relationships/drawing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5.xml" Type="http://schemas.openxmlformats.org/officeDocument/2006/relationships/drawing"/>
<Relationship Id="rId3" Target="../drawings/vmlDrawing3.vml" Type="http://schemas.openxmlformats.org/officeDocument/2006/relationships/vmlDrawing"/>
<Relationship Id="rId4" Target="../comments3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drawing6.xml" Type="http://schemas.openxmlformats.org/officeDocument/2006/relationships/drawing"/>
<Relationship Id="rId3" Target="../drawings/vmlDrawing4.vml" Type="http://schemas.openxmlformats.org/officeDocument/2006/relationships/vmlDrawing"/>
<Relationship Id="rId4" Target="../comments4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drawing7.xml" Type="http://schemas.openxmlformats.org/officeDocument/2006/relationships/drawing"/>
<Relationship Id="rId3" Target="../drawings/vmlDrawing5.vml" Type="http://schemas.openxmlformats.org/officeDocument/2006/relationships/vmlDrawing"/>
<Relationship Id="rId4" Target="../comments5.xml" Type="http://schemas.openxmlformats.org/officeDocument/2006/relationships/comment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Relationship Id="rId2" Target="../drawings/drawing8.xml" Type="http://schemas.openxmlformats.org/officeDocument/2006/relationships/drawing"/>
<Relationship Id="rId3" Target="../drawings/vmlDrawing6.vml" Type="http://schemas.openxmlformats.org/officeDocument/2006/relationships/vmlDrawing"/>
<Relationship Id="rId4" Target="../comments6.xml" Type="http://schemas.openxmlformats.org/officeDocument/2006/relationships/comment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Relationship Id="rId2" Target="../drawings/drawing9.xml" Type="http://schemas.openxmlformats.org/officeDocument/2006/relationships/drawing"/>
<Relationship Id="rId3" Target="../drawings/vmlDrawing7.vml" Type="http://schemas.openxmlformats.org/officeDocument/2006/relationships/vmlDrawing"/>
<Relationship Id="rId4" Target="../comments7.xml" Type="http://schemas.openxmlformats.org/officeDocument/2006/relationships/comments"/>
</Relationships>

</file>

<file path=xl/worksheets/_rels/sheet11.xml.rels><?xml version="1.0" encoding="UTF-8" standalone="yes"?>
<Relationships xmlns="http://schemas.openxmlformats.org/package/2006/relationships">
<Relationship Id="rId1" Target="../printerSettings/printerSettings11.bin" Type="http://schemas.openxmlformats.org/officeDocument/2006/relationships/printerSettings"/>
<Relationship Id="rId2" Target="../drawings/drawing10.xml" Type="http://schemas.openxmlformats.org/officeDocument/2006/relationships/drawing"/>
<Relationship Id="rId3" Target="../drawings/vmlDrawing8.vml" Type="http://schemas.openxmlformats.org/officeDocument/2006/relationships/vmlDrawing"/>
<Relationship Id="rId4" Target="../comments8.xml" Type="http://schemas.openxmlformats.org/officeDocument/2006/relationships/comments"/>
</Relationships>

</file>

<file path=xl/worksheets/_rels/sheet12.xml.rels><?xml version="1.0" encoding="UTF-8" standalone="yes"?>
<Relationships xmlns="http://schemas.openxmlformats.org/package/2006/relationships">
<Relationship Id="rId1" Target="../printerSettings/printerSettings12.bin" Type="http://schemas.openxmlformats.org/officeDocument/2006/relationships/printerSettings"/>
<Relationship Id="rId2" Target="../drawings/drawing11.xml" Type="http://schemas.openxmlformats.org/officeDocument/2006/relationships/drawing"/>
<Relationship Id="rId3" Target="../drawings/vmlDrawing9.vml" Type="http://schemas.openxmlformats.org/officeDocument/2006/relationships/vmlDrawing"/>
<Relationship Id="rId4" Target="../comments9.xml" Type="http://schemas.openxmlformats.org/officeDocument/2006/relationships/comments"/>
</Relationships>

</file>

<file path=xl/worksheets/_rels/sheet13.xml.rels><?xml version="1.0" encoding="UTF-8" standalone="yes"?>
<Relationships xmlns="http://schemas.openxmlformats.org/package/2006/relationships">
<Relationship Id="rId1" Target="../printerSettings/printerSettings13.bin" Type="http://schemas.openxmlformats.org/officeDocument/2006/relationships/printerSettings"/>
<Relationship Id="rId2" Target="../drawings/drawing12.xml" Type="http://schemas.openxmlformats.org/officeDocument/2006/relationships/drawing"/>
</Relationships>

</file>

<file path=xl/worksheets/_rels/sheet14.xml.rels><?xml version="1.0" encoding="UTF-8" standalone="yes"?>
<Relationships xmlns="http://schemas.openxmlformats.org/package/2006/relationships">
<Relationship Id="rId1" Target="../printerSettings/printerSettings14.bin" Type="http://schemas.openxmlformats.org/officeDocument/2006/relationships/printerSettings"/>
</Relationships>

</file>

<file path=xl/worksheets/_rels/sheet15.xml.rels><?xml version="1.0" encoding="UTF-8" standalone="yes"?>
<Relationships xmlns="http://schemas.openxmlformats.org/package/2006/relationships">
<Relationship Id="rId1" Target="../printerSettings/printerSettings15.bin" Type="http://schemas.openxmlformats.org/officeDocument/2006/relationships/printerSettings"/>
</Relationships>

</file>

<file path=xl/worksheets/_rels/sheet16.xml.rels><?xml version="1.0" encoding="UTF-8" standalone="yes"?>
<Relationships xmlns="http://schemas.openxmlformats.org/package/2006/relationships">
<Relationship Id="rId1" Target="../printerSettings/printerSettings16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97"/>
  <sheetViews>
    <sheetView showGridLines="0" tabSelected="1" workbookViewId="0">
      <selection activeCell="Z1" sqref="Z1"/>
    </sheetView>
  </sheetViews>
  <sheetFormatPr defaultRowHeight="12.75" x14ac:dyDescent="0.2"/>
  <cols>
    <col min="1" max="1" width="25.7109375" style="1005" customWidth="1"/>
    <col min="2" max="5" width="9.140625" style="1005"/>
    <col min="6" max="6" width="18.7109375" style="1005" customWidth="1"/>
    <col min="7" max="256" width="9.140625" style="1005"/>
    <col min="257" max="257" width="100.7109375" style="1005" customWidth="1"/>
    <col min="258" max="512" width="9.140625" style="1005"/>
    <col min="513" max="513" width="100.7109375" style="1005" customWidth="1"/>
    <col min="514" max="768" width="9.140625" style="1005"/>
    <col min="769" max="769" width="100.7109375" style="1005" customWidth="1"/>
    <col min="770" max="1024" width="9.140625" style="1005"/>
    <col min="1025" max="1025" width="100.7109375" style="1005" customWidth="1"/>
    <col min="1026" max="1280" width="9.140625" style="1005"/>
    <col min="1281" max="1281" width="100.7109375" style="1005" customWidth="1"/>
    <col min="1282" max="1536" width="9.140625" style="1005"/>
    <col min="1537" max="1537" width="100.7109375" style="1005" customWidth="1"/>
    <col min="1538" max="1792" width="9.140625" style="1005"/>
    <col min="1793" max="1793" width="100.7109375" style="1005" customWidth="1"/>
    <col min="1794" max="2048" width="9.140625" style="1005"/>
    <col min="2049" max="2049" width="100.7109375" style="1005" customWidth="1"/>
    <col min="2050" max="2304" width="9.140625" style="1005"/>
    <col min="2305" max="2305" width="100.7109375" style="1005" customWidth="1"/>
    <col min="2306" max="2560" width="9.140625" style="1005"/>
    <col min="2561" max="2561" width="100.7109375" style="1005" customWidth="1"/>
    <col min="2562" max="2816" width="9.140625" style="1005"/>
    <col min="2817" max="2817" width="100.7109375" style="1005" customWidth="1"/>
    <col min="2818" max="3072" width="9.140625" style="1005"/>
    <col min="3073" max="3073" width="100.7109375" style="1005" customWidth="1"/>
    <col min="3074" max="3328" width="9.140625" style="1005"/>
    <col min="3329" max="3329" width="100.7109375" style="1005" customWidth="1"/>
    <col min="3330" max="3584" width="9.140625" style="1005"/>
    <col min="3585" max="3585" width="100.7109375" style="1005" customWidth="1"/>
    <col min="3586" max="3840" width="9.140625" style="1005"/>
    <col min="3841" max="3841" width="100.7109375" style="1005" customWidth="1"/>
    <col min="3842" max="4096" width="9.140625" style="1005"/>
    <col min="4097" max="4097" width="100.7109375" style="1005" customWidth="1"/>
    <col min="4098" max="4352" width="9.140625" style="1005"/>
    <col min="4353" max="4353" width="100.7109375" style="1005" customWidth="1"/>
    <col min="4354" max="4608" width="9.140625" style="1005"/>
    <col min="4609" max="4609" width="100.7109375" style="1005" customWidth="1"/>
    <col min="4610" max="4864" width="9.140625" style="1005"/>
    <col min="4865" max="4865" width="100.7109375" style="1005" customWidth="1"/>
    <col min="4866" max="5120" width="9.140625" style="1005"/>
    <col min="5121" max="5121" width="100.7109375" style="1005" customWidth="1"/>
    <col min="5122" max="5376" width="9.140625" style="1005"/>
    <col min="5377" max="5377" width="100.7109375" style="1005" customWidth="1"/>
    <col min="5378" max="5632" width="9.140625" style="1005"/>
    <col min="5633" max="5633" width="100.7109375" style="1005" customWidth="1"/>
    <col min="5634" max="5888" width="9.140625" style="1005"/>
    <col min="5889" max="5889" width="100.7109375" style="1005" customWidth="1"/>
    <col min="5890" max="6144" width="9.140625" style="1005"/>
    <col min="6145" max="6145" width="100.7109375" style="1005" customWidth="1"/>
    <col min="6146" max="6400" width="9.140625" style="1005"/>
    <col min="6401" max="6401" width="100.7109375" style="1005" customWidth="1"/>
    <col min="6402" max="6656" width="9.140625" style="1005"/>
    <col min="6657" max="6657" width="100.7109375" style="1005" customWidth="1"/>
    <col min="6658" max="6912" width="9.140625" style="1005"/>
    <col min="6913" max="6913" width="100.7109375" style="1005" customWidth="1"/>
    <col min="6914" max="7168" width="9.140625" style="1005"/>
    <col min="7169" max="7169" width="100.7109375" style="1005" customWidth="1"/>
    <col min="7170" max="7424" width="9.140625" style="1005"/>
    <col min="7425" max="7425" width="100.7109375" style="1005" customWidth="1"/>
    <col min="7426" max="7680" width="9.140625" style="1005"/>
    <col min="7681" max="7681" width="100.7109375" style="1005" customWidth="1"/>
    <col min="7682" max="7936" width="9.140625" style="1005"/>
    <col min="7937" max="7937" width="100.7109375" style="1005" customWidth="1"/>
    <col min="7938" max="8192" width="9.140625" style="1005"/>
    <col min="8193" max="8193" width="100.7109375" style="1005" customWidth="1"/>
    <col min="8194" max="8448" width="9.140625" style="1005"/>
    <col min="8449" max="8449" width="100.7109375" style="1005" customWidth="1"/>
    <col min="8450" max="8704" width="9.140625" style="1005"/>
    <col min="8705" max="8705" width="100.7109375" style="1005" customWidth="1"/>
    <col min="8706" max="8960" width="9.140625" style="1005"/>
    <col min="8961" max="8961" width="100.7109375" style="1005" customWidth="1"/>
    <col min="8962" max="9216" width="9.140625" style="1005"/>
    <col min="9217" max="9217" width="100.7109375" style="1005" customWidth="1"/>
    <col min="9218" max="9472" width="9.140625" style="1005"/>
    <col min="9473" max="9473" width="100.7109375" style="1005" customWidth="1"/>
    <col min="9474" max="9728" width="9.140625" style="1005"/>
    <col min="9729" max="9729" width="100.7109375" style="1005" customWidth="1"/>
    <col min="9730" max="9984" width="9.140625" style="1005"/>
    <col min="9985" max="9985" width="100.7109375" style="1005" customWidth="1"/>
    <col min="9986" max="10240" width="9.140625" style="1005"/>
    <col min="10241" max="10241" width="100.7109375" style="1005" customWidth="1"/>
    <col min="10242" max="10496" width="9.140625" style="1005"/>
    <col min="10497" max="10497" width="100.7109375" style="1005" customWidth="1"/>
    <col min="10498" max="10752" width="9.140625" style="1005"/>
    <col min="10753" max="10753" width="100.7109375" style="1005" customWidth="1"/>
    <col min="10754" max="11008" width="9.140625" style="1005"/>
    <col min="11009" max="11009" width="100.7109375" style="1005" customWidth="1"/>
    <col min="11010" max="11264" width="9.140625" style="1005"/>
    <col min="11265" max="11265" width="100.7109375" style="1005" customWidth="1"/>
    <col min="11266" max="11520" width="9.140625" style="1005"/>
    <col min="11521" max="11521" width="100.7109375" style="1005" customWidth="1"/>
    <col min="11522" max="11776" width="9.140625" style="1005"/>
    <col min="11777" max="11777" width="100.7109375" style="1005" customWidth="1"/>
    <col min="11778" max="12032" width="9.140625" style="1005"/>
    <col min="12033" max="12033" width="100.7109375" style="1005" customWidth="1"/>
    <col min="12034" max="12288" width="9.140625" style="1005"/>
    <col min="12289" max="12289" width="100.7109375" style="1005" customWidth="1"/>
    <col min="12290" max="12544" width="9.140625" style="1005"/>
    <col min="12545" max="12545" width="100.7109375" style="1005" customWidth="1"/>
    <col min="12546" max="12800" width="9.140625" style="1005"/>
    <col min="12801" max="12801" width="100.7109375" style="1005" customWidth="1"/>
    <col min="12802" max="13056" width="9.140625" style="1005"/>
    <col min="13057" max="13057" width="100.7109375" style="1005" customWidth="1"/>
    <col min="13058" max="13312" width="9.140625" style="1005"/>
    <col min="13313" max="13313" width="100.7109375" style="1005" customWidth="1"/>
    <col min="13314" max="13568" width="9.140625" style="1005"/>
    <col min="13569" max="13569" width="100.7109375" style="1005" customWidth="1"/>
    <col min="13570" max="13824" width="9.140625" style="1005"/>
    <col min="13825" max="13825" width="100.7109375" style="1005" customWidth="1"/>
    <col min="13826" max="14080" width="9.140625" style="1005"/>
    <col min="14081" max="14081" width="100.7109375" style="1005" customWidth="1"/>
    <col min="14082" max="14336" width="9.140625" style="1005"/>
    <col min="14337" max="14337" width="100.7109375" style="1005" customWidth="1"/>
    <col min="14338" max="14592" width="9.140625" style="1005"/>
    <col min="14593" max="14593" width="100.7109375" style="1005" customWidth="1"/>
    <col min="14594" max="14848" width="9.140625" style="1005"/>
    <col min="14849" max="14849" width="100.7109375" style="1005" customWidth="1"/>
    <col min="14850" max="15104" width="9.140625" style="1005"/>
    <col min="15105" max="15105" width="100.7109375" style="1005" customWidth="1"/>
    <col min="15106" max="15360" width="9.140625" style="1005"/>
    <col min="15361" max="15361" width="100.7109375" style="1005" customWidth="1"/>
    <col min="15362" max="15616" width="9.140625" style="1005"/>
    <col min="15617" max="15617" width="100.7109375" style="1005" customWidth="1"/>
    <col min="15618" max="15872" width="9.140625" style="1005"/>
    <col min="15873" max="15873" width="100.7109375" style="1005" customWidth="1"/>
    <col min="15874" max="16128" width="9.140625" style="1005"/>
    <col min="16129" max="16129" width="100.7109375" style="1005" customWidth="1"/>
    <col min="16130" max="16384" width="9.140625" style="1005"/>
  </cols>
  <sheetData>
    <row r="1" spans="1:8" ht="30" customHeight="1" x14ac:dyDescent="0.2">
      <c r="A1" s="1003"/>
      <c r="B1" s="1004"/>
      <c r="C1" s="1004"/>
      <c r="D1" s="1004"/>
      <c r="E1" s="1004"/>
      <c r="F1" s="1004"/>
      <c r="G1" s="1004"/>
      <c r="H1" s="1004"/>
    </row>
    <row r="2" spans="1:8" ht="14.25" x14ac:dyDescent="0.2">
      <c r="A2" s="1006" t="s">
        <v>687</v>
      </c>
      <c r="B2" s="1004"/>
      <c r="C2" s="1004"/>
      <c r="D2" s="1004"/>
      <c r="E2" s="1004"/>
      <c r="F2" s="1004"/>
      <c r="G2" s="1004"/>
      <c r="H2" s="1004"/>
    </row>
    <row r="3" spans="1:8" ht="14.25" x14ac:dyDescent="0.2">
      <c r="A3" s="1006" t="s">
        <v>688</v>
      </c>
      <c r="B3" s="1004"/>
      <c r="C3" s="1004"/>
      <c r="D3" s="1004"/>
      <c r="E3" s="1004"/>
      <c r="F3" s="1004"/>
      <c r="G3" s="1004"/>
      <c r="H3" s="1004"/>
    </row>
    <row r="4" spans="1:8" ht="14.25" x14ac:dyDescent="0.2">
      <c r="A4" s="1006" t="s">
        <v>689</v>
      </c>
      <c r="B4" s="1004"/>
      <c r="C4" s="1004"/>
      <c r="D4" s="1004"/>
      <c r="E4" s="1004"/>
      <c r="F4" s="1004"/>
      <c r="G4" s="1004"/>
      <c r="H4" s="1004"/>
    </row>
    <row r="5" spans="1:8" ht="14.25" x14ac:dyDescent="0.2">
      <c r="A5" s="1006" t="s">
        <v>690</v>
      </c>
      <c r="B5" s="1004"/>
      <c r="C5" s="1004"/>
      <c r="D5" s="1004"/>
      <c r="E5" s="1004"/>
      <c r="F5" s="1004"/>
      <c r="G5" s="1004"/>
      <c r="H5" s="1004"/>
    </row>
    <row r="6" spans="1:8" ht="14.25" x14ac:dyDescent="0.2">
      <c r="A6" s="1006"/>
      <c r="B6" s="1004"/>
      <c r="C6" s="1004"/>
      <c r="D6" s="1004"/>
      <c r="E6" s="1004"/>
      <c r="F6" s="1004"/>
      <c r="G6" s="1004"/>
      <c r="H6" s="1004"/>
    </row>
    <row r="7" spans="1:8" x14ac:dyDescent="0.2">
      <c r="A7" s="1003" t="s">
        <v>691</v>
      </c>
      <c r="B7" s="1004"/>
      <c r="C7" s="1004"/>
      <c r="D7" s="1004"/>
      <c r="E7" s="1004"/>
      <c r="F7" s="1004"/>
      <c r="G7" s="1004"/>
      <c r="H7" s="1004"/>
    </row>
    <row r="8" spans="1:8" x14ac:dyDescent="0.2">
      <c r="A8" s="1003" t="s">
        <v>692</v>
      </c>
      <c r="B8" s="1004"/>
      <c r="C8" s="1004"/>
      <c r="D8" s="1004"/>
      <c r="E8" s="1004"/>
      <c r="F8" s="1004"/>
      <c r="G8" s="1004"/>
      <c r="H8" s="1004"/>
    </row>
    <row r="9" spans="1:8" x14ac:dyDescent="0.2">
      <c r="A9" s="1003"/>
      <c r="B9" s="1004"/>
      <c r="C9" s="1004"/>
      <c r="D9" s="1004"/>
      <c r="E9" s="1004"/>
      <c r="F9" s="1004"/>
      <c r="G9" s="1004"/>
      <c r="H9" s="1004"/>
    </row>
    <row r="10" spans="1:8" x14ac:dyDescent="0.2">
      <c r="A10" s="1007" t="s">
        <v>693</v>
      </c>
      <c r="B10" s="1004"/>
      <c r="C10" s="1004"/>
      <c r="D10" s="1004"/>
      <c r="E10" s="1004"/>
      <c r="F10" s="1004"/>
      <c r="G10" s="1004"/>
      <c r="H10" s="1004"/>
    </row>
    <row r="11" spans="1:8" x14ac:dyDescent="0.2">
      <c r="A11" s="1007" t="s">
        <v>694</v>
      </c>
      <c r="B11" s="1004"/>
      <c r="C11" s="1004"/>
      <c r="D11" s="1004"/>
      <c r="E11" s="1004"/>
      <c r="F11" s="1004"/>
      <c r="G11" s="1004"/>
      <c r="H11" s="1004"/>
    </row>
    <row r="12" spans="1:8" x14ac:dyDescent="0.2">
      <c r="A12" s="1007" t="s">
        <v>695</v>
      </c>
      <c r="B12" s="1004"/>
      <c r="C12" s="1004"/>
      <c r="D12" s="1004"/>
      <c r="E12" s="1004"/>
      <c r="F12" s="1004"/>
      <c r="G12" s="1004"/>
      <c r="H12" s="1004"/>
    </row>
    <row r="13" spans="1:8" x14ac:dyDescent="0.2">
      <c r="A13" s="1007" t="s">
        <v>696</v>
      </c>
      <c r="B13" s="1004"/>
      <c r="C13" s="1004"/>
      <c r="D13" s="1004"/>
      <c r="E13" s="1004"/>
      <c r="F13" s="1004"/>
      <c r="G13" s="1004"/>
      <c r="H13" s="1004"/>
    </row>
    <row r="14" spans="1:8" x14ac:dyDescent="0.2">
      <c r="A14" s="1007" t="s">
        <v>697</v>
      </c>
      <c r="B14" s="1004"/>
      <c r="C14" s="1004"/>
      <c r="D14" s="1004"/>
      <c r="E14" s="1004"/>
      <c r="F14" s="1004"/>
      <c r="G14" s="1004"/>
      <c r="H14" s="1004"/>
    </row>
    <row r="15" spans="1:8" x14ac:dyDescent="0.2">
      <c r="A15" s="1007" t="s">
        <v>698</v>
      </c>
      <c r="B15" s="1004"/>
      <c r="C15" s="1004"/>
      <c r="D15" s="1004"/>
      <c r="E15" s="1004"/>
      <c r="F15" s="1004"/>
      <c r="G15" s="1004"/>
      <c r="H15" s="1004"/>
    </row>
    <row r="16" spans="1:8" x14ac:dyDescent="0.2">
      <c r="A16" s="1007"/>
      <c r="B16" s="1004"/>
      <c r="C16" s="1004"/>
      <c r="D16" s="1004"/>
      <c r="E16" s="1004"/>
      <c r="F16" s="1004"/>
      <c r="G16" s="1004"/>
      <c r="H16" s="1004"/>
    </row>
    <row r="17" spans="1:8" x14ac:dyDescent="0.2">
      <c r="A17" s="1007" t="s">
        <v>684</v>
      </c>
      <c r="B17" s="1004"/>
      <c r="C17" s="1004"/>
      <c r="D17" s="1004"/>
      <c r="E17" s="1004"/>
      <c r="F17" s="1004"/>
      <c r="G17" s="1004"/>
      <c r="H17" s="1004"/>
    </row>
    <row r="18" spans="1:8" x14ac:dyDescent="0.2">
      <c r="A18" s="1007"/>
      <c r="B18" s="1004"/>
      <c r="C18" s="1004"/>
      <c r="D18" s="1004"/>
      <c r="E18" s="1004"/>
      <c r="F18" s="1004"/>
      <c r="G18" s="1004"/>
      <c r="H18" s="1004"/>
    </row>
    <row r="19" spans="1:8" x14ac:dyDescent="0.2">
      <c r="A19" s="1007" t="s">
        <v>685</v>
      </c>
      <c r="B19" s="1004"/>
      <c r="C19" s="1004"/>
      <c r="D19" s="1004"/>
      <c r="E19" s="1004"/>
      <c r="F19" s="1004"/>
      <c r="G19" s="1004"/>
      <c r="H19" s="1004"/>
    </row>
    <row r="20" spans="1:8" x14ac:dyDescent="0.2">
      <c r="A20" s="1003"/>
      <c r="B20" s="1004"/>
      <c r="C20" s="1004"/>
      <c r="D20" s="1004"/>
      <c r="E20" s="1004"/>
      <c r="F20" s="1004"/>
      <c r="G20" s="1004"/>
      <c r="H20" s="1004"/>
    </row>
    <row r="21" spans="1:8" x14ac:dyDescent="0.2">
      <c r="A21" s="1008" t="s">
        <v>686</v>
      </c>
      <c r="B21" s="1004"/>
      <c r="C21" s="1004"/>
      <c r="D21" s="1004"/>
      <c r="E21" s="1004"/>
      <c r="F21" s="1004"/>
      <c r="G21" s="1004"/>
      <c r="H21" s="1004"/>
    </row>
    <row r="22" spans="1:8" x14ac:dyDescent="0.2">
      <c r="A22" s="1009"/>
      <c r="B22" s="1009"/>
      <c r="C22" s="1009"/>
      <c r="D22" s="1009"/>
      <c r="E22" s="1009"/>
      <c r="F22" s="1009"/>
      <c r="G22" s="1009"/>
      <c r="H22" s="1009"/>
    </row>
    <row r="23" spans="1:8" x14ac:dyDescent="0.2">
      <c r="A23" s="1010" t="s">
        <v>980</v>
      </c>
      <c r="B23" s="1009"/>
      <c r="C23" s="1009"/>
      <c r="D23" s="1009"/>
      <c r="E23" s="1009"/>
      <c r="F23" s="1009"/>
      <c r="G23" s="1009"/>
      <c r="H23" s="1009"/>
    </row>
    <row r="24" spans="1:8" x14ac:dyDescent="0.2">
      <c r="A24" s="1010" t="s">
        <v>981</v>
      </c>
      <c r="B24" s="1009"/>
      <c r="C24" s="1009"/>
      <c r="D24" s="1009"/>
      <c r="E24" s="1009"/>
      <c r="F24" s="1009"/>
      <c r="G24" s="1009"/>
      <c r="H24" s="1009"/>
    </row>
    <row r="25" spans="1:8" x14ac:dyDescent="0.2">
      <c r="A25" s="1010" t="s">
        <v>982</v>
      </c>
      <c r="B25" s="1009"/>
      <c r="C25" s="1009"/>
      <c r="D25" s="1009"/>
      <c r="E25" s="1009"/>
      <c r="F25" s="1009"/>
      <c r="G25" s="1009"/>
      <c r="H25" s="1009"/>
    </row>
    <row r="26" spans="1:8" x14ac:dyDescent="0.2">
      <c r="A26" s="1010" t="s">
        <v>983</v>
      </c>
      <c r="B26" s="1009"/>
      <c r="C26" s="1009"/>
      <c r="D26" s="1009"/>
      <c r="E26" s="1009"/>
      <c r="F26" s="1009"/>
      <c r="G26" s="1009"/>
      <c r="H26" s="1009"/>
    </row>
    <row r="27" spans="1:8" x14ac:dyDescent="0.2">
      <c r="A27" s="1009"/>
      <c r="B27" s="1009"/>
      <c r="C27" s="1009"/>
      <c r="D27" s="1009"/>
      <c r="E27" s="1009"/>
      <c r="F27" s="1009"/>
      <c r="G27" s="1009"/>
      <c r="H27" s="1009"/>
    </row>
    <row r="28" spans="1:8" x14ac:dyDescent="0.2">
      <c r="A28" s="1009"/>
      <c r="B28" s="1009"/>
      <c r="C28" s="1009"/>
      <c r="D28" s="1009"/>
      <c r="E28" s="1009"/>
      <c r="F28" s="1009"/>
      <c r="G28" s="1009"/>
      <c r="H28" s="1009"/>
    </row>
    <row r="29" spans="1:8" x14ac:dyDescent="0.2">
      <c r="A29" s="1010" t="s">
        <v>975</v>
      </c>
      <c r="B29" s="1009"/>
      <c r="C29" s="1009"/>
      <c r="D29" s="1009"/>
      <c r="E29" s="1009"/>
      <c r="F29" s="1009"/>
      <c r="G29" s="1009"/>
      <c r="H29" s="1009"/>
    </row>
    <row r="30" spans="1:8" x14ac:dyDescent="0.2">
      <c r="A30" s="1010" t="s">
        <v>976</v>
      </c>
      <c r="B30" s="1009"/>
      <c r="C30" s="1009"/>
      <c r="D30" s="1009"/>
      <c r="E30" s="1009"/>
      <c r="F30" s="1009"/>
      <c r="G30" s="1009"/>
      <c r="H30" s="1009"/>
    </row>
    <row r="31" spans="1:8" x14ac:dyDescent="0.2">
      <c r="A31" s="1010" t="s">
        <v>977</v>
      </c>
      <c r="B31" s="1009"/>
      <c r="C31" s="1009"/>
      <c r="D31" s="1009"/>
      <c r="E31" s="1009"/>
      <c r="F31" s="1009"/>
      <c r="G31" s="1009"/>
      <c r="H31" s="1009"/>
    </row>
    <row r="32" spans="1:8" x14ac:dyDescent="0.2">
      <c r="A32" s="1010" t="s">
        <v>978</v>
      </c>
      <c r="B32" s="1009"/>
      <c r="C32" s="1009"/>
      <c r="D32" s="1009"/>
      <c r="E32" s="1009"/>
      <c r="F32" s="1009"/>
      <c r="G32" s="1009"/>
      <c r="H32" s="1009"/>
    </row>
    <row r="33" spans="1:8" x14ac:dyDescent="0.2">
      <c r="A33" s="1010" t="s">
        <v>979</v>
      </c>
      <c r="B33" s="1009"/>
      <c r="C33" s="1009"/>
      <c r="D33" s="1009"/>
      <c r="E33" s="1009"/>
      <c r="F33" s="1009"/>
      <c r="G33" s="1009"/>
      <c r="H33" s="1009"/>
    </row>
    <row r="34" spans="1:8" x14ac:dyDescent="0.2">
      <c r="A34" s="1009"/>
      <c r="B34" s="1009"/>
      <c r="C34" s="1009"/>
      <c r="D34" s="1009"/>
      <c r="E34" s="1009"/>
      <c r="F34" s="1009"/>
      <c r="G34" s="1009"/>
      <c r="H34" s="1009"/>
    </row>
    <row r="35" spans="1:8" x14ac:dyDescent="0.2">
      <c r="A35" s="1010" t="s">
        <v>971</v>
      </c>
      <c r="B35" s="1009"/>
      <c r="C35" s="1009"/>
      <c r="D35" s="1009"/>
      <c r="E35" s="1009"/>
      <c r="F35" s="1009"/>
      <c r="G35" s="1009"/>
      <c r="H35" s="1009"/>
    </row>
    <row r="36" spans="1:8" x14ac:dyDescent="0.2">
      <c r="A36" s="1010" t="s">
        <v>972</v>
      </c>
      <c r="B36" s="1009"/>
      <c r="C36" s="1009"/>
      <c r="D36" s="1009"/>
      <c r="E36" s="1009"/>
      <c r="F36" s="1009"/>
      <c r="G36" s="1009"/>
      <c r="H36" s="1009"/>
    </row>
    <row r="37" spans="1:8" x14ac:dyDescent="0.2">
      <c r="A37" s="1010" t="s">
        <v>973</v>
      </c>
      <c r="B37" s="1009"/>
      <c r="C37" s="1009"/>
      <c r="D37" s="1009"/>
      <c r="E37" s="1009"/>
      <c r="F37" s="1009"/>
      <c r="G37" s="1009"/>
      <c r="H37" s="1009"/>
    </row>
    <row r="38" spans="1:8" x14ac:dyDescent="0.2">
      <c r="A38" s="1010" t="s">
        <v>974</v>
      </c>
      <c r="B38" s="1009"/>
      <c r="C38" s="1009"/>
      <c r="D38" s="1009"/>
      <c r="E38" s="1009"/>
      <c r="F38" s="1009"/>
      <c r="G38" s="1009"/>
      <c r="H38" s="1009"/>
    </row>
    <row r="39" spans="1:8" x14ac:dyDescent="0.2">
      <c r="A39" s="1009"/>
      <c r="B39" s="1009"/>
      <c r="C39" s="1009"/>
      <c r="D39" s="1009"/>
      <c r="E39" s="1009"/>
      <c r="F39" s="1009"/>
      <c r="G39" s="1009"/>
      <c r="H39" s="1009"/>
    </row>
    <row r="40" spans="1:8" x14ac:dyDescent="0.2">
      <c r="A40" s="1010" t="s">
        <v>965</v>
      </c>
      <c r="B40" s="1009"/>
      <c r="C40" s="1009"/>
      <c r="D40" s="1009"/>
      <c r="E40" s="1009"/>
      <c r="F40" s="1009"/>
      <c r="G40" s="1009"/>
      <c r="H40" s="1009"/>
    </row>
    <row r="41" spans="1:8" x14ac:dyDescent="0.2">
      <c r="A41" s="1010" t="s">
        <v>966</v>
      </c>
      <c r="B41" s="1009"/>
      <c r="C41" s="1009"/>
      <c r="D41" s="1009"/>
      <c r="E41" s="1009"/>
      <c r="F41" s="1009"/>
      <c r="G41" s="1009"/>
      <c r="H41" s="1009"/>
    </row>
    <row r="42" spans="1:8" x14ac:dyDescent="0.2">
      <c r="A42" s="1010" t="s">
        <v>967</v>
      </c>
      <c r="B42" s="1009"/>
      <c r="C42" s="1009"/>
      <c r="D42" s="1009"/>
      <c r="E42" s="1009"/>
      <c r="F42" s="1009"/>
      <c r="G42" s="1009"/>
      <c r="H42" s="1009"/>
    </row>
    <row r="43" spans="1:8" x14ac:dyDescent="0.2">
      <c r="A43" s="1010" t="s">
        <v>968</v>
      </c>
      <c r="B43" s="1009"/>
      <c r="C43" s="1009"/>
      <c r="D43" s="1009"/>
      <c r="E43" s="1009"/>
      <c r="F43" s="1009"/>
      <c r="G43" s="1009"/>
      <c r="H43" s="1009"/>
    </row>
    <row r="44" spans="1:8" x14ac:dyDescent="0.2">
      <c r="A44" s="1010" t="s">
        <v>969</v>
      </c>
      <c r="B44" s="1009"/>
      <c r="C44" s="1009"/>
      <c r="D44" s="1009"/>
      <c r="E44" s="1009"/>
      <c r="F44" s="1009"/>
      <c r="G44" s="1009"/>
      <c r="H44" s="1009"/>
    </row>
    <row r="45" spans="1:8" x14ac:dyDescent="0.2">
      <c r="A45" s="1010" t="s">
        <v>970</v>
      </c>
      <c r="B45" s="1009"/>
      <c r="C45" s="1009"/>
      <c r="D45" s="1009"/>
      <c r="E45" s="1009"/>
      <c r="F45" s="1009"/>
      <c r="G45" s="1009"/>
      <c r="H45" s="1009"/>
    </row>
    <row r="46" spans="1:8" x14ac:dyDescent="0.2">
      <c r="A46" s="1009"/>
      <c r="B46" s="1009"/>
      <c r="C46" s="1009"/>
      <c r="D46" s="1009"/>
      <c r="E46" s="1009"/>
      <c r="F46" s="1009"/>
      <c r="G46" s="1009"/>
      <c r="H46" s="1009"/>
    </row>
    <row r="47" spans="1:8" ht="15.75" x14ac:dyDescent="0.2">
      <c r="A47" s="1011" t="s">
        <v>699</v>
      </c>
      <c r="B47" s="1009"/>
      <c r="C47" s="1009"/>
      <c r="D47" s="1009"/>
      <c r="E47" s="1009"/>
      <c r="F47" s="1009"/>
      <c r="G47" s="1009"/>
      <c r="H47" s="1009"/>
    </row>
    <row r="48" spans="1:8" x14ac:dyDescent="0.2">
      <c r="A48" s="1009"/>
      <c r="B48" s="1009"/>
      <c r="C48" s="1009"/>
      <c r="D48" s="1009"/>
      <c r="E48" s="1009"/>
      <c r="F48" s="1009"/>
      <c r="G48" s="1009"/>
      <c r="H48" s="1009"/>
    </row>
    <row r="49" spans="1:8" x14ac:dyDescent="0.2">
      <c r="A49" s="1010" t="s">
        <v>961</v>
      </c>
      <c r="B49" s="1009"/>
      <c r="C49" s="1009"/>
      <c r="D49" s="1009"/>
      <c r="E49" s="1009"/>
      <c r="F49" s="1009"/>
      <c r="G49" s="1009"/>
      <c r="H49" s="1009"/>
    </row>
    <row r="50" spans="1:8" x14ac:dyDescent="0.2">
      <c r="A50" s="1010" t="s">
        <v>962</v>
      </c>
      <c r="B50" s="1009"/>
      <c r="C50" s="1009"/>
      <c r="D50" s="1009"/>
      <c r="E50" s="1009"/>
      <c r="F50" s="1009"/>
      <c r="G50" s="1009"/>
      <c r="H50" s="1009"/>
    </row>
    <row r="51" spans="1:8" x14ac:dyDescent="0.2">
      <c r="A51" s="1010" t="s">
        <v>963</v>
      </c>
      <c r="B51" s="1009"/>
      <c r="C51" s="1009"/>
      <c r="D51" s="1009"/>
      <c r="E51" s="1009"/>
      <c r="F51" s="1009"/>
      <c r="G51" s="1009"/>
      <c r="H51" s="1009"/>
    </row>
    <row r="52" spans="1:8" x14ac:dyDescent="0.2">
      <c r="A52" s="1010" t="s">
        <v>964</v>
      </c>
      <c r="B52" s="1009"/>
      <c r="C52" s="1009"/>
      <c r="D52" s="1009"/>
      <c r="E52" s="1009"/>
      <c r="F52" s="1009"/>
      <c r="G52" s="1009"/>
      <c r="H52" s="1009"/>
    </row>
    <row r="53" spans="1:8" x14ac:dyDescent="0.2">
      <c r="A53" s="1009"/>
      <c r="B53" s="1009"/>
      <c r="C53" s="1009"/>
      <c r="D53" s="1009"/>
      <c r="E53" s="1009"/>
      <c r="F53" s="1009"/>
      <c r="G53" s="1009"/>
      <c r="H53" s="1009"/>
    </row>
    <row r="54" spans="1:8" x14ac:dyDescent="0.2">
      <c r="A54" s="1010" t="s">
        <v>700</v>
      </c>
      <c r="B54" s="1009"/>
      <c r="C54" s="1009"/>
      <c r="D54" s="1009"/>
      <c r="E54" s="1009"/>
      <c r="F54" s="1009"/>
      <c r="G54" s="1009"/>
      <c r="H54" s="1009"/>
    </row>
    <row r="55" spans="1:8" x14ac:dyDescent="0.2">
      <c r="A55" s="1009"/>
      <c r="B55" s="1009"/>
      <c r="C55" s="1009"/>
      <c r="D55" s="1009"/>
      <c r="E55" s="1009"/>
      <c r="F55" s="1009"/>
      <c r="G55" s="1009"/>
      <c r="H55" s="1009"/>
    </row>
    <row r="56" spans="1:8" ht="15.75" x14ac:dyDescent="0.2">
      <c r="A56" s="1011" t="s">
        <v>701</v>
      </c>
      <c r="B56" s="1009"/>
      <c r="C56" s="1009"/>
      <c r="D56" s="1009"/>
      <c r="E56" s="1009"/>
      <c r="F56" s="1009"/>
      <c r="G56" s="1009"/>
      <c r="H56" s="1009"/>
    </row>
    <row r="57" spans="1:8" x14ac:dyDescent="0.2">
      <c r="A57" s="1009"/>
      <c r="B57" s="1009"/>
      <c r="C57" s="1009"/>
      <c r="D57" s="1009"/>
      <c r="E57" s="1009"/>
      <c r="F57" s="1009"/>
      <c r="G57" s="1009"/>
      <c r="H57" s="1009"/>
    </row>
    <row r="58" spans="1:8" x14ac:dyDescent="0.2">
      <c r="A58" s="1010" t="s">
        <v>959</v>
      </c>
      <c r="B58" s="1009"/>
      <c r="C58" s="1009"/>
      <c r="D58" s="1009"/>
      <c r="E58" s="1009"/>
      <c r="F58" s="1009"/>
      <c r="G58" s="1009"/>
      <c r="H58" s="1009"/>
    </row>
    <row r="59" spans="1:8" x14ac:dyDescent="0.2">
      <c r="A59" s="1010" t="s">
        <v>960</v>
      </c>
      <c r="B59" s="1009"/>
      <c r="C59" s="1009"/>
      <c r="D59" s="1009"/>
      <c r="E59" s="1009"/>
      <c r="F59" s="1009"/>
      <c r="G59" s="1009"/>
      <c r="H59" s="1009"/>
    </row>
    <row r="60" spans="1:8" x14ac:dyDescent="0.2">
      <c r="A60" s="1009"/>
      <c r="B60" s="1009"/>
      <c r="C60" s="1009"/>
      <c r="D60" s="1009"/>
      <c r="E60" s="1009"/>
      <c r="F60" s="1009"/>
      <c r="G60" s="1009"/>
      <c r="H60" s="1009"/>
    </row>
    <row r="61" spans="1:8" ht="15.75" x14ac:dyDescent="0.2">
      <c r="A61" s="1011" t="s">
        <v>702</v>
      </c>
      <c r="B61" s="1009"/>
      <c r="C61" s="1009"/>
      <c r="D61" s="1009"/>
      <c r="E61" s="1009"/>
      <c r="F61" s="1009"/>
      <c r="G61" s="1009"/>
      <c r="H61" s="1009"/>
    </row>
    <row r="62" spans="1:8" x14ac:dyDescent="0.2">
      <c r="A62" s="1009"/>
      <c r="B62" s="1009"/>
      <c r="C62" s="1009"/>
      <c r="D62" s="1009"/>
      <c r="E62" s="1009"/>
      <c r="F62" s="1009"/>
      <c r="G62" s="1009"/>
      <c r="H62" s="1009"/>
    </row>
    <row r="63" spans="1:8" x14ac:dyDescent="0.2">
      <c r="A63" s="1010" t="s">
        <v>957</v>
      </c>
      <c r="B63" s="1009"/>
      <c r="C63" s="1009"/>
      <c r="D63" s="1009"/>
      <c r="E63" s="1009"/>
      <c r="F63" s="1009"/>
      <c r="G63" s="1009"/>
      <c r="H63" s="1009"/>
    </row>
    <row r="64" spans="1:8" x14ac:dyDescent="0.2">
      <c r="A64" s="1010" t="s">
        <v>958</v>
      </c>
      <c r="B64" s="1009"/>
      <c r="C64" s="1009"/>
      <c r="D64" s="1009"/>
      <c r="E64" s="1009"/>
      <c r="F64" s="1009"/>
      <c r="G64" s="1009"/>
      <c r="H64" s="1009"/>
    </row>
    <row r="65" spans="1:8" x14ac:dyDescent="0.2">
      <c r="A65" s="1009"/>
      <c r="B65" s="1009"/>
      <c r="C65" s="1009"/>
      <c r="D65" s="1009"/>
      <c r="E65" s="1009"/>
      <c r="F65" s="1009"/>
      <c r="G65" s="1009"/>
      <c r="H65" s="1009"/>
    </row>
    <row r="66" spans="1:8" x14ac:dyDescent="0.2">
      <c r="A66" s="1010" t="s">
        <v>955</v>
      </c>
      <c r="B66" s="1009"/>
      <c r="C66" s="1009"/>
      <c r="D66" s="1009"/>
      <c r="E66" s="1009"/>
      <c r="F66" s="1009"/>
      <c r="G66" s="1009"/>
      <c r="H66" s="1009"/>
    </row>
    <row r="67" spans="1:8" x14ac:dyDescent="0.2">
      <c r="A67" s="1010" t="s">
        <v>956</v>
      </c>
      <c r="B67" s="1009"/>
      <c r="C67" s="1009"/>
      <c r="D67" s="1009"/>
      <c r="E67" s="1009"/>
      <c r="F67" s="1009"/>
      <c r="G67" s="1009"/>
      <c r="H67" s="1009"/>
    </row>
    <row r="68" spans="1:8" x14ac:dyDescent="0.2">
      <c r="A68" s="1009"/>
      <c r="B68" s="1009"/>
      <c r="C68" s="1009"/>
      <c r="D68" s="1009"/>
      <c r="E68" s="1009"/>
      <c r="F68" s="1009"/>
      <c r="G68" s="1009"/>
      <c r="H68" s="1009"/>
    </row>
    <row r="69" spans="1:8" x14ac:dyDescent="0.2">
      <c r="A69" s="1010" t="s">
        <v>953</v>
      </c>
      <c r="B69" s="1009"/>
      <c r="C69" s="1009"/>
      <c r="D69" s="1009"/>
      <c r="E69" s="1009"/>
      <c r="F69" s="1009"/>
      <c r="G69" s="1009"/>
      <c r="H69" s="1009"/>
    </row>
    <row r="70" spans="1:8" x14ac:dyDescent="0.2">
      <c r="A70" s="1010" t="s">
        <v>954</v>
      </c>
      <c r="B70" s="1009"/>
      <c r="C70" s="1009"/>
      <c r="D70" s="1009"/>
      <c r="E70" s="1009"/>
      <c r="F70" s="1009"/>
      <c r="G70" s="1009"/>
      <c r="H70" s="1009"/>
    </row>
    <row r="71" spans="1:8" x14ac:dyDescent="0.2">
      <c r="A71" s="1009"/>
      <c r="B71" s="1009"/>
      <c r="C71" s="1009"/>
      <c r="D71" s="1009"/>
      <c r="E71" s="1009"/>
      <c r="F71" s="1009"/>
      <c r="G71" s="1009"/>
      <c r="H71" s="1009"/>
    </row>
    <row r="72" spans="1:8" x14ac:dyDescent="0.2">
      <c r="A72" s="1010" t="s">
        <v>951</v>
      </c>
      <c r="B72" s="1009"/>
      <c r="C72" s="1009"/>
      <c r="D72" s="1009"/>
      <c r="E72" s="1009"/>
      <c r="F72" s="1009"/>
      <c r="G72" s="1009"/>
      <c r="H72" s="1009"/>
    </row>
    <row r="73" spans="1:8" x14ac:dyDescent="0.2">
      <c r="A73" s="1010" t="s">
        <v>952</v>
      </c>
      <c r="B73" s="1009"/>
      <c r="C73" s="1009"/>
      <c r="D73" s="1009"/>
      <c r="E73" s="1009"/>
      <c r="F73" s="1009"/>
      <c r="G73" s="1009"/>
      <c r="H73" s="1009"/>
    </row>
    <row r="74" spans="1:8" x14ac:dyDescent="0.2">
      <c r="A74" s="1009"/>
      <c r="B74" s="1009"/>
      <c r="C74" s="1009"/>
      <c r="D74" s="1009"/>
      <c r="E74" s="1009"/>
      <c r="F74" s="1009"/>
      <c r="G74" s="1009"/>
      <c r="H74" s="1009"/>
    </row>
    <row r="75" spans="1:8" x14ac:dyDescent="0.2">
      <c r="A75" s="1010" t="s">
        <v>949</v>
      </c>
      <c r="B75" s="1009"/>
      <c r="C75" s="1009"/>
      <c r="D75" s="1009"/>
      <c r="E75" s="1009"/>
      <c r="F75" s="1009"/>
      <c r="G75" s="1009"/>
      <c r="H75" s="1009"/>
    </row>
    <row r="76" spans="1:8" x14ac:dyDescent="0.2">
      <c r="A76" s="1010" t="s">
        <v>950</v>
      </c>
      <c r="B76" s="1009"/>
      <c r="C76" s="1009"/>
      <c r="D76" s="1009"/>
      <c r="E76" s="1009"/>
      <c r="F76" s="1009"/>
      <c r="G76" s="1009"/>
      <c r="H76" s="1009"/>
    </row>
    <row r="77" spans="1:8" x14ac:dyDescent="0.2">
      <c r="A77" s="1009"/>
      <c r="B77" s="1009"/>
      <c r="C77" s="1009"/>
      <c r="D77" s="1009"/>
      <c r="E77" s="1009"/>
      <c r="F77" s="1009"/>
      <c r="G77" s="1009"/>
      <c r="H77" s="1009"/>
    </row>
    <row r="78" spans="1:8" x14ac:dyDescent="0.2">
      <c r="A78" s="1010" t="s">
        <v>946</v>
      </c>
      <c r="B78" s="1009"/>
      <c r="C78" s="1009"/>
      <c r="D78" s="1009"/>
      <c r="E78" s="1009"/>
      <c r="F78" s="1009"/>
      <c r="G78" s="1009"/>
      <c r="H78" s="1009"/>
    </row>
    <row r="79" spans="1:8" x14ac:dyDescent="0.2">
      <c r="A79" s="1010" t="s">
        <v>947</v>
      </c>
      <c r="B79" s="1009"/>
      <c r="C79" s="1009"/>
      <c r="D79" s="1009"/>
      <c r="E79" s="1009"/>
      <c r="F79" s="1009"/>
      <c r="G79" s="1009"/>
      <c r="H79" s="1009"/>
    </row>
    <row r="80" spans="1:8" x14ac:dyDescent="0.2">
      <c r="A80" s="1010" t="s">
        <v>948</v>
      </c>
      <c r="B80" s="1009"/>
      <c r="C80" s="1009"/>
      <c r="D80" s="1009"/>
      <c r="E80" s="1009"/>
      <c r="F80" s="1009"/>
      <c r="G80" s="1009"/>
      <c r="H80" s="1009"/>
    </row>
    <row r="81" spans="1:8" x14ac:dyDescent="0.2">
      <c r="A81" s="1009"/>
      <c r="B81" s="1009"/>
      <c r="C81" s="1009"/>
      <c r="D81" s="1009"/>
      <c r="E81" s="1009"/>
      <c r="F81" s="1009"/>
      <c r="G81" s="1009"/>
      <c r="H81" s="1009"/>
    </row>
    <row r="82" spans="1:8" x14ac:dyDescent="0.2">
      <c r="A82" s="1010" t="s">
        <v>703</v>
      </c>
      <c r="B82" s="1009"/>
      <c r="C82" s="1009"/>
      <c r="D82" s="1009"/>
      <c r="E82" s="1009"/>
      <c r="F82" s="1009"/>
      <c r="G82" s="1009"/>
      <c r="H82" s="1009"/>
    </row>
    <row r="83" spans="1:8" x14ac:dyDescent="0.2">
      <c r="A83" s="1009"/>
      <c r="B83" s="1009"/>
      <c r="C83" s="1009"/>
      <c r="D83" s="1009"/>
      <c r="E83" s="1009"/>
      <c r="F83" s="1009"/>
      <c r="G83" s="1009"/>
      <c r="H83" s="1009"/>
    </row>
    <row r="84" spans="1:8" x14ac:dyDescent="0.2">
      <c r="A84" s="1010" t="s">
        <v>941</v>
      </c>
      <c r="B84" s="1009"/>
      <c r="C84" s="1009"/>
      <c r="D84" s="1009"/>
      <c r="E84" s="1009"/>
      <c r="F84" s="1009"/>
      <c r="G84" s="1009"/>
      <c r="H84" s="1009"/>
    </row>
    <row r="85" spans="1:8" x14ac:dyDescent="0.2">
      <c r="A85" s="1010" t="s">
        <v>942</v>
      </c>
      <c r="B85" s="1009"/>
      <c r="C85" s="1009"/>
      <c r="D85" s="1009"/>
      <c r="E85" s="1009"/>
      <c r="F85" s="1009"/>
      <c r="G85" s="1009"/>
      <c r="H85" s="1009"/>
    </row>
    <row r="86" spans="1:8" x14ac:dyDescent="0.2">
      <c r="A86" s="1010" t="s">
        <v>943</v>
      </c>
      <c r="B86" s="1009"/>
      <c r="C86" s="1009"/>
      <c r="D86" s="1009"/>
      <c r="E86" s="1009"/>
      <c r="F86" s="1009"/>
      <c r="G86" s="1009"/>
      <c r="H86" s="1009"/>
    </row>
    <row r="87" spans="1:8" x14ac:dyDescent="0.2">
      <c r="A87" s="1010" t="s">
        <v>944</v>
      </c>
      <c r="B87" s="1009"/>
      <c r="C87" s="1009"/>
      <c r="D87" s="1009"/>
      <c r="E87" s="1009"/>
      <c r="F87" s="1009"/>
      <c r="G87" s="1009"/>
      <c r="H87" s="1009"/>
    </row>
    <row r="88" spans="1:8" x14ac:dyDescent="0.2">
      <c r="A88" s="1010" t="s">
        <v>945</v>
      </c>
      <c r="B88" s="1009"/>
      <c r="C88" s="1009"/>
      <c r="D88" s="1009"/>
      <c r="E88" s="1009"/>
      <c r="F88" s="1009"/>
      <c r="G88" s="1009"/>
      <c r="H88" s="1009"/>
    </row>
    <row r="89" spans="1:8" x14ac:dyDescent="0.2">
      <c r="A89" s="1010" t="s">
        <v>828</v>
      </c>
      <c r="B89" s="1009"/>
      <c r="C89" s="1009"/>
      <c r="D89" s="1009"/>
      <c r="E89" s="1009"/>
      <c r="F89" s="1009"/>
      <c r="G89" s="1009"/>
      <c r="H89" s="1009"/>
    </row>
    <row r="90" spans="1:8" x14ac:dyDescent="0.2">
      <c r="A90" s="1009"/>
      <c r="B90" s="1009"/>
      <c r="C90" s="1009"/>
      <c r="D90" s="1009"/>
      <c r="E90" s="1009"/>
      <c r="F90" s="1009"/>
      <c r="G90" s="1009"/>
      <c r="H90" s="1009"/>
    </row>
    <row r="91" spans="1:8" x14ac:dyDescent="0.2">
      <c r="A91" s="1010" t="s">
        <v>934</v>
      </c>
      <c r="B91" s="1009"/>
      <c r="C91" s="1009"/>
      <c r="D91" s="1009"/>
      <c r="E91" s="1009"/>
      <c r="F91" s="1009"/>
      <c r="G91" s="1009"/>
      <c r="H91" s="1009"/>
    </row>
    <row r="92" spans="1:8" x14ac:dyDescent="0.2">
      <c r="A92" s="1010" t="s">
        <v>935</v>
      </c>
      <c r="B92" s="1009"/>
      <c r="C92" s="1009"/>
      <c r="D92" s="1009"/>
      <c r="E92" s="1009"/>
      <c r="F92" s="1009"/>
      <c r="G92" s="1009"/>
      <c r="H92" s="1009"/>
    </row>
    <row r="93" spans="1:8" x14ac:dyDescent="0.2">
      <c r="A93" s="1010" t="s">
        <v>936</v>
      </c>
      <c r="B93" s="1009"/>
      <c r="C93" s="1009"/>
      <c r="D93" s="1009"/>
      <c r="E93" s="1009"/>
      <c r="F93" s="1009"/>
      <c r="G93" s="1009"/>
      <c r="H93" s="1009"/>
    </row>
    <row r="94" spans="1:8" x14ac:dyDescent="0.2">
      <c r="A94" s="1010" t="s">
        <v>937</v>
      </c>
      <c r="B94" s="1009"/>
      <c r="C94" s="1009"/>
      <c r="D94" s="1009"/>
      <c r="E94" s="1009"/>
      <c r="F94" s="1009"/>
      <c r="G94" s="1009"/>
      <c r="H94" s="1009"/>
    </row>
    <row r="95" spans="1:8" x14ac:dyDescent="0.2">
      <c r="A95" s="1010" t="s">
        <v>938</v>
      </c>
      <c r="B95" s="1009"/>
      <c r="C95" s="1009"/>
      <c r="D95" s="1009"/>
      <c r="E95" s="1009"/>
      <c r="F95" s="1009"/>
      <c r="G95" s="1009"/>
      <c r="H95" s="1009"/>
    </row>
    <row r="96" spans="1:8" x14ac:dyDescent="0.2">
      <c r="A96" s="1010" t="s">
        <v>939</v>
      </c>
      <c r="B96" s="1009"/>
      <c r="C96" s="1009"/>
      <c r="D96" s="1009"/>
      <c r="E96" s="1009"/>
      <c r="F96" s="1009"/>
      <c r="G96" s="1009"/>
      <c r="H96" s="1009"/>
    </row>
    <row r="97" spans="1:8" x14ac:dyDescent="0.2">
      <c r="A97" s="1010" t="s">
        <v>940</v>
      </c>
      <c r="B97" s="1009"/>
      <c r="C97" s="1009"/>
      <c r="D97" s="1009"/>
      <c r="E97" s="1009"/>
      <c r="F97" s="1009"/>
      <c r="G97" s="1009"/>
      <c r="H97" s="1009"/>
    </row>
    <row r="98" spans="1:8" x14ac:dyDescent="0.2">
      <c r="A98" s="1009"/>
      <c r="B98" s="1009"/>
      <c r="C98" s="1009"/>
      <c r="D98" s="1009"/>
      <c r="E98" s="1009"/>
      <c r="F98" s="1009"/>
      <c r="G98" s="1009"/>
      <c r="H98" s="1009"/>
    </row>
    <row r="99" spans="1:8" x14ac:dyDescent="0.2">
      <c r="A99" s="1010" t="s">
        <v>932</v>
      </c>
      <c r="B99" s="1009"/>
      <c r="C99" s="1009"/>
      <c r="D99" s="1009"/>
      <c r="E99" s="1009"/>
      <c r="F99" s="1009"/>
      <c r="G99" s="1009"/>
      <c r="H99" s="1009"/>
    </row>
    <row r="100" spans="1:8" x14ac:dyDescent="0.2">
      <c r="A100" s="1010" t="s">
        <v>933</v>
      </c>
      <c r="B100" s="1009"/>
      <c r="C100" s="1009"/>
      <c r="D100" s="1009"/>
      <c r="E100" s="1009"/>
      <c r="F100" s="1009"/>
      <c r="G100" s="1009"/>
      <c r="H100" s="1009"/>
    </row>
    <row r="101" spans="1:8" x14ac:dyDescent="0.2">
      <c r="A101" s="1009"/>
      <c r="B101" s="1009"/>
      <c r="C101" s="1009"/>
      <c r="D101" s="1009"/>
      <c r="E101" s="1009"/>
      <c r="F101" s="1009"/>
      <c r="G101" s="1009"/>
      <c r="H101" s="1009"/>
    </row>
    <row r="102" spans="1:8" ht="15.75" x14ac:dyDescent="0.2">
      <c r="A102" s="1011" t="s">
        <v>704</v>
      </c>
      <c r="B102" s="1009"/>
      <c r="C102" s="1009"/>
      <c r="D102" s="1009"/>
      <c r="E102" s="1009"/>
      <c r="F102" s="1009"/>
      <c r="G102" s="1009"/>
      <c r="H102" s="1009"/>
    </row>
    <row r="103" spans="1:8" x14ac:dyDescent="0.2">
      <c r="A103" s="1009"/>
      <c r="B103" s="1009"/>
      <c r="C103" s="1009"/>
      <c r="D103" s="1009"/>
      <c r="E103" s="1009"/>
      <c r="F103" s="1009"/>
      <c r="G103" s="1009"/>
      <c r="H103" s="1009"/>
    </row>
    <row r="104" spans="1:8" x14ac:dyDescent="0.2">
      <c r="A104" s="1010" t="s">
        <v>923</v>
      </c>
      <c r="B104" s="1009"/>
      <c r="C104" s="1009"/>
      <c r="D104" s="1009"/>
      <c r="E104" s="1009"/>
      <c r="F104" s="1009"/>
      <c r="G104" s="1009"/>
      <c r="H104" s="1009"/>
    </row>
    <row r="105" spans="1:8" x14ac:dyDescent="0.2">
      <c r="A105" s="1010" t="s">
        <v>924</v>
      </c>
      <c r="B105" s="1009"/>
      <c r="C105" s="1009"/>
      <c r="D105" s="1009"/>
      <c r="E105" s="1009"/>
      <c r="F105" s="1009"/>
      <c r="G105" s="1009"/>
      <c r="H105" s="1009"/>
    </row>
    <row r="106" spans="1:8" x14ac:dyDescent="0.2">
      <c r="A106" s="1010" t="s">
        <v>925</v>
      </c>
      <c r="B106" s="1009"/>
      <c r="C106" s="1009"/>
      <c r="D106" s="1009"/>
      <c r="E106" s="1009"/>
      <c r="F106" s="1009"/>
      <c r="G106" s="1009"/>
      <c r="H106" s="1009"/>
    </row>
    <row r="107" spans="1:8" x14ac:dyDescent="0.2">
      <c r="A107" s="1010" t="s">
        <v>926</v>
      </c>
      <c r="B107" s="1009"/>
      <c r="C107" s="1009"/>
      <c r="D107" s="1009"/>
      <c r="E107" s="1009"/>
      <c r="F107" s="1009"/>
      <c r="G107" s="1009"/>
      <c r="H107" s="1009"/>
    </row>
    <row r="108" spans="1:8" x14ac:dyDescent="0.2">
      <c r="A108" s="1010" t="s">
        <v>927</v>
      </c>
      <c r="B108" s="1009"/>
      <c r="C108" s="1009"/>
      <c r="D108" s="1009"/>
      <c r="E108" s="1009"/>
      <c r="F108" s="1009"/>
      <c r="G108" s="1009"/>
      <c r="H108" s="1009"/>
    </row>
    <row r="109" spans="1:8" x14ac:dyDescent="0.2">
      <c r="A109" s="1010" t="s">
        <v>928</v>
      </c>
      <c r="B109" s="1009"/>
      <c r="C109" s="1009"/>
      <c r="D109" s="1009"/>
      <c r="E109" s="1009"/>
      <c r="F109" s="1009"/>
      <c r="G109" s="1009"/>
      <c r="H109" s="1009"/>
    </row>
    <row r="110" spans="1:8" x14ac:dyDescent="0.2">
      <c r="A110" s="1010" t="s">
        <v>929</v>
      </c>
      <c r="B110" s="1009"/>
      <c r="C110" s="1009"/>
      <c r="D110" s="1009"/>
      <c r="E110" s="1009"/>
      <c r="F110" s="1009"/>
      <c r="G110" s="1009"/>
      <c r="H110" s="1009"/>
    </row>
    <row r="111" spans="1:8" x14ac:dyDescent="0.2">
      <c r="A111" s="1010" t="s">
        <v>930</v>
      </c>
      <c r="B111" s="1009"/>
      <c r="C111" s="1009"/>
      <c r="D111" s="1009"/>
      <c r="E111" s="1009"/>
      <c r="F111" s="1009"/>
      <c r="G111" s="1009"/>
      <c r="H111" s="1009"/>
    </row>
    <row r="112" spans="1:8" x14ac:dyDescent="0.2">
      <c r="A112" s="1010" t="s">
        <v>931</v>
      </c>
      <c r="B112" s="1009"/>
      <c r="C112" s="1009"/>
      <c r="D112" s="1009"/>
      <c r="E112" s="1009"/>
      <c r="F112" s="1009"/>
      <c r="G112" s="1009"/>
      <c r="H112" s="1009"/>
    </row>
    <row r="113" spans="1:8" x14ac:dyDescent="0.2">
      <c r="A113" s="1009"/>
      <c r="B113" s="1009"/>
      <c r="C113" s="1009"/>
      <c r="D113" s="1009"/>
      <c r="E113" s="1009"/>
      <c r="F113" s="1009"/>
      <c r="G113" s="1009"/>
      <c r="H113" s="1009"/>
    </row>
    <row r="114" spans="1:8" ht="15.75" x14ac:dyDescent="0.2">
      <c r="A114" s="1012" t="s">
        <v>705</v>
      </c>
      <c r="B114" s="1012"/>
      <c r="C114" s="1012"/>
      <c r="D114" s="1012"/>
      <c r="E114" s="1012"/>
      <c r="F114" s="1012"/>
      <c r="G114" s="1012"/>
      <c r="H114" s="1012"/>
    </row>
    <row r="115" spans="1:8" x14ac:dyDescent="0.2">
      <c r="A115" s="1013" t="s">
        <v>706</v>
      </c>
      <c r="B115" s="1013"/>
      <c r="C115" s="1013"/>
      <c r="D115" s="1013"/>
      <c r="E115" s="1013"/>
      <c r="F115" s="1013"/>
      <c r="G115" s="1013"/>
      <c r="H115" s="1013"/>
    </row>
    <row r="116" spans="1:8" x14ac:dyDescent="0.2">
      <c r="A116" s="1014"/>
      <c r="B116" s="1014"/>
      <c r="C116" s="1014"/>
      <c r="D116" s="1014"/>
      <c r="E116" s="1014"/>
      <c r="F116" s="1014"/>
      <c r="G116" s="1014"/>
      <c r="H116" s="1014"/>
    </row>
    <row r="117" spans="1:8" x14ac:dyDescent="0.2">
      <c r="A117" s="1013" t="s">
        <v>921</v>
      </c>
      <c r="B117" s="1013"/>
      <c r="C117" s="1013"/>
      <c r="D117" s="1013"/>
      <c r="E117" s="1013"/>
      <c r="F117" s="1013"/>
      <c r="G117" s="1013"/>
      <c r="H117" s="1013"/>
    </row>
    <row r="118" spans="1:8" x14ac:dyDescent="0.2">
      <c r="A118" s="1010" t="s">
        <v>922</v>
      </c>
      <c r="B118" s="1010"/>
      <c r="C118" s="1010"/>
      <c r="D118" s="1010"/>
      <c r="E118" s="1010"/>
      <c r="F118" s="1010"/>
      <c r="G118" s="1010"/>
      <c r="H118" s="1010"/>
    </row>
    <row r="119" spans="1:8" x14ac:dyDescent="0.2">
      <c r="A119" s="1014"/>
      <c r="B119" s="1014"/>
      <c r="C119" s="1014"/>
      <c r="D119" s="1014"/>
      <c r="E119" s="1014"/>
      <c r="F119" s="1014"/>
      <c r="G119" s="1014"/>
      <c r="H119" s="1014"/>
    </row>
    <row r="120" spans="1:8" x14ac:dyDescent="0.2">
      <c r="A120" s="1013" t="s">
        <v>914</v>
      </c>
      <c r="B120" s="1013"/>
      <c r="C120" s="1013"/>
      <c r="D120" s="1013"/>
      <c r="E120" s="1013"/>
      <c r="F120" s="1013"/>
      <c r="G120" s="1013"/>
      <c r="H120" s="1013"/>
    </row>
    <row r="121" spans="1:8" x14ac:dyDescent="0.2">
      <c r="A121" s="1010" t="s">
        <v>915</v>
      </c>
      <c r="B121" s="1010"/>
      <c r="C121" s="1010"/>
      <c r="D121" s="1010"/>
      <c r="E121" s="1010"/>
      <c r="F121" s="1010"/>
      <c r="G121" s="1010"/>
      <c r="H121" s="1010"/>
    </row>
    <row r="122" spans="1:8" x14ac:dyDescent="0.2">
      <c r="A122" s="1010" t="s">
        <v>916</v>
      </c>
      <c r="B122" s="1010"/>
      <c r="C122" s="1010"/>
      <c r="D122" s="1010"/>
      <c r="E122" s="1010"/>
      <c r="F122" s="1010"/>
      <c r="G122" s="1010"/>
      <c r="H122" s="1010"/>
    </row>
    <row r="123" spans="1:8" x14ac:dyDescent="0.2">
      <c r="A123" s="1010" t="s">
        <v>917</v>
      </c>
      <c r="B123" s="1010"/>
      <c r="C123" s="1010"/>
      <c r="D123" s="1010"/>
      <c r="E123" s="1010"/>
      <c r="F123" s="1010"/>
      <c r="G123" s="1010"/>
      <c r="H123" s="1010"/>
    </row>
    <row r="124" spans="1:8" x14ac:dyDescent="0.2">
      <c r="A124" s="1010" t="s">
        <v>918</v>
      </c>
      <c r="B124" s="1010"/>
      <c r="C124" s="1010"/>
      <c r="D124" s="1010"/>
      <c r="E124" s="1010"/>
      <c r="F124" s="1010"/>
      <c r="G124" s="1010"/>
      <c r="H124" s="1010"/>
    </row>
    <row r="125" spans="1:8" x14ac:dyDescent="0.2">
      <c r="A125" s="1010" t="s">
        <v>919</v>
      </c>
      <c r="B125" s="1010"/>
      <c r="C125" s="1010"/>
      <c r="D125" s="1010"/>
      <c r="E125" s="1010"/>
      <c r="F125" s="1010"/>
      <c r="G125" s="1010"/>
      <c r="H125" s="1010"/>
    </row>
    <row r="126" spans="1:8" x14ac:dyDescent="0.2">
      <c r="A126" s="1010" t="s">
        <v>920</v>
      </c>
      <c r="B126" s="1010"/>
      <c r="C126" s="1010"/>
      <c r="D126" s="1010"/>
      <c r="E126" s="1010"/>
      <c r="F126" s="1010"/>
      <c r="G126" s="1010"/>
      <c r="H126" s="1010"/>
    </row>
    <row r="127" spans="1:8" x14ac:dyDescent="0.2">
      <c r="A127" s="1015"/>
      <c r="B127" s="1015"/>
      <c r="C127" s="1015"/>
      <c r="D127" s="1015"/>
      <c r="E127" s="1015"/>
      <c r="F127" s="1015"/>
      <c r="G127" s="1015"/>
      <c r="H127" s="1015"/>
    </row>
    <row r="128" spans="1:8" x14ac:dyDescent="0.2">
      <c r="A128" s="1016"/>
      <c r="B128" s="1017" t="s">
        <v>707</v>
      </c>
      <c r="C128" s="1018"/>
      <c r="D128" s="1017" t="s">
        <v>708</v>
      </c>
      <c r="E128" s="1019"/>
      <c r="F128" s="1018"/>
      <c r="G128" s="1017" t="s">
        <v>709</v>
      </c>
      <c r="H128" s="1018"/>
    </row>
    <row r="129" spans="1:8" x14ac:dyDescent="0.2">
      <c r="A129" s="1016" t="s">
        <v>710</v>
      </c>
      <c r="B129" s="1016" t="s">
        <v>473</v>
      </c>
      <c r="C129" s="1016" t="s">
        <v>711</v>
      </c>
      <c r="D129" s="1016" t="s">
        <v>473</v>
      </c>
      <c r="E129" s="1016" t="s">
        <v>712</v>
      </c>
      <c r="F129" s="1016" t="s">
        <v>713</v>
      </c>
      <c r="G129" s="1016" t="s">
        <v>473</v>
      </c>
      <c r="H129" s="1016" t="s">
        <v>714</v>
      </c>
    </row>
    <row r="130" spans="1:8" x14ac:dyDescent="0.2">
      <c r="A130" s="1016" t="s">
        <v>715</v>
      </c>
      <c r="B130" s="1016">
        <v>1189</v>
      </c>
      <c r="C130" s="1020">
        <v>0.38</v>
      </c>
      <c r="D130" s="1016">
        <v>315</v>
      </c>
      <c r="E130" s="1020">
        <v>0.41</v>
      </c>
      <c r="F130" s="1020">
        <v>0.26</v>
      </c>
      <c r="G130" s="1016">
        <v>555</v>
      </c>
      <c r="H130" s="1020">
        <v>0.39</v>
      </c>
    </row>
    <row r="131" spans="1:8" x14ac:dyDescent="0.2">
      <c r="A131" s="1016" t="s">
        <v>716</v>
      </c>
      <c r="B131" s="1016">
        <v>1355</v>
      </c>
      <c r="C131" s="1020">
        <v>0.43</v>
      </c>
      <c r="D131" s="1016">
        <v>364</v>
      </c>
      <c r="E131" s="1020">
        <v>0.47</v>
      </c>
      <c r="F131" s="1020">
        <v>0.27</v>
      </c>
      <c r="G131" s="1016">
        <v>644</v>
      </c>
      <c r="H131" s="1020">
        <v>0.45</v>
      </c>
    </row>
    <row r="132" spans="1:8" x14ac:dyDescent="0.2">
      <c r="A132" s="1016" t="s">
        <v>717</v>
      </c>
      <c r="B132" s="1016">
        <v>53</v>
      </c>
      <c r="C132" s="1020">
        <v>0.02</v>
      </c>
      <c r="D132" s="1016">
        <v>4</v>
      </c>
      <c r="E132" s="1020">
        <v>0.01</v>
      </c>
      <c r="F132" s="1020">
        <v>0.08</v>
      </c>
      <c r="G132" s="1016">
        <v>7</v>
      </c>
      <c r="H132" s="1020">
        <v>0</v>
      </c>
    </row>
    <row r="133" spans="1:8" x14ac:dyDescent="0.2">
      <c r="A133" s="1016" t="s">
        <v>718</v>
      </c>
      <c r="B133" s="1016">
        <v>545</v>
      </c>
      <c r="C133" s="1020">
        <v>0.17</v>
      </c>
      <c r="D133" s="1016">
        <v>84</v>
      </c>
      <c r="E133" s="1020">
        <v>0.11</v>
      </c>
      <c r="F133" s="1020">
        <v>0.15</v>
      </c>
      <c r="G133" s="1016">
        <v>214</v>
      </c>
      <c r="H133" s="1020">
        <v>0.15</v>
      </c>
    </row>
    <row r="134" spans="1:8" x14ac:dyDescent="0.2">
      <c r="A134" s="1016" t="s">
        <v>170</v>
      </c>
      <c r="B134" s="1021">
        <v>3142</v>
      </c>
      <c r="C134" s="1016"/>
      <c r="D134" s="1016">
        <v>767</v>
      </c>
      <c r="E134" s="1016"/>
      <c r="F134" s="1016"/>
      <c r="G134" s="1016">
        <v>1420</v>
      </c>
      <c r="H134" s="1016"/>
    </row>
    <row r="135" spans="1:8" x14ac:dyDescent="0.2">
      <c r="A135" s="1022"/>
      <c r="B135" s="1022"/>
      <c r="C135" s="1022"/>
      <c r="D135" s="1022"/>
      <c r="E135" s="1022"/>
      <c r="F135" s="1022"/>
      <c r="G135" s="1022"/>
      <c r="H135" s="1022"/>
    </row>
    <row r="136" spans="1:8" x14ac:dyDescent="0.2">
      <c r="A136" s="1013" t="s">
        <v>910</v>
      </c>
      <c r="B136" s="1013"/>
      <c r="C136" s="1013"/>
      <c r="D136" s="1013"/>
      <c r="E136" s="1013"/>
      <c r="F136" s="1013"/>
      <c r="G136" s="1013"/>
      <c r="H136" s="1013"/>
    </row>
    <row r="137" spans="1:8" x14ac:dyDescent="0.2">
      <c r="A137" s="1010" t="s">
        <v>911</v>
      </c>
      <c r="B137" s="1010"/>
      <c r="C137" s="1010"/>
      <c r="D137" s="1010"/>
      <c r="E137" s="1010"/>
      <c r="F137" s="1010"/>
      <c r="G137" s="1010"/>
      <c r="H137" s="1010"/>
    </row>
    <row r="138" spans="1:8" x14ac:dyDescent="0.2">
      <c r="A138" s="1010" t="s">
        <v>912</v>
      </c>
      <c r="B138" s="1010"/>
      <c r="C138" s="1010"/>
      <c r="D138" s="1010"/>
      <c r="E138" s="1010"/>
      <c r="F138" s="1010"/>
      <c r="G138" s="1010"/>
      <c r="H138" s="1010"/>
    </row>
    <row r="139" spans="1:8" x14ac:dyDescent="0.2">
      <c r="A139" s="1010" t="s">
        <v>913</v>
      </c>
      <c r="B139" s="1010"/>
      <c r="C139" s="1010"/>
      <c r="D139" s="1010"/>
      <c r="E139" s="1010"/>
      <c r="F139" s="1010"/>
      <c r="G139" s="1010"/>
      <c r="H139" s="1010"/>
    </row>
    <row r="140" spans="1:8" x14ac:dyDescent="0.2">
      <c r="A140" s="1009"/>
      <c r="B140" s="1009"/>
      <c r="C140" s="1009"/>
      <c r="D140" s="1009"/>
      <c r="E140" s="1009"/>
      <c r="F140" s="1009"/>
      <c r="G140" s="1009"/>
      <c r="H140" s="1009"/>
    </row>
    <row r="141" spans="1:8" ht="15.75" x14ac:dyDescent="0.2">
      <c r="A141" s="1011" t="s">
        <v>719</v>
      </c>
      <c r="B141" s="1009"/>
      <c r="C141" s="1009"/>
      <c r="D141" s="1009"/>
      <c r="E141" s="1009"/>
      <c r="F141" s="1009"/>
      <c r="G141" s="1009"/>
      <c r="H141" s="1009"/>
    </row>
    <row r="142" spans="1:8" x14ac:dyDescent="0.2">
      <c r="A142" s="1009"/>
      <c r="B142" s="1009"/>
      <c r="C142" s="1009"/>
      <c r="D142" s="1009"/>
      <c r="E142" s="1009"/>
      <c r="F142" s="1009"/>
      <c r="G142" s="1009"/>
      <c r="H142" s="1009"/>
    </row>
    <row r="143" spans="1:8" x14ac:dyDescent="0.2">
      <c r="A143" s="1010" t="s">
        <v>908</v>
      </c>
      <c r="B143" s="1009"/>
      <c r="C143" s="1009"/>
      <c r="D143" s="1009"/>
      <c r="E143" s="1009"/>
      <c r="F143" s="1009"/>
      <c r="G143" s="1009"/>
      <c r="H143" s="1009"/>
    </row>
    <row r="144" spans="1:8" x14ac:dyDescent="0.2">
      <c r="A144" s="1010" t="s">
        <v>909</v>
      </c>
      <c r="B144" s="1009"/>
      <c r="C144" s="1009"/>
      <c r="D144" s="1009"/>
      <c r="E144" s="1009"/>
      <c r="F144" s="1009"/>
      <c r="G144" s="1009"/>
      <c r="H144" s="1009"/>
    </row>
    <row r="145" spans="1:8" x14ac:dyDescent="0.2">
      <c r="A145" s="1009"/>
      <c r="B145" s="1009"/>
      <c r="C145" s="1009"/>
      <c r="D145" s="1009"/>
      <c r="E145" s="1009"/>
      <c r="F145" s="1009"/>
      <c r="G145" s="1009"/>
      <c r="H145" s="1009"/>
    </row>
    <row r="146" spans="1:8" x14ac:dyDescent="0.2">
      <c r="A146" s="1010" t="s">
        <v>905</v>
      </c>
      <c r="B146" s="1009"/>
      <c r="C146" s="1009"/>
      <c r="D146" s="1009"/>
      <c r="E146" s="1009"/>
      <c r="F146" s="1009"/>
      <c r="G146" s="1009"/>
      <c r="H146" s="1009"/>
    </row>
    <row r="147" spans="1:8" x14ac:dyDescent="0.2">
      <c r="A147" s="1010" t="s">
        <v>906</v>
      </c>
      <c r="B147" s="1009"/>
      <c r="C147" s="1009"/>
      <c r="D147" s="1009"/>
      <c r="E147" s="1009"/>
      <c r="F147" s="1009"/>
      <c r="G147" s="1009"/>
      <c r="H147" s="1009"/>
    </row>
    <row r="148" spans="1:8" x14ac:dyDescent="0.2">
      <c r="A148" s="1010" t="s">
        <v>907</v>
      </c>
      <c r="B148" s="1009"/>
      <c r="C148" s="1009"/>
      <c r="D148" s="1009"/>
      <c r="E148" s="1009"/>
      <c r="F148" s="1009"/>
      <c r="G148" s="1009"/>
      <c r="H148" s="1009"/>
    </row>
    <row r="149" spans="1:8" x14ac:dyDescent="0.2">
      <c r="A149" s="1009"/>
      <c r="B149" s="1009"/>
      <c r="C149" s="1009"/>
      <c r="D149" s="1009"/>
      <c r="E149" s="1009"/>
      <c r="F149" s="1009"/>
      <c r="G149" s="1009"/>
      <c r="H149" s="1009"/>
    </row>
    <row r="150" spans="1:8" x14ac:dyDescent="0.2">
      <c r="A150" s="1010" t="s">
        <v>902</v>
      </c>
      <c r="B150" s="1009"/>
      <c r="C150" s="1009"/>
      <c r="D150" s="1009"/>
      <c r="E150" s="1009"/>
      <c r="F150" s="1009"/>
      <c r="G150" s="1009"/>
      <c r="H150" s="1009"/>
    </row>
    <row r="151" spans="1:8" x14ac:dyDescent="0.2">
      <c r="A151" s="1010" t="s">
        <v>903</v>
      </c>
      <c r="B151" s="1009"/>
      <c r="C151" s="1009"/>
      <c r="D151" s="1009"/>
      <c r="E151" s="1009"/>
      <c r="F151" s="1009"/>
      <c r="G151" s="1009"/>
      <c r="H151" s="1009"/>
    </row>
    <row r="152" spans="1:8" x14ac:dyDescent="0.2">
      <c r="A152" s="1010" t="s">
        <v>904</v>
      </c>
      <c r="B152" s="1009"/>
      <c r="C152" s="1009"/>
      <c r="D152" s="1009"/>
      <c r="E152" s="1009"/>
      <c r="F152" s="1009"/>
      <c r="G152" s="1009"/>
      <c r="H152" s="1009"/>
    </row>
    <row r="153" spans="1:8" x14ac:dyDescent="0.2">
      <c r="A153" s="1009"/>
      <c r="B153" s="1009"/>
      <c r="C153" s="1009"/>
      <c r="D153" s="1009"/>
      <c r="E153" s="1009"/>
      <c r="F153" s="1009"/>
      <c r="G153" s="1009"/>
      <c r="H153" s="1009"/>
    </row>
    <row r="154" spans="1:8" x14ac:dyDescent="0.2">
      <c r="A154" s="1010" t="s">
        <v>899</v>
      </c>
      <c r="B154" s="1009"/>
      <c r="C154" s="1009"/>
      <c r="D154" s="1009"/>
      <c r="E154" s="1009"/>
      <c r="F154" s="1009"/>
      <c r="G154" s="1009"/>
      <c r="H154" s="1009"/>
    </row>
    <row r="155" spans="1:8" x14ac:dyDescent="0.2">
      <c r="A155" s="1010" t="s">
        <v>900</v>
      </c>
      <c r="B155" s="1009"/>
      <c r="C155" s="1009"/>
      <c r="D155" s="1009"/>
      <c r="E155" s="1009"/>
      <c r="F155" s="1009"/>
      <c r="G155" s="1009"/>
      <c r="H155" s="1009"/>
    </row>
    <row r="156" spans="1:8" x14ac:dyDescent="0.2">
      <c r="A156" s="1010" t="s">
        <v>901</v>
      </c>
      <c r="B156" s="1009"/>
      <c r="C156" s="1009"/>
      <c r="D156" s="1009"/>
      <c r="E156" s="1009"/>
      <c r="F156" s="1009"/>
      <c r="G156" s="1009"/>
      <c r="H156" s="1009"/>
    </row>
    <row r="157" spans="1:8" x14ac:dyDescent="0.2">
      <c r="A157" s="1009"/>
      <c r="B157" s="1009"/>
      <c r="C157" s="1009"/>
      <c r="D157" s="1009"/>
      <c r="E157" s="1009"/>
      <c r="F157" s="1009"/>
      <c r="G157" s="1009"/>
      <c r="H157" s="1009"/>
    </row>
    <row r="158" spans="1:8" x14ac:dyDescent="0.2">
      <c r="A158" s="1010" t="s">
        <v>897</v>
      </c>
      <c r="B158" s="1009"/>
      <c r="C158" s="1009"/>
      <c r="D158" s="1009"/>
      <c r="E158" s="1009"/>
      <c r="F158" s="1009"/>
      <c r="G158" s="1009"/>
      <c r="H158" s="1009"/>
    </row>
    <row r="159" spans="1:8" x14ac:dyDescent="0.2">
      <c r="A159" s="1010" t="s">
        <v>898</v>
      </c>
      <c r="B159" s="1009"/>
      <c r="C159" s="1009"/>
      <c r="D159" s="1009"/>
      <c r="E159" s="1009"/>
      <c r="F159" s="1009"/>
      <c r="G159" s="1009"/>
      <c r="H159" s="1009"/>
    </row>
    <row r="160" spans="1:8" x14ac:dyDescent="0.2">
      <c r="A160" s="1009"/>
      <c r="B160" s="1009"/>
      <c r="C160" s="1009"/>
      <c r="D160" s="1009"/>
      <c r="E160" s="1009"/>
      <c r="F160" s="1009"/>
      <c r="G160" s="1009"/>
      <c r="H160" s="1009"/>
    </row>
    <row r="161" spans="1:8" ht="15.75" x14ac:dyDescent="0.2">
      <c r="A161" s="1011" t="s">
        <v>720</v>
      </c>
      <c r="B161" s="1009"/>
      <c r="C161" s="1009"/>
      <c r="D161" s="1009"/>
      <c r="E161" s="1009"/>
      <c r="F161" s="1009"/>
      <c r="G161" s="1009"/>
      <c r="H161" s="1009"/>
    </row>
    <row r="162" spans="1:8" x14ac:dyDescent="0.2">
      <c r="A162" s="1009"/>
      <c r="B162" s="1009"/>
      <c r="C162" s="1009"/>
      <c r="D162" s="1009"/>
      <c r="E162" s="1009"/>
      <c r="F162" s="1009"/>
      <c r="G162" s="1009"/>
      <c r="H162" s="1009"/>
    </row>
    <row r="163" spans="1:8" x14ac:dyDescent="0.2">
      <c r="A163" s="1010" t="s">
        <v>895</v>
      </c>
      <c r="B163" s="1009"/>
      <c r="C163" s="1009"/>
      <c r="D163" s="1009"/>
      <c r="E163" s="1009"/>
      <c r="F163" s="1009"/>
      <c r="G163" s="1009"/>
      <c r="H163" s="1009"/>
    </row>
    <row r="164" spans="1:8" x14ac:dyDescent="0.2">
      <c r="A164" s="1010" t="s">
        <v>896</v>
      </c>
      <c r="B164" s="1009"/>
      <c r="C164" s="1009"/>
      <c r="D164" s="1009"/>
      <c r="E164" s="1009"/>
      <c r="F164" s="1009"/>
      <c r="G164" s="1009"/>
      <c r="H164" s="1009"/>
    </row>
    <row r="165" spans="1:8" x14ac:dyDescent="0.2">
      <c r="A165" s="1009"/>
      <c r="B165" s="1009"/>
      <c r="C165" s="1009"/>
      <c r="D165" s="1009"/>
      <c r="E165" s="1009"/>
      <c r="F165" s="1009"/>
      <c r="G165" s="1009"/>
      <c r="H165" s="1009"/>
    </row>
    <row r="166" spans="1:8" x14ac:dyDescent="0.2">
      <c r="A166" s="1010" t="s">
        <v>893</v>
      </c>
      <c r="B166" s="1009"/>
      <c r="C166" s="1009"/>
      <c r="D166" s="1009"/>
      <c r="E166" s="1009"/>
      <c r="F166" s="1009"/>
      <c r="G166" s="1009"/>
      <c r="H166" s="1009"/>
    </row>
    <row r="167" spans="1:8" x14ac:dyDescent="0.2">
      <c r="A167" s="1010" t="s">
        <v>894</v>
      </c>
      <c r="B167" s="1009"/>
      <c r="C167" s="1009"/>
      <c r="D167" s="1009"/>
      <c r="E167" s="1009"/>
      <c r="F167" s="1009"/>
      <c r="G167" s="1009"/>
      <c r="H167" s="1009"/>
    </row>
    <row r="168" spans="1:8" x14ac:dyDescent="0.2">
      <c r="A168" s="1009"/>
      <c r="B168" s="1009"/>
      <c r="C168" s="1009"/>
      <c r="D168" s="1009"/>
      <c r="E168" s="1009"/>
      <c r="F168" s="1009"/>
      <c r="G168" s="1009"/>
      <c r="H168" s="1009"/>
    </row>
    <row r="169" spans="1:8" x14ac:dyDescent="0.2">
      <c r="A169" s="1010" t="s">
        <v>891</v>
      </c>
      <c r="B169" s="1009"/>
      <c r="C169" s="1009"/>
      <c r="D169" s="1009"/>
      <c r="E169" s="1009"/>
      <c r="F169" s="1009"/>
      <c r="G169" s="1009"/>
      <c r="H169" s="1009"/>
    </row>
    <row r="170" spans="1:8" x14ac:dyDescent="0.2">
      <c r="A170" s="1010" t="s">
        <v>892</v>
      </c>
      <c r="B170" s="1009"/>
      <c r="C170" s="1009"/>
      <c r="D170" s="1009"/>
      <c r="E170" s="1009"/>
      <c r="F170" s="1009"/>
      <c r="G170" s="1009"/>
      <c r="H170" s="1009"/>
    </row>
    <row r="171" spans="1:8" x14ac:dyDescent="0.2">
      <c r="A171" s="1009"/>
      <c r="B171" s="1009"/>
      <c r="C171" s="1009"/>
      <c r="D171" s="1009"/>
      <c r="E171" s="1009"/>
      <c r="F171" s="1009"/>
      <c r="G171" s="1009"/>
      <c r="H171" s="1009"/>
    </row>
    <row r="172" spans="1:8" x14ac:dyDescent="0.2">
      <c r="A172" s="1010" t="s">
        <v>888</v>
      </c>
      <c r="B172" s="1009"/>
      <c r="C172" s="1009"/>
      <c r="D172" s="1009"/>
      <c r="E172" s="1009"/>
      <c r="F172" s="1009"/>
      <c r="G172" s="1009"/>
      <c r="H172" s="1009"/>
    </row>
    <row r="173" spans="1:8" x14ac:dyDescent="0.2">
      <c r="A173" s="1010" t="s">
        <v>889</v>
      </c>
      <c r="B173" s="1009"/>
      <c r="C173" s="1009"/>
      <c r="D173" s="1009"/>
      <c r="E173" s="1009"/>
      <c r="F173" s="1009"/>
      <c r="G173" s="1009"/>
      <c r="H173" s="1009"/>
    </row>
    <row r="174" spans="1:8" x14ac:dyDescent="0.2">
      <c r="A174" s="1010" t="s">
        <v>890</v>
      </c>
      <c r="B174" s="1009"/>
      <c r="C174" s="1009"/>
      <c r="D174" s="1009"/>
      <c r="E174" s="1009"/>
      <c r="F174" s="1009"/>
      <c r="G174" s="1009"/>
      <c r="H174" s="1009"/>
    </row>
    <row r="175" spans="1:8" x14ac:dyDescent="0.2">
      <c r="A175" s="1009"/>
      <c r="B175" s="1009"/>
      <c r="C175" s="1009"/>
      <c r="D175" s="1009"/>
      <c r="E175" s="1009"/>
      <c r="F175" s="1009"/>
      <c r="G175" s="1009"/>
      <c r="H175" s="1009"/>
    </row>
    <row r="176" spans="1:8" x14ac:dyDescent="0.2">
      <c r="A176" s="1009"/>
      <c r="B176" s="1009"/>
      <c r="C176" s="1009"/>
      <c r="D176" s="1009"/>
      <c r="E176" s="1009"/>
      <c r="F176" s="1009"/>
      <c r="G176" s="1009"/>
      <c r="H176" s="1009"/>
    </row>
    <row r="177" spans="1:8" x14ac:dyDescent="0.2">
      <c r="A177" s="1010" t="s">
        <v>339</v>
      </c>
      <c r="B177" s="1009"/>
      <c r="C177" s="1009"/>
      <c r="D177" s="1009"/>
      <c r="E177" s="1009"/>
      <c r="F177" s="1009"/>
      <c r="G177" s="1009"/>
      <c r="H177" s="1009"/>
    </row>
    <row r="178" spans="1:8" x14ac:dyDescent="0.2">
      <c r="A178" s="1009"/>
      <c r="B178" s="1009"/>
      <c r="C178" s="1009"/>
      <c r="D178" s="1009"/>
      <c r="E178" s="1009"/>
      <c r="F178" s="1009"/>
      <c r="G178" s="1009"/>
      <c r="H178" s="1009"/>
    </row>
    <row r="179" spans="1:8" ht="15.75" x14ac:dyDescent="0.2">
      <c r="A179" s="1011" t="s">
        <v>721</v>
      </c>
      <c r="B179" s="1009"/>
      <c r="C179" s="1009"/>
      <c r="D179" s="1009"/>
      <c r="E179" s="1009"/>
      <c r="F179" s="1009"/>
      <c r="G179" s="1009"/>
      <c r="H179" s="1009"/>
    </row>
    <row r="180" spans="1:8" x14ac:dyDescent="0.2">
      <c r="A180" s="1009"/>
      <c r="B180" s="1009"/>
      <c r="C180" s="1009"/>
      <c r="D180" s="1009"/>
      <c r="E180" s="1009"/>
      <c r="F180" s="1009"/>
      <c r="G180" s="1009"/>
      <c r="H180" s="1009"/>
    </row>
    <row r="181" spans="1:8" x14ac:dyDescent="0.2">
      <c r="A181" s="1009"/>
      <c r="B181" s="1009"/>
      <c r="C181" s="1009"/>
      <c r="D181" s="1009"/>
      <c r="E181" s="1009"/>
      <c r="F181" s="1009"/>
      <c r="G181" s="1009"/>
      <c r="H181" s="1009"/>
    </row>
    <row r="182" spans="1:8" x14ac:dyDescent="0.2">
      <c r="A182" s="1009"/>
      <c r="B182" s="1009"/>
      <c r="C182" s="1009"/>
      <c r="D182" s="1009"/>
      <c r="E182" s="1009"/>
      <c r="F182" s="1009"/>
      <c r="G182" s="1009"/>
      <c r="H182" s="1009"/>
    </row>
    <row r="183" spans="1:8" x14ac:dyDescent="0.2">
      <c r="A183" s="1009"/>
      <c r="B183" s="1009"/>
      <c r="C183" s="1009"/>
      <c r="D183" s="1009"/>
      <c r="E183" s="1009"/>
      <c r="F183" s="1009"/>
      <c r="G183" s="1009"/>
      <c r="H183" s="1009"/>
    </row>
    <row r="184" spans="1:8" x14ac:dyDescent="0.2">
      <c r="A184" s="1009"/>
      <c r="B184" s="1009"/>
      <c r="C184" s="1009"/>
      <c r="D184" s="1009"/>
      <c r="E184" s="1009"/>
      <c r="F184" s="1009"/>
      <c r="G184" s="1009"/>
      <c r="H184" s="1009"/>
    </row>
    <row r="185" spans="1:8" x14ac:dyDescent="0.2">
      <c r="A185" s="1009"/>
      <c r="B185" s="1009"/>
      <c r="C185" s="1009"/>
      <c r="D185" s="1009"/>
      <c r="E185" s="1009"/>
      <c r="F185" s="1009"/>
      <c r="G185" s="1009"/>
      <c r="H185" s="1009"/>
    </row>
    <row r="186" spans="1:8" x14ac:dyDescent="0.2">
      <c r="A186" s="1009"/>
      <c r="B186" s="1009"/>
      <c r="C186" s="1009"/>
      <c r="D186" s="1009"/>
      <c r="E186" s="1009"/>
      <c r="F186" s="1009"/>
      <c r="G186" s="1009"/>
      <c r="H186" s="1009"/>
    </row>
    <row r="187" spans="1:8" x14ac:dyDescent="0.2">
      <c r="A187" s="1009"/>
      <c r="B187" s="1009"/>
      <c r="C187" s="1009"/>
      <c r="D187" s="1009"/>
      <c r="E187" s="1009"/>
      <c r="F187" s="1009"/>
      <c r="G187" s="1009"/>
      <c r="H187" s="1009"/>
    </row>
    <row r="188" spans="1:8" x14ac:dyDescent="0.2">
      <c r="A188" s="1009"/>
      <c r="B188" s="1009"/>
      <c r="C188" s="1009"/>
      <c r="D188" s="1009"/>
      <c r="E188" s="1009"/>
      <c r="F188" s="1009"/>
      <c r="G188" s="1009"/>
      <c r="H188" s="1009"/>
    </row>
    <row r="189" spans="1:8" x14ac:dyDescent="0.2">
      <c r="A189" s="1009"/>
      <c r="B189" s="1009"/>
      <c r="C189" s="1009"/>
      <c r="D189" s="1009"/>
      <c r="E189" s="1009"/>
      <c r="F189" s="1009"/>
      <c r="G189" s="1009"/>
      <c r="H189" s="1009"/>
    </row>
    <row r="190" spans="1:8" x14ac:dyDescent="0.2">
      <c r="A190" s="1009"/>
      <c r="B190" s="1009"/>
      <c r="C190" s="1009"/>
      <c r="D190" s="1009"/>
      <c r="E190" s="1009"/>
      <c r="F190" s="1009"/>
      <c r="G190" s="1009"/>
      <c r="H190" s="1009"/>
    </row>
    <row r="191" spans="1:8" x14ac:dyDescent="0.2">
      <c r="A191" s="1009"/>
      <c r="B191" s="1009"/>
      <c r="C191" s="1009"/>
      <c r="D191" s="1009"/>
      <c r="E191" s="1009"/>
      <c r="F191" s="1009"/>
      <c r="G191" s="1009"/>
      <c r="H191" s="1009"/>
    </row>
    <row r="192" spans="1:8" x14ac:dyDescent="0.2">
      <c r="A192" s="1009"/>
      <c r="B192" s="1009"/>
      <c r="C192" s="1009"/>
      <c r="D192" s="1009"/>
      <c r="E192" s="1009"/>
      <c r="F192" s="1009"/>
      <c r="G192" s="1009"/>
      <c r="H192" s="1009"/>
    </row>
    <row r="193" spans="1:8" x14ac:dyDescent="0.2">
      <c r="A193" s="1009"/>
      <c r="B193" s="1009"/>
      <c r="C193" s="1009"/>
      <c r="D193" s="1009"/>
      <c r="E193" s="1009"/>
      <c r="F193" s="1009"/>
      <c r="G193" s="1009"/>
      <c r="H193" s="1009"/>
    </row>
    <row r="194" spans="1:8" x14ac:dyDescent="0.2">
      <c r="A194" s="1009"/>
      <c r="B194" s="1009"/>
      <c r="C194" s="1009"/>
      <c r="D194" s="1009"/>
      <c r="E194" s="1009"/>
      <c r="F194" s="1009"/>
      <c r="G194" s="1009"/>
      <c r="H194" s="1009"/>
    </row>
    <row r="195" spans="1:8" x14ac:dyDescent="0.2">
      <c r="A195" s="1009"/>
      <c r="B195" s="1009"/>
      <c r="C195" s="1009"/>
      <c r="D195" s="1009"/>
      <c r="E195" s="1009"/>
      <c r="F195" s="1009"/>
      <c r="G195" s="1009"/>
      <c r="H195" s="1009"/>
    </row>
    <row r="196" spans="1:8" x14ac:dyDescent="0.2">
      <c r="A196" s="1009"/>
      <c r="B196" s="1009"/>
      <c r="C196" s="1009"/>
      <c r="D196" s="1009"/>
      <c r="E196" s="1009"/>
      <c r="F196" s="1009"/>
      <c r="G196" s="1009"/>
      <c r="H196" s="1009"/>
    </row>
    <row r="197" spans="1:8" x14ac:dyDescent="0.2">
      <c r="A197" s="1009"/>
      <c r="B197" s="1009"/>
      <c r="C197" s="1009"/>
      <c r="D197" s="1009"/>
      <c r="E197" s="1009"/>
      <c r="F197" s="1009"/>
      <c r="G197" s="1009"/>
      <c r="H197" s="1009"/>
    </row>
    <row r="198" spans="1:8" x14ac:dyDescent="0.2">
      <c r="A198" s="1009"/>
      <c r="B198" s="1009"/>
      <c r="C198" s="1009"/>
      <c r="D198" s="1009"/>
      <c r="E198" s="1009"/>
      <c r="F198" s="1009"/>
      <c r="G198" s="1009"/>
      <c r="H198" s="1009"/>
    </row>
    <row r="199" spans="1:8" x14ac:dyDescent="0.2">
      <c r="A199" s="1009"/>
      <c r="B199" s="1009"/>
      <c r="C199" s="1009"/>
      <c r="D199" s="1009"/>
      <c r="E199" s="1009"/>
      <c r="F199" s="1009"/>
      <c r="G199" s="1009"/>
      <c r="H199" s="1009"/>
    </row>
    <row r="200" spans="1:8" x14ac:dyDescent="0.2">
      <c r="A200" s="1009"/>
      <c r="B200" s="1009"/>
      <c r="C200" s="1009"/>
      <c r="D200" s="1009"/>
      <c r="E200" s="1009"/>
      <c r="F200" s="1009"/>
      <c r="G200" s="1009"/>
      <c r="H200" s="1009"/>
    </row>
    <row r="201" spans="1:8" x14ac:dyDescent="0.2">
      <c r="A201" s="1009"/>
      <c r="B201" s="1009"/>
      <c r="C201" s="1009"/>
      <c r="D201" s="1009"/>
      <c r="E201" s="1009"/>
      <c r="F201" s="1009"/>
      <c r="G201" s="1009"/>
      <c r="H201" s="1009"/>
    </row>
    <row r="202" spans="1:8" x14ac:dyDescent="0.2">
      <c r="A202" s="1009"/>
      <c r="B202" s="1009"/>
      <c r="C202" s="1009"/>
      <c r="D202" s="1009"/>
      <c r="E202" s="1009"/>
      <c r="F202" s="1009"/>
      <c r="G202" s="1009"/>
      <c r="H202" s="1009"/>
    </row>
    <row r="203" spans="1:8" x14ac:dyDescent="0.2">
      <c r="A203" s="1009"/>
      <c r="B203" s="1009"/>
      <c r="C203" s="1009"/>
      <c r="D203" s="1009"/>
      <c r="E203" s="1009"/>
      <c r="F203" s="1009"/>
      <c r="G203" s="1009"/>
      <c r="H203" s="1009"/>
    </row>
    <row r="204" spans="1:8" x14ac:dyDescent="0.2">
      <c r="A204" s="1009"/>
      <c r="B204" s="1009"/>
      <c r="C204" s="1009"/>
      <c r="D204" s="1009"/>
      <c r="E204" s="1009"/>
      <c r="F204" s="1009"/>
      <c r="G204" s="1009"/>
      <c r="H204" s="1009"/>
    </row>
    <row r="205" spans="1:8" x14ac:dyDescent="0.2">
      <c r="A205" s="1009"/>
      <c r="B205" s="1009"/>
      <c r="C205" s="1009"/>
      <c r="D205" s="1009"/>
      <c r="E205" s="1009"/>
      <c r="F205" s="1009"/>
      <c r="G205" s="1009"/>
      <c r="H205" s="1009"/>
    </row>
    <row r="206" spans="1:8" ht="15.75" x14ac:dyDescent="0.2">
      <c r="A206" s="1011" t="s">
        <v>722</v>
      </c>
      <c r="B206" s="1009"/>
      <c r="C206" s="1009"/>
      <c r="D206" s="1009"/>
      <c r="E206" s="1009"/>
      <c r="F206" s="1009"/>
      <c r="G206" s="1009"/>
      <c r="H206" s="1009"/>
    </row>
    <row r="207" spans="1:8" x14ac:dyDescent="0.2">
      <c r="A207" s="1009"/>
      <c r="B207" s="1009"/>
      <c r="C207" s="1009"/>
      <c r="D207" s="1009"/>
      <c r="E207" s="1009"/>
      <c r="F207" s="1009"/>
      <c r="G207" s="1009"/>
      <c r="H207" s="1009"/>
    </row>
    <row r="208" spans="1:8" x14ac:dyDescent="0.2">
      <c r="A208" s="1010" t="s">
        <v>883</v>
      </c>
      <c r="B208" s="1009"/>
      <c r="C208" s="1009"/>
      <c r="D208" s="1009"/>
      <c r="E208" s="1009"/>
      <c r="F208" s="1009"/>
      <c r="G208" s="1009"/>
      <c r="H208" s="1009"/>
    </row>
    <row r="209" spans="1:8" x14ac:dyDescent="0.2">
      <c r="A209" s="1010" t="s">
        <v>884</v>
      </c>
      <c r="B209" s="1009"/>
      <c r="C209" s="1009"/>
      <c r="D209" s="1009"/>
      <c r="E209" s="1009"/>
      <c r="F209" s="1009"/>
      <c r="G209" s="1009"/>
      <c r="H209" s="1009"/>
    </row>
    <row r="210" spans="1:8" x14ac:dyDescent="0.2">
      <c r="A210" s="1010" t="s">
        <v>885</v>
      </c>
      <c r="B210" s="1009"/>
      <c r="C210" s="1009"/>
      <c r="D210" s="1009"/>
      <c r="E210" s="1009"/>
      <c r="F210" s="1009"/>
      <c r="G210" s="1009"/>
      <c r="H210" s="1009"/>
    </row>
    <row r="211" spans="1:8" x14ac:dyDescent="0.2">
      <c r="A211" s="1010" t="s">
        <v>886</v>
      </c>
      <c r="B211" s="1009"/>
      <c r="C211" s="1009"/>
      <c r="D211" s="1009"/>
      <c r="E211" s="1009"/>
      <c r="F211" s="1009"/>
      <c r="G211" s="1009"/>
      <c r="H211" s="1009"/>
    </row>
    <row r="212" spans="1:8" x14ac:dyDescent="0.2">
      <c r="A212" s="1010" t="s">
        <v>887</v>
      </c>
      <c r="B212" s="1009"/>
      <c r="C212" s="1009"/>
      <c r="D212" s="1009"/>
      <c r="E212" s="1009"/>
      <c r="F212" s="1009"/>
      <c r="G212" s="1009"/>
      <c r="H212" s="1009"/>
    </row>
    <row r="213" spans="1:8" x14ac:dyDescent="0.2">
      <c r="A213" s="1009"/>
      <c r="B213" s="1009"/>
      <c r="C213" s="1009"/>
      <c r="D213" s="1009"/>
      <c r="E213" s="1009"/>
      <c r="F213" s="1009"/>
      <c r="G213" s="1009"/>
      <c r="H213" s="1009"/>
    </row>
    <row r="214" spans="1:8" x14ac:dyDescent="0.2">
      <c r="A214" s="1010" t="s">
        <v>880</v>
      </c>
      <c r="B214" s="1009"/>
      <c r="C214" s="1009"/>
      <c r="D214" s="1009"/>
      <c r="E214" s="1009"/>
      <c r="F214" s="1009"/>
      <c r="G214" s="1009"/>
      <c r="H214" s="1009"/>
    </row>
    <row r="215" spans="1:8" x14ac:dyDescent="0.2">
      <c r="A215" s="1010" t="s">
        <v>881</v>
      </c>
      <c r="B215" s="1009"/>
      <c r="C215" s="1009"/>
      <c r="D215" s="1009"/>
      <c r="E215" s="1009"/>
      <c r="F215" s="1009"/>
      <c r="G215" s="1009"/>
      <c r="H215" s="1009"/>
    </row>
    <row r="216" spans="1:8" x14ac:dyDescent="0.2">
      <c r="A216" s="1010" t="s">
        <v>882</v>
      </c>
      <c r="B216" s="1009"/>
      <c r="C216" s="1009"/>
      <c r="D216" s="1009"/>
      <c r="E216" s="1009"/>
      <c r="F216" s="1009"/>
      <c r="G216" s="1009"/>
      <c r="H216" s="1009"/>
    </row>
    <row r="217" spans="1:8" ht="15.75" x14ac:dyDescent="0.2">
      <c r="A217" s="1011" t="s">
        <v>723</v>
      </c>
      <c r="B217" s="1009"/>
      <c r="C217" s="1009"/>
      <c r="D217" s="1009"/>
      <c r="E217" s="1009"/>
      <c r="F217" s="1009"/>
      <c r="G217" s="1009"/>
      <c r="H217" s="1009"/>
    </row>
    <row r="218" spans="1:8" x14ac:dyDescent="0.2">
      <c r="A218" s="1009"/>
      <c r="B218" s="1009"/>
      <c r="C218" s="1009"/>
      <c r="D218" s="1009"/>
      <c r="E218" s="1009"/>
      <c r="F218" s="1009"/>
      <c r="G218" s="1009"/>
      <c r="H218" s="1009"/>
    </row>
    <row r="219" spans="1:8" x14ac:dyDescent="0.2">
      <c r="A219" s="1010" t="s">
        <v>878</v>
      </c>
      <c r="B219" s="1009"/>
      <c r="C219" s="1009"/>
      <c r="D219" s="1009"/>
      <c r="E219" s="1009"/>
      <c r="F219" s="1009"/>
      <c r="G219" s="1009"/>
      <c r="H219" s="1009"/>
    </row>
    <row r="220" spans="1:8" x14ac:dyDescent="0.2">
      <c r="A220" s="1010" t="s">
        <v>879</v>
      </c>
      <c r="B220" s="1009"/>
      <c r="C220" s="1009"/>
      <c r="D220" s="1009"/>
      <c r="E220" s="1009"/>
      <c r="F220" s="1009"/>
      <c r="G220" s="1009"/>
      <c r="H220" s="1009"/>
    </row>
    <row r="221" spans="1:8" x14ac:dyDescent="0.2">
      <c r="A221" s="1009"/>
      <c r="B221" s="1009"/>
      <c r="C221" s="1009"/>
      <c r="D221" s="1009"/>
      <c r="E221" s="1009"/>
      <c r="F221" s="1009"/>
      <c r="G221" s="1009"/>
      <c r="H221" s="1009"/>
    </row>
    <row r="222" spans="1:8" x14ac:dyDescent="0.2">
      <c r="A222" s="1010" t="s">
        <v>871</v>
      </c>
      <c r="B222" s="1009"/>
      <c r="C222" s="1009"/>
      <c r="D222" s="1009"/>
      <c r="E222" s="1009"/>
      <c r="F222" s="1009"/>
      <c r="G222" s="1009"/>
      <c r="H222" s="1009"/>
    </row>
    <row r="223" spans="1:8" x14ac:dyDescent="0.2">
      <c r="A223" s="1010" t="s">
        <v>872</v>
      </c>
      <c r="B223" s="1009"/>
      <c r="C223" s="1009"/>
      <c r="D223" s="1009"/>
      <c r="E223" s="1009"/>
      <c r="F223" s="1009"/>
      <c r="G223" s="1009"/>
      <c r="H223" s="1009"/>
    </row>
    <row r="224" spans="1:8" x14ac:dyDescent="0.2">
      <c r="A224" s="1010" t="s">
        <v>873</v>
      </c>
      <c r="B224" s="1009"/>
      <c r="C224" s="1009"/>
      <c r="D224" s="1009"/>
      <c r="E224" s="1009"/>
      <c r="F224" s="1009"/>
      <c r="G224" s="1009"/>
      <c r="H224" s="1009"/>
    </row>
    <row r="225" spans="1:8" x14ac:dyDescent="0.2">
      <c r="A225" s="1010" t="s">
        <v>874</v>
      </c>
      <c r="B225" s="1009"/>
      <c r="C225" s="1009"/>
      <c r="D225" s="1009"/>
      <c r="E225" s="1009"/>
      <c r="F225" s="1009"/>
      <c r="G225" s="1009"/>
      <c r="H225" s="1009"/>
    </row>
    <row r="226" spans="1:8" x14ac:dyDescent="0.2">
      <c r="A226" s="1010" t="s">
        <v>875</v>
      </c>
      <c r="B226" s="1009"/>
      <c r="C226" s="1009"/>
      <c r="D226" s="1009"/>
      <c r="E226" s="1009"/>
      <c r="F226" s="1009"/>
      <c r="G226" s="1009"/>
      <c r="H226" s="1009"/>
    </row>
    <row r="227" spans="1:8" x14ac:dyDescent="0.2">
      <c r="A227" s="1010" t="s">
        <v>876</v>
      </c>
      <c r="B227" s="1009"/>
      <c r="C227" s="1009"/>
      <c r="D227" s="1009"/>
      <c r="E227" s="1009"/>
      <c r="F227" s="1009"/>
      <c r="G227" s="1009"/>
      <c r="H227" s="1009"/>
    </row>
    <row r="228" spans="1:8" x14ac:dyDescent="0.2">
      <c r="A228" s="1010" t="s">
        <v>877</v>
      </c>
      <c r="B228" s="1009"/>
      <c r="C228" s="1009"/>
      <c r="D228" s="1009"/>
      <c r="E228" s="1009"/>
      <c r="F228" s="1009"/>
      <c r="G228" s="1009"/>
      <c r="H228" s="1009"/>
    </row>
    <row r="229" spans="1:8" x14ac:dyDescent="0.2">
      <c r="A229" s="1009"/>
      <c r="B229" s="1009"/>
      <c r="C229" s="1009"/>
      <c r="D229" s="1009"/>
      <c r="E229" s="1009"/>
      <c r="F229" s="1009"/>
      <c r="G229" s="1009"/>
      <c r="H229" s="1009"/>
    </row>
    <row r="230" spans="1:8" x14ac:dyDescent="0.2">
      <c r="A230" s="1010" t="s">
        <v>868</v>
      </c>
      <c r="B230" s="1009"/>
      <c r="C230" s="1009"/>
      <c r="D230" s="1009"/>
      <c r="E230" s="1009"/>
      <c r="F230" s="1009"/>
      <c r="G230" s="1009"/>
      <c r="H230" s="1009"/>
    </row>
    <row r="231" spans="1:8" x14ac:dyDescent="0.2">
      <c r="A231" s="1010" t="s">
        <v>869</v>
      </c>
      <c r="B231" s="1009"/>
      <c r="C231" s="1009"/>
      <c r="D231" s="1009"/>
      <c r="E231" s="1009"/>
      <c r="F231" s="1009"/>
      <c r="G231" s="1009"/>
      <c r="H231" s="1009"/>
    </row>
    <row r="232" spans="1:8" x14ac:dyDescent="0.2">
      <c r="A232" s="1010" t="s">
        <v>870</v>
      </c>
      <c r="B232" s="1009"/>
      <c r="C232" s="1009"/>
      <c r="D232" s="1009"/>
      <c r="E232" s="1009"/>
      <c r="F232" s="1009"/>
      <c r="G232" s="1009"/>
      <c r="H232" s="1009"/>
    </row>
    <row r="233" spans="1:8" x14ac:dyDescent="0.2">
      <c r="A233" s="1009"/>
      <c r="B233" s="1009"/>
      <c r="C233" s="1009"/>
      <c r="D233" s="1009"/>
      <c r="E233" s="1009"/>
      <c r="F233" s="1009"/>
      <c r="G233" s="1009"/>
      <c r="H233" s="1009"/>
    </row>
    <row r="234" spans="1:8" x14ac:dyDescent="0.2">
      <c r="A234" s="1010" t="s">
        <v>863</v>
      </c>
      <c r="B234" s="1009"/>
      <c r="C234" s="1009"/>
      <c r="D234" s="1009"/>
      <c r="E234" s="1009"/>
      <c r="F234" s="1009"/>
      <c r="G234" s="1009"/>
      <c r="H234" s="1009"/>
    </row>
    <row r="235" spans="1:8" x14ac:dyDescent="0.2">
      <c r="A235" s="1010" t="s">
        <v>864</v>
      </c>
      <c r="B235" s="1009"/>
      <c r="C235" s="1009"/>
      <c r="D235" s="1009"/>
      <c r="E235" s="1009"/>
      <c r="F235" s="1009"/>
      <c r="G235" s="1009"/>
      <c r="H235" s="1009"/>
    </row>
    <row r="236" spans="1:8" x14ac:dyDescent="0.2">
      <c r="A236" s="1010" t="s">
        <v>865</v>
      </c>
      <c r="B236" s="1009"/>
      <c r="C236" s="1009"/>
      <c r="D236" s="1009"/>
      <c r="E236" s="1009"/>
      <c r="F236" s="1009"/>
      <c r="G236" s="1009"/>
      <c r="H236" s="1009"/>
    </row>
    <row r="237" spans="1:8" x14ac:dyDescent="0.2">
      <c r="A237" s="1010" t="s">
        <v>866</v>
      </c>
      <c r="B237" s="1009"/>
      <c r="C237" s="1009"/>
      <c r="D237" s="1009"/>
      <c r="E237" s="1009"/>
      <c r="F237" s="1009"/>
      <c r="G237" s="1009"/>
      <c r="H237" s="1009"/>
    </row>
    <row r="238" spans="1:8" x14ac:dyDescent="0.2">
      <c r="A238" s="1010" t="s">
        <v>867</v>
      </c>
      <c r="B238" s="1009"/>
      <c r="C238" s="1009"/>
      <c r="D238" s="1009"/>
      <c r="E238" s="1009"/>
      <c r="F238" s="1009"/>
      <c r="G238" s="1009"/>
      <c r="H238" s="1009"/>
    </row>
    <row r="239" spans="1:8" x14ac:dyDescent="0.2">
      <c r="A239" s="1009"/>
      <c r="B239" s="1009"/>
      <c r="C239" s="1009"/>
      <c r="D239" s="1009"/>
      <c r="E239" s="1009"/>
      <c r="F239" s="1009"/>
      <c r="G239" s="1009"/>
      <c r="H239" s="1009"/>
    </row>
    <row r="240" spans="1:8" x14ac:dyDescent="0.2">
      <c r="A240" s="1010" t="s">
        <v>857</v>
      </c>
      <c r="B240" s="1009"/>
      <c r="C240" s="1009"/>
      <c r="D240" s="1009"/>
      <c r="E240" s="1009"/>
      <c r="F240" s="1009"/>
      <c r="G240" s="1009"/>
      <c r="H240" s="1009"/>
    </row>
    <row r="241" spans="1:8" x14ac:dyDescent="0.2">
      <c r="A241" s="1010" t="s">
        <v>858</v>
      </c>
      <c r="B241" s="1009"/>
      <c r="C241" s="1009"/>
      <c r="D241" s="1009"/>
      <c r="E241" s="1009"/>
      <c r="F241" s="1009"/>
      <c r="G241" s="1009"/>
      <c r="H241" s="1009"/>
    </row>
    <row r="242" spans="1:8" x14ac:dyDescent="0.2">
      <c r="A242" s="1010" t="s">
        <v>859</v>
      </c>
      <c r="B242" s="1009"/>
      <c r="C242" s="1009"/>
      <c r="D242" s="1009"/>
      <c r="E242" s="1009"/>
      <c r="F242" s="1009"/>
      <c r="G242" s="1009"/>
      <c r="H242" s="1009"/>
    </row>
    <row r="243" spans="1:8" x14ac:dyDescent="0.2">
      <c r="A243" s="1010" t="s">
        <v>860</v>
      </c>
      <c r="B243" s="1009"/>
      <c r="C243" s="1009"/>
      <c r="D243" s="1009"/>
      <c r="E243" s="1009"/>
      <c r="F243" s="1009"/>
      <c r="G243" s="1009"/>
      <c r="H243" s="1009"/>
    </row>
    <row r="244" spans="1:8" x14ac:dyDescent="0.2">
      <c r="A244" s="1010" t="s">
        <v>861</v>
      </c>
      <c r="B244" s="1009"/>
      <c r="C244" s="1009"/>
      <c r="D244" s="1009"/>
      <c r="E244" s="1009"/>
      <c r="F244" s="1009"/>
      <c r="G244" s="1009"/>
      <c r="H244" s="1009"/>
    </row>
    <row r="245" spans="1:8" x14ac:dyDescent="0.2">
      <c r="A245" s="1010" t="s">
        <v>862</v>
      </c>
      <c r="B245" s="1009"/>
      <c r="C245" s="1009"/>
      <c r="D245" s="1009"/>
      <c r="E245" s="1009"/>
      <c r="F245" s="1009"/>
      <c r="G245" s="1009"/>
      <c r="H245" s="1009"/>
    </row>
    <row r="246" spans="1:8" x14ac:dyDescent="0.2">
      <c r="A246" s="1009"/>
      <c r="B246" s="1009"/>
      <c r="C246" s="1009"/>
      <c r="D246" s="1009"/>
      <c r="E246" s="1009"/>
      <c r="F246" s="1009"/>
      <c r="G246" s="1009"/>
      <c r="H246" s="1009"/>
    </row>
    <row r="247" spans="1:8" x14ac:dyDescent="0.2">
      <c r="A247" s="1010" t="s">
        <v>847</v>
      </c>
      <c r="B247" s="1009"/>
      <c r="C247" s="1009"/>
      <c r="D247" s="1009"/>
      <c r="E247" s="1009"/>
      <c r="F247" s="1009"/>
      <c r="G247" s="1009"/>
      <c r="H247" s="1009"/>
    </row>
    <row r="248" spans="1:8" x14ac:dyDescent="0.2">
      <c r="A248" s="1010" t="s">
        <v>848</v>
      </c>
      <c r="B248" s="1009"/>
      <c r="C248" s="1009"/>
      <c r="D248" s="1009"/>
      <c r="E248" s="1009"/>
      <c r="F248" s="1009"/>
      <c r="G248" s="1009"/>
      <c r="H248" s="1009"/>
    </row>
    <row r="249" spans="1:8" x14ac:dyDescent="0.2">
      <c r="A249" s="1010" t="s">
        <v>849</v>
      </c>
      <c r="B249" s="1009"/>
      <c r="C249" s="1009"/>
      <c r="D249" s="1009"/>
      <c r="E249" s="1009"/>
      <c r="F249" s="1009"/>
      <c r="G249" s="1009"/>
      <c r="H249" s="1009"/>
    </row>
    <row r="250" spans="1:8" x14ac:dyDescent="0.2">
      <c r="A250" s="1010" t="s">
        <v>850</v>
      </c>
      <c r="B250" s="1009"/>
      <c r="C250" s="1009"/>
      <c r="D250" s="1009"/>
      <c r="E250" s="1009"/>
      <c r="F250" s="1009"/>
      <c r="G250" s="1009"/>
      <c r="H250" s="1009"/>
    </row>
    <row r="251" spans="1:8" x14ac:dyDescent="0.2">
      <c r="A251" s="1010" t="s">
        <v>851</v>
      </c>
      <c r="B251" s="1009"/>
      <c r="C251" s="1009"/>
      <c r="D251" s="1009"/>
      <c r="E251" s="1009"/>
      <c r="F251" s="1009"/>
      <c r="G251" s="1009"/>
      <c r="H251" s="1009"/>
    </row>
    <row r="252" spans="1:8" x14ac:dyDescent="0.2">
      <c r="A252" s="1010" t="s">
        <v>852</v>
      </c>
      <c r="B252" s="1009"/>
      <c r="C252" s="1009"/>
      <c r="D252" s="1009"/>
      <c r="E252" s="1009"/>
      <c r="F252" s="1009"/>
      <c r="G252" s="1009"/>
      <c r="H252" s="1009"/>
    </row>
    <row r="253" spans="1:8" x14ac:dyDescent="0.2">
      <c r="A253" s="1010" t="s">
        <v>853</v>
      </c>
      <c r="B253" s="1009"/>
      <c r="C253" s="1009"/>
      <c r="D253" s="1009"/>
      <c r="E253" s="1009"/>
      <c r="F253" s="1009"/>
      <c r="G253" s="1009"/>
      <c r="H253" s="1009"/>
    </row>
    <row r="254" spans="1:8" x14ac:dyDescent="0.2">
      <c r="A254" s="1010" t="s">
        <v>854</v>
      </c>
      <c r="B254" s="1009"/>
      <c r="C254" s="1009"/>
      <c r="D254" s="1009"/>
      <c r="E254" s="1009"/>
      <c r="F254" s="1009"/>
      <c r="G254" s="1009"/>
      <c r="H254" s="1009"/>
    </row>
    <row r="255" spans="1:8" x14ac:dyDescent="0.2">
      <c r="A255" s="1010" t="s">
        <v>855</v>
      </c>
      <c r="B255" s="1009"/>
      <c r="C255" s="1009"/>
      <c r="D255" s="1009"/>
      <c r="E255" s="1009"/>
      <c r="F255" s="1009"/>
      <c r="G255" s="1009"/>
      <c r="H255" s="1009"/>
    </row>
    <row r="256" spans="1:8" x14ac:dyDescent="0.2">
      <c r="A256" s="1010" t="s">
        <v>856</v>
      </c>
      <c r="B256" s="1009"/>
      <c r="C256" s="1009"/>
      <c r="D256" s="1009"/>
      <c r="E256" s="1009"/>
      <c r="F256" s="1009"/>
      <c r="G256" s="1009"/>
      <c r="H256" s="1009"/>
    </row>
    <row r="257" spans="1:8" x14ac:dyDescent="0.2">
      <c r="A257" s="1009"/>
      <c r="B257" s="1009"/>
      <c r="C257" s="1009"/>
      <c r="D257" s="1009"/>
      <c r="E257" s="1009"/>
      <c r="F257" s="1009"/>
      <c r="G257" s="1009"/>
      <c r="H257" s="1009"/>
    </row>
    <row r="258" spans="1:8" x14ac:dyDescent="0.2">
      <c r="A258" s="1010" t="s">
        <v>845</v>
      </c>
      <c r="B258" s="1009"/>
      <c r="C258" s="1009"/>
      <c r="D258" s="1009"/>
      <c r="E258" s="1009"/>
      <c r="F258" s="1009"/>
      <c r="G258" s="1009"/>
      <c r="H258" s="1009"/>
    </row>
    <row r="259" spans="1:8" x14ac:dyDescent="0.2">
      <c r="A259" s="1010" t="s">
        <v>846</v>
      </c>
      <c r="B259" s="1009"/>
      <c r="C259" s="1009"/>
      <c r="D259" s="1009"/>
      <c r="E259" s="1009"/>
      <c r="F259" s="1009"/>
      <c r="G259" s="1009"/>
      <c r="H259" s="1009"/>
    </row>
    <row r="260" spans="1:8" x14ac:dyDescent="0.2">
      <c r="A260" s="1009"/>
      <c r="B260" s="1009"/>
      <c r="C260" s="1009"/>
      <c r="D260" s="1009"/>
      <c r="E260" s="1009"/>
      <c r="F260" s="1009"/>
      <c r="G260" s="1009"/>
      <c r="H260" s="1009"/>
    </row>
    <row r="261" spans="1:8" x14ac:dyDescent="0.2">
      <c r="A261" s="1010" t="s">
        <v>829</v>
      </c>
      <c r="B261" s="1009"/>
      <c r="C261" s="1009"/>
      <c r="D261" s="1009"/>
      <c r="E261" s="1009"/>
      <c r="F261" s="1009"/>
      <c r="G261" s="1009"/>
      <c r="H261" s="1009"/>
    </row>
    <row r="262" spans="1:8" x14ac:dyDescent="0.2">
      <c r="A262" s="1010" t="s">
        <v>830</v>
      </c>
      <c r="B262" s="1009"/>
      <c r="C262" s="1009"/>
      <c r="D262" s="1009"/>
      <c r="E262" s="1009"/>
      <c r="F262" s="1009"/>
      <c r="G262" s="1009"/>
      <c r="H262" s="1009"/>
    </row>
    <row r="263" spans="1:8" x14ac:dyDescent="0.2">
      <c r="A263" s="1010" t="s">
        <v>831</v>
      </c>
      <c r="B263" s="1009"/>
      <c r="C263" s="1009"/>
      <c r="D263" s="1009"/>
      <c r="E263" s="1009"/>
      <c r="F263" s="1009"/>
      <c r="G263" s="1009"/>
      <c r="H263" s="1009"/>
    </row>
    <row r="264" spans="1:8" x14ac:dyDescent="0.2">
      <c r="A264" s="1010" t="s">
        <v>832</v>
      </c>
      <c r="B264" s="1009"/>
      <c r="C264" s="1009"/>
      <c r="D264" s="1009"/>
      <c r="E264" s="1009"/>
      <c r="F264" s="1009"/>
      <c r="G264" s="1009"/>
      <c r="H264" s="1009"/>
    </row>
    <row r="265" spans="1:8" x14ac:dyDescent="0.2">
      <c r="A265" s="1010" t="s">
        <v>833</v>
      </c>
      <c r="B265" s="1009"/>
      <c r="C265" s="1009"/>
      <c r="D265" s="1009"/>
      <c r="E265" s="1009"/>
      <c r="F265" s="1009"/>
      <c r="G265" s="1009"/>
      <c r="H265" s="1009"/>
    </row>
    <row r="266" spans="1:8" x14ac:dyDescent="0.2">
      <c r="A266" s="1010" t="s">
        <v>834</v>
      </c>
      <c r="B266" s="1009"/>
      <c r="C266" s="1009"/>
      <c r="D266" s="1009"/>
      <c r="E266" s="1009"/>
      <c r="F266" s="1009"/>
      <c r="G266" s="1009"/>
      <c r="H266" s="1009"/>
    </row>
    <row r="267" spans="1:8" x14ac:dyDescent="0.2">
      <c r="A267" s="1010" t="s">
        <v>835</v>
      </c>
      <c r="B267" s="1009"/>
      <c r="C267" s="1009"/>
      <c r="D267" s="1009"/>
      <c r="E267" s="1009"/>
      <c r="F267" s="1009"/>
      <c r="G267" s="1009"/>
      <c r="H267" s="1009"/>
    </row>
    <row r="268" spans="1:8" x14ac:dyDescent="0.2">
      <c r="A268" s="1010" t="s">
        <v>836</v>
      </c>
      <c r="B268" s="1009"/>
      <c r="C268" s="1009"/>
      <c r="D268" s="1009"/>
      <c r="E268" s="1009"/>
      <c r="F268" s="1009"/>
      <c r="G268" s="1009"/>
      <c r="H268" s="1009"/>
    </row>
    <row r="269" spans="1:8" x14ac:dyDescent="0.2">
      <c r="A269" s="1010" t="s">
        <v>837</v>
      </c>
      <c r="B269" s="1009"/>
      <c r="C269" s="1009"/>
      <c r="D269" s="1009"/>
      <c r="E269" s="1009"/>
      <c r="F269" s="1009"/>
      <c r="G269" s="1009"/>
      <c r="H269" s="1009"/>
    </row>
    <row r="270" spans="1:8" x14ac:dyDescent="0.2">
      <c r="A270" s="1010" t="s">
        <v>838</v>
      </c>
      <c r="B270" s="1009"/>
      <c r="C270" s="1009"/>
      <c r="D270" s="1009"/>
      <c r="E270" s="1009"/>
      <c r="F270" s="1009"/>
      <c r="G270" s="1009"/>
      <c r="H270" s="1009"/>
    </row>
    <row r="271" spans="1:8" x14ac:dyDescent="0.2">
      <c r="A271" s="1010" t="s">
        <v>839</v>
      </c>
      <c r="B271" s="1009"/>
      <c r="C271" s="1009"/>
      <c r="D271" s="1009"/>
      <c r="E271" s="1009"/>
      <c r="F271" s="1009"/>
      <c r="G271" s="1009"/>
      <c r="H271" s="1009"/>
    </row>
    <row r="272" spans="1:8" x14ac:dyDescent="0.2">
      <c r="A272" s="1010" t="s">
        <v>840</v>
      </c>
      <c r="B272" s="1009"/>
      <c r="C272" s="1009"/>
      <c r="D272" s="1009"/>
      <c r="E272" s="1009"/>
      <c r="F272" s="1009"/>
      <c r="G272" s="1009"/>
      <c r="H272" s="1009"/>
    </row>
    <row r="273" spans="1:8" x14ac:dyDescent="0.2">
      <c r="A273" s="1010" t="s">
        <v>841</v>
      </c>
      <c r="B273" s="1009"/>
      <c r="C273" s="1009"/>
      <c r="D273" s="1009"/>
      <c r="E273" s="1009"/>
      <c r="F273" s="1009"/>
      <c r="G273" s="1009"/>
      <c r="H273" s="1009"/>
    </row>
    <row r="274" spans="1:8" x14ac:dyDescent="0.2">
      <c r="A274" s="1010" t="s">
        <v>842</v>
      </c>
      <c r="B274" s="1009"/>
      <c r="C274" s="1009"/>
      <c r="D274" s="1009"/>
      <c r="E274" s="1009"/>
      <c r="F274" s="1009"/>
      <c r="G274" s="1009"/>
      <c r="H274" s="1009"/>
    </row>
    <row r="275" spans="1:8" x14ac:dyDescent="0.2">
      <c r="A275" s="1010" t="s">
        <v>843</v>
      </c>
      <c r="B275" s="1009"/>
      <c r="C275" s="1009"/>
      <c r="D275" s="1009"/>
      <c r="E275" s="1009"/>
      <c r="F275" s="1009"/>
      <c r="G275" s="1009"/>
      <c r="H275" s="1009"/>
    </row>
    <row r="276" spans="1:8" x14ac:dyDescent="0.2">
      <c r="A276" s="1010" t="s">
        <v>844</v>
      </c>
      <c r="B276" s="1009"/>
      <c r="C276" s="1009"/>
      <c r="D276" s="1009"/>
      <c r="E276" s="1009"/>
      <c r="F276" s="1009"/>
      <c r="G276" s="1009"/>
      <c r="H276" s="1009"/>
    </row>
    <row r="277" spans="1:8" x14ac:dyDescent="0.2">
      <c r="A277" s="1009"/>
      <c r="B277" s="1009"/>
      <c r="C277" s="1009"/>
      <c r="D277" s="1009"/>
      <c r="E277" s="1009"/>
      <c r="F277" s="1009"/>
      <c r="G277" s="1009"/>
      <c r="H277" s="1009"/>
    </row>
    <row r="278" spans="1:8" x14ac:dyDescent="0.2">
      <c r="A278" s="1010" t="s">
        <v>822</v>
      </c>
      <c r="B278" s="1009"/>
      <c r="C278" s="1009"/>
      <c r="D278" s="1009"/>
      <c r="E278" s="1009"/>
      <c r="F278" s="1009"/>
      <c r="G278" s="1009"/>
      <c r="H278" s="1009"/>
    </row>
    <row r="279" spans="1:8" x14ac:dyDescent="0.2">
      <c r="A279" s="1010" t="s">
        <v>823</v>
      </c>
      <c r="B279" s="1009"/>
      <c r="C279" s="1009"/>
      <c r="D279" s="1009"/>
      <c r="E279" s="1009"/>
      <c r="F279" s="1009"/>
      <c r="G279" s="1009"/>
      <c r="H279" s="1009"/>
    </row>
    <row r="280" spans="1:8" x14ac:dyDescent="0.2">
      <c r="A280" s="1010" t="s">
        <v>824</v>
      </c>
      <c r="B280" s="1009"/>
      <c r="C280" s="1009"/>
      <c r="D280" s="1009"/>
      <c r="E280" s="1009"/>
      <c r="F280" s="1009"/>
      <c r="G280" s="1009"/>
      <c r="H280" s="1009"/>
    </row>
    <row r="281" spans="1:8" x14ac:dyDescent="0.2">
      <c r="A281" s="1010" t="s">
        <v>825</v>
      </c>
      <c r="B281" s="1009"/>
      <c r="C281" s="1009"/>
      <c r="D281" s="1009"/>
      <c r="E281" s="1009"/>
      <c r="F281" s="1009"/>
      <c r="G281" s="1009"/>
      <c r="H281" s="1009"/>
    </row>
    <row r="282" spans="1:8" x14ac:dyDescent="0.2">
      <c r="A282" s="1010" t="s">
        <v>826</v>
      </c>
      <c r="B282" s="1009"/>
      <c r="C282" s="1009"/>
      <c r="D282" s="1009"/>
      <c r="E282" s="1009"/>
      <c r="F282" s="1009"/>
      <c r="G282" s="1009"/>
      <c r="H282" s="1009"/>
    </row>
    <row r="283" spans="1:8" x14ac:dyDescent="0.2">
      <c r="A283" s="1010" t="s">
        <v>827</v>
      </c>
      <c r="B283" s="1009"/>
      <c r="C283" s="1009"/>
      <c r="D283" s="1009"/>
      <c r="E283" s="1009"/>
      <c r="F283" s="1009"/>
      <c r="G283" s="1009"/>
      <c r="H283" s="1009"/>
    </row>
    <row r="284" spans="1:8" x14ac:dyDescent="0.2">
      <c r="A284" s="1010" t="s">
        <v>828</v>
      </c>
      <c r="B284" s="1009"/>
      <c r="C284" s="1009"/>
      <c r="D284" s="1009"/>
      <c r="E284" s="1009"/>
      <c r="F284" s="1009"/>
      <c r="G284" s="1009"/>
      <c r="H284" s="1009"/>
    </row>
    <row r="285" spans="1:8" x14ac:dyDescent="0.2">
      <c r="A285" s="1009"/>
      <c r="B285" s="1009"/>
      <c r="C285" s="1009"/>
      <c r="D285" s="1009"/>
      <c r="E285" s="1009"/>
      <c r="F285" s="1009"/>
      <c r="G285" s="1009"/>
      <c r="H285" s="1009"/>
    </row>
    <row r="286" spans="1:8" x14ac:dyDescent="0.2">
      <c r="A286" s="1010" t="s">
        <v>813</v>
      </c>
      <c r="B286" s="1009"/>
      <c r="C286" s="1009"/>
      <c r="D286" s="1009"/>
      <c r="E286" s="1009"/>
      <c r="F286" s="1009"/>
      <c r="G286" s="1009"/>
      <c r="H286" s="1009"/>
    </row>
    <row r="287" spans="1:8" x14ac:dyDescent="0.2">
      <c r="A287" s="1010" t="s">
        <v>814</v>
      </c>
      <c r="B287" s="1009"/>
      <c r="C287" s="1009"/>
      <c r="D287" s="1009"/>
      <c r="E287" s="1009"/>
      <c r="F287" s="1009"/>
      <c r="G287" s="1009"/>
      <c r="H287" s="1009"/>
    </row>
    <row r="288" spans="1:8" x14ac:dyDescent="0.2">
      <c r="A288" s="1010" t="s">
        <v>815</v>
      </c>
      <c r="B288" s="1009"/>
      <c r="C288" s="1009"/>
      <c r="D288" s="1009"/>
      <c r="E288" s="1009"/>
      <c r="F288" s="1009"/>
      <c r="G288" s="1009"/>
      <c r="H288" s="1009"/>
    </row>
    <row r="289" spans="1:8" x14ac:dyDescent="0.2">
      <c r="A289" s="1010" t="s">
        <v>816</v>
      </c>
      <c r="B289" s="1009"/>
      <c r="C289" s="1009"/>
      <c r="D289" s="1009"/>
      <c r="E289" s="1009"/>
      <c r="F289" s="1009"/>
      <c r="G289" s="1009"/>
      <c r="H289" s="1009"/>
    </row>
    <row r="290" spans="1:8" x14ac:dyDescent="0.2">
      <c r="A290" s="1010" t="s">
        <v>817</v>
      </c>
      <c r="B290" s="1009"/>
      <c r="C290" s="1009"/>
      <c r="D290" s="1009"/>
      <c r="E290" s="1009"/>
      <c r="F290" s="1009"/>
      <c r="G290" s="1009"/>
      <c r="H290" s="1009"/>
    </row>
    <row r="291" spans="1:8" x14ac:dyDescent="0.2">
      <c r="A291" s="1010" t="s">
        <v>818</v>
      </c>
      <c r="B291" s="1009"/>
      <c r="C291" s="1009"/>
      <c r="D291" s="1009"/>
      <c r="E291" s="1009"/>
      <c r="F291" s="1009"/>
      <c r="G291" s="1009"/>
      <c r="H291" s="1009"/>
    </row>
    <row r="292" spans="1:8" x14ac:dyDescent="0.2">
      <c r="A292" s="1010" t="s">
        <v>819</v>
      </c>
      <c r="B292" s="1009"/>
      <c r="C292" s="1009"/>
      <c r="D292" s="1009"/>
      <c r="E292" s="1009"/>
      <c r="F292" s="1009"/>
      <c r="G292" s="1009"/>
      <c r="H292" s="1009"/>
    </row>
    <row r="293" spans="1:8" x14ac:dyDescent="0.2">
      <c r="A293" s="1010" t="s">
        <v>820</v>
      </c>
      <c r="B293" s="1009"/>
      <c r="C293" s="1009"/>
      <c r="D293" s="1009"/>
      <c r="E293" s="1009"/>
      <c r="F293" s="1009"/>
      <c r="G293" s="1009"/>
      <c r="H293" s="1009"/>
    </row>
    <row r="294" spans="1:8" x14ac:dyDescent="0.2">
      <c r="A294" s="1010" t="s">
        <v>821</v>
      </c>
      <c r="B294" s="1009"/>
      <c r="C294" s="1009"/>
      <c r="D294" s="1009"/>
      <c r="E294" s="1009"/>
      <c r="F294" s="1009"/>
      <c r="G294" s="1009"/>
      <c r="H294" s="1009"/>
    </row>
    <row r="295" spans="1:8" x14ac:dyDescent="0.2">
      <c r="A295" s="1009"/>
      <c r="B295" s="1009"/>
      <c r="C295" s="1009"/>
      <c r="D295" s="1009"/>
      <c r="E295" s="1009"/>
      <c r="F295" s="1009"/>
      <c r="G295" s="1009"/>
      <c r="H295" s="1009"/>
    </row>
    <row r="296" spans="1:8" x14ac:dyDescent="0.2">
      <c r="A296" s="1010" t="s">
        <v>806</v>
      </c>
      <c r="B296" s="1009"/>
      <c r="C296" s="1009"/>
      <c r="D296" s="1009"/>
      <c r="E296" s="1009"/>
      <c r="F296" s="1009"/>
      <c r="G296" s="1009"/>
      <c r="H296" s="1009"/>
    </row>
    <row r="297" spans="1:8" x14ac:dyDescent="0.2">
      <c r="A297" s="1010" t="s">
        <v>807</v>
      </c>
      <c r="B297" s="1009"/>
      <c r="C297" s="1009"/>
      <c r="D297" s="1009"/>
      <c r="E297" s="1009"/>
      <c r="F297" s="1009"/>
      <c r="G297" s="1009"/>
      <c r="H297" s="1009"/>
    </row>
    <row r="298" spans="1:8" x14ac:dyDescent="0.2">
      <c r="A298" s="1010" t="s">
        <v>808</v>
      </c>
      <c r="B298" s="1009"/>
      <c r="C298" s="1009"/>
      <c r="D298" s="1009"/>
      <c r="E298" s="1009"/>
      <c r="F298" s="1009"/>
      <c r="G298" s="1009"/>
      <c r="H298" s="1009"/>
    </row>
    <row r="299" spans="1:8" x14ac:dyDescent="0.2">
      <c r="A299" s="1010" t="s">
        <v>809</v>
      </c>
      <c r="B299" s="1009"/>
      <c r="C299" s="1009"/>
      <c r="D299" s="1009"/>
      <c r="E299" s="1009"/>
      <c r="F299" s="1009"/>
      <c r="G299" s="1009"/>
      <c r="H299" s="1009"/>
    </row>
    <row r="300" spans="1:8" x14ac:dyDescent="0.2">
      <c r="A300" s="1010" t="s">
        <v>810</v>
      </c>
      <c r="B300" s="1009"/>
      <c r="C300" s="1009"/>
      <c r="D300" s="1009"/>
      <c r="E300" s="1009"/>
      <c r="F300" s="1009"/>
      <c r="G300" s="1009"/>
      <c r="H300" s="1009"/>
    </row>
    <row r="301" spans="1:8" x14ac:dyDescent="0.2">
      <c r="A301" s="1010" t="s">
        <v>811</v>
      </c>
      <c r="B301" s="1009"/>
      <c r="C301" s="1009"/>
      <c r="D301" s="1009"/>
      <c r="E301" s="1009"/>
      <c r="F301" s="1009"/>
      <c r="G301" s="1009"/>
      <c r="H301" s="1009"/>
    </row>
    <row r="302" spans="1:8" x14ac:dyDescent="0.2">
      <c r="A302" s="1010" t="s">
        <v>812</v>
      </c>
      <c r="B302" s="1009"/>
      <c r="C302" s="1009"/>
      <c r="D302" s="1009"/>
      <c r="E302" s="1009"/>
      <c r="F302" s="1009"/>
      <c r="G302" s="1009"/>
      <c r="H302" s="1009"/>
    </row>
    <row r="303" spans="1:8" x14ac:dyDescent="0.2">
      <c r="A303" s="1009"/>
      <c r="B303" s="1009"/>
      <c r="C303" s="1009"/>
      <c r="D303" s="1009"/>
      <c r="E303" s="1009"/>
      <c r="F303" s="1009"/>
      <c r="G303" s="1009"/>
      <c r="H303" s="1009"/>
    </row>
    <row r="304" spans="1:8" x14ac:dyDescent="0.2">
      <c r="A304" s="1010" t="s">
        <v>803</v>
      </c>
      <c r="B304" s="1009"/>
      <c r="C304" s="1009"/>
      <c r="D304" s="1009"/>
      <c r="E304" s="1009"/>
      <c r="F304" s="1009"/>
      <c r="G304" s="1009"/>
      <c r="H304" s="1009"/>
    </row>
    <row r="305" spans="1:8" x14ac:dyDescent="0.2">
      <c r="A305" s="1010" t="s">
        <v>804</v>
      </c>
      <c r="B305" s="1009"/>
      <c r="C305" s="1009"/>
      <c r="D305" s="1009"/>
      <c r="E305" s="1009"/>
      <c r="F305" s="1009"/>
      <c r="G305" s="1009"/>
      <c r="H305" s="1009"/>
    </row>
    <row r="306" spans="1:8" x14ac:dyDescent="0.2">
      <c r="A306" s="1010" t="s">
        <v>805</v>
      </c>
      <c r="B306" s="1009"/>
      <c r="C306" s="1009"/>
      <c r="D306" s="1009"/>
      <c r="E306" s="1009"/>
      <c r="F306" s="1009"/>
      <c r="G306" s="1009"/>
      <c r="H306" s="1009"/>
    </row>
    <row r="307" spans="1:8" x14ac:dyDescent="0.2">
      <c r="A307" s="1009"/>
      <c r="B307" s="1009"/>
      <c r="C307" s="1009"/>
      <c r="D307" s="1009"/>
      <c r="E307" s="1009"/>
      <c r="F307" s="1009"/>
      <c r="G307" s="1009"/>
      <c r="H307" s="1009"/>
    </row>
    <row r="308" spans="1:8" x14ac:dyDescent="0.2">
      <c r="A308" s="1010" t="s">
        <v>801</v>
      </c>
      <c r="B308" s="1009"/>
      <c r="C308" s="1009"/>
      <c r="D308" s="1009"/>
      <c r="E308" s="1009"/>
      <c r="F308" s="1009"/>
      <c r="G308" s="1009"/>
      <c r="H308" s="1009"/>
    </row>
    <row r="309" spans="1:8" x14ac:dyDescent="0.2">
      <c r="A309" s="1010" t="s">
        <v>802</v>
      </c>
      <c r="B309" s="1009"/>
      <c r="C309" s="1009"/>
      <c r="D309" s="1009"/>
      <c r="E309" s="1009"/>
      <c r="F309" s="1009"/>
      <c r="G309" s="1009"/>
      <c r="H309" s="1009"/>
    </row>
    <row r="310" spans="1:8" x14ac:dyDescent="0.2">
      <c r="A310" s="1009"/>
      <c r="B310" s="1009"/>
      <c r="C310" s="1009"/>
      <c r="D310" s="1009"/>
      <c r="E310" s="1009"/>
      <c r="F310" s="1009"/>
      <c r="G310" s="1009"/>
      <c r="H310" s="1009"/>
    </row>
    <row r="311" spans="1:8" x14ac:dyDescent="0.2">
      <c r="A311" s="1010" t="s">
        <v>788</v>
      </c>
      <c r="B311" s="1009"/>
      <c r="C311" s="1009"/>
      <c r="D311" s="1009"/>
      <c r="E311" s="1009"/>
      <c r="F311" s="1009"/>
      <c r="G311" s="1009"/>
      <c r="H311" s="1009"/>
    </row>
    <row r="312" spans="1:8" x14ac:dyDescent="0.2">
      <c r="A312" s="1010" t="s">
        <v>789</v>
      </c>
      <c r="B312" s="1009"/>
      <c r="C312" s="1009"/>
      <c r="D312" s="1009"/>
      <c r="E312" s="1009"/>
      <c r="F312" s="1009"/>
      <c r="G312" s="1009"/>
      <c r="H312" s="1009"/>
    </row>
    <row r="313" spans="1:8" x14ac:dyDescent="0.2">
      <c r="A313" s="1010" t="s">
        <v>790</v>
      </c>
      <c r="B313" s="1009"/>
      <c r="C313" s="1009"/>
      <c r="D313" s="1009"/>
      <c r="E313" s="1009"/>
      <c r="F313" s="1009"/>
      <c r="G313" s="1009"/>
      <c r="H313" s="1009"/>
    </row>
    <row r="314" spans="1:8" x14ac:dyDescent="0.2">
      <c r="A314" s="1010" t="s">
        <v>791</v>
      </c>
      <c r="B314" s="1009"/>
      <c r="C314" s="1009"/>
      <c r="D314" s="1009"/>
      <c r="E314" s="1009"/>
      <c r="F314" s="1009"/>
      <c r="G314" s="1009"/>
      <c r="H314" s="1009"/>
    </row>
    <row r="315" spans="1:8" x14ac:dyDescent="0.2">
      <c r="A315" s="1010" t="s">
        <v>792</v>
      </c>
      <c r="B315" s="1009"/>
      <c r="C315" s="1009"/>
      <c r="D315" s="1009"/>
      <c r="E315" s="1009"/>
      <c r="F315" s="1009"/>
      <c r="G315" s="1009"/>
      <c r="H315" s="1009"/>
    </row>
    <row r="316" spans="1:8" x14ac:dyDescent="0.2">
      <c r="A316" s="1010" t="s">
        <v>793</v>
      </c>
      <c r="B316" s="1009"/>
      <c r="C316" s="1009"/>
      <c r="D316" s="1009"/>
      <c r="E316" s="1009"/>
      <c r="F316" s="1009"/>
      <c r="G316" s="1009"/>
      <c r="H316" s="1009"/>
    </row>
    <row r="317" spans="1:8" x14ac:dyDescent="0.2">
      <c r="A317" s="1010" t="s">
        <v>794</v>
      </c>
      <c r="B317" s="1009"/>
      <c r="C317" s="1009"/>
      <c r="D317" s="1009"/>
      <c r="E317" s="1009"/>
      <c r="F317" s="1009"/>
      <c r="G317" s="1009"/>
      <c r="H317" s="1009"/>
    </row>
    <row r="318" spans="1:8" x14ac:dyDescent="0.2">
      <c r="A318" s="1010" t="s">
        <v>795</v>
      </c>
      <c r="B318" s="1009"/>
      <c r="C318" s="1009"/>
      <c r="D318" s="1009"/>
      <c r="E318" s="1009"/>
      <c r="F318" s="1009"/>
      <c r="G318" s="1009"/>
      <c r="H318" s="1009"/>
    </row>
    <row r="319" spans="1:8" x14ac:dyDescent="0.2">
      <c r="A319" s="1010" t="s">
        <v>796</v>
      </c>
      <c r="B319" s="1009"/>
      <c r="C319" s="1009"/>
      <c r="D319" s="1009"/>
      <c r="E319" s="1009"/>
      <c r="F319" s="1009"/>
      <c r="G319" s="1009"/>
      <c r="H319" s="1009"/>
    </row>
    <row r="320" spans="1:8" x14ac:dyDescent="0.2">
      <c r="A320" s="1010" t="s">
        <v>797</v>
      </c>
      <c r="B320" s="1009"/>
      <c r="C320" s="1009"/>
      <c r="D320" s="1009"/>
      <c r="E320" s="1009"/>
      <c r="F320" s="1009"/>
      <c r="G320" s="1009"/>
      <c r="H320" s="1009"/>
    </row>
    <row r="321" spans="1:8" x14ac:dyDescent="0.2">
      <c r="A321" s="1010" t="s">
        <v>798</v>
      </c>
      <c r="B321" s="1009"/>
      <c r="C321" s="1009"/>
      <c r="D321" s="1009"/>
      <c r="E321" s="1009"/>
      <c r="F321" s="1009"/>
      <c r="G321" s="1009"/>
      <c r="H321" s="1009"/>
    </row>
    <row r="322" spans="1:8" x14ac:dyDescent="0.2">
      <c r="A322" s="1010" t="s">
        <v>799</v>
      </c>
      <c r="B322" s="1009"/>
      <c r="C322" s="1009"/>
      <c r="D322" s="1009"/>
      <c r="E322" s="1009"/>
      <c r="F322" s="1009"/>
      <c r="G322" s="1009"/>
      <c r="H322" s="1009"/>
    </row>
    <row r="323" spans="1:8" x14ac:dyDescent="0.2">
      <c r="A323" s="1010" t="s">
        <v>800</v>
      </c>
      <c r="B323" s="1009"/>
      <c r="C323" s="1009"/>
      <c r="D323" s="1009"/>
      <c r="E323" s="1009"/>
      <c r="F323" s="1009"/>
      <c r="G323" s="1009"/>
      <c r="H323" s="1009"/>
    </row>
    <row r="324" spans="1:8" x14ac:dyDescent="0.2">
      <c r="A324" s="1009"/>
      <c r="B324" s="1009"/>
      <c r="C324" s="1009"/>
      <c r="D324" s="1009"/>
      <c r="E324" s="1009"/>
      <c r="F324" s="1009"/>
      <c r="G324" s="1009"/>
      <c r="H324" s="1009"/>
    </row>
    <row r="325" spans="1:8" x14ac:dyDescent="0.2">
      <c r="A325" s="1010" t="s">
        <v>780</v>
      </c>
      <c r="B325" s="1009"/>
      <c r="C325" s="1009"/>
      <c r="D325" s="1009"/>
      <c r="E325" s="1009"/>
      <c r="F325" s="1009"/>
      <c r="G325" s="1009"/>
      <c r="H325" s="1009"/>
    </row>
    <row r="326" spans="1:8" x14ac:dyDescent="0.2">
      <c r="A326" s="1010" t="s">
        <v>781</v>
      </c>
      <c r="B326" s="1009"/>
      <c r="C326" s="1009"/>
      <c r="D326" s="1009"/>
      <c r="E326" s="1009"/>
      <c r="F326" s="1009"/>
      <c r="G326" s="1009"/>
      <c r="H326" s="1009"/>
    </row>
    <row r="327" spans="1:8" x14ac:dyDescent="0.2">
      <c r="A327" s="1010" t="s">
        <v>782</v>
      </c>
      <c r="B327" s="1009"/>
      <c r="C327" s="1009"/>
      <c r="D327" s="1009"/>
      <c r="E327" s="1009"/>
      <c r="F327" s="1009"/>
      <c r="G327" s="1009"/>
      <c r="H327" s="1009"/>
    </row>
    <row r="328" spans="1:8" x14ac:dyDescent="0.2">
      <c r="A328" s="1010" t="s">
        <v>783</v>
      </c>
      <c r="B328" s="1009"/>
      <c r="C328" s="1009"/>
      <c r="D328" s="1009"/>
      <c r="E328" s="1009"/>
      <c r="F328" s="1009"/>
      <c r="G328" s="1009"/>
      <c r="H328" s="1009"/>
    </row>
    <row r="329" spans="1:8" x14ac:dyDescent="0.2">
      <c r="A329" s="1010" t="s">
        <v>784</v>
      </c>
      <c r="B329" s="1009"/>
      <c r="C329" s="1009"/>
      <c r="D329" s="1009"/>
      <c r="E329" s="1009"/>
      <c r="F329" s="1009"/>
      <c r="G329" s="1009"/>
      <c r="H329" s="1009"/>
    </row>
    <row r="330" spans="1:8" x14ac:dyDescent="0.2">
      <c r="A330" s="1010" t="s">
        <v>785</v>
      </c>
      <c r="B330" s="1009"/>
      <c r="C330" s="1009"/>
      <c r="D330" s="1009"/>
      <c r="E330" s="1009"/>
      <c r="F330" s="1009"/>
      <c r="G330" s="1009"/>
      <c r="H330" s="1009"/>
    </row>
    <row r="331" spans="1:8" x14ac:dyDescent="0.2">
      <c r="A331" s="1010" t="s">
        <v>786</v>
      </c>
      <c r="B331" s="1009"/>
      <c r="C331" s="1009"/>
      <c r="D331" s="1009"/>
      <c r="E331" s="1009"/>
      <c r="F331" s="1009"/>
      <c r="G331" s="1009"/>
      <c r="H331" s="1009"/>
    </row>
    <row r="332" spans="1:8" x14ac:dyDescent="0.2">
      <c r="A332" s="1010" t="s">
        <v>787</v>
      </c>
      <c r="B332" s="1009"/>
      <c r="C332" s="1009"/>
      <c r="D332" s="1009"/>
      <c r="E332" s="1009"/>
      <c r="F332" s="1009"/>
      <c r="G332" s="1009"/>
      <c r="H332" s="1009"/>
    </row>
    <row r="333" spans="1:8" x14ac:dyDescent="0.2">
      <c r="A333" s="1009"/>
      <c r="B333" s="1009"/>
      <c r="C333" s="1009"/>
      <c r="D333" s="1009"/>
      <c r="E333" s="1009"/>
      <c r="F333" s="1009"/>
      <c r="G333" s="1009"/>
      <c r="H333" s="1009"/>
    </row>
    <row r="334" spans="1:8" x14ac:dyDescent="0.2">
      <c r="A334" s="1010" t="s">
        <v>745</v>
      </c>
      <c r="B334" s="1009"/>
      <c r="C334" s="1009"/>
      <c r="D334" s="1009"/>
      <c r="E334" s="1009"/>
      <c r="F334" s="1009"/>
      <c r="G334" s="1009"/>
      <c r="H334" s="1009"/>
    </row>
    <row r="335" spans="1:8" x14ac:dyDescent="0.2">
      <c r="A335" s="1010" t="s">
        <v>746</v>
      </c>
      <c r="B335" s="1009"/>
      <c r="C335" s="1009"/>
      <c r="D335" s="1009"/>
      <c r="E335" s="1009"/>
      <c r="F335" s="1009"/>
      <c r="G335" s="1009"/>
      <c r="H335" s="1009"/>
    </row>
    <row r="336" spans="1:8" x14ac:dyDescent="0.2">
      <c r="A336" s="1010" t="s">
        <v>747</v>
      </c>
      <c r="B336" s="1009"/>
      <c r="C336" s="1009"/>
      <c r="D336" s="1009"/>
      <c r="E336" s="1009"/>
      <c r="F336" s="1009"/>
      <c r="G336" s="1009"/>
      <c r="H336" s="1009"/>
    </row>
    <row r="337" spans="1:8" x14ac:dyDescent="0.2">
      <c r="A337" s="1010" t="s">
        <v>748</v>
      </c>
      <c r="B337" s="1009"/>
      <c r="C337" s="1009"/>
      <c r="D337" s="1009"/>
      <c r="E337" s="1009"/>
      <c r="F337" s="1009"/>
      <c r="G337" s="1009"/>
      <c r="H337" s="1009"/>
    </row>
    <row r="338" spans="1:8" x14ac:dyDescent="0.2">
      <c r="A338" s="1010" t="s">
        <v>749</v>
      </c>
      <c r="B338" s="1009"/>
      <c r="C338" s="1009"/>
      <c r="D338" s="1009"/>
      <c r="E338" s="1009"/>
      <c r="F338" s="1009"/>
      <c r="G338" s="1009"/>
      <c r="H338" s="1009"/>
    </row>
    <row r="339" spans="1:8" x14ac:dyDescent="0.2">
      <c r="A339" s="1010" t="s">
        <v>750</v>
      </c>
      <c r="B339" s="1009"/>
      <c r="C339" s="1009"/>
      <c r="D339" s="1009"/>
      <c r="E339" s="1009"/>
      <c r="F339" s="1009"/>
      <c r="G339" s="1009"/>
      <c r="H339" s="1009"/>
    </row>
    <row r="340" spans="1:8" x14ac:dyDescent="0.2">
      <c r="A340" s="1010" t="s">
        <v>751</v>
      </c>
      <c r="B340" s="1009"/>
      <c r="C340" s="1009"/>
      <c r="D340" s="1009"/>
      <c r="E340" s="1009"/>
      <c r="F340" s="1009"/>
      <c r="G340" s="1009"/>
      <c r="H340" s="1009"/>
    </row>
    <row r="341" spans="1:8" x14ac:dyDescent="0.2">
      <c r="A341" s="1010" t="s">
        <v>752</v>
      </c>
      <c r="B341" s="1009"/>
      <c r="C341" s="1009"/>
      <c r="D341" s="1009"/>
      <c r="E341" s="1009"/>
      <c r="F341" s="1009"/>
      <c r="G341" s="1009"/>
      <c r="H341" s="1009"/>
    </row>
    <row r="342" spans="1:8" x14ac:dyDescent="0.2">
      <c r="A342" s="1010" t="s">
        <v>753</v>
      </c>
      <c r="B342" s="1009"/>
      <c r="C342" s="1009"/>
      <c r="D342" s="1009"/>
      <c r="E342" s="1009"/>
      <c r="F342" s="1009"/>
      <c r="G342" s="1009"/>
      <c r="H342" s="1009"/>
    </row>
    <row r="343" spans="1:8" x14ac:dyDescent="0.2">
      <c r="A343" s="1010" t="s">
        <v>754</v>
      </c>
      <c r="B343" s="1009"/>
      <c r="C343" s="1009"/>
      <c r="D343" s="1009"/>
      <c r="E343" s="1009"/>
      <c r="F343" s="1009"/>
      <c r="G343" s="1009"/>
      <c r="H343" s="1009"/>
    </row>
    <row r="344" spans="1:8" x14ac:dyDescent="0.2">
      <c r="A344" s="1010" t="s">
        <v>755</v>
      </c>
      <c r="B344" s="1009"/>
      <c r="C344" s="1009"/>
      <c r="D344" s="1009"/>
      <c r="E344" s="1009"/>
      <c r="F344" s="1009"/>
      <c r="G344" s="1009"/>
      <c r="H344" s="1009"/>
    </row>
    <row r="345" spans="1:8" x14ac:dyDescent="0.2">
      <c r="A345" s="1010" t="s">
        <v>756</v>
      </c>
      <c r="B345" s="1009"/>
      <c r="C345" s="1009"/>
      <c r="D345" s="1009"/>
      <c r="E345" s="1009"/>
      <c r="F345" s="1009"/>
      <c r="G345" s="1009"/>
      <c r="H345" s="1009"/>
    </row>
    <row r="346" spans="1:8" x14ac:dyDescent="0.2">
      <c r="A346" s="1010" t="s">
        <v>757</v>
      </c>
      <c r="B346" s="1009"/>
      <c r="C346" s="1009"/>
      <c r="D346" s="1009"/>
      <c r="E346" s="1009"/>
      <c r="F346" s="1009"/>
      <c r="G346" s="1009"/>
      <c r="H346" s="1009"/>
    </row>
    <row r="347" spans="1:8" x14ac:dyDescent="0.2">
      <c r="A347" s="1010" t="s">
        <v>758</v>
      </c>
      <c r="B347" s="1009"/>
      <c r="C347" s="1009"/>
      <c r="D347" s="1009"/>
      <c r="E347" s="1009"/>
      <c r="F347" s="1009"/>
      <c r="G347" s="1009"/>
      <c r="H347" s="1009"/>
    </row>
    <row r="348" spans="1:8" x14ac:dyDescent="0.2">
      <c r="A348" s="1010" t="s">
        <v>759</v>
      </c>
      <c r="B348" s="1009"/>
      <c r="C348" s="1009"/>
      <c r="D348" s="1009"/>
      <c r="E348" s="1009"/>
      <c r="F348" s="1009"/>
      <c r="G348" s="1009"/>
      <c r="H348" s="1009"/>
    </row>
    <row r="349" spans="1:8" x14ac:dyDescent="0.2">
      <c r="A349" s="1010" t="s">
        <v>760</v>
      </c>
      <c r="B349" s="1009"/>
      <c r="C349" s="1009"/>
      <c r="D349" s="1009"/>
      <c r="E349" s="1009"/>
      <c r="F349" s="1009"/>
      <c r="G349" s="1009"/>
      <c r="H349" s="1009"/>
    </row>
    <row r="350" spans="1:8" x14ac:dyDescent="0.2">
      <c r="A350" s="1010" t="s">
        <v>761</v>
      </c>
      <c r="B350" s="1009"/>
      <c r="C350" s="1009"/>
      <c r="D350" s="1009"/>
      <c r="E350" s="1009"/>
      <c r="F350" s="1009"/>
      <c r="G350" s="1009"/>
      <c r="H350" s="1009"/>
    </row>
    <row r="351" spans="1:8" x14ac:dyDescent="0.2">
      <c r="A351" s="1010" t="s">
        <v>762</v>
      </c>
      <c r="B351" s="1009"/>
      <c r="C351" s="1009"/>
      <c r="D351" s="1009"/>
      <c r="E351" s="1009"/>
      <c r="F351" s="1009"/>
      <c r="G351" s="1009"/>
      <c r="H351" s="1009"/>
    </row>
    <row r="352" spans="1:8" x14ac:dyDescent="0.2">
      <c r="A352" s="1010" t="s">
        <v>763</v>
      </c>
      <c r="B352" s="1009"/>
      <c r="C352" s="1009"/>
      <c r="D352" s="1009"/>
      <c r="E352" s="1009"/>
      <c r="F352" s="1009"/>
      <c r="G352" s="1009"/>
      <c r="H352" s="1009"/>
    </row>
    <row r="353" spans="1:8" x14ac:dyDescent="0.2">
      <c r="A353" s="1010" t="s">
        <v>764</v>
      </c>
      <c r="B353" s="1009"/>
      <c r="C353" s="1009"/>
      <c r="D353" s="1009"/>
      <c r="E353" s="1009"/>
      <c r="F353" s="1009"/>
      <c r="G353" s="1009"/>
      <c r="H353" s="1009"/>
    </row>
    <row r="354" spans="1:8" x14ac:dyDescent="0.2">
      <c r="A354" s="1010" t="s">
        <v>765</v>
      </c>
      <c r="B354" s="1009"/>
      <c r="C354" s="1009"/>
      <c r="D354" s="1009"/>
      <c r="E354" s="1009"/>
      <c r="F354" s="1009"/>
      <c r="G354" s="1009"/>
      <c r="H354" s="1009"/>
    </row>
    <row r="355" spans="1:8" x14ac:dyDescent="0.2">
      <c r="A355" s="1010" t="s">
        <v>766</v>
      </c>
      <c r="B355" s="1009"/>
      <c r="C355" s="1009"/>
      <c r="D355" s="1009"/>
      <c r="E355" s="1009"/>
      <c r="F355" s="1009"/>
      <c r="G355" s="1009"/>
      <c r="H355" s="1009"/>
    </row>
    <row r="356" spans="1:8" x14ac:dyDescent="0.2">
      <c r="A356" s="1010" t="s">
        <v>767</v>
      </c>
      <c r="B356" s="1009"/>
      <c r="C356" s="1009"/>
      <c r="D356" s="1009"/>
      <c r="E356" s="1009"/>
      <c r="F356" s="1009"/>
      <c r="G356" s="1009"/>
      <c r="H356" s="1009"/>
    </row>
    <row r="357" spans="1:8" x14ac:dyDescent="0.2">
      <c r="A357" s="1010" t="s">
        <v>768</v>
      </c>
      <c r="B357" s="1009"/>
      <c r="C357" s="1009"/>
      <c r="D357" s="1009"/>
      <c r="E357" s="1009"/>
      <c r="F357" s="1009"/>
      <c r="G357" s="1009"/>
      <c r="H357" s="1009"/>
    </row>
    <row r="358" spans="1:8" x14ac:dyDescent="0.2">
      <c r="A358" s="1010" t="s">
        <v>769</v>
      </c>
      <c r="B358" s="1009"/>
      <c r="C358" s="1009"/>
      <c r="D358" s="1009"/>
      <c r="E358" s="1009"/>
      <c r="F358" s="1009"/>
      <c r="G358" s="1009"/>
      <c r="H358" s="1009"/>
    </row>
    <row r="359" spans="1:8" x14ac:dyDescent="0.2">
      <c r="A359" s="1010" t="s">
        <v>770</v>
      </c>
      <c r="B359" s="1009"/>
      <c r="C359" s="1009"/>
      <c r="D359" s="1009"/>
      <c r="E359" s="1009"/>
      <c r="F359" s="1009"/>
      <c r="G359" s="1009"/>
      <c r="H359" s="1009"/>
    </row>
    <row r="360" spans="1:8" x14ac:dyDescent="0.2">
      <c r="A360" s="1010" t="s">
        <v>771</v>
      </c>
      <c r="B360" s="1009"/>
      <c r="C360" s="1009"/>
      <c r="D360" s="1009"/>
      <c r="E360" s="1009"/>
      <c r="F360" s="1009"/>
      <c r="G360" s="1009"/>
      <c r="H360" s="1009"/>
    </row>
    <row r="361" spans="1:8" x14ac:dyDescent="0.2">
      <c r="A361" s="1010" t="s">
        <v>772</v>
      </c>
      <c r="B361" s="1009"/>
      <c r="C361" s="1009"/>
      <c r="D361" s="1009"/>
      <c r="E361" s="1009"/>
      <c r="F361" s="1009"/>
      <c r="G361" s="1009"/>
      <c r="H361" s="1009"/>
    </row>
    <row r="362" spans="1:8" x14ac:dyDescent="0.2">
      <c r="A362" s="1010" t="s">
        <v>773</v>
      </c>
      <c r="B362" s="1009"/>
      <c r="C362" s="1009"/>
      <c r="D362" s="1009"/>
      <c r="E362" s="1009"/>
      <c r="F362" s="1009"/>
      <c r="G362" s="1009"/>
      <c r="H362" s="1009"/>
    </row>
    <row r="363" spans="1:8" x14ac:dyDescent="0.2">
      <c r="A363" s="1010" t="s">
        <v>774</v>
      </c>
      <c r="B363" s="1009"/>
      <c r="C363" s="1009"/>
      <c r="D363" s="1009"/>
      <c r="E363" s="1009"/>
      <c r="F363" s="1009"/>
      <c r="G363" s="1009"/>
      <c r="H363" s="1009"/>
    </row>
    <row r="364" spans="1:8" x14ac:dyDescent="0.2">
      <c r="A364" s="1010" t="s">
        <v>775</v>
      </c>
      <c r="B364" s="1009"/>
      <c r="C364" s="1009"/>
      <c r="D364" s="1009"/>
      <c r="E364" s="1009"/>
      <c r="F364" s="1009"/>
      <c r="G364" s="1009"/>
      <c r="H364" s="1009"/>
    </row>
    <row r="365" spans="1:8" x14ac:dyDescent="0.2">
      <c r="A365" s="1010" t="s">
        <v>776</v>
      </c>
      <c r="B365" s="1009"/>
      <c r="C365" s="1009"/>
      <c r="D365" s="1009"/>
      <c r="E365" s="1009"/>
      <c r="F365" s="1009"/>
      <c r="G365" s="1009"/>
      <c r="H365" s="1009"/>
    </row>
    <row r="366" spans="1:8" x14ac:dyDescent="0.2">
      <c r="A366" s="1010" t="s">
        <v>777</v>
      </c>
      <c r="B366" s="1009"/>
      <c r="C366" s="1009"/>
      <c r="D366" s="1009"/>
      <c r="E366" s="1009"/>
      <c r="F366" s="1009"/>
      <c r="G366" s="1009"/>
      <c r="H366" s="1009"/>
    </row>
    <row r="367" spans="1:8" x14ac:dyDescent="0.2">
      <c r="A367" s="1010" t="s">
        <v>778</v>
      </c>
      <c r="B367" s="1009"/>
      <c r="C367" s="1009"/>
      <c r="D367" s="1009"/>
      <c r="E367" s="1009"/>
      <c r="F367" s="1009"/>
      <c r="G367" s="1009"/>
      <c r="H367" s="1009"/>
    </row>
    <row r="368" spans="1:8" x14ac:dyDescent="0.2">
      <c r="A368" s="1010" t="s">
        <v>779</v>
      </c>
      <c r="B368" s="1009"/>
      <c r="C368" s="1009"/>
      <c r="D368" s="1009"/>
      <c r="E368" s="1009"/>
      <c r="F368" s="1009"/>
      <c r="G368" s="1009"/>
      <c r="H368" s="1009"/>
    </row>
    <row r="369" spans="1:8" x14ac:dyDescent="0.2">
      <c r="A369" s="1009"/>
      <c r="B369" s="1009"/>
      <c r="C369" s="1009"/>
      <c r="D369" s="1009"/>
      <c r="E369" s="1009"/>
      <c r="F369" s="1009"/>
      <c r="G369" s="1009"/>
      <c r="H369" s="1009"/>
    </row>
    <row r="370" spans="1:8" x14ac:dyDescent="0.2">
      <c r="A370" s="1010" t="s">
        <v>737</v>
      </c>
      <c r="B370" s="1009"/>
      <c r="C370" s="1009"/>
      <c r="D370" s="1009"/>
      <c r="E370" s="1009"/>
      <c r="F370" s="1009"/>
      <c r="G370" s="1009"/>
      <c r="H370" s="1009"/>
    </row>
    <row r="371" spans="1:8" x14ac:dyDescent="0.2">
      <c r="A371" s="1010" t="s">
        <v>741</v>
      </c>
      <c r="B371" s="1009"/>
      <c r="C371" s="1009"/>
      <c r="D371" s="1009"/>
      <c r="E371" s="1009"/>
      <c r="F371" s="1009"/>
      <c r="G371" s="1009"/>
      <c r="H371" s="1009"/>
    </row>
    <row r="372" spans="1:8" x14ac:dyDescent="0.2">
      <c r="A372" s="1010" t="s">
        <v>742</v>
      </c>
      <c r="B372" s="1009"/>
      <c r="C372" s="1009"/>
      <c r="D372" s="1009"/>
      <c r="E372" s="1009"/>
      <c r="F372" s="1009"/>
      <c r="G372" s="1009"/>
      <c r="H372" s="1009"/>
    </row>
    <row r="373" spans="1:8" x14ac:dyDescent="0.2">
      <c r="A373" s="1010" t="s">
        <v>743</v>
      </c>
      <c r="B373" s="1009"/>
      <c r="C373" s="1009"/>
      <c r="D373" s="1009"/>
      <c r="E373" s="1009"/>
      <c r="F373" s="1009"/>
      <c r="G373" s="1009"/>
      <c r="H373" s="1009"/>
    </row>
    <row r="374" spans="1:8" x14ac:dyDescent="0.2">
      <c r="A374" s="1010" t="s">
        <v>744</v>
      </c>
      <c r="B374" s="1009"/>
      <c r="C374" s="1009"/>
      <c r="D374" s="1009"/>
      <c r="E374" s="1009"/>
      <c r="F374" s="1009"/>
      <c r="G374" s="1009"/>
      <c r="H374" s="1009"/>
    </row>
    <row r="375" spans="1:8" x14ac:dyDescent="0.2">
      <c r="A375" s="1009"/>
      <c r="B375" s="1009"/>
      <c r="C375" s="1009"/>
      <c r="D375" s="1009"/>
      <c r="E375" s="1009"/>
      <c r="F375" s="1009"/>
      <c r="G375" s="1009"/>
      <c r="H375" s="1009"/>
    </row>
    <row r="376" spans="1:8" x14ac:dyDescent="0.2">
      <c r="A376" s="1010" t="s">
        <v>737</v>
      </c>
      <c r="B376" s="1009"/>
      <c r="C376" s="1009"/>
      <c r="D376" s="1009"/>
      <c r="E376" s="1009"/>
      <c r="F376" s="1009"/>
      <c r="G376" s="1009"/>
      <c r="H376" s="1009"/>
    </row>
    <row r="377" spans="1:8" x14ac:dyDescent="0.2">
      <c r="A377" s="1010" t="s">
        <v>738</v>
      </c>
      <c r="B377" s="1009"/>
      <c r="C377" s="1009"/>
      <c r="D377" s="1009"/>
      <c r="E377" s="1009"/>
      <c r="F377" s="1009"/>
      <c r="G377" s="1009"/>
      <c r="H377" s="1009"/>
    </row>
    <row r="378" spans="1:8" x14ac:dyDescent="0.2">
      <c r="A378" s="1010" t="s">
        <v>739</v>
      </c>
      <c r="B378" s="1009"/>
      <c r="C378" s="1009"/>
      <c r="D378" s="1009"/>
      <c r="E378" s="1009"/>
      <c r="F378" s="1009"/>
      <c r="G378" s="1009"/>
      <c r="H378" s="1009"/>
    </row>
    <row r="379" spans="1:8" x14ac:dyDescent="0.2">
      <c r="A379" s="1010" t="s">
        <v>740</v>
      </c>
      <c r="B379" s="1009"/>
      <c r="C379" s="1009"/>
      <c r="D379" s="1009"/>
      <c r="E379" s="1009"/>
      <c r="F379" s="1009"/>
      <c r="G379" s="1009"/>
      <c r="H379" s="1009"/>
    </row>
    <row r="380" spans="1:8" x14ac:dyDescent="0.2">
      <c r="A380" s="1009"/>
      <c r="B380" s="1009"/>
      <c r="C380" s="1009"/>
      <c r="D380" s="1009"/>
      <c r="E380" s="1009"/>
      <c r="F380" s="1009"/>
      <c r="G380" s="1009"/>
      <c r="H380" s="1009"/>
    </row>
    <row r="381" spans="1:8" x14ac:dyDescent="0.2">
      <c r="A381" s="1010" t="s">
        <v>731</v>
      </c>
      <c r="B381" s="1009"/>
      <c r="C381" s="1009"/>
      <c r="D381" s="1009"/>
      <c r="E381" s="1009"/>
      <c r="F381" s="1009"/>
      <c r="G381" s="1009"/>
      <c r="H381" s="1009"/>
    </row>
    <row r="382" spans="1:8" x14ac:dyDescent="0.2">
      <c r="A382" s="1010" t="s">
        <v>732</v>
      </c>
      <c r="B382" s="1009"/>
      <c r="C382" s="1009"/>
      <c r="D382" s="1009"/>
      <c r="E382" s="1009"/>
      <c r="F382" s="1009"/>
      <c r="G382" s="1009"/>
      <c r="H382" s="1009"/>
    </row>
    <row r="383" spans="1:8" x14ac:dyDescent="0.2">
      <c r="A383" s="1010" t="s">
        <v>733</v>
      </c>
      <c r="B383" s="1009"/>
      <c r="C383" s="1009"/>
      <c r="D383" s="1009"/>
      <c r="E383" s="1009"/>
      <c r="F383" s="1009"/>
      <c r="G383" s="1009"/>
      <c r="H383" s="1009"/>
    </row>
    <row r="384" spans="1:8" x14ac:dyDescent="0.2">
      <c r="A384" s="1010" t="s">
        <v>734</v>
      </c>
      <c r="B384" s="1009"/>
      <c r="C384" s="1009"/>
      <c r="D384" s="1009"/>
      <c r="E384" s="1009"/>
      <c r="F384" s="1009"/>
      <c r="G384" s="1009"/>
      <c r="H384" s="1009"/>
    </row>
    <row r="385" spans="1:8" x14ac:dyDescent="0.2">
      <c r="A385" s="1010" t="s">
        <v>735</v>
      </c>
      <c r="B385" s="1009"/>
      <c r="C385" s="1009"/>
      <c r="D385" s="1009"/>
      <c r="E385" s="1009"/>
      <c r="F385" s="1009"/>
      <c r="G385" s="1009"/>
      <c r="H385" s="1009"/>
    </row>
    <row r="386" spans="1:8" x14ac:dyDescent="0.2">
      <c r="A386" s="1010" t="s">
        <v>736</v>
      </c>
      <c r="B386" s="1009"/>
      <c r="C386" s="1009"/>
      <c r="D386" s="1009"/>
      <c r="E386" s="1009"/>
      <c r="F386" s="1009"/>
      <c r="G386" s="1009"/>
      <c r="H386" s="1009"/>
    </row>
    <row r="387" spans="1:8" x14ac:dyDescent="0.2">
      <c r="A387" s="1009"/>
      <c r="B387" s="1009"/>
      <c r="C387" s="1009"/>
      <c r="D387" s="1009"/>
      <c r="E387" s="1009"/>
      <c r="F387" s="1009"/>
      <c r="G387" s="1009"/>
      <c r="H387" s="1009"/>
    </row>
    <row r="388" spans="1:8" x14ac:dyDescent="0.2">
      <c r="A388" s="1010" t="s">
        <v>726</v>
      </c>
      <c r="B388" s="1009"/>
      <c r="C388" s="1009"/>
      <c r="D388" s="1009"/>
      <c r="E388" s="1009"/>
      <c r="F388" s="1009"/>
      <c r="G388" s="1009"/>
      <c r="H388" s="1009"/>
    </row>
    <row r="389" spans="1:8" x14ac:dyDescent="0.2">
      <c r="A389" s="1010" t="s">
        <v>727</v>
      </c>
      <c r="B389" s="1009"/>
      <c r="C389" s="1009"/>
      <c r="D389" s="1009"/>
      <c r="E389" s="1009"/>
      <c r="F389" s="1009"/>
      <c r="G389" s="1009"/>
      <c r="H389" s="1009"/>
    </row>
    <row r="390" spans="1:8" x14ac:dyDescent="0.2">
      <c r="A390" s="1010" t="s">
        <v>728</v>
      </c>
      <c r="B390" s="1009"/>
      <c r="C390" s="1009"/>
      <c r="D390" s="1009"/>
      <c r="E390" s="1009"/>
      <c r="F390" s="1009"/>
      <c r="G390" s="1009"/>
      <c r="H390" s="1009"/>
    </row>
    <row r="391" spans="1:8" x14ac:dyDescent="0.2">
      <c r="A391" s="1010" t="s">
        <v>729</v>
      </c>
      <c r="B391" s="1009"/>
      <c r="C391" s="1009"/>
      <c r="D391" s="1009"/>
      <c r="E391" s="1009"/>
      <c r="F391" s="1009"/>
      <c r="G391" s="1009"/>
      <c r="H391" s="1009"/>
    </row>
    <row r="392" spans="1:8" x14ac:dyDescent="0.2">
      <c r="A392" s="1010" t="s">
        <v>730</v>
      </c>
      <c r="B392" s="1009"/>
      <c r="C392" s="1009"/>
      <c r="D392" s="1009"/>
      <c r="E392" s="1009"/>
      <c r="F392" s="1009"/>
      <c r="G392" s="1009"/>
      <c r="H392" s="1009"/>
    </row>
    <row r="393" spans="1:8" x14ac:dyDescent="0.2">
      <c r="A393" s="1009"/>
      <c r="B393" s="1009"/>
      <c r="C393" s="1009"/>
      <c r="D393" s="1009"/>
      <c r="E393" s="1009"/>
      <c r="F393" s="1009"/>
      <c r="G393" s="1009"/>
      <c r="H393" s="1009"/>
    </row>
    <row r="394" spans="1:8" x14ac:dyDescent="0.2">
      <c r="A394" s="1010" t="s">
        <v>724</v>
      </c>
      <c r="B394" s="1009"/>
      <c r="C394" s="1009"/>
      <c r="D394" s="1009"/>
      <c r="E394" s="1009"/>
      <c r="F394" s="1009"/>
      <c r="G394" s="1009"/>
      <c r="H394" s="1009"/>
    </row>
    <row r="395" spans="1:8" x14ac:dyDescent="0.2">
      <c r="A395" s="1010" t="s">
        <v>725</v>
      </c>
      <c r="B395" s="1009"/>
      <c r="C395" s="1009"/>
      <c r="D395" s="1009"/>
      <c r="E395" s="1009"/>
      <c r="F395" s="1009"/>
      <c r="G395" s="1009"/>
      <c r="H395" s="1009"/>
    </row>
    <row r="397" spans="1:8" x14ac:dyDescent="0.2">
      <c r="A397" s="1005" t="s">
        <v>984</v>
      </c>
    </row>
  </sheetData>
  <mergeCells count="12">
    <mergeCell ref="A135:H135"/>
    <mergeCell ref="A136:H136"/>
    <mergeCell ref="B128:C128"/>
    <mergeCell ref="D128:F128"/>
    <mergeCell ref="G128:H128"/>
    <mergeCell ref="A114:H114"/>
    <mergeCell ref="A115:H115"/>
    <mergeCell ref="A116:H116"/>
    <mergeCell ref="A117:H117"/>
    <mergeCell ref="A119:H119"/>
    <mergeCell ref="A120:H120"/>
    <mergeCell ref="A127:H127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AC73"/>
  <sheetViews>
    <sheetView zoomScale="85" zoomScaleNormal="85" workbookViewId="0"/>
  </sheetViews>
  <sheetFormatPr defaultRowHeight="12.75" x14ac:dyDescent="0.2"/>
  <cols>
    <col min="2" max="2" width="38.42578125" customWidth="1"/>
    <col min="3" max="3" width="12.85546875" customWidth="1"/>
    <col min="6" max="6" width="12.5703125" customWidth="1"/>
    <col min="15" max="15" width="5.42578125" customWidth="1"/>
  </cols>
  <sheetData>
    <row r="1" spans="1:29" x14ac:dyDescent="0.2">
      <c r="A1" s="564"/>
      <c r="B1" s="564"/>
      <c r="C1" s="564"/>
      <c r="D1" s="564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564"/>
      <c r="Q1" s="564"/>
      <c r="R1" s="564"/>
      <c r="S1" s="564"/>
      <c r="T1" s="564"/>
      <c r="U1" s="564"/>
      <c r="V1" s="564"/>
      <c r="W1" s="564"/>
      <c r="X1" s="564"/>
      <c r="Y1" s="564"/>
      <c r="Z1" s="564"/>
      <c r="AA1" s="564"/>
      <c r="AB1" s="564"/>
      <c r="AC1" s="564"/>
    </row>
    <row r="2" spans="1:29" ht="28.5" customHeight="1" x14ac:dyDescent="0.35">
      <c r="A2" s="564"/>
      <c r="B2" s="565" t="s">
        <v>392</v>
      </c>
      <c r="C2" s="564"/>
      <c r="D2" s="564"/>
      <c r="E2" s="564"/>
      <c r="F2" s="564"/>
      <c r="G2" s="564"/>
      <c r="H2" s="564"/>
      <c r="I2" s="564"/>
      <c r="J2" s="564"/>
      <c r="K2" s="564"/>
      <c r="L2" s="564"/>
      <c r="M2" s="564"/>
      <c r="N2" s="564"/>
      <c r="O2" s="564"/>
      <c r="P2" s="564"/>
      <c r="Q2" s="564"/>
      <c r="R2" s="564"/>
      <c r="S2" s="564"/>
      <c r="T2" s="564"/>
      <c r="U2" s="564"/>
      <c r="V2" s="564"/>
      <c r="W2" s="564"/>
      <c r="X2" s="564"/>
      <c r="Y2" s="564"/>
      <c r="Z2" s="564"/>
      <c r="AA2" s="564"/>
      <c r="AB2" s="564"/>
      <c r="AC2" s="564"/>
    </row>
    <row r="3" spans="1:29" ht="15.75" x14ac:dyDescent="0.25">
      <c r="A3" s="564"/>
      <c r="B3" s="509" t="s">
        <v>395</v>
      </c>
      <c r="C3" s="685" t="s">
        <v>399</v>
      </c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64"/>
      <c r="AC3" s="564"/>
    </row>
    <row r="4" spans="1:29" ht="15.75" x14ac:dyDescent="0.25">
      <c r="A4" s="564"/>
      <c r="B4" s="509" t="s">
        <v>396</v>
      </c>
      <c r="C4" s="685" t="s">
        <v>515</v>
      </c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4"/>
      <c r="O4" s="564"/>
      <c r="P4" s="564"/>
      <c r="Q4" s="564"/>
      <c r="R4" s="564"/>
      <c r="S4" s="564"/>
      <c r="T4" s="564"/>
      <c r="U4" s="564"/>
      <c r="V4" s="564"/>
      <c r="W4" s="564"/>
      <c r="X4" s="564"/>
      <c r="Y4" s="564"/>
      <c r="Z4" s="564"/>
      <c r="AA4" s="564"/>
      <c r="AB4" s="564"/>
      <c r="AC4" s="564"/>
    </row>
    <row r="5" spans="1:29" ht="15.75" x14ac:dyDescent="0.25">
      <c r="A5" s="564"/>
      <c r="B5" s="509" t="s">
        <v>397</v>
      </c>
      <c r="C5" s="686">
        <f>basept</f>
        <v>50</v>
      </c>
      <c r="D5" s="564"/>
      <c r="E5" s="564"/>
      <c r="F5" s="564"/>
      <c r="G5" s="564"/>
      <c r="H5" s="564"/>
      <c r="I5" s="564"/>
      <c r="J5" s="564"/>
      <c r="K5" s="564"/>
      <c r="L5" s="564"/>
      <c r="M5" s="564"/>
      <c r="N5" s="564"/>
      <c r="O5" s="564"/>
      <c r="P5" s="564"/>
      <c r="Q5" s="564"/>
      <c r="R5" s="564"/>
      <c r="S5" s="564"/>
      <c r="T5" s="564"/>
      <c r="U5" s="564"/>
      <c r="V5" s="564"/>
      <c r="W5" s="564"/>
      <c r="X5" s="564"/>
      <c r="Y5" s="564"/>
      <c r="Z5" s="564"/>
      <c r="AA5" s="564"/>
      <c r="AB5" s="564"/>
      <c r="AC5" s="564"/>
    </row>
    <row r="6" spans="1:29" ht="15.75" x14ac:dyDescent="0.25">
      <c r="A6" s="564"/>
      <c r="B6" s="509" t="s">
        <v>398</v>
      </c>
      <c r="C6" s="687">
        <v>43202</v>
      </c>
      <c r="D6" s="564"/>
      <c r="E6" s="564"/>
      <c r="F6" s="564"/>
      <c r="G6" s="564"/>
      <c r="H6" s="564"/>
      <c r="I6" s="564"/>
      <c r="J6" s="564"/>
      <c r="K6" s="564"/>
      <c r="L6" s="564"/>
      <c r="M6" s="564"/>
      <c r="N6" s="564"/>
      <c r="O6" s="564"/>
      <c r="P6" s="564"/>
      <c r="Q6" s="564"/>
      <c r="R6" s="564"/>
      <c r="S6" s="564"/>
      <c r="T6" s="564"/>
      <c r="U6" s="564"/>
      <c r="V6" s="564"/>
      <c r="W6" s="564"/>
      <c r="X6" s="564"/>
      <c r="Y6" s="564"/>
      <c r="Z6" s="564"/>
      <c r="AA6" s="564"/>
      <c r="AB6" s="564"/>
      <c r="AC6" s="564"/>
    </row>
    <row r="7" spans="1:29" x14ac:dyDescent="0.2">
      <c r="A7" s="564"/>
      <c r="B7" s="564"/>
      <c r="C7" s="564"/>
      <c r="D7" s="564"/>
      <c r="E7" s="564"/>
      <c r="F7" s="564"/>
      <c r="G7" s="564"/>
      <c r="H7" s="564"/>
      <c r="I7" s="564"/>
      <c r="J7" s="564"/>
      <c r="K7" s="564"/>
      <c r="L7" s="564"/>
      <c r="M7" s="564"/>
      <c r="N7" s="564"/>
      <c r="O7" s="564"/>
      <c r="P7" s="564"/>
      <c r="Q7" s="564"/>
      <c r="R7" s="564"/>
      <c r="S7" s="564"/>
      <c r="T7" s="564"/>
      <c r="U7" s="564"/>
      <c r="V7" s="564"/>
      <c r="W7" s="564"/>
      <c r="X7" s="564"/>
      <c r="Y7" s="564"/>
      <c r="Z7" s="564"/>
      <c r="AA7" s="564"/>
      <c r="AB7" s="564"/>
      <c r="AC7" s="564"/>
    </row>
    <row r="8" spans="1:29" x14ac:dyDescent="0.2">
      <c r="A8" s="508"/>
      <c r="B8" s="566"/>
      <c r="C8" s="566"/>
      <c r="D8" s="566"/>
      <c r="E8" s="566"/>
      <c r="F8" s="566"/>
      <c r="G8" s="566"/>
      <c r="H8" s="566"/>
      <c r="I8" s="566"/>
      <c r="J8" s="566"/>
      <c r="K8" s="566"/>
      <c r="L8" s="566"/>
      <c r="M8" s="566"/>
      <c r="N8" s="566"/>
      <c r="O8" s="566"/>
      <c r="P8" s="566"/>
      <c r="Q8" s="566"/>
      <c r="R8" s="566"/>
      <c r="S8" s="508"/>
      <c r="T8" s="508"/>
      <c r="U8" s="508"/>
      <c r="V8" s="508"/>
      <c r="W8" s="508"/>
      <c r="X8" s="508"/>
      <c r="Y8" s="508"/>
      <c r="Z8" s="508"/>
      <c r="AA8" s="508"/>
      <c r="AB8" s="508"/>
      <c r="AC8" s="508"/>
    </row>
    <row r="9" spans="1:29" x14ac:dyDescent="0.2">
      <c r="A9" s="508"/>
      <c r="B9" s="566"/>
      <c r="C9" s="566"/>
      <c r="D9" s="566"/>
      <c r="E9" s="566"/>
      <c r="F9" s="566"/>
      <c r="G9" s="566"/>
      <c r="H9" s="566"/>
      <c r="I9" s="566"/>
      <c r="J9" s="566"/>
      <c r="K9" s="566"/>
      <c r="L9" s="566"/>
      <c r="M9" s="566"/>
      <c r="N9" s="566"/>
      <c r="O9" s="566"/>
      <c r="P9" s="566"/>
      <c r="Q9" s="566"/>
      <c r="R9" s="566"/>
      <c r="S9" s="508"/>
      <c r="T9" s="508"/>
      <c r="U9" s="508"/>
      <c r="V9" s="508"/>
      <c r="W9" s="508"/>
      <c r="X9" s="508"/>
      <c r="Y9" s="508"/>
      <c r="Z9" s="508"/>
      <c r="AA9" s="508"/>
      <c r="AB9" s="508"/>
      <c r="AC9" s="508"/>
    </row>
    <row r="10" spans="1:29" ht="15" x14ac:dyDescent="0.25">
      <c r="A10" s="508"/>
      <c r="B10" s="569" t="s">
        <v>400</v>
      </c>
      <c r="C10" s="792" t="s">
        <v>547</v>
      </c>
      <c r="D10" s="569"/>
      <c r="E10" s="569"/>
      <c r="F10" s="569"/>
      <c r="G10" s="569" t="s">
        <v>590</v>
      </c>
      <c r="H10" s="508"/>
      <c r="I10" s="569"/>
      <c r="J10" s="569"/>
      <c r="K10" s="569" t="s">
        <v>566</v>
      </c>
      <c r="L10" s="508"/>
      <c r="M10" s="569"/>
      <c r="N10" s="569"/>
      <c r="O10" s="569"/>
      <c r="P10" s="567"/>
      <c r="Q10" s="567"/>
      <c r="R10" s="567"/>
      <c r="S10" s="508"/>
      <c r="T10" s="508"/>
      <c r="U10" s="508"/>
      <c r="V10" s="508"/>
      <c r="W10" s="508"/>
      <c r="X10" s="508"/>
      <c r="Y10" s="508"/>
      <c r="Z10" s="508"/>
      <c r="AA10" s="508"/>
      <c r="AB10" s="508"/>
      <c r="AC10" s="508"/>
    </row>
    <row r="11" spans="1:29" ht="15" x14ac:dyDescent="0.25">
      <c r="A11" s="508"/>
      <c r="B11" s="569" t="s">
        <v>401</v>
      </c>
      <c r="C11" s="792" t="s">
        <v>548</v>
      </c>
      <c r="D11" s="569"/>
      <c r="E11" s="569"/>
      <c r="F11" s="569"/>
      <c r="G11" s="569" t="s">
        <v>591</v>
      </c>
      <c r="H11" s="508"/>
      <c r="I11" s="569"/>
      <c r="J11" s="569"/>
      <c r="K11" s="569" t="s">
        <v>568</v>
      </c>
      <c r="L11" s="508"/>
      <c r="M11" s="569"/>
      <c r="N11" s="569"/>
      <c r="O11" s="569"/>
      <c r="P11" s="567"/>
      <c r="Q11" s="567"/>
      <c r="R11" s="567"/>
      <c r="S11" s="508"/>
      <c r="T11" s="508"/>
      <c r="U11" s="508"/>
      <c r="V11" s="508"/>
      <c r="W11" s="508"/>
      <c r="X11" s="508"/>
      <c r="Y11" s="508"/>
      <c r="Z11" s="508"/>
      <c r="AA11" s="508"/>
      <c r="AB11" s="508"/>
      <c r="AC11" s="508"/>
    </row>
    <row r="12" spans="1:29" ht="15" x14ac:dyDescent="0.25">
      <c r="A12" s="508"/>
      <c r="B12" s="569" t="s">
        <v>402</v>
      </c>
      <c r="C12" s="792" t="s">
        <v>549</v>
      </c>
      <c r="D12" s="569"/>
      <c r="E12" s="569"/>
      <c r="F12" s="569"/>
      <c r="G12" s="569" t="s">
        <v>592</v>
      </c>
      <c r="H12" s="508"/>
      <c r="I12" s="569"/>
      <c r="J12" s="569"/>
      <c r="K12" s="792" t="s">
        <v>567</v>
      </c>
      <c r="L12" s="508"/>
      <c r="M12" s="569"/>
      <c r="N12" s="569"/>
      <c r="O12" s="792"/>
      <c r="P12" s="567"/>
      <c r="Q12" s="567"/>
      <c r="R12" s="567"/>
      <c r="S12" s="508"/>
      <c r="T12" s="508"/>
      <c r="U12" s="508"/>
      <c r="V12" s="508"/>
      <c r="W12" s="508"/>
      <c r="X12" s="508"/>
      <c r="Y12" s="508"/>
      <c r="Z12" s="508"/>
      <c r="AA12" s="508"/>
      <c r="AB12" s="508"/>
      <c r="AC12" s="508"/>
    </row>
    <row r="13" spans="1:29" ht="15" x14ac:dyDescent="0.25">
      <c r="A13" s="508"/>
      <c r="B13" s="567"/>
      <c r="C13" s="567"/>
      <c r="D13" s="567"/>
      <c r="E13" s="567"/>
      <c r="F13" s="567"/>
      <c r="G13" s="569"/>
      <c r="H13" s="566"/>
      <c r="I13" s="567"/>
      <c r="J13" s="567"/>
      <c r="K13" s="567"/>
      <c r="L13" s="567"/>
      <c r="M13" s="567"/>
      <c r="N13" s="567"/>
      <c r="O13" s="567"/>
      <c r="P13" s="567"/>
      <c r="Q13" s="567"/>
      <c r="R13" s="567"/>
      <c r="S13" s="508"/>
      <c r="T13" s="508"/>
      <c r="U13" s="508"/>
      <c r="V13" s="508"/>
      <c r="W13" s="508"/>
      <c r="X13" s="508"/>
      <c r="Y13" s="508"/>
      <c r="Z13" s="508"/>
      <c r="AA13" s="508"/>
      <c r="AB13" s="508"/>
      <c r="AC13" s="508"/>
    </row>
    <row r="14" spans="1:29" x14ac:dyDescent="0.2">
      <c r="A14" s="508"/>
      <c r="B14" s="568"/>
      <c r="C14" s="568"/>
      <c r="D14" s="568"/>
      <c r="E14" s="568"/>
      <c r="F14" s="568"/>
      <c r="G14" s="568"/>
      <c r="H14" s="568"/>
      <c r="I14" s="568"/>
      <c r="J14" s="568"/>
      <c r="K14" s="568"/>
      <c r="L14" s="568"/>
      <c r="M14" s="568"/>
      <c r="N14" s="568"/>
      <c r="O14" s="568"/>
      <c r="P14" s="508"/>
      <c r="Q14" s="568"/>
      <c r="R14" s="568"/>
      <c r="S14" s="508"/>
      <c r="T14" s="508"/>
      <c r="U14" s="508"/>
      <c r="V14" s="508"/>
      <c r="W14" s="508"/>
      <c r="X14" s="508"/>
      <c r="Y14" s="508"/>
      <c r="Z14" s="508"/>
      <c r="AA14" s="508"/>
      <c r="AB14" s="508"/>
      <c r="AC14" s="508"/>
    </row>
    <row r="15" spans="1:29" x14ac:dyDescent="0.2">
      <c r="A15" s="508"/>
      <c r="B15" s="508"/>
      <c r="C15" s="508"/>
      <c r="D15" s="508"/>
      <c r="E15" s="508"/>
      <c r="F15" s="508"/>
      <c r="G15" s="508"/>
      <c r="H15" s="508"/>
      <c r="I15" s="508"/>
      <c r="J15" s="508"/>
      <c r="K15" s="508"/>
      <c r="L15" s="508"/>
      <c r="M15" s="508"/>
      <c r="N15" s="508"/>
      <c r="O15" s="508"/>
      <c r="P15" s="508"/>
      <c r="Q15" s="508"/>
      <c r="R15" s="508"/>
      <c r="S15" s="508"/>
      <c r="T15" s="508"/>
      <c r="U15" s="508"/>
      <c r="V15" s="508"/>
      <c r="W15" s="508"/>
      <c r="X15" s="508"/>
      <c r="Y15" s="508"/>
      <c r="Z15" s="508"/>
      <c r="AA15" s="508"/>
      <c r="AB15" s="508"/>
      <c r="AC15" s="508"/>
    </row>
    <row r="16" spans="1:29" x14ac:dyDescent="0.2">
      <c r="A16" s="508"/>
      <c r="B16" s="508"/>
      <c r="C16" s="508"/>
      <c r="D16" s="508"/>
      <c r="E16" s="508"/>
      <c r="F16" s="508"/>
      <c r="G16" s="508"/>
      <c r="H16" s="508"/>
      <c r="I16" s="508"/>
      <c r="J16" s="508"/>
      <c r="K16" s="508"/>
      <c r="L16" s="508"/>
      <c r="M16" s="508"/>
      <c r="N16" s="508"/>
      <c r="O16" s="508"/>
      <c r="P16" s="508"/>
      <c r="Q16" s="508"/>
      <c r="R16" s="508"/>
      <c r="S16" s="508"/>
      <c r="T16" s="508"/>
      <c r="U16" s="508"/>
      <c r="V16" s="508"/>
      <c r="W16" s="508"/>
      <c r="X16" s="508"/>
      <c r="Y16" s="508"/>
      <c r="Z16" s="508"/>
      <c r="AA16" s="508"/>
      <c r="AB16" s="508"/>
      <c r="AC16" s="508"/>
    </row>
    <row r="17" spans="1:29" x14ac:dyDescent="0.2">
      <c r="A17" s="508"/>
      <c r="B17" s="508"/>
      <c r="C17" s="508"/>
      <c r="D17" s="508"/>
      <c r="E17" s="508"/>
      <c r="F17" s="508"/>
      <c r="G17" s="508"/>
      <c r="H17" s="508"/>
      <c r="I17" s="508"/>
      <c r="J17" s="508"/>
      <c r="K17" s="508"/>
      <c r="L17" s="508"/>
      <c r="M17" s="508"/>
      <c r="N17" s="508"/>
      <c r="O17" s="508"/>
      <c r="P17" s="508"/>
      <c r="Q17" s="508"/>
      <c r="R17" s="508"/>
      <c r="S17" s="508"/>
      <c r="T17" s="508"/>
      <c r="U17" s="508"/>
      <c r="V17" s="508"/>
      <c r="W17" s="508"/>
      <c r="X17" s="508"/>
      <c r="Y17" s="508"/>
      <c r="Z17" s="508"/>
      <c r="AA17" s="508"/>
      <c r="AB17" s="508"/>
      <c r="AC17" s="508"/>
    </row>
    <row r="18" spans="1:29" x14ac:dyDescent="0.2">
      <c r="A18" s="508"/>
      <c r="B18" s="508"/>
      <c r="C18" s="508"/>
      <c r="D18" s="508"/>
      <c r="E18" s="508"/>
      <c r="F18" s="508"/>
      <c r="G18" s="508"/>
      <c r="H18" s="508"/>
      <c r="I18" s="508"/>
      <c r="J18" s="508"/>
      <c r="K18" s="508"/>
      <c r="L18" s="508"/>
      <c r="M18" s="508"/>
      <c r="N18" s="508"/>
      <c r="O18" s="508"/>
      <c r="P18" s="508"/>
      <c r="Q18" s="508"/>
      <c r="R18" s="508"/>
      <c r="S18" s="508"/>
      <c r="T18" s="508"/>
      <c r="U18" s="508"/>
      <c r="V18" s="508"/>
      <c r="W18" s="508"/>
      <c r="X18" s="508"/>
      <c r="Y18" s="508"/>
      <c r="Z18" s="508"/>
      <c r="AA18" s="508"/>
      <c r="AB18" s="508"/>
      <c r="AC18" s="508"/>
    </row>
    <row r="19" spans="1:29" x14ac:dyDescent="0.2">
      <c r="A19" s="508"/>
      <c r="B19" s="508"/>
      <c r="C19" s="508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508"/>
    </row>
    <row r="20" spans="1:29" x14ac:dyDescent="0.2">
      <c r="A20" s="508"/>
      <c r="B20" s="508"/>
      <c r="C20" s="508"/>
      <c r="D20" s="508"/>
      <c r="E20" s="508"/>
      <c r="F20" s="508"/>
      <c r="G20" s="508"/>
      <c r="H20" s="508"/>
      <c r="I20" s="508"/>
      <c r="J20" s="508"/>
      <c r="K20" s="508"/>
      <c r="L20" s="508"/>
      <c r="M20" s="508"/>
      <c r="N20" s="508"/>
      <c r="O20" s="508"/>
      <c r="P20" s="508"/>
      <c r="Q20" s="508"/>
      <c r="R20" s="508"/>
      <c r="S20" s="508"/>
      <c r="T20" s="508"/>
      <c r="U20" s="508"/>
      <c r="V20" s="508"/>
      <c r="W20" s="508"/>
      <c r="X20" s="508"/>
      <c r="Y20" s="508"/>
      <c r="Z20" s="508"/>
      <c r="AA20" s="508"/>
      <c r="AB20" s="508"/>
      <c r="AC20" s="508"/>
    </row>
    <row r="21" spans="1:29" x14ac:dyDescent="0.2">
      <c r="A21" s="508"/>
      <c r="B21" s="508"/>
      <c r="C21" s="508"/>
      <c r="D21" s="508"/>
      <c r="E21" s="508"/>
      <c r="F21" s="508"/>
      <c r="G21" s="508"/>
      <c r="H21" s="508"/>
      <c r="I21" s="508"/>
      <c r="J21" s="508"/>
      <c r="K21" s="508"/>
      <c r="L21" s="508"/>
      <c r="M21" s="508"/>
      <c r="N21" s="508"/>
      <c r="O21" s="508"/>
      <c r="P21" s="508"/>
      <c r="Q21" s="508"/>
      <c r="R21" s="508"/>
      <c r="S21" s="508"/>
      <c r="T21" s="508"/>
      <c r="U21" s="508"/>
      <c r="V21" s="508"/>
      <c r="W21" s="508"/>
      <c r="X21" s="508"/>
      <c r="Y21" s="508"/>
      <c r="Z21" s="508"/>
      <c r="AA21" s="508"/>
      <c r="AB21" s="508"/>
      <c r="AC21" s="508"/>
    </row>
    <row r="22" spans="1:29" x14ac:dyDescent="0.2">
      <c r="A22" s="508"/>
      <c r="B22" s="508"/>
      <c r="C22" s="508"/>
      <c r="D22" s="508"/>
      <c r="E22" s="508"/>
      <c r="F22" s="508"/>
      <c r="G22" s="508"/>
      <c r="H22" s="508"/>
      <c r="I22" s="508"/>
      <c r="J22" s="508"/>
      <c r="K22" s="508"/>
      <c r="L22" s="508"/>
      <c r="M22" s="508"/>
      <c r="N22" s="508"/>
      <c r="O22" s="508"/>
      <c r="P22" s="508"/>
      <c r="Q22" s="508"/>
      <c r="R22" s="508"/>
      <c r="S22" s="508"/>
      <c r="T22" s="508"/>
      <c r="U22" s="508"/>
      <c r="V22" s="508"/>
      <c r="W22" s="508"/>
      <c r="X22" s="508"/>
      <c r="Y22" s="508"/>
      <c r="Z22" s="508"/>
      <c r="AA22" s="508"/>
      <c r="AB22" s="508"/>
      <c r="AC22" s="508"/>
    </row>
    <row r="23" spans="1:29" x14ac:dyDescent="0.2">
      <c r="A23" s="508"/>
      <c r="B23" s="508"/>
      <c r="C23" s="508"/>
      <c r="D23" s="508"/>
      <c r="E23" s="508"/>
      <c r="F23" s="508"/>
      <c r="G23" s="697"/>
      <c r="H23" s="508"/>
      <c r="I23" s="508"/>
      <c r="J23" s="508"/>
      <c r="K23" s="508"/>
      <c r="L23" s="508"/>
      <c r="M23" s="508"/>
      <c r="N23" s="508"/>
      <c r="O23" s="508"/>
      <c r="P23" s="508"/>
      <c r="Q23" s="508"/>
      <c r="R23" s="508"/>
      <c r="S23" s="508"/>
      <c r="T23" s="508"/>
      <c r="U23" s="508"/>
      <c r="V23" s="508"/>
      <c r="W23" s="508"/>
      <c r="X23" s="508"/>
      <c r="Y23" s="508"/>
      <c r="Z23" s="508"/>
      <c r="AA23" s="508"/>
      <c r="AB23" s="508"/>
      <c r="AC23" s="508"/>
    </row>
    <row r="24" spans="1:29" x14ac:dyDescent="0.2">
      <c r="A24" s="508"/>
      <c r="B24" s="508"/>
      <c r="C24" s="508"/>
      <c r="D24" s="508"/>
      <c r="E24" s="508"/>
      <c r="F24" s="508"/>
      <c r="G24" s="508"/>
      <c r="H24" s="508"/>
      <c r="I24" s="508"/>
      <c r="J24" s="508"/>
      <c r="K24" s="508"/>
      <c r="L24" s="508"/>
      <c r="M24" s="508"/>
      <c r="N24" s="508"/>
      <c r="O24" s="508"/>
      <c r="P24" s="508"/>
      <c r="Q24" s="508"/>
      <c r="R24" s="508"/>
      <c r="S24" s="508"/>
      <c r="T24" s="508"/>
      <c r="U24" s="508"/>
      <c r="V24" s="508"/>
      <c r="W24" s="508"/>
      <c r="X24" s="508"/>
      <c r="Y24" s="508"/>
      <c r="Z24" s="508"/>
      <c r="AA24" s="508"/>
      <c r="AB24" s="508"/>
      <c r="AC24" s="508"/>
    </row>
    <row r="25" spans="1:29" x14ac:dyDescent="0.2">
      <c r="A25" s="508"/>
      <c r="B25" s="508"/>
      <c r="C25" s="508"/>
      <c r="D25" s="508"/>
      <c r="E25" s="508"/>
      <c r="F25" s="508"/>
      <c r="G25" s="508"/>
      <c r="H25" s="508"/>
      <c r="I25" s="508"/>
      <c r="J25" s="508"/>
      <c r="K25" s="508"/>
      <c r="L25" s="508"/>
      <c r="M25" s="508"/>
      <c r="N25" s="508"/>
      <c r="O25" s="508"/>
      <c r="P25" s="508"/>
      <c r="Q25" s="508"/>
      <c r="R25" s="508"/>
      <c r="S25" s="508"/>
      <c r="T25" s="508"/>
      <c r="U25" s="508"/>
      <c r="V25" s="508"/>
      <c r="W25" s="508"/>
      <c r="X25" s="508"/>
      <c r="Y25" s="508"/>
      <c r="Z25" s="508"/>
      <c r="AA25" s="508"/>
      <c r="AB25" s="508"/>
      <c r="AC25" s="508"/>
    </row>
    <row r="26" spans="1:29" x14ac:dyDescent="0.2">
      <c r="A26" s="508"/>
      <c r="B26" s="508"/>
      <c r="C26" s="508"/>
      <c r="D26" s="508"/>
      <c r="E26" s="508"/>
      <c r="F26" s="508"/>
      <c r="G26" s="508"/>
      <c r="H26" s="508"/>
      <c r="I26" s="508"/>
      <c r="J26" s="508"/>
      <c r="K26" s="508"/>
      <c r="L26" s="508"/>
      <c r="M26" s="508"/>
      <c r="N26" s="508"/>
      <c r="O26" s="508"/>
      <c r="P26" s="508"/>
      <c r="Q26" s="508"/>
      <c r="R26" s="508"/>
      <c r="S26" s="508"/>
      <c r="T26" s="508"/>
      <c r="U26" s="508"/>
      <c r="V26" s="508"/>
      <c r="W26" s="508"/>
      <c r="X26" s="508"/>
      <c r="Y26" s="508"/>
      <c r="Z26" s="508"/>
      <c r="AA26" s="508"/>
      <c r="AB26" s="508"/>
      <c r="AC26" s="508"/>
    </row>
    <row r="27" spans="1:29" x14ac:dyDescent="0.2">
      <c r="A27" s="508"/>
      <c r="B27" s="508"/>
      <c r="C27" s="508"/>
      <c r="D27" s="508"/>
      <c r="E27" s="508"/>
      <c r="F27" s="508"/>
      <c r="G27" s="508"/>
      <c r="H27" s="508"/>
      <c r="I27" s="508"/>
      <c r="J27" s="508"/>
      <c r="K27" s="508"/>
      <c r="L27" s="508"/>
      <c r="M27" s="508"/>
      <c r="N27" s="508"/>
      <c r="O27" s="508"/>
      <c r="P27" s="508"/>
      <c r="Q27" s="508"/>
      <c r="R27" s="508"/>
      <c r="S27" s="508"/>
      <c r="T27" s="508"/>
      <c r="U27" s="508"/>
      <c r="V27" s="508"/>
      <c r="W27" s="508"/>
      <c r="X27" s="508"/>
      <c r="Y27" s="508"/>
      <c r="Z27" s="508"/>
      <c r="AA27" s="508"/>
      <c r="AB27" s="508"/>
      <c r="AC27" s="508"/>
    </row>
    <row r="28" spans="1:29" x14ac:dyDescent="0.2">
      <c r="A28" s="508"/>
      <c r="B28" s="508"/>
      <c r="C28" s="508"/>
      <c r="D28" s="508"/>
      <c r="E28" s="508"/>
      <c r="F28" s="508"/>
      <c r="G28" s="508"/>
      <c r="H28" s="508"/>
      <c r="I28" s="508"/>
      <c r="J28" s="508"/>
      <c r="K28" s="508"/>
      <c r="L28" s="508"/>
      <c r="M28" s="508"/>
      <c r="N28" s="508"/>
      <c r="O28" s="508"/>
      <c r="P28" s="508"/>
      <c r="Q28" s="508"/>
      <c r="R28" s="508"/>
      <c r="S28" s="508"/>
      <c r="T28" s="508"/>
      <c r="U28" s="508"/>
      <c r="V28" s="508"/>
      <c r="W28" s="508"/>
      <c r="X28" s="508"/>
      <c r="Y28" s="508"/>
      <c r="Z28" s="508"/>
      <c r="AA28" s="508"/>
      <c r="AB28" s="508"/>
      <c r="AC28" s="508"/>
    </row>
    <row r="29" spans="1:29" x14ac:dyDescent="0.2">
      <c r="A29" s="508"/>
      <c r="B29" s="508"/>
      <c r="C29" s="508"/>
      <c r="D29" s="508"/>
      <c r="E29" s="508"/>
      <c r="F29" s="508"/>
      <c r="G29" s="508"/>
      <c r="H29" s="508"/>
      <c r="I29" s="508"/>
      <c r="J29" s="508"/>
      <c r="K29" s="508"/>
      <c r="L29" s="508"/>
      <c r="M29" s="508"/>
      <c r="N29" s="508"/>
      <c r="O29" s="508"/>
      <c r="P29" s="508"/>
      <c r="Q29" s="508"/>
      <c r="R29" s="508"/>
      <c r="S29" s="508"/>
      <c r="T29" s="508"/>
      <c r="U29" s="508"/>
      <c r="V29" s="508"/>
      <c r="W29" s="508"/>
      <c r="X29" s="508"/>
      <c r="Y29" s="508"/>
      <c r="Z29" s="508"/>
      <c r="AA29" s="508"/>
      <c r="AB29" s="508"/>
      <c r="AC29" s="508"/>
    </row>
    <row r="30" spans="1:29" x14ac:dyDescent="0.2">
      <c r="A30" s="508"/>
      <c r="B30" s="508"/>
      <c r="C30" s="508"/>
      <c r="D30" s="508"/>
      <c r="E30" s="508"/>
      <c r="F30" s="508"/>
      <c r="G30" s="508"/>
      <c r="H30" s="508"/>
      <c r="I30" s="508"/>
      <c r="J30" s="508"/>
      <c r="K30" s="508"/>
      <c r="L30" s="508"/>
      <c r="M30" s="508"/>
      <c r="N30" s="508"/>
      <c r="O30" s="508"/>
      <c r="P30" s="508"/>
      <c r="Q30" s="508"/>
      <c r="R30" s="508"/>
      <c r="S30" s="508"/>
      <c r="T30" s="508"/>
      <c r="U30" s="508"/>
      <c r="V30" s="508"/>
      <c r="W30" s="508"/>
      <c r="X30" s="508"/>
      <c r="Y30" s="508"/>
      <c r="Z30" s="508"/>
      <c r="AA30" s="508"/>
      <c r="AB30" s="508"/>
      <c r="AC30" s="508"/>
    </row>
    <row r="31" spans="1:29" x14ac:dyDescent="0.2">
      <c r="A31" s="508"/>
      <c r="B31" s="508"/>
      <c r="C31" s="508"/>
      <c r="D31" s="508"/>
      <c r="E31" s="508"/>
      <c r="F31" s="508"/>
      <c r="G31" s="508"/>
      <c r="H31" s="508"/>
      <c r="I31" s="508"/>
      <c r="J31" s="508"/>
      <c r="K31" s="508"/>
      <c r="L31" s="508"/>
      <c r="M31" s="508"/>
      <c r="N31" s="508"/>
      <c r="O31" s="508"/>
      <c r="P31" s="508"/>
      <c r="Q31" s="508"/>
      <c r="R31" s="508"/>
      <c r="S31" s="508"/>
      <c r="T31" s="508"/>
      <c r="U31" s="508"/>
      <c r="V31" s="508"/>
      <c r="W31" s="508"/>
      <c r="X31" s="508"/>
      <c r="Y31" s="508"/>
      <c r="Z31" s="508"/>
      <c r="AA31" s="508"/>
      <c r="AB31" s="508"/>
      <c r="AC31" s="508"/>
    </row>
    <row r="32" spans="1:29" x14ac:dyDescent="0.2">
      <c r="A32" s="508"/>
      <c r="B32" s="508"/>
      <c r="C32" s="508"/>
      <c r="D32" s="508"/>
      <c r="E32" s="508"/>
      <c r="F32" s="508"/>
      <c r="G32" s="508"/>
      <c r="H32" s="508"/>
      <c r="I32" s="508"/>
      <c r="J32" s="508"/>
      <c r="K32" s="508"/>
      <c r="L32" s="508"/>
      <c r="M32" s="508"/>
      <c r="N32" s="508"/>
      <c r="O32" s="508"/>
      <c r="P32" s="508"/>
      <c r="Q32" s="508"/>
      <c r="R32" s="508"/>
      <c r="S32" s="508"/>
      <c r="T32" s="508"/>
      <c r="U32" s="508"/>
      <c r="V32" s="508"/>
      <c r="W32" s="508"/>
      <c r="X32" s="508"/>
      <c r="Y32" s="508"/>
      <c r="Z32" s="508"/>
      <c r="AA32" s="508"/>
      <c r="AB32" s="508"/>
      <c r="AC32" s="508"/>
    </row>
    <row r="33" spans="1:29" x14ac:dyDescent="0.2">
      <c r="A33" s="508"/>
      <c r="B33" s="508"/>
      <c r="C33" s="508"/>
      <c r="D33" s="508"/>
      <c r="E33" s="508"/>
      <c r="F33" s="508"/>
      <c r="G33" s="508"/>
      <c r="H33" s="508"/>
      <c r="I33" s="508"/>
      <c r="J33" s="508"/>
      <c r="K33" s="508"/>
      <c r="L33" s="508"/>
      <c r="M33" s="508"/>
      <c r="N33" s="508"/>
      <c r="O33" s="508"/>
      <c r="P33" s="508"/>
      <c r="Q33" s="508"/>
      <c r="R33" s="508"/>
      <c r="S33" s="508"/>
      <c r="T33" s="508"/>
      <c r="U33" s="508"/>
      <c r="V33" s="508"/>
      <c r="W33" s="508"/>
      <c r="X33" s="508"/>
      <c r="Y33" s="508"/>
      <c r="Z33" s="508"/>
      <c r="AA33" s="508"/>
      <c r="AB33" s="508"/>
      <c r="AC33" s="508"/>
    </row>
    <row r="34" spans="1:29" x14ac:dyDescent="0.2">
      <c r="A34" s="508"/>
      <c r="B34" s="508"/>
      <c r="C34" s="508"/>
      <c r="D34" s="508"/>
      <c r="E34" s="508"/>
      <c r="F34" s="508"/>
      <c r="G34" s="508"/>
      <c r="H34" s="508"/>
      <c r="I34" s="508"/>
      <c r="J34" s="508"/>
      <c r="K34" s="508"/>
      <c r="L34" s="508"/>
      <c r="M34" s="508"/>
      <c r="N34" s="508"/>
      <c r="O34" s="508"/>
      <c r="P34" s="508"/>
      <c r="Q34" s="508"/>
      <c r="R34" s="508"/>
      <c r="S34" s="508"/>
      <c r="T34" s="508"/>
      <c r="U34" s="508"/>
      <c r="V34" s="508"/>
      <c r="W34" s="508"/>
      <c r="X34" s="508"/>
      <c r="Y34" s="508"/>
      <c r="Z34" s="508"/>
      <c r="AA34" s="508"/>
      <c r="AB34" s="508"/>
      <c r="AC34" s="508"/>
    </row>
    <row r="35" spans="1:29" x14ac:dyDescent="0.2">
      <c r="A35" s="508"/>
      <c r="B35" s="508"/>
      <c r="C35" s="508"/>
      <c r="D35" s="508"/>
      <c r="E35" s="508"/>
      <c r="F35" s="508"/>
      <c r="G35" s="508"/>
      <c r="H35" s="508"/>
      <c r="I35" s="508"/>
      <c r="J35" s="508"/>
      <c r="K35" s="508"/>
      <c r="L35" s="508"/>
      <c r="M35" s="508"/>
      <c r="N35" s="508"/>
      <c r="O35" s="508"/>
      <c r="P35" s="508"/>
      <c r="Q35" s="508"/>
      <c r="R35" s="508"/>
      <c r="S35" s="508"/>
      <c r="T35" s="508"/>
      <c r="U35" s="508"/>
      <c r="V35" s="508"/>
      <c r="W35" s="508"/>
      <c r="X35" s="508"/>
      <c r="Y35" s="508"/>
      <c r="Z35" s="508"/>
      <c r="AA35" s="508"/>
      <c r="AB35" s="508"/>
      <c r="AC35" s="508"/>
    </row>
    <row r="36" spans="1:29" x14ac:dyDescent="0.2">
      <c r="A36" s="508"/>
      <c r="B36" s="508"/>
      <c r="C36" s="508"/>
      <c r="D36" s="508"/>
      <c r="E36" s="508"/>
      <c r="F36" s="508"/>
      <c r="G36" s="508"/>
      <c r="H36" s="508"/>
      <c r="I36" s="508"/>
      <c r="J36" s="508"/>
      <c r="K36" s="508"/>
      <c r="L36" s="508"/>
      <c r="M36" s="508"/>
      <c r="N36" s="508"/>
      <c r="O36" s="508"/>
      <c r="P36" s="508"/>
      <c r="Q36" s="508"/>
      <c r="R36" s="508"/>
      <c r="S36" s="508"/>
      <c r="T36" s="508"/>
      <c r="U36" s="508"/>
      <c r="V36" s="508"/>
      <c r="W36" s="508"/>
      <c r="X36" s="508"/>
      <c r="Y36" s="508"/>
      <c r="Z36" s="508"/>
      <c r="AA36" s="508"/>
      <c r="AB36" s="508"/>
      <c r="AC36" s="508"/>
    </row>
    <row r="37" spans="1:29" x14ac:dyDescent="0.2">
      <c r="A37" s="508"/>
      <c r="B37" s="508"/>
      <c r="C37" s="508"/>
      <c r="D37" s="508"/>
      <c r="E37" s="508"/>
      <c r="F37" s="508"/>
      <c r="G37" s="508"/>
      <c r="H37" s="508"/>
      <c r="I37" s="508"/>
      <c r="J37" s="508"/>
      <c r="K37" s="508"/>
      <c r="L37" s="508"/>
      <c r="M37" s="508"/>
      <c r="N37" s="508"/>
      <c r="O37" s="508"/>
      <c r="P37" s="508"/>
      <c r="Q37" s="508"/>
      <c r="R37" s="508"/>
      <c r="S37" s="508"/>
      <c r="T37" s="508"/>
      <c r="U37" s="508"/>
      <c r="V37" s="508"/>
      <c r="W37" s="508"/>
      <c r="X37" s="508"/>
      <c r="Y37" s="508"/>
      <c r="Z37" s="508"/>
      <c r="AA37" s="508"/>
      <c r="AB37" s="508"/>
      <c r="AC37" s="508"/>
    </row>
    <row r="38" spans="1:29" x14ac:dyDescent="0.2">
      <c r="A38" s="508"/>
      <c r="B38" s="508"/>
      <c r="C38" s="508"/>
      <c r="D38" s="508"/>
      <c r="E38" s="508"/>
      <c r="F38" s="508"/>
      <c r="G38" s="508"/>
      <c r="H38" s="508"/>
      <c r="I38" s="508"/>
      <c r="J38" s="508"/>
      <c r="K38" s="508"/>
      <c r="L38" s="508"/>
      <c r="M38" s="508"/>
      <c r="N38" s="508"/>
      <c r="O38" s="508"/>
      <c r="P38" s="508"/>
      <c r="Q38" s="508"/>
      <c r="R38" s="508"/>
      <c r="S38" s="508"/>
      <c r="T38" s="508"/>
      <c r="U38" s="508"/>
      <c r="V38" s="508"/>
      <c r="W38" s="508"/>
      <c r="X38" s="508"/>
      <c r="Y38" s="508"/>
      <c r="Z38" s="508"/>
      <c r="AA38" s="508"/>
      <c r="AB38" s="508"/>
      <c r="AC38" s="508"/>
    </row>
    <row r="39" spans="1:29" x14ac:dyDescent="0.2">
      <c r="A39" s="508"/>
      <c r="B39" s="508"/>
      <c r="C39" s="508"/>
      <c r="D39" s="508"/>
      <c r="E39" s="508"/>
      <c r="F39" s="508"/>
      <c r="G39" s="508"/>
      <c r="H39" s="508"/>
      <c r="I39" s="508"/>
      <c r="J39" s="508"/>
      <c r="K39" s="508"/>
      <c r="L39" s="508"/>
      <c r="M39" s="508"/>
      <c r="N39" s="508"/>
      <c r="O39" s="508"/>
      <c r="P39" s="508"/>
      <c r="Q39" s="508"/>
      <c r="R39" s="508"/>
      <c r="S39" s="508"/>
      <c r="T39" s="508"/>
      <c r="U39" s="508"/>
      <c r="V39" s="508"/>
      <c r="W39" s="508"/>
      <c r="X39" s="508"/>
      <c r="Y39" s="508"/>
      <c r="Z39" s="508"/>
      <c r="AA39" s="508"/>
      <c r="AB39" s="508"/>
      <c r="AC39" s="508"/>
    </row>
    <row r="40" spans="1:29" x14ac:dyDescent="0.2">
      <c r="A40" s="508"/>
      <c r="B40" s="508"/>
      <c r="C40" s="508"/>
      <c r="D40" s="508"/>
      <c r="E40" s="508"/>
      <c r="F40" s="508"/>
      <c r="G40" s="508"/>
      <c r="H40" s="508"/>
      <c r="I40" s="508"/>
      <c r="J40" s="508"/>
      <c r="K40" s="508"/>
      <c r="L40" s="508"/>
      <c r="M40" s="508"/>
      <c r="N40" s="508"/>
      <c r="O40" s="508"/>
      <c r="P40" s="508"/>
      <c r="Q40" s="508"/>
      <c r="R40" s="508"/>
      <c r="S40" s="508"/>
      <c r="T40" s="508"/>
      <c r="U40" s="508"/>
      <c r="V40" s="508"/>
      <c r="W40" s="508"/>
      <c r="X40" s="508"/>
      <c r="Y40" s="508"/>
      <c r="Z40" s="508"/>
      <c r="AA40" s="508"/>
      <c r="AB40" s="508"/>
      <c r="AC40" s="508"/>
    </row>
    <row r="41" spans="1:29" x14ac:dyDescent="0.2">
      <c r="A41" s="508"/>
      <c r="B41" s="508"/>
      <c r="C41" s="508"/>
      <c r="D41" s="508"/>
      <c r="E41" s="508"/>
      <c r="F41" s="508"/>
      <c r="G41" s="508"/>
      <c r="H41" s="508"/>
      <c r="I41" s="508"/>
      <c r="J41" s="508"/>
      <c r="K41" s="508"/>
      <c r="L41" s="508"/>
      <c r="M41" s="508"/>
      <c r="N41" s="508"/>
      <c r="O41" s="508"/>
      <c r="P41" s="508"/>
      <c r="Q41" s="508"/>
      <c r="R41" s="508"/>
      <c r="S41" s="508"/>
      <c r="T41" s="508"/>
      <c r="U41" s="508"/>
      <c r="V41" s="508"/>
      <c r="W41" s="508"/>
      <c r="X41" s="508"/>
      <c r="Y41" s="508"/>
      <c r="Z41" s="508"/>
      <c r="AA41" s="508"/>
      <c r="AB41" s="508"/>
      <c r="AC41" s="508"/>
    </row>
    <row r="42" spans="1:29" x14ac:dyDescent="0.2">
      <c r="A42" s="508"/>
      <c r="B42" s="508"/>
      <c r="C42" s="508"/>
      <c r="D42" s="508"/>
      <c r="E42" s="508"/>
      <c r="F42" s="508"/>
      <c r="G42" s="508"/>
      <c r="H42" s="508"/>
      <c r="I42" s="508"/>
      <c r="J42" s="508"/>
      <c r="K42" s="508"/>
      <c r="L42" s="508"/>
      <c r="M42" s="508"/>
      <c r="N42" s="508"/>
      <c r="O42" s="508"/>
      <c r="P42" s="508"/>
      <c r="Q42" s="508"/>
      <c r="R42" s="508"/>
      <c r="S42" s="508"/>
      <c r="T42" s="508"/>
      <c r="U42" s="508"/>
      <c r="V42" s="508"/>
      <c r="W42" s="508"/>
      <c r="X42" s="508"/>
      <c r="Y42" s="508"/>
      <c r="Z42" s="508"/>
      <c r="AA42" s="508"/>
      <c r="AB42" s="508"/>
      <c r="AC42" s="508"/>
    </row>
    <row r="43" spans="1:29" x14ac:dyDescent="0.2">
      <c r="A43" s="508"/>
      <c r="B43" s="508"/>
      <c r="C43" s="508"/>
      <c r="D43" s="508"/>
      <c r="E43" s="508"/>
      <c r="F43" s="508"/>
      <c r="G43" s="508"/>
      <c r="H43" s="508"/>
      <c r="I43" s="508"/>
      <c r="J43" s="508"/>
      <c r="K43" s="508"/>
      <c r="L43" s="508"/>
      <c r="M43" s="508"/>
      <c r="N43" s="508"/>
      <c r="O43" s="508"/>
      <c r="P43" s="508"/>
      <c r="Q43" s="508"/>
      <c r="R43" s="508"/>
      <c r="S43" s="508"/>
      <c r="T43" s="508"/>
      <c r="U43" s="508"/>
      <c r="V43" s="508"/>
      <c r="W43" s="508"/>
      <c r="X43" s="508"/>
      <c r="Y43" s="508"/>
      <c r="Z43" s="508"/>
      <c r="AA43" s="508"/>
      <c r="AB43" s="508"/>
      <c r="AC43" s="508"/>
    </row>
    <row r="44" spans="1:29" x14ac:dyDescent="0.2">
      <c r="A44" s="508"/>
      <c r="B44" s="508"/>
      <c r="C44" s="508"/>
      <c r="D44" s="508"/>
      <c r="E44" s="508"/>
      <c r="F44" s="508"/>
      <c r="G44" s="508"/>
      <c r="H44" s="508"/>
      <c r="I44" s="508"/>
      <c r="J44" s="508"/>
      <c r="K44" s="508"/>
      <c r="L44" s="508"/>
      <c r="M44" s="508"/>
      <c r="N44" s="508"/>
      <c r="O44" s="508"/>
      <c r="P44" s="508"/>
      <c r="Q44" s="508"/>
      <c r="R44" s="508"/>
      <c r="S44" s="508"/>
      <c r="T44" s="508"/>
      <c r="U44" s="508"/>
      <c r="V44" s="508"/>
      <c r="W44" s="508"/>
      <c r="X44" s="508"/>
      <c r="Y44" s="508"/>
      <c r="Z44" s="508"/>
      <c r="AA44" s="508"/>
      <c r="AB44" s="508"/>
      <c r="AC44" s="508"/>
    </row>
    <row r="45" spans="1:29" x14ac:dyDescent="0.2">
      <c r="A45" s="508"/>
      <c r="B45" s="508"/>
      <c r="C45" s="508"/>
      <c r="D45" s="508"/>
      <c r="E45" s="508"/>
      <c r="F45" s="508"/>
      <c r="G45" s="508"/>
      <c r="H45" s="508"/>
      <c r="I45" s="508"/>
      <c r="J45" s="508"/>
      <c r="K45" s="508"/>
      <c r="L45" s="508"/>
      <c r="M45" s="508"/>
      <c r="N45" s="508"/>
      <c r="O45" s="508"/>
      <c r="P45" s="508"/>
      <c r="Q45" s="508"/>
      <c r="R45" s="508"/>
      <c r="S45" s="508"/>
      <c r="T45" s="508"/>
      <c r="U45" s="508"/>
      <c r="V45" s="508"/>
      <c r="W45" s="508"/>
      <c r="X45" s="508"/>
      <c r="Y45" s="508"/>
      <c r="Z45" s="508"/>
      <c r="AA45" s="508"/>
      <c r="AB45" s="508"/>
      <c r="AC45" s="508"/>
    </row>
    <row r="46" spans="1:29" x14ac:dyDescent="0.2">
      <c r="A46" s="508"/>
      <c r="B46" s="508"/>
      <c r="C46" s="508"/>
      <c r="D46" s="508"/>
      <c r="E46" s="508"/>
      <c r="F46" s="508"/>
      <c r="G46" s="508"/>
      <c r="H46" s="508"/>
      <c r="I46" s="508"/>
      <c r="J46" s="508"/>
      <c r="K46" s="508"/>
      <c r="L46" s="508"/>
      <c r="M46" s="508"/>
      <c r="N46" s="508"/>
      <c r="O46" s="508"/>
      <c r="P46" s="508"/>
      <c r="Q46" s="508"/>
      <c r="R46" s="508"/>
      <c r="S46" s="508"/>
      <c r="T46" s="508"/>
      <c r="U46" s="508"/>
      <c r="V46" s="508"/>
      <c r="W46" s="508"/>
      <c r="X46" s="508"/>
      <c r="Y46" s="508"/>
      <c r="Z46" s="508"/>
      <c r="AA46" s="508"/>
      <c r="AB46" s="508"/>
      <c r="AC46" s="508"/>
    </row>
    <row r="47" spans="1:29" x14ac:dyDescent="0.2">
      <c r="A47" s="508"/>
      <c r="B47" s="508"/>
      <c r="C47" s="508"/>
      <c r="D47" s="508"/>
      <c r="E47" s="508"/>
      <c r="F47" s="508"/>
      <c r="G47" s="508"/>
      <c r="H47" s="508"/>
      <c r="I47" s="508"/>
      <c r="J47" s="508"/>
      <c r="K47" s="508"/>
      <c r="L47" s="508"/>
      <c r="M47" s="508"/>
      <c r="N47" s="508"/>
      <c r="O47" s="508"/>
      <c r="P47" s="508"/>
      <c r="Q47" s="508"/>
      <c r="R47" s="508"/>
      <c r="S47" s="508"/>
      <c r="T47" s="508"/>
      <c r="U47" s="508"/>
      <c r="V47" s="508"/>
      <c r="W47" s="508"/>
      <c r="X47" s="508"/>
      <c r="Y47" s="508"/>
      <c r="Z47" s="508"/>
      <c r="AA47" s="508"/>
      <c r="AB47" s="508"/>
      <c r="AC47" s="508"/>
    </row>
    <row r="48" spans="1:29" x14ac:dyDescent="0.2">
      <c r="A48" s="508"/>
      <c r="B48" s="508"/>
      <c r="C48" s="508"/>
      <c r="D48" s="508"/>
      <c r="E48" s="508"/>
      <c r="F48" s="508"/>
      <c r="G48" s="508"/>
      <c r="H48" s="508"/>
      <c r="I48" s="508"/>
      <c r="J48" s="508"/>
      <c r="K48" s="508"/>
      <c r="L48" s="508"/>
      <c r="M48" s="508"/>
      <c r="N48" s="508"/>
      <c r="O48" s="508"/>
      <c r="P48" s="508"/>
      <c r="Q48" s="508"/>
      <c r="R48" s="508"/>
      <c r="S48" s="508"/>
      <c r="T48" s="508"/>
      <c r="U48" s="508"/>
      <c r="V48" s="508"/>
      <c r="W48" s="508"/>
      <c r="X48" s="508"/>
      <c r="Y48" s="508"/>
      <c r="Z48" s="508"/>
      <c r="AA48" s="508"/>
      <c r="AB48" s="508"/>
      <c r="AC48" s="508"/>
    </row>
    <row r="49" spans="1:29" x14ac:dyDescent="0.2">
      <c r="A49" s="508"/>
      <c r="B49" s="508"/>
      <c r="C49" s="508"/>
      <c r="D49" s="508"/>
      <c r="E49" s="508"/>
      <c r="F49" s="508"/>
      <c r="G49" s="508"/>
      <c r="H49" s="508"/>
      <c r="I49" s="508"/>
      <c r="J49" s="508"/>
      <c r="K49" s="508"/>
      <c r="L49" s="508"/>
      <c r="M49" s="508"/>
      <c r="N49" s="508"/>
      <c r="O49" s="508"/>
      <c r="P49" s="508"/>
      <c r="Q49" s="508"/>
      <c r="R49" s="508"/>
      <c r="S49" s="508"/>
      <c r="T49" s="508"/>
      <c r="U49" s="508"/>
      <c r="V49" s="508"/>
      <c r="W49" s="508"/>
      <c r="X49" s="508"/>
      <c r="Y49" s="508"/>
      <c r="Z49" s="508"/>
      <c r="AA49" s="508"/>
      <c r="AB49" s="508"/>
      <c r="AC49" s="508"/>
    </row>
    <row r="50" spans="1:29" x14ac:dyDescent="0.2">
      <c r="A50" s="508"/>
      <c r="B50" s="508"/>
      <c r="C50" s="508"/>
      <c r="D50" s="508"/>
      <c r="E50" s="508"/>
      <c r="F50" s="508"/>
      <c r="G50" s="508"/>
      <c r="H50" s="508"/>
      <c r="I50" s="508"/>
      <c r="J50" s="508"/>
      <c r="K50" s="508"/>
      <c r="L50" s="508"/>
      <c r="M50" s="508"/>
      <c r="N50" s="508"/>
      <c r="O50" s="508"/>
      <c r="P50" s="508"/>
      <c r="Q50" s="508"/>
      <c r="R50" s="508"/>
      <c r="S50" s="508"/>
      <c r="T50" s="508"/>
      <c r="U50" s="508"/>
      <c r="V50" s="508"/>
      <c r="W50" s="508"/>
      <c r="X50" s="508"/>
      <c r="Y50" s="508"/>
      <c r="Z50" s="508"/>
      <c r="AA50" s="508"/>
      <c r="AB50" s="508"/>
      <c r="AC50" s="508"/>
    </row>
    <row r="51" spans="1:29" x14ac:dyDescent="0.2">
      <c r="A51" s="508"/>
      <c r="B51" s="508"/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508"/>
      <c r="AA51" s="508"/>
      <c r="AB51" s="508"/>
      <c r="AC51" s="508"/>
    </row>
    <row r="52" spans="1:29" x14ac:dyDescent="0.2">
      <c r="A52" s="508"/>
      <c r="B52" s="508"/>
      <c r="C52" s="508"/>
      <c r="D52" s="508"/>
      <c r="E52" s="508"/>
      <c r="F52" s="508"/>
      <c r="G52" s="508"/>
      <c r="H52" s="508"/>
      <c r="I52" s="508"/>
      <c r="J52" s="508"/>
      <c r="K52" s="508"/>
      <c r="L52" s="508"/>
      <c r="M52" s="508"/>
      <c r="N52" s="508"/>
      <c r="O52" s="508"/>
      <c r="P52" s="508"/>
      <c r="Q52" s="508"/>
      <c r="R52" s="508"/>
      <c r="S52" s="508"/>
      <c r="T52" s="508"/>
      <c r="U52" s="508"/>
      <c r="V52" s="508"/>
      <c r="W52" s="508"/>
      <c r="X52" s="508"/>
      <c r="Y52" s="508"/>
      <c r="Z52" s="508"/>
      <c r="AA52" s="508"/>
      <c r="AB52" s="508"/>
      <c r="AC52" s="508"/>
    </row>
    <row r="53" spans="1:29" x14ac:dyDescent="0.2">
      <c r="A53" s="508"/>
      <c r="B53" s="508"/>
      <c r="C53" s="508"/>
      <c r="D53" s="508"/>
      <c r="E53" s="508"/>
      <c r="F53" s="508"/>
      <c r="G53" s="508"/>
      <c r="H53" s="508"/>
      <c r="I53" s="508"/>
      <c r="J53" s="508"/>
      <c r="K53" s="508"/>
      <c r="L53" s="508"/>
      <c r="M53" s="508"/>
      <c r="N53" s="508"/>
      <c r="O53" s="508"/>
      <c r="P53" s="508"/>
      <c r="Q53" s="508"/>
      <c r="R53" s="508"/>
      <c r="S53" s="508"/>
      <c r="T53" s="508"/>
      <c r="U53" s="508"/>
      <c r="V53" s="508"/>
      <c r="W53" s="508"/>
      <c r="X53" s="508"/>
      <c r="Y53" s="508"/>
      <c r="Z53" s="508"/>
      <c r="AA53" s="508"/>
      <c r="AB53" s="508"/>
      <c r="AC53" s="508"/>
    </row>
    <row r="54" spans="1:29" x14ac:dyDescent="0.2">
      <c r="A54" s="508"/>
      <c r="B54" s="508"/>
      <c r="C54" s="508"/>
      <c r="D54" s="508"/>
      <c r="E54" s="508"/>
      <c r="F54" s="508"/>
      <c r="G54" s="508"/>
      <c r="H54" s="508"/>
      <c r="I54" s="508"/>
      <c r="J54" s="508"/>
      <c r="K54" s="508"/>
      <c r="L54" s="508"/>
      <c r="M54" s="508"/>
      <c r="N54" s="508"/>
      <c r="O54" s="508"/>
      <c r="P54" s="508"/>
      <c r="Q54" s="508"/>
      <c r="R54" s="508"/>
      <c r="S54" s="508"/>
      <c r="T54" s="508"/>
      <c r="U54" s="508"/>
      <c r="V54" s="508"/>
      <c r="W54" s="508"/>
      <c r="X54" s="508"/>
      <c r="Y54" s="508"/>
      <c r="Z54" s="508"/>
      <c r="AA54" s="508"/>
      <c r="AB54" s="508"/>
      <c r="AC54" s="508"/>
    </row>
    <row r="55" spans="1:29" x14ac:dyDescent="0.2">
      <c r="A55" s="508"/>
      <c r="B55" s="508"/>
      <c r="C55" s="508"/>
      <c r="D55" s="508"/>
      <c r="E55" s="508"/>
      <c r="F55" s="508"/>
      <c r="G55" s="508"/>
      <c r="H55" s="508"/>
      <c r="I55" s="508"/>
      <c r="J55" s="508"/>
      <c r="K55" s="508"/>
      <c r="L55" s="508"/>
      <c r="M55" s="508"/>
      <c r="N55" s="508"/>
      <c r="O55" s="508"/>
      <c r="P55" s="508"/>
      <c r="Q55" s="508"/>
      <c r="R55" s="508"/>
      <c r="S55" s="508"/>
      <c r="T55" s="508"/>
      <c r="U55" s="508"/>
      <c r="V55" s="508"/>
      <c r="W55" s="508"/>
      <c r="X55" s="508"/>
      <c r="Y55" s="508"/>
      <c r="Z55" s="508"/>
      <c r="AA55" s="508"/>
      <c r="AB55" s="508"/>
      <c r="AC55" s="508"/>
    </row>
    <row r="56" spans="1:29" x14ac:dyDescent="0.2">
      <c r="A56" s="508"/>
      <c r="B56" s="508"/>
      <c r="C56" s="508"/>
      <c r="D56" s="508"/>
      <c r="E56" s="508"/>
      <c r="F56" s="508"/>
      <c r="G56" s="508"/>
      <c r="H56" s="508"/>
      <c r="I56" s="508"/>
      <c r="J56" s="508"/>
      <c r="K56" s="508"/>
      <c r="L56" s="508"/>
      <c r="M56" s="508"/>
      <c r="N56" s="508"/>
      <c r="O56" s="508"/>
      <c r="P56" s="508"/>
      <c r="Q56" s="508"/>
      <c r="R56" s="508"/>
      <c r="S56" s="508"/>
      <c r="T56" s="508"/>
      <c r="U56" s="508"/>
      <c r="V56" s="508"/>
      <c r="W56" s="508"/>
      <c r="X56" s="508"/>
      <c r="Y56" s="508"/>
      <c r="Z56" s="508"/>
      <c r="AA56" s="508"/>
      <c r="AB56" s="508"/>
      <c r="AC56" s="508"/>
    </row>
    <row r="57" spans="1:29" x14ac:dyDescent="0.2">
      <c r="A57" s="508"/>
      <c r="B57" s="508"/>
      <c r="C57" s="508"/>
      <c r="D57" s="508"/>
      <c r="E57" s="508"/>
      <c r="F57" s="508"/>
      <c r="G57" s="508"/>
      <c r="H57" s="508"/>
      <c r="I57" s="508"/>
      <c r="J57" s="508"/>
      <c r="K57" s="508"/>
      <c r="L57" s="508"/>
      <c r="M57" s="508"/>
      <c r="N57" s="508"/>
      <c r="O57" s="508"/>
      <c r="P57" s="508"/>
      <c r="Q57" s="508"/>
      <c r="R57" s="508"/>
      <c r="S57" s="508"/>
      <c r="T57" s="508"/>
      <c r="U57" s="508"/>
      <c r="V57" s="508"/>
      <c r="W57" s="508"/>
      <c r="X57" s="508"/>
      <c r="Y57" s="508"/>
      <c r="Z57" s="508"/>
      <c r="AA57" s="508"/>
      <c r="AB57" s="508"/>
      <c r="AC57" s="508"/>
    </row>
    <row r="58" spans="1:29" x14ac:dyDescent="0.2">
      <c r="A58" s="508"/>
      <c r="B58" s="508"/>
      <c r="C58" s="508"/>
      <c r="D58" s="508"/>
      <c r="E58" s="508"/>
      <c r="F58" s="508"/>
      <c r="G58" s="508"/>
      <c r="H58" s="508"/>
      <c r="I58" s="508"/>
      <c r="J58" s="508"/>
      <c r="K58" s="508"/>
      <c r="L58" s="508"/>
      <c r="M58" s="508"/>
      <c r="N58" s="508"/>
      <c r="O58" s="508"/>
      <c r="P58" s="508"/>
      <c r="Q58" s="508"/>
      <c r="R58" s="508"/>
      <c r="S58" s="508"/>
      <c r="T58" s="508"/>
      <c r="U58" s="508"/>
      <c r="V58" s="508"/>
      <c r="W58" s="508"/>
      <c r="X58" s="508"/>
      <c r="Y58" s="508"/>
      <c r="Z58" s="508"/>
      <c r="AA58" s="508"/>
      <c r="AB58" s="508"/>
      <c r="AC58" s="508"/>
    </row>
    <row r="59" spans="1:29" x14ac:dyDescent="0.2">
      <c r="A59" s="508"/>
      <c r="B59" s="508"/>
      <c r="C59" s="508"/>
      <c r="D59" s="508"/>
      <c r="E59" s="508"/>
      <c r="F59" s="508"/>
      <c r="G59" s="508"/>
      <c r="H59" s="508"/>
      <c r="I59" s="508"/>
      <c r="J59" s="508"/>
      <c r="K59" s="508"/>
      <c r="L59" s="508"/>
      <c r="M59" s="508"/>
      <c r="N59" s="508"/>
      <c r="O59" s="508"/>
      <c r="P59" s="508"/>
      <c r="Q59" s="508"/>
      <c r="R59" s="508"/>
      <c r="S59" s="508"/>
      <c r="T59" s="508"/>
      <c r="U59" s="508"/>
      <c r="V59" s="508"/>
      <c r="W59" s="508"/>
      <c r="X59" s="508"/>
      <c r="Y59" s="508"/>
      <c r="Z59" s="508"/>
      <c r="AA59" s="508"/>
      <c r="AB59" s="508"/>
      <c r="AC59" s="508"/>
    </row>
    <row r="60" spans="1:29" x14ac:dyDescent="0.2">
      <c r="A60" s="508"/>
      <c r="B60" s="508"/>
      <c r="C60" s="508"/>
      <c r="D60" s="508"/>
      <c r="E60" s="508"/>
      <c r="F60" s="508"/>
      <c r="G60" s="508"/>
      <c r="H60" s="508"/>
      <c r="I60" s="508"/>
      <c r="J60" s="508"/>
      <c r="K60" s="508"/>
      <c r="L60" s="508"/>
      <c r="M60" s="508"/>
      <c r="N60" s="508"/>
      <c r="O60" s="508"/>
      <c r="P60" s="508"/>
      <c r="Q60" s="508"/>
      <c r="R60" s="508"/>
      <c r="S60" s="508"/>
      <c r="T60" s="508"/>
      <c r="U60" s="508"/>
      <c r="V60" s="508"/>
      <c r="W60" s="508"/>
      <c r="X60" s="508"/>
      <c r="Y60" s="508"/>
      <c r="Z60" s="508"/>
      <c r="AA60" s="508"/>
      <c r="AB60" s="508"/>
      <c r="AC60" s="508"/>
    </row>
    <row r="61" spans="1:29" x14ac:dyDescent="0.2">
      <c r="A61" s="508"/>
      <c r="B61" s="508"/>
      <c r="C61" s="508"/>
      <c r="D61" s="508"/>
      <c r="E61" s="508"/>
      <c r="F61" s="508"/>
      <c r="G61" s="508"/>
      <c r="H61" s="508"/>
      <c r="I61" s="508"/>
      <c r="J61" s="508"/>
      <c r="K61" s="508"/>
      <c r="L61" s="508"/>
      <c r="M61" s="508"/>
      <c r="N61" s="508"/>
      <c r="O61" s="508"/>
      <c r="P61" s="508"/>
      <c r="Q61" s="508"/>
      <c r="R61" s="508"/>
      <c r="S61" s="508"/>
      <c r="T61" s="508"/>
      <c r="U61" s="508"/>
      <c r="V61" s="508"/>
      <c r="W61" s="508"/>
      <c r="X61" s="508"/>
      <c r="Y61" s="508"/>
      <c r="Z61" s="508"/>
      <c r="AA61" s="508"/>
      <c r="AB61" s="508"/>
      <c r="AC61" s="508"/>
    </row>
    <row r="62" spans="1:29" x14ac:dyDescent="0.2">
      <c r="A62" s="508"/>
      <c r="B62" s="508"/>
      <c r="C62" s="508"/>
      <c r="D62" s="508"/>
      <c r="E62" s="508"/>
      <c r="F62" s="508"/>
      <c r="G62" s="508"/>
      <c r="H62" s="508"/>
      <c r="I62" s="508"/>
      <c r="J62" s="508"/>
      <c r="K62" s="508"/>
      <c r="L62" s="508"/>
      <c r="M62" s="508"/>
      <c r="N62" s="508"/>
      <c r="O62" s="508"/>
      <c r="P62" s="508"/>
      <c r="Q62" s="508"/>
      <c r="R62" s="508"/>
      <c r="S62" s="508"/>
      <c r="T62" s="508"/>
      <c r="U62" s="508"/>
      <c r="V62" s="508"/>
      <c r="W62" s="508"/>
      <c r="X62" s="508"/>
      <c r="Y62" s="508"/>
      <c r="Z62" s="508"/>
      <c r="AA62" s="508"/>
      <c r="AB62" s="508"/>
      <c r="AC62" s="508"/>
    </row>
    <row r="63" spans="1:29" x14ac:dyDescent="0.2">
      <c r="A63" s="508"/>
      <c r="B63" s="508"/>
      <c r="C63" s="508"/>
      <c r="D63" s="508"/>
      <c r="E63" s="508"/>
      <c r="F63" s="508"/>
      <c r="G63" s="508"/>
      <c r="H63" s="508"/>
      <c r="I63" s="508"/>
      <c r="J63" s="508"/>
      <c r="K63" s="508"/>
      <c r="L63" s="508"/>
      <c r="M63" s="508"/>
      <c r="N63" s="508"/>
      <c r="O63" s="508"/>
      <c r="P63" s="508"/>
      <c r="Q63" s="508"/>
      <c r="R63" s="508"/>
      <c r="S63" s="508"/>
      <c r="T63" s="508"/>
      <c r="U63" s="508"/>
      <c r="V63" s="508"/>
      <c r="W63" s="508"/>
      <c r="X63" s="508"/>
      <c r="Y63" s="508"/>
      <c r="Z63" s="508"/>
      <c r="AA63" s="508"/>
      <c r="AB63" s="508"/>
      <c r="AC63" s="508"/>
    </row>
    <row r="64" spans="1:29" x14ac:dyDescent="0.2">
      <c r="A64" s="508"/>
      <c r="B64" s="508"/>
      <c r="C64" s="508"/>
      <c r="D64" s="508"/>
      <c r="E64" s="508"/>
      <c r="F64" s="508"/>
      <c r="G64" s="508"/>
      <c r="H64" s="508"/>
      <c r="I64" s="508"/>
      <c r="J64" s="508"/>
      <c r="K64" s="508"/>
      <c r="L64" s="508"/>
      <c r="M64" s="508"/>
      <c r="N64" s="508"/>
      <c r="O64" s="508"/>
      <c r="P64" s="508"/>
      <c r="Q64" s="508"/>
      <c r="R64" s="508"/>
      <c r="S64" s="508"/>
      <c r="T64" s="508"/>
      <c r="U64" s="508"/>
      <c r="V64" s="508"/>
      <c r="W64" s="508"/>
      <c r="X64" s="508"/>
      <c r="Y64" s="508"/>
      <c r="Z64" s="508"/>
      <c r="AA64" s="508"/>
      <c r="AB64" s="508"/>
      <c r="AC64" s="508"/>
    </row>
    <row r="65" spans="1:29" x14ac:dyDescent="0.2">
      <c r="A65" s="508"/>
      <c r="B65" s="508"/>
      <c r="C65" s="508"/>
      <c r="D65" s="508"/>
      <c r="E65" s="508"/>
      <c r="F65" s="508"/>
      <c r="G65" s="508"/>
      <c r="H65" s="508"/>
      <c r="I65" s="508"/>
      <c r="J65" s="508"/>
      <c r="K65" s="508"/>
      <c r="L65" s="508"/>
      <c r="M65" s="508"/>
      <c r="N65" s="508"/>
      <c r="O65" s="508"/>
      <c r="P65" s="508"/>
      <c r="Q65" s="508"/>
      <c r="R65" s="508"/>
      <c r="S65" s="508"/>
      <c r="T65" s="508"/>
      <c r="U65" s="508"/>
      <c r="V65" s="508"/>
      <c r="W65" s="508"/>
      <c r="X65" s="508"/>
      <c r="Y65" s="508"/>
      <c r="Z65" s="508"/>
      <c r="AA65" s="508"/>
      <c r="AB65" s="508"/>
      <c r="AC65" s="508"/>
    </row>
    <row r="66" spans="1:29" x14ac:dyDescent="0.2">
      <c r="A66" s="508"/>
      <c r="B66" s="508"/>
      <c r="C66" s="508"/>
      <c r="D66" s="508"/>
      <c r="E66" s="508"/>
      <c r="F66" s="508"/>
      <c r="G66" s="508"/>
      <c r="H66" s="508"/>
      <c r="I66" s="508"/>
      <c r="J66" s="508"/>
      <c r="K66" s="508"/>
      <c r="L66" s="508"/>
      <c r="M66" s="508"/>
      <c r="N66" s="508"/>
      <c r="O66" s="508"/>
      <c r="P66" s="508"/>
      <c r="Q66" s="508"/>
      <c r="R66" s="508"/>
      <c r="S66" s="508"/>
      <c r="T66" s="508"/>
      <c r="U66" s="508"/>
      <c r="V66" s="508"/>
      <c r="W66" s="508"/>
      <c r="X66" s="508"/>
      <c r="Y66" s="508"/>
      <c r="Z66" s="508"/>
      <c r="AA66" s="508"/>
      <c r="AB66" s="508"/>
      <c r="AC66" s="508"/>
    </row>
    <row r="67" spans="1:29" x14ac:dyDescent="0.2">
      <c r="A67" s="508"/>
      <c r="B67" s="508"/>
      <c r="C67" s="508"/>
      <c r="D67" s="508"/>
      <c r="E67" s="508"/>
      <c r="F67" s="508"/>
      <c r="G67" s="508"/>
      <c r="H67" s="508"/>
      <c r="I67" s="508"/>
      <c r="J67" s="508"/>
      <c r="K67" s="508"/>
      <c r="L67" s="508"/>
      <c r="M67" s="508"/>
      <c r="N67" s="508"/>
      <c r="O67" s="508"/>
      <c r="P67" s="508"/>
      <c r="Q67" s="508"/>
      <c r="R67" s="508"/>
      <c r="S67" s="508"/>
      <c r="T67" s="508"/>
      <c r="U67" s="508"/>
      <c r="V67" s="508"/>
      <c r="W67" s="508"/>
      <c r="X67" s="508"/>
      <c r="Y67" s="508"/>
      <c r="Z67" s="508"/>
      <c r="AA67" s="508"/>
      <c r="AB67" s="508"/>
      <c r="AC67" s="508"/>
    </row>
    <row r="68" spans="1:29" x14ac:dyDescent="0.2">
      <c r="A68" s="508"/>
      <c r="B68" s="508"/>
      <c r="C68" s="508"/>
      <c r="D68" s="508"/>
      <c r="E68" s="508"/>
      <c r="F68" s="508"/>
      <c r="G68" s="508"/>
      <c r="H68" s="508"/>
      <c r="I68" s="508"/>
      <c r="J68" s="508"/>
      <c r="K68" s="508"/>
      <c r="L68" s="508"/>
      <c r="M68" s="508"/>
      <c r="N68" s="508"/>
      <c r="O68" s="508"/>
      <c r="P68" s="508"/>
      <c r="Q68" s="508"/>
      <c r="R68" s="508"/>
      <c r="S68" s="508"/>
      <c r="T68" s="508"/>
      <c r="U68" s="508"/>
      <c r="V68" s="508"/>
      <c r="W68" s="508"/>
      <c r="X68" s="508"/>
      <c r="Y68" s="508"/>
      <c r="Z68" s="508"/>
      <c r="AA68" s="508"/>
      <c r="AB68" s="508"/>
      <c r="AC68" s="508"/>
    </row>
    <row r="69" spans="1:29" x14ac:dyDescent="0.2">
      <c r="A69" s="508"/>
      <c r="B69" s="508"/>
      <c r="C69" s="508"/>
      <c r="D69" s="508"/>
      <c r="E69" s="508"/>
      <c r="F69" s="508"/>
      <c r="G69" s="508"/>
      <c r="H69" s="508"/>
      <c r="I69" s="508"/>
      <c r="J69" s="508"/>
      <c r="K69" s="508"/>
      <c r="L69" s="508"/>
      <c r="M69" s="508"/>
      <c r="N69" s="508"/>
      <c r="O69" s="508"/>
      <c r="P69" s="508"/>
      <c r="Q69" s="508"/>
      <c r="R69" s="508"/>
      <c r="S69" s="508"/>
      <c r="T69" s="508"/>
      <c r="U69" s="508"/>
      <c r="V69" s="508"/>
      <c r="W69" s="508"/>
      <c r="X69" s="508"/>
      <c r="Y69" s="508"/>
      <c r="Z69" s="508"/>
      <c r="AA69" s="508"/>
      <c r="AB69" s="508"/>
      <c r="AC69" s="508"/>
    </row>
    <row r="70" spans="1:29" x14ac:dyDescent="0.2">
      <c r="A70" s="508"/>
      <c r="B70" s="508"/>
      <c r="C70" s="508"/>
      <c r="D70" s="508"/>
      <c r="E70" s="508"/>
      <c r="F70" s="508"/>
      <c r="G70" s="508"/>
      <c r="H70" s="508"/>
      <c r="I70" s="508"/>
      <c r="J70" s="508"/>
      <c r="K70" s="508"/>
      <c r="L70" s="508"/>
      <c r="M70" s="508"/>
      <c r="N70" s="508"/>
      <c r="O70" s="508"/>
      <c r="P70" s="508"/>
      <c r="Q70" s="508"/>
      <c r="R70" s="508"/>
      <c r="S70" s="508"/>
      <c r="T70" s="508"/>
      <c r="U70" s="508"/>
      <c r="V70" s="508"/>
      <c r="W70" s="508"/>
      <c r="X70" s="508"/>
      <c r="Y70" s="508"/>
      <c r="Z70" s="508"/>
      <c r="AA70" s="508"/>
      <c r="AB70" s="508"/>
      <c r="AC70" s="508"/>
    </row>
    <row r="71" spans="1:29" x14ac:dyDescent="0.2">
      <c r="A71" s="508"/>
      <c r="B71" s="508"/>
      <c r="C71" s="508"/>
      <c r="D71" s="508"/>
      <c r="E71" s="508"/>
      <c r="F71" s="508"/>
      <c r="G71" s="508"/>
      <c r="H71" s="508"/>
      <c r="I71" s="508"/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508"/>
      <c r="W71" s="508"/>
      <c r="X71" s="508"/>
      <c r="Y71" s="508"/>
      <c r="Z71" s="508"/>
      <c r="AA71" s="508"/>
      <c r="AB71" s="508"/>
      <c r="AC71" s="508"/>
    </row>
    <row r="72" spans="1:29" x14ac:dyDescent="0.2">
      <c r="A72" s="508"/>
      <c r="B72" s="508"/>
      <c r="C72" s="508"/>
      <c r="D72" s="508"/>
      <c r="E72" s="508"/>
      <c r="F72" s="508"/>
      <c r="G72" s="508"/>
      <c r="H72" s="508"/>
      <c r="I72" s="508"/>
      <c r="J72" s="508"/>
      <c r="K72" s="508"/>
      <c r="L72" s="508"/>
      <c r="M72" s="508"/>
      <c r="N72" s="508"/>
      <c r="O72" s="508"/>
      <c r="P72" s="508"/>
      <c r="Q72" s="508"/>
      <c r="R72" s="508"/>
      <c r="S72" s="508"/>
      <c r="T72" s="508"/>
      <c r="U72" s="508"/>
      <c r="V72" s="508"/>
      <c r="W72" s="508"/>
      <c r="X72" s="508"/>
      <c r="Y72" s="508"/>
      <c r="Z72" s="508"/>
      <c r="AA72" s="508"/>
      <c r="AB72" s="508"/>
      <c r="AC72" s="508"/>
    </row>
    <row r="73" spans="1:29" x14ac:dyDescent="0.2">
      <c r="A73" s="508"/>
      <c r="B73" s="508"/>
      <c r="C73" s="508"/>
      <c r="D73" s="508"/>
      <c r="E73" s="508"/>
      <c r="F73" s="508"/>
      <c r="G73" s="508"/>
      <c r="H73" s="508"/>
      <c r="I73" s="508"/>
      <c r="J73" s="508"/>
      <c r="K73" s="508"/>
      <c r="L73" s="508"/>
      <c r="M73" s="508"/>
      <c r="N73" s="508"/>
      <c r="O73" s="508"/>
      <c r="P73" s="508"/>
      <c r="Q73" s="508"/>
      <c r="R73" s="508"/>
      <c r="S73" s="508"/>
      <c r="T73" s="508"/>
      <c r="U73" s="508"/>
      <c r="V73" s="508"/>
      <c r="W73" s="508"/>
      <c r="X73" s="508"/>
      <c r="Y73" s="508"/>
      <c r="Z73" s="508"/>
      <c r="AA73" s="508"/>
      <c r="AB73" s="508"/>
      <c r="AC73" s="508"/>
    </row>
  </sheetData>
  <phoneticPr fontId="45" type="noConversion"/>
  <hyperlinks>
    <hyperlink ref="C12" r:id="rId1" display="jim.kobus@morganstanley.com"/>
    <hyperlink ref="G12" r:id="rId2"/>
  </hyperlinks>
  <pageMargins left="0.75" right="0.75" top="1" bottom="1" header="0.5" footer="0.5"/>
  <pageSetup orientation="portrait" r:id="rId3"/>
  <headerFooter alignWithMargins="0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"/>
  <sheetViews>
    <sheetView workbookViewId="0"/>
  </sheetViews>
  <sheetFormatPr defaultRowHeight="12.75" x14ac:dyDescent="0.2"/>
  <sheetData>
    <row r="1" spans="1:2" x14ac:dyDescent="0.2">
      <c r="B1" t="s">
        <v>405</v>
      </c>
    </row>
  </sheetData>
  <phoneticPr fontId="45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DF55"/>
  <sheetViews>
    <sheetView zoomScale="80" zoomScaleNormal="80" workbookViewId="0">
      <pane ySplit="4" topLeftCell="A5" activePane="bottomLeft" state="frozen"/>
      <selection pane="bottomLeft" activeCell="A5" sqref="A5"/>
    </sheetView>
  </sheetViews>
  <sheetFormatPr defaultRowHeight="12.75" outlineLevelCol="1" x14ac:dyDescent="0.2"/>
  <cols>
    <col min="1" max="2" width="2.7109375" customWidth="1"/>
    <col min="3" max="3" width="39.5703125" customWidth="1"/>
    <col min="4" max="4" width="2.7109375" customWidth="1"/>
    <col min="5" max="9" width="0" hidden="1" customWidth="1" outlineLevel="1"/>
    <col min="10" max="13" width="1.7109375" hidden="1" customWidth="1" outlineLevel="1"/>
    <col min="14" max="14" width="10.7109375" hidden="1" customWidth="1" collapsed="1"/>
    <col min="15" max="18" width="1.7109375" hidden="1" customWidth="1" outlineLevel="1"/>
    <col min="19" max="19" width="9.28515625" hidden="1" customWidth="1" collapsed="1"/>
    <col min="20" max="23" width="1.7109375" hidden="1" customWidth="1" outlineLevel="1"/>
    <col min="24" max="24" width="9.28515625" customWidth="1" collapsed="1"/>
    <col min="25" max="28" width="1.7109375" hidden="1" customWidth="1" outlineLevel="1"/>
    <col min="29" max="29" width="9.28515625" customWidth="1" collapsed="1"/>
    <col min="30" max="33" width="1.7109375" hidden="1" customWidth="1" outlineLevel="1"/>
    <col min="34" max="34" width="9.28515625" customWidth="1" collapsed="1"/>
    <col min="35" max="37" width="1.7109375" hidden="1" customWidth="1" outlineLevel="1"/>
    <col min="38" max="38" width="2.140625" hidden="1" customWidth="1" outlineLevel="1"/>
    <col min="39" max="39" width="9" customWidth="1" collapsed="1"/>
    <col min="40" max="42" width="1.7109375" hidden="1" customWidth="1" outlineLevel="1"/>
    <col min="43" max="43" width="2.140625" hidden="1" customWidth="1" outlineLevel="1"/>
    <col min="44" max="44" width="9" customWidth="1" collapsed="1"/>
    <col min="45" max="47" width="1.7109375" hidden="1" customWidth="1" outlineLevel="1"/>
    <col min="48" max="48" width="2.140625" hidden="1" customWidth="1" outlineLevel="1"/>
    <col min="49" max="49" width="9" customWidth="1" collapsed="1"/>
    <col min="50" max="52" width="1.7109375" hidden="1" customWidth="1" outlineLevel="1"/>
    <col min="53" max="53" width="2.140625" hidden="1" customWidth="1" outlineLevel="1"/>
    <col min="54" max="54" width="9" customWidth="1" collapsed="1"/>
    <col min="55" max="57" width="1.7109375" hidden="1" customWidth="1" outlineLevel="1"/>
    <col min="58" max="58" width="2.140625" hidden="1" customWidth="1" outlineLevel="1"/>
    <col min="59" max="59" width="9" customWidth="1" collapsed="1"/>
    <col min="60" max="62" width="1.7109375" hidden="1" customWidth="1" outlineLevel="1"/>
    <col min="63" max="63" width="2.140625" hidden="1" customWidth="1" outlineLevel="1"/>
    <col min="64" max="64" width="9" customWidth="1" collapsed="1"/>
    <col min="65" max="67" width="1.7109375" hidden="1" customWidth="1" outlineLevel="1"/>
    <col min="68" max="68" width="2.140625" hidden="1" customWidth="1" outlineLevel="1"/>
    <col min="69" max="69" width="9" customWidth="1" collapsed="1"/>
    <col min="71" max="72" width="2.5703125" customWidth="1"/>
    <col min="73" max="73" width="39.7109375" customWidth="1"/>
    <col min="74" max="74" width="2.7109375" customWidth="1"/>
    <col min="75" max="75" width="9.28515625" hidden="1" customWidth="1"/>
    <col min="76" max="77" width="9.28515625" customWidth="1"/>
    <col min="78" max="78" width="9.85546875" customWidth="1"/>
    <col min="79" max="80" width="9.28515625" customWidth="1"/>
    <col min="90" max="90" width="21.42578125" bestFit="1" customWidth="1"/>
    <col min="91" max="91" width="12.42578125" bestFit="1" customWidth="1"/>
    <col min="92" max="92" width="6.7109375" bestFit="1" customWidth="1"/>
    <col min="93" max="93" width="13.7109375" bestFit="1" customWidth="1"/>
    <col min="94" max="94" width="13.42578125" bestFit="1" customWidth="1"/>
    <col min="95" max="95" width="9.140625" bestFit="1" customWidth="1"/>
  </cols>
  <sheetData>
    <row r="1" spans="1:95" ht="15" customHeight="1" x14ac:dyDescent="0.25">
      <c r="A1" s="2"/>
      <c r="B1" s="2"/>
      <c r="C1" s="2"/>
      <c r="D1" s="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</row>
    <row r="2" spans="1:95" ht="15" customHeight="1" x14ac:dyDescent="0.25">
      <c r="A2" s="2"/>
      <c r="B2" s="2" t="str">
        <f>Cover!$B$2</f>
        <v>Xcel Energy</v>
      </c>
      <c r="C2" s="2"/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</row>
    <row r="3" spans="1:95" ht="15" customHeight="1" x14ac:dyDescent="0.25">
      <c r="A3" s="5"/>
      <c r="B3" s="6" t="s">
        <v>0</v>
      </c>
      <c r="C3" s="6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</row>
    <row r="4" spans="1:95" x14ac:dyDescent="0.2">
      <c r="A4" s="8"/>
      <c r="B4" s="9" t="s">
        <v>1</v>
      </c>
      <c r="C4" s="9"/>
      <c r="D4" s="8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</row>
    <row r="5" spans="1:95" x14ac:dyDescent="0.2">
      <c r="A5" s="12"/>
      <c r="B5" s="12"/>
      <c r="C5" s="13"/>
      <c r="D5" s="14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</row>
    <row r="6" spans="1:95" x14ac:dyDescent="0.2">
      <c r="B6" s="16" t="s">
        <v>2</v>
      </c>
      <c r="C6" s="16"/>
      <c r="D6" s="17"/>
      <c r="J6" s="18"/>
      <c r="K6" s="18"/>
      <c r="L6" s="18"/>
      <c r="M6" s="18"/>
      <c r="N6" s="18" t="s">
        <v>3</v>
      </c>
      <c r="O6" s="18"/>
      <c r="P6" s="18"/>
      <c r="Q6" s="18"/>
      <c r="R6" s="18"/>
      <c r="S6" s="18" t="s">
        <v>505</v>
      </c>
      <c r="T6" s="18"/>
      <c r="U6" s="18"/>
      <c r="V6" s="18"/>
      <c r="W6" s="18"/>
      <c r="X6" s="18" t="s">
        <v>523</v>
      </c>
      <c r="Y6" s="18"/>
      <c r="Z6" s="18"/>
      <c r="AA6" s="18"/>
      <c r="AB6" s="18"/>
      <c r="AC6" s="18" t="s">
        <v>538</v>
      </c>
      <c r="AD6" s="18"/>
      <c r="AE6" s="18"/>
      <c r="AF6" s="18"/>
      <c r="AG6" s="18"/>
      <c r="AH6" s="18" t="s">
        <v>551</v>
      </c>
      <c r="AI6" s="18"/>
      <c r="AJ6" s="18"/>
      <c r="AK6" s="18"/>
      <c r="AL6" s="18"/>
      <c r="AM6" s="18" t="s">
        <v>571</v>
      </c>
      <c r="AN6" s="18"/>
      <c r="AO6" s="18"/>
      <c r="AP6" s="18"/>
      <c r="AQ6" s="18"/>
      <c r="AR6" s="18" t="s">
        <v>604</v>
      </c>
      <c r="AS6" s="18"/>
      <c r="AT6" s="18"/>
      <c r="AU6" s="18"/>
      <c r="AV6" s="18"/>
      <c r="AW6" s="18" t="s">
        <v>665</v>
      </c>
      <c r="AX6" s="18"/>
      <c r="AY6" s="18"/>
      <c r="AZ6" s="18"/>
      <c r="BA6" s="18"/>
      <c r="BB6" s="18" t="s">
        <v>535</v>
      </c>
      <c r="BC6" s="18"/>
      <c r="BD6" s="18"/>
      <c r="BE6" s="18"/>
      <c r="BF6" s="18"/>
      <c r="BG6" s="18" t="s">
        <v>559</v>
      </c>
      <c r="BH6" s="18"/>
      <c r="BI6" s="18"/>
      <c r="BJ6" s="18"/>
      <c r="BK6" s="18"/>
      <c r="BL6" s="18" t="s">
        <v>598</v>
      </c>
      <c r="BM6" s="18"/>
      <c r="BN6" s="18"/>
      <c r="BO6" s="18"/>
      <c r="BP6" s="18"/>
      <c r="BQ6" s="18" t="s">
        <v>669</v>
      </c>
      <c r="BT6" s="16" t="s">
        <v>5</v>
      </c>
      <c r="BU6" s="16"/>
      <c r="BV6" s="17"/>
      <c r="BX6" s="18" t="s">
        <v>6</v>
      </c>
      <c r="BY6" s="18" t="s">
        <v>7</v>
      </c>
      <c r="BZ6" s="18" t="s">
        <v>8</v>
      </c>
      <c r="CL6" s="16" t="s">
        <v>652</v>
      </c>
      <c r="CM6" s="16"/>
      <c r="CN6" s="16"/>
      <c r="CO6" s="16"/>
      <c r="CP6" s="16"/>
      <c r="CQ6" s="16"/>
    </row>
    <row r="7" spans="1:95" x14ac:dyDescent="0.2">
      <c r="BU7" t="s">
        <v>9</v>
      </c>
      <c r="BX7" s="772" t="s">
        <v>559</v>
      </c>
      <c r="BY7" s="772" t="s">
        <v>559</v>
      </c>
      <c r="BZ7" s="772" t="s">
        <v>559</v>
      </c>
      <c r="CL7" s="988" t="s">
        <v>302</v>
      </c>
      <c r="CM7" s="988" t="s">
        <v>306</v>
      </c>
      <c r="CN7" s="988" t="s">
        <v>653</v>
      </c>
      <c r="CO7" s="988" t="s">
        <v>655</v>
      </c>
      <c r="CP7" s="988" t="s">
        <v>656</v>
      </c>
      <c r="CQ7" s="988" t="s">
        <v>657</v>
      </c>
    </row>
    <row r="8" spans="1:95" x14ac:dyDescent="0.2">
      <c r="C8" t="s">
        <v>403</v>
      </c>
      <c r="J8" s="19"/>
      <c r="K8" s="19"/>
      <c r="L8" s="19"/>
      <c r="M8" s="19"/>
      <c r="N8" s="19">
        <f>XEL!N63</f>
        <v>1.6135725553582196</v>
      </c>
      <c r="O8" s="19"/>
      <c r="P8" s="19"/>
      <c r="Q8" s="19"/>
      <c r="R8" s="19"/>
      <c r="S8" s="19">
        <f>XEL!S63</f>
        <v>1.7186042441028369</v>
      </c>
      <c r="T8" s="19"/>
      <c r="U8" s="19"/>
      <c r="V8" s="19"/>
      <c r="W8" s="19"/>
      <c r="X8" s="19">
        <f>XEL!X63</f>
        <v>1.8185773308164477</v>
      </c>
      <c r="Y8" s="19"/>
      <c r="Z8" s="19"/>
      <c r="AA8" s="19"/>
      <c r="AB8" s="19"/>
      <c r="AC8" s="19">
        <f>XEL!AC63</f>
        <v>1.9503778205634286</v>
      </c>
      <c r="AD8" s="19"/>
      <c r="AE8" s="19"/>
      <c r="AF8" s="19"/>
      <c r="AG8" s="19"/>
      <c r="AH8" s="19">
        <f>XEL!AH63</f>
        <v>2.0259304883588483</v>
      </c>
      <c r="AI8" s="19"/>
      <c r="AJ8" s="19"/>
      <c r="AK8" s="19"/>
      <c r="AL8" s="19"/>
      <c r="AM8" s="19">
        <f>XEL!AM63</f>
        <v>2.0930774861856714</v>
      </c>
      <c r="AN8" s="19"/>
      <c r="AO8" s="19"/>
      <c r="AP8" s="19"/>
      <c r="AQ8" s="19"/>
      <c r="AR8" s="19">
        <f>XEL!AR63</f>
        <v>2.2050170276662837</v>
      </c>
      <c r="AS8" s="19"/>
      <c r="AT8" s="19"/>
      <c r="AU8" s="19"/>
      <c r="AV8" s="19"/>
      <c r="AW8" s="19">
        <f>XEL!AW63</f>
        <v>2.300589390962672</v>
      </c>
      <c r="AX8" s="19"/>
      <c r="AY8" s="19"/>
      <c r="AZ8" s="19"/>
      <c r="BA8" s="19"/>
      <c r="BB8" s="19">
        <f>XEL!BB63</f>
        <v>2.4283444633435414</v>
      </c>
      <c r="BC8" s="19"/>
      <c r="BD8" s="19"/>
      <c r="BE8" s="19"/>
      <c r="BF8" s="19"/>
      <c r="BG8" s="19">
        <f>XEL!BG63</f>
        <v>2.6135457508317019</v>
      </c>
      <c r="BH8" s="19"/>
      <c r="BI8" s="19"/>
      <c r="BJ8" s="19"/>
      <c r="BK8" s="19"/>
      <c r="BL8" s="19">
        <f>XEL!BL63</f>
        <v>2.7232813983234103</v>
      </c>
      <c r="BM8" s="19"/>
      <c r="BN8" s="19"/>
      <c r="BO8" s="19"/>
      <c r="BP8" s="19"/>
      <c r="BQ8" s="19">
        <f>XEL!BQ63</f>
        <v>2.9024837329591429</v>
      </c>
      <c r="BU8" t="s">
        <v>403</v>
      </c>
      <c r="BX8" s="713">
        <f>($CE$29*53.5%*8.5%+$CE$35)/$CE$38</f>
        <v>2.3751451435738189</v>
      </c>
      <c r="BY8" s="761">
        <f>+BG8</f>
        <v>2.6135457508317019</v>
      </c>
      <c r="BZ8" s="713">
        <f>($CE$29*53.5%*10%+$CE$35)/$CE$38</f>
        <v>2.8255778701652918</v>
      </c>
      <c r="CL8">
        <v>1500</v>
      </c>
      <c r="CM8" s="968">
        <v>0.54</v>
      </c>
      <c r="CN8" s="913">
        <v>9.6000000000000002E-2</v>
      </c>
      <c r="CO8" s="913">
        <v>0.4</v>
      </c>
      <c r="CP8" s="913">
        <v>0.05</v>
      </c>
      <c r="CQ8" s="913">
        <v>0.21</v>
      </c>
    </row>
    <row r="9" spans="1:95" x14ac:dyDescent="0.2">
      <c r="CL9" s="986" t="s">
        <v>654</v>
      </c>
      <c r="CM9">
        <f>(CL8*CM8*CN8)-((CL8*(CM8-CO8)*CP8)*(1-CQ8))</f>
        <v>69.465000000000003</v>
      </c>
    </row>
    <row r="10" spans="1:95" x14ac:dyDescent="0.2">
      <c r="C10" t="s">
        <v>10</v>
      </c>
      <c r="J10" s="21"/>
      <c r="K10" s="21"/>
      <c r="L10" s="21"/>
      <c r="M10" s="21"/>
      <c r="N10" s="21"/>
      <c r="O10" s="21"/>
      <c r="P10" s="21"/>
      <c r="Q10" s="21"/>
      <c r="R10" s="21"/>
      <c r="S10" s="22"/>
      <c r="T10" s="21"/>
      <c r="U10" s="21"/>
      <c r="V10" s="21"/>
      <c r="W10" s="21"/>
      <c r="X10" s="22"/>
      <c r="Y10" s="21"/>
      <c r="Z10" s="21"/>
      <c r="AA10" s="21"/>
      <c r="AB10" s="21"/>
      <c r="AC10" s="22"/>
      <c r="AD10" s="21"/>
      <c r="AE10" s="21"/>
      <c r="AF10" s="21"/>
      <c r="AG10" s="21"/>
      <c r="AH10" s="22"/>
      <c r="AI10" s="21"/>
      <c r="AJ10" s="21"/>
      <c r="AK10" s="21"/>
      <c r="AL10" s="21"/>
      <c r="AM10" s="791">
        <f>+AR10*1.05</f>
        <v>19.624500000000001</v>
      </c>
      <c r="AN10" s="21"/>
      <c r="AO10" s="21"/>
      <c r="AP10" s="21"/>
      <c r="AQ10" s="21"/>
      <c r="AR10" s="791">
        <f>+AW10*1.05</f>
        <v>18.690000000000001</v>
      </c>
      <c r="AS10" s="21"/>
      <c r="AT10" s="21"/>
      <c r="AU10" s="21"/>
      <c r="AV10" s="21"/>
      <c r="AW10" s="22">
        <v>17.8</v>
      </c>
      <c r="AX10" s="21"/>
      <c r="AY10" s="21"/>
      <c r="AZ10" s="21"/>
      <c r="BA10" s="21"/>
      <c r="BB10" s="22">
        <v>19.100000000000001</v>
      </c>
      <c r="BC10" s="791"/>
      <c r="BD10" s="791"/>
      <c r="BE10" s="791"/>
      <c r="BF10" s="791"/>
      <c r="BG10" s="22">
        <v>17.600000000000001</v>
      </c>
      <c r="BH10" s="791"/>
      <c r="BI10" s="791"/>
      <c r="BJ10" s="791"/>
      <c r="BK10" s="791"/>
      <c r="BL10" s="22">
        <f>+BG10/1.05</f>
        <v>16.761904761904763</v>
      </c>
      <c r="BM10" s="791"/>
      <c r="BN10" s="791"/>
      <c r="BO10" s="791"/>
      <c r="BP10" s="791"/>
      <c r="BQ10" s="22">
        <f>+BL10/1.05</f>
        <v>15.963718820861677</v>
      </c>
      <c r="BU10" t="s">
        <v>10</v>
      </c>
      <c r="BX10" s="25">
        <f>BY10</f>
        <v>17.600000000000001</v>
      </c>
      <c r="BY10" s="25">
        <f>BG10</f>
        <v>17.600000000000001</v>
      </c>
      <c r="BZ10" s="25">
        <f>+BY10</f>
        <v>17.600000000000001</v>
      </c>
      <c r="CL10" s="986" t="s">
        <v>658</v>
      </c>
      <c r="CM10" s="989">
        <f>CL8*CO8/BL15</f>
        <v>13.630168105406632</v>
      </c>
    </row>
    <row r="11" spans="1:95" x14ac:dyDescent="0.2">
      <c r="C11" t="s">
        <v>11</v>
      </c>
      <c r="J11" s="23"/>
      <c r="K11" s="23"/>
      <c r="L11" s="23"/>
      <c r="M11" s="23"/>
      <c r="N11" s="23"/>
      <c r="O11" s="23"/>
      <c r="P11" s="23"/>
      <c r="Q11" s="23"/>
      <c r="R11" s="23"/>
      <c r="S11" s="24"/>
      <c r="T11" s="23"/>
      <c r="U11" s="23"/>
      <c r="V11" s="23"/>
      <c r="W11" s="23"/>
      <c r="X11" s="24"/>
      <c r="Y11" s="23"/>
      <c r="Z11" s="23"/>
      <c r="AA11" s="23"/>
      <c r="AB11" s="23"/>
      <c r="AC11" s="24"/>
      <c r="AD11" s="23"/>
      <c r="AE11" s="23"/>
      <c r="AF11" s="23"/>
      <c r="AG11" s="23"/>
      <c r="AH11" s="24"/>
      <c r="AI11" s="23"/>
      <c r="AJ11" s="23"/>
      <c r="AK11" s="23"/>
      <c r="AL11" s="23"/>
      <c r="AM11" s="24">
        <v>0</v>
      </c>
      <c r="AN11" s="23"/>
      <c r="AO11" s="23"/>
      <c r="AP11" s="23"/>
      <c r="AQ11" s="23"/>
      <c r="AR11" s="24">
        <v>0</v>
      </c>
      <c r="AS11" s="23"/>
      <c r="AT11" s="23"/>
      <c r="AU11" s="23"/>
      <c r="AV11" s="23"/>
      <c r="AW11" s="24">
        <v>0</v>
      </c>
      <c r="AX11" s="23"/>
      <c r="AY11" s="23"/>
      <c r="AZ11" s="23"/>
      <c r="BA11" s="23"/>
      <c r="BB11" s="24">
        <v>0</v>
      </c>
      <c r="BC11" s="23"/>
      <c r="BD11" s="23"/>
      <c r="BE11" s="23"/>
      <c r="BF11" s="23"/>
      <c r="BG11" s="24">
        <v>0</v>
      </c>
      <c r="BH11" s="23"/>
      <c r="BI11" s="23"/>
      <c r="BJ11" s="23"/>
      <c r="BK11" s="23"/>
      <c r="BL11" s="24">
        <v>0</v>
      </c>
      <c r="BM11" s="23"/>
      <c r="BN11" s="23"/>
      <c r="BO11" s="23"/>
      <c r="BP11" s="23"/>
      <c r="BQ11" s="24">
        <v>0</v>
      </c>
      <c r="BU11" t="s">
        <v>13</v>
      </c>
      <c r="BX11" s="24">
        <v>-0.05</v>
      </c>
      <c r="BY11" s="24">
        <v>0.05</v>
      </c>
      <c r="BZ11" s="24">
        <v>0.05</v>
      </c>
      <c r="CB11" s="513"/>
      <c r="CL11" s="986" t="s">
        <v>659</v>
      </c>
      <c r="CM11" s="990">
        <v>15.8</v>
      </c>
    </row>
    <row r="12" spans="1:95" x14ac:dyDescent="0.2">
      <c r="C12" t="s">
        <v>12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>
        <f>+AM10*(1+AM11)</f>
        <v>19.624500000000001</v>
      </c>
      <c r="AN12" s="25"/>
      <c r="AO12" s="25"/>
      <c r="AP12" s="25"/>
      <c r="AQ12" s="25"/>
      <c r="AR12" s="25">
        <f>+AR10*(1+AR11)</f>
        <v>18.690000000000001</v>
      </c>
      <c r="AS12" s="25"/>
      <c r="AT12" s="25"/>
      <c r="AU12" s="25"/>
      <c r="AV12" s="25"/>
      <c r="AW12" s="25">
        <f>+AW10*(1+AW11)</f>
        <v>17.8</v>
      </c>
      <c r="AX12" s="25"/>
      <c r="AY12" s="25"/>
      <c r="AZ12" s="25"/>
      <c r="BA12" s="25"/>
      <c r="BB12" s="25">
        <f>+BB10*(1+BB11)</f>
        <v>19.100000000000001</v>
      </c>
      <c r="BC12" s="25"/>
      <c r="BD12" s="25"/>
      <c r="BE12" s="25"/>
      <c r="BF12" s="25"/>
      <c r="BG12" s="25">
        <f>+BG10*(1+BG11)</f>
        <v>17.600000000000001</v>
      </c>
      <c r="BH12" s="25"/>
      <c r="BI12" s="25"/>
      <c r="BJ12" s="25"/>
      <c r="BK12" s="25"/>
      <c r="BL12" s="25">
        <f>+BL10*(1+BL11)</f>
        <v>16.761904761904763</v>
      </c>
      <c r="BM12" s="25"/>
      <c r="BN12" s="25"/>
      <c r="BO12" s="25"/>
      <c r="BP12" s="25"/>
      <c r="BQ12" s="25">
        <f>+BQ10*(1+BQ11)</f>
        <v>15.963718820861677</v>
      </c>
      <c r="BT12" s="26"/>
      <c r="BU12" t="s">
        <v>15</v>
      </c>
      <c r="BX12" s="25">
        <f>+BX10*(1+BX11)</f>
        <v>16.72</v>
      </c>
      <c r="BY12" s="25">
        <f>+BY10*(1+BY11)</f>
        <v>18.480000000000004</v>
      </c>
      <c r="BZ12" s="25">
        <f>+BZ10*(1+BZ11)</f>
        <v>18.480000000000004</v>
      </c>
      <c r="CL12" s="986" t="s">
        <v>660</v>
      </c>
      <c r="CM12" s="25">
        <f>CM11*0.95</f>
        <v>15.01</v>
      </c>
    </row>
    <row r="13" spans="1:95" x14ac:dyDescent="0.2">
      <c r="BT13" s="26"/>
      <c r="CL13" s="986" t="s">
        <v>661</v>
      </c>
      <c r="CM13" s="698">
        <f>(((XEL!BL56*(1+XEL!BT66)+CM9)/(XEL!BL60+Valuation!CM10))-(XEL!BL56*(1+XEL!BT66))/XEL!BL60)/(XEL!BL63*(1+XEL!BT66))</f>
        <v>2.2578181131115475E-2</v>
      </c>
    </row>
    <row r="14" spans="1:95" x14ac:dyDescent="0.2">
      <c r="C14" s="27" t="s">
        <v>14</v>
      </c>
      <c r="D14" s="28"/>
      <c r="E14" s="28"/>
      <c r="F14" s="28"/>
      <c r="G14" s="28"/>
      <c r="H14" s="28"/>
      <c r="I14" s="28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>
        <f>+AM12*AM8</f>
        <v>41.075599127650712</v>
      </c>
      <c r="AN14" s="29"/>
      <c r="AO14" s="29"/>
      <c r="AP14" s="29"/>
      <c r="AQ14" s="29"/>
      <c r="AR14" s="29">
        <f>+AR12*AR8</f>
        <v>41.211768247082844</v>
      </c>
      <c r="AS14" s="29"/>
      <c r="AT14" s="29"/>
      <c r="AU14" s="29"/>
      <c r="AV14" s="29"/>
      <c r="AW14" s="29">
        <f>+AW12*AW8</f>
        <v>40.950491159135566</v>
      </c>
      <c r="AX14" s="29"/>
      <c r="AY14" s="29"/>
      <c r="AZ14" s="29"/>
      <c r="BA14" s="29"/>
      <c r="BB14" s="29">
        <f>+BB12*BB8</f>
        <v>46.381379249861645</v>
      </c>
      <c r="BC14" s="29"/>
      <c r="BD14" s="29"/>
      <c r="BE14" s="29"/>
      <c r="BF14" s="29"/>
      <c r="BG14" s="29">
        <f>+BG12*BG8</f>
        <v>45.998405214637955</v>
      </c>
      <c r="BH14" s="29"/>
      <c r="BI14" s="29"/>
      <c r="BJ14" s="29"/>
      <c r="BK14" s="29"/>
      <c r="BL14" s="29">
        <f>+BL12*BL8</f>
        <v>45.647383438563836</v>
      </c>
      <c r="BM14" s="29"/>
      <c r="BN14" s="29"/>
      <c r="BO14" s="29"/>
      <c r="BP14" s="29"/>
      <c r="BQ14" s="30">
        <f>+BQ12*BQ8</f>
        <v>46.334434195084725</v>
      </c>
      <c r="BR14" s="914"/>
      <c r="BT14" s="26"/>
      <c r="BU14" s="27" t="s">
        <v>14</v>
      </c>
      <c r="BV14" s="28"/>
      <c r="BW14" s="28"/>
      <c r="BX14" s="29">
        <f>+BX12*BX8</f>
        <v>39.712426800554248</v>
      </c>
      <c r="BY14" s="29">
        <f>+BY12*BY8+CM15</f>
        <v>50.280330323022255</v>
      </c>
      <c r="BZ14" s="30">
        <f>+BZ12*BZ8+CM15</f>
        <v>54.198683888306995</v>
      </c>
      <c r="CL14" s="991" t="s">
        <v>662</v>
      </c>
      <c r="CM14" s="731">
        <f>CM9/(XEL!BL60+Valuation!CM10)</f>
        <v>0.13204562609276424</v>
      </c>
    </row>
    <row r="15" spans="1:95" x14ac:dyDescent="0.2">
      <c r="C15" t="s">
        <v>16</v>
      </c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2"/>
      <c r="T15" s="31"/>
      <c r="U15" s="31"/>
      <c r="V15" s="31"/>
      <c r="W15" s="31"/>
      <c r="Y15" s="33"/>
      <c r="Z15" s="33"/>
      <c r="AA15" s="33"/>
      <c r="AB15" s="33"/>
      <c r="AC15" s="32"/>
      <c r="AD15" s="33"/>
      <c r="AE15" s="33"/>
      <c r="AF15" s="33"/>
      <c r="AG15" s="33"/>
      <c r="AH15" s="33"/>
      <c r="AI15" s="33"/>
      <c r="AJ15" s="33"/>
      <c r="AK15" s="33"/>
      <c r="AL15" s="33"/>
      <c r="AM15" s="19">
        <f>+AR15</f>
        <v>44.02</v>
      </c>
      <c r="AN15" s="19"/>
      <c r="AO15" s="19"/>
      <c r="AP15" s="19"/>
      <c r="AQ15" s="19"/>
      <c r="AR15" s="19">
        <f>+AW15</f>
        <v>44.02</v>
      </c>
      <c r="AS15" s="19"/>
      <c r="AT15" s="19"/>
      <c r="AU15" s="19"/>
      <c r="AV15" s="19"/>
      <c r="AW15" s="19">
        <f>+BB15</f>
        <v>44.02</v>
      </c>
      <c r="AX15" s="19"/>
      <c r="AY15" s="19"/>
      <c r="AZ15" s="19"/>
      <c r="BA15" s="19"/>
      <c r="BB15" s="19">
        <f>+BG15</f>
        <v>44.02</v>
      </c>
      <c r="BC15" s="961"/>
      <c r="BD15" s="961"/>
      <c r="BE15" s="961"/>
      <c r="BF15" s="961"/>
      <c r="BG15" s="19">
        <f>+BL15</f>
        <v>44.02</v>
      </c>
      <c r="BH15" s="961"/>
      <c r="BI15" s="961"/>
      <c r="BJ15" s="961"/>
      <c r="BK15" s="961"/>
      <c r="BL15" s="19">
        <f>BQ15</f>
        <v>44.02</v>
      </c>
      <c r="BM15" s="961"/>
      <c r="BN15" s="961"/>
      <c r="BO15" s="961"/>
      <c r="BP15" s="961"/>
      <c r="BQ15" s="961">
        <v>44.02</v>
      </c>
      <c r="BT15" s="20"/>
      <c r="BU15" s="26" t="s">
        <v>472</v>
      </c>
      <c r="BX15" s="700">
        <f>ROUND(BX14,0)</f>
        <v>40</v>
      </c>
      <c r="BY15" s="700">
        <f>ROUND(BY14,0)</f>
        <v>50</v>
      </c>
      <c r="BZ15" s="700">
        <f>ROUND(BZ14,0)</f>
        <v>54</v>
      </c>
      <c r="CL15" s="986" t="s">
        <v>663</v>
      </c>
      <c r="CM15" s="987">
        <f>CM14*CM12</f>
        <v>1.9820048476523913</v>
      </c>
    </row>
    <row r="16" spans="1:95" x14ac:dyDescent="0.2">
      <c r="BY16" s="513"/>
    </row>
    <row r="17" spans="2:110" x14ac:dyDescent="0.2">
      <c r="C17" t="s">
        <v>17</v>
      </c>
      <c r="S17" s="35"/>
      <c r="X17" s="35"/>
      <c r="AC17" s="35"/>
      <c r="AH17" s="35"/>
      <c r="AM17" s="35">
        <f>+AM14/AM15-1</f>
        <v>-6.6887798099711349E-2</v>
      </c>
      <c r="AR17" s="35">
        <f>+AR14/AR15-1</f>
        <v>-6.3794451452002687E-2</v>
      </c>
      <c r="AW17" s="35">
        <f>+AW14/AW15-1</f>
        <v>-6.9729869170023551E-2</v>
      </c>
      <c r="BB17" s="35">
        <f>+BB14/BB15-1</f>
        <v>5.3643326893721976E-2</v>
      </c>
      <c r="BG17" s="35">
        <f>+BG14/BG15-1</f>
        <v>4.4943326093547231E-2</v>
      </c>
      <c r="BL17" s="35">
        <f>+BL14/BL15-1</f>
        <v>3.6969183065966194E-2</v>
      </c>
      <c r="BQ17" s="35">
        <f>+BQ14/BQ15-1</f>
        <v>5.2576878579843722E-2</v>
      </c>
      <c r="BU17" t="s">
        <v>16</v>
      </c>
      <c r="BV17" s="26"/>
      <c r="BX17" s="19">
        <f>+$AM$15</f>
        <v>44.02</v>
      </c>
      <c r="BY17" s="19">
        <f>+$AM$15</f>
        <v>44.02</v>
      </c>
      <c r="BZ17" s="19">
        <f>+$AM$15</f>
        <v>44.02</v>
      </c>
    </row>
    <row r="18" spans="2:110" x14ac:dyDescent="0.2">
      <c r="C18" t="s">
        <v>18</v>
      </c>
      <c r="S18" s="36"/>
      <c r="Y18" s="35"/>
      <c r="Z18" s="35"/>
      <c r="AA18" s="35"/>
      <c r="AB18" s="35"/>
      <c r="AC18" s="36"/>
      <c r="AD18" s="35"/>
      <c r="AE18" s="35"/>
      <c r="AF18" s="35"/>
      <c r="AG18" s="35"/>
      <c r="AH18" s="35"/>
      <c r="AI18" s="35"/>
      <c r="AJ18" s="35"/>
      <c r="AK18" s="35"/>
      <c r="AL18" s="35"/>
      <c r="AM18" s="35">
        <f>Financial!AM57</f>
        <v>2.9077691958200817E-2</v>
      </c>
      <c r="AN18" s="35"/>
      <c r="AO18" s="35"/>
      <c r="AP18" s="35"/>
      <c r="AQ18" s="35"/>
      <c r="AR18" s="35">
        <f>Financial!AR57</f>
        <v>3.0895047705588367E-2</v>
      </c>
      <c r="AS18" s="35"/>
      <c r="AT18" s="35"/>
      <c r="AU18" s="35"/>
      <c r="AV18" s="35"/>
      <c r="AW18" s="35">
        <f>Financial!AW57</f>
        <v>3.2712403452975915E-2</v>
      </c>
      <c r="AX18" s="35"/>
      <c r="AY18" s="35"/>
      <c r="AZ18" s="35"/>
      <c r="BA18" s="35"/>
      <c r="BB18" s="35">
        <f>Financial!BB57</f>
        <v>3.4675147660154469E-2</v>
      </c>
      <c r="BC18" s="35"/>
      <c r="BD18" s="35"/>
      <c r="BE18" s="35"/>
      <c r="BF18" s="35"/>
      <c r="BG18" s="35">
        <f>Financial!BG57</f>
        <v>3.6755656519763744E-2</v>
      </c>
      <c r="BH18" s="35"/>
      <c r="BI18" s="35"/>
      <c r="BJ18" s="35"/>
      <c r="BK18" s="35"/>
      <c r="BL18" s="35">
        <f>Financial!BL57</f>
        <v>3.8960995910949571E-2</v>
      </c>
      <c r="BM18" s="35"/>
      <c r="BN18" s="35"/>
      <c r="BO18" s="35"/>
      <c r="BP18" s="35"/>
      <c r="BQ18" s="35">
        <f>Financial!BQ57</f>
        <v>4.1298655665606546E-2</v>
      </c>
      <c r="BU18" t="s">
        <v>17</v>
      </c>
      <c r="BV18" s="26"/>
      <c r="BX18" s="35">
        <f>+BX14/BX17-1</f>
        <v>-9.7854911391316524E-2</v>
      </c>
      <c r="BY18" s="35">
        <f>+BY14/BY17-1</f>
        <v>0.14221559116361315</v>
      </c>
      <c r="BZ18" s="35">
        <f>+BZ14/BZ17-1</f>
        <v>0.23122862081569728</v>
      </c>
    </row>
    <row r="19" spans="2:110" x14ac:dyDescent="0.2">
      <c r="C19" s="27" t="s">
        <v>19</v>
      </c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9"/>
      <c r="T19" s="38"/>
      <c r="U19" s="38"/>
      <c r="V19" s="38"/>
      <c r="W19" s="38"/>
      <c r="X19" s="39"/>
      <c r="Y19" s="38"/>
      <c r="Z19" s="38"/>
      <c r="AA19" s="38"/>
      <c r="AB19" s="38"/>
      <c r="AC19" s="39"/>
      <c r="AD19" s="38"/>
      <c r="AE19" s="38"/>
      <c r="AF19" s="38"/>
      <c r="AG19" s="38"/>
      <c r="AH19" s="39"/>
      <c r="AI19" s="38"/>
      <c r="AJ19" s="38"/>
      <c r="AK19" s="38"/>
      <c r="AL19" s="38"/>
      <c r="AM19" s="39">
        <f>+AM18+AM17</f>
        <v>-3.7810106141510536E-2</v>
      </c>
      <c r="AN19" s="38"/>
      <c r="AO19" s="38"/>
      <c r="AP19" s="38"/>
      <c r="AQ19" s="38"/>
      <c r="AR19" s="39">
        <f>+AR18+AR17</f>
        <v>-3.289940374641432E-2</v>
      </c>
      <c r="AS19" s="38"/>
      <c r="AT19" s="38"/>
      <c r="AU19" s="38"/>
      <c r="AV19" s="38"/>
      <c r="AW19" s="39">
        <f>+AW18+AW17</f>
        <v>-3.7017465717047636E-2</v>
      </c>
      <c r="AX19" s="38"/>
      <c r="AY19" s="38"/>
      <c r="AZ19" s="38"/>
      <c r="BA19" s="38"/>
      <c r="BB19" s="39">
        <f>+BB18+BB17</f>
        <v>8.8318474553876453E-2</v>
      </c>
      <c r="BC19" s="38"/>
      <c r="BD19" s="38"/>
      <c r="BE19" s="38"/>
      <c r="BF19" s="38"/>
      <c r="BG19" s="39">
        <f>+BG18+BG17</f>
        <v>8.1698982613310975E-2</v>
      </c>
      <c r="BH19" s="38"/>
      <c r="BI19" s="38"/>
      <c r="BJ19" s="38"/>
      <c r="BK19" s="38"/>
      <c r="BL19" s="39">
        <f>+BL18+BL17</f>
        <v>7.5930178976915758E-2</v>
      </c>
      <c r="BM19" s="38"/>
      <c r="BN19" s="38"/>
      <c r="BO19" s="38"/>
      <c r="BP19" s="38"/>
      <c r="BQ19" s="40">
        <f>+BQ18+BQ17</f>
        <v>9.3875534245450268E-2</v>
      </c>
      <c r="BU19" t="s">
        <v>18</v>
      </c>
      <c r="BV19" s="20"/>
      <c r="BX19" s="35">
        <f>+$AW$18</f>
        <v>3.2712403452975915E-2</v>
      </c>
      <c r="BY19" s="35">
        <f>+$AW$18</f>
        <v>3.2712403452975915E-2</v>
      </c>
      <c r="BZ19" s="35">
        <f>+$AW$18</f>
        <v>3.2712403452975915E-2</v>
      </c>
    </row>
    <row r="20" spans="2:110" x14ac:dyDescent="0.2">
      <c r="X20" s="33"/>
      <c r="AC20" s="33"/>
      <c r="AH20" s="33"/>
      <c r="AM20" s="33"/>
      <c r="AR20" s="33"/>
      <c r="AW20" s="33"/>
      <c r="BB20" s="33"/>
      <c r="BG20" s="33"/>
      <c r="BL20" s="33"/>
      <c r="BQ20" s="33"/>
      <c r="BU20" s="27" t="s">
        <v>19</v>
      </c>
      <c r="BV20" s="38"/>
      <c r="BW20" s="38"/>
      <c r="BX20" s="39">
        <f>+BX19+BX18</f>
        <v>-6.5142507938340616E-2</v>
      </c>
      <c r="BY20" s="39">
        <f>+BY19+BY18</f>
        <v>0.17492799461658906</v>
      </c>
      <c r="BZ20" s="40">
        <f>+BZ19+BZ18</f>
        <v>0.26394102426867322</v>
      </c>
    </row>
    <row r="21" spans="2:110" x14ac:dyDescent="0.2">
      <c r="C21" s="45" t="s">
        <v>467</v>
      </c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674"/>
      <c r="T21" s="674"/>
      <c r="U21" s="674"/>
      <c r="V21" s="674"/>
      <c r="W21" s="674"/>
      <c r="X21" s="706"/>
      <c r="Y21" s="706"/>
      <c r="Z21" s="706"/>
      <c r="AA21" s="706"/>
      <c r="AB21" s="706"/>
      <c r="AC21" s="706"/>
      <c r="AD21" s="750"/>
      <c r="AE21" s="750"/>
      <c r="AF21" s="750"/>
      <c r="AG21" s="750"/>
      <c r="AH21" s="706"/>
      <c r="AI21" s="45"/>
      <c r="AJ21" s="45"/>
      <c r="AK21" s="45"/>
      <c r="AL21" s="45"/>
      <c r="AM21" s="706"/>
      <c r="AN21" s="45"/>
      <c r="AO21" s="45"/>
      <c r="AP21" s="45"/>
      <c r="AQ21" s="45"/>
      <c r="AR21" s="762"/>
      <c r="AS21" s="45"/>
      <c r="AT21" s="45"/>
      <c r="AU21" s="45"/>
      <c r="AV21" s="45"/>
      <c r="AW21" s="762"/>
      <c r="AX21" s="45"/>
      <c r="AY21" s="45"/>
      <c r="AZ21" s="45"/>
      <c r="BA21" s="45"/>
      <c r="BB21" s="762">
        <v>2.4260000000000002</v>
      </c>
      <c r="BC21" s="45"/>
      <c r="BD21" s="45"/>
      <c r="BE21" s="45"/>
      <c r="BF21" s="45"/>
      <c r="BG21" s="762">
        <v>2.597</v>
      </c>
      <c r="BH21" s="45"/>
      <c r="BI21" s="45"/>
      <c r="BJ21" s="45"/>
      <c r="BK21" s="45"/>
      <c r="BL21" s="762">
        <v>2.7549999999999999</v>
      </c>
      <c r="BM21" s="45"/>
      <c r="BN21" s="45"/>
      <c r="BO21" s="45"/>
      <c r="BP21" s="45"/>
      <c r="BQ21" s="762">
        <v>2.93</v>
      </c>
    </row>
    <row r="22" spans="2:110" x14ac:dyDescent="0.2">
      <c r="X22" s="53"/>
      <c r="AC22" s="53"/>
    </row>
    <row r="23" spans="2:110" x14ac:dyDescent="0.2">
      <c r="X23" s="53"/>
      <c r="AC23" s="53"/>
    </row>
    <row r="24" spans="2:110" x14ac:dyDescent="0.2">
      <c r="B24" s="16" t="s">
        <v>20</v>
      </c>
      <c r="C24" s="16"/>
      <c r="D24" s="17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 t="s">
        <v>523</v>
      </c>
      <c r="Y24" s="18"/>
      <c r="Z24" s="18"/>
      <c r="AA24" s="18"/>
      <c r="AB24" s="18"/>
      <c r="AC24" s="18" t="s">
        <v>538</v>
      </c>
      <c r="AD24" s="18"/>
      <c r="AE24" s="18"/>
      <c r="AF24" s="18"/>
      <c r="AG24" s="18"/>
      <c r="AH24" s="18" t="s">
        <v>551</v>
      </c>
      <c r="AI24" s="18"/>
      <c r="AJ24" s="18"/>
      <c r="AK24" s="18"/>
      <c r="AL24" s="18"/>
      <c r="AM24" s="18" t="s">
        <v>571</v>
      </c>
      <c r="AN24" s="18"/>
      <c r="AO24" s="18"/>
      <c r="AP24" s="18"/>
      <c r="AQ24" s="18"/>
      <c r="AR24" s="18" t="s">
        <v>604</v>
      </c>
      <c r="AS24" s="18"/>
      <c r="AT24" s="18"/>
      <c r="AU24" s="18"/>
      <c r="AV24" s="18"/>
      <c r="AW24" s="18" t="s">
        <v>665</v>
      </c>
      <c r="AX24" s="18"/>
      <c r="AY24" s="18"/>
      <c r="AZ24" s="18"/>
      <c r="BA24" s="18"/>
      <c r="BB24" s="18" t="s">
        <v>535</v>
      </c>
      <c r="BC24" s="18"/>
      <c r="BD24" s="18"/>
      <c r="BE24" s="18"/>
      <c r="BF24" s="18"/>
      <c r="BG24" s="18" t="s">
        <v>559</v>
      </c>
      <c r="BH24" s="18"/>
      <c r="BI24" s="18"/>
      <c r="BJ24" s="18"/>
      <c r="BK24" s="18"/>
      <c r="BL24" s="18" t="s">
        <v>598</v>
      </c>
      <c r="BM24" s="18"/>
      <c r="BN24" s="18"/>
      <c r="BO24" s="18"/>
      <c r="BP24" s="18"/>
      <c r="BQ24" s="18" t="s">
        <v>669</v>
      </c>
      <c r="BT24" s="16" t="s">
        <v>21</v>
      </c>
      <c r="BU24" s="16"/>
      <c r="BV24" s="17"/>
      <c r="BW24" s="18" t="s">
        <v>505</v>
      </c>
      <c r="BX24" s="18" t="s">
        <v>523</v>
      </c>
      <c r="BY24" s="18" t="s">
        <v>538</v>
      </c>
      <c r="BZ24" s="18" t="s">
        <v>551</v>
      </c>
      <c r="CA24" s="18" t="s">
        <v>571</v>
      </c>
      <c r="CB24" s="18" t="s">
        <v>604</v>
      </c>
      <c r="CC24" s="18" t="s">
        <v>665</v>
      </c>
      <c r="CD24" s="18" t="s">
        <v>535</v>
      </c>
      <c r="CE24" s="18" t="s">
        <v>559</v>
      </c>
      <c r="CF24" s="18" t="s">
        <v>598</v>
      </c>
      <c r="CG24" s="18" t="s">
        <v>669</v>
      </c>
      <c r="CZ24" s="846" t="s">
        <v>626</v>
      </c>
      <c r="DA24" s="18">
        <v>2016</v>
      </c>
      <c r="DB24" s="18">
        <v>2017</v>
      </c>
      <c r="DC24" s="18">
        <v>2018</v>
      </c>
      <c r="DD24" s="18">
        <v>2019</v>
      </c>
      <c r="DE24" s="18">
        <v>2020</v>
      </c>
      <c r="DF24" s="18">
        <v>2021</v>
      </c>
    </row>
    <row r="25" spans="2:110" x14ac:dyDescent="0.2">
      <c r="C25" s="26" t="s">
        <v>448</v>
      </c>
      <c r="AH25" s="31"/>
      <c r="BU25" s="20" t="s">
        <v>393</v>
      </c>
      <c r="BV25" s="20"/>
      <c r="BW25" s="520">
        <f>AVERAGE('NSP-MN'!S273,'NSP-MN'!N273)</f>
        <v>6878.6204999999991</v>
      </c>
      <c r="BX25" s="520">
        <f>AVERAGE('NSP-MN'!X273,'NSP-MN'!S273)</f>
        <v>7211.875</v>
      </c>
      <c r="BY25" s="520">
        <f>AVERAGE('NSP-MN'!AC273,'NSP-MN'!X273)</f>
        <v>7634.83</v>
      </c>
      <c r="BZ25" s="520">
        <f>AVERAGE('NSP-MN'!AH273,'NSP-MN'!AC273)</f>
        <v>8236.1045000000013</v>
      </c>
      <c r="CA25" s="520">
        <f>AVERAGE('NSP-MN'!AM273,'NSP-MN'!AH273)</f>
        <v>8897.7690000000021</v>
      </c>
      <c r="CB25" s="520">
        <f>AVERAGE('NSP-MN'!AR273,'NSP-MN'!AM273)</f>
        <v>9629.4525000000031</v>
      </c>
      <c r="CC25" s="520">
        <f>AVERAGE('NSP-MN'!AW273,'NSP-MN'!AR273)</f>
        <v>10227.723000000004</v>
      </c>
      <c r="CD25" s="520">
        <f>AVERAGE('NSP-MN'!BB273,'NSP-MN'!AW273)</f>
        <v>10820.66347267423</v>
      </c>
      <c r="CE25" s="520">
        <f>AVERAGE('NSP-MN'!BG273,'NSP-MN'!BB273)</f>
        <v>11448.535291671149</v>
      </c>
      <c r="CF25" s="520">
        <f>AVERAGE('NSP-MN'!BL273,'NSP-MN'!BG273)</f>
        <v>12110.592176047159</v>
      </c>
      <c r="CG25" s="520">
        <f>AVERAGE('NSP-MN'!BQ273,'NSP-MN'!BL273)</f>
        <v>12810.294109944774</v>
      </c>
      <c r="CZ25" s="846" t="s">
        <v>624</v>
      </c>
      <c r="DA25">
        <f>DA31*0.04</f>
        <v>948</v>
      </c>
      <c r="DB25" s="894">
        <f>(($DF$25-$DA$25)/5)+DA25</f>
        <v>1376.4</v>
      </c>
      <c r="DC25" s="894">
        <f>(($DF$25-$DA$25)/5)+DB25</f>
        <v>1804.8000000000002</v>
      </c>
      <c r="DD25" s="894">
        <f>(($DF$25-$DA$25)/5)+DC25</f>
        <v>2233.2000000000003</v>
      </c>
      <c r="DE25" s="894">
        <f>(($DF$25-$DA$25)/5)+DD25</f>
        <v>2661.6000000000004</v>
      </c>
      <c r="DF25">
        <f>DF31*0.1</f>
        <v>3090</v>
      </c>
    </row>
    <row r="26" spans="2:110" x14ac:dyDescent="0.2">
      <c r="C26" t="s">
        <v>449</v>
      </c>
      <c r="X26" s="42">
        <f>+SUM('NSP-MN'!X63:X64,'NSP-MN'!X67)</f>
        <v>0</v>
      </c>
      <c r="Y26" s="42"/>
      <c r="Z26" s="42"/>
      <c r="AA26" s="42"/>
      <c r="AB26" s="42"/>
      <c r="AC26" s="42">
        <f>+SUM('NSP-MN'!AC63:AC64,'NSP-MN'!AC67)</f>
        <v>0</v>
      </c>
      <c r="AD26" s="42"/>
      <c r="AE26" s="42"/>
      <c r="AF26" s="42"/>
      <c r="AG26" s="42"/>
      <c r="AH26" s="42">
        <f>+SUM('NSP-MN'!AH63:AH64,'NSP-MN'!AH67)</f>
        <v>0</v>
      </c>
      <c r="AI26" s="42"/>
      <c r="AJ26" s="42"/>
      <c r="AK26" s="42"/>
      <c r="AL26" s="42"/>
      <c r="AM26" s="42">
        <f>+SUM('NSP-MN'!AM63:AM64,'NSP-MN'!AM67)</f>
        <v>0</v>
      </c>
      <c r="AN26" s="42"/>
      <c r="AO26" s="42"/>
      <c r="AP26" s="42"/>
      <c r="AQ26" s="42"/>
      <c r="AR26" s="42">
        <f>+SUM('NSP-MN'!AR63:AR64,'NSP-MN'!AR67)</f>
        <v>0</v>
      </c>
      <c r="AS26" s="42"/>
      <c r="AT26" s="42"/>
      <c r="AU26" s="42"/>
      <c r="AV26" s="42"/>
      <c r="AW26" s="42">
        <f>+SUM('NSP-MN'!AW63:AW64,'NSP-MN'!AW67)</f>
        <v>0</v>
      </c>
      <c r="AX26" s="42"/>
      <c r="AY26" s="42"/>
      <c r="AZ26" s="42"/>
      <c r="BA26" s="42"/>
      <c r="BB26" s="42">
        <f>+SUM('NSP-MN'!BB63:BB64,'NSP-MN'!BB67)</f>
        <v>60</v>
      </c>
      <c r="BC26" s="42"/>
      <c r="BD26" s="42"/>
      <c r="BE26" s="42"/>
      <c r="BF26" s="42"/>
      <c r="BG26" s="42">
        <f>+SUM('NSP-MN'!BG63:BG64,'NSP-MN'!BG67)</f>
        <v>10</v>
      </c>
      <c r="BH26" s="42"/>
      <c r="BI26" s="42"/>
      <c r="BJ26" s="42"/>
      <c r="BK26" s="42"/>
      <c r="BL26" s="42">
        <f>+SUM('NSP-MN'!BL63:BL64,'NSP-MN'!BL67)</f>
        <v>60</v>
      </c>
      <c r="BM26" s="42"/>
      <c r="BN26" s="42"/>
      <c r="BO26" s="42"/>
      <c r="BP26" s="42"/>
      <c r="BQ26" s="42">
        <f>+SUM('NSP-MN'!BQ63:BQ64,'NSP-MN'!BQ67)</f>
        <v>45</v>
      </c>
      <c r="BU26" s="20" t="s">
        <v>336</v>
      </c>
      <c r="BV26" s="20"/>
      <c r="BW26" s="520">
        <f>AVERAGE(PSCO!S266,PSCO!N266)</f>
        <v>7140.6035000000002</v>
      </c>
      <c r="BX26" s="520">
        <f>AVERAGE(PSCO!X266,PSCO!S266)</f>
        <v>7304.1819999999998</v>
      </c>
      <c r="BY26" s="520">
        <f>AVERAGE(PSCO!AC266,PSCO!X266)</f>
        <v>7760.9290000000001</v>
      </c>
      <c r="BZ26" s="520">
        <f>AVERAGE(PSCO!AH266,PSCO!AC266)</f>
        <v>8328.1005000000005</v>
      </c>
      <c r="CA26" s="520">
        <f>AVERAGE(PSCO!AM266,PSCO!AH266)</f>
        <v>8750.7739999999994</v>
      </c>
      <c r="CB26" s="520">
        <f>AVERAGE(PSCO!AR266,PSCO!AM266)</f>
        <v>9191.4124999999985</v>
      </c>
      <c r="CC26" s="520">
        <f>AVERAGE(PSCO!AW266,PSCO!AR266)</f>
        <v>9726.2164999999986</v>
      </c>
      <c r="CD26" s="520">
        <f>AVERAGE(PSCO!BB266,PSCO!AW266)</f>
        <v>10407.964109730918</v>
      </c>
      <c r="CE26" s="520">
        <f>AVERAGE(PSCO!BG266,PSCO!BB266)</f>
        <v>11142.403250750223</v>
      </c>
      <c r="CF26" s="520">
        <f>AVERAGE(PSCO!BL266,PSCO!BG266)</f>
        <v>11930.875438799936</v>
      </c>
      <c r="CG26" s="520">
        <f>AVERAGE(PSCO!BQ266,PSCO!BL266)</f>
        <v>12773.440813630385</v>
      </c>
      <c r="CZ26" s="846" t="s">
        <v>97</v>
      </c>
      <c r="DA26">
        <f>DA31*0.08</f>
        <v>1896</v>
      </c>
      <c r="DB26" s="894">
        <f>(($DF$26-$DA$26)/5)+DA26</f>
        <v>1949.4</v>
      </c>
      <c r="DC26" s="894">
        <f>(($DF$26-$DA$26)/5)+DB26</f>
        <v>2002.8000000000002</v>
      </c>
      <c r="DD26" s="894">
        <f>(($DF$26-$DA$26)/5)+DC26</f>
        <v>2056.2000000000003</v>
      </c>
      <c r="DE26" s="894">
        <f>(($DF$26-$DA$26)/5)+DD26</f>
        <v>2109.6000000000004</v>
      </c>
      <c r="DF26">
        <f>DF31*0.07</f>
        <v>2163</v>
      </c>
    </row>
    <row r="27" spans="2:110" x14ac:dyDescent="0.2">
      <c r="C27" s="20" t="s">
        <v>426</v>
      </c>
      <c r="X27" s="42">
        <f>'NSP-MN'!X66</f>
        <v>0</v>
      </c>
      <c r="Y27" s="42"/>
      <c r="Z27" s="42"/>
      <c r="AA27" s="42"/>
      <c r="AB27" s="42"/>
      <c r="AC27" s="42">
        <f>'NSP-MN'!AC66</f>
        <v>0</v>
      </c>
      <c r="AD27" s="42"/>
      <c r="AE27" s="42"/>
      <c r="AF27" s="42"/>
      <c r="AG27" s="42"/>
      <c r="AH27" s="42">
        <f>'NSP-MN'!AH66</f>
        <v>0</v>
      </c>
      <c r="AI27" s="42"/>
      <c r="AJ27" s="42"/>
      <c r="AK27" s="42"/>
      <c r="AL27" s="42"/>
      <c r="AM27" s="42">
        <f>'NSP-MN'!AM66</f>
        <v>0</v>
      </c>
      <c r="AN27" s="42"/>
      <c r="AO27" s="42"/>
      <c r="AP27" s="42"/>
      <c r="AQ27" s="42"/>
      <c r="AR27" s="42">
        <f>'NSP-MN'!AR66</f>
        <v>0</v>
      </c>
      <c r="AS27" s="42"/>
      <c r="AT27" s="42"/>
      <c r="AU27" s="42"/>
      <c r="AV27" s="42"/>
      <c r="AW27" s="42">
        <f>'NSP-MN'!AW66</f>
        <v>0</v>
      </c>
      <c r="AX27" s="42"/>
      <c r="AY27" s="42"/>
      <c r="AZ27" s="42"/>
      <c r="BA27" s="42"/>
      <c r="BB27" s="42">
        <f>'NSP-MN'!BB66</f>
        <v>51.010643125853413</v>
      </c>
      <c r="BC27" s="42"/>
      <c r="BD27" s="42"/>
      <c r="BE27" s="42"/>
      <c r="BF27" s="42"/>
      <c r="BG27" s="42">
        <f>'NSP-MN'!BG66</f>
        <v>108.36949164243852</v>
      </c>
      <c r="BH27" s="42"/>
      <c r="BI27" s="42"/>
      <c r="BJ27" s="42"/>
      <c r="BK27" s="42"/>
      <c r="BL27" s="42">
        <f>'NSP-MN'!BL66</f>
        <v>66.943656602682609</v>
      </c>
      <c r="BM27" s="42"/>
      <c r="BN27" s="42"/>
      <c r="BO27" s="42"/>
      <c r="BP27" s="42"/>
      <c r="BQ27" s="42">
        <f>'NSP-MN'!BQ66</f>
        <v>53.4005951473778</v>
      </c>
      <c r="BU27" s="20" t="s">
        <v>338</v>
      </c>
      <c r="BV27" s="20"/>
      <c r="BW27" s="520">
        <f>AVERAGE(SPS!N227,SPS!S227)</f>
        <v>1764.9604999999999</v>
      </c>
      <c r="BX27" s="520">
        <f>AVERAGE(SPS!S227,SPS!X227)</f>
        <v>1991.7129999999997</v>
      </c>
      <c r="BY27" s="520">
        <f>AVERAGE(SPS!AC227,SPS!X227)</f>
        <v>2173.7719999999999</v>
      </c>
      <c r="BZ27" s="520">
        <f>AVERAGE(SPS!AC227,SPS!AH227)</f>
        <v>2439.8424999999997</v>
      </c>
      <c r="CA27" s="520">
        <f>AVERAGE(SPS!AH227,SPS!AM227)</f>
        <v>2954.1170000000002</v>
      </c>
      <c r="CB27" s="520">
        <f>AVERAGE(SPS!AM227,SPS!AR227)</f>
        <v>3323.5529999999999</v>
      </c>
      <c r="CC27" s="520">
        <f>AVERAGE(SPS!AR227,SPS!AW227)</f>
        <v>3624.8504999999996</v>
      </c>
      <c r="CD27" s="520">
        <f>AVERAGE(SPS!AW227,SPS!BB227)</f>
        <v>4065.7649327182262</v>
      </c>
      <c r="CE27" s="520">
        <f>AVERAGE(SPS!BB227,SPS!BG227)</f>
        <v>4562.9846910886299</v>
      </c>
      <c r="CF27" s="520">
        <f>AVERAGE(SPS!BG227,SPS!BL227)</f>
        <v>5123.3802781252907</v>
      </c>
      <c r="CG27" s="520">
        <f>AVERAGE(SPS!BL227,SPS!BQ227)</f>
        <v>5752.7589254102877</v>
      </c>
      <c r="CZ27" s="846" t="s">
        <v>113</v>
      </c>
      <c r="DA27">
        <f>DA31*0.1</f>
        <v>2370</v>
      </c>
      <c r="DB27" s="894">
        <f>(($DF$27-$DA$27)/5)+DA27</f>
        <v>2575.8000000000002</v>
      </c>
      <c r="DC27" s="894">
        <f>(($DF$27-$DA$27)/5)+DB27</f>
        <v>2781.6000000000004</v>
      </c>
      <c r="DD27" s="894">
        <f>(($DF$27-$DA$27)/5)+DC27</f>
        <v>2987.4000000000005</v>
      </c>
      <c r="DE27" s="894">
        <f>(($DF$27-$DA$27)/5)+DD27</f>
        <v>3193.2000000000007</v>
      </c>
      <c r="DF27">
        <f>DF31*0.11</f>
        <v>3399</v>
      </c>
    </row>
    <row r="28" spans="2:110" x14ac:dyDescent="0.2">
      <c r="C28" s="26"/>
      <c r="AH28" s="31"/>
      <c r="BU28" s="20" t="s">
        <v>394</v>
      </c>
      <c r="BV28" s="20"/>
      <c r="BW28" s="520">
        <f>AVERAGE('NSP-WI'!N263,'NSP-WI'!S263)</f>
        <v>747.87499999999977</v>
      </c>
      <c r="BX28" s="520">
        <f>AVERAGE('NSP-WI'!X263,'NSP-WI'!S263)</f>
        <v>792.98299999999972</v>
      </c>
      <c r="BY28" s="520">
        <f>AVERAGE('NSP-WI'!AC263,'NSP-WI'!X263)</f>
        <v>850.98799999999983</v>
      </c>
      <c r="BZ28" s="520">
        <f>AVERAGE('NSP-WI'!AH263,'NSP-WI'!AC263)</f>
        <v>955.3634999999997</v>
      </c>
      <c r="CA28" s="520">
        <f>AVERAGE('NSP-WI'!AM263,'NSP-WI'!AH263)</f>
        <v>1093.8024999999998</v>
      </c>
      <c r="CB28" s="520">
        <f>AVERAGE('NSP-WI'!AR263,'NSP-WI'!AM263)</f>
        <v>1208.0444999999997</v>
      </c>
      <c r="CC28" s="520">
        <f>AVERAGE('NSP-WI'!AW263,'NSP-WI'!AR263)</f>
        <v>1304.4409999999998</v>
      </c>
      <c r="CD28" s="520">
        <f>AVERAGE('NSP-WI'!BB263,'NSP-WI'!AW263)</f>
        <v>1403.2242532260825</v>
      </c>
      <c r="CE28" s="520">
        <f>AVERAGE('NSP-WI'!BG263,'NSP-WI'!BB263)</f>
        <v>1510.3688888185923</v>
      </c>
      <c r="CF28" s="520">
        <f>AVERAGE('NSP-WI'!BL263,'NSP-WI'!BG263)</f>
        <v>1625.3883286759558</v>
      </c>
      <c r="CG28" s="520">
        <f>AVERAGE('NSP-WI'!BQ263,'NSP-WI'!BL263)</f>
        <v>1747.940871461881</v>
      </c>
      <c r="CJ28" s="846" t="s">
        <v>625</v>
      </c>
      <c r="CZ28" s="846" t="s">
        <v>627</v>
      </c>
      <c r="DA28">
        <f>DA31*0.22</f>
        <v>5214</v>
      </c>
      <c r="DB28" s="894">
        <f>(($DF$28-$DA$28)/5)+DA28</f>
        <v>5654.4</v>
      </c>
      <c r="DC28" s="894">
        <f>(($DF$28-$DA$28)/5)+DB28</f>
        <v>6094.7999999999993</v>
      </c>
      <c r="DD28" s="894">
        <f>(($DF$28-$DA$28)/5)+DC28</f>
        <v>6535.1999999999989</v>
      </c>
      <c r="DE28" s="894">
        <f>(($DF$28-$DA$28)/5)+DD28</f>
        <v>6975.5999999999985</v>
      </c>
      <c r="DF28">
        <f>DF31*0.24</f>
        <v>7416</v>
      </c>
    </row>
    <row r="29" spans="2:110" x14ac:dyDescent="0.2">
      <c r="C29" t="s">
        <v>450</v>
      </c>
      <c r="N29" s="42"/>
      <c r="S29" s="50"/>
      <c r="T29" s="648"/>
      <c r="U29" s="648"/>
      <c r="V29" s="648"/>
      <c r="W29" s="648"/>
      <c r="X29" s="50">
        <f>+'NSP-MN'!X60</f>
        <v>-1.3260161016240946E-2</v>
      </c>
      <c r="Y29" s="50"/>
      <c r="Z29" s="50"/>
      <c r="AA29" s="50"/>
      <c r="AB29" s="50"/>
      <c r="AC29" s="50">
        <f>+'NSP-MN'!AC60</f>
        <v>-3.6136755032325496E-3</v>
      </c>
      <c r="AD29" s="50"/>
      <c r="AE29" s="50"/>
      <c r="AF29" s="50"/>
      <c r="AG29" s="50"/>
      <c r="AH29" s="50">
        <f>+'NSP-MN'!AH60</f>
        <v>-5.1851641968662099E-3</v>
      </c>
      <c r="AI29" s="50"/>
      <c r="AJ29" s="50"/>
      <c r="AK29" s="50"/>
      <c r="AL29" s="50"/>
      <c r="AM29" s="50">
        <f>+'NSP-MN'!AM60</f>
        <v>-1.3956137852463635E-2</v>
      </c>
      <c r="AN29" s="50"/>
      <c r="AO29" s="50"/>
      <c r="AP29" s="50"/>
      <c r="AQ29" s="50"/>
      <c r="AR29" s="50">
        <f>+'NSP-MN'!AR60</f>
        <v>5.7770075100993523E-5</v>
      </c>
      <c r="AS29" s="50"/>
      <c r="AT29" s="50"/>
      <c r="AU29" s="50"/>
      <c r="AV29" s="50"/>
      <c r="AW29" s="50">
        <f>+'NSP-MN'!AW60</f>
        <v>-1.6290220091271457E-2</v>
      </c>
      <c r="AX29" s="50"/>
      <c r="AY29" s="50"/>
      <c r="AZ29" s="50"/>
      <c r="BA29" s="50"/>
      <c r="BB29" s="50">
        <f>+'NSP-MN'!BB60</f>
        <v>2.5000000000000001E-3</v>
      </c>
      <c r="BC29" s="50"/>
      <c r="BD29" s="50"/>
      <c r="BE29" s="50"/>
      <c r="BF29" s="50"/>
      <c r="BG29" s="50">
        <f>+'NSP-MN'!BG60</f>
        <v>2.5000000000000001E-3</v>
      </c>
      <c r="BH29" s="50"/>
      <c r="BI29" s="50"/>
      <c r="BJ29" s="50"/>
      <c r="BK29" s="50"/>
      <c r="BL29" s="50">
        <f>+'NSP-MN'!BL60</f>
        <v>2.5000000000000001E-3</v>
      </c>
      <c r="BM29" s="50"/>
      <c r="BN29" s="50"/>
      <c r="BO29" s="50"/>
      <c r="BP29" s="50"/>
      <c r="BQ29" s="50">
        <f>+'NSP-MN'!BQ60</f>
        <v>2.5000000000000001E-3</v>
      </c>
      <c r="BU29" s="26" t="s">
        <v>447</v>
      </c>
      <c r="BW29" s="41">
        <f t="shared" ref="BW29:CB29" si="0">SUM(BW25:BW28)</f>
        <v>16532.059499999996</v>
      </c>
      <c r="BX29" s="41">
        <f t="shared" si="0"/>
        <v>17300.753000000001</v>
      </c>
      <c r="BY29" s="41">
        <f t="shared" si="0"/>
        <v>18420.519</v>
      </c>
      <c r="BZ29" s="41">
        <f t="shared" si="0"/>
        <v>19959.411</v>
      </c>
      <c r="CA29" s="917">
        <f t="shared" si="0"/>
        <v>21696.462500000001</v>
      </c>
      <c r="CB29" s="41">
        <f t="shared" si="0"/>
        <v>23352.462500000001</v>
      </c>
      <c r="CC29" s="41">
        <f>SUM(CC25:CC28)</f>
        <v>24883.231</v>
      </c>
      <c r="CD29" s="41">
        <f>SUM(CD25:CD28)</f>
        <v>26697.616768349457</v>
      </c>
      <c r="CE29" s="41">
        <f>SUM(CE25:CE28)</f>
        <v>28664.292122328596</v>
      </c>
      <c r="CF29" s="41">
        <f>SUM(CF25:CF28)</f>
        <v>30790.236221648342</v>
      </c>
      <c r="CG29" s="41">
        <f>SUM(CG25:CG28)</f>
        <v>33084.434720447331</v>
      </c>
      <c r="CH29" s="41">
        <v>35700</v>
      </c>
      <c r="CJ29" s="865">
        <f>(CH29/CB29)^(1/5)-1</f>
        <v>8.8596933364993635E-2</v>
      </c>
      <c r="CZ29" s="846" t="s">
        <v>628</v>
      </c>
      <c r="DA29">
        <f>DA31*0.25</f>
        <v>5925</v>
      </c>
      <c r="DB29" s="894">
        <f>(($DF$29-$DA$29)/5)+DA29</f>
        <v>6346.8</v>
      </c>
      <c r="DC29" s="894">
        <f>(($DF$29-$DA$29)/5)+DB29</f>
        <v>6768.6</v>
      </c>
      <c r="DD29" s="894">
        <f>(($DF$29-$DA$29)/5)+DC29</f>
        <v>7190.4000000000005</v>
      </c>
      <c r="DE29" s="894">
        <f>(($DF$29-$DA$29)/5)+DD29</f>
        <v>7612.2000000000007</v>
      </c>
      <c r="DF29">
        <f>DF31*0.26</f>
        <v>8034</v>
      </c>
    </row>
    <row r="30" spans="2:110" x14ac:dyDescent="0.2">
      <c r="N30" s="42"/>
      <c r="S30" s="42"/>
      <c r="T30" s="44"/>
      <c r="U30" s="44"/>
      <c r="V30" s="44"/>
      <c r="W30" s="44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W30" s="53"/>
      <c r="BX30" s="53"/>
      <c r="BY30" s="53"/>
      <c r="BZ30" s="53"/>
      <c r="CA30" s="53"/>
      <c r="CB30" s="53"/>
      <c r="CC30" s="53"/>
      <c r="CD30" s="53"/>
      <c r="CE30" s="53"/>
      <c r="CF30" s="53"/>
      <c r="CG30" s="53"/>
      <c r="CZ30" s="846" t="s">
        <v>629</v>
      </c>
      <c r="DA30">
        <f>DA31*0.31</f>
        <v>7347</v>
      </c>
      <c r="DB30" s="894">
        <f>(($DF$30-$DA$30)/5)+DA30</f>
        <v>7237.2</v>
      </c>
      <c r="DC30" s="894">
        <f>(($DF$30-$DA$30)/5)+DB30</f>
        <v>7127.4</v>
      </c>
      <c r="DD30" s="894">
        <f>(($DF$30-$DA$30)/5)+DC30</f>
        <v>7017.5999999999995</v>
      </c>
      <c r="DE30" s="894">
        <f>(($DF$30-$DA$30)/5)+DD30</f>
        <v>6907.7999999999993</v>
      </c>
      <c r="DF30">
        <f>DF31*0.22</f>
        <v>6798</v>
      </c>
    </row>
    <row r="31" spans="2:110" x14ac:dyDescent="0.2">
      <c r="C31" t="s">
        <v>452</v>
      </c>
      <c r="S31" s="35"/>
      <c r="X31" s="35">
        <f>+'NSP-MN'!X77</f>
        <v>9.0510284223035226E-2</v>
      </c>
      <c r="Y31" s="44"/>
      <c r="Z31" s="44"/>
      <c r="AA31" s="44"/>
      <c r="AB31" s="44"/>
      <c r="AC31" s="35">
        <f>+'NSP-MN'!AC77</f>
        <v>9.8129547102905099E-2</v>
      </c>
      <c r="AD31" s="44"/>
      <c r="AE31" s="44"/>
      <c r="AF31" s="44"/>
      <c r="AG31" s="44"/>
      <c r="AH31" s="35">
        <f>+'NSP-MN'!AH77</f>
        <v>9.4433085200163691E-2</v>
      </c>
      <c r="AI31" s="44"/>
      <c r="AJ31" s="44"/>
      <c r="AK31" s="44"/>
      <c r="AL31" s="44"/>
      <c r="AM31" s="35">
        <f>+'NSP-MN'!AM77</f>
        <v>9.4207137451661815E-2</v>
      </c>
      <c r="AN31" s="44"/>
      <c r="AO31" s="44"/>
      <c r="AP31" s="44"/>
      <c r="AQ31" s="44"/>
      <c r="AR31" s="35">
        <f>+'NSP-MN'!AR77</f>
        <v>9.7459697537185572E-2</v>
      </c>
      <c r="AS31" s="44"/>
      <c r="AT31" s="44"/>
      <c r="AU31" s="44"/>
      <c r="AV31" s="44"/>
      <c r="AW31" s="35">
        <f>+'NSP-MN'!AW77</f>
        <v>9.2012318126139817E-2</v>
      </c>
      <c r="AX31" s="44"/>
      <c r="AY31" s="44"/>
      <c r="AZ31" s="44"/>
      <c r="BA31" s="44"/>
      <c r="BB31" s="35">
        <f>+'NSP-MN'!BB77</f>
        <v>8.8704977442916111E-2</v>
      </c>
      <c r="BC31" s="44"/>
      <c r="BD31" s="44"/>
      <c r="BE31" s="44"/>
      <c r="BF31" s="44"/>
      <c r="BG31" s="35">
        <f>+'NSP-MN'!BG77</f>
        <v>9.4797025593740702E-2</v>
      </c>
      <c r="BH31" s="44"/>
      <c r="BI31" s="44"/>
      <c r="BJ31" s="44"/>
      <c r="BK31" s="44"/>
      <c r="BL31" s="35">
        <f>+'NSP-MN'!BL77</f>
        <v>9.3937268547906586E-2</v>
      </c>
      <c r="BM31" s="44"/>
      <c r="BN31" s="44"/>
      <c r="BO31" s="44"/>
      <c r="BP31" s="44"/>
      <c r="BQ31" s="35">
        <f>+'NSP-MN'!BQ77</f>
        <v>9.3829810354336934E-2</v>
      </c>
      <c r="BU31" t="s">
        <v>22</v>
      </c>
      <c r="BW31" s="36">
        <v>0.53500000000000003</v>
      </c>
      <c r="BX31" s="36"/>
      <c r="BY31" s="36">
        <v>0.53500000000000003</v>
      </c>
      <c r="BZ31" s="36">
        <v>0.53500000000000003</v>
      </c>
      <c r="CA31" s="36">
        <v>0.53500000000000003</v>
      </c>
      <c r="CB31" s="36">
        <v>0.53500000000000003</v>
      </c>
      <c r="CC31" s="36">
        <v>0.53500000000000003</v>
      </c>
      <c r="CD31" s="36">
        <v>0.53500000000000003</v>
      </c>
      <c r="CE31" s="36">
        <v>0.53500000000000003</v>
      </c>
      <c r="CF31" s="36">
        <v>0.53500000000000003</v>
      </c>
      <c r="CG31" s="36">
        <v>0.53500000000000003</v>
      </c>
      <c r="DA31">
        <v>23700</v>
      </c>
      <c r="DB31" s="894">
        <f>SUM(DB25:DB30)</f>
        <v>25140</v>
      </c>
      <c r="DC31" s="894">
        <f>SUM(DC25:DC30)</f>
        <v>26580</v>
      </c>
      <c r="DD31" s="894">
        <f>SUM(DD25:DD30)</f>
        <v>28020</v>
      </c>
      <c r="DE31" s="894">
        <f>SUM(DE25:DE30)</f>
        <v>29460</v>
      </c>
      <c r="DF31">
        <v>30900</v>
      </c>
    </row>
    <row r="32" spans="2:110" x14ac:dyDescent="0.2">
      <c r="C32" t="s">
        <v>469</v>
      </c>
      <c r="S32" s="36"/>
      <c r="X32" s="36">
        <f>'NSP-MN'!X283</f>
        <v>0.1037</v>
      </c>
      <c r="AC32" s="36">
        <f>'NSP-MN'!AC283</f>
        <v>9.8299999999999998E-2</v>
      </c>
      <c r="AH32" s="36">
        <f>'NSP-MN'!AH283</f>
        <v>9.8299999999999998E-2</v>
      </c>
      <c r="AM32" s="36">
        <f>'NSP-MN'!AM283</f>
        <v>9.8299999999999998E-2</v>
      </c>
      <c r="AR32" s="36">
        <f>'NSP-MN'!AR283</f>
        <v>9.3004120613799771E-2</v>
      </c>
      <c r="AW32" s="36">
        <f>'NSP-MN'!AW283</f>
        <v>9.3004120613799771E-2</v>
      </c>
      <c r="BB32" s="36">
        <f>'NSP-MN'!BB283</f>
        <v>9.3004120613799771E-2</v>
      </c>
      <c r="BG32" s="36">
        <f>'NSP-MN'!BG283</f>
        <v>9.3004120613799771E-2</v>
      </c>
      <c r="BL32" s="36">
        <f>'NSP-MN'!BL283</f>
        <v>9.3004120613799771E-2</v>
      </c>
      <c r="BQ32" s="36">
        <f>'NSP-MN'!BQ283</f>
        <v>9.3004120613799771E-2</v>
      </c>
      <c r="BU32" t="s">
        <v>23</v>
      </c>
      <c r="BW32" s="36">
        <v>0.1</v>
      </c>
      <c r="BX32" s="36"/>
      <c r="BY32" s="36">
        <f t="shared" ref="BY32:CE32" si="1">BY51/(BY31*BY29)</f>
        <v>0.10161098624874454</v>
      </c>
      <c r="BZ32" s="36">
        <f t="shared" si="1"/>
        <v>9.9322785580467379E-2</v>
      </c>
      <c r="CA32" s="36">
        <f t="shared" si="1"/>
        <v>9.5169569262925052E-2</v>
      </c>
      <c r="CB32" s="36">
        <f>CB51/(CB31*CB29)</f>
        <v>9.3930497103461921E-2</v>
      </c>
      <c r="CC32" s="36">
        <f t="shared" si="1"/>
        <v>9.1858506984005925E-2</v>
      </c>
      <c r="CD32" s="36">
        <f>CD51/(CD31*CD29)</f>
        <v>9.1578359993906941E-2</v>
      </c>
      <c r="CE32" s="36">
        <f t="shared" si="1"/>
        <v>9.2939052599327804E-2</v>
      </c>
      <c r="CF32" s="36">
        <f>CF51/(CF31*CF29)</f>
        <v>9.073301040674038E-2</v>
      </c>
      <c r="CG32" s="36">
        <f>CG51/(CG31*CG29)</f>
        <v>9.0230645614728919E-2</v>
      </c>
    </row>
    <row r="33" spans="3:86" x14ac:dyDescent="0.2">
      <c r="C33" t="s">
        <v>30</v>
      </c>
      <c r="N33" s="42"/>
      <c r="S33" s="647"/>
      <c r="T33" s="44"/>
      <c r="U33" s="44"/>
      <c r="V33" s="44"/>
      <c r="W33" s="44"/>
      <c r="X33" s="647">
        <f>+'NSP-MN'!X280</f>
        <v>0.5210901510700543</v>
      </c>
      <c r="Y33" s="42"/>
      <c r="Z33" s="42"/>
      <c r="AA33" s="42"/>
      <c r="AB33" s="42"/>
      <c r="AC33" s="647">
        <f>+'NSP-MN'!AC280</f>
        <v>0.52501966717308024</v>
      </c>
      <c r="AD33" s="42"/>
      <c r="AE33" s="42"/>
      <c r="AF33" s="42"/>
      <c r="AG33" s="42"/>
      <c r="AH33" s="647">
        <f>+'NSP-MN'!AH280</f>
        <v>0.52061639244818514</v>
      </c>
      <c r="AI33" s="42"/>
      <c r="AJ33" s="42"/>
      <c r="AK33" s="42"/>
      <c r="AL33" s="42"/>
      <c r="AM33" s="647">
        <f>+'NSP-MN'!AM280</f>
        <v>0.52012962912818128</v>
      </c>
      <c r="AN33" s="42"/>
      <c r="AO33" s="42"/>
      <c r="AP33" s="42"/>
      <c r="AQ33" s="42"/>
      <c r="AR33" s="647">
        <f>+'NSP-MN'!AR280</f>
        <v>0.52078058417302509</v>
      </c>
      <c r="AS33" s="42"/>
      <c r="AT33" s="42"/>
      <c r="AU33" s="42"/>
      <c r="AV33" s="42"/>
      <c r="AW33" s="647">
        <f>+'NSP-MN'!AW280</f>
        <v>0.52080888085019117</v>
      </c>
      <c r="AX33" s="42"/>
      <c r="AY33" s="42"/>
      <c r="AZ33" s="42"/>
      <c r="BA33" s="42"/>
      <c r="BB33" s="647">
        <f>+'NSP-MN'!BB280</f>
        <v>0.52254128092928032</v>
      </c>
      <c r="BC33" s="42"/>
      <c r="BD33" s="42"/>
      <c r="BE33" s="42"/>
      <c r="BF33" s="42"/>
      <c r="BG33" s="647">
        <f>+'NSP-MN'!BG280</f>
        <v>0.52781628991451146</v>
      </c>
      <c r="BH33" s="42"/>
      <c r="BI33" s="42"/>
      <c r="BJ33" s="42"/>
      <c r="BK33" s="42"/>
      <c r="BL33" s="647">
        <f>+'NSP-MN'!BL280</f>
        <v>0.52178683876638021</v>
      </c>
      <c r="BM33" s="42"/>
      <c r="BN33" s="42"/>
      <c r="BO33" s="42"/>
      <c r="BP33" s="42"/>
      <c r="BQ33" s="647">
        <f>+'NSP-MN'!BQ280</f>
        <v>0.51427318683973844</v>
      </c>
      <c r="BU33" s="45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</row>
    <row r="34" spans="3:86" x14ac:dyDescent="0.2">
      <c r="N34" s="42"/>
      <c r="S34" s="42"/>
      <c r="T34" s="44"/>
      <c r="U34" s="44"/>
      <c r="V34" s="44"/>
      <c r="W34" s="44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U34" s="26" t="s">
        <v>24</v>
      </c>
      <c r="BW34" s="47">
        <f t="shared" ref="BW34:CB34" si="2">+SUM(BW25:BW28)*BW31*BW32</f>
        <v>884.46518324999988</v>
      </c>
      <c r="BX34" s="47"/>
      <c r="BY34" s="47">
        <f t="shared" si="2"/>
        <v>1001.3739999999996</v>
      </c>
      <c r="BZ34" s="47">
        <f t="shared" si="2"/>
        <v>1060.5970000000009</v>
      </c>
      <c r="CA34" s="47">
        <f t="shared" si="2"/>
        <v>1104.6910000000003</v>
      </c>
      <c r="CB34" s="47">
        <f t="shared" si="2"/>
        <v>1173.527</v>
      </c>
      <c r="CC34" s="47">
        <f>+SUM(CC25:CC28)*CC31*CC32</f>
        <v>1222.8690000000011</v>
      </c>
      <c r="CD34" s="47">
        <f>+SUM(CD25:CD28)*CD31*CD32</f>
        <v>1308.0343182743311</v>
      </c>
      <c r="CE34" s="47">
        <f>+SUM(CE25:CE28)*CE31*CE32</f>
        <v>1425.2572020045834</v>
      </c>
      <c r="CF34" s="47">
        <f>+SUM(CF25:CF28)*CF31*CF32</f>
        <v>1494.6245905857754</v>
      </c>
      <c r="CG34" s="47">
        <f>+SUM(CG25:CG28)*CG31*CG32</f>
        <v>1597.0979989740092</v>
      </c>
    </row>
    <row r="35" spans="3:86" x14ac:dyDescent="0.2">
      <c r="C35" t="s">
        <v>28</v>
      </c>
      <c r="N35" s="42"/>
      <c r="S35" s="50"/>
      <c r="T35" s="648"/>
      <c r="U35" s="648"/>
      <c r="V35" s="648"/>
      <c r="W35" s="648"/>
      <c r="X35" s="50">
        <f>+'NSP-MN'!X69</f>
        <v>3.5351025909558409E-2</v>
      </c>
      <c r="Y35" s="50"/>
      <c r="Z35" s="50"/>
      <c r="AA35" s="50"/>
      <c r="AB35" s="50"/>
      <c r="AC35" s="50">
        <f>+'NSP-MN'!AC69</f>
        <v>6.3097953192500889E-2</v>
      </c>
      <c r="AD35" s="50"/>
      <c r="AE35" s="50"/>
      <c r="AF35" s="50"/>
      <c r="AG35" s="50"/>
      <c r="AH35" s="50">
        <f>+'NSP-MN'!AH69</f>
        <v>4.435190360582153E-2</v>
      </c>
      <c r="AI35" s="50"/>
      <c r="AJ35" s="50"/>
      <c r="AK35" s="50"/>
      <c r="AL35" s="50"/>
      <c r="AM35" s="50">
        <f>+'NSP-MN'!AM69</f>
        <v>-9.2512924599759128E-3</v>
      </c>
      <c r="AN35" s="50"/>
      <c r="AO35" s="50"/>
      <c r="AP35" s="50"/>
      <c r="AQ35" s="50"/>
      <c r="AR35" s="50">
        <f>+'NSP-MN'!AR69</f>
        <v>2.7448088959486361E-2</v>
      </c>
      <c r="AS35" s="50"/>
      <c r="AT35" s="50"/>
      <c r="AU35" s="50"/>
      <c r="AV35" s="50"/>
      <c r="AW35" s="50">
        <f>+'NSP-MN'!AW69</f>
        <v>-2.6246038651841386E-2</v>
      </c>
      <c r="AX35" s="50"/>
      <c r="AY35" s="50"/>
      <c r="AZ35" s="50"/>
      <c r="BA35" s="50"/>
      <c r="BB35" s="50">
        <f>+'NSP-MN'!BB69</f>
        <v>0</v>
      </c>
      <c r="BC35" s="50"/>
      <c r="BD35" s="50"/>
      <c r="BE35" s="50"/>
      <c r="BF35" s="50"/>
      <c r="BG35" s="50">
        <f>+'NSP-MN'!BG69</f>
        <v>0.01</v>
      </c>
      <c r="BH35" s="50"/>
      <c r="BI35" s="50"/>
      <c r="BJ35" s="50"/>
      <c r="BK35" s="50"/>
      <c r="BL35" s="50">
        <f>+'NSP-MN'!BL69</f>
        <v>0.01</v>
      </c>
      <c r="BM35" s="50"/>
      <c r="BN35" s="50"/>
      <c r="BO35" s="50"/>
      <c r="BP35" s="50"/>
      <c r="BQ35" s="50">
        <f>+'NSP-MN'!BQ69</f>
        <v>0.01</v>
      </c>
      <c r="BU35" t="s">
        <v>25</v>
      </c>
      <c r="BW35" s="48">
        <f>Parent!S37</f>
        <v>-56.11100000000004</v>
      </c>
      <c r="BX35" s="48"/>
      <c r="BY35" s="48">
        <f>Parent!AC37</f>
        <v>-32.948999999998819</v>
      </c>
      <c r="BZ35" s="48">
        <f>Parent!AH37</f>
        <v>-39.291000000001276</v>
      </c>
      <c r="CA35" s="48">
        <f>Parent!AM37</f>
        <v>-41.056000000000466</v>
      </c>
      <c r="CB35" s="48">
        <f>Parent!AR37</f>
        <v>-50.147999999997509</v>
      </c>
      <c r="CC35" s="48">
        <f>Parent!AW37</f>
        <v>-51.869000000000838</v>
      </c>
      <c r="CD35" s="48">
        <f>Parent!BB37</f>
        <v>-72.153693762135859</v>
      </c>
      <c r="CE35" s="48">
        <f>Parent!BG37</f>
        <v>-90.54868396106049</v>
      </c>
      <c r="CF35" s="48">
        <f>Parent!BL37</f>
        <v>-99.111730280604448</v>
      </c>
      <c r="CG35" s="48">
        <f>Parent!BQ37</f>
        <v>-104.67801477313384</v>
      </c>
    </row>
    <row r="36" spans="3:86" x14ac:dyDescent="0.2">
      <c r="S36" s="42"/>
      <c r="X36" s="42"/>
      <c r="AC36" s="42"/>
      <c r="AH36" s="42"/>
      <c r="AM36" s="42"/>
      <c r="AR36" s="42"/>
      <c r="AW36" s="42"/>
      <c r="BB36" s="42"/>
      <c r="BG36" s="42"/>
      <c r="BL36" s="42"/>
      <c r="BQ36" s="42"/>
      <c r="BU36" s="26" t="s">
        <v>404</v>
      </c>
      <c r="BW36" s="47">
        <f t="shared" ref="BW36:CB36" si="3">+BW34+BW35</f>
        <v>828.35418324999989</v>
      </c>
      <c r="BX36" s="47"/>
      <c r="BY36" s="47">
        <f t="shared" si="3"/>
        <v>968.42500000000075</v>
      </c>
      <c r="BZ36" s="47">
        <f t="shared" si="3"/>
        <v>1021.3059999999996</v>
      </c>
      <c r="CA36" s="47">
        <f t="shared" si="3"/>
        <v>1063.6349999999998</v>
      </c>
      <c r="CB36" s="47">
        <f t="shared" si="3"/>
        <v>1123.3790000000026</v>
      </c>
      <c r="CC36" s="47">
        <f>+CC34+CC35</f>
        <v>1171.0000000000002</v>
      </c>
      <c r="CD36" s="47">
        <f>+CD34+CD35</f>
        <v>1235.8806245121953</v>
      </c>
      <c r="CE36" s="47">
        <f>+CE34+CE35</f>
        <v>1334.7085180435229</v>
      </c>
      <c r="CF36" s="47">
        <f>+CF34+CF35</f>
        <v>1395.512860305171</v>
      </c>
      <c r="CG36" s="47">
        <f>+CG34+CG35</f>
        <v>1492.4199842008754</v>
      </c>
    </row>
    <row r="37" spans="3:86" x14ac:dyDescent="0.2">
      <c r="C37" s="26" t="s">
        <v>451</v>
      </c>
    </row>
    <row r="38" spans="3:86" x14ac:dyDescent="0.2">
      <c r="C38" t="s">
        <v>449</v>
      </c>
      <c r="N38" s="35"/>
      <c r="O38" s="35"/>
      <c r="P38" s="35"/>
      <c r="Q38" s="35"/>
      <c r="R38" s="35"/>
      <c r="S38" s="42"/>
      <c r="X38" s="42">
        <f>+SUM(PSCO!X63:X64,PSCO!X68)</f>
        <v>0</v>
      </c>
      <c r="AC38" s="42">
        <f>+SUM(PSCO!AC63:AC64,PSCO!AC68)</f>
        <v>0</v>
      </c>
      <c r="AH38" s="42">
        <f>+SUM(PSCO!AH63:AH64,PSCO!AH68)</f>
        <v>0</v>
      </c>
      <c r="AM38" s="42">
        <f>+SUM(PSCO!AM63:AM64,PSCO!AM68)</f>
        <v>0</v>
      </c>
      <c r="AR38" s="42">
        <f>+SUM(PSCO!AR63:AR64,PSCO!AR68)</f>
        <v>0</v>
      </c>
      <c r="AW38" s="42">
        <f>+SUM(PSCO!AW63:AW64,PSCO!AW68)</f>
        <v>0</v>
      </c>
      <c r="BB38" s="42">
        <f>+SUM(PSCO!BB63:BB64,PSCO!BB68)</f>
        <v>43.2</v>
      </c>
      <c r="BG38" s="42">
        <f>+SUM(PSCO!BG63:BG64,PSCO!BG68)</f>
        <v>53.75</v>
      </c>
      <c r="BL38" s="42">
        <f>+SUM(PSCO!BL63:BL64,PSCO!BL68)</f>
        <v>58.900000000000006</v>
      </c>
      <c r="BQ38" s="42">
        <f>+SUM(PSCO!BQ63:BQ64,PSCO!BQ68)</f>
        <v>51.311499999999995</v>
      </c>
      <c r="BU38" t="s">
        <v>26</v>
      </c>
      <c r="BW38" s="48">
        <f>XEL!S60</f>
        <v>485.61500000000001</v>
      </c>
      <c r="BX38" s="48"/>
      <c r="BY38" s="48">
        <f>XEL!AC60</f>
        <v>496.53199999999998</v>
      </c>
      <c r="BZ38" s="48">
        <f>XEL!AH60</f>
        <v>504.11700000000002</v>
      </c>
      <c r="CA38" s="48">
        <f>XEL!AM60</f>
        <v>508.16800000000001</v>
      </c>
      <c r="CB38" s="48">
        <f>XEL!AR60</f>
        <v>509.46499999999997</v>
      </c>
      <c r="CC38" s="48">
        <f>XEL!AW60</f>
        <v>509</v>
      </c>
      <c r="CD38" s="48">
        <f>XEL!BB60</f>
        <v>508.93958545343025</v>
      </c>
      <c r="CE38" s="48">
        <f>XEL!BG60</f>
        <v>510.6887903602908</v>
      </c>
      <c r="CF38" s="48">
        <f>XEL!BL60</f>
        <v>512.43799526715134</v>
      </c>
      <c r="CG38" s="48">
        <f>XEL!BQ60</f>
        <v>514.18720017401188</v>
      </c>
    </row>
    <row r="39" spans="3:86" x14ac:dyDescent="0.2">
      <c r="C39" s="20" t="s">
        <v>426</v>
      </c>
      <c r="N39" s="35"/>
      <c r="O39" s="35"/>
      <c r="P39" s="35"/>
      <c r="Q39" s="35"/>
      <c r="R39" s="35"/>
      <c r="S39" s="42"/>
      <c r="X39" s="42">
        <f>PSCO!X67</f>
        <v>0</v>
      </c>
      <c r="AC39" s="42">
        <f>PSCO!AC67</f>
        <v>0</v>
      </c>
      <c r="AH39" s="42">
        <f>PSCO!AH67</f>
        <v>0</v>
      </c>
      <c r="AM39" s="42">
        <f>PSCO!AM67</f>
        <v>0</v>
      </c>
      <c r="AR39" s="42">
        <f>PSCO!AR67+PSCO!AR66</f>
        <v>0</v>
      </c>
      <c r="AW39" s="42">
        <f>PSCO!AW67+PSCO!AW66</f>
        <v>0</v>
      </c>
      <c r="BB39" s="42">
        <f>PSCO!BB67+PSCO!BB66</f>
        <v>59.733125490326145</v>
      </c>
      <c r="BG39" s="42">
        <f>PSCO!BG67+PSCO!BG66</f>
        <v>8.5547322129037351</v>
      </c>
      <c r="BL39" s="42">
        <f>PSCO!BL67+PSCO!BL66</f>
        <v>8.5547322129037351</v>
      </c>
      <c r="BQ39" s="42">
        <f>PSCO!BQ67+PSCO!BQ66</f>
        <v>16.231491204517095</v>
      </c>
      <c r="BU39" s="27" t="s">
        <v>27</v>
      </c>
      <c r="BV39" s="28"/>
      <c r="BW39" s="29">
        <f t="shared" ref="BW39:CB39" si="4">+BW36/BW38</f>
        <v>1.7057837654314629</v>
      </c>
      <c r="BX39" s="29"/>
      <c r="BY39" s="29">
        <f t="shared" si="4"/>
        <v>1.9503778205634295</v>
      </c>
      <c r="BZ39" s="29">
        <f t="shared" si="4"/>
        <v>2.0259304883588523</v>
      </c>
      <c r="CA39" s="29">
        <f t="shared" si="4"/>
        <v>2.0930774861856705</v>
      </c>
      <c r="CB39" s="29">
        <f t="shared" si="4"/>
        <v>2.2050170276662828</v>
      </c>
      <c r="CC39" s="29">
        <f>+CC36/CC38</f>
        <v>2.3005893909626725</v>
      </c>
      <c r="CD39" s="29">
        <f>+CD36/CD38</f>
        <v>2.4283444633435427</v>
      </c>
      <c r="CE39" s="29">
        <f>+CE36/CE38</f>
        <v>2.6135457508317077</v>
      </c>
      <c r="CF39" s="29">
        <f>+CF36/CF38</f>
        <v>2.7232813983234063</v>
      </c>
      <c r="CG39" s="29">
        <f>+CG36/CG38</f>
        <v>2.9024837329591415</v>
      </c>
      <c r="CH39" s="997"/>
    </row>
    <row r="40" spans="3:86" x14ac:dyDescent="0.2">
      <c r="C40" s="26"/>
      <c r="N40" s="35"/>
      <c r="O40" s="35"/>
      <c r="P40" s="35"/>
      <c r="Q40" s="35"/>
      <c r="R40" s="35"/>
      <c r="AH40" s="31"/>
    </row>
    <row r="41" spans="3:86" x14ac:dyDescent="0.2">
      <c r="C41" t="s">
        <v>450</v>
      </c>
      <c r="N41" s="35"/>
      <c r="O41" s="35"/>
      <c r="P41" s="35"/>
      <c r="Q41" s="35"/>
      <c r="R41" s="35"/>
      <c r="S41" s="50"/>
      <c r="T41" s="648"/>
      <c r="U41" s="648"/>
      <c r="V41" s="648"/>
      <c r="W41" s="648"/>
      <c r="X41" s="50">
        <f>PSCO!X60</f>
        <v>1.0637924375943575E-2</v>
      </c>
      <c r="Y41" s="50"/>
      <c r="Z41" s="50"/>
      <c r="AA41" s="50"/>
      <c r="AB41" s="50"/>
      <c r="AC41" s="50">
        <f>PSCO!AC60</f>
        <v>2.6054331966929301E-3</v>
      </c>
      <c r="AD41" s="50"/>
      <c r="AE41" s="50"/>
      <c r="AF41" s="50"/>
      <c r="AG41" s="50"/>
      <c r="AH41" s="50">
        <f>PSCO!AH60</f>
        <v>-6.5832784726793658E-3</v>
      </c>
      <c r="AI41" s="50"/>
      <c r="AJ41" s="50"/>
      <c r="AK41" s="50"/>
      <c r="AL41" s="50"/>
      <c r="AM41" s="50">
        <f>PSCO!AM60</f>
        <v>1.0114750095915337E-3</v>
      </c>
      <c r="AN41" s="50"/>
      <c r="AO41" s="50"/>
      <c r="AP41" s="50"/>
      <c r="AQ41" s="50"/>
      <c r="AR41" s="50">
        <f>PSCO!AR60</f>
        <v>3.5191637630662687E-3</v>
      </c>
      <c r="AS41" s="50"/>
      <c r="AT41" s="50"/>
      <c r="AU41" s="50"/>
      <c r="AV41" s="50"/>
      <c r="AW41" s="50">
        <f>PSCO!AW60</f>
        <v>-6.0761779104892E-3</v>
      </c>
      <c r="AX41" s="50"/>
      <c r="AY41" s="50"/>
      <c r="AZ41" s="50"/>
      <c r="BA41" s="50"/>
      <c r="BB41" s="50">
        <f>PSCO!BB60</f>
        <v>2.5000000000000001E-3</v>
      </c>
      <c r="BC41" s="50"/>
      <c r="BD41" s="50"/>
      <c r="BE41" s="50"/>
      <c r="BF41" s="50"/>
      <c r="BG41" s="50">
        <f>PSCO!BG60</f>
        <v>2.5000000000000001E-3</v>
      </c>
      <c r="BH41" s="50"/>
      <c r="BI41" s="50"/>
      <c r="BJ41" s="50"/>
      <c r="BK41" s="50"/>
      <c r="BL41" s="50">
        <f>PSCO!BL60</f>
        <v>2.5000000000000001E-3</v>
      </c>
      <c r="BM41" s="50"/>
      <c r="BN41" s="50"/>
      <c r="BO41" s="50"/>
      <c r="BP41" s="50"/>
      <c r="BQ41" s="50">
        <f>PSCO!BQ60</f>
        <v>2.5000000000000001E-3</v>
      </c>
      <c r="BU41" t="s">
        <v>10</v>
      </c>
      <c r="BW41" s="25"/>
      <c r="BX41" s="25"/>
      <c r="BY41" s="25"/>
      <c r="BZ41" s="25"/>
      <c r="CA41" s="25">
        <f>+AM10</f>
        <v>19.624500000000001</v>
      </c>
      <c r="CB41" s="25">
        <f>+AR10</f>
        <v>18.690000000000001</v>
      </c>
      <c r="CC41" s="25">
        <f>+AW10</f>
        <v>17.8</v>
      </c>
      <c r="CD41" s="25">
        <f>+BB10</f>
        <v>19.100000000000001</v>
      </c>
      <c r="CE41" s="25">
        <f>+BG10</f>
        <v>17.600000000000001</v>
      </c>
      <c r="CF41" s="25">
        <f>+BL10</f>
        <v>16.761904761904763</v>
      </c>
      <c r="CG41" s="25">
        <f>+BQ10</f>
        <v>15.963718820861677</v>
      </c>
    </row>
    <row r="42" spans="3:86" x14ac:dyDescent="0.2">
      <c r="N42" s="35"/>
      <c r="O42" s="35"/>
      <c r="P42" s="35"/>
      <c r="Q42" s="35"/>
      <c r="R42" s="35"/>
      <c r="S42" s="42"/>
      <c r="T42" s="44"/>
      <c r="U42" s="44"/>
      <c r="V42" s="44"/>
      <c r="W42" s="44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U42" t="s">
        <v>13</v>
      </c>
      <c r="BW42" s="49"/>
      <c r="BX42" s="49"/>
      <c r="BY42" s="49"/>
      <c r="BZ42" s="49"/>
      <c r="CA42" s="49">
        <f>+AM11</f>
        <v>0</v>
      </c>
      <c r="CB42" s="49">
        <f>+AR11</f>
        <v>0</v>
      </c>
      <c r="CC42" s="49">
        <f>+AW11</f>
        <v>0</v>
      </c>
      <c r="CD42" s="49">
        <f>+BB11</f>
        <v>0</v>
      </c>
      <c r="CE42" s="49">
        <f>+BG11</f>
        <v>0</v>
      </c>
      <c r="CF42" s="49">
        <f>+BL11</f>
        <v>0</v>
      </c>
      <c r="CG42" s="49">
        <f>+BQ11</f>
        <v>0</v>
      </c>
    </row>
    <row r="43" spans="3:86" x14ac:dyDescent="0.2">
      <c r="C43" t="s">
        <v>29</v>
      </c>
      <c r="N43" s="35"/>
      <c r="O43" s="35"/>
      <c r="P43" s="35"/>
      <c r="Q43" s="35"/>
      <c r="R43" s="35"/>
      <c r="S43" s="35"/>
      <c r="X43" s="35">
        <f>+PSCO!X78</f>
        <v>0.11447451545583757</v>
      </c>
      <c r="Y43" s="44"/>
      <c r="Z43" s="44"/>
      <c r="AA43" s="44"/>
      <c r="AB43" s="44"/>
      <c r="AC43" s="35">
        <f>+PSCO!AC78</f>
        <v>0.10553123408498034</v>
      </c>
      <c r="AD43" s="44"/>
      <c r="AE43" s="44"/>
      <c r="AF43" s="44"/>
      <c r="AG43" s="44"/>
      <c r="AH43" s="35">
        <f>+PSCO!AH78</f>
        <v>0.10244943295966695</v>
      </c>
      <c r="AI43" s="44"/>
      <c r="AJ43" s="44"/>
      <c r="AK43" s="44"/>
      <c r="AL43" s="44"/>
      <c r="AM43" s="35">
        <f>+PSCO!AM78</f>
        <v>9.6540992273235773E-2</v>
      </c>
      <c r="AN43" s="44"/>
      <c r="AO43" s="44"/>
      <c r="AP43" s="44"/>
      <c r="AQ43" s="44"/>
      <c r="AR43" s="35">
        <f>+PSCO!AR78</f>
        <v>9.2008367359599039E-2</v>
      </c>
      <c r="AS43" s="44"/>
      <c r="AT43" s="44"/>
      <c r="AU43" s="44"/>
      <c r="AV43" s="44"/>
      <c r="AW43" s="35">
        <f>+PSCO!AW78</f>
        <v>9.0765301070334509E-2</v>
      </c>
      <c r="AX43" s="44"/>
      <c r="AY43" s="44"/>
      <c r="AZ43" s="44"/>
      <c r="BA43" s="44"/>
      <c r="BB43" s="35">
        <f>+PSCO!BB78</f>
        <v>9.1834104882857745E-2</v>
      </c>
      <c r="BC43" s="44"/>
      <c r="BD43" s="44"/>
      <c r="BE43" s="44"/>
      <c r="BF43" s="44"/>
      <c r="BG43" s="35">
        <f>+PSCO!BG78</f>
        <v>8.5366090136604456E-2</v>
      </c>
      <c r="BH43" s="44"/>
      <c r="BI43" s="44"/>
      <c r="BJ43" s="44"/>
      <c r="BK43" s="44"/>
      <c r="BL43" s="35">
        <f>+PSCO!BL78</f>
        <v>8.1919244673437988E-2</v>
      </c>
      <c r="BM43" s="44"/>
      <c r="BN43" s="44"/>
      <c r="BO43" s="44"/>
      <c r="BP43" s="44"/>
      <c r="BQ43" s="35">
        <f>+PSCO!BQ78</f>
        <v>8.1679229048269297E-2</v>
      </c>
      <c r="BU43" t="s">
        <v>15</v>
      </c>
      <c r="BW43" s="25"/>
      <c r="BX43" s="25"/>
      <c r="BY43" s="25"/>
      <c r="BZ43" s="25"/>
      <c r="CA43" s="25">
        <f t="shared" ref="CA43:CF43" si="5">+CA41*(1+CA42)</f>
        <v>19.624500000000001</v>
      </c>
      <c r="CB43" s="25">
        <f t="shared" si="5"/>
        <v>18.690000000000001</v>
      </c>
      <c r="CC43" s="25">
        <f t="shared" si="5"/>
        <v>17.8</v>
      </c>
      <c r="CD43" s="25">
        <f t="shared" si="5"/>
        <v>19.100000000000001</v>
      </c>
      <c r="CE43" s="25">
        <f t="shared" si="5"/>
        <v>17.600000000000001</v>
      </c>
      <c r="CF43" s="25">
        <f t="shared" si="5"/>
        <v>16.761904761904763</v>
      </c>
      <c r="CG43" s="25">
        <f t="shared" ref="CG43" si="6">+CG41*(1+CG42)</f>
        <v>15.963718820861677</v>
      </c>
    </row>
    <row r="44" spans="3:86" x14ac:dyDescent="0.2">
      <c r="C44" t="s">
        <v>468</v>
      </c>
      <c r="S44" s="36"/>
      <c r="X44" s="36">
        <f>PSCO!X277</f>
        <v>0.1</v>
      </c>
      <c r="AC44" s="36">
        <f>PSCO!AC277</f>
        <v>0.1</v>
      </c>
      <c r="AH44" s="36">
        <f>PSCO!AH277</f>
        <v>0.1</v>
      </c>
      <c r="AM44" s="36">
        <f>PSCO!AM277</f>
        <v>0.1</v>
      </c>
      <c r="AR44" s="36">
        <f>PSCO!AR277</f>
        <v>9.7572145845786024E-2</v>
      </c>
      <c r="AW44" s="36">
        <f>PSCO!AW277</f>
        <v>9.7572145845786024E-2</v>
      </c>
      <c r="BB44" s="36">
        <f>PSCO!BB277</f>
        <v>9.7572145845786024E-2</v>
      </c>
      <c r="BG44" s="36">
        <f>PSCO!BG277</f>
        <v>9.7572145845786024E-2</v>
      </c>
      <c r="BL44" s="36">
        <f>PSCO!BL277</f>
        <v>9.7572145845786024E-2</v>
      </c>
      <c r="BQ44" s="36">
        <f>PSCO!BQ277</f>
        <v>9.7572145845786024E-2</v>
      </c>
    </row>
    <row r="45" spans="3:86" x14ac:dyDescent="0.2">
      <c r="C45" t="s">
        <v>30</v>
      </c>
      <c r="S45" s="647"/>
      <c r="T45" s="44"/>
      <c r="U45" s="44"/>
      <c r="V45" s="44"/>
      <c r="W45" s="44"/>
      <c r="X45" s="647">
        <f>+PSCO!X274</f>
        <v>0.54784428854258305</v>
      </c>
      <c r="Y45" s="42"/>
      <c r="Z45" s="42"/>
      <c r="AA45" s="42"/>
      <c r="AB45" s="42"/>
      <c r="AC45" s="647">
        <f>+PSCO!AC274</f>
        <v>0.55356739793988041</v>
      </c>
      <c r="AD45" s="42">
        <f>+PSCO!AD274</f>
        <v>0.53125751009570432</v>
      </c>
      <c r="AE45" s="42">
        <f>+PSCO!AE274</f>
        <v>0.54980354050284663</v>
      </c>
      <c r="AF45" s="42">
        <f>+PSCO!AF274</f>
        <v>0.53755035625348913</v>
      </c>
      <c r="AG45" s="42">
        <f>+PSCO!AG274</f>
        <v>0.53350106157761668</v>
      </c>
      <c r="AH45" s="647">
        <f>+PSCO!AH274</f>
        <v>0.53350106157761668</v>
      </c>
      <c r="AI45" s="42">
        <f>+PSCO!AI274</f>
        <v>0.54948467459374095</v>
      </c>
      <c r="AJ45" s="42">
        <f>+PSCO!AJ274</f>
        <v>0.54210568371883239</v>
      </c>
      <c r="AK45" s="42">
        <f>+PSCO!AK274</f>
        <v>0.54987356635218676</v>
      </c>
      <c r="AL45" s="42">
        <f>+PSCO!AL274</f>
        <v>0.55255368811622874</v>
      </c>
      <c r="AM45" s="647">
        <f>+PSCO!AM274</f>
        <v>0.55255368811622874</v>
      </c>
      <c r="AN45" s="42">
        <f>+PSCO!AN274</f>
        <v>0.55660397028696551</v>
      </c>
      <c r="AO45" s="42">
        <f>+PSCO!AO274</f>
        <v>0.54910618660476918</v>
      </c>
      <c r="AP45" s="42">
        <f>+PSCO!AP274</f>
        <v>0.55297982515018429</v>
      </c>
      <c r="AQ45" s="42">
        <f>+PSCO!AQ274</f>
        <v>0.54806456514691471</v>
      </c>
      <c r="AR45" s="647">
        <f>+PSCO!AR274</f>
        <v>0.54806456514691471</v>
      </c>
      <c r="AS45" s="42">
        <f>+PSCO!AS274</f>
        <v>0.56064897805602676</v>
      </c>
      <c r="AT45" s="42">
        <f>+PSCO!AT274</f>
        <v>0.54205945696790525</v>
      </c>
      <c r="AU45" s="42">
        <f>+PSCO!AU274</f>
        <v>0.54973788331963269</v>
      </c>
      <c r="AV45" s="42">
        <f>+PSCO!AV274</f>
        <v>0.55971606055759471</v>
      </c>
      <c r="AW45" s="647">
        <f>+PSCO!AW274</f>
        <v>0.55971606055759471</v>
      </c>
      <c r="AX45" s="42">
        <f>+PSCO!AX274</f>
        <v>0.56045558387829042</v>
      </c>
      <c r="AY45" s="42">
        <f>+PSCO!AY274</f>
        <v>0.55798899926715873</v>
      </c>
      <c r="AZ45" s="42">
        <f>+PSCO!AZ274</f>
        <v>0.54687989521241887</v>
      </c>
      <c r="BA45" s="42">
        <f>+PSCO!BA274</f>
        <v>0.54797923802788928</v>
      </c>
      <c r="BB45" s="647">
        <f>+PSCO!BB274</f>
        <v>0.54797923802788928</v>
      </c>
      <c r="BC45" s="42"/>
      <c r="BD45" s="42"/>
      <c r="BE45" s="42"/>
      <c r="BF45" s="42"/>
      <c r="BG45" s="647">
        <f>+PSCO!BG274</f>
        <v>0.55532508782989853</v>
      </c>
      <c r="BH45" s="42"/>
      <c r="BI45" s="42"/>
      <c r="BJ45" s="42"/>
      <c r="BK45" s="42"/>
      <c r="BL45" s="647">
        <f>+PSCO!BL274</f>
        <v>0.56199528199495918</v>
      </c>
      <c r="BM45" s="42"/>
      <c r="BN45" s="42"/>
      <c r="BO45" s="42"/>
      <c r="BP45" s="42"/>
      <c r="BQ45" s="647">
        <f>+PSCO!BQ274</f>
        <v>0.56196232411601588</v>
      </c>
      <c r="BU45" s="27" t="s">
        <v>14</v>
      </c>
      <c r="BV45" s="28"/>
      <c r="BW45" s="29"/>
      <c r="BX45" s="29"/>
      <c r="BY45" s="29"/>
      <c r="BZ45" s="29"/>
      <c r="CA45" s="29">
        <f t="shared" ref="CA45:CF45" si="7">+CA43*CA39</f>
        <v>41.07559912765069</v>
      </c>
      <c r="CB45" s="29">
        <f t="shared" si="7"/>
        <v>41.21176824708283</v>
      </c>
      <c r="CC45" s="29">
        <f t="shared" si="7"/>
        <v>40.950491159135574</v>
      </c>
      <c r="CD45" s="29">
        <f t="shared" si="7"/>
        <v>46.381379249861666</v>
      </c>
      <c r="CE45" s="29">
        <f t="shared" si="7"/>
        <v>45.998405214638062</v>
      </c>
      <c r="CF45" s="29">
        <f t="shared" si="7"/>
        <v>45.647383438563764</v>
      </c>
      <c r="CG45" s="29">
        <f t="shared" ref="CG45" si="8">+CG43*CG39</f>
        <v>46.334434195084704</v>
      </c>
      <c r="CH45" s="997"/>
    </row>
    <row r="46" spans="3:86" x14ac:dyDescent="0.2">
      <c r="N46" s="50"/>
      <c r="S46" s="42"/>
      <c r="T46" s="44"/>
      <c r="U46" s="44"/>
      <c r="V46" s="44"/>
      <c r="W46" s="44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U46" t="s">
        <v>16</v>
      </c>
      <c r="BW46" s="33"/>
      <c r="BX46" s="33"/>
      <c r="BY46" s="33"/>
      <c r="BZ46" s="33"/>
      <c r="CA46" s="33">
        <f t="shared" ref="CA46:CG46" si="9">+$BB$15</f>
        <v>44.02</v>
      </c>
      <c r="CB46" s="33">
        <f t="shared" si="9"/>
        <v>44.02</v>
      </c>
      <c r="CC46" s="33">
        <f t="shared" si="9"/>
        <v>44.02</v>
      </c>
      <c r="CD46" s="33">
        <f t="shared" si="9"/>
        <v>44.02</v>
      </c>
      <c r="CE46" s="33">
        <f t="shared" si="9"/>
        <v>44.02</v>
      </c>
      <c r="CF46" s="33">
        <f t="shared" si="9"/>
        <v>44.02</v>
      </c>
      <c r="CG46" s="33">
        <f t="shared" si="9"/>
        <v>44.02</v>
      </c>
    </row>
    <row r="47" spans="3:86" x14ac:dyDescent="0.2">
      <c r="C47" t="s">
        <v>28</v>
      </c>
      <c r="N47" s="35"/>
      <c r="S47" s="50"/>
      <c r="T47" s="648"/>
      <c r="U47" s="648"/>
      <c r="V47" s="648"/>
      <c r="W47" s="648"/>
      <c r="X47" s="50">
        <f>+PSCO!X70</f>
        <v>1.1223185691595194E-2</v>
      </c>
      <c r="Y47" s="50"/>
      <c r="Z47" s="50"/>
      <c r="AA47" s="50"/>
      <c r="AB47" s="50"/>
      <c r="AC47" s="50">
        <f>+PSCO!AC70</f>
        <v>2.6039907130118722E-2</v>
      </c>
      <c r="AD47" s="50"/>
      <c r="AE47" s="50"/>
      <c r="AF47" s="50"/>
      <c r="AG47" s="50"/>
      <c r="AH47" s="50">
        <f>+PSCO!AH70</f>
        <v>-1.382093131249007E-2</v>
      </c>
      <c r="AI47" s="50"/>
      <c r="AJ47" s="50"/>
      <c r="AK47" s="50"/>
      <c r="AL47" s="50"/>
      <c r="AM47" s="50">
        <f>+PSCO!AM70</f>
        <v>1.3454626715581286E-2</v>
      </c>
      <c r="AN47" s="50"/>
      <c r="AO47" s="50"/>
      <c r="AP47" s="50"/>
      <c r="AQ47" s="50"/>
      <c r="AR47" s="50">
        <f>+PSCO!AR70</f>
        <v>6.7594083745792233E-4</v>
      </c>
      <c r="AS47" s="50"/>
      <c r="AT47" s="50"/>
      <c r="AU47" s="50"/>
      <c r="AV47" s="50"/>
      <c r="AW47" s="50">
        <f>+PSCO!AW70</f>
        <v>5.2595958112111596E-4</v>
      </c>
      <c r="AX47" s="50"/>
      <c r="AY47" s="50"/>
      <c r="AZ47" s="50"/>
      <c r="BA47" s="50"/>
      <c r="BB47" s="50">
        <f>+PSCO!BB70</f>
        <v>0</v>
      </c>
      <c r="BC47" s="50"/>
      <c r="BD47" s="50"/>
      <c r="BE47" s="50"/>
      <c r="BF47" s="50"/>
      <c r="BG47" s="50">
        <f>+PSCO!BG70</f>
        <v>0.01</v>
      </c>
      <c r="BH47" s="50"/>
      <c r="BI47" s="50"/>
      <c r="BJ47" s="50"/>
      <c r="BK47" s="50"/>
      <c r="BL47" s="50">
        <f>+PSCO!BL70</f>
        <v>0.01</v>
      </c>
      <c r="BM47" s="50"/>
      <c r="BN47" s="50"/>
      <c r="BO47" s="50"/>
      <c r="BP47" s="50"/>
      <c r="BQ47" s="50">
        <f>+PSCO!BQ70</f>
        <v>0.01</v>
      </c>
      <c r="BU47" t="s">
        <v>17</v>
      </c>
      <c r="BW47" s="35"/>
      <c r="BX47" s="35"/>
      <c r="BY47" s="35"/>
      <c r="BZ47" s="35"/>
      <c r="CA47" s="35">
        <f t="shared" ref="CA47:CF47" si="10">+CA45/CA46-1</f>
        <v>-6.6887798099711793E-2</v>
      </c>
      <c r="CB47" s="35">
        <f t="shared" si="10"/>
        <v>-6.379445145200302E-2</v>
      </c>
      <c r="CC47" s="35">
        <f t="shared" si="10"/>
        <v>-6.9729869170023329E-2</v>
      </c>
      <c r="CD47" s="35">
        <f t="shared" si="10"/>
        <v>5.3643326893722421E-2</v>
      </c>
      <c r="CE47" s="35">
        <f t="shared" si="10"/>
        <v>4.4943326093549674E-2</v>
      </c>
      <c r="CF47" s="35">
        <f t="shared" si="10"/>
        <v>3.6969183065964639E-2</v>
      </c>
      <c r="CG47" s="35">
        <f t="shared" ref="CG47" si="11">+CG45/CG46-1</f>
        <v>5.2576878579843278E-2</v>
      </c>
    </row>
    <row r="48" spans="3:86" x14ac:dyDescent="0.2"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U48" t="s">
        <v>18</v>
      </c>
      <c r="BW48" s="35"/>
      <c r="BX48" s="35"/>
      <c r="BY48" s="35"/>
      <c r="BZ48" s="35"/>
      <c r="CA48" s="35">
        <f t="shared" ref="CA48:CG48" si="12">+$BB$18</f>
        <v>3.4675147660154469E-2</v>
      </c>
      <c r="CB48" s="35">
        <f t="shared" si="12"/>
        <v>3.4675147660154469E-2</v>
      </c>
      <c r="CC48" s="35">
        <f t="shared" si="12"/>
        <v>3.4675147660154469E-2</v>
      </c>
      <c r="CD48" s="35">
        <f t="shared" si="12"/>
        <v>3.4675147660154469E-2</v>
      </c>
      <c r="CE48" s="35">
        <f t="shared" si="12"/>
        <v>3.4675147660154469E-2</v>
      </c>
      <c r="CF48" s="35">
        <f t="shared" si="12"/>
        <v>3.4675147660154469E-2</v>
      </c>
      <c r="CG48" s="35">
        <f t="shared" si="12"/>
        <v>3.4675147660154469E-2</v>
      </c>
    </row>
    <row r="49" spans="73:86" x14ac:dyDescent="0.2">
      <c r="BU49" s="27" t="s">
        <v>19</v>
      </c>
      <c r="BV49" s="38"/>
      <c r="BW49" s="39"/>
      <c r="BX49" s="39"/>
      <c r="BY49" s="39"/>
      <c r="BZ49" s="39"/>
      <c r="CA49" s="39">
        <f t="shared" ref="CA49:CF49" si="13">+CA48+CA47</f>
        <v>-3.2212650439557323E-2</v>
      </c>
      <c r="CB49" s="39">
        <f t="shared" si="13"/>
        <v>-2.9119303791848551E-2</v>
      </c>
      <c r="CC49" s="39">
        <f t="shared" si="13"/>
        <v>-3.5054721509868859E-2</v>
      </c>
      <c r="CD49" s="39">
        <f t="shared" si="13"/>
        <v>8.8318474553876897E-2</v>
      </c>
      <c r="CE49" s="39">
        <f t="shared" si="13"/>
        <v>7.961847375370415E-2</v>
      </c>
      <c r="CF49" s="39">
        <f t="shared" si="13"/>
        <v>7.1644330726119115E-2</v>
      </c>
      <c r="CG49" s="39">
        <f t="shared" ref="CG49" si="14">+CG48+CG47</f>
        <v>8.7252026239997754E-2</v>
      </c>
      <c r="CH49" s="997"/>
    </row>
    <row r="51" spans="73:86" x14ac:dyDescent="0.2">
      <c r="BU51" t="s">
        <v>536</v>
      </c>
      <c r="BY51" s="42">
        <f>SUM(Financial!AC10:AC13)*Financial!AC47</f>
        <v>1001.3739999999996</v>
      </c>
      <c r="BZ51" s="42">
        <f>SUM(Financial!AH10:AH13)*Financial!AH47</f>
        <v>1060.5970000000009</v>
      </c>
      <c r="CA51" s="42">
        <f>SUM(Financial!AM10:AM13)*Financial!AM47</f>
        <v>1104.6910000000003</v>
      </c>
      <c r="CB51" s="42">
        <f>SUM(Financial!AR10:AR13)*Financial!AR47</f>
        <v>1173.527</v>
      </c>
      <c r="CC51" s="42">
        <f>SUM(Financial!AW10:AW13)*Financial!AW47</f>
        <v>1222.8690000000011</v>
      </c>
      <c r="CD51" s="42">
        <f>SUM(Financial!BB10:BB13)*Financial!BB47</f>
        <v>1308.0343182743311</v>
      </c>
      <c r="CE51" s="42">
        <f>SUM(Financial!BG10:BG13)*Financial!BG47</f>
        <v>1425.2572020045834</v>
      </c>
      <c r="CF51" s="42">
        <f>SUM(Financial!BL10:BL13)*Financial!BL47</f>
        <v>1494.6245905857754</v>
      </c>
      <c r="CG51" s="42">
        <f>SUM(Financial!BQ10:BQ13)*Financial!BQ47</f>
        <v>1597.0979989740092</v>
      </c>
    </row>
    <row r="53" spans="73:86" x14ac:dyDescent="0.2">
      <c r="BW53" s="35"/>
    </row>
    <row r="54" spans="73:86" x14ac:dyDescent="0.2">
      <c r="CB54" s="882"/>
      <c r="CC54" s="882"/>
      <c r="CD54" s="882"/>
      <c r="CE54" s="882"/>
      <c r="CF54" s="882"/>
      <c r="CG54" s="882"/>
    </row>
    <row r="55" spans="73:86" x14ac:dyDescent="0.2">
      <c r="CC55" s="882"/>
      <c r="CD55" s="882"/>
      <c r="CE55" s="882"/>
      <c r="CF55" s="882"/>
      <c r="CG55" s="882"/>
    </row>
  </sheetData>
  <phoneticPr fontId="45" type="noConversion"/>
  <pageMargins left="0.1" right="0.03" top="0.08" bottom="7.0000000000000007E-2" header="0" footer="0"/>
  <pageSetup scale="58" orientation="landscape" r:id="rId1"/>
  <headerFooter alignWithMargins="0"/>
  <colBreaks count="1" manualBreakCount="1">
    <brk id="79" max="1048575" man="1"/>
  </colBreaks>
  <cellWatches>
    <cellWatch r="BY14"/>
  </cellWatche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EJ71"/>
  <sheetViews>
    <sheetView zoomScale="80" workbookViewId="0">
      <pane ySplit="5" topLeftCell="A6" activePane="bottomLeft" state="frozen"/>
      <selection pane="bottomLeft" activeCell="A6" sqref="A6"/>
    </sheetView>
  </sheetViews>
  <sheetFormatPr defaultRowHeight="12.75" outlineLevelCol="1" x14ac:dyDescent="0.2"/>
  <cols>
    <col min="1" max="2" width="2.5703125" customWidth="1"/>
    <col min="3" max="3" width="40.7109375" customWidth="1"/>
    <col min="4" max="4" width="2.7109375" customWidth="1"/>
    <col min="5" max="8" width="1.7109375" hidden="1" customWidth="1" outlineLevel="1"/>
    <col min="9" max="9" width="8.28515625" hidden="1" customWidth="1" collapsed="1"/>
    <col min="10" max="13" width="1.7109375" hidden="1" customWidth="1" outlineLevel="1"/>
    <col min="14" max="14" width="8.28515625" hidden="1" customWidth="1" collapsed="1"/>
    <col min="15" max="18" width="8.28515625" hidden="1" customWidth="1" outlineLevel="1"/>
    <col min="19" max="19" width="8.28515625" hidden="1" customWidth="1" collapsed="1"/>
    <col min="20" max="23" width="1.7109375" hidden="1" customWidth="1" outlineLevel="1"/>
    <col min="24" max="24" width="8.28515625" hidden="1" customWidth="1" collapsed="1"/>
    <col min="25" max="28" width="1.7109375" hidden="1" customWidth="1" outlineLevel="1"/>
    <col min="29" max="29" width="8.28515625" customWidth="1" collapsed="1"/>
    <col min="30" max="33" width="1.7109375" hidden="1" customWidth="1" outlineLevel="1"/>
    <col min="34" max="34" width="8.28515625" customWidth="1" collapsed="1"/>
    <col min="35" max="38" width="1.7109375" hidden="1" customWidth="1" outlineLevel="1"/>
    <col min="39" max="39" width="8.28515625" customWidth="1" collapsed="1"/>
    <col min="40" max="43" width="1.7109375" hidden="1" customWidth="1" outlineLevel="1"/>
    <col min="44" max="44" width="8.28515625" customWidth="1" collapsed="1"/>
    <col min="45" max="48" width="1.7109375" hidden="1" customWidth="1" outlineLevel="1"/>
    <col min="49" max="49" width="8.28515625" customWidth="1" collapsed="1"/>
    <col min="50" max="53" width="1.7109375" hidden="1" customWidth="1" outlineLevel="1"/>
    <col min="54" max="54" width="8.28515625" customWidth="1" collapsed="1"/>
    <col min="55" max="58" width="1.7109375" hidden="1" customWidth="1" outlineLevel="1"/>
    <col min="59" max="59" width="8.28515625" customWidth="1" collapsed="1"/>
    <col min="60" max="63" width="1.7109375" hidden="1" customWidth="1" outlineLevel="1"/>
    <col min="64" max="64" width="8.28515625" customWidth="1" collapsed="1"/>
    <col min="65" max="68" width="1.7109375" hidden="1" customWidth="1" outlineLevel="1"/>
    <col min="69" max="69" width="8.28515625" customWidth="1" collapsed="1"/>
    <col min="70" max="70" width="2.7109375" customWidth="1" collapsed="1"/>
    <col min="71" max="72" width="2.7109375" customWidth="1"/>
    <col min="73" max="73" width="40.7109375" customWidth="1"/>
    <col min="74" max="74" width="2.7109375" customWidth="1"/>
    <col min="75" max="78" width="1.7109375" hidden="1" customWidth="1" outlineLevel="1"/>
    <col min="79" max="79" width="8.28515625" hidden="1" customWidth="1" collapsed="1"/>
    <col min="80" max="83" width="1.7109375" hidden="1" customWidth="1" outlineLevel="1"/>
    <col min="84" max="84" width="8.28515625" hidden="1" customWidth="1" collapsed="1"/>
    <col min="85" max="88" width="1.7109375" hidden="1" customWidth="1" outlineLevel="1"/>
    <col min="89" max="89" width="8.28515625" hidden="1" customWidth="1" collapsed="1"/>
    <col min="90" max="93" width="1.7109375" hidden="1" customWidth="1" outlineLevel="1"/>
    <col min="94" max="94" width="8.28515625" customWidth="1" collapsed="1"/>
    <col min="95" max="98" width="1.7109375" hidden="1" customWidth="1" outlineLevel="1"/>
    <col min="99" max="99" width="8.28515625" customWidth="1" collapsed="1"/>
    <col min="100" max="103" width="1.7109375" hidden="1" customWidth="1" outlineLevel="1"/>
    <col min="104" max="104" width="8.28515625" customWidth="1" collapsed="1"/>
    <col min="105" max="108" width="1.7109375" hidden="1" customWidth="1" outlineLevel="1"/>
    <col min="109" max="109" width="8.28515625" customWidth="1" collapsed="1"/>
    <col min="110" max="113" width="1.7109375" hidden="1" customWidth="1" outlineLevel="1"/>
    <col min="114" max="114" width="8.28515625" customWidth="1" collapsed="1"/>
    <col min="115" max="118" width="1.7109375" hidden="1" customWidth="1" outlineLevel="1"/>
    <col min="119" max="119" width="8.28515625" customWidth="1" collapsed="1"/>
    <col min="120" max="123" width="1.7109375" hidden="1" customWidth="1" outlineLevel="1"/>
    <col min="124" max="124" width="8.28515625" customWidth="1" collapsed="1"/>
    <col min="125" max="128" width="1.7109375" hidden="1" customWidth="1" outlineLevel="1"/>
    <col min="129" max="129" width="8.28515625" customWidth="1" collapsed="1"/>
    <col min="130" max="133" width="1.7109375" hidden="1" customWidth="1" outlineLevel="1"/>
    <col min="134" max="134" width="8.28515625" customWidth="1" collapsed="1"/>
    <col min="135" max="138" width="1.7109375" hidden="1" customWidth="1" outlineLevel="1"/>
    <col min="139" max="139" width="8.28515625" customWidth="1" collapsed="1"/>
  </cols>
  <sheetData>
    <row r="1" spans="1:139" ht="15" customHeight="1" x14ac:dyDescent="0.25">
      <c r="A1" s="2"/>
      <c r="B1" s="2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</row>
    <row r="2" spans="1:139" ht="15" customHeight="1" x14ac:dyDescent="0.25">
      <c r="A2" s="2"/>
      <c r="B2" s="2" t="str">
        <f>Cover!$B$2</f>
        <v>Xcel Energy</v>
      </c>
      <c r="C2" s="2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</row>
    <row r="3" spans="1:139" ht="15" customHeight="1" x14ac:dyDescent="0.25">
      <c r="A3" s="6"/>
      <c r="B3" s="6" t="s">
        <v>40</v>
      </c>
      <c r="C3" s="6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</row>
    <row r="4" spans="1:139" x14ac:dyDescent="0.2">
      <c r="A4" s="9"/>
      <c r="B4" s="9" t="s">
        <v>1</v>
      </c>
      <c r="C4" s="9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</row>
    <row r="5" spans="1:139" x14ac:dyDescent="0.2">
      <c r="A5" s="59"/>
      <c r="B5" s="59" t="s">
        <v>41</v>
      </c>
      <c r="C5" s="59"/>
      <c r="D5" s="60"/>
      <c r="E5" s="61"/>
      <c r="F5" s="61"/>
      <c r="G5" s="61"/>
      <c r="H5" s="61"/>
      <c r="I5" s="61">
        <v>2009</v>
      </c>
      <c r="J5" s="61"/>
      <c r="K5" s="61"/>
      <c r="L5" s="61"/>
      <c r="M5" s="61"/>
      <c r="N5" s="61">
        <f>I5+1</f>
        <v>2010</v>
      </c>
      <c r="O5" s="61"/>
      <c r="P5" s="61"/>
      <c r="Q5" s="61"/>
      <c r="R5" s="61"/>
      <c r="S5" s="61">
        <f>N5+1</f>
        <v>2011</v>
      </c>
      <c r="T5" s="61"/>
      <c r="U5" s="61"/>
      <c r="V5" s="61"/>
      <c r="W5" s="61"/>
      <c r="X5" s="61">
        <f>S5+1</f>
        <v>2012</v>
      </c>
      <c r="Y5" s="61"/>
      <c r="Z5" s="61"/>
      <c r="AA5" s="61"/>
      <c r="AB5" s="61"/>
      <c r="AC5" s="61">
        <f>X5+1</f>
        <v>2013</v>
      </c>
      <c r="AD5" s="61"/>
      <c r="AE5" s="61"/>
      <c r="AF5" s="61"/>
      <c r="AG5" s="61"/>
      <c r="AH5" s="61">
        <f>AC5+1</f>
        <v>2014</v>
      </c>
      <c r="AI5" s="61"/>
      <c r="AJ5" s="61"/>
      <c r="AK5" s="61"/>
      <c r="AL5" s="61"/>
      <c r="AM5" s="61">
        <f>AH5+1</f>
        <v>2015</v>
      </c>
      <c r="AN5" s="61"/>
      <c r="AO5" s="61"/>
      <c r="AP5" s="61"/>
      <c r="AQ5" s="61"/>
      <c r="AR5" s="61">
        <f>AM5+1</f>
        <v>2016</v>
      </c>
      <c r="AS5" s="61"/>
      <c r="AT5" s="61"/>
      <c r="AU5" s="61"/>
      <c r="AV5" s="61"/>
      <c r="AW5" s="61">
        <f>AR5+1</f>
        <v>2017</v>
      </c>
      <c r="AX5" s="61"/>
      <c r="AY5" s="61"/>
      <c r="AZ5" s="61"/>
      <c r="BA5" s="61"/>
      <c r="BB5" s="62">
        <f>AW5+1</f>
        <v>2018</v>
      </c>
      <c r="BC5" s="61"/>
      <c r="BD5" s="61"/>
      <c r="BE5" s="61"/>
      <c r="BF5" s="61"/>
      <c r="BG5" s="62">
        <f>BB5+1</f>
        <v>2019</v>
      </c>
      <c r="BH5" s="61"/>
      <c r="BI5" s="61"/>
      <c r="BJ5" s="61"/>
      <c r="BK5" s="61"/>
      <c r="BL5" s="62">
        <f>BG5+1</f>
        <v>2020</v>
      </c>
      <c r="BM5" s="61"/>
      <c r="BN5" s="61"/>
      <c r="BO5" s="61"/>
      <c r="BP5" s="61"/>
      <c r="BQ5" s="62">
        <f>BL5+1</f>
        <v>2021</v>
      </c>
      <c r="BR5" s="59"/>
      <c r="BS5" s="59" t="s">
        <v>41</v>
      </c>
      <c r="BT5" s="59"/>
      <c r="BU5" s="59"/>
      <c r="BV5" s="60"/>
      <c r="BW5" s="61"/>
      <c r="BX5" s="61"/>
      <c r="BY5" s="61"/>
      <c r="BZ5" s="61"/>
      <c r="CA5" s="61">
        <v>2009</v>
      </c>
      <c r="CB5" s="61"/>
      <c r="CC5" s="61"/>
      <c r="CD5" s="61"/>
      <c r="CE5" s="61"/>
      <c r="CF5" s="61">
        <f>CA5+1</f>
        <v>2010</v>
      </c>
      <c r="CG5" s="61"/>
      <c r="CH5" s="61"/>
      <c r="CI5" s="61"/>
      <c r="CJ5" s="61"/>
      <c r="CK5" s="61">
        <f>CF5+1</f>
        <v>2011</v>
      </c>
      <c r="CL5" s="61"/>
      <c r="CM5" s="61"/>
      <c r="CN5" s="61"/>
      <c r="CO5" s="61"/>
      <c r="CP5" s="61">
        <f>CK5+1</f>
        <v>2012</v>
      </c>
      <c r="CQ5" s="61"/>
      <c r="CR5" s="61"/>
      <c r="CS5" s="61"/>
      <c r="CT5" s="61"/>
      <c r="CU5" s="61">
        <f>CP5+1</f>
        <v>2013</v>
      </c>
      <c r="CV5" s="61"/>
      <c r="CW5" s="61"/>
      <c r="CX5" s="61"/>
      <c r="CY5" s="61"/>
      <c r="CZ5" s="61">
        <f>CU5+1</f>
        <v>2014</v>
      </c>
      <c r="DA5" s="61"/>
      <c r="DB5" s="61"/>
      <c r="DC5" s="61"/>
      <c r="DD5" s="61"/>
      <c r="DE5" s="61">
        <f>CZ5+1</f>
        <v>2015</v>
      </c>
      <c r="DF5" s="61"/>
      <c r="DG5" s="61"/>
      <c r="DH5" s="61"/>
      <c r="DI5" s="61"/>
      <c r="DJ5" s="61">
        <f>DE5+1</f>
        <v>2016</v>
      </c>
      <c r="DK5" s="61"/>
      <c r="DL5" s="61"/>
      <c r="DM5" s="61"/>
      <c r="DN5" s="61"/>
      <c r="DO5" s="61">
        <f>DJ5+1</f>
        <v>2017</v>
      </c>
      <c r="DP5" s="61"/>
      <c r="DQ5" s="61"/>
      <c r="DR5" s="61"/>
      <c r="DS5" s="61"/>
      <c r="DT5" s="62">
        <f>DO5+1</f>
        <v>2018</v>
      </c>
      <c r="DU5" s="61"/>
      <c r="DV5" s="61"/>
      <c r="DW5" s="61"/>
      <c r="DX5" s="61"/>
      <c r="DY5" s="62">
        <f>DT5+1</f>
        <v>2019</v>
      </c>
      <c r="DZ5" s="61"/>
      <c r="EA5" s="61"/>
      <c r="EB5" s="61"/>
      <c r="EC5" s="61"/>
      <c r="ED5" s="62">
        <f>DY5+1</f>
        <v>2020</v>
      </c>
      <c r="EE5" s="61"/>
      <c r="EF5" s="61"/>
      <c r="EG5" s="61"/>
      <c r="EH5" s="61"/>
      <c r="EI5" s="62">
        <f>ED5+1</f>
        <v>2021</v>
      </c>
    </row>
    <row r="6" spans="1:139" x14ac:dyDescent="0.2">
      <c r="S6" s="678"/>
    </row>
    <row r="7" spans="1:139" ht="12.75" customHeight="1" x14ac:dyDescent="0.2">
      <c r="B7" s="16" t="s">
        <v>42</v>
      </c>
      <c r="C7" s="16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T7" s="16" t="s">
        <v>43</v>
      </c>
      <c r="BU7" s="16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  <c r="DY7" s="63"/>
      <c r="DZ7" s="63"/>
      <c r="EA7" s="63"/>
      <c r="EB7" s="63"/>
      <c r="EC7" s="63"/>
      <c r="ED7" s="63"/>
      <c r="EE7" s="63"/>
      <c r="EF7" s="63"/>
      <c r="EG7" s="63"/>
      <c r="EH7" s="63"/>
      <c r="EI7" s="63"/>
    </row>
    <row r="8" spans="1:139" ht="12.75" customHeight="1" x14ac:dyDescent="0.2"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</row>
    <row r="9" spans="1:139" ht="12.75" customHeight="1" x14ac:dyDescent="0.2">
      <c r="A9" s="66"/>
      <c r="C9" s="26" t="s">
        <v>44</v>
      </c>
      <c r="D9" s="67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U9" s="26" t="s">
        <v>45</v>
      </c>
      <c r="BV9" s="26"/>
      <c r="BW9" s="26"/>
      <c r="BX9" s="26"/>
      <c r="BY9" s="26"/>
      <c r="BZ9" s="26"/>
      <c r="CA9" s="68">
        <f>+XEL!I215</f>
        <v>115.648</v>
      </c>
      <c r="CB9" s="26"/>
      <c r="CC9" s="26"/>
      <c r="CD9" s="26"/>
      <c r="CE9" s="26"/>
      <c r="CF9" s="68">
        <f>+XEL!N215</f>
        <v>108.437</v>
      </c>
      <c r="CG9" s="26"/>
      <c r="CH9" s="26"/>
      <c r="CI9" s="26"/>
      <c r="CJ9" s="26"/>
      <c r="CK9" s="68">
        <f>+XEL!S215</f>
        <v>60.683999999999997</v>
      </c>
      <c r="CL9" s="26"/>
      <c r="CM9" s="26"/>
      <c r="CN9" s="26"/>
      <c r="CO9" s="26"/>
      <c r="CP9" s="68">
        <f>+XEL!X215</f>
        <v>82.322999999999993</v>
      </c>
      <c r="CQ9" s="26"/>
      <c r="CR9" s="26"/>
      <c r="CS9" s="26"/>
      <c r="CT9" s="26"/>
      <c r="CU9" s="68">
        <f>+XEL!AC215</f>
        <v>107.14400000000001</v>
      </c>
      <c r="CV9" s="26"/>
      <c r="CW9" s="26"/>
      <c r="CX9" s="26"/>
      <c r="CY9" s="26"/>
      <c r="CZ9" s="68">
        <f>+XEL!AH215</f>
        <v>79.608000000000004</v>
      </c>
      <c r="DA9" s="26"/>
      <c r="DB9" s="26"/>
      <c r="DC9" s="26"/>
      <c r="DD9" s="26"/>
      <c r="DE9" s="68">
        <f>+XEL!AM215</f>
        <v>84.94</v>
      </c>
      <c r="DF9" s="26"/>
      <c r="DG9" s="26"/>
      <c r="DH9" s="26"/>
      <c r="DI9" s="26"/>
      <c r="DJ9" s="68">
        <f>+XEL!AR215</f>
        <v>84.475999999999999</v>
      </c>
      <c r="DK9" s="26"/>
      <c r="DL9" s="26"/>
      <c r="DM9" s="26"/>
      <c r="DN9" s="26"/>
      <c r="DO9" s="68">
        <f>+XEL!AW215</f>
        <v>83</v>
      </c>
      <c r="DP9" s="26"/>
      <c r="DQ9" s="26"/>
      <c r="DR9" s="26"/>
      <c r="DS9" s="26"/>
      <c r="DT9" s="68">
        <f>+XEL!BB215</f>
        <v>0</v>
      </c>
      <c r="DU9" s="26"/>
      <c r="DV9" s="26"/>
      <c r="DW9" s="26"/>
      <c r="DX9" s="26"/>
      <c r="DY9" s="68">
        <f>+XEL!BG215</f>
        <v>0</v>
      </c>
      <c r="DZ9" s="26"/>
      <c r="EA9" s="26"/>
      <c r="EB9" s="26"/>
      <c r="EC9" s="26"/>
      <c r="ED9" s="68">
        <f>+XEL!BL215</f>
        <v>1.1368683772161603E-13</v>
      </c>
      <c r="EE9" s="26"/>
      <c r="EF9" s="26"/>
      <c r="EG9" s="26"/>
      <c r="EH9" s="26"/>
      <c r="EI9" s="68">
        <f>+XEL!BQ215</f>
        <v>0</v>
      </c>
    </row>
    <row r="10" spans="1:139" ht="12.75" customHeight="1" x14ac:dyDescent="0.2">
      <c r="A10" s="66"/>
      <c r="B10" s="69"/>
      <c r="C10" s="70" t="s">
        <v>393</v>
      </c>
      <c r="D10" s="71"/>
      <c r="E10" s="33"/>
      <c r="F10" s="33"/>
      <c r="G10" s="33"/>
      <c r="H10" s="33"/>
      <c r="I10" s="56">
        <f>XEL!I85</f>
        <v>0.6426272971678193</v>
      </c>
      <c r="J10" s="56"/>
      <c r="K10" s="56"/>
      <c r="L10" s="56"/>
      <c r="M10" s="56"/>
      <c r="N10" s="56">
        <f>XEL!N85</f>
        <v>0.5917788649326382</v>
      </c>
      <c r="O10" s="56"/>
      <c r="P10" s="56"/>
      <c r="Q10" s="56"/>
      <c r="R10" s="56"/>
      <c r="S10" s="56">
        <f>XEL!S85</f>
        <v>0.72687416986707643</v>
      </c>
      <c r="T10" s="56"/>
      <c r="U10" s="56"/>
      <c r="V10" s="56"/>
      <c r="W10" s="56"/>
      <c r="X10" s="56">
        <f>XEL!X85</f>
        <v>0.69639091463739222</v>
      </c>
      <c r="Y10" s="56"/>
      <c r="Z10" s="56"/>
      <c r="AA10" s="56"/>
      <c r="AB10" s="56"/>
      <c r="AC10" s="56">
        <f>XEL!AC85</f>
        <v>0.79218660630130588</v>
      </c>
      <c r="AD10" s="56"/>
      <c r="AE10" s="56"/>
      <c r="AF10" s="56"/>
      <c r="AG10" s="56"/>
      <c r="AH10" s="56">
        <f>XEL!AH85</f>
        <v>0.80321631684708084</v>
      </c>
      <c r="AI10" s="56"/>
      <c r="AJ10" s="56"/>
      <c r="AK10" s="56"/>
      <c r="AL10" s="56"/>
      <c r="AM10" s="56">
        <f>XEL!AM85</f>
        <v>0.85796429527242968</v>
      </c>
      <c r="AN10" s="56"/>
      <c r="AO10" s="56"/>
      <c r="AP10" s="56"/>
      <c r="AQ10" s="56"/>
      <c r="AR10" s="56">
        <f>XEL!AR85</f>
        <v>0.95932792242843057</v>
      </c>
      <c r="AS10" s="56"/>
      <c r="AT10" s="56"/>
      <c r="AU10" s="56"/>
      <c r="AV10" s="56"/>
      <c r="AW10" s="56">
        <f>XEL!AW85</f>
        <v>0.96290962671905933</v>
      </c>
      <c r="AX10" s="56"/>
      <c r="AY10" s="56"/>
      <c r="AZ10" s="56"/>
      <c r="BA10" s="56"/>
      <c r="BB10" s="56">
        <f>XEL!BB85</f>
        <v>0.9854991501714655</v>
      </c>
      <c r="BC10" s="56"/>
      <c r="BD10" s="56"/>
      <c r="BE10" s="56"/>
      <c r="BF10" s="56"/>
      <c r="BG10" s="56">
        <f>XEL!BG85</f>
        <v>1.121685491754127</v>
      </c>
      <c r="BH10" s="56"/>
      <c r="BI10" s="56"/>
      <c r="BJ10" s="56"/>
      <c r="BK10" s="56"/>
      <c r="BL10" s="56">
        <f>XEL!BL85</f>
        <v>1.1583908126391487</v>
      </c>
      <c r="BM10" s="56"/>
      <c r="BN10" s="56"/>
      <c r="BO10" s="56"/>
      <c r="BP10" s="56"/>
      <c r="BQ10" s="56">
        <f>XEL!BQ85</f>
        <v>1.2021884732736798</v>
      </c>
      <c r="BU10" s="20"/>
      <c r="BV10" s="72"/>
      <c r="CA10" s="64"/>
      <c r="CF10" s="64"/>
      <c r="CK10" s="64"/>
      <c r="CP10" s="64"/>
      <c r="CU10" s="64"/>
      <c r="CZ10" s="64"/>
      <c r="DE10" s="64"/>
      <c r="DJ10" s="64"/>
      <c r="DO10" s="64"/>
      <c r="DT10" s="64"/>
      <c r="DY10" s="64"/>
      <c r="ED10" s="64"/>
      <c r="EI10" s="64"/>
    </row>
    <row r="11" spans="1:139" ht="12.75" customHeight="1" x14ac:dyDescent="0.2">
      <c r="A11" s="66"/>
      <c r="B11" s="69"/>
      <c r="C11" t="s">
        <v>336</v>
      </c>
      <c r="I11" s="56">
        <f>XEL!I86</f>
        <v>0.70726846757769579</v>
      </c>
      <c r="J11" s="56"/>
      <c r="K11" s="56"/>
      <c r="L11" s="56"/>
      <c r="M11" s="56"/>
      <c r="N11" s="56">
        <f>XEL!N86</f>
        <v>0.86259767669203669</v>
      </c>
      <c r="O11" s="56"/>
      <c r="P11" s="56"/>
      <c r="Q11" s="56"/>
      <c r="R11" s="56"/>
      <c r="S11" s="56">
        <f>XEL!S86</f>
        <v>0.81711438073370646</v>
      </c>
      <c r="T11" s="56"/>
      <c r="U11" s="56"/>
      <c r="V11" s="56"/>
      <c r="W11" s="56"/>
      <c r="X11" s="56">
        <f>XEL!X86</f>
        <v>0.93784625967889046</v>
      </c>
      <c r="Y11" s="56"/>
      <c r="Z11" s="56"/>
      <c r="AA11" s="56"/>
      <c r="AB11" s="56"/>
      <c r="AC11" s="56">
        <f>XEL!AC86</f>
        <v>0.91309925644268564</v>
      </c>
      <c r="AD11" s="56"/>
      <c r="AE11" s="56"/>
      <c r="AF11" s="56"/>
      <c r="AG11" s="56"/>
      <c r="AH11" s="56">
        <f>XEL!AH86</f>
        <v>0.90294118230490295</v>
      </c>
      <c r="AI11" s="56"/>
      <c r="AJ11" s="56"/>
      <c r="AK11" s="56"/>
      <c r="AL11" s="56"/>
      <c r="AM11" s="56">
        <f>XEL!AM86</f>
        <v>0.91859778655877578</v>
      </c>
      <c r="AN11" s="56"/>
      <c r="AO11" s="56"/>
      <c r="AP11" s="56"/>
      <c r="AQ11" s="56"/>
      <c r="AR11" s="56">
        <f>XEL!AR86</f>
        <v>0.90976023868175371</v>
      </c>
      <c r="AS11" s="56"/>
      <c r="AT11" s="56"/>
      <c r="AU11" s="56"/>
      <c r="AV11" s="56"/>
      <c r="AW11" s="56">
        <f>XEL!AW86</f>
        <v>0.97076424361493174</v>
      </c>
      <c r="AX11" s="56"/>
      <c r="AY11" s="56"/>
      <c r="AZ11" s="56"/>
      <c r="BA11" s="56"/>
      <c r="BB11" s="56">
        <f>XEL!BB86</f>
        <v>1.029123879600818</v>
      </c>
      <c r="BC11" s="56"/>
      <c r="BD11" s="56"/>
      <c r="BE11" s="56"/>
      <c r="BF11" s="56"/>
      <c r="BG11" s="56">
        <f>XEL!BG86</f>
        <v>1.0343207355482378</v>
      </c>
      <c r="BH11" s="56"/>
      <c r="BI11" s="56"/>
      <c r="BJ11" s="56"/>
      <c r="BK11" s="56"/>
      <c r="BL11" s="56">
        <f>XEL!BL86</f>
        <v>1.0718884642181536</v>
      </c>
      <c r="BM11" s="56"/>
      <c r="BN11" s="56"/>
      <c r="BO11" s="56"/>
      <c r="BP11" s="56"/>
      <c r="BQ11" s="56">
        <f>XEL!BQ86</f>
        <v>1.1402641451712774</v>
      </c>
      <c r="BU11" s="20" t="s">
        <v>46</v>
      </c>
      <c r="BV11" s="72"/>
      <c r="CA11" s="31">
        <f>+XEL!I217</f>
        <v>459</v>
      </c>
      <c r="CF11" s="31">
        <f>+XEL!N217</f>
        <v>466.4</v>
      </c>
      <c r="CK11" s="31">
        <f>+XEL!S217</f>
        <v>219</v>
      </c>
      <c r="CP11" s="31">
        <f>+XEL!X217</f>
        <v>602</v>
      </c>
      <c r="CU11" s="31">
        <f>+XEL!AC217</f>
        <v>759</v>
      </c>
      <c r="CZ11" s="31">
        <f>+XEL!AH217</f>
        <v>1019.5</v>
      </c>
      <c r="DE11" s="31">
        <f>+XEL!AM217</f>
        <v>846</v>
      </c>
      <c r="DJ11" s="31">
        <f>+XEL!AR217</f>
        <v>392</v>
      </c>
      <c r="DO11" s="31">
        <f>+XEL!AW217</f>
        <v>814</v>
      </c>
      <c r="DT11" s="31">
        <f>+XEL!BB217</f>
        <v>92.737186938505033</v>
      </c>
      <c r="DY11" s="31">
        <f>+XEL!BG217</f>
        <v>866.86815641118415</v>
      </c>
      <c r="ED11" s="31">
        <f>+XEL!BL217</f>
        <v>762.72748872603142</v>
      </c>
      <c r="EI11" s="31">
        <f>+XEL!BQ217</f>
        <v>157.24680216769622</v>
      </c>
    </row>
    <row r="12" spans="1:139" ht="12.75" customHeight="1" x14ac:dyDescent="0.2">
      <c r="A12" s="66"/>
      <c r="B12" s="69"/>
      <c r="C12" t="s">
        <v>338</v>
      </c>
      <c r="I12" s="56">
        <f>XEL!I87</f>
        <v>0.14820437547441806</v>
      </c>
      <c r="J12" s="56"/>
      <c r="K12" s="56"/>
      <c r="L12" s="56"/>
      <c r="M12" s="56"/>
      <c r="N12" s="56">
        <f>XEL!N87</f>
        <v>0.16846896033803016</v>
      </c>
      <c r="O12" s="56"/>
      <c r="P12" s="56"/>
      <c r="Q12" s="56"/>
      <c r="R12" s="56"/>
      <c r="S12" s="56">
        <f>XEL!S87</f>
        <v>0.18512813648672291</v>
      </c>
      <c r="T12" s="56"/>
      <c r="U12" s="56"/>
      <c r="V12" s="56"/>
      <c r="W12" s="56"/>
      <c r="X12" s="56">
        <f>XEL!X87</f>
        <v>0.21777558482824727</v>
      </c>
      <c r="Y12" s="56"/>
      <c r="Z12" s="56"/>
      <c r="AA12" s="56"/>
      <c r="AB12" s="56"/>
      <c r="AC12" s="56">
        <f>XEL!AC87</f>
        <v>0.19168351687303145</v>
      </c>
      <c r="AD12" s="56"/>
      <c r="AE12" s="56"/>
      <c r="AF12" s="56"/>
      <c r="AG12" s="56"/>
      <c r="AH12" s="56">
        <f>XEL!AH87</f>
        <v>0.25758306107510764</v>
      </c>
      <c r="AI12" s="56"/>
      <c r="AJ12" s="56"/>
      <c r="AK12" s="56"/>
      <c r="AL12" s="56"/>
      <c r="AM12" s="56">
        <f>XEL!AM87</f>
        <v>0.25043489554635506</v>
      </c>
      <c r="AN12" s="56"/>
      <c r="AO12" s="56"/>
      <c r="AP12" s="56"/>
      <c r="AQ12" s="56"/>
      <c r="AR12" s="56">
        <f>XEL!AR87</f>
        <v>0.29866035939662189</v>
      </c>
      <c r="AS12" s="56"/>
      <c r="AT12" s="56"/>
      <c r="AU12" s="56"/>
      <c r="AV12" s="56"/>
      <c r="AW12" s="56">
        <f>XEL!AW87</f>
        <v>0.31279567779960654</v>
      </c>
      <c r="AX12" s="56"/>
      <c r="AY12" s="56"/>
      <c r="AZ12" s="56"/>
      <c r="BA12" s="56"/>
      <c r="BB12" s="56">
        <f>XEL!BB87</f>
        <v>0.3875192437242998</v>
      </c>
      <c r="BC12" s="56"/>
      <c r="BD12" s="56"/>
      <c r="BE12" s="56"/>
      <c r="BF12" s="56"/>
      <c r="BG12" s="56">
        <f>XEL!BG87</f>
        <v>0.45978394848238457</v>
      </c>
      <c r="BH12" s="56"/>
      <c r="BI12" s="56"/>
      <c r="BJ12" s="56"/>
      <c r="BK12" s="56"/>
      <c r="BL12" s="56">
        <f>XEL!BL87</f>
        <v>0.50087232797228309</v>
      </c>
      <c r="BM12" s="56"/>
      <c r="BN12" s="56"/>
      <c r="BO12" s="56"/>
      <c r="BP12" s="56"/>
      <c r="BQ12" s="56">
        <f>XEL!BQ87</f>
        <v>0.56291889982925325</v>
      </c>
      <c r="BU12" s="20" t="s">
        <v>47</v>
      </c>
      <c r="BV12" s="72"/>
      <c r="CA12" s="31">
        <f>+XEL!I218</f>
        <v>8432.4419999999991</v>
      </c>
      <c r="CF12" s="31">
        <f>+XEL!N218</f>
        <v>9318.5590000000011</v>
      </c>
      <c r="CK12" s="31">
        <f>+XEL!S218</f>
        <v>9908.4350000000013</v>
      </c>
      <c r="CP12" s="31">
        <f>+XEL!X218</f>
        <v>10402.060000000001</v>
      </c>
      <c r="CU12" s="31">
        <f>+XEL!AC218</f>
        <v>11191.517000000002</v>
      </c>
      <c r="CZ12" s="31">
        <f>+XEL!AH218</f>
        <v>11757.36</v>
      </c>
      <c r="DE12" s="31">
        <f>+XEL!AM218</f>
        <v>13147.74</v>
      </c>
      <c r="DJ12" s="31">
        <f>+XEL!AR218</f>
        <v>14450.247000000001</v>
      </c>
      <c r="DO12" s="31">
        <f>+XEL!AW218</f>
        <v>14977</v>
      </c>
      <c r="DT12" s="31">
        <f>+XEL!BB218</f>
        <v>16877</v>
      </c>
      <c r="DY12" s="31">
        <f>+XEL!BG218</f>
        <v>17827</v>
      </c>
      <c r="ED12" s="31">
        <f>+XEL!BL218</f>
        <v>18527</v>
      </c>
      <c r="EI12" s="31">
        <f>+XEL!BQ218</f>
        <v>19658.400000000001</v>
      </c>
    </row>
    <row r="13" spans="1:139" ht="12.75" customHeight="1" x14ac:dyDescent="0.2">
      <c r="A13" s="66"/>
      <c r="B13" s="69"/>
      <c r="C13" s="70" t="s">
        <v>394</v>
      </c>
      <c r="D13" s="71"/>
      <c r="E13" s="33"/>
      <c r="F13" s="33"/>
      <c r="G13" s="33"/>
      <c r="H13" s="33"/>
      <c r="I13" s="56">
        <f>XEL!I88</f>
        <v>0.10360743668774736</v>
      </c>
      <c r="J13" s="56"/>
      <c r="K13" s="56"/>
      <c r="L13" s="56"/>
      <c r="M13" s="56"/>
      <c r="N13" s="56">
        <f>XEL!N88</f>
        <v>9.2252546985159237E-2</v>
      </c>
      <c r="O13" s="56"/>
      <c r="P13" s="56"/>
      <c r="Q13" s="56"/>
      <c r="R13" s="56"/>
      <c r="S13" s="56">
        <f>XEL!S88</f>
        <v>0.10503382309030827</v>
      </c>
      <c r="T13" s="56"/>
      <c r="U13" s="56"/>
      <c r="V13" s="56"/>
      <c r="W13" s="56"/>
      <c r="X13" s="56">
        <f>XEL!X88</f>
        <v>0.1022676554048246</v>
      </c>
      <c r="Y13" s="56"/>
      <c r="Z13" s="56"/>
      <c r="AA13" s="56"/>
      <c r="AB13" s="56"/>
      <c r="AC13" s="56">
        <f>XEL!AC88</f>
        <v>0.11976670184398999</v>
      </c>
      <c r="AD13" s="56"/>
      <c r="AE13" s="56"/>
      <c r="AF13" s="56"/>
      <c r="AG13" s="56"/>
      <c r="AH13" s="56">
        <f>XEL!AH88</f>
        <v>0.14013016819508203</v>
      </c>
      <c r="AI13" s="56"/>
      <c r="AJ13" s="56"/>
      <c r="AK13" s="56"/>
      <c r="AL13" s="56"/>
      <c r="AM13" s="56">
        <f>XEL!AM88</f>
        <v>0.14687268777254769</v>
      </c>
      <c r="AN13" s="56"/>
      <c r="AO13" s="56"/>
      <c r="AP13" s="56"/>
      <c r="AQ13" s="56"/>
      <c r="AR13" s="56">
        <f>XEL!AR88</f>
        <v>0.13570117672460327</v>
      </c>
      <c r="AS13" s="56"/>
      <c r="AT13" s="56"/>
      <c r="AU13" s="56"/>
      <c r="AV13" s="56"/>
      <c r="AW13" s="56">
        <f>XEL!AW88</f>
        <v>0.15602357563850675</v>
      </c>
      <c r="AX13" s="56"/>
      <c r="AY13" s="56"/>
      <c r="AZ13" s="56"/>
      <c r="BA13" s="56"/>
      <c r="BB13" s="56">
        <f>XEL!BB88</f>
        <v>0.16797480063307443</v>
      </c>
      <c r="BC13" s="56"/>
      <c r="BD13" s="56"/>
      <c r="BE13" s="56"/>
      <c r="BF13" s="56"/>
      <c r="BG13" s="56">
        <f>XEL!BG88</f>
        <v>0.17506254882482131</v>
      </c>
      <c r="BH13" s="56"/>
      <c r="BI13" s="56"/>
      <c r="BJ13" s="56"/>
      <c r="BK13" s="56"/>
      <c r="BL13" s="56">
        <f>XEL!BL88</f>
        <v>0.18554193544269065</v>
      </c>
      <c r="BM13" s="56"/>
      <c r="BN13" s="56"/>
      <c r="BO13" s="56"/>
      <c r="BP13" s="56"/>
      <c r="BQ13" s="56">
        <f>XEL!BQ88</f>
        <v>0.20069179569688314</v>
      </c>
      <c r="BU13" s="20"/>
      <c r="BV13" s="72"/>
      <c r="CA13" s="31"/>
      <c r="CF13" s="31"/>
      <c r="CK13" s="31"/>
      <c r="CP13" s="31"/>
      <c r="CU13" s="31"/>
      <c r="CZ13" s="31"/>
      <c r="DE13" s="31"/>
      <c r="DJ13" s="31"/>
      <c r="DO13" s="31"/>
      <c r="DT13" s="31"/>
      <c r="DY13" s="31"/>
      <c r="ED13" s="31"/>
      <c r="EI13" s="31"/>
    </row>
    <row r="14" spans="1:139" ht="12.75" customHeight="1" x14ac:dyDescent="0.2">
      <c r="A14" s="66"/>
      <c r="B14" s="69"/>
      <c r="C14" t="s">
        <v>34</v>
      </c>
      <c r="I14" s="56">
        <f>XEL!I89</f>
        <v>-0.11138843983996312</v>
      </c>
      <c r="J14" s="56"/>
      <c r="K14" s="56"/>
      <c r="L14" s="56"/>
      <c r="M14" s="56"/>
      <c r="N14" s="56">
        <f>XEL!N89</f>
        <v>-0.10152549358964406</v>
      </c>
      <c r="O14" s="56"/>
      <c r="P14" s="56"/>
      <c r="Q14" s="56"/>
      <c r="R14" s="56"/>
      <c r="S14" s="56">
        <f>XEL!S89</f>
        <v>-0.11554626607497717</v>
      </c>
      <c r="T14" s="56"/>
      <c r="U14" s="56"/>
      <c r="V14" s="56"/>
      <c r="W14" s="56"/>
      <c r="X14" s="56">
        <f>XEL!X89</f>
        <v>-0.1357030837329086</v>
      </c>
      <c r="Y14" s="56"/>
      <c r="Z14" s="56"/>
      <c r="AA14" s="56"/>
      <c r="AB14" s="56"/>
      <c r="AC14" s="56">
        <f>XEL!AC89</f>
        <v>-6.6358260897583274E-2</v>
      </c>
      <c r="AD14" s="56"/>
      <c r="AE14" s="56"/>
      <c r="AF14" s="56"/>
      <c r="AG14" s="56"/>
      <c r="AH14" s="56">
        <f>XEL!AH89</f>
        <v>-7.7940240063321162E-2</v>
      </c>
      <c r="AI14" s="56"/>
      <c r="AJ14" s="56"/>
      <c r="AK14" s="56"/>
      <c r="AL14" s="56"/>
      <c r="AM14" s="56">
        <f>XEL!AM89</f>
        <v>-8.0792178964437869E-2</v>
      </c>
      <c r="AN14" s="56"/>
      <c r="AO14" s="56"/>
      <c r="AP14" s="56"/>
      <c r="AQ14" s="56"/>
      <c r="AR14" s="56">
        <f>XEL!AR89</f>
        <v>-9.8432669565127168E-2</v>
      </c>
      <c r="AS14" s="56"/>
      <c r="AT14" s="56"/>
      <c r="AU14" s="56"/>
      <c r="AV14" s="56"/>
      <c r="AW14" s="56">
        <f>XEL!AW89</f>
        <v>-0.10190373280943191</v>
      </c>
      <c r="AX14" s="56"/>
      <c r="AY14" s="56"/>
      <c r="AZ14" s="56"/>
      <c r="BA14" s="56"/>
      <c r="BB14" s="56">
        <f>XEL!BB89</f>
        <v>-0.14177261078611494</v>
      </c>
      <c r="BC14" s="56"/>
      <c r="BD14" s="56"/>
      <c r="BE14" s="56"/>
      <c r="BF14" s="56"/>
      <c r="BG14" s="56">
        <f>XEL!BG89</f>
        <v>-0.17730697377786267</v>
      </c>
      <c r="BH14" s="56"/>
      <c r="BI14" s="56"/>
      <c r="BJ14" s="56"/>
      <c r="BK14" s="56"/>
      <c r="BL14" s="56">
        <f>XEL!BL89</f>
        <v>-0.1934121419488696</v>
      </c>
      <c r="BM14" s="56"/>
      <c r="BN14" s="56"/>
      <c r="BO14" s="56"/>
      <c r="BP14" s="56"/>
      <c r="BQ14" s="56">
        <f>XEL!BQ89</f>
        <v>-0.20357958101195162</v>
      </c>
      <c r="BU14" s="26" t="s">
        <v>48</v>
      </c>
      <c r="CA14" s="68">
        <f>+SUM(CA11:CA12)</f>
        <v>8891.4419999999991</v>
      </c>
      <c r="CF14" s="68">
        <f>+SUM(CF11:CF12)</f>
        <v>9784.9590000000007</v>
      </c>
      <c r="CK14" s="68">
        <f>+SUM(CK11:CK12)</f>
        <v>10127.435000000001</v>
      </c>
      <c r="CP14" s="68">
        <f>+SUM(CP11:CP12)</f>
        <v>11004.060000000001</v>
      </c>
      <c r="CU14" s="68">
        <f>+SUM(CU11:CU12)</f>
        <v>11950.517000000002</v>
      </c>
      <c r="CZ14" s="68">
        <f>+SUM(CZ11:CZ12)</f>
        <v>12776.86</v>
      </c>
      <c r="DE14" s="68">
        <f>+SUM(DE11:DE12)</f>
        <v>13993.74</v>
      </c>
      <c r="DJ14" s="68">
        <f>+SUM(DJ11:DJ12)</f>
        <v>14842.247000000001</v>
      </c>
      <c r="DO14" s="68">
        <f>+SUM(DO11:DO12)</f>
        <v>15791</v>
      </c>
      <c r="DT14" s="68">
        <f>+SUM(DT11:DT12)</f>
        <v>16969.737186938506</v>
      </c>
      <c r="DY14" s="68">
        <f>+SUM(DY11:DY12)</f>
        <v>18693.868156411183</v>
      </c>
      <c r="ED14" s="68">
        <f>+SUM(ED11:ED12)</f>
        <v>19289.727488726032</v>
      </c>
      <c r="EI14" s="68">
        <f>+SUM(EI11:EI12)</f>
        <v>19815.646802167699</v>
      </c>
    </row>
    <row r="15" spans="1:139" ht="12.75" customHeight="1" x14ac:dyDescent="0.2">
      <c r="A15" s="66"/>
      <c r="C15" s="73" t="s">
        <v>49</v>
      </c>
      <c r="D15" s="74"/>
      <c r="E15" s="75"/>
      <c r="F15" s="75"/>
      <c r="G15" s="75"/>
      <c r="H15" s="75"/>
      <c r="I15" s="76">
        <f t="shared" ref="I15:AM15" si="0">SUM(I10:I14)</f>
        <v>1.4903191370677171</v>
      </c>
      <c r="J15" s="76">
        <f t="shared" si="0"/>
        <v>0</v>
      </c>
      <c r="K15" s="76">
        <f t="shared" si="0"/>
        <v>0</v>
      </c>
      <c r="L15" s="76">
        <f t="shared" si="0"/>
        <v>0</v>
      </c>
      <c r="M15" s="76">
        <f t="shared" si="0"/>
        <v>0</v>
      </c>
      <c r="N15" s="76">
        <f t="shared" si="0"/>
        <v>1.6135725553582201</v>
      </c>
      <c r="O15" s="76"/>
      <c r="P15" s="76"/>
      <c r="Q15" s="76"/>
      <c r="R15" s="76"/>
      <c r="S15" s="76">
        <f t="shared" si="0"/>
        <v>1.7186042441028371</v>
      </c>
      <c r="T15" s="76">
        <f t="shared" si="0"/>
        <v>0</v>
      </c>
      <c r="U15" s="76">
        <f t="shared" si="0"/>
        <v>0</v>
      </c>
      <c r="V15" s="76">
        <f t="shared" si="0"/>
        <v>0</v>
      </c>
      <c r="W15" s="76">
        <f t="shared" si="0"/>
        <v>0</v>
      </c>
      <c r="X15" s="76">
        <f t="shared" si="0"/>
        <v>1.8185773308164459</v>
      </c>
      <c r="Y15" s="76">
        <f t="shared" si="0"/>
        <v>0</v>
      </c>
      <c r="Z15" s="76">
        <f t="shared" si="0"/>
        <v>0</v>
      </c>
      <c r="AA15" s="76">
        <f t="shared" si="0"/>
        <v>0</v>
      </c>
      <c r="AB15" s="76">
        <f t="shared" si="0"/>
        <v>0</v>
      </c>
      <c r="AC15" s="76">
        <f>SUM(AC10:AC14)</f>
        <v>1.9503778205634297</v>
      </c>
      <c r="AD15" s="76">
        <f t="shared" si="0"/>
        <v>0</v>
      </c>
      <c r="AE15" s="76">
        <f t="shared" si="0"/>
        <v>0</v>
      </c>
      <c r="AF15" s="76">
        <f t="shared" si="0"/>
        <v>0</v>
      </c>
      <c r="AG15" s="76">
        <f t="shared" si="0"/>
        <v>0</v>
      </c>
      <c r="AH15" s="76">
        <f t="shared" si="0"/>
        <v>2.0259304883588523</v>
      </c>
      <c r="AI15" s="76">
        <f t="shared" si="0"/>
        <v>0</v>
      </c>
      <c r="AJ15" s="76">
        <f t="shared" si="0"/>
        <v>0</v>
      </c>
      <c r="AK15" s="76">
        <f t="shared" si="0"/>
        <v>0</v>
      </c>
      <c r="AL15" s="76">
        <f t="shared" si="0"/>
        <v>0</v>
      </c>
      <c r="AM15" s="76">
        <f t="shared" si="0"/>
        <v>2.0930774861856705</v>
      </c>
      <c r="AN15" s="76">
        <f t="shared" ref="AN15:BB15" si="1">SUM(AN10:AN14)</f>
        <v>0</v>
      </c>
      <c r="AO15" s="76">
        <f t="shared" si="1"/>
        <v>0</v>
      </c>
      <c r="AP15" s="76">
        <f t="shared" si="1"/>
        <v>0</v>
      </c>
      <c r="AQ15" s="76">
        <f t="shared" si="1"/>
        <v>0</v>
      </c>
      <c r="AR15" s="76">
        <f t="shared" si="1"/>
        <v>2.2050170276662824</v>
      </c>
      <c r="AS15" s="76">
        <f t="shared" si="1"/>
        <v>0</v>
      </c>
      <c r="AT15" s="76">
        <f t="shared" si="1"/>
        <v>0</v>
      </c>
      <c r="AU15" s="76">
        <f t="shared" si="1"/>
        <v>0</v>
      </c>
      <c r="AV15" s="76">
        <f t="shared" si="1"/>
        <v>0</v>
      </c>
      <c r="AW15" s="76">
        <f t="shared" si="1"/>
        <v>2.3005893909626725</v>
      </c>
      <c r="AX15" s="76">
        <f t="shared" si="1"/>
        <v>0</v>
      </c>
      <c r="AY15" s="76">
        <f t="shared" si="1"/>
        <v>0</v>
      </c>
      <c r="AZ15" s="76">
        <f t="shared" si="1"/>
        <v>0</v>
      </c>
      <c r="BA15" s="76">
        <f t="shared" si="1"/>
        <v>0</v>
      </c>
      <c r="BB15" s="76">
        <f t="shared" si="1"/>
        <v>2.4283444633435427</v>
      </c>
      <c r="BC15" s="76"/>
      <c r="BD15" s="76"/>
      <c r="BE15" s="76"/>
      <c r="BF15" s="76"/>
      <c r="BG15" s="76">
        <f>SUM(BG10:BG14)</f>
        <v>2.6135457508317081</v>
      </c>
      <c r="BH15" s="76"/>
      <c r="BI15" s="76"/>
      <c r="BJ15" s="76"/>
      <c r="BK15" s="76"/>
      <c r="BL15" s="76">
        <f>SUM(BL10:BL14)</f>
        <v>2.7232813983234063</v>
      </c>
      <c r="BM15" s="76"/>
      <c r="BN15" s="76"/>
      <c r="BO15" s="76"/>
      <c r="BP15" s="76"/>
      <c r="BQ15" s="76">
        <f>SUM(BQ10:BQ14)</f>
        <v>2.9024837329591415</v>
      </c>
      <c r="BR15" s="997"/>
    </row>
    <row r="16" spans="1:139" ht="12.75" customHeight="1" x14ac:dyDescent="0.2">
      <c r="A16" s="66"/>
      <c r="B16" s="69"/>
      <c r="C16" s="70" t="s">
        <v>36</v>
      </c>
      <c r="N16" s="35">
        <f>+N15/I15-1</f>
        <v>8.2702701203321238E-2</v>
      </c>
      <c r="O16" s="35"/>
      <c r="P16" s="35"/>
      <c r="Q16" s="35"/>
      <c r="R16" s="35"/>
      <c r="S16" s="35">
        <f>+S15/N15-1</f>
        <v>6.5092634598820087E-2</v>
      </c>
      <c r="T16" s="35"/>
      <c r="U16" s="35"/>
      <c r="V16" s="35"/>
      <c r="W16" s="35"/>
      <c r="X16" s="35">
        <f>+X15/S15-1</f>
        <v>5.8171092650709522E-2</v>
      </c>
      <c r="Y16" s="35"/>
      <c r="Z16" s="35"/>
      <c r="AA16" s="35"/>
      <c r="AB16" s="35"/>
      <c r="AC16" s="35">
        <f>+AC15/X15-1</f>
        <v>7.2474503840764593E-2</v>
      </c>
      <c r="AD16" s="35"/>
      <c r="AE16" s="35"/>
      <c r="AF16" s="35"/>
      <c r="AG16" s="35"/>
      <c r="AH16" s="35">
        <f>+AH15/AC15-1</f>
        <v>3.8737452302239905E-2</v>
      </c>
      <c r="AI16" s="35"/>
      <c r="AJ16" s="35"/>
      <c r="AK16" s="35"/>
      <c r="AL16" s="35"/>
      <c r="AM16" s="35">
        <f>+AM15/AH15-1</f>
        <v>3.3143781690758933E-2</v>
      </c>
      <c r="AN16" s="35"/>
      <c r="AO16" s="35"/>
      <c r="AP16" s="35"/>
      <c r="AQ16" s="35"/>
      <c r="AR16" s="35">
        <f>+AR15/AM15-1</f>
        <v>5.3480839681958159E-2</v>
      </c>
      <c r="AS16" s="35"/>
      <c r="AT16" s="35"/>
      <c r="AU16" s="35"/>
      <c r="AV16" s="35"/>
      <c r="AW16" s="35">
        <f>+AW15/AR15-1</f>
        <v>4.3343140709231065E-2</v>
      </c>
      <c r="AX16" s="35"/>
      <c r="AY16" s="35"/>
      <c r="AZ16" s="35"/>
      <c r="BA16" s="35"/>
      <c r="BB16" s="35">
        <f>+BB15/AW15-1</f>
        <v>5.5531453323538038E-2</v>
      </c>
      <c r="BC16" s="35"/>
      <c r="BD16" s="35"/>
      <c r="BE16" s="35"/>
      <c r="BF16" s="35"/>
      <c r="BG16" s="35">
        <f>+BG15/BB15-1</f>
        <v>7.6266481252484697E-2</v>
      </c>
      <c r="BH16" s="35"/>
      <c r="BI16" s="35"/>
      <c r="BJ16" s="35"/>
      <c r="BK16" s="35"/>
      <c r="BL16" s="35">
        <f>+BL15/BG15-1</f>
        <v>4.1987268620331974E-2</v>
      </c>
      <c r="BM16" s="35"/>
      <c r="BN16" s="35"/>
      <c r="BO16" s="35"/>
      <c r="BP16" s="35"/>
      <c r="BQ16" s="35">
        <f>+BQ15/BL15-1</f>
        <v>6.580382576184074E-2</v>
      </c>
      <c r="BU16" s="20" t="s">
        <v>50</v>
      </c>
      <c r="BV16" s="20"/>
      <c r="CA16" s="31">
        <f>+XEL!I222</f>
        <v>104.98</v>
      </c>
      <c r="CF16" s="31">
        <f>+XEL!N222</f>
        <v>104.98</v>
      </c>
      <c r="CK16" s="31">
        <f>+XEL!S222</f>
        <v>0</v>
      </c>
      <c r="CP16" s="31">
        <f>+XEL!X222</f>
        <v>0</v>
      </c>
      <c r="CU16" s="31">
        <f>+XEL!AC222</f>
        <v>0</v>
      </c>
      <c r="CZ16" s="31">
        <f>+XEL!AH222</f>
        <v>0</v>
      </c>
      <c r="DE16" s="31">
        <f>+XEL!AM222</f>
        <v>0</v>
      </c>
      <c r="DJ16" s="31">
        <f>+XEL!AR222</f>
        <v>0</v>
      </c>
      <c r="DO16" s="31">
        <f>+XEL!AW222</f>
        <v>0</v>
      </c>
      <c r="DT16" s="31">
        <f>+XEL!BB222</f>
        <v>0</v>
      </c>
      <c r="DY16" s="31">
        <f>+XEL!BG222</f>
        <v>0</v>
      </c>
      <c r="ED16" s="31">
        <f>+XEL!BL222</f>
        <v>0</v>
      </c>
      <c r="EI16" s="31">
        <f>+XEL!BQ222</f>
        <v>0</v>
      </c>
    </row>
    <row r="17" spans="1:139" x14ac:dyDescent="0.2">
      <c r="A17" s="66"/>
      <c r="B17" s="20"/>
      <c r="C17" t="s">
        <v>534</v>
      </c>
      <c r="AC17" s="35">
        <f>(BB15/AC15)^(1/5)-1</f>
        <v>4.4812376506698337E-2</v>
      </c>
      <c r="AH17" s="35">
        <f>(BB15/AH15)^(1/4)-1</f>
        <v>4.633665077814042E-2</v>
      </c>
      <c r="AM17" s="35">
        <f>(BB15/AM15)^(1/3)-1</f>
        <v>5.0771605493716176E-2</v>
      </c>
      <c r="AR17" s="35">
        <f>(BB15/AR15)^(1/2)-1</f>
        <v>4.9419602269730412E-2</v>
      </c>
      <c r="AW17" s="35">
        <f>(BB15/AW15)^(1/1)-1</f>
        <v>5.5531453323538038E-2</v>
      </c>
      <c r="BB17" s="35"/>
      <c r="BG17" s="35"/>
      <c r="BL17" s="35"/>
      <c r="BQ17" s="35"/>
      <c r="BU17" s="26" t="s">
        <v>51</v>
      </c>
      <c r="BV17" s="78"/>
      <c r="BW17" s="26"/>
      <c r="BX17" s="26"/>
      <c r="BY17" s="26"/>
      <c r="BZ17" s="26"/>
      <c r="CA17" s="68">
        <f>+XEL!I225</f>
        <v>7283.2449999999999</v>
      </c>
      <c r="CB17" s="26"/>
      <c r="CC17" s="26"/>
      <c r="CD17" s="26"/>
      <c r="CE17" s="26"/>
      <c r="CF17" s="68">
        <f>+XEL!N225</f>
        <v>8083.5189999999993</v>
      </c>
      <c r="CG17" s="26"/>
      <c r="CH17" s="26"/>
      <c r="CI17" s="26"/>
      <c r="CJ17" s="26"/>
      <c r="CK17" s="68">
        <f>+XEL!S225</f>
        <v>8482.1980000000003</v>
      </c>
      <c r="CL17" s="26"/>
      <c r="CM17" s="26"/>
      <c r="CN17" s="26"/>
      <c r="CO17" s="26"/>
      <c r="CP17" s="68">
        <f>+XEL!X225</f>
        <v>8874.0769999999993</v>
      </c>
      <c r="CQ17" s="26"/>
      <c r="CR17" s="26"/>
      <c r="CS17" s="26"/>
      <c r="CT17" s="26"/>
      <c r="CU17" s="68">
        <f>+XEL!AC225</f>
        <v>9565.9500000000007</v>
      </c>
      <c r="CV17" s="26"/>
      <c r="CW17" s="26"/>
      <c r="CX17" s="26"/>
      <c r="CY17" s="26"/>
      <c r="CZ17" s="68">
        <f>+XEL!AH225</f>
        <v>10214.482000000002</v>
      </c>
      <c r="DA17" s="26"/>
      <c r="DB17" s="26"/>
      <c r="DC17" s="26"/>
      <c r="DD17" s="26"/>
      <c r="DE17" s="68">
        <f>+XEL!AM225</f>
        <v>10600.919999999998</v>
      </c>
      <c r="DF17" s="26"/>
      <c r="DG17" s="26"/>
      <c r="DH17" s="26"/>
      <c r="DI17" s="26"/>
      <c r="DJ17" s="68">
        <f>+XEL!AR225</f>
        <v>11020.849</v>
      </c>
      <c r="DK17" s="26"/>
      <c r="DL17" s="26"/>
      <c r="DM17" s="26"/>
      <c r="DN17" s="26"/>
      <c r="DO17" s="68">
        <f>+XEL!AW225</f>
        <v>11455</v>
      </c>
      <c r="DP17" s="26"/>
      <c r="DQ17" s="26"/>
      <c r="DR17" s="26"/>
      <c r="DS17" s="26"/>
      <c r="DT17" s="68">
        <f>+XEL!BB225</f>
        <v>11991.035241276079</v>
      </c>
      <c r="DU17" s="26"/>
      <c r="DV17" s="26"/>
      <c r="DW17" s="26"/>
      <c r="DX17" s="26"/>
      <c r="DY17" s="68">
        <f>+XEL!BG225</f>
        <v>12576.457467537295</v>
      </c>
      <c r="DZ17" s="26"/>
      <c r="EA17" s="26"/>
      <c r="EB17" s="26"/>
      <c r="EC17" s="26"/>
      <c r="ED17" s="68">
        <f>+XEL!BL225</f>
        <v>13170.10686186808</v>
      </c>
      <c r="EE17" s="26"/>
      <c r="EF17" s="26"/>
      <c r="EG17" s="26"/>
      <c r="EH17" s="26"/>
      <c r="EI17" s="68">
        <f>+XEL!BQ225</f>
        <v>13804.751575649854</v>
      </c>
    </row>
    <row r="18" spans="1:139" x14ac:dyDescent="0.2">
      <c r="A18" s="66"/>
      <c r="B18" s="69"/>
    </row>
    <row r="19" spans="1:139" x14ac:dyDescent="0.2">
      <c r="A19" s="66"/>
      <c r="B19" s="69"/>
      <c r="C19" s="26" t="s">
        <v>52</v>
      </c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708"/>
      <c r="AN19" s="64"/>
      <c r="AO19" s="64"/>
      <c r="AP19" s="64"/>
      <c r="AQ19" s="64"/>
      <c r="AR19" s="708"/>
      <c r="AS19" s="64"/>
      <c r="AT19" s="64"/>
      <c r="AU19" s="64"/>
      <c r="AV19" s="64"/>
      <c r="AW19" s="708"/>
      <c r="AX19" s="64"/>
      <c r="AY19" s="64"/>
      <c r="AZ19" s="64"/>
      <c r="BA19" s="64"/>
      <c r="BB19" s="708"/>
      <c r="BC19" s="64"/>
      <c r="BD19" s="64"/>
      <c r="BE19" s="64"/>
      <c r="BF19" s="64"/>
      <c r="BG19" s="708"/>
      <c r="BH19" s="64"/>
      <c r="BI19" s="64"/>
      <c r="BJ19" s="64"/>
      <c r="BK19" s="64"/>
      <c r="BL19" s="708"/>
      <c r="BM19" s="64"/>
      <c r="BN19" s="64"/>
      <c r="BO19" s="64"/>
      <c r="BP19" s="64"/>
      <c r="BQ19" s="708"/>
      <c r="BU19" s="26" t="s">
        <v>54</v>
      </c>
      <c r="BV19" s="72"/>
      <c r="BW19" s="20"/>
      <c r="CA19" s="68">
        <f>SUM(CA14,CA16,CA17)</f>
        <v>16279.666999999998</v>
      </c>
      <c r="CB19" s="20"/>
      <c r="CF19" s="68">
        <f>SUM(CF14,CF16,CF17)</f>
        <v>17973.457999999999</v>
      </c>
      <c r="CK19" s="68">
        <f>SUM(CK14,CK16,CK17)</f>
        <v>18609.633000000002</v>
      </c>
      <c r="CP19" s="68">
        <f>SUM(CP14,CP16,CP17)</f>
        <v>19878.137000000002</v>
      </c>
      <c r="CU19" s="68">
        <f>SUM(CU14,CU16,CU17)</f>
        <v>21516.467000000004</v>
      </c>
      <c r="CZ19" s="68">
        <f>SUM(CZ14,CZ16,CZ17)</f>
        <v>22991.342000000004</v>
      </c>
      <c r="DE19" s="68">
        <f>SUM(DE14,DE16,DE17)</f>
        <v>24594.659999999996</v>
      </c>
      <c r="DJ19" s="68">
        <f>SUM(DJ14,DJ16,DJ17)</f>
        <v>25863.096000000001</v>
      </c>
      <c r="DO19" s="68">
        <f>SUM(DO14,DO16,DO17)</f>
        <v>27246</v>
      </c>
      <c r="DT19" s="68">
        <f>SUM(DT14,DT16,DT17)</f>
        <v>28960.772428214586</v>
      </c>
      <c r="DY19" s="68">
        <f>SUM(DY14,DY16,DY17)</f>
        <v>31270.325623948476</v>
      </c>
      <c r="ED19" s="68">
        <f>SUM(ED14,ED16,ED17)</f>
        <v>32459.834350594112</v>
      </c>
      <c r="EI19" s="68">
        <f>SUM(EI14,EI16,EI17)</f>
        <v>33620.398377817553</v>
      </c>
    </row>
    <row r="20" spans="1:139" x14ac:dyDescent="0.2">
      <c r="A20" s="54"/>
      <c r="B20" s="69"/>
      <c r="C20" s="20" t="s">
        <v>53</v>
      </c>
      <c r="E20" s="53"/>
      <c r="F20" s="53"/>
      <c r="G20" s="53"/>
      <c r="H20" s="53"/>
      <c r="I20" s="53">
        <f t="shared" ref="I20:AM20" si="2">SUM(I10:I14)/I15</f>
        <v>1</v>
      </c>
      <c r="J20" s="53" t="e">
        <f t="shared" si="2"/>
        <v>#DIV/0!</v>
      </c>
      <c r="K20" s="53" t="e">
        <f t="shared" si="2"/>
        <v>#DIV/0!</v>
      </c>
      <c r="L20" s="53" t="e">
        <f t="shared" si="2"/>
        <v>#DIV/0!</v>
      </c>
      <c r="M20" s="53" t="e">
        <f t="shared" si="2"/>
        <v>#DIV/0!</v>
      </c>
      <c r="N20" s="53">
        <f t="shared" si="2"/>
        <v>1</v>
      </c>
      <c r="O20" s="53"/>
      <c r="P20" s="53"/>
      <c r="Q20" s="53"/>
      <c r="R20" s="53"/>
      <c r="S20" s="53">
        <f t="shared" si="2"/>
        <v>1</v>
      </c>
      <c r="T20" s="53" t="e">
        <f t="shared" si="2"/>
        <v>#DIV/0!</v>
      </c>
      <c r="U20" s="53" t="e">
        <f t="shared" si="2"/>
        <v>#DIV/0!</v>
      </c>
      <c r="V20" s="53" t="e">
        <f t="shared" si="2"/>
        <v>#DIV/0!</v>
      </c>
      <c r="W20" s="53" t="e">
        <f t="shared" si="2"/>
        <v>#DIV/0!</v>
      </c>
      <c r="X20" s="53">
        <f t="shared" si="2"/>
        <v>1</v>
      </c>
      <c r="Y20" s="53" t="e">
        <f t="shared" si="2"/>
        <v>#DIV/0!</v>
      </c>
      <c r="Z20" s="53" t="e">
        <f t="shared" si="2"/>
        <v>#DIV/0!</v>
      </c>
      <c r="AA20" s="53" t="e">
        <f t="shared" si="2"/>
        <v>#DIV/0!</v>
      </c>
      <c r="AB20" s="53" t="e">
        <f t="shared" si="2"/>
        <v>#DIV/0!</v>
      </c>
      <c r="AC20" s="53">
        <f t="shared" si="2"/>
        <v>1</v>
      </c>
      <c r="AD20" s="53" t="e">
        <f t="shared" si="2"/>
        <v>#DIV/0!</v>
      </c>
      <c r="AE20" s="53" t="e">
        <f t="shared" si="2"/>
        <v>#DIV/0!</v>
      </c>
      <c r="AF20" s="53" t="e">
        <f t="shared" si="2"/>
        <v>#DIV/0!</v>
      </c>
      <c r="AG20" s="53" t="e">
        <f t="shared" si="2"/>
        <v>#DIV/0!</v>
      </c>
      <c r="AH20" s="53">
        <f t="shared" si="2"/>
        <v>1</v>
      </c>
      <c r="AI20" s="53" t="e">
        <f t="shared" si="2"/>
        <v>#DIV/0!</v>
      </c>
      <c r="AJ20" s="53" t="e">
        <f t="shared" si="2"/>
        <v>#DIV/0!</v>
      </c>
      <c r="AK20" s="53" t="e">
        <f t="shared" si="2"/>
        <v>#DIV/0!</v>
      </c>
      <c r="AL20" s="53" t="e">
        <f t="shared" si="2"/>
        <v>#DIV/0!</v>
      </c>
      <c r="AM20" s="53">
        <f t="shared" si="2"/>
        <v>1</v>
      </c>
      <c r="AN20" s="53" t="e">
        <f t="shared" ref="AN20:BB20" si="3">SUM(AN10:AN14)/AN15</f>
        <v>#DIV/0!</v>
      </c>
      <c r="AO20" s="53" t="e">
        <f t="shared" si="3"/>
        <v>#DIV/0!</v>
      </c>
      <c r="AP20" s="53" t="e">
        <f t="shared" si="3"/>
        <v>#DIV/0!</v>
      </c>
      <c r="AQ20" s="53" t="e">
        <f t="shared" si="3"/>
        <v>#DIV/0!</v>
      </c>
      <c r="AR20" s="53">
        <f t="shared" si="3"/>
        <v>1</v>
      </c>
      <c r="AS20" s="53" t="e">
        <f t="shared" si="3"/>
        <v>#DIV/0!</v>
      </c>
      <c r="AT20" s="53" t="e">
        <f t="shared" si="3"/>
        <v>#DIV/0!</v>
      </c>
      <c r="AU20" s="53" t="e">
        <f t="shared" si="3"/>
        <v>#DIV/0!</v>
      </c>
      <c r="AV20" s="53" t="e">
        <f t="shared" si="3"/>
        <v>#DIV/0!</v>
      </c>
      <c r="AW20" s="53">
        <f t="shared" si="3"/>
        <v>1</v>
      </c>
      <c r="AX20" s="53" t="e">
        <f t="shared" si="3"/>
        <v>#DIV/0!</v>
      </c>
      <c r="AY20" s="53" t="e">
        <f t="shared" si="3"/>
        <v>#DIV/0!</v>
      </c>
      <c r="AZ20" s="53" t="e">
        <f t="shared" si="3"/>
        <v>#DIV/0!</v>
      </c>
      <c r="BA20" s="53" t="e">
        <f t="shared" si="3"/>
        <v>#DIV/0!</v>
      </c>
      <c r="BB20" s="53">
        <f t="shared" si="3"/>
        <v>1</v>
      </c>
      <c r="BC20" s="53"/>
      <c r="BD20" s="53"/>
      <c r="BE20" s="53"/>
      <c r="BF20" s="53"/>
      <c r="BG20" s="53">
        <f>SUM(BG10:BG14)/BG15</f>
        <v>1</v>
      </c>
      <c r="BH20" s="53"/>
      <c r="BI20" s="53"/>
      <c r="BJ20" s="53"/>
      <c r="BK20" s="53"/>
      <c r="BL20" s="53">
        <f>SUM(BL10:BL14)/BL15</f>
        <v>1</v>
      </c>
      <c r="BM20" s="53"/>
      <c r="BN20" s="53"/>
      <c r="BO20" s="53"/>
      <c r="BP20" s="53"/>
      <c r="BQ20" s="53">
        <f>SUM(BQ10:BQ14)/BQ15</f>
        <v>1</v>
      </c>
      <c r="BU20" s="20"/>
      <c r="BV20" s="20"/>
      <c r="CA20" s="31"/>
      <c r="CF20" s="31"/>
      <c r="CK20" s="31"/>
      <c r="CP20" s="31"/>
      <c r="CU20" s="31"/>
      <c r="CZ20" s="31"/>
      <c r="DE20" s="31"/>
      <c r="DJ20" s="31"/>
      <c r="DO20" s="31"/>
      <c r="DT20" s="31"/>
      <c r="DY20" s="31"/>
      <c r="ED20" s="31"/>
      <c r="EI20" s="31"/>
    </row>
    <row r="21" spans="1:139" x14ac:dyDescent="0.2">
      <c r="A21" s="54"/>
      <c r="B21" s="69"/>
      <c r="C21" t="s">
        <v>55</v>
      </c>
      <c r="E21" s="53"/>
      <c r="F21" s="53"/>
      <c r="G21" s="53"/>
      <c r="H21" s="53"/>
      <c r="I21" s="53">
        <v>0</v>
      </c>
      <c r="J21" s="53"/>
      <c r="K21" s="53"/>
      <c r="L21" s="53"/>
      <c r="M21" s="53"/>
      <c r="N21" s="53">
        <v>0</v>
      </c>
      <c r="O21" s="53"/>
      <c r="P21" s="53"/>
      <c r="Q21" s="53"/>
      <c r="R21" s="53"/>
      <c r="S21" s="53">
        <v>0</v>
      </c>
      <c r="T21" s="53"/>
      <c r="U21" s="53"/>
      <c r="V21" s="53"/>
      <c r="W21" s="53"/>
      <c r="X21" s="53">
        <v>0</v>
      </c>
      <c r="Y21" s="53"/>
      <c r="Z21" s="53"/>
      <c r="AA21" s="53"/>
      <c r="AB21" s="53"/>
      <c r="AC21" s="53">
        <v>0</v>
      </c>
      <c r="AD21" s="53"/>
      <c r="AE21" s="53"/>
      <c r="AF21" s="53"/>
      <c r="AG21" s="53"/>
      <c r="AH21" s="53">
        <v>0</v>
      </c>
      <c r="AI21" s="53"/>
      <c r="AJ21" s="53"/>
      <c r="AK21" s="53"/>
      <c r="AL21" s="53"/>
      <c r="AM21" s="53">
        <v>0</v>
      </c>
      <c r="AN21" s="53"/>
      <c r="AO21" s="53"/>
      <c r="AP21" s="53"/>
      <c r="AQ21" s="53"/>
      <c r="AR21" s="53">
        <v>0</v>
      </c>
      <c r="AS21" s="53"/>
      <c r="AT21" s="53"/>
      <c r="AU21" s="53"/>
      <c r="AV21" s="53"/>
      <c r="AW21" s="53">
        <v>0</v>
      </c>
      <c r="AX21" s="53"/>
      <c r="AY21" s="53"/>
      <c r="AZ21" s="53"/>
      <c r="BA21" s="53"/>
      <c r="BB21" s="53">
        <v>0</v>
      </c>
      <c r="BC21" s="53"/>
      <c r="BD21" s="53"/>
      <c r="BE21" s="53"/>
      <c r="BF21" s="53"/>
      <c r="BG21" s="53">
        <v>0</v>
      </c>
      <c r="BH21" s="53"/>
      <c r="BI21" s="53"/>
      <c r="BJ21" s="53"/>
      <c r="BK21" s="53"/>
      <c r="BL21" s="53">
        <v>0</v>
      </c>
      <c r="BM21" s="53"/>
      <c r="BN21" s="53"/>
      <c r="BO21" s="53"/>
      <c r="BP21" s="53"/>
      <c r="BQ21" s="53">
        <v>0</v>
      </c>
      <c r="BU21" s="26" t="s">
        <v>57</v>
      </c>
      <c r="BV21" s="20"/>
      <c r="CA21" s="31"/>
      <c r="CF21" s="31"/>
      <c r="CK21" s="31"/>
      <c r="CP21" s="31"/>
      <c r="CU21" s="31"/>
      <c r="CZ21" s="31"/>
      <c r="DE21" s="31"/>
      <c r="DJ21" s="31"/>
      <c r="DO21" s="31"/>
      <c r="DT21" s="31"/>
      <c r="DY21" s="31"/>
      <c r="ED21" s="31"/>
      <c r="EI21" s="31"/>
    </row>
    <row r="22" spans="1:139" x14ac:dyDescent="0.2">
      <c r="A22" s="54"/>
      <c r="B22" s="69"/>
      <c r="C22" s="54" t="s">
        <v>56</v>
      </c>
      <c r="E22" s="53"/>
      <c r="F22" s="53"/>
      <c r="G22" s="53"/>
      <c r="H22" s="53"/>
      <c r="I22" s="53">
        <v>0</v>
      </c>
      <c r="J22" s="53"/>
      <c r="K22" s="53"/>
      <c r="L22" s="53"/>
      <c r="M22" s="53"/>
      <c r="N22" s="53">
        <v>0</v>
      </c>
      <c r="O22" s="53"/>
      <c r="P22" s="53"/>
      <c r="Q22" s="53"/>
      <c r="R22" s="53"/>
      <c r="S22" s="53">
        <v>0</v>
      </c>
      <c r="T22" s="53"/>
      <c r="U22" s="53"/>
      <c r="V22" s="53"/>
      <c r="W22" s="53"/>
      <c r="X22" s="53">
        <v>0</v>
      </c>
      <c r="Y22" s="53"/>
      <c r="Z22" s="53"/>
      <c r="AA22" s="53"/>
      <c r="AB22" s="53"/>
      <c r="AC22" s="53">
        <v>0</v>
      </c>
      <c r="AD22" s="53"/>
      <c r="AE22" s="53"/>
      <c r="AF22" s="53"/>
      <c r="AG22" s="53"/>
      <c r="AH22" s="53">
        <v>0</v>
      </c>
      <c r="AI22" s="53"/>
      <c r="AJ22" s="53"/>
      <c r="AK22" s="53"/>
      <c r="AL22" s="53"/>
      <c r="AM22" s="53">
        <v>0</v>
      </c>
      <c r="AN22" s="53"/>
      <c r="AO22" s="53"/>
      <c r="AP22" s="53"/>
      <c r="AQ22" s="53"/>
      <c r="AR22" s="53">
        <v>0</v>
      </c>
      <c r="AS22" s="53"/>
      <c r="AT22" s="53"/>
      <c r="AU22" s="53"/>
      <c r="AV22" s="53"/>
      <c r="AW22" s="53">
        <v>0</v>
      </c>
      <c r="AX22" s="53"/>
      <c r="AY22" s="53"/>
      <c r="AZ22" s="53"/>
      <c r="BA22" s="53"/>
      <c r="BB22" s="53">
        <v>0</v>
      </c>
      <c r="BC22" s="53"/>
      <c r="BD22" s="53"/>
      <c r="BE22" s="53"/>
      <c r="BF22" s="53"/>
      <c r="BG22" s="53">
        <v>0</v>
      </c>
      <c r="BH22" s="53"/>
      <c r="BI22" s="53"/>
      <c r="BJ22" s="53"/>
      <c r="BK22" s="53"/>
      <c r="BL22" s="53">
        <v>0</v>
      </c>
      <c r="BM22" s="53"/>
      <c r="BN22" s="53"/>
      <c r="BO22" s="53"/>
      <c r="BP22" s="53"/>
      <c r="BQ22" s="53">
        <v>0</v>
      </c>
      <c r="BU22" s="20" t="s">
        <v>58</v>
      </c>
      <c r="BV22" s="20"/>
      <c r="CA22" s="79">
        <f>+XEL!I240</f>
        <v>0.51797386273318735</v>
      </c>
      <c r="CF22" s="79">
        <f>+XEL!N240</f>
        <v>0.51846222357433958</v>
      </c>
      <c r="CK22" s="79">
        <f>+XEL!S240</f>
        <v>0.53243580891681208</v>
      </c>
      <c r="CP22" s="79">
        <f>+XEL!X240</f>
        <v>0.5232914935640095</v>
      </c>
      <c r="CU22" s="79">
        <f>+XEL!AC240</f>
        <v>0.52013729763348227</v>
      </c>
      <c r="CZ22" s="79">
        <f>+XEL!AH240</f>
        <v>0.51138206721469315</v>
      </c>
      <c r="DE22" s="79">
        <f>+XEL!AM240</f>
        <v>0.53457701793804024</v>
      </c>
      <c r="DJ22" s="79">
        <f>+XEL!AR240</f>
        <v>0.55872069608371711</v>
      </c>
      <c r="DO22" s="79">
        <f>+XEL!AW240</f>
        <v>0.54969536812743158</v>
      </c>
      <c r="DT22" s="79">
        <f>+XEL!BB240</f>
        <v>0.58275379366462765</v>
      </c>
      <c r="DY22" s="79">
        <f>+XEL!BG240</f>
        <v>0.57009320000003894</v>
      </c>
      <c r="ED22" s="79">
        <f>+XEL!BL240</f>
        <v>0.57076692998160361</v>
      </c>
      <c r="EI22" s="79">
        <f>+XEL!BQ240</f>
        <v>0.58471645038478914</v>
      </c>
    </row>
    <row r="23" spans="1:139" x14ac:dyDescent="0.2">
      <c r="A23" s="54"/>
      <c r="B23" s="69"/>
      <c r="BU23" s="20" t="s">
        <v>60</v>
      </c>
      <c r="BV23" s="20"/>
      <c r="BX23" s="20"/>
      <c r="BY23" s="20"/>
      <c r="BZ23" s="20"/>
      <c r="CA23" s="79">
        <f>+XEL!I241</f>
        <v>0.54616854263665227</v>
      </c>
      <c r="CC23" s="20"/>
      <c r="CD23" s="20"/>
      <c r="CE23" s="20"/>
      <c r="CF23" s="79">
        <f>+XEL!N241</f>
        <v>0.54441159848038156</v>
      </c>
      <c r="CG23" s="20"/>
      <c r="CH23" s="20"/>
      <c r="CI23" s="20"/>
      <c r="CJ23" s="20"/>
      <c r="CK23" s="79">
        <f>+XEL!S241</f>
        <v>0.54420390772886285</v>
      </c>
      <c r="CL23" s="20"/>
      <c r="CM23" s="20"/>
      <c r="CN23" s="20"/>
      <c r="CO23" s="20"/>
      <c r="CP23" s="79">
        <f>+XEL!X241</f>
        <v>0.55357602173684584</v>
      </c>
      <c r="CQ23" s="20"/>
      <c r="CR23" s="20"/>
      <c r="CS23" s="20"/>
      <c r="CT23" s="20"/>
      <c r="CU23" s="79">
        <f>+XEL!AC241</f>
        <v>0.5554126056103913</v>
      </c>
      <c r="CV23" s="20"/>
      <c r="CW23" s="20"/>
      <c r="CX23" s="20"/>
      <c r="CY23" s="20"/>
      <c r="CZ23" s="79">
        <f>+XEL!AH241</f>
        <v>0.55572484633563357</v>
      </c>
      <c r="DA23" s="20"/>
      <c r="DB23" s="20"/>
      <c r="DC23" s="20"/>
      <c r="DD23" s="20"/>
      <c r="DE23" s="79">
        <f>+XEL!AM241</f>
        <v>0.56897472866061172</v>
      </c>
      <c r="DF23" s="20"/>
      <c r="DG23" s="20"/>
      <c r="DH23" s="20"/>
      <c r="DI23" s="20"/>
      <c r="DJ23" s="79">
        <f>+XEL!AR241</f>
        <v>0.57387742751293191</v>
      </c>
      <c r="DK23" s="20"/>
      <c r="DL23" s="20"/>
      <c r="DM23" s="20"/>
      <c r="DN23" s="20"/>
      <c r="DO23" s="79">
        <f>+XEL!AW241</f>
        <v>0.57957131322028921</v>
      </c>
      <c r="DP23" s="20"/>
      <c r="DQ23" s="20"/>
      <c r="DR23" s="20"/>
      <c r="DS23" s="20"/>
      <c r="DT23" s="79">
        <f>+XEL!BB241</f>
        <v>0.58595595918588139</v>
      </c>
      <c r="DU23" s="20"/>
      <c r="DV23" s="20"/>
      <c r="DW23" s="20"/>
      <c r="DX23" s="20"/>
      <c r="DY23" s="79">
        <f>+XEL!BG241</f>
        <v>0.59781495022534803</v>
      </c>
      <c r="DZ23" s="20"/>
      <c r="EA23" s="20"/>
      <c r="EB23" s="20"/>
      <c r="EC23" s="20"/>
      <c r="ED23" s="79">
        <f>+XEL!BL241</f>
        <v>0.59426450795713848</v>
      </c>
      <c r="EE23" s="20"/>
      <c r="EF23" s="20"/>
      <c r="EG23" s="20"/>
      <c r="EH23" s="20"/>
      <c r="EI23" s="79">
        <f>+XEL!BQ241</f>
        <v>0.58939357527785541</v>
      </c>
    </row>
    <row r="24" spans="1:139" x14ac:dyDescent="0.2">
      <c r="B24" s="69"/>
      <c r="C24" s="26" t="s">
        <v>59</v>
      </c>
      <c r="D24" s="67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U24" s="20" t="s">
        <v>61</v>
      </c>
      <c r="BV24" s="80"/>
      <c r="CA24" s="81">
        <f>+XEL!I242</f>
        <v>5.9757328888198868</v>
      </c>
      <c r="CF24" s="81">
        <f>+XEL!N242</f>
        <v>3.7273388405812722</v>
      </c>
      <c r="CK24" s="81">
        <f>+XEL!S242</f>
        <v>3.6431153296907328</v>
      </c>
      <c r="CP24" s="81">
        <f>+XEL!X242</f>
        <v>3.8352539327925959</v>
      </c>
      <c r="CU24" s="81">
        <f>+XEL!AC242</f>
        <v>4.0200268626957802</v>
      </c>
      <c r="CZ24" s="81">
        <f>+XEL!AH242</f>
        <v>4.1059911291397055</v>
      </c>
      <c r="DE24" s="81">
        <f>+XEL!AM242</f>
        <v>4.3184811544597208</v>
      </c>
      <c r="DJ24" s="81">
        <f>+XEL!AR242</f>
        <v>4.0681038945573418</v>
      </c>
      <c r="DO24" s="81">
        <f>+XEL!AW242</f>
        <v>4.1369502238609428</v>
      </c>
      <c r="DT24" s="81">
        <f>+XEL!BB242</f>
        <v>4.4419998864810193</v>
      </c>
      <c r="DY24" s="81">
        <f>+XEL!BG242</f>
        <v>4.5817681974487199</v>
      </c>
      <c r="ED24" s="81">
        <f>+XEL!BL242</f>
        <v>4.439202761820968</v>
      </c>
      <c r="EI24" s="81">
        <f>+XEL!BQ242</f>
        <v>4.3148731058402738</v>
      </c>
    </row>
    <row r="25" spans="1:139" x14ac:dyDescent="0.2">
      <c r="B25" s="69"/>
      <c r="C25" s="70" t="s">
        <v>393</v>
      </c>
      <c r="D25" s="71"/>
      <c r="E25" s="44"/>
      <c r="F25" s="44"/>
      <c r="G25" s="44"/>
      <c r="H25" s="44"/>
      <c r="I25" s="42">
        <f>+'NSP-MN'!I33</f>
        <v>1035.3059999999998</v>
      </c>
      <c r="J25" s="44">
        <f>XEL!J26</f>
        <v>142</v>
      </c>
      <c r="K25" s="44">
        <f>XEL!K26</f>
        <v>107.36199999999985</v>
      </c>
      <c r="L25" s="44">
        <f>XEL!L26</f>
        <v>217.67399999999998</v>
      </c>
      <c r="M25" s="44">
        <f>XEL!M26</f>
        <v>131.1880000000001</v>
      </c>
      <c r="N25" s="42">
        <f>+'NSP-MN'!N33</f>
        <v>1038.8520000000001</v>
      </c>
      <c r="O25" s="44"/>
      <c r="P25" s="44"/>
      <c r="Q25" s="44"/>
      <c r="R25" s="44"/>
      <c r="S25" s="42">
        <f>+'NSP-MN'!S33</f>
        <v>1112.8410000000003</v>
      </c>
      <c r="T25" s="44">
        <f>XEL!T26</f>
        <v>132.67600000000016</v>
      </c>
      <c r="U25" s="44">
        <f>XEL!U26</f>
        <v>139.47799999999995</v>
      </c>
      <c r="V25" s="44">
        <f>XEL!V26</f>
        <v>259.74700000000007</v>
      </c>
      <c r="W25" s="44">
        <f>XEL!W26</f>
        <v>126.38499999999999</v>
      </c>
      <c r="X25" s="42">
        <f>+'NSP-MN'!X33</f>
        <v>1095.806</v>
      </c>
      <c r="Y25" s="44">
        <f>XEL!Y26</f>
        <v>175.29000000000008</v>
      </c>
      <c r="Z25" s="44">
        <f>XEL!Z26</f>
        <v>142.04600000000005</v>
      </c>
      <c r="AA25" s="44">
        <f>XEL!AA26</f>
        <v>264.51999999999987</v>
      </c>
      <c r="AB25" s="44">
        <f>XEL!AB26</f>
        <v>127.74599999999941</v>
      </c>
      <c r="AC25" s="42">
        <f>+'NSP-MN'!AC33</f>
        <v>1163.6009999999999</v>
      </c>
      <c r="AD25" s="44">
        <f>XEL!AD26</f>
        <v>203.69199999999978</v>
      </c>
      <c r="AE25" s="44">
        <f>XEL!AE26</f>
        <v>155.29600000000005</v>
      </c>
      <c r="AF25" s="44">
        <f>XEL!AF26</f>
        <v>252.745</v>
      </c>
      <c r="AG25" s="44">
        <f>XEL!AG26</f>
        <v>155.8599999999999</v>
      </c>
      <c r="AH25" s="42">
        <f>+'NSP-MN'!AH33</f>
        <v>1202.8009999999999</v>
      </c>
      <c r="AI25" s="44">
        <f>XEL!AI26</f>
        <v>175.07700000000023</v>
      </c>
      <c r="AJ25" s="44">
        <f>XEL!AJ26</f>
        <v>154.48800000000017</v>
      </c>
      <c r="AK25" s="44">
        <f>XEL!AK26</f>
        <v>310.69000000000017</v>
      </c>
      <c r="AL25" s="44">
        <f>XEL!AL26</f>
        <v>190.31700000000001</v>
      </c>
      <c r="AM25" s="42">
        <f>+'NSP-MN'!AM33</f>
        <v>1212.953</v>
      </c>
      <c r="AN25" s="44">
        <f>XEL!AN26</f>
        <v>183.89799999999991</v>
      </c>
      <c r="AO25" s="44">
        <f>XEL!AO26</f>
        <v>159.67500000000007</v>
      </c>
      <c r="AP25" s="44">
        <f>XEL!AP26</f>
        <v>347.42100000000005</v>
      </c>
      <c r="AQ25" s="44">
        <f>XEL!AQ26</f>
        <v>207.48099999999999</v>
      </c>
      <c r="AR25" s="42">
        <f>+'NSP-MN'!AR33</f>
        <v>1523.8970000000004</v>
      </c>
      <c r="AS25" s="44">
        <f>XEL!AS26</f>
        <v>179.06999999999994</v>
      </c>
      <c r="AT25" s="44">
        <f>XEL!AT26</f>
        <v>169.65000000000009</v>
      </c>
      <c r="AU25" s="44">
        <f>XEL!AU26</f>
        <v>336.33699999999999</v>
      </c>
      <c r="AV25" s="44">
        <f>XEL!AV26</f>
        <v>182.91300000000047</v>
      </c>
      <c r="AW25" s="42">
        <f>+'NSP-MN'!AW33</f>
        <v>1603.784000000001</v>
      </c>
      <c r="AX25" s="44">
        <f>XEL!AX26</f>
        <v>175.87331422065176</v>
      </c>
      <c r="AY25" s="44">
        <f>XEL!AY26</f>
        <v>158.4969706241169</v>
      </c>
      <c r="AZ25" s="44">
        <f>XEL!AZ26</f>
        <v>306.87650439585832</v>
      </c>
      <c r="BA25" s="44">
        <f>XEL!BA26</f>
        <v>172.15340507036899</v>
      </c>
      <c r="BB25" s="42">
        <f>+'NSP-MN'!BB33</f>
        <v>1601.959971565547</v>
      </c>
      <c r="BC25" s="44"/>
      <c r="BD25" s="44"/>
      <c r="BE25" s="44"/>
      <c r="BF25" s="44"/>
      <c r="BG25" s="42">
        <f>+'NSP-MN'!BG33</f>
        <v>1720.6570180722563</v>
      </c>
      <c r="BH25" s="44"/>
      <c r="BI25" s="44"/>
      <c r="BJ25" s="44"/>
      <c r="BK25" s="44"/>
      <c r="BL25" s="42">
        <f>+'NSP-MN'!BL33</f>
        <v>1821.5494108280743</v>
      </c>
      <c r="BM25" s="44"/>
      <c r="BN25" s="44"/>
      <c r="BO25" s="44"/>
      <c r="BP25" s="44"/>
      <c r="BQ25" s="42">
        <f>+'NSP-MN'!BQ33</f>
        <v>1909.7766978684926</v>
      </c>
      <c r="BU25" s="20" t="s">
        <v>62</v>
      </c>
      <c r="BV25" s="80"/>
      <c r="CA25" s="79">
        <f>+XEL!I243</f>
        <v>0.16862675368067409</v>
      </c>
      <c r="CF25" s="79">
        <f>+XEL!N243</f>
        <v>0.16419046824825739</v>
      </c>
      <c r="CK25" s="79">
        <f>+XEL!S243</f>
        <v>0.17034905679473616</v>
      </c>
      <c r="CP25" s="79">
        <f>+XEL!X243</f>
        <v>0.16487623658904083</v>
      </c>
      <c r="CU25" s="79">
        <f>+XEL!AC243</f>
        <v>0.16286224269627836</v>
      </c>
      <c r="CZ25" s="79">
        <f>+XEL!AH243</f>
        <v>0.15969111346606266</v>
      </c>
      <c r="DE25" s="79">
        <f>+XEL!AM243</f>
        <v>0.15636698981115843</v>
      </c>
      <c r="DJ25" s="79">
        <f>+XEL!AR243</f>
        <v>0.16349155218882983</v>
      </c>
      <c r="DO25" s="79">
        <f>+XEL!AW243</f>
        <v>0.1678171110126021</v>
      </c>
      <c r="DT25" s="79">
        <f>+XEL!BB243</f>
        <v>0.16771283549997007</v>
      </c>
      <c r="DY25" s="79">
        <f>+XEL!BG243</f>
        <v>0.16184298182968862</v>
      </c>
      <c r="ED25" s="79">
        <f>+XEL!BL243</f>
        <v>0.16629998346953345</v>
      </c>
      <c r="EI25" s="79">
        <f>+XEL!BQ243</f>
        <v>0.17078141177565423</v>
      </c>
    </row>
    <row r="26" spans="1:139" x14ac:dyDescent="0.2">
      <c r="B26" s="69"/>
      <c r="C26" t="s">
        <v>336</v>
      </c>
      <c r="D26" s="71"/>
      <c r="E26" s="44"/>
      <c r="F26" s="44"/>
      <c r="G26" s="44"/>
      <c r="H26" s="44"/>
      <c r="I26" s="82">
        <f>+PSCO!I33</f>
        <v>897.54700000000025</v>
      </c>
      <c r="J26" s="20">
        <f>XEL!J27</f>
        <v>201.07799999999997</v>
      </c>
      <c r="K26" s="20">
        <f>XEL!K27</f>
        <v>156.67700000000002</v>
      </c>
      <c r="L26" s="20">
        <f>XEL!L27</f>
        <v>243.05499999999995</v>
      </c>
      <c r="M26" s="20">
        <f>XEL!M27</f>
        <v>154.24199999999985</v>
      </c>
      <c r="N26" s="82">
        <f>+PSCO!N33</f>
        <v>1079.6779999999997</v>
      </c>
      <c r="O26" s="20"/>
      <c r="P26" s="20"/>
      <c r="Q26" s="20"/>
      <c r="R26" s="20"/>
      <c r="S26" s="82">
        <f>+PSCO!S33</f>
        <v>1137.224999999999</v>
      </c>
      <c r="T26" s="20">
        <f>XEL!T27</f>
        <v>188.90599999999972</v>
      </c>
      <c r="U26" s="20">
        <f>XEL!U27</f>
        <v>192.30999999999995</v>
      </c>
      <c r="V26" s="20">
        <f>XEL!V27</f>
        <v>315.39100000000008</v>
      </c>
      <c r="W26" s="20">
        <f>XEL!W27</f>
        <v>152.61199999999985</v>
      </c>
      <c r="X26" s="82">
        <f>+PSCO!X33</f>
        <v>1209.1359999999991</v>
      </c>
      <c r="Y26" s="20">
        <f>XEL!Y27</f>
        <v>212.29899999999998</v>
      </c>
      <c r="Z26" s="20">
        <f>XEL!Z27</f>
        <v>183.67499999999995</v>
      </c>
      <c r="AA26" s="20">
        <f>XEL!AA27</f>
        <v>289.74100000000021</v>
      </c>
      <c r="AB26" s="20">
        <f>XEL!AB27</f>
        <v>143.04399999999941</v>
      </c>
      <c r="AC26" s="82">
        <f>+PSCO!AC33</f>
        <v>1225.4849999999994</v>
      </c>
      <c r="AD26" s="20">
        <f>XEL!AD27</f>
        <v>208.43700000000013</v>
      </c>
      <c r="AE26" s="20">
        <f>XEL!AE27</f>
        <v>163.4369999999999</v>
      </c>
      <c r="AF26" s="20">
        <f>XEL!AF27</f>
        <v>261.07299999999987</v>
      </c>
      <c r="AG26" s="20">
        <f>XEL!AG27</f>
        <v>169.42300000000012</v>
      </c>
      <c r="AH26" s="82">
        <f>+PSCO!AH33</f>
        <v>1232.6210000000008</v>
      </c>
      <c r="AI26" s="20">
        <f>XEL!AI27</f>
        <v>215.40000000000009</v>
      </c>
      <c r="AJ26" s="20">
        <f>XEL!AJ27</f>
        <v>195.17599999999993</v>
      </c>
      <c r="AK26" s="20">
        <f>XEL!AK27</f>
        <v>315.17399999999998</v>
      </c>
      <c r="AL26" s="20">
        <f>XEL!AL27</f>
        <v>173.95100000000025</v>
      </c>
      <c r="AM26" s="82">
        <f>+PSCO!AM33</f>
        <v>1328.817</v>
      </c>
      <c r="AN26" s="20">
        <f>XEL!AN27</f>
        <v>223.19000000000005</v>
      </c>
      <c r="AO26" s="20">
        <f>XEL!AO27</f>
        <v>180.62900000000002</v>
      </c>
      <c r="AP26" s="20">
        <f>XEL!AP27</f>
        <v>315.6049999999999</v>
      </c>
      <c r="AQ26" s="20">
        <f>XEL!AQ27</f>
        <v>170.19699999999978</v>
      </c>
      <c r="AR26" s="82">
        <f>+PSCO!AR33</f>
        <v>1355.5499999999997</v>
      </c>
      <c r="AS26" s="20">
        <f>XEL!AS27</f>
        <v>212.42200000000003</v>
      </c>
      <c r="AT26" s="20">
        <f>XEL!AT27</f>
        <v>192.81099999999992</v>
      </c>
      <c r="AU26" s="20">
        <f>XEL!AU27</f>
        <v>326.02800000000002</v>
      </c>
      <c r="AV26" s="20">
        <f>XEL!AV27</f>
        <v>154.66899999999964</v>
      </c>
      <c r="AW26" s="82">
        <f>+PSCO!AW33</f>
        <v>1397.1000000000004</v>
      </c>
      <c r="AX26" s="20">
        <f>XEL!AX27</f>
        <v>202.62912327358504</v>
      </c>
      <c r="AY26" s="20">
        <f>XEL!AY27</f>
        <v>170.60567442911997</v>
      </c>
      <c r="AZ26" s="20">
        <f>XEL!AZ27</f>
        <v>280.74718336041633</v>
      </c>
      <c r="BA26" s="20">
        <f>XEL!BA27</f>
        <v>146.69816848216374</v>
      </c>
      <c r="BB26" s="82">
        <f>+PSCO!BB33</f>
        <v>1376.5057240190736</v>
      </c>
      <c r="BC26" s="20"/>
      <c r="BD26" s="20"/>
      <c r="BE26" s="20"/>
      <c r="BF26" s="20"/>
      <c r="BG26" s="82">
        <f>+PSCO!BG33</f>
        <v>1415.8890474996142</v>
      </c>
      <c r="BH26" s="20"/>
      <c r="BI26" s="20"/>
      <c r="BJ26" s="20"/>
      <c r="BK26" s="20"/>
      <c r="BL26" s="82">
        <f>+PSCO!BL33</f>
        <v>1473.8391917561248</v>
      </c>
      <c r="BM26" s="20"/>
      <c r="BN26" s="20"/>
      <c r="BO26" s="20"/>
      <c r="BP26" s="20"/>
      <c r="BQ26" s="82">
        <f>+PSCO!BQ33</f>
        <v>1538.3094916345478</v>
      </c>
    </row>
    <row r="27" spans="1:139" x14ac:dyDescent="0.2">
      <c r="A27" s="65"/>
      <c r="C27" t="s">
        <v>338</v>
      </c>
      <c r="I27" s="42">
        <f>+SPS!I25</f>
        <v>281.76499999999999</v>
      </c>
      <c r="J27">
        <f>XEL!J28</f>
        <v>30.828000000000031</v>
      </c>
      <c r="K27">
        <f>XEL!K28</f>
        <v>54.051000000000045</v>
      </c>
      <c r="L27">
        <f>XEL!L28</f>
        <v>76.936999999999955</v>
      </c>
      <c r="M27">
        <f>XEL!M28</f>
        <v>21.620999999999924</v>
      </c>
      <c r="N27" s="42">
        <f>+SPS!N25</f>
        <v>291.5870000000001</v>
      </c>
      <c r="S27" s="42">
        <f>+SPS!S25</f>
        <v>313.31899999999996</v>
      </c>
      <c r="T27">
        <f>XEL!T28</f>
        <v>31.84499999999997</v>
      </c>
      <c r="U27">
        <f>XEL!U28</f>
        <v>61.89100000000002</v>
      </c>
      <c r="V27">
        <f>XEL!V28</f>
        <v>107.50900000000001</v>
      </c>
      <c r="W27">
        <f>XEL!W28</f>
        <v>24.509999999999991</v>
      </c>
      <c r="X27" s="42">
        <f>+SPS!X25</f>
        <v>346.81600000000014</v>
      </c>
      <c r="Y27">
        <f>XEL!Y28</f>
        <v>33.059000000000026</v>
      </c>
      <c r="Z27">
        <f>XEL!Z28</f>
        <v>58.469000000000051</v>
      </c>
      <c r="AA27">
        <f>XEL!AA28</f>
        <v>74.652999999999963</v>
      </c>
      <c r="AB27">
        <f>XEL!AB28</f>
        <v>43.836000000000126</v>
      </c>
      <c r="AC27" s="42">
        <f>+SPS!AC25</f>
        <v>342.25000000000006</v>
      </c>
      <c r="AD27">
        <f>XEL!AD28</f>
        <v>42.575999999999965</v>
      </c>
      <c r="AE27">
        <f>XEL!AE28</f>
        <v>59</v>
      </c>
      <c r="AF27">
        <f>XEL!AF28</f>
        <v>118.76900000000001</v>
      </c>
      <c r="AG27">
        <f>XEL!AG28</f>
        <v>45.779000000000053</v>
      </c>
      <c r="AH27" s="42">
        <f>+SPS!AH25</f>
        <v>413.81500000000005</v>
      </c>
      <c r="AI27">
        <f>XEL!AI28</f>
        <v>49.759000000000015</v>
      </c>
      <c r="AJ27">
        <f>XEL!AJ28</f>
        <v>53.132000000000005</v>
      </c>
      <c r="AK27">
        <f>XEL!AK28</f>
        <v>117.07599999999996</v>
      </c>
      <c r="AL27">
        <f>XEL!AL28</f>
        <v>54.498000000000104</v>
      </c>
      <c r="AM27" s="42">
        <f>+SPS!AM25</f>
        <v>432.75000000000017</v>
      </c>
      <c r="AN27">
        <f>XEL!AN28</f>
        <v>53.569000000000017</v>
      </c>
      <c r="AO27">
        <f>XEL!AO28</f>
        <v>68.386000000000024</v>
      </c>
      <c r="AP27">
        <f>XEL!AP28</f>
        <v>122.36200000000008</v>
      </c>
      <c r="AQ27">
        <f>XEL!AQ28</f>
        <v>62.964000000000055</v>
      </c>
      <c r="AR27" s="42">
        <f>+SPS!AR25</f>
        <v>479.78199999999993</v>
      </c>
      <c r="AS27">
        <f>XEL!AS28</f>
        <v>58.41500000000002</v>
      </c>
      <c r="AT27">
        <f>XEL!AT28</f>
        <v>74.488999999999976</v>
      </c>
      <c r="AU27">
        <f>XEL!AU28</f>
        <v>122.40700000000004</v>
      </c>
      <c r="AV27">
        <f>XEL!AV28</f>
        <v>41.497999999999877</v>
      </c>
      <c r="AW27" s="42">
        <f>+SPS!AW25</f>
        <v>502.39299999999969</v>
      </c>
      <c r="AX27">
        <f>XEL!AX28</f>
        <v>69.059290261373917</v>
      </c>
      <c r="AY27">
        <f>XEL!AY28</f>
        <v>78.166455775054828</v>
      </c>
      <c r="AZ27">
        <f>XEL!AZ28</f>
        <v>118.02258427294475</v>
      </c>
      <c r="BA27">
        <f>XEL!BA28</f>
        <v>46.401260736327401</v>
      </c>
      <c r="BB27" s="42">
        <f>+SPS!BB25</f>
        <v>550.56622007709734</v>
      </c>
      <c r="BG27" s="42">
        <f>+SPS!BG25</f>
        <v>638.53249957719538</v>
      </c>
      <c r="BL27" s="42">
        <f>+SPS!BL25</f>
        <v>727.5527287094834</v>
      </c>
      <c r="BQ27" s="42">
        <f>+SPS!BQ25</f>
        <v>804.02781172089885</v>
      </c>
      <c r="BU27" s="26" t="s">
        <v>63</v>
      </c>
      <c r="CA27" s="79"/>
      <c r="CF27" s="31"/>
      <c r="CK27" s="31"/>
      <c r="CP27" s="31"/>
      <c r="CU27" s="31"/>
      <c r="CZ27" s="31"/>
      <c r="DE27" s="31"/>
      <c r="DJ27" s="31"/>
      <c r="DO27" s="31"/>
      <c r="DT27" s="31"/>
      <c r="DY27" s="31"/>
      <c r="ED27" s="31"/>
      <c r="EI27" s="31"/>
    </row>
    <row r="28" spans="1:139" x14ac:dyDescent="0.2">
      <c r="C28" s="70" t="s">
        <v>394</v>
      </c>
      <c r="D28" s="71"/>
      <c r="E28" s="44"/>
      <c r="F28" s="44"/>
      <c r="G28" s="44"/>
      <c r="H28" s="44"/>
      <c r="I28" s="42">
        <f>+'NSP-WI'!I32</f>
        <v>158.70200000000014</v>
      </c>
      <c r="J28" s="44">
        <f>XEL!J29</f>
        <v>28.867000000000019</v>
      </c>
      <c r="K28" s="44">
        <f>XEL!K29</f>
        <v>8.9939999999999998</v>
      </c>
      <c r="L28" s="44">
        <f>XEL!L29</f>
        <v>33.131</v>
      </c>
      <c r="M28" s="44">
        <f>XEL!M29</f>
        <v>17.828999999999979</v>
      </c>
      <c r="N28" s="42">
        <f>+'NSP-WI'!N32</f>
        <v>156.00799999999992</v>
      </c>
      <c r="O28" s="44"/>
      <c r="P28" s="44"/>
      <c r="Q28" s="44"/>
      <c r="R28" s="44"/>
      <c r="S28" s="42">
        <f>+'NSP-WI'!S32</f>
        <v>177.18700000000004</v>
      </c>
      <c r="T28" s="44">
        <f>XEL!T29</f>
        <v>28.914000000000016</v>
      </c>
      <c r="U28" s="44">
        <f>XEL!U29</f>
        <v>14.348000000000013</v>
      </c>
      <c r="V28" s="44">
        <f>XEL!V29</f>
        <v>40.734999999999957</v>
      </c>
      <c r="W28" s="44">
        <f>XEL!W29</f>
        <v>15.869000000000113</v>
      </c>
      <c r="X28" s="42">
        <f>+'NSP-WI'!X32</f>
        <v>171.68000000000009</v>
      </c>
      <c r="Y28" s="44">
        <f>XEL!Y29</f>
        <v>37.40100000000001</v>
      </c>
      <c r="Z28" s="44">
        <f>XEL!Z29</f>
        <v>22.466000000000037</v>
      </c>
      <c r="AA28" s="44">
        <f>XEL!AA29</f>
        <v>40.768999999999977</v>
      </c>
      <c r="AB28" s="44">
        <f>XEL!AB29</f>
        <v>16.544999999999902</v>
      </c>
      <c r="AC28" s="42">
        <f>+'NSP-WI'!AC32</f>
        <v>198.59000000000003</v>
      </c>
      <c r="AD28" s="44">
        <f>XEL!AD29</f>
        <v>42.571000000000083</v>
      </c>
      <c r="AE28" s="44">
        <f>XEL!AE29</f>
        <v>23.729999999999961</v>
      </c>
      <c r="AF28" s="44">
        <f>XEL!AF29</f>
        <v>37.54000000000002</v>
      </c>
      <c r="AG28" s="44">
        <f>XEL!AG29</f>
        <v>27.786999999999921</v>
      </c>
      <c r="AH28" s="42">
        <f>+'NSP-WI'!AH32</f>
        <v>218.61200000000017</v>
      </c>
      <c r="AI28" s="44">
        <f>XEL!AI29</f>
        <v>44.785999999999973</v>
      </c>
      <c r="AJ28" s="44">
        <f>XEL!AJ29</f>
        <v>25.069000000000017</v>
      </c>
      <c r="AK28" s="44">
        <f>XEL!AK29</f>
        <v>47.531999999999982</v>
      </c>
      <c r="AL28" s="44">
        <f>XEL!AL29</f>
        <v>27.809000000000111</v>
      </c>
      <c r="AM28" s="42">
        <f>+'NSP-WI'!AM32</f>
        <v>239.34000000000003</v>
      </c>
      <c r="AN28" s="44">
        <f>XEL!AN29</f>
        <v>35.448000000000036</v>
      </c>
      <c r="AO28" s="44">
        <f>XEL!AO29</f>
        <v>27.777999999999992</v>
      </c>
      <c r="AP28" s="44">
        <f>XEL!AP29</f>
        <v>46.342000000000041</v>
      </c>
      <c r="AQ28" s="44">
        <f>XEL!AQ29</f>
        <v>30.359999999999957</v>
      </c>
      <c r="AR28" s="42">
        <f>+'NSP-WI'!AR32</f>
        <v>242.95999999999998</v>
      </c>
      <c r="AS28" s="44">
        <f>XEL!AS29</f>
        <v>42.774999999999977</v>
      </c>
      <c r="AT28" s="44">
        <f>XEL!AT29</f>
        <v>29.067000000000007</v>
      </c>
      <c r="AU28" s="44">
        <f>XEL!AU29</f>
        <v>38.391999999999996</v>
      </c>
      <c r="AV28" s="44">
        <f>XEL!AV29</f>
        <v>37.994</v>
      </c>
      <c r="AW28" s="42">
        <f>+'NSP-WI'!AW32</f>
        <v>266.98399999999992</v>
      </c>
      <c r="AX28" s="44">
        <f>XEL!AX29</f>
        <v>41.206629470502463</v>
      </c>
      <c r="AY28" s="44">
        <f>XEL!AY29</f>
        <v>26.729304939592538</v>
      </c>
      <c r="AZ28" s="44">
        <f>XEL!AZ29</f>
        <v>34.549191938405244</v>
      </c>
      <c r="BA28" s="44">
        <f>XEL!BA29</f>
        <v>35.635456505361788</v>
      </c>
      <c r="BB28" s="42">
        <f>+'NSP-WI'!BB32</f>
        <v>264.7152096453903</v>
      </c>
      <c r="BC28" s="44"/>
      <c r="BD28" s="44"/>
      <c r="BE28" s="44"/>
      <c r="BF28" s="44"/>
      <c r="BG28" s="42">
        <f>+'NSP-WI'!BG32</f>
        <v>278.43185249963983</v>
      </c>
      <c r="BH28" s="44"/>
      <c r="BI28" s="44"/>
      <c r="BJ28" s="44"/>
      <c r="BK28" s="44"/>
      <c r="BL28" s="42">
        <f>+'NSP-WI'!BL32</f>
        <v>295.82712332611595</v>
      </c>
      <c r="BM28" s="44"/>
      <c r="BN28" s="44"/>
      <c r="BO28" s="44"/>
      <c r="BP28" s="44"/>
      <c r="BQ28" s="42">
        <f>+'NSP-WI'!BQ32</f>
        <v>313.74645685240392</v>
      </c>
      <c r="BU28" s="20" t="s">
        <v>65</v>
      </c>
      <c r="BX28" s="20"/>
      <c r="BY28" s="20"/>
      <c r="BZ28" s="20"/>
      <c r="CA28" s="81">
        <f>+XEL!I246</f>
        <v>3.6694993714991795</v>
      </c>
      <c r="CC28" s="20"/>
      <c r="CD28" s="20"/>
      <c r="CE28" s="20"/>
      <c r="CF28" s="81">
        <f>+XEL!N246</f>
        <v>3.7829933257230768</v>
      </c>
      <c r="CG28" s="20"/>
      <c r="CH28" s="20"/>
      <c r="CI28" s="20"/>
      <c r="CJ28" s="20"/>
      <c r="CK28" s="81">
        <f>+XEL!S246</f>
        <v>3.9186344734714029</v>
      </c>
      <c r="CL28" s="20"/>
      <c r="CM28" s="20"/>
      <c r="CN28" s="20"/>
      <c r="CO28" s="20"/>
      <c r="CP28" s="81">
        <f>+XEL!X246</f>
        <v>4.0158947574894208</v>
      </c>
      <c r="CQ28" s="20"/>
      <c r="CR28" s="20"/>
      <c r="CS28" s="20"/>
      <c r="CT28" s="20"/>
      <c r="CU28" s="81">
        <f>+XEL!AC246</f>
        <v>4.3836776489527987</v>
      </c>
      <c r="CV28" s="20"/>
      <c r="CW28" s="20"/>
      <c r="CX28" s="20"/>
      <c r="CY28" s="20"/>
      <c r="CZ28" s="81">
        <f>+XEL!AH246</f>
        <v>4.6009922203710456</v>
      </c>
      <c r="DA28" s="20"/>
      <c r="DB28" s="20"/>
      <c r="DC28" s="20"/>
      <c r="DD28" s="20"/>
      <c r="DE28" s="81">
        <f>+XEL!AM246</f>
        <v>4.6758359903373528</v>
      </c>
      <c r="DF28" s="20"/>
      <c r="DG28" s="20"/>
      <c r="DH28" s="20"/>
      <c r="DI28" s="20"/>
      <c r="DJ28" s="81">
        <f>+XEL!AR246</f>
        <v>4.7510523150932098</v>
      </c>
      <c r="DK28" s="20"/>
      <c r="DL28" s="20"/>
      <c r="DM28" s="20"/>
      <c r="DN28" s="20"/>
      <c r="DO28" s="81">
        <f>+XEL!AW246</f>
        <v>4.9969834087481146</v>
      </c>
      <c r="DP28" s="20"/>
      <c r="DQ28" s="20"/>
      <c r="DR28" s="20"/>
      <c r="DS28" s="20"/>
      <c r="DT28" s="81">
        <f>+XEL!BB246</f>
        <v>5.0174616544926591</v>
      </c>
      <c r="DU28" s="20"/>
      <c r="DV28" s="20"/>
      <c r="DW28" s="20"/>
      <c r="DX28" s="20"/>
      <c r="DY28" s="81">
        <f>+XEL!BG246</f>
        <v>4.9828288283907689</v>
      </c>
      <c r="DZ28" s="20"/>
      <c r="EA28" s="20"/>
      <c r="EB28" s="20"/>
      <c r="EC28" s="20"/>
      <c r="ED28" s="81">
        <f>+XEL!BL246</f>
        <v>4.9719864090571351</v>
      </c>
      <c r="EE28" s="20"/>
      <c r="EF28" s="20"/>
      <c r="EG28" s="20"/>
      <c r="EH28" s="20"/>
      <c r="EI28" s="81">
        <f>+XEL!BQ246</f>
        <v>4.9617936553546071</v>
      </c>
    </row>
    <row r="29" spans="1:139" x14ac:dyDescent="0.2">
      <c r="B29" s="20"/>
      <c r="C29" t="s">
        <v>332</v>
      </c>
      <c r="I29" s="42">
        <f>+Parent!I23</f>
        <v>23.424999999999113</v>
      </c>
      <c r="J29" s="44">
        <f>XEL!J30</f>
        <v>0.89200000000008117</v>
      </c>
      <c r="K29" s="44">
        <f>XEL!K30</f>
        <v>-1.7799999999995748</v>
      </c>
      <c r="L29" s="44">
        <f>XEL!L30</f>
        <v>-2.1669999999998311</v>
      </c>
      <c r="M29" s="44">
        <f>XEL!M30</f>
        <v>-2.5099999999997493</v>
      </c>
      <c r="N29" s="42">
        <f>+Parent!N23</f>
        <v>29.969000000001227</v>
      </c>
      <c r="O29" s="44"/>
      <c r="P29" s="44"/>
      <c r="Q29" s="44"/>
      <c r="R29" s="44"/>
      <c r="S29" s="42">
        <f>+Parent!S23</f>
        <v>22.653999999999925</v>
      </c>
      <c r="T29" s="44">
        <f>XEL!T30</f>
        <v>-2.1789999999998884</v>
      </c>
      <c r="U29" s="44">
        <f>XEL!U30</f>
        <v>-2.3370000000004438</v>
      </c>
      <c r="V29" s="44">
        <f>XEL!V30</f>
        <v>-2.9480000000000359</v>
      </c>
      <c r="W29" s="44">
        <f>XEL!W30</f>
        <v>-2.9789999999988197</v>
      </c>
      <c r="X29" s="42">
        <f>+Parent!X23</f>
        <v>24.284000000000599</v>
      </c>
      <c r="Y29" s="44">
        <f>XEL!Y30</f>
        <v>-3.4250000000004661</v>
      </c>
      <c r="Z29" s="44">
        <f>XEL!Z30</f>
        <v>-4.4199999999999875</v>
      </c>
      <c r="AA29" s="44">
        <f>XEL!AA30</f>
        <v>-4.5699999999996237</v>
      </c>
      <c r="AB29" s="44">
        <f>XEL!AB30</f>
        <v>-5.5889999999998281</v>
      </c>
      <c r="AC29" s="42">
        <f>+Parent!AC23</f>
        <v>16.167000000001352</v>
      </c>
      <c r="AD29" s="44">
        <f>XEL!AD30</f>
        <v>-3.2839999999995939</v>
      </c>
      <c r="AE29" s="44">
        <f>XEL!AE30</f>
        <v>-4.2550000000001091</v>
      </c>
      <c r="AF29" s="44">
        <f>XEL!AF30</f>
        <v>-4.4470000000001164</v>
      </c>
      <c r="AG29" s="44">
        <f>XEL!AG30</f>
        <v>-7.5990000000009559</v>
      </c>
      <c r="AH29" s="42">
        <f>+Parent!AH23</f>
        <v>24.522999999998536</v>
      </c>
      <c r="AI29" s="44">
        <f>XEL!AI30</f>
        <v>-4.7140000000002829</v>
      </c>
      <c r="AJ29" s="44">
        <f>XEL!AJ30</f>
        <v>-5.0200000000002376</v>
      </c>
      <c r="AK29" s="44">
        <f>XEL!AK30</f>
        <v>-4.660000000000224</v>
      </c>
      <c r="AL29" s="44">
        <f>XEL!AL30</f>
        <v>-5.5649999999996567</v>
      </c>
      <c r="AM29" s="42">
        <f>+Parent!AM23</f>
        <v>6.9019999999994042</v>
      </c>
      <c r="AN29" s="44">
        <f>XEL!AN30</f>
        <v>-6.2350000000000989</v>
      </c>
      <c r="AO29" s="44">
        <f>XEL!AO30</f>
        <v>-4.8870000000003984</v>
      </c>
      <c r="AP29" s="44">
        <f>XEL!AP30</f>
        <v>-4.6759999999999025</v>
      </c>
      <c r="AQ29" s="44">
        <f>XEL!AQ30</f>
        <v>-5.6519999999993047</v>
      </c>
      <c r="AR29" s="42">
        <f>+Parent!AR23</f>
        <v>25.48900000000242</v>
      </c>
      <c r="AS29" s="44">
        <f>XEL!AS30</f>
        <v>-6.4629999999999654</v>
      </c>
      <c r="AT29" s="44">
        <f>XEL!AT30</f>
        <v>-6.3250000000005002</v>
      </c>
      <c r="AU29" s="44">
        <f>XEL!AU30</f>
        <v>-4.8050000000001489</v>
      </c>
      <c r="AV29" s="44">
        <f>XEL!AV30</f>
        <v>8.6560000000010291</v>
      </c>
      <c r="AW29" s="42">
        <f>+Parent!AW23</f>
        <v>26.738999999999265</v>
      </c>
      <c r="AX29" s="44">
        <f>XEL!AX30</f>
        <v>-6.4619999999999891</v>
      </c>
      <c r="AY29" s="44">
        <f>XEL!AY30</f>
        <v>-6.326000000000505</v>
      </c>
      <c r="AZ29" s="44">
        <f>XEL!AZ30</f>
        <v>-4.8050000000001774</v>
      </c>
      <c r="BA29" s="44">
        <f>XEL!BA30</f>
        <v>8.4620000000010691</v>
      </c>
      <c r="BB29" s="42">
        <f>+Parent!BB23</f>
        <v>26.545000000000663</v>
      </c>
      <c r="BC29" s="44"/>
      <c r="BD29" s="44"/>
      <c r="BE29" s="44"/>
      <c r="BF29" s="44"/>
      <c r="BG29" s="42">
        <f>+Parent!BG23</f>
        <v>26.545000000000663</v>
      </c>
      <c r="BH29" s="44"/>
      <c r="BI29" s="44"/>
      <c r="BJ29" s="44"/>
      <c r="BK29" s="44"/>
      <c r="BL29" s="42">
        <f>+Parent!BL23</f>
        <v>26.545000000000663</v>
      </c>
      <c r="BM29" s="44"/>
      <c r="BN29" s="44"/>
      <c r="BO29" s="44"/>
      <c r="BP29" s="44"/>
      <c r="BQ29" s="42">
        <f>+Parent!BQ23</f>
        <v>26.545000000000663</v>
      </c>
      <c r="BU29" s="20" t="s">
        <v>66</v>
      </c>
      <c r="BV29" s="20"/>
      <c r="CA29" s="81">
        <f>+XEL!I247</f>
        <v>2.8107927656528755</v>
      </c>
      <c r="CF29" s="81">
        <f>+XEL!N247</f>
        <v>3.0092483686736857</v>
      </c>
      <c r="CK29" s="81">
        <f>+XEL!S247</f>
        <v>3.1680144409218087</v>
      </c>
      <c r="CP29" s="81">
        <f>+XEL!X247</f>
        <v>3.194359206226252</v>
      </c>
      <c r="CU29" s="81">
        <f>+XEL!AC247</f>
        <v>3.421824446843615</v>
      </c>
      <c r="CZ29" s="81">
        <f>+XEL!AH247</f>
        <v>3.659191186852282</v>
      </c>
      <c r="DE29" s="81">
        <f>+XEL!AM247</f>
        <v>3.5214201000534202</v>
      </c>
      <c r="DJ29" s="81">
        <f>+XEL!AR247</f>
        <v>3.5932135531073293</v>
      </c>
      <c r="DO29" s="81">
        <f>+XEL!AW247</f>
        <v>3.4962292609351433</v>
      </c>
      <c r="DT29" s="81">
        <f>+XEL!BB247</f>
        <v>3.1198099844900455</v>
      </c>
      <c r="DY29" s="81">
        <f>+XEL!BG247</f>
        <v>3.1453423901573641</v>
      </c>
      <c r="ED29" s="81">
        <f>+XEL!BL247</f>
        <v>3.136282732735415</v>
      </c>
      <c r="EI29" s="81">
        <f>+XEL!BQ247</f>
        <v>3.1616685440951731</v>
      </c>
    </row>
    <row r="30" spans="1:139" x14ac:dyDescent="0.2">
      <c r="B30" s="54"/>
      <c r="C30" s="73" t="s">
        <v>64</v>
      </c>
      <c r="D30" s="74"/>
      <c r="E30" s="83"/>
      <c r="F30" s="83"/>
      <c r="G30" s="83"/>
      <c r="H30" s="83"/>
      <c r="I30" s="83">
        <f t="shared" ref="I30:AM30" si="4">SUM(I25:I29)</f>
        <v>2396.7449999999994</v>
      </c>
      <c r="J30" s="83">
        <f t="shared" si="4"/>
        <v>403.66500000000008</v>
      </c>
      <c r="K30" s="83">
        <f t="shared" si="4"/>
        <v>325.30400000000037</v>
      </c>
      <c r="L30" s="83">
        <f t="shared" si="4"/>
        <v>568.63000000000011</v>
      </c>
      <c r="M30" s="83">
        <f t="shared" si="4"/>
        <v>322.37000000000012</v>
      </c>
      <c r="N30" s="83">
        <f t="shared" si="4"/>
        <v>2596.094000000001</v>
      </c>
      <c r="O30" s="83"/>
      <c r="P30" s="83"/>
      <c r="Q30" s="83"/>
      <c r="R30" s="83"/>
      <c r="S30" s="83">
        <f t="shared" si="4"/>
        <v>2763.2259999999992</v>
      </c>
      <c r="T30" s="83">
        <f t="shared" si="4"/>
        <v>380.16200000000003</v>
      </c>
      <c r="U30" s="83">
        <f t="shared" si="4"/>
        <v>405.68999999999949</v>
      </c>
      <c r="V30" s="83">
        <f t="shared" si="4"/>
        <v>720.43399999999997</v>
      </c>
      <c r="W30" s="83">
        <f t="shared" si="4"/>
        <v>316.39700000000119</v>
      </c>
      <c r="X30" s="83">
        <f t="shared" si="4"/>
        <v>2847.7220000000002</v>
      </c>
      <c r="Y30" s="83">
        <f t="shared" si="4"/>
        <v>454.62399999999963</v>
      </c>
      <c r="Z30" s="83">
        <f t="shared" si="4"/>
        <v>402.2360000000001</v>
      </c>
      <c r="AA30" s="83">
        <f t="shared" si="4"/>
        <v>665.1130000000004</v>
      </c>
      <c r="AB30" s="83">
        <f t="shared" si="4"/>
        <v>325.58199999999903</v>
      </c>
      <c r="AC30" s="83">
        <f t="shared" si="4"/>
        <v>2946.0930000000008</v>
      </c>
      <c r="AD30" s="83">
        <f t="shared" si="4"/>
        <v>493.99200000000036</v>
      </c>
      <c r="AE30" s="83">
        <f t="shared" si="4"/>
        <v>397.2079999999998</v>
      </c>
      <c r="AF30" s="83">
        <f t="shared" si="4"/>
        <v>665.67999999999984</v>
      </c>
      <c r="AG30" s="83">
        <f t="shared" si="4"/>
        <v>391.24999999999903</v>
      </c>
      <c r="AH30" s="83">
        <f t="shared" si="4"/>
        <v>3092.3719999999989</v>
      </c>
      <c r="AI30" s="83">
        <f t="shared" si="4"/>
        <v>480.30799999999999</v>
      </c>
      <c r="AJ30" s="83">
        <f t="shared" si="4"/>
        <v>422.84499999999991</v>
      </c>
      <c r="AK30" s="83">
        <f t="shared" si="4"/>
        <v>785.81199999999978</v>
      </c>
      <c r="AL30" s="83">
        <f t="shared" si="4"/>
        <v>441.01000000000084</v>
      </c>
      <c r="AM30" s="83">
        <f t="shared" si="4"/>
        <v>3220.7619999999997</v>
      </c>
      <c r="AN30" s="83">
        <f t="shared" ref="AN30:BB30" si="5">SUM(AN25:AN29)</f>
        <v>489.86999999999989</v>
      </c>
      <c r="AO30" s="83">
        <f t="shared" si="5"/>
        <v>431.58099999999968</v>
      </c>
      <c r="AP30" s="83">
        <f t="shared" si="5"/>
        <v>827.05400000000009</v>
      </c>
      <c r="AQ30" s="83">
        <f t="shared" si="5"/>
        <v>465.35000000000048</v>
      </c>
      <c r="AR30" s="83">
        <f t="shared" si="5"/>
        <v>3627.6780000000026</v>
      </c>
      <c r="AS30" s="83">
        <f t="shared" si="5"/>
        <v>486.21899999999999</v>
      </c>
      <c r="AT30" s="83">
        <f t="shared" si="5"/>
        <v>459.6919999999995</v>
      </c>
      <c r="AU30" s="83">
        <f t="shared" si="5"/>
        <v>818.35899999999981</v>
      </c>
      <c r="AV30" s="83">
        <f t="shared" si="5"/>
        <v>425.73000000000098</v>
      </c>
      <c r="AW30" s="83">
        <f t="shared" si="5"/>
        <v>3797</v>
      </c>
      <c r="AX30" s="83">
        <f t="shared" si="5"/>
        <v>482.30635722611316</v>
      </c>
      <c r="AY30" s="83">
        <f t="shared" si="5"/>
        <v>427.67240576788379</v>
      </c>
      <c r="AZ30" s="83">
        <f t="shared" si="5"/>
        <v>735.39046396762444</v>
      </c>
      <c r="BA30" s="83">
        <f t="shared" si="5"/>
        <v>409.35029079422299</v>
      </c>
      <c r="BB30" s="83">
        <f t="shared" si="5"/>
        <v>3820.2921253071086</v>
      </c>
      <c r="BC30" s="83"/>
      <c r="BD30" s="83"/>
      <c r="BE30" s="83"/>
      <c r="BF30" s="83"/>
      <c r="BG30" s="83">
        <f>SUM(BG25:BG29)</f>
        <v>4080.0554176487062</v>
      </c>
      <c r="BH30" s="83"/>
      <c r="BI30" s="83"/>
      <c r="BJ30" s="83"/>
      <c r="BK30" s="83"/>
      <c r="BL30" s="83">
        <f>SUM(BL25:BL29)</f>
        <v>4345.3134546197998</v>
      </c>
      <c r="BM30" s="83"/>
      <c r="BN30" s="83"/>
      <c r="BO30" s="83"/>
      <c r="BP30" s="83"/>
      <c r="BQ30" s="83">
        <f>SUM(BQ25:BQ29)</f>
        <v>4592.4054580763441</v>
      </c>
      <c r="BR30" s="997"/>
    </row>
    <row r="31" spans="1:139" x14ac:dyDescent="0.2">
      <c r="B31" s="84"/>
    </row>
    <row r="32" spans="1:139" x14ac:dyDescent="0.2">
      <c r="B32" s="84"/>
      <c r="C32" s="26" t="s">
        <v>67</v>
      </c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</row>
    <row r="33" spans="2:139" x14ac:dyDescent="0.2">
      <c r="B33" s="54"/>
      <c r="C33" s="20" t="s">
        <v>53</v>
      </c>
      <c r="E33" s="53"/>
      <c r="F33" s="53"/>
      <c r="G33" s="53"/>
      <c r="H33" s="53"/>
      <c r="I33" s="53">
        <f t="shared" ref="I33:AM33" si="6">SUM(I25:I29)/I30</f>
        <v>1</v>
      </c>
      <c r="J33" s="53">
        <f t="shared" si="6"/>
        <v>1</v>
      </c>
      <c r="K33" s="53">
        <f t="shared" si="6"/>
        <v>1</v>
      </c>
      <c r="L33" s="53">
        <f t="shared" si="6"/>
        <v>1</v>
      </c>
      <c r="M33" s="53">
        <f t="shared" si="6"/>
        <v>1</v>
      </c>
      <c r="N33" s="53">
        <f t="shared" si="6"/>
        <v>1</v>
      </c>
      <c r="O33" s="53"/>
      <c r="P33" s="53"/>
      <c r="Q33" s="53"/>
      <c r="R33" s="53"/>
      <c r="S33" s="53">
        <f t="shared" si="6"/>
        <v>1</v>
      </c>
      <c r="T33" s="53">
        <f t="shared" si="6"/>
        <v>1</v>
      </c>
      <c r="U33" s="53">
        <f t="shared" si="6"/>
        <v>1</v>
      </c>
      <c r="V33" s="53">
        <f t="shared" si="6"/>
        <v>1</v>
      </c>
      <c r="W33" s="53">
        <f t="shared" si="6"/>
        <v>1</v>
      </c>
      <c r="X33" s="53">
        <f t="shared" si="6"/>
        <v>1</v>
      </c>
      <c r="Y33" s="53">
        <f t="shared" si="6"/>
        <v>1</v>
      </c>
      <c r="Z33" s="53">
        <f t="shared" si="6"/>
        <v>1</v>
      </c>
      <c r="AA33" s="53">
        <f t="shared" si="6"/>
        <v>1</v>
      </c>
      <c r="AB33" s="53">
        <f t="shared" si="6"/>
        <v>1</v>
      </c>
      <c r="AC33" s="53">
        <f t="shared" si="6"/>
        <v>1</v>
      </c>
      <c r="AD33" s="53">
        <f t="shared" si="6"/>
        <v>1</v>
      </c>
      <c r="AE33" s="53">
        <f t="shared" si="6"/>
        <v>1</v>
      </c>
      <c r="AF33" s="53">
        <f t="shared" si="6"/>
        <v>1</v>
      </c>
      <c r="AG33" s="53">
        <f t="shared" si="6"/>
        <v>1</v>
      </c>
      <c r="AH33" s="53">
        <f t="shared" si="6"/>
        <v>1</v>
      </c>
      <c r="AI33" s="53">
        <f t="shared" si="6"/>
        <v>1</v>
      </c>
      <c r="AJ33" s="53">
        <f t="shared" si="6"/>
        <v>1</v>
      </c>
      <c r="AK33" s="53">
        <f t="shared" si="6"/>
        <v>1</v>
      </c>
      <c r="AL33" s="53">
        <f t="shared" si="6"/>
        <v>1</v>
      </c>
      <c r="AM33" s="53">
        <f t="shared" si="6"/>
        <v>1</v>
      </c>
      <c r="AN33" s="53">
        <f t="shared" ref="AN33:BB33" si="7">SUM(AN25:AN29)/AN30</f>
        <v>1</v>
      </c>
      <c r="AO33" s="53">
        <f t="shared" si="7"/>
        <v>1</v>
      </c>
      <c r="AP33" s="53">
        <f t="shared" si="7"/>
        <v>1</v>
      </c>
      <c r="AQ33" s="53">
        <f t="shared" si="7"/>
        <v>1</v>
      </c>
      <c r="AR33" s="53">
        <f t="shared" si="7"/>
        <v>1</v>
      </c>
      <c r="AS33" s="53">
        <f t="shared" si="7"/>
        <v>1</v>
      </c>
      <c r="AT33" s="53">
        <f t="shared" si="7"/>
        <v>1</v>
      </c>
      <c r="AU33" s="53">
        <f t="shared" si="7"/>
        <v>1</v>
      </c>
      <c r="AV33" s="53">
        <f t="shared" si="7"/>
        <v>1</v>
      </c>
      <c r="AW33" s="53">
        <f t="shared" si="7"/>
        <v>1</v>
      </c>
      <c r="AX33" s="53">
        <f t="shared" si="7"/>
        <v>1</v>
      </c>
      <c r="AY33" s="53">
        <f t="shared" si="7"/>
        <v>1</v>
      </c>
      <c r="AZ33" s="53">
        <f t="shared" si="7"/>
        <v>1</v>
      </c>
      <c r="BA33" s="53">
        <f t="shared" si="7"/>
        <v>1</v>
      </c>
      <c r="BB33" s="53">
        <f t="shared" si="7"/>
        <v>1</v>
      </c>
      <c r="BC33" s="53"/>
      <c r="BD33" s="53"/>
      <c r="BE33" s="53"/>
      <c r="BF33" s="53"/>
      <c r="BG33" s="53">
        <f>SUM(BG25:BG29)/BG30</f>
        <v>1</v>
      </c>
      <c r="BH33" s="53"/>
      <c r="BI33" s="53"/>
      <c r="BJ33" s="53"/>
      <c r="BK33" s="53"/>
      <c r="BL33" s="53">
        <f>SUM(BL25:BL29)/BL30</f>
        <v>1</v>
      </c>
      <c r="BM33" s="53"/>
      <c r="BN33" s="53"/>
      <c r="BO33" s="53"/>
      <c r="BP33" s="53"/>
      <c r="BQ33" s="53">
        <f>SUM(BQ25:BQ29)/BQ30</f>
        <v>1</v>
      </c>
      <c r="CF33" s="35"/>
    </row>
    <row r="34" spans="2:139" x14ac:dyDescent="0.2">
      <c r="C34" t="s">
        <v>55</v>
      </c>
      <c r="E34" s="53"/>
      <c r="F34" s="53"/>
      <c r="G34" s="53"/>
      <c r="H34" s="53"/>
      <c r="I34" s="53">
        <v>0</v>
      </c>
      <c r="J34" s="53"/>
      <c r="K34" s="53"/>
      <c r="L34" s="53"/>
      <c r="M34" s="53"/>
      <c r="N34" s="53">
        <v>0</v>
      </c>
      <c r="O34" s="53"/>
      <c r="P34" s="53"/>
      <c r="Q34" s="53"/>
      <c r="R34" s="53"/>
      <c r="S34" s="53">
        <v>0</v>
      </c>
      <c r="T34" s="53"/>
      <c r="U34" s="53"/>
      <c r="V34" s="53"/>
      <c r="W34" s="53"/>
      <c r="X34" s="53">
        <v>0</v>
      </c>
      <c r="Y34" s="53"/>
      <c r="Z34" s="53"/>
      <c r="AA34" s="53"/>
      <c r="AB34" s="53"/>
      <c r="AC34" s="53">
        <v>0</v>
      </c>
      <c r="AD34" s="53"/>
      <c r="AE34" s="53"/>
      <c r="AF34" s="53"/>
      <c r="AG34" s="53"/>
      <c r="AH34" s="53">
        <v>0</v>
      </c>
      <c r="AI34" s="53"/>
      <c r="AJ34" s="53"/>
      <c r="AK34" s="53"/>
      <c r="AL34" s="53"/>
      <c r="AM34" s="53">
        <v>0</v>
      </c>
      <c r="AN34" s="53"/>
      <c r="AO34" s="53"/>
      <c r="AP34" s="53"/>
      <c r="AQ34" s="53"/>
      <c r="AR34" s="53">
        <v>0</v>
      </c>
      <c r="AS34" s="53"/>
      <c r="AT34" s="53"/>
      <c r="AU34" s="53"/>
      <c r="AV34" s="53"/>
      <c r="AW34" s="53">
        <v>0</v>
      </c>
      <c r="AX34" s="53"/>
      <c r="AY34" s="53"/>
      <c r="AZ34" s="53"/>
      <c r="BA34" s="53"/>
      <c r="BB34" s="53">
        <v>0</v>
      </c>
      <c r="BC34" s="53"/>
      <c r="BD34" s="53"/>
      <c r="BE34" s="53"/>
      <c r="BF34" s="53"/>
      <c r="BG34" s="53">
        <v>0</v>
      </c>
      <c r="BH34" s="53"/>
      <c r="BI34" s="53"/>
      <c r="BJ34" s="53"/>
      <c r="BK34" s="53"/>
      <c r="BL34" s="53">
        <v>0</v>
      </c>
      <c r="BM34" s="53"/>
      <c r="BN34" s="53"/>
      <c r="BO34" s="53"/>
      <c r="BP34" s="53"/>
      <c r="BQ34" s="53">
        <v>0</v>
      </c>
    </row>
    <row r="35" spans="2:139" x14ac:dyDescent="0.2">
      <c r="C35" s="54" t="s">
        <v>56</v>
      </c>
      <c r="E35" s="53"/>
      <c r="F35" s="53"/>
      <c r="G35" s="53"/>
      <c r="H35" s="53"/>
      <c r="I35" s="53">
        <v>0</v>
      </c>
      <c r="J35" s="53"/>
      <c r="K35" s="53"/>
      <c r="L35" s="53"/>
      <c r="M35" s="53"/>
      <c r="N35" s="53">
        <v>0</v>
      </c>
      <c r="O35" s="53"/>
      <c r="P35" s="53"/>
      <c r="Q35" s="53"/>
      <c r="R35" s="53"/>
      <c r="S35" s="53">
        <v>0</v>
      </c>
      <c r="T35" s="53"/>
      <c r="U35" s="53"/>
      <c r="V35" s="53"/>
      <c r="W35" s="53"/>
      <c r="X35" s="53">
        <v>0</v>
      </c>
      <c r="Y35" s="53"/>
      <c r="Z35" s="53"/>
      <c r="AA35" s="53"/>
      <c r="AB35" s="53"/>
      <c r="AC35" s="53">
        <v>0</v>
      </c>
      <c r="AD35" s="53"/>
      <c r="AE35" s="53"/>
      <c r="AF35" s="53"/>
      <c r="AG35" s="53"/>
      <c r="AH35" s="53">
        <v>0</v>
      </c>
      <c r="AI35" s="53"/>
      <c r="AJ35" s="53"/>
      <c r="AK35" s="53"/>
      <c r="AL35" s="53"/>
      <c r="AM35" s="53">
        <v>0</v>
      </c>
      <c r="AN35" s="53"/>
      <c r="AO35" s="53"/>
      <c r="AP35" s="53"/>
      <c r="AQ35" s="53"/>
      <c r="AR35" s="53">
        <v>0</v>
      </c>
      <c r="AS35" s="53"/>
      <c r="AT35" s="53"/>
      <c r="AU35" s="53"/>
      <c r="AV35" s="53"/>
      <c r="AW35" s="53">
        <v>0</v>
      </c>
      <c r="AX35" s="53"/>
      <c r="AY35" s="53"/>
      <c r="AZ35" s="53"/>
      <c r="BA35" s="53"/>
      <c r="BB35" s="53">
        <v>0</v>
      </c>
      <c r="BC35" s="53"/>
      <c r="BD35" s="53"/>
      <c r="BE35" s="53"/>
      <c r="BF35" s="53"/>
      <c r="BG35" s="53">
        <v>0</v>
      </c>
      <c r="BH35" s="53"/>
      <c r="BI35" s="53"/>
      <c r="BJ35" s="53"/>
      <c r="BK35" s="53"/>
      <c r="BL35" s="53">
        <v>0</v>
      </c>
      <c r="BM35" s="53"/>
      <c r="BN35" s="53"/>
      <c r="BO35" s="53"/>
      <c r="BP35" s="53"/>
      <c r="BQ35" s="53">
        <v>0</v>
      </c>
    </row>
    <row r="38" spans="2:139" x14ac:dyDescent="0.2">
      <c r="B38" s="16" t="s">
        <v>68</v>
      </c>
      <c r="C38" s="16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T38" s="16" t="s">
        <v>69</v>
      </c>
      <c r="BU38" s="16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  <c r="DY38" s="63"/>
      <c r="DZ38" s="63"/>
      <c r="EA38" s="63"/>
      <c r="EB38" s="63"/>
      <c r="EC38" s="63"/>
      <c r="ED38" s="63"/>
      <c r="EE38" s="63"/>
      <c r="EF38" s="63"/>
      <c r="EG38" s="63"/>
      <c r="EH38" s="63"/>
      <c r="EI38" s="63"/>
    </row>
    <row r="39" spans="2:139" x14ac:dyDescent="0.2">
      <c r="B39" s="69"/>
      <c r="C39" s="20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T39" s="69"/>
      <c r="BU39" s="52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  <c r="CJ39" s="31"/>
      <c r="CK39" s="31"/>
      <c r="CL39" s="31"/>
      <c r="CM39" s="31"/>
      <c r="CN39" s="31"/>
      <c r="CO39" s="31"/>
      <c r="CP39" s="31"/>
      <c r="CQ39" s="31"/>
      <c r="CR39" s="31"/>
      <c r="CS39" s="31"/>
      <c r="CT39" s="31"/>
      <c r="CU39" s="31"/>
      <c r="CV39" s="31"/>
      <c r="CW39" s="31"/>
      <c r="CX39" s="31"/>
      <c r="CY39" s="31"/>
      <c r="CZ39" s="31"/>
      <c r="DA39" s="31"/>
      <c r="DB39" s="31"/>
      <c r="DC39" s="31"/>
      <c r="DD39" s="31"/>
      <c r="DE39" s="31"/>
      <c r="DF39" s="31"/>
      <c r="DG39" s="31"/>
      <c r="DH39" s="31"/>
      <c r="DI39" s="31"/>
      <c r="DJ39" s="31"/>
      <c r="DK39" s="31"/>
      <c r="DL39" s="31"/>
      <c r="DM39" s="31"/>
      <c r="DN39" s="31"/>
      <c r="DO39" s="31"/>
      <c r="DP39" s="31"/>
      <c r="DQ39" s="31"/>
      <c r="DR39" s="31"/>
      <c r="DS39" s="31"/>
      <c r="DT39" s="31"/>
      <c r="DU39" s="31"/>
      <c r="DV39" s="31"/>
      <c r="DW39" s="31"/>
      <c r="DX39" s="31"/>
      <c r="DY39" s="31"/>
      <c r="DZ39" s="31"/>
      <c r="EA39" s="31"/>
      <c r="EB39" s="31"/>
      <c r="EC39" s="31"/>
      <c r="ED39" s="31"/>
      <c r="EE39" s="31"/>
      <c r="EF39" s="31"/>
      <c r="EG39" s="31"/>
      <c r="EH39" s="31"/>
      <c r="EI39" s="31"/>
    </row>
    <row r="40" spans="2:139" x14ac:dyDescent="0.2">
      <c r="B40" s="69"/>
      <c r="C40" s="57" t="s">
        <v>39</v>
      </c>
      <c r="E40" s="55">
        <f>+XEL!E71</f>
        <v>0.23749999999999999</v>
      </c>
      <c r="F40" s="55">
        <f>+XEL!F71</f>
        <v>0.245</v>
      </c>
      <c r="G40" s="55">
        <f>+XEL!G71</f>
        <v>0.245</v>
      </c>
      <c r="H40" s="55">
        <f>+XEL!H71</f>
        <v>0.245</v>
      </c>
      <c r="I40" s="55">
        <f>+XEL!I71</f>
        <v>0.97250000000000003</v>
      </c>
      <c r="J40" s="55">
        <f>+XEL!J71</f>
        <v>0.245</v>
      </c>
      <c r="K40" s="55">
        <f>+XEL!K71</f>
        <v>0.2525</v>
      </c>
      <c r="L40" s="55">
        <f>+XEL!L71</f>
        <v>0.2525</v>
      </c>
      <c r="M40" s="55">
        <f>+XEL!M71</f>
        <v>0.2525</v>
      </c>
      <c r="N40" s="55">
        <f>+XEL!N71</f>
        <v>1.0024999999999999</v>
      </c>
      <c r="O40" s="55"/>
      <c r="P40" s="55"/>
      <c r="Q40" s="55"/>
      <c r="R40" s="55"/>
      <c r="S40" s="55">
        <f>+XEL!S71</f>
        <v>1.0325</v>
      </c>
      <c r="T40" s="55">
        <f>+XEL!T71</f>
        <v>0.26</v>
      </c>
      <c r="U40" s="55">
        <f>+XEL!U71</f>
        <v>0.27</v>
      </c>
      <c r="V40" s="55">
        <f>+XEL!V71</f>
        <v>0.27</v>
      </c>
      <c r="W40" s="55">
        <f>+XEL!W71</f>
        <v>0.27</v>
      </c>
      <c r="X40" s="55">
        <f>+XEL!X71</f>
        <v>1.07</v>
      </c>
      <c r="Y40" s="55">
        <f>+XEL!Y71</f>
        <v>0.27</v>
      </c>
      <c r="Z40" s="55">
        <f>+XEL!Z71</f>
        <v>0.28000000000000003</v>
      </c>
      <c r="AA40" s="55">
        <f>+XEL!AA71</f>
        <v>0.28000000000000003</v>
      </c>
      <c r="AB40" s="55">
        <f>+XEL!AB71</f>
        <v>0.28000000000000003</v>
      </c>
      <c r="AC40" s="55">
        <f>+XEL!AC71</f>
        <v>1.1100000000000001</v>
      </c>
      <c r="AD40" s="55">
        <f>+XEL!AD71</f>
        <v>0.3</v>
      </c>
      <c r="AE40" s="55">
        <f>+XEL!AE71</f>
        <v>0.3</v>
      </c>
      <c r="AF40" s="55">
        <f>+XEL!AF71</f>
        <v>0.3</v>
      </c>
      <c r="AG40" s="55">
        <f>+XEL!AG71</f>
        <v>0.3</v>
      </c>
      <c r="AH40" s="55">
        <f>+XEL!AH71</f>
        <v>1.2</v>
      </c>
      <c r="AI40" s="55">
        <f>+XEL!AI71</f>
        <v>0.32</v>
      </c>
      <c r="AJ40" s="55">
        <f>+XEL!AJ71</f>
        <v>0.32</v>
      </c>
      <c r="AK40" s="55">
        <f>+XEL!AK71</f>
        <v>0.32</v>
      </c>
      <c r="AL40" s="55">
        <f>+XEL!AL71</f>
        <v>0.32</v>
      </c>
      <c r="AM40" s="55">
        <f>+XEL!AM71</f>
        <v>1.28</v>
      </c>
      <c r="AN40" s="55">
        <f>+XEL!AN71</f>
        <v>0.34</v>
      </c>
      <c r="AO40" s="55">
        <f>+XEL!AO71</f>
        <v>0.34</v>
      </c>
      <c r="AP40" s="55">
        <f>+XEL!AP71</f>
        <v>0.34</v>
      </c>
      <c r="AQ40" s="55">
        <f>+XEL!AQ71</f>
        <v>0.34</v>
      </c>
      <c r="AR40" s="55">
        <f>+XEL!AR71</f>
        <v>1.36</v>
      </c>
      <c r="AS40" s="55">
        <f>+XEL!AS71</f>
        <v>0.36</v>
      </c>
      <c r="AT40" s="55">
        <f>+XEL!AT71</f>
        <v>0.36</v>
      </c>
      <c r="AU40" s="55">
        <f>+XEL!AU71</f>
        <v>0.36</v>
      </c>
      <c r="AV40" s="55">
        <f>+XEL!AV71</f>
        <v>0.36</v>
      </c>
      <c r="AW40" s="55">
        <f>+XEL!AW71</f>
        <v>1.44</v>
      </c>
      <c r="AX40" s="55">
        <f>+XEL!AX71</f>
        <v>0.38159999999999999</v>
      </c>
      <c r="AY40" s="55">
        <f>+XEL!AY71</f>
        <v>0.38159999999999999</v>
      </c>
      <c r="AZ40" s="55">
        <f>+XEL!AZ71</f>
        <v>0.38159999999999999</v>
      </c>
      <c r="BA40" s="55">
        <f>+XEL!BA71</f>
        <v>0.38159999999999999</v>
      </c>
      <c r="BB40" s="55">
        <f>+XEL!BB71</f>
        <v>1.5264</v>
      </c>
      <c r="BC40" s="55"/>
      <c r="BD40" s="55"/>
      <c r="BE40" s="55"/>
      <c r="BF40" s="55"/>
      <c r="BG40" s="55">
        <f>+XEL!BG71</f>
        <v>1.6179840000000001</v>
      </c>
      <c r="BH40" s="55"/>
      <c r="BI40" s="55"/>
      <c r="BJ40" s="55"/>
      <c r="BK40" s="55"/>
      <c r="BL40" s="55">
        <f>+XEL!BL71</f>
        <v>1.7150630400000002</v>
      </c>
      <c r="BM40" s="55"/>
      <c r="BN40" s="55"/>
      <c r="BO40" s="55"/>
      <c r="BP40" s="55"/>
      <c r="BQ40" s="55">
        <f>+XEL!BQ71</f>
        <v>1.8179668224000003</v>
      </c>
      <c r="BT40" s="69"/>
      <c r="BU40" s="26" t="s">
        <v>70</v>
      </c>
    </row>
    <row r="41" spans="2:139" x14ac:dyDescent="0.2">
      <c r="B41" s="69"/>
      <c r="C41" s="52" t="s">
        <v>35</v>
      </c>
      <c r="E41" s="35"/>
      <c r="F41" s="35"/>
      <c r="G41" s="35"/>
      <c r="H41" s="35"/>
      <c r="I41" s="35">
        <f>I40/$N$64</f>
        <v>2.2092230804179918E-2</v>
      </c>
      <c r="J41" s="35"/>
      <c r="K41" s="35"/>
      <c r="L41" s="35"/>
      <c r="M41" s="35"/>
      <c r="N41" s="35">
        <f>N40/$N$64</f>
        <v>2.2773739209450247E-2</v>
      </c>
      <c r="O41" s="35"/>
      <c r="P41" s="35"/>
      <c r="Q41" s="35"/>
      <c r="R41" s="35"/>
      <c r="S41" s="35">
        <f>S40/$N$64</f>
        <v>2.3455247614720579E-2</v>
      </c>
      <c r="T41" s="35"/>
      <c r="U41" s="35"/>
      <c r="V41" s="35"/>
      <c r="W41" s="35"/>
      <c r="X41" s="35">
        <f>X40/$N$64</f>
        <v>2.4307133121308496E-2</v>
      </c>
      <c r="Y41" s="35"/>
      <c r="Z41" s="35"/>
      <c r="AA41" s="35"/>
      <c r="AB41" s="35"/>
      <c r="AC41" s="35">
        <f>AC40/$N$64</f>
        <v>2.5215810995002273E-2</v>
      </c>
      <c r="AD41" s="35"/>
      <c r="AE41" s="35"/>
      <c r="AF41" s="35"/>
      <c r="AG41" s="35"/>
      <c r="AH41" s="35">
        <f>AH40/$N$64</f>
        <v>2.7260336210813262E-2</v>
      </c>
      <c r="AI41" s="35"/>
      <c r="AJ41" s="35"/>
      <c r="AK41" s="35"/>
      <c r="AL41" s="35"/>
      <c r="AM41" s="35">
        <f>AM40/$N$64</f>
        <v>2.9077691958200817E-2</v>
      </c>
      <c r="AN41" s="35"/>
      <c r="AO41" s="35"/>
      <c r="AP41" s="35"/>
      <c r="AQ41" s="35"/>
      <c r="AR41" s="35">
        <f>AR40/$N$64</f>
        <v>3.0895047705588367E-2</v>
      </c>
      <c r="AS41" s="35"/>
      <c r="AT41" s="35"/>
      <c r="AU41" s="35"/>
      <c r="AV41" s="35"/>
      <c r="AW41" s="35">
        <f>AW40/$N$64</f>
        <v>3.2712403452975915E-2</v>
      </c>
      <c r="AX41" s="35"/>
      <c r="AY41" s="35"/>
      <c r="AZ41" s="35"/>
      <c r="BA41" s="35"/>
      <c r="BB41" s="35">
        <f>BB40/$N$64</f>
        <v>3.4675147660154469E-2</v>
      </c>
      <c r="BC41" s="35"/>
      <c r="BD41" s="35"/>
      <c r="BE41" s="35"/>
      <c r="BF41" s="35"/>
      <c r="BG41" s="35">
        <f>BG40/$N$64</f>
        <v>3.6755656519763744E-2</v>
      </c>
      <c r="BH41" s="35"/>
      <c r="BI41" s="35"/>
      <c r="BJ41" s="35"/>
      <c r="BK41" s="35"/>
      <c r="BL41" s="35">
        <f>BL40/$N$64</f>
        <v>3.8960995910949571E-2</v>
      </c>
      <c r="BM41" s="35"/>
      <c r="BN41" s="35"/>
      <c r="BO41" s="35"/>
      <c r="BP41" s="35"/>
      <c r="BQ41" s="35">
        <f>BQ40/$N$64</f>
        <v>4.1298655665606546E-2</v>
      </c>
      <c r="BT41" s="69"/>
      <c r="BU41" s="20" t="s">
        <v>53</v>
      </c>
      <c r="BW41" s="44"/>
      <c r="BX41" s="44"/>
      <c r="BY41" s="44"/>
      <c r="BZ41" s="44"/>
      <c r="CA41" s="42">
        <f>+CA44-CA42</f>
        <v>1912.9059999999999</v>
      </c>
      <c r="CB41" s="44"/>
      <c r="CC41" s="44"/>
      <c r="CD41" s="44"/>
      <c r="CE41" s="44"/>
      <c r="CF41" s="42">
        <f>+CF44-CF42</f>
        <v>1893.9420000000002</v>
      </c>
      <c r="CG41" s="42">
        <f>+XEL!O140</f>
        <v>659.44299999999998</v>
      </c>
      <c r="CH41" s="42">
        <f>+XEL!P140</f>
        <v>463.67299999999994</v>
      </c>
      <c r="CI41" s="42">
        <f>+XEL!Q140</f>
        <v>801.00200000000007</v>
      </c>
      <c r="CJ41" s="42">
        <f>+XEL!R140</f>
        <v>481.40399999999988</v>
      </c>
      <c r="CK41" s="42">
        <f>+CK44-CK42</f>
        <v>2405.5220000000004</v>
      </c>
      <c r="CL41" s="42">
        <f>+XEL!T140</f>
        <v>477.483</v>
      </c>
      <c r="CM41" s="42">
        <f>+XEL!U140</f>
        <v>387.81299999999999</v>
      </c>
      <c r="CN41" s="42">
        <f>+XEL!V140</f>
        <v>706.62499999999989</v>
      </c>
      <c r="CO41" s="42">
        <f>+XEL!W140</f>
        <v>432.83500000000015</v>
      </c>
      <c r="CP41" s="42">
        <f>+CP44-CP42</f>
        <v>2004.7559999999999</v>
      </c>
      <c r="CQ41" s="42">
        <f>+XEL!Y140</f>
        <v>642.32799999999997</v>
      </c>
      <c r="CR41" s="42">
        <f>+XEL!Z140</f>
        <v>431.89700000000011</v>
      </c>
      <c r="CS41" s="42">
        <f>+XEL!AA140</f>
        <v>928.68299999999999</v>
      </c>
      <c r="CT41" s="42">
        <f>+XEL!AB140</f>
        <v>581.12799999999993</v>
      </c>
      <c r="CU41" s="42">
        <f>+CU44-CU42</f>
        <v>2584.0360000000001</v>
      </c>
      <c r="CV41" s="42">
        <f>+XEL!AD140</f>
        <v>592.649</v>
      </c>
      <c r="CW41" s="42">
        <f>+XEL!AE140</f>
        <v>446.86200000000008</v>
      </c>
      <c r="CX41" s="42">
        <f>+XEL!AF140</f>
        <v>964.83</v>
      </c>
      <c r="CY41" s="42">
        <f>+XEL!AG140</f>
        <v>643.85100000000023</v>
      </c>
      <c r="CZ41" s="42">
        <f>+CZ44-CZ42</f>
        <v>2648.1920000000005</v>
      </c>
      <c r="DA41" s="42">
        <f>+XEL!AI140</f>
        <v>985.39399999999989</v>
      </c>
      <c r="DB41" s="42">
        <f>+XEL!AJ140</f>
        <v>523.65100000000007</v>
      </c>
      <c r="DC41" s="42">
        <f>+XEL!AK140</f>
        <v>980.87699999999995</v>
      </c>
      <c r="DD41" s="42">
        <f>+XEL!AL140</f>
        <v>535.9169999999998</v>
      </c>
      <c r="DE41" s="42">
        <f>+DE44-DE42</f>
        <v>3025.8389999999999</v>
      </c>
      <c r="DF41" s="42">
        <f>+XEL!AN140</f>
        <v>790.0630000000001</v>
      </c>
      <c r="DG41" s="42">
        <f>+XEL!AO140</f>
        <v>622.476</v>
      </c>
      <c r="DH41" s="42">
        <f>+XEL!AP140</f>
        <v>1000.3150000000002</v>
      </c>
      <c r="DI41" s="42">
        <f>+XEL!AQ140</f>
        <v>639.44499999999971</v>
      </c>
      <c r="DJ41" s="42">
        <f>+DJ44-DJ42</f>
        <v>3052.299</v>
      </c>
      <c r="DK41" s="42">
        <f>+XEL!AS140</f>
        <v>718.15499999999997</v>
      </c>
      <c r="DL41" s="42">
        <f>+XEL!AT140</f>
        <v>573.66399999999999</v>
      </c>
      <c r="DM41" s="42">
        <f>+XEL!AU140</f>
        <v>1075.3609999999999</v>
      </c>
      <c r="DN41" s="42">
        <f>+XEL!AV140</f>
        <v>758.82000000000028</v>
      </c>
      <c r="DO41" s="42">
        <f>+DO44-DO42</f>
        <v>3126</v>
      </c>
      <c r="DP41" s="42">
        <f>+XEL!AX140</f>
        <v>751.1501253118447</v>
      </c>
      <c r="DQ41" s="42">
        <f>+XEL!AY140</f>
        <v>695.00511416593235</v>
      </c>
      <c r="DR41" s="42">
        <f>+XEL!AZ140</f>
        <v>993.32321410796874</v>
      </c>
      <c r="DS41" s="42">
        <f>+XEL!BA140</f>
        <v>682.35514347481728</v>
      </c>
      <c r="DT41" s="42">
        <f>+DT44-DT42</f>
        <v>3121.8335970605631</v>
      </c>
      <c r="DU41" s="42"/>
      <c r="DV41" s="42"/>
      <c r="DW41" s="42"/>
      <c r="DX41" s="42"/>
      <c r="DY41" s="42">
        <f>+DY44-DY42</f>
        <v>3334.987588494721</v>
      </c>
      <c r="DZ41" s="42"/>
      <c r="EA41" s="42"/>
      <c r="EB41" s="42"/>
      <c r="EC41" s="42"/>
      <c r="ED41" s="42">
        <f>+ED44-ED42</f>
        <v>3567.8077277613947</v>
      </c>
      <c r="EE41" s="42"/>
      <c r="EF41" s="42"/>
      <c r="EG41" s="42"/>
      <c r="EH41" s="42"/>
      <c r="EI41" s="42">
        <f>+EI44-EI42</f>
        <v>3769.2256938214564</v>
      </c>
    </row>
    <row r="42" spans="2:139" x14ac:dyDescent="0.2">
      <c r="B42" s="69"/>
      <c r="C42" s="20" t="s">
        <v>37</v>
      </c>
      <c r="E42" s="53"/>
      <c r="F42" s="53"/>
      <c r="G42" s="53"/>
      <c r="H42" s="53"/>
      <c r="I42" s="53">
        <f>I40/I15</f>
        <v>0.65254479782997754</v>
      </c>
      <c r="J42" s="53"/>
      <c r="K42" s="53"/>
      <c r="L42" s="53"/>
      <c r="M42" s="53"/>
      <c r="N42" s="53">
        <f>N40/N15</f>
        <v>0.62129217348856103</v>
      </c>
      <c r="O42" s="53"/>
      <c r="P42" s="53"/>
      <c r="Q42" s="53"/>
      <c r="R42" s="53"/>
      <c r="S42" s="53">
        <f>S40/S15</f>
        <v>0.60077822078171106</v>
      </c>
      <c r="T42" s="53"/>
      <c r="U42" s="53"/>
      <c r="V42" s="53"/>
      <c r="W42" s="53"/>
      <c r="X42" s="53">
        <f>X40/X15</f>
        <v>0.58837201028983799</v>
      </c>
      <c r="Y42" s="53"/>
      <c r="Z42" s="53"/>
      <c r="AA42" s="53"/>
      <c r="AB42" s="53"/>
      <c r="AC42" s="53">
        <f>AC40/AC15</f>
        <v>0.56912049978057111</v>
      </c>
      <c r="AD42" s="53"/>
      <c r="AE42" s="53"/>
      <c r="AF42" s="53"/>
      <c r="AG42" s="53"/>
      <c r="AH42" s="53">
        <f>AH40/AH15</f>
        <v>0.59232042110787586</v>
      </c>
      <c r="AI42" s="53"/>
      <c r="AJ42" s="53"/>
      <c r="AK42" s="53"/>
      <c r="AL42" s="53"/>
      <c r="AM42" s="53">
        <f>AM40/AM15</f>
        <v>0.61153971052099654</v>
      </c>
      <c r="AN42" s="53"/>
      <c r="AO42" s="53"/>
      <c r="AP42" s="53"/>
      <c r="AQ42" s="53"/>
      <c r="AR42" s="53">
        <f>AR40/AR15</f>
        <v>0.6167752824291699</v>
      </c>
      <c r="AS42" s="53"/>
      <c r="AT42" s="53"/>
      <c r="AU42" s="53"/>
      <c r="AV42" s="53"/>
      <c r="AW42" s="53">
        <f>AW40/AW15</f>
        <v>0.62592655849701095</v>
      </c>
      <c r="AX42" s="53"/>
      <c r="AY42" s="53"/>
      <c r="AZ42" s="53"/>
      <c r="BA42" s="53"/>
      <c r="BB42" s="53">
        <f>BB40/BB15</f>
        <v>0.62857639146397215</v>
      </c>
      <c r="BC42" s="53"/>
      <c r="BD42" s="53"/>
      <c r="BE42" s="53"/>
      <c r="BF42" s="53"/>
      <c r="BG42" s="53">
        <f>BG40/BG15</f>
        <v>0.6190762107321478</v>
      </c>
      <c r="BH42" s="53"/>
      <c r="BI42" s="53"/>
      <c r="BJ42" s="53"/>
      <c r="BK42" s="53"/>
      <c r="BL42" s="53">
        <f>BL40/BL15</f>
        <v>0.62977812026912905</v>
      </c>
      <c r="BM42" s="53"/>
      <c r="BN42" s="53"/>
      <c r="BO42" s="53"/>
      <c r="BP42" s="53"/>
      <c r="BQ42" s="53">
        <f>BQ40/BQ15</f>
        <v>0.62634866881632645</v>
      </c>
      <c r="BT42" s="69"/>
      <c r="BU42" t="s">
        <v>55</v>
      </c>
      <c r="BW42" s="44"/>
      <c r="BX42" s="44"/>
      <c r="BY42" s="44"/>
      <c r="BZ42" s="44"/>
      <c r="CA42" s="42">
        <v>0</v>
      </c>
      <c r="CB42" s="44">
        <v>0</v>
      </c>
      <c r="CC42" s="44">
        <v>0</v>
      </c>
      <c r="CD42" s="44">
        <v>0</v>
      </c>
      <c r="CE42" s="44">
        <v>0</v>
      </c>
      <c r="CF42" s="42">
        <v>0</v>
      </c>
      <c r="CG42" s="44">
        <v>0</v>
      </c>
      <c r="CH42" s="44">
        <v>0</v>
      </c>
      <c r="CI42" s="44">
        <v>0</v>
      </c>
      <c r="CJ42" s="44">
        <v>0</v>
      </c>
      <c r="CK42" s="42">
        <v>0</v>
      </c>
      <c r="CL42" s="44">
        <v>0</v>
      </c>
      <c r="CM42" s="44">
        <v>0</v>
      </c>
      <c r="CN42" s="44">
        <v>0</v>
      </c>
      <c r="CO42" s="44">
        <v>0</v>
      </c>
      <c r="CP42" s="42">
        <v>0</v>
      </c>
      <c r="CQ42" s="44">
        <v>0</v>
      </c>
      <c r="CR42" s="44">
        <v>0</v>
      </c>
      <c r="CS42" s="44">
        <v>0</v>
      </c>
      <c r="CT42" s="44">
        <v>0</v>
      </c>
      <c r="CU42" s="42">
        <v>0</v>
      </c>
      <c r="CV42" s="44">
        <v>0</v>
      </c>
      <c r="CW42" s="44">
        <v>0</v>
      </c>
      <c r="CX42" s="44">
        <v>0</v>
      </c>
      <c r="CY42" s="44">
        <v>0</v>
      </c>
      <c r="CZ42" s="42">
        <v>0</v>
      </c>
      <c r="DA42" s="44">
        <v>0</v>
      </c>
      <c r="DB42" s="44">
        <v>0</v>
      </c>
      <c r="DC42" s="44">
        <v>0</v>
      </c>
      <c r="DD42" s="44">
        <v>0</v>
      </c>
      <c r="DE42" s="42">
        <v>0</v>
      </c>
      <c r="DF42" s="44">
        <v>0</v>
      </c>
      <c r="DG42" s="44">
        <v>0</v>
      </c>
      <c r="DH42" s="44">
        <v>0</v>
      </c>
      <c r="DI42" s="44">
        <v>0</v>
      </c>
      <c r="DJ42" s="42">
        <v>0</v>
      </c>
      <c r="DK42" s="44">
        <v>0</v>
      </c>
      <c r="DL42" s="44">
        <v>0</v>
      </c>
      <c r="DM42" s="44">
        <v>0</v>
      </c>
      <c r="DN42" s="44">
        <v>0</v>
      </c>
      <c r="DO42" s="42">
        <v>0</v>
      </c>
      <c r="DP42" s="44">
        <v>0</v>
      </c>
      <c r="DQ42" s="44">
        <v>0</v>
      </c>
      <c r="DR42" s="44">
        <v>0</v>
      </c>
      <c r="DS42" s="44">
        <v>0</v>
      </c>
      <c r="DT42" s="42">
        <v>0</v>
      </c>
      <c r="DU42" s="44"/>
      <c r="DV42" s="44"/>
      <c r="DW42" s="44"/>
      <c r="DX42" s="44"/>
      <c r="DY42" s="42">
        <v>0</v>
      </c>
      <c r="DZ42" s="44"/>
      <c r="EA42" s="44"/>
      <c r="EB42" s="44"/>
      <c r="EC42" s="44"/>
      <c r="ED42" s="42">
        <v>0</v>
      </c>
      <c r="EE42" s="44"/>
      <c r="EF42" s="44"/>
      <c r="EG42" s="44"/>
      <c r="EH42" s="44"/>
      <c r="EI42" s="42">
        <v>0</v>
      </c>
    </row>
    <row r="43" spans="2:139" x14ac:dyDescent="0.2">
      <c r="B43" s="69"/>
      <c r="C43" s="20" t="s">
        <v>38</v>
      </c>
      <c r="E43" s="37"/>
      <c r="F43" s="37"/>
      <c r="G43" s="37"/>
      <c r="H43" s="37"/>
      <c r="I43" s="37"/>
      <c r="J43" s="37"/>
      <c r="K43" s="37"/>
      <c r="L43" s="37"/>
      <c r="M43" s="37"/>
      <c r="N43" s="35">
        <f>N40/I40-1</f>
        <v>3.0848329048843048E-2</v>
      </c>
      <c r="O43" s="37"/>
      <c r="P43" s="37"/>
      <c r="Q43" s="37"/>
      <c r="R43" s="37"/>
      <c r="S43" s="35">
        <f>S40/N40-1</f>
        <v>2.9925187032419087E-2</v>
      </c>
      <c r="T43" s="37"/>
      <c r="U43" s="37"/>
      <c r="V43" s="37"/>
      <c r="W43" s="37"/>
      <c r="X43" s="35">
        <f>X40/S40-1</f>
        <v>3.6319612590799188E-2</v>
      </c>
      <c r="Y43" s="37"/>
      <c r="Z43" s="37"/>
      <c r="AA43" s="37"/>
      <c r="AB43" s="37"/>
      <c r="AC43" s="35">
        <f>AC40/X40-1</f>
        <v>3.7383177570093462E-2</v>
      </c>
      <c r="AD43" s="37"/>
      <c r="AE43" s="37"/>
      <c r="AF43" s="37"/>
      <c r="AG43" s="37"/>
      <c r="AH43" s="35">
        <f>AH40/AC40-1</f>
        <v>8.1081081081080919E-2</v>
      </c>
      <c r="AI43" s="37"/>
      <c r="AJ43" s="37"/>
      <c r="AK43" s="37"/>
      <c r="AL43" s="37"/>
      <c r="AM43" s="35">
        <f>AM40/AH40-1</f>
        <v>6.6666666666666652E-2</v>
      </c>
      <c r="AN43" s="37"/>
      <c r="AO43" s="37"/>
      <c r="AP43" s="37"/>
      <c r="AQ43" s="37"/>
      <c r="AR43" s="35">
        <f>AR40/AM40-1</f>
        <v>6.25E-2</v>
      </c>
      <c r="AS43" s="37"/>
      <c r="AT43" s="37"/>
      <c r="AU43" s="37"/>
      <c r="AV43" s="37"/>
      <c r="AW43" s="35">
        <f>AW40/AR40-1</f>
        <v>5.8823529411764497E-2</v>
      </c>
      <c r="AX43" s="37"/>
      <c r="AY43" s="37"/>
      <c r="AZ43" s="37"/>
      <c r="BA43" s="37"/>
      <c r="BB43" s="35">
        <f>BB40/AW40-1</f>
        <v>6.0000000000000053E-2</v>
      </c>
      <c r="BC43" s="37"/>
      <c r="BD43" s="37"/>
      <c r="BE43" s="37"/>
      <c r="BF43" s="37"/>
      <c r="BG43" s="35">
        <f>BG40/BB40-1</f>
        <v>6.0000000000000053E-2</v>
      </c>
      <c r="BH43" s="37"/>
      <c r="BI43" s="37"/>
      <c r="BJ43" s="37"/>
      <c r="BK43" s="37"/>
      <c r="BL43" s="35">
        <f>BL40/BG40-1</f>
        <v>6.0000000000000053E-2</v>
      </c>
      <c r="BM43" s="37"/>
      <c r="BN43" s="37"/>
      <c r="BO43" s="37"/>
      <c r="BP43" s="37"/>
      <c r="BQ43" s="35">
        <f>BQ40/BL40-1</f>
        <v>6.0000000000000053E-2</v>
      </c>
      <c r="BT43" s="69"/>
      <c r="BU43" s="54" t="s">
        <v>56</v>
      </c>
      <c r="BW43" s="44"/>
      <c r="BX43" s="44"/>
      <c r="BY43" s="44"/>
      <c r="BZ43" s="44"/>
      <c r="CA43" s="42">
        <v>0</v>
      </c>
      <c r="CB43" s="44"/>
      <c r="CC43" s="44"/>
      <c r="CD43" s="44"/>
      <c r="CE43" s="44"/>
      <c r="CF43" s="42">
        <v>0</v>
      </c>
      <c r="CG43" s="44"/>
      <c r="CH43" s="44"/>
      <c r="CI43" s="44"/>
      <c r="CJ43" s="44"/>
      <c r="CK43" s="42">
        <v>0</v>
      </c>
      <c r="CL43" s="44"/>
      <c r="CM43" s="44"/>
      <c r="CN43" s="44"/>
      <c r="CO43" s="44"/>
      <c r="CP43" s="42">
        <v>0</v>
      </c>
      <c r="CQ43" s="44"/>
      <c r="CR43" s="44"/>
      <c r="CS43" s="44"/>
      <c r="CT43" s="44"/>
      <c r="CU43" s="42">
        <v>0</v>
      </c>
      <c r="CV43" s="44"/>
      <c r="CW43" s="44"/>
      <c r="CX43" s="44"/>
      <c r="CY43" s="44"/>
      <c r="CZ43" s="42">
        <v>0</v>
      </c>
      <c r="DA43" s="44"/>
      <c r="DB43" s="44"/>
      <c r="DC43" s="44"/>
      <c r="DD43" s="44"/>
      <c r="DE43" s="42">
        <v>0</v>
      </c>
      <c r="DF43" s="44"/>
      <c r="DG43" s="44"/>
      <c r="DH43" s="44"/>
      <c r="DI43" s="44"/>
      <c r="DJ43" s="42">
        <v>0</v>
      </c>
      <c r="DK43" s="44"/>
      <c r="DL43" s="44"/>
      <c r="DM43" s="44"/>
      <c r="DN43" s="44"/>
      <c r="DO43" s="42">
        <v>0</v>
      </c>
      <c r="DP43" s="44"/>
      <c r="DQ43" s="44"/>
      <c r="DR43" s="44"/>
      <c r="DS43" s="44"/>
      <c r="DT43" s="42">
        <v>0</v>
      </c>
      <c r="DU43" s="44"/>
      <c r="DV43" s="44"/>
      <c r="DW43" s="44"/>
      <c r="DX43" s="44"/>
      <c r="DY43" s="42">
        <v>0</v>
      </c>
      <c r="DZ43" s="44"/>
      <c r="EA43" s="44"/>
      <c r="EB43" s="44"/>
      <c r="EC43" s="44"/>
      <c r="ED43" s="42">
        <v>0</v>
      </c>
      <c r="EE43" s="44"/>
      <c r="EF43" s="44"/>
      <c r="EG43" s="44"/>
      <c r="EH43" s="44"/>
      <c r="EI43" s="42">
        <v>0</v>
      </c>
    </row>
    <row r="44" spans="2:139" x14ac:dyDescent="0.2">
      <c r="AM44" s="35"/>
      <c r="AR44" s="35"/>
      <c r="AW44" s="35"/>
      <c r="BB44" s="35"/>
      <c r="BG44" s="35"/>
      <c r="BL44" s="35"/>
      <c r="BQ44" s="35"/>
      <c r="BT44" s="69"/>
      <c r="BU44" s="26" t="s">
        <v>71</v>
      </c>
      <c r="BW44" s="85"/>
      <c r="BX44" s="85"/>
      <c r="BY44" s="85"/>
      <c r="BZ44" s="85"/>
      <c r="CA44" s="86">
        <f>+XEL!I140</f>
        <v>1912.9059999999999</v>
      </c>
      <c r="CB44" s="85"/>
      <c r="CC44" s="85"/>
      <c r="CD44" s="85"/>
      <c r="CE44" s="85"/>
      <c r="CF44" s="86">
        <f>+XEL!N140</f>
        <v>1893.9420000000002</v>
      </c>
      <c r="CG44" s="85"/>
      <c r="CH44" s="85"/>
      <c r="CI44" s="85"/>
      <c r="CJ44" s="85"/>
      <c r="CK44" s="86">
        <f>+XEL!S140</f>
        <v>2405.5220000000004</v>
      </c>
      <c r="CL44" s="85"/>
      <c r="CM44" s="85"/>
      <c r="CN44" s="85"/>
      <c r="CO44" s="85"/>
      <c r="CP44" s="86">
        <f>+XEL!X140</f>
        <v>2004.7559999999999</v>
      </c>
      <c r="CQ44" s="85"/>
      <c r="CR44" s="85"/>
      <c r="CS44" s="85"/>
      <c r="CT44" s="85"/>
      <c r="CU44" s="86">
        <f>+XEL!AC140</f>
        <v>2584.0360000000001</v>
      </c>
      <c r="CV44" s="85"/>
      <c r="CW44" s="85"/>
      <c r="CX44" s="85"/>
      <c r="CY44" s="85"/>
      <c r="CZ44" s="86">
        <f>+XEL!AH140</f>
        <v>2648.1920000000005</v>
      </c>
      <c r="DA44" s="85"/>
      <c r="DB44" s="85"/>
      <c r="DC44" s="85"/>
      <c r="DD44" s="85"/>
      <c r="DE44" s="86">
        <f>+XEL!AM140</f>
        <v>3025.8389999999999</v>
      </c>
      <c r="DF44" s="85"/>
      <c r="DG44" s="85"/>
      <c r="DH44" s="85"/>
      <c r="DI44" s="85"/>
      <c r="DJ44" s="86">
        <f>+XEL!AR140</f>
        <v>3052.299</v>
      </c>
      <c r="DK44" s="85"/>
      <c r="DL44" s="85"/>
      <c r="DM44" s="85"/>
      <c r="DN44" s="85"/>
      <c r="DO44" s="86">
        <f>+XEL!AW140</f>
        <v>3126</v>
      </c>
      <c r="DP44" s="85"/>
      <c r="DQ44" s="85"/>
      <c r="DR44" s="85"/>
      <c r="DS44" s="85"/>
      <c r="DT44" s="86">
        <f>+XEL!BB140</f>
        <v>3121.8335970605631</v>
      </c>
      <c r="DU44" s="85"/>
      <c r="DV44" s="85"/>
      <c r="DW44" s="85"/>
      <c r="DX44" s="85"/>
      <c r="DY44" s="86">
        <f>+XEL!BG140</f>
        <v>3334.987588494721</v>
      </c>
      <c r="DZ44" s="85"/>
      <c r="EA44" s="85"/>
      <c r="EB44" s="85"/>
      <c r="EC44" s="85"/>
      <c r="ED44" s="86">
        <f>+XEL!BL140</f>
        <v>3567.8077277613947</v>
      </c>
      <c r="EE44" s="85"/>
      <c r="EF44" s="85"/>
      <c r="EG44" s="85"/>
      <c r="EH44" s="85"/>
      <c r="EI44" s="86">
        <f>+XEL!BQ140</f>
        <v>3769.2256938214564</v>
      </c>
    </row>
    <row r="45" spans="2:139" x14ac:dyDescent="0.2">
      <c r="B45" s="69"/>
      <c r="C45" s="70" t="s">
        <v>72</v>
      </c>
      <c r="E45" s="37"/>
      <c r="F45" s="37"/>
      <c r="G45" s="37"/>
      <c r="H45" s="37"/>
      <c r="I45" s="42">
        <f>+XEL!I58</f>
        <v>457.50900000000001</v>
      </c>
      <c r="J45" s="37"/>
      <c r="K45" s="37"/>
      <c r="L45" s="37"/>
      <c r="M45" s="37"/>
      <c r="N45" s="42">
        <f>+XEL!N58</f>
        <v>482.334</v>
      </c>
      <c r="O45" s="37"/>
      <c r="P45" s="37"/>
      <c r="Q45" s="37"/>
      <c r="R45" s="37"/>
      <c r="S45" s="42">
        <f>+XEL!S58</f>
        <v>486.49393300000003</v>
      </c>
      <c r="T45" s="37"/>
      <c r="U45" s="37"/>
      <c r="V45" s="37"/>
      <c r="W45" s="37"/>
      <c r="X45" s="42">
        <f>+XEL!X58</f>
        <v>487.95951600000001</v>
      </c>
      <c r="Y45" s="37"/>
      <c r="Z45" s="37"/>
      <c r="AA45" s="37"/>
      <c r="AB45" s="37"/>
      <c r="AC45" s="42">
        <f>+XEL!AC58</f>
        <v>497.97150799999997</v>
      </c>
      <c r="AD45" s="37"/>
      <c r="AE45" s="37"/>
      <c r="AF45" s="37"/>
      <c r="AG45" s="37"/>
      <c r="AH45" s="42">
        <f>+XEL!AH58</f>
        <v>505.73326700000001</v>
      </c>
      <c r="AI45" s="37"/>
      <c r="AJ45" s="37"/>
      <c r="AK45" s="37"/>
      <c r="AL45" s="37"/>
      <c r="AM45" s="42">
        <f>+XEL!AM58</f>
        <v>507.53552300000001</v>
      </c>
      <c r="AN45" s="37"/>
      <c r="AO45" s="37"/>
      <c r="AP45" s="37"/>
      <c r="AQ45" s="37"/>
      <c r="AR45" s="42">
        <f>+XEL!AR58</f>
        <v>507.22279500000002</v>
      </c>
      <c r="AS45" s="37"/>
      <c r="AT45" s="37"/>
      <c r="AU45" s="37"/>
      <c r="AV45" s="37"/>
      <c r="AW45" s="42">
        <f>+XEL!AW58</f>
        <v>508.06498299999998</v>
      </c>
      <c r="AX45" s="37"/>
      <c r="AY45" s="37"/>
      <c r="AZ45" s="37"/>
      <c r="BA45" s="37"/>
      <c r="BB45" s="42">
        <f>+XEL!BB58</f>
        <v>509.81418790686052</v>
      </c>
      <c r="BC45" s="37"/>
      <c r="BD45" s="37"/>
      <c r="BE45" s="37"/>
      <c r="BF45" s="37"/>
      <c r="BG45" s="42">
        <f>+XEL!BG58</f>
        <v>511.56339281372107</v>
      </c>
      <c r="BH45" s="37"/>
      <c r="BI45" s="37"/>
      <c r="BJ45" s="37"/>
      <c r="BK45" s="37"/>
      <c r="BL45" s="42">
        <f>+XEL!BL58</f>
        <v>513.31259772058161</v>
      </c>
      <c r="BM45" s="37"/>
      <c r="BN45" s="37"/>
      <c r="BO45" s="37"/>
      <c r="BP45" s="37"/>
      <c r="BQ45" s="42">
        <f>+XEL!BQ58</f>
        <v>515.06180262744215</v>
      </c>
      <c r="BT45" s="69"/>
      <c r="BU45" s="20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</row>
    <row r="46" spans="2:139" x14ac:dyDescent="0.2">
      <c r="C46" s="87" t="s">
        <v>73</v>
      </c>
      <c r="I46" s="42">
        <f>+XEL!I59</f>
        <v>456.43299999999999</v>
      </c>
      <c r="N46" s="42">
        <f>+XEL!N59</f>
        <v>462.05200000000002</v>
      </c>
      <c r="S46" s="42">
        <f>+XEL!S59</f>
        <v>485.03899999999999</v>
      </c>
      <c r="X46" s="42">
        <f>+XEL!X59</f>
        <v>487.899</v>
      </c>
      <c r="AC46" s="42">
        <f>+XEL!AC59</f>
        <v>496.07299999999998</v>
      </c>
      <c r="AH46" s="42">
        <f>+XEL!AH59</f>
        <v>503.84699999999998</v>
      </c>
      <c r="AM46" s="42">
        <f>+XEL!AM59</f>
        <v>507.76799999999997</v>
      </c>
      <c r="AR46" s="42">
        <f>+XEL!AR59</f>
        <v>508.79399999999998</v>
      </c>
      <c r="AW46" s="42">
        <f>+XEL!AW59</f>
        <v>509</v>
      </c>
      <c r="BB46" s="42">
        <f>+XEL!BB59</f>
        <v>508.93958545343025</v>
      </c>
      <c r="BG46" s="42">
        <f>+XEL!BG59</f>
        <v>510.6887903602908</v>
      </c>
      <c r="BL46" s="42">
        <f>+XEL!BL59</f>
        <v>512.43799526715134</v>
      </c>
      <c r="BQ46" s="42">
        <f>+XEL!BQ59</f>
        <v>514.18720017401188</v>
      </c>
      <c r="BT46" s="69"/>
      <c r="BU46" s="26" t="s">
        <v>74</v>
      </c>
    </row>
    <row r="47" spans="2:139" x14ac:dyDescent="0.2">
      <c r="C47" s="70" t="s">
        <v>75</v>
      </c>
      <c r="I47" s="42">
        <f>+XEL!I60</f>
        <v>457.13900000000001</v>
      </c>
      <c r="N47" s="42">
        <f>+XEL!N60</f>
        <v>463.39100000000002</v>
      </c>
      <c r="S47" s="42">
        <f>+XEL!S60</f>
        <v>485.61500000000001</v>
      </c>
      <c r="X47" s="42">
        <f>+XEL!X60</f>
        <v>488.43400000000003</v>
      </c>
      <c r="AC47" s="42">
        <f>+XEL!AC60</f>
        <v>496.53199999999998</v>
      </c>
      <c r="AH47" s="42">
        <f>+XEL!AH60</f>
        <v>504.11700000000002</v>
      </c>
      <c r="AM47" s="42">
        <f>+XEL!AM60</f>
        <v>508.16800000000001</v>
      </c>
      <c r="AR47" s="42">
        <f>+XEL!AR60</f>
        <v>509.46499999999997</v>
      </c>
      <c r="AW47" s="42">
        <f>+XEL!AW60</f>
        <v>509</v>
      </c>
      <c r="BB47" s="42">
        <f>+XEL!BB60</f>
        <v>508.93958545343025</v>
      </c>
      <c r="BG47" s="42">
        <f>+XEL!BG60</f>
        <v>510.6887903602908</v>
      </c>
      <c r="BL47" s="42">
        <f>+XEL!BL60</f>
        <v>512.43799526715134</v>
      </c>
      <c r="BQ47" s="42">
        <f>+XEL!BQ60</f>
        <v>514.18720017401188</v>
      </c>
      <c r="BT47" s="69"/>
      <c r="BU47" s="20" t="s">
        <v>53</v>
      </c>
      <c r="BW47" s="31"/>
      <c r="BX47" s="31"/>
      <c r="BY47" s="31"/>
      <c r="BZ47" s="31"/>
      <c r="CA47" s="42">
        <f>+CA50-CA48</f>
        <v>1786.902</v>
      </c>
      <c r="CB47" s="31"/>
      <c r="CC47" s="31"/>
      <c r="CD47" s="31"/>
      <c r="CE47" s="31"/>
      <c r="CF47" s="42">
        <f>+CF50-CF48</f>
        <v>2217.3270000000002</v>
      </c>
      <c r="CG47" s="31"/>
      <c r="CH47" s="31"/>
      <c r="CI47" s="31"/>
      <c r="CJ47" s="31"/>
      <c r="CK47" s="42">
        <f>+CK50-CK48</f>
        <v>2296.4</v>
      </c>
      <c r="CL47" s="31"/>
      <c r="CM47" s="31"/>
      <c r="CN47" s="31"/>
      <c r="CO47" s="31"/>
      <c r="CP47" s="42">
        <f>+CP50-CP48</f>
        <v>2570.2089999999998</v>
      </c>
      <c r="CQ47" s="31"/>
      <c r="CR47" s="31"/>
      <c r="CS47" s="31"/>
      <c r="CT47" s="31"/>
      <c r="CU47" s="42">
        <f>+CU50-CU48</f>
        <v>3395.3249999999998</v>
      </c>
      <c r="CV47" s="31"/>
      <c r="CW47" s="31"/>
      <c r="CX47" s="31"/>
      <c r="CY47" s="31"/>
      <c r="CZ47" s="42">
        <f>+CZ50-CZ48</f>
        <v>3199.7910000000002</v>
      </c>
      <c r="DA47" s="31"/>
      <c r="DB47" s="31"/>
      <c r="DC47" s="31"/>
      <c r="DD47" s="31"/>
      <c r="DE47" s="42">
        <f>+DE50-DE48</f>
        <v>3683.3589999999999</v>
      </c>
      <c r="DF47" s="31"/>
      <c r="DG47" s="31"/>
      <c r="DH47" s="31"/>
      <c r="DI47" s="31"/>
      <c r="DJ47" s="42">
        <f>+DJ50-DJ48</f>
        <v>3255.55</v>
      </c>
      <c r="DK47" s="31"/>
      <c r="DL47" s="31"/>
      <c r="DM47" s="31"/>
      <c r="DN47" s="31"/>
      <c r="DO47" s="42">
        <f>+DO50-DO48</f>
        <v>3319</v>
      </c>
      <c r="DP47" s="31"/>
      <c r="DQ47" s="31"/>
      <c r="DR47" s="31"/>
      <c r="DS47" s="31"/>
      <c r="DT47" s="42">
        <f>+DT50-DT48</f>
        <v>3770</v>
      </c>
      <c r="DU47" s="31"/>
      <c r="DV47" s="31"/>
      <c r="DW47" s="31"/>
      <c r="DX47" s="31"/>
      <c r="DY47" s="42">
        <f>+DY50-DY48</f>
        <v>4410</v>
      </c>
      <c r="DZ47" s="31"/>
      <c r="EA47" s="31"/>
      <c r="EB47" s="31"/>
      <c r="EC47" s="31"/>
      <c r="ED47" s="42">
        <f>+ED50-ED48</f>
        <v>3440</v>
      </c>
      <c r="EE47" s="31"/>
      <c r="EF47" s="31"/>
      <c r="EG47" s="31"/>
      <c r="EH47" s="31"/>
      <c r="EI47" s="42">
        <f>+EI50-EI48</f>
        <v>3520</v>
      </c>
    </row>
    <row r="48" spans="2:139" x14ac:dyDescent="0.2">
      <c r="BT48" s="69"/>
      <c r="BU48" t="s">
        <v>55</v>
      </c>
      <c r="BW48" s="44"/>
      <c r="BX48" s="44"/>
      <c r="BY48" s="44"/>
      <c r="BZ48" s="44"/>
      <c r="CA48" s="42">
        <v>0</v>
      </c>
      <c r="CB48" s="44">
        <v>0</v>
      </c>
      <c r="CC48" s="44">
        <v>0</v>
      </c>
      <c r="CD48" s="44">
        <v>0</v>
      </c>
      <c r="CE48" s="44">
        <v>0</v>
      </c>
      <c r="CF48" s="42">
        <v>0</v>
      </c>
      <c r="CG48" s="44">
        <v>0</v>
      </c>
      <c r="CH48" s="44">
        <v>0</v>
      </c>
      <c r="CI48" s="44">
        <v>0</v>
      </c>
      <c r="CJ48" s="44">
        <v>0</v>
      </c>
      <c r="CK48" s="42">
        <v>0</v>
      </c>
      <c r="CL48" s="44">
        <v>0</v>
      </c>
      <c r="CM48" s="44">
        <v>0</v>
      </c>
      <c r="CN48" s="44">
        <v>0</v>
      </c>
      <c r="CO48" s="44">
        <v>0</v>
      </c>
      <c r="CP48" s="42">
        <v>0</v>
      </c>
      <c r="CQ48" s="44">
        <v>0</v>
      </c>
      <c r="CR48" s="44">
        <v>0</v>
      </c>
      <c r="CS48" s="44">
        <v>0</v>
      </c>
      <c r="CT48" s="44">
        <v>0</v>
      </c>
      <c r="CU48" s="42">
        <v>0</v>
      </c>
      <c r="CV48" s="44">
        <v>0</v>
      </c>
      <c r="CW48" s="44">
        <v>0</v>
      </c>
      <c r="CX48" s="44">
        <v>0</v>
      </c>
      <c r="CY48" s="44">
        <v>0</v>
      </c>
      <c r="CZ48" s="42">
        <v>0</v>
      </c>
      <c r="DA48" s="44">
        <v>0</v>
      </c>
      <c r="DB48" s="44">
        <v>0</v>
      </c>
      <c r="DC48" s="44">
        <v>0</v>
      </c>
      <c r="DD48" s="44">
        <v>0</v>
      </c>
      <c r="DE48" s="42">
        <v>0</v>
      </c>
      <c r="DF48" s="44">
        <v>0</v>
      </c>
      <c r="DG48" s="44">
        <v>0</v>
      </c>
      <c r="DH48" s="44">
        <v>0</v>
      </c>
      <c r="DI48" s="44">
        <v>0</v>
      </c>
      <c r="DJ48" s="42">
        <v>0</v>
      </c>
      <c r="DK48" s="44">
        <v>0</v>
      </c>
      <c r="DL48" s="44">
        <v>0</v>
      </c>
      <c r="DM48" s="44">
        <v>0</v>
      </c>
      <c r="DN48" s="44">
        <v>0</v>
      </c>
      <c r="DO48" s="42">
        <v>0</v>
      </c>
      <c r="DP48" s="44">
        <v>0</v>
      </c>
      <c r="DQ48" s="44">
        <v>0</v>
      </c>
      <c r="DR48" s="44">
        <v>0</v>
      </c>
      <c r="DS48" s="44">
        <v>0</v>
      </c>
      <c r="DT48" s="42">
        <v>0</v>
      </c>
      <c r="DU48" s="44"/>
      <c r="DV48" s="44"/>
      <c r="DW48" s="44"/>
      <c r="DX48" s="44"/>
      <c r="DY48" s="42">
        <v>0</v>
      </c>
      <c r="DZ48" s="44"/>
      <c r="EA48" s="44"/>
      <c r="EB48" s="44"/>
      <c r="EC48" s="44"/>
      <c r="ED48" s="42">
        <v>0</v>
      </c>
      <c r="EE48" s="44"/>
      <c r="EF48" s="44"/>
      <c r="EG48" s="44"/>
      <c r="EH48" s="44"/>
      <c r="EI48" s="42">
        <v>0</v>
      </c>
    </row>
    <row r="49" spans="2:140" x14ac:dyDescent="0.2">
      <c r="BT49" s="69"/>
      <c r="BU49" s="54" t="s">
        <v>56</v>
      </c>
      <c r="BW49" s="44"/>
      <c r="BX49" s="44"/>
      <c r="BY49" s="44"/>
      <c r="BZ49" s="44"/>
      <c r="CA49" s="42">
        <v>0</v>
      </c>
      <c r="CB49" s="44"/>
      <c r="CC49" s="44"/>
      <c r="CD49" s="44"/>
      <c r="CE49" s="44"/>
      <c r="CF49" s="42">
        <v>0</v>
      </c>
      <c r="CG49" s="44"/>
      <c r="CH49" s="44"/>
      <c r="CI49" s="44"/>
      <c r="CJ49" s="44"/>
      <c r="CK49" s="42">
        <v>0</v>
      </c>
      <c r="CL49" s="44"/>
      <c r="CM49" s="44"/>
      <c r="CN49" s="44"/>
      <c r="CO49" s="44"/>
      <c r="CP49" s="42">
        <v>0</v>
      </c>
      <c r="CQ49" s="44"/>
      <c r="CR49" s="44"/>
      <c r="CS49" s="44"/>
      <c r="CT49" s="44"/>
      <c r="CU49" s="42">
        <v>0</v>
      </c>
      <c r="CV49" s="44"/>
      <c r="CW49" s="44"/>
      <c r="CX49" s="44"/>
      <c r="CY49" s="44"/>
      <c r="CZ49" s="42">
        <v>0</v>
      </c>
      <c r="DA49" s="44"/>
      <c r="DB49" s="44"/>
      <c r="DC49" s="44"/>
      <c r="DD49" s="44"/>
      <c r="DE49" s="42">
        <v>0</v>
      </c>
      <c r="DF49" s="44"/>
      <c r="DG49" s="44"/>
      <c r="DH49" s="44"/>
      <c r="DI49" s="44"/>
      <c r="DJ49" s="42">
        <v>0</v>
      </c>
      <c r="DK49" s="44"/>
      <c r="DL49" s="44"/>
      <c r="DM49" s="44"/>
      <c r="DN49" s="44"/>
      <c r="DO49" s="42">
        <v>0</v>
      </c>
      <c r="DP49" s="44"/>
      <c r="DQ49" s="44"/>
      <c r="DR49" s="44"/>
      <c r="DS49" s="44"/>
      <c r="DT49" s="42">
        <v>0</v>
      </c>
      <c r="DU49" s="44"/>
      <c r="DV49" s="44"/>
      <c r="DW49" s="44"/>
      <c r="DX49" s="44"/>
      <c r="DY49" s="42">
        <v>0</v>
      </c>
      <c r="DZ49" s="44"/>
      <c r="EA49" s="44"/>
      <c r="EB49" s="44"/>
      <c r="EC49" s="44"/>
      <c r="ED49" s="42">
        <v>0</v>
      </c>
      <c r="EE49" s="44"/>
      <c r="EF49" s="44"/>
      <c r="EG49" s="44"/>
      <c r="EH49" s="44"/>
      <c r="EI49" s="42">
        <v>0</v>
      </c>
    </row>
    <row r="50" spans="2:140" x14ac:dyDescent="0.2">
      <c r="BT50" s="69"/>
      <c r="BU50" s="26" t="s">
        <v>76</v>
      </c>
      <c r="BW50" s="85"/>
      <c r="BX50" s="85"/>
      <c r="BY50" s="85"/>
      <c r="BZ50" s="85"/>
      <c r="CA50" s="86">
        <f>-XEL!I142</f>
        <v>1786.902</v>
      </c>
      <c r="CB50" s="85"/>
      <c r="CC50" s="85"/>
      <c r="CD50" s="85"/>
      <c r="CE50" s="85"/>
      <c r="CF50" s="86">
        <f>-XEL!N142</f>
        <v>2217.3270000000002</v>
      </c>
      <c r="CG50" s="85"/>
      <c r="CH50" s="85"/>
      <c r="CI50" s="85"/>
      <c r="CJ50" s="85"/>
      <c r="CK50" s="86">
        <f>-XEL!S142</f>
        <v>2296.4</v>
      </c>
      <c r="CL50" s="85"/>
      <c r="CM50" s="85"/>
      <c r="CN50" s="85"/>
      <c r="CO50" s="85"/>
      <c r="CP50" s="86">
        <f>-XEL!X142</f>
        <v>2570.2089999999998</v>
      </c>
      <c r="CQ50" s="85"/>
      <c r="CR50" s="85"/>
      <c r="CS50" s="85"/>
      <c r="CT50" s="85"/>
      <c r="CU50" s="86">
        <f>-XEL!AC142</f>
        <v>3395.3249999999998</v>
      </c>
      <c r="CV50" s="85"/>
      <c r="CW50" s="85"/>
      <c r="CX50" s="85"/>
      <c r="CY50" s="85"/>
      <c r="CZ50" s="86">
        <f>-XEL!AH142</f>
        <v>3199.7910000000002</v>
      </c>
      <c r="DA50" s="85"/>
      <c r="DB50" s="85"/>
      <c r="DC50" s="85"/>
      <c r="DD50" s="85"/>
      <c r="DE50" s="86">
        <f>-XEL!AM142</f>
        <v>3683.3589999999999</v>
      </c>
      <c r="DF50" s="85"/>
      <c r="DG50" s="85"/>
      <c r="DH50" s="85"/>
      <c r="DI50" s="85"/>
      <c r="DJ50" s="86">
        <f>-XEL!AR142</f>
        <v>3255.55</v>
      </c>
      <c r="DK50" s="85"/>
      <c r="DL50" s="85"/>
      <c r="DM50" s="85"/>
      <c r="DN50" s="85"/>
      <c r="DO50" s="86">
        <f>-XEL!AW142</f>
        <v>3319</v>
      </c>
      <c r="DP50" s="85"/>
      <c r="DQ50" s="85"/>
      <c r="DR50" s="85"/>
      <c r="DS50" s="85"/>
      <c r="DT50" s="86">
        <f>-XEL!BB142</f>
        <v>3770</v>
      </c>
      <c r="DU50" s="85"/>
      <c r="DV50" s="85"/>
      <c r="DW50" s="85"/>
      <c r="DX50" s="85"/>
      <c r="DY50" s="86">
        <f>-XEL!BG142</f>
        <v>4410</v>
      </c>
      <c r="DZ50" s="85"/>
      <c r="EA50" s="85"/>
      <c r="EB50" s="85"/>
      <c r="EC50" s="85"/>
      <c r="ED50" s="86">
        <f>-XEL!BL142</f>
        <v>3440</v>
      </c>
      <c r="EE50" s="85"/>
      <c r="EF50" s="85"/>
      <c r="EG50" s="85"/>
      <c r="EH50" s="85"/>
      <c r="EI50" s="86">
        <f>-XEL!BQ142</f>
        <v>3520</v>
      </c>
    </row>
    <row r="51" spans="2:140" x14ac:dyDescent="0.2">
      <c r="BT51" s="69"/>
      <c r="BU51" s="20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  <c r="CJ51" s="31"/>
      <c r="CK51" s="31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  <c r="DW51" s="31"/>
      <c r="DX51" s="31"/>
      <c r="DY51" s="31"/>
      <c r="DZ51" s="31"/>
      <c r="EA51" s="31"/>
      <c r="EB51" s="31"/>
      <c r="EC51" s="31"/>
      <c r="ED51" s="31"/>
      <c r="EE51" s="31"/>
      <c r="EF51" s="31"/>
      <c r="EG51" s="31"/>
      <c r="EH51" s="31"/>
      <c r="EI51" s="31"/>
    </row>
    <row r="52" spans="2:140" x14ac:dyDescent="0.2">
      <c r="BT52" s="69"/>
      <c r="BU52" s="26" t="s">
        <v>78</v>
      </c>
    </row>
    <row r="53" spans="2:140" x14ac:dyDescent="0.2">
      <c r="B53" s="16" t="s">
        <v>77</v>
      </c>
      <c r="C53" s="16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T53" s="69"/>
      <c r="BU53" s="20" t="s">
        <v>53</v>
      </c>
      <c r="BW53" s="44"/>
      <c r="BX53" s="44"/>
      <c r="BY53" s="44"/>
      <c r="BZ53" s="44"/>
      <c r="CA53" s="42">
        <f>+CA41-CA47</f>
        <v>126.00399999999991</v>
      </c>
      <c r="CB53" s="44"/>
      <c r="CC53" s="44"/>
      <c r="CD53" s="44"/>
      <c r="CE53" s="44"/>
      <c r="CF53" s="42">
        <f>+CF41-CF47</f>
        <v>-323.38499999999999</v>
      </c>
      <c r="CG53" s="44"/>
      <c r="CH53" s="44"/>
      <c r="CI53" s="44"/>
      <c r="CJ53" s="44"/>
      <c r="CK53" s="42">
        <f>+CK41-CK47</f>
        <v>109.1220000000003</v>
      </c>
      <c r="CL53" s="44"/>
      <c r="CM53" s="44"/>
      <c r="CN53" s="44"/>
      <c r="CO53" s="44"/>
      <c r="CP53" s="42">
        <f>+CP41-CP47</f>
        <v>-565.45299999999997</v>
      </c>
      <c r="CQ53" s="44"/>
      <c r="CR53" s="44"/>
      <c r="CS53" s="44"/>
      <c r="CT53" s="44"/>
      <c r="CU53" s="42">
        <f>+CU41-CU47</f>
        <v>-811.28899999999976</v>
      </c>
      <c r="CV53" s="44"/>
      <c r="CW53" s="44"/>
      <c r="CX53" s="44"/>
      <c r="CY53" s="44"/>
      <c r="CZ53" s="42">
        <f>+CZ41-CZ47</f>
        <v>-551.59899999999971</v>
      </c>
      <c r="DA53" s="44"/>
      <c r="DB53" s="44"/>
      <c r="DC53" s="44"/>
      <c r="DD53" s="44"/>
      <c r="DE53" s="42">
        <f>+DE41-DE47</f>
        <v>-657.52</v>
      </c>
      <c r="DF53" s="44"/>
      <c r="DG53" s="44"/>
      <c r="DH53" s="44"/>
      <c r="DI53" s="44"/>
      <c r="DJ53" s="42">
        <f>+DJ41-DJ47</f>
        <v>-203.2510000000002</v>
      </c>
      <c r="DK53" s="44"/>
      <c r="DL53" s="44"/>
      <c r="DM53" s="44"/>
      <c r="DN53" s="44"/>
      <c r="DO53" s="42">
        <f>+DO41-DO47</f>
        <v>-193</v>
      </c>
      <c r="DP53" s="44"/>
      <c r="DQ53" s="44"/>
      <c r="DR53" s="44"/>
      <c r="DS53" s="44"/>
      <c r="DT53" s="42">
        <f>+DT41-DT47</f>
        <v>-648.16640293943692</v>
      </c>
      <c r="DU53" s="44"/>
      <c r="DV53" s="44"/>
      <c r="DW53" s="44"/>
      <c r="DX53" s="44"/>
      <c r="DY53" s="42">
        <f>+DY41-DY47</f>
        <v>-1075.012411505279</v>
      </c>
      <c r="DZ53" s="44"/>
      <c r="EA53" s="44"/>
      <c r="EB53" s="44"/>
      <c r="EC53" s="44"/>
      <c r="ED53" s="42">
        <f>+ED41-ED47</f>
        <v>127.80772776139474</v>
      </c>
      <c r="EE53" s="44"/>
      <c r="EF53" s="44"/>
      <c r="EG53" s="44"/>
      <c r="EH53" s="44"/>
      <c r="EI53" s="42">
        <f>+EI41-EI47</f>
        <v>249.22569382145639</v>
      </c>
    </row>
    <row r="54" spans="2:140" x14ac:dyDescent="0.2">
      <c r="C54" s="20"/>
      <c r="D54" s="20"/>
      <c r="F54" s="37"/>
      <c r="G54" s="37"/>
      <c r="H54" s="37"/>
      <c r="I54" s="20"/>
      <c r="K54" s="37"/>
      <c r="L54" s="37"/>
      <c r="M54" s="37"/>
      <c r="N54" s="37"/>
      <c r="O54" s="37"/>
      <c r="P54" s="37"/>
      <c r="Q54" s="37"/>
      <c r="S54" s="37"/>
      <c r="T54" s="37"/>
      <c r="U54" s="37"/>
      <c r="V54" s="37"/>
      <c r="X54" s="37"/>
      <c r="Y54" s="37"/>
      <c r="Z54" s="37"/>
      <c r="AA54" s="37"/>
      <c r="AC54" s="37"/>
      <c r="AD54" s="37"/>
      <c r="AE54" s="37"/>
      <c r="AF54" s="37"/>
      <c r="AH54" s="37"/>
      <c r="AI54" s="37"/>
      <c r="AJ54" s="37"/>
      <c r="AK54" s="37"/>
      <c r="AN54" s="37"/>
      <c r="AO54" s="37"/>
      <c r="AP54" s="37"/>
      <c r="AS54" s="37"/>
      <c r="AT54" s="37"/>
      <c r="AU54" s="37"/>
      <c r="AX54" s="37"/>
      <c r="AY54" s="37"/>
      <c r="AZ54" s="37"/>
      <c r="BC54" s="37"/>
      <c r="BD54" s="37"/>
      <c r="BE54" s="37"/>
      <c r="BH54" s="37"/>
      <c r="BI54" s="37"/>
      <c r="BJ54" s="37"/>
      <c r="BM54" s="37"/>
      <c r="BN54" s="37"/>
      <c r="BO54" s="37"/>
      <c r="BT54" s="69"/>
      <c r="BU54" t="s">
        <v>55</v>
      </c>
      <c r="BW54" s="44"/>
      <c r="BX54" s="44"/>
      <c r="BY54" s="44"/>
      <c r="BZ54" s="44"/>
      <c r="CA54" s="42">
        <f>+CA42-CA48</f>
        <v>0</v>
      </c>
      <c r="CB54" s="44"/>
      <c r="CC54" s="44"/>
      <c r="CD54" s="44"/>
      <c r="CE54" s="44"/>
      <c r="CF54" s="42">
        <f>+CF42-CF48</f>
        <v>0</v>
      </c>
      <c r="CG54" s="44"/>
      <c r="CH54" s="44"/>
      <c r="CI54" s="44"/>
      <c r="CJ54" s="44"/>
      <c r="CK54" s="42">
        <f>+CK42-CK48</f>
        <v>0</v>
      </c>
      <c r="CL54" s="44"/>
      <c r="CM54" s="44"/>
      <c r="CN54" s="44"/>
      <c r="CO54" s="44"/>
      <c r="CP54" s="42">
        <f>+CP42-CP48</f>
        <v>0</v>
      </c>
      <c r="CQ54" s="44"/>
      <c r="CR54" s="44"/>
      <c r="CS54" s="44"/>
      <c r="CT54" s="44"/>
      <c r="CU54" s="42">
        <f>+CU42-CU48</f>
        <v>0</v>
      </c>
      <c r="CV54" s="44"/>
      <c r="CW54" s="44"/>
      <c r="CX54" s="44"/>
      <c r="CY54" s="44"/>
      <c r="CZ54" s="42">
        <f>+CZ42-CZ48</f>
        <v>0</v>
      </c>
      <c r="DA54" s="44"/>
      <c r="DB54" s="44"/>
      <c r="DC54" s="44"/>
      <c r="DD54" s="44"/>
      <c r="DE54" s="42">
        <f>+DE42-DE48</f>
        <v>0</v>
      </c>
      <c r="DF54" s="44"/>
      <c r="DG54" s="44"/>
      <c r="DH54" s="44"/>
      <c r="DI54" s="44"/>
      <c r="DJ54" s="42">
        <f>+DJ42-DJ48</f>
        <v>0</v>
      </c>
      <c r="DK54" s="44"/>
      <c r="DL54" s="44"/>
      <c r="DM54" s="44"/>
      <c r="DN54" s="44"/>
      <c r="DO54" s="42">
        <f>+DO42-DO48</f>
        <v>0</v>
      </c>
      <c r="DP54" s="44"/>
      <c r="DQ54" s="44"/>
      <c r="DR54" s="44"/>
      <c r="DS54" s="44"/>
      <c r="DT54" s="42">
        <f>+DT42-DT48</f>
        <v>0</v>
      </c>
      <c r="DU54" s="44"/>
      <c r="DV54" s="44"/>
      <c r="DW54" s="44"/>
      <c r="DX54" s="44"/>
      <c r="DY54" s="42">
        <f>+DY42-DY48</f>
        <v>0</v>
      </c>
      <c r="DZ54" s="44"/>
      <c r="EA54" s="44"/>
      <c r="EB54" s="44"/>
      <c r="EC54" s="44"/>
      <c r="ED54" s="42">
        <f>+ED42-ED48</f>
        <v>0</v>
      </c>
      <c r="EE54" s="44"/>
      <c r="EF54" s="44"/>
      <c r="EG54" s="44"/>
      <c r="EH54" s="44"/>
      <c r="EI54" s="42">
        <f>+EI42-EI48</f>
        <v>0</v>
      </c>
    </row>
    <row r="55" spans="2:140" x14ac:dyDescent="0.2">
      <c r="C55" s="20" t="s">
        <v>79</v>
      </c>
      <c r="D55" s="10"/>
      <c r="E55" s="10"/>
      <c r="F55" s="81" t="e">
        <v>#DIV/0!</v>
      </c>
      <c r="G55" s="81">
        <v>48.486259219736944</v>
      </c>
      <c r="H55" s="81">
        <v>44.78261591649219</v>
      </c>
      <c r="I55" s="10"/>
      <c r="J55" s="10"/>
      <c r="K55" s="81">
        <v>48.486259219736944</v>
      </c>
      <c r="L55" s="81">
        <v>44.78261591649219</v>
      </c>
      <c r="M55" s="81">
        <v>42.045747441827068</v>
      </c>
      <c r="N55" s="81">
        <f t="shared" ref="N55:AM55" si="8">N64/N15</f>
        <v>27.281078780016419</v>
      </c>
      <c r="O55" s="81"/>
      <c r="P55" s="81"/>
      <c r="Q55" s="81"/>
      <c r="S55" s="81">
        <f t="shared" si="8"/>
        <v>25.613808502480314</v>
      </c>
      <c r="T55" s="81" t="e">
        <f t="shared" si="8"/>
        <v>#DIV/0!</v>
      </c>
      <c r="U55" s="81" t="e">
        <f t="shared" si="8"/>
        <v>#DIV/0!</v>
      </c>
      <c r="V55" s="81" t="e">
        <f t="shared" si="8"/>
        <v>#DIV/0!</v>
      </c>
      <c r="W55" t="e">
        <f t="shared" si="8"/>
        <v>#DIV/0!</v>
      </c>
      <c r="X55" s="81">
        <f t="shared" si="8"/>
        <v>24.205734479400626</v>
      </c>
      <c r="Y55" s="81" t="e">
        <f t="shared" si="8"/>
        <v>#DIV/0!</v>
      </c>
      <c r="Z55" s="81" t="e">
        <f t="shared" si="8"/>
        <v>#DIV/0!</v>
      </c>
      <c r="AA55" s="81" t="e">
        <f t="shared" si="8"/>
        <v>#DIV/0!</v>
      </c>
      <c r="AB55" t="e">
        <f t="shared" si="8"/>
        <v>#DIV/0!</v>
      </c>
      <c r="AC55" s="81">
        <f t="shared" si="8"/>
        <v>22.569985946252917</v>
      </c>
      <c r="AD55" s="81" t="e">
        <f t="shared" si="8"/>
        <v>#DIV/0!</v>
      </c>
      <c r="AE55" s="81" t="e">
        <f t="shared" si="8"/>
        <v>#DIV/0!</v>
      </c>
      <c r="AF55" s="81" t="e">
        <f t="shared" si="8"/>
        <v>#DIV/0!</v>
      </c>
      <c r="AG55" t="e">
        <f t="shared" si="8"/>
        <v>#DIV/0!</v>
      </c>
      <c r="AH55" s="81">
        <f t="shared" si="8"/>
        <v>21.728287447640582</v>
      </c>
      <c r="AI55" s="81" t="e">
        <f t="shared" si="8"/>
        <v>#DIV/0!</v>
      </c>
      <c r="AJ55" s="81" t="e">
        <f t="shared" si="8"/>
        <v>#DIV/0!</v>
      </c>
      <c r="AK55" s="81" t="e">
        <f t="shared" si="8"/>
        <v>#DIV/0!</v>
      </c>
      <c r="AL55" t="e">
        <f t="shared" si="8"/>
        <v>#DIV/0!</v>
      </c>
      <c r="AM55" s="81">
        <f t="shared" si="8"/>
        <v>21.031232857136146</v>
      </c>
      <c r="AN55" s="81" t="e">
        <f t="shared" ref="AN55:BB55" si="9">AN64/AN15</f>
        <v>#DIV/0!</v>
      </c>
      <c r="AO55" s="81" t="e">
        <f t="shared" si="9"/>
        <v>#DIV/0!</v>
      </c>
      <c r="AP55" s="81" t="e">
        <f t="shared" si="9"/>
        <v>#DIV/0!</v>
      </c>
      <c r="AQ55" t="e">
        <f t="shared" si="9"/>
        <v>#DIV/0!</v>
      </c>
      <c r="AR55" s="81">
        <f t="shared" si="9"/>
        <v>19.963564656273572</v>
      </c>
      <c r="AS55" s="81" t="e">
        <f t="shared" si="9"/>
        <v>#DIV/0!</v>
      </c>
      <c r="AT55" s="81" t="e">
        <f t="shared" si="9"/>
        <v>#DIV/0!</v>
      </c>
      <c r="AU55" s="81" t="e">
        <f t="shared" si="9"/>
        <v>#DIV/0!</v>
      </c>
      <c r="AV55" t="e">
        <f t="shared" si="9"/>
        <v>#DIV/0!</v>
      </c>
      <c r="AW55" s="81">
        <f t="shared" si="9"/>
        <v>19.134227156276683</v>
      </c>
      <c r="AX55" s="81" t="e">
        <f t="shared" si="9"/>
        <v>#DIV/0!</v>
      </c>
      <c r="AY55" s="81" t="e">
        <f t="shared" si="9"/>
        <v>#DIV/0!</v>
      </c>
      <c r="AZ55" s="81" t="e">
        <f t="shared" si="9"/>
        <v>#DIV/0!</v>
      </c>
      <c r="BA55" t="e">
        <f t="shared" si="9"/>
        <v>#DIV/0!</v>
      </c>
      <c r="BB55" s="81">
        <f t="shared" si="9"/>
        <v>18.12757648862949</v>
      </c>
      <c r="BC55" s="81"/>
      <c r="BD55" s="81"/>
      <c r="BE55" s="81"/>
      <c r="BG55" s="81">
        <f>BG64/BG15</f>
        <v>16.843018717384812</v>
      </c>
      <c r="BH55" s="81"/>
      <c r="BI55" s="81"/>
      <c r="BJ55" s="81"/>
      <c r="BL55" s="81">
        <f>BL64/BL15</f>
        <v>16.164322947713373</v>
      </c>
      <c r="BM55" s="81"/>
      <c r="BN55" s="81"/>
      <c r="BO55" s="81"/>
      <c r="BQ55" s="81">
        <f>BQ64/BQ15</f>
        <v>15.166321002984818</v>
      </c>
      <c r="BT55" s="69"/>
      <c r="BU55" s="54" t="s">
        <v>56</v>
      </c>
      <c r="BW55" s="44"/>
      <c r="BX55" s="44"/>
      <c r="BY55" s="44"/>
      <c r="BZ55" s="44"/>
      <c r="CA55" s="42">
        <f>+CA43-CA49</f>
        <v>0</v>
      </c>
      <c r="CB55" s="44"/>
      <c r="CC55" s="44"/>
      <c r="CD55" s="44"/>
      <c r="CE55" s="44"/>
      <c r="CF55" s="42">
        <f>+CF43-CF49</f>
        <v>0</v>
      </c>
      <c r="CG55" s="44"/>
      <c r="CH55" s="44"/>
      <c r="CI55" s="44"/>
      <c r="CJ55" s="44"/>
      <c r="CK55" s="42">
        <f>+CK43-CK49</f>
        <v>0</v>
      </c>
      <c r="CL55" s="44"/>
      <c r="CM55" s="44"/>
      <c r="CN55" s="44"/>
      <c r="CO55" s="44"/>
      <c r="CP55" s="42">
        <f>+CP43-CP49</f>
        <v>0</v>
      </c>
      <c r="CQ55" s="44"/>
      <c r="CR55" s="44"/>
      <c r="CS55" s="44"/>
      <c r="CT55" s="44"/>
      <c r="CU55" s="42">
        <f>+CU43-CU49</f>
        <v>0</v>
      </c>
      <c r="CV55" s="44"/>
      <c r="CW55" s="44"/>
      <c r="CX55" s="44"/>
      <c r="CY55" s="44"/>
      <c r="CZ55" s="42">
        <f>+CZ43-CZ49</f>
        <v>0</v>
      </c>
      <c r="DA55" s="44"/>
      <c r="DB55" s="44"/>
      <c r="DC55" s="44"/>
      <c r="DD55" s="44"/>
      <c r="DE55" s="42">
        <f>+DE43-DE49</f>
        <v>0</v>
      </c>
      <c r="DF55" s="44"/>
      <c r="DG55" s="44"/>
      <c r="DH55" s="44"/>
      <c r="DI55" s="44"/>
      <c r="DJ55" s="42">
        <f>+DJ43-DJ49</f>
        <v>0</v>
      </c>
      <c r="DK55" s="44"/>
      <c r="DL55" s="44"/>
      <c r="DM55" s="44"/>
      <c r="DN55" s="44"/>
      <c r="DO55" s="42">
        <f>+DO43-DO49</f>
        <v>0</v>
      </c>
      <c r="DP55" s="44"/>
      <c r="DQ55" s="44"/>
      <c r="DR55" s="44"/>
      <c r="DS55" s="44"/>
      <c r="DT55" s="42">
        <f>+DT43-DT49</f>
        <v>0</v>
      </c>
      <c r="DU55" s="44"/>
      <c r="DV55" s="44"/>
      <c r="DW55" s="44"/>
      <c r="DX55" s="44"/>
      <c r="DY55" s="42">
        <f>+DY43-DY49</f>
        <v>0</v>
      </c>
      <c r="DZ55" s="44"/>
      <c r="EA55" s="44"/>
      <c r="EB55" s="44"/>
      <c r="EC55" s="44"/>
      <c r="ED55" s="42">
        <f>+ED43-ED49</f>
        <v>0</v>
      </c>
      <c r="EE55" s="44"/>
      <c r="EF55" s="44"/>
      <c r="EG55" s="44"/>
      <c r="EH55" s="44"/>
      <c r="EI55" s="42">
        <f>+EI43-EI49</f>
        <v>0</v>
      </c>
    </row>
    <row r="56" spans="2:140" x14ac:dyDescent="0.2">
      <c r="C56" s="20" t="s">
        <v>80</v>
      </c>
      <c r="D56" s="10"/>
      <c r="E56" s="10"/>
      <c r="F56" s="81" t="e">
        <v>#DIV/0!</v>
      </c>
      <c r="G56" s="81">
        <v>4.5876765507557611</v>
      </c>
      <c r="H56" s="81">
        <v>5.1091965857454982</v>
      </c>
      <c r="I56" s="10"/>
      <c r="J56" s="10"/>
      <c r="K56" s="81">
        <v>4.5876765507557611</v>
      </c>
      <c r="L56" s="81">
        <v>5.1091965857454982</v>
      </c>
      <c r="M56" s="81">
        <v>4.1848509387983146</v>
      </c>
      <c r="N56" s="81">
        <f t="shared" ref="N56:AM56" si="10">N68/N30</f>
        <v>11.995421206481735</v>
      </c>
      <c r="O56" s="81"/>
      <c r="P56" s="81"/>
      <c r="Q56" s="81"/>
      <c r="S56" s="81">
        <f t="shared" si="10"/>
        <v>11.411107894041246</v>
      </c>
      <c r="T56" s="81">
        <f t="shared" si="10"/>
        <v>0</v>
      </c>
      <c r="U56" s="81">
        <f t="shared" si="10"/>
        <v>0</v>
      </c>
      <c r="V56" s="81">
        <f t="shared" si="10"/>
        <v>0</v>
      </c>
      <c r="W56">
        <f t="shared" si="10"/>
        <v>0</v>
      </c>
      <c r="X56" s="81">
        <f t="shared" si="10"/>
        <v>11.372759005836947</v>
      </c>
      <c r="Y56" s="81">
        <f t="shared" si="10"/>
        <v>0</v>
      </c>
      <c r="Z56" s="81">
        <f t="shared" si="10"/>
        <v>0</v>
      </c>
      <c r="AA56" s="81">
        <f t="shared" si="10"/>
        <v>0</v>
      </c>
      <c r="AB56">
        <f t="shared" si="10"/>
        <v>0</v>
      </c>
      <c r="AC56" s="81">
        <f t="shared" si="10"/>
        <v>11.30585219869841</v>
      </c>
      <c r="AD56" s="81">
        <f t="shared" si="10"/>
        <v>0</v>
      </c>
      <c r="AE56" s="81">
        <f t="shared" si="10"/>
        <v>0</v>
      </c>
      <c r="AF56" s="81">
        <f t="shared" si="10"/>
        <v>0</v>
      </c>
      <c r="AG56">
        <f t="shared" si="10"/>
        <v>0</v>
      </c>
      <c r="AH56" s="81">
        <f t="shared" si="10"/>
        <v>11.047173826958728</v>
      </c>
      <c r="AI56" s="81">
        <f t="shared" si="10"/>
        <v>0</v>
      </c>
      <c r="AJ56" s="81">
        <f t="shared" si="10"/>
        <v>0</v>
      </c>
      <c r="AK56" s="81">
        <f t="shared" si="10"/>
        <v>0</v>
      </c>
      <c r="AL56">
        <f t="shared" si="10"/>
        <v>0</v>
      </c>
      <c r="AM56" s="81">
        <f t="shared" si="10"/>
        <v>10.982965839021947</v>
      </c>
      <c r="AN56" s="81">
        <f t="shared" ref="AN56:BB56" si="11">AN68/AN30</f>
        <v>0</v>
      </c>
      <c r="AO56" s="81">
        <f t="shared" si="11"/>
        <v>0</v>
      </c>
      <c r="AP56" s="81">
        <f t="shared" si="11"/>
        <v>0</v>
      </c>
      <c r="AQ56">
        <f t="shared" si="11"/>
        <v>0</v>
      </c>
      <c r="AR56" s="81">
        <f t="shared" si="11"/>
        <v>9.9850345101246525</v>
      </c>
      <c r="AS56" s="81">
        <f t="shared" si="11"/>
        <v>0</v>
      </c>
      <c r="AT56" s="81">
        <f t="shared" si="11"/>
        <v>0</v>
      </c>
      <c r="AU56" s="81">
        <f t="shared" si="11"/>
        <v>0</v>
      </c>
      <c r="AV56">
        <f t="shared" si="11"/>
        <v>0</v>
      </c>
      <c r="AW56" s="81">
        <f t="shared" si="11"/>
        <v>9.7900234452515154</v>
      </c>
      <c r="AX56" s="81">
        <f t="shared" si="11"/>
        <v>0</v>
      </c>
      <c r="AY56" s="81">
        <f t="shared" si="11"/>
        <v>0</v>
      </c>
      <c r="AZ56" s="81">
        <f t="shared" si="11"/>
        <v>0</v>
      </c>
      <c r="BA56">
        <f t="shared" si="11"/>
        <v>0</v>
      </c>
      <c r="BB56" s="81">
        <f t="shared" si="11"/>
        <v>10.060606610147335</v>
      </c>
      <c r="BC56" s="81"/>
      <c r="BD56" s="81"/>
      <c r="BE56" s="81"/>
      <c r="BG56" s="81">
        <f>BG68/BG30</f>
        <v>9.8426572845851599</v>
      </c>
      <c r="BH56" s="81"/>
      <c r="BI56" s="81"/>
      <c r="BJ56" s="81"/>
      <c r="BL56" s="81">
        <f>BL68/BL30</f>
        <v>9.3789428394439991</v>
      </c>
      <c r="BM56" s="81"/>
      <c r="BN56" s="81"/>
      <c r="BO56" s="81"/>
      <c r="BQ56" s="81">
        <f>BQ68/BQ30</f>
        <v>8.9888330202183688</v>
      </c>
      <c r="BT56" s="69"/>
      <c r="BU56" s="27" t="s">
        <v>81</v>
      </c>
      <c r="BV56" s="38"/>
      <c r="BW56" s="83"/>
      <c r="BX56" s="83"/>
      <c r="BY56" s="83"/>
      <c r="BZ56" s="83"/>
      <c r="CA56" s="83">
        <f>SUM(CA53:CA55)</f>
        <v>126.00399999999991</v>
      </c>
      <c r="CB56" s="83">
        <f t="shared" ref="CB56:DE56" si="12">SUM(CB53:CB55)</f>
        <v>0</v>
      </c>
      <c r="CC56" s="83">
        <f t="shared" si="12"/>
        <v>0</v>
      </c>
      <c r="CD56" s="83">
        <f t="shared" si="12"/>
        <v>0</v>
      </c>
      <c r="CE56" s="83">
        <f t="shared" si="12"/>
        <v>0</v>
      </c>
      <c r="CF56" s="83">
        <f t="shared" si="12"/>
        <v>-323.38499999999999</v>
      </c>
      <c r="CG56" s="83">
        <f t="shared" si="12"/>
        <v>0</v>
      </c>
      <c r="CH56" s="83">
        <f t="shared" si="12"/>
        <v>0</v>
      </c>
      <c r="CI56" s="83">
        <f t="shared" si="12"/>
        <v>0</v>
      </c>
      <c r="CJ56" s="83">
        <f t="shared" si="12"/>
        <v>0</v>
      </c>
      <c r="CK56" s="83">
        <f t="shared" si="12"/>
        <v>109.1220000000003</v>
      </c>
      <c r="CL56" s="83">
        <f t="shared" si="12"/>
        <v>0</v>
      </c>
      <c r="CM56" s="83">
        <f t="shared" si="12"/>
        <v>0</v>
      </c>
      <c r="CN56" s="83">
        <f t="shared" si="12"/>
        <v>0</v>
      </c>
      <c r="CO56" s="83">
        <f t="shared" si="12"/>
        <v>0</v>
      </c>
      <c r="CP56" s="83">
        <f t="shared" si="12"/>
        <v>-565.45299999999997</v>
      </c>
      <c r="CQ56" s="83">
        <f t="shared" si="12"/>
        <v>0</v>
      </c>
      <c r="CR56" s="83">
        <f t="shared" si="12"/>
        <v>0</v>
      </c>
      <c r="CS56" s="83">
        <f t="shared" si="12"/>
        <v>0</v>
      </c>
      <c r="CT56" s="83">
        <f t="shared" si="12"/>
        <v>0</v>
      </c>
      <c r="CU56" s="83">
        <f t="shared" si="12"/>
        <v>-811.28899999999976</v>
      </c>
      <c r="CV56" s="83">
        <f t="shared" si="12"/>
        <v>0</v>
      </c>
      <c r="CW56" s="83">
        <f t="shared" si="12"/>
        <v>0</v>
      </c>
      <c r="CX56" s="83">
        <f t="shared" si="12"/>
        <v>0</v>
      </c>
      <c r="CY56" s="83">
        <f t="shared" si="12"/>
        <v>0</v>
      </c>
      <c r="CZ56" s="83">
        <f t="shared" si="12"/>
        <v>-551.59899999999971</v>
      </c>
      <c r="DA56" s="83">
        <f t="shared" si="12"/>
        <v>0</v>
      </c>
      <c r="DB56" s="83">
        <f t="shared" si="12"/>
        <v>0</v>
      </c>
      <c r="DC56" s="83">
        <f t="shared" si="12"/>
        <v>0</v>
      </c>
      <c r="DD56" s="83">
        <f t="shared" si="12"/>
        <v>0</v>
      </c>
      <c r="DE56" s="83">
        <f t="shared" si="12"/>
        <v>-657.52</v>
      </c>
      <c r="DF56" s="83">
        <f t="shared" ref="DF56:DT56" si="13">SUM(DF53:DF55)</f>
        <v>0</v>
      </c>
      <c r="DG56" s="83">
        <f t="shared" si="13"/>
        <v>0</v>
      </c>
      <c r="DH56" s="83">
        <f t="shared" si="13"/>
        <v>0</v>
      </c>
      <c r="DI56" s="83">
        <f t="shared" si="13"/>
        <v>0</v>
      </c>
      <c r="DJ56" s="83">
        <f t="shared" si="13"/>
        <v>-203.2510000000002</v>
      </c>
      <c r="DK56" s="83">
        <f t="shared" si="13"/>
        <v>0</v>
      </c>
      <c r="DL56" s="83">
        <f t="shared" si="13"/>
        <v>0</v>
      </c>
      <c r="DM56" s="83">
        <f t="shared" si="13"/>
        <v>0</v>
      </c>
      <c r="DN56" s="83">
        <f t="shared" si="13"/>
        <v>0</v>
      </c>
      <c r="DO56" s="83">
        <f t="shared" si="13"/>
        <v>-193</v>
      </c>
      <c r="DP56" s="83">
        <f t="shared" si="13"/>
        <v>0</v>
      </c>
      <c r="DQ56" s="83">
        <f t="shared" si="13"/>
        <v>0</v>
      </c>
      <c r="DR56" s="83">
        <f t="shared" si="13"/>
        <v>0</v>
      </c>
      <c r="DS56" s="83">
        <f t="shared" si="13"/>
        <v>0</v>
      </c>
      <c r="DT56" s="83">
        <f t="shared" si="13"/>
        <v>-648.16640293943692</v>
      </c>
      <c r="DU56" s="83"/>
      <c r="DV56" s="83"/>
      <c r="DW56" s="83"/>
      <c r="DX56" s="83"/>
      <c r="DY56" s="83">
        <f>SUM(DY53:DY55)</f>
        <v>-1075.012411505279</v>
      </c>
      <c r="DZ56" s="83"/>
      <c r="EA56" s="83"/>
      <c r="EB56" s="83"/>
      <c r="EC56" s="83"/>
      <c r="ED56" s="83">
        <f>SUM(ED53:ED55)</f>
        <v>127.80772776139474</v>
      </c>
      <c r="EE56" s="83"/>
      <c r="EF56" s="83"/>
      <c r="EG56" s="83"/>
      <c r="EH56" s="83"/>
      <c r="EI56" s="83">
        <f>SUM(EI53:EI55)</f>
        <v>249.22569382145639</v>
      </c>
      <c r="EJ56" s="997"/>
    </row>
    <row r="57" spans="2:140" x14ac:dyDescent="0.2">
      <c r="C57" s="20" t="s">
        <v>35</v>
      </c>
      <c r="D57" s="10"/>
      <c r="E57" s="10"/>
      <c r="F57" s="88">
        <v>0</v>
      </c>
      <c r="G57" s="88">
        <v>1.3458344865762523E-2</v>
      </c>
      <c r="H57" s="88">
        <v>1.3873512316634374E-2</v>
      </c>
      <c r="I57" s="10"/>
      <c r="J57" s="10"/>
      <c r="K57" s="88">
        <v>1.3458344865762523E-2</v>
      </c>
      <c r="L57" s="88">
        <v>1.3873512316634374E-2</v>
      </c>
      <c r="M57" s="88">
        <v>1.4288679767506226E-2</v>
      </c>
      <c r="N57" s="88">
        <f t="shared" ref="N57:AM57" si="14">+N41</f>
        <v>2.2773739209450247E-2</v>
      </c>
      <c r="O57" s="88"/>
      <c r="P57" s="88"/>
      <c r="Q57" s="88"/>
      <c r="S57" s="88">
        <f t="shared" si="14"/>
        <v>2.3455247614720579E-2</v>
      </c>
      <c r="T57" s="88">
        <f t="shared" si="14"/>
        <v>0</v>
      </c>
      <c r="U57" s="88">
        <f t="shared" si="14"/>
        <v>0</v>
      </c>
      <c r="V57" s="88">
        <f t="shared" si="14"/>
        <v>0</v>
      </c>
      <c r="W57">
        <f t="shared" si="14"/>
        <v>0</v>
      </c>
      <c r="X57" s="88">
        <f t="shared" si="14"/>
        <v>2.4307133121308496E-2</v>
      </c>
      <c r="Y57" s="88">
        <f t="shared" si="14"/>
        <v>0</v>
      </c>
      <c r="Z57" s="88">
        <f t="shared" si="14"/>
        <v>0</v>
      </c>
      <c r="AA57" s="88">
        <f t="shared" si="14"/>
        <v>0</v>
      </c>
      <c r="AB57">
        <f t="shared" si="14"/>
        <v>0</v>
      </c>
      <c r="AC57" s="88">
        <f t="shared" si="14"/>
        <v>2.5215810995002273E-2</v>
      </c>
      <c r="AD57" s="88">
        <f t="shared" si="14"/>
        <v>0</v>
      </c>
      <c r="AE57" s="88">
        <f t="shared" si="14"/>
        <v>0</v>
      </c>
      <c r="AF57" s="88">
        <f t="shared" si="14"/>
        <v>0</v>
      </c>
      <c r="AG57">
        <f t="shared" si="14"/>
        <v>0</v>
      </c>
      <c r="AH57" s="88">
        <f t="shared" si="14"/>
        <v>2.7260336210813262E-2</v>
      </c>
      <c r="AI57" s="88">
        <f t="shared" si="14"/>
        <v>0</v>
      </c>
      <c r="AJ57" s="88">
        <f t="shared" si="14"/>
        <v>0</v>
      </c>
      <c r="AK57" s="88">
        <f t="shared" si="14"/>
        <v>0</v>
      </c>
      <c r="AL57">
        <f t="shared" si="14"/>
        <v>0</v>
      </c>
      <c r="AM57" s="88">
        <f t="shared" si="14"/>
        <v>2.9077691958200817E-2</v>
      </c>
      <c r="AN57" s="88">
        <f t="shared" ref="AN57:BB57" si="15">+AN41</f>
        <v>0</v>
      </c>
      <c r="AO57" s="88">
        <f t="shared" si="15"/>
        <v>0</v>
      </c>
      <c r="AP57" s="88">
        <f t="shared" si="15"/>
        <v>0</v>
      </c>
      <c r="AQ57">
        <f t="shared" si="15"/>
        <v>0</v>
      </c>
      <c r="AR57" s="88">
        <f t="shared" si="15"/>
        <v>3.0895047705588367E-2</v>
      </c>
      <c r="AS57" s="88">
        <f t="shared" si="15"/>
        <v>0</v>
      </c>
      <c r="AT57" s="88">
        <f t="shared" si="15"/>
        <v>0</v>
      </c>
      <c r="AU57" s="88">
        <f t="shared" si="15"/>
        <v>0</v>
      </c>
      <c r="AV57">
        <f t="shared" si="15"/>
        <v>0</v>
      </c>
      <c r="AW57" s="88">
        <f t="shared" si="15"/>
        <v>3.2712403452975915E-2</v>
      </c>
      <c r="AX57" s="88">
        <f t="shared" si="15"/>
        <v>0</v>
      </c>
      <c r="AY57" s="88">
        <f t="shared" si="15"/>
        <v>0</v>
      </c>
      <c r="AZ57" s="88">
        <f t="shared" si="15"/>
        <v>0</v>
      </c>
      <c r="BA57">
        <f t="shared" si="15"/>
        <v>0</v>
      </c>
      <c r="BB57" s="88">
        <f t="shared" si="15"/>
        <v>3.4675147660154469E-2</v>
      </c>
      <c r="BC57" s="88"/>
      <c r="BD57" s="88"/>
      <c r="BE57" s="88"/>
      <c r="BG57" s="88">
        <f>+BG41</f>
        <v>3.6755656519763744E-2</v>
      </c>
      <c r="BH57" s="88"/>
      <c r="BI57" s="88"/>
      <c r="BJ57" s="88"/>
      <c r="BL57" s="88">
        <f>+BL41</f>
        <v>3.8960995910949571E-2</v>
      </c>
      <c r="BM57" s="88"/>
      <c r="BN57" s="88"/>
      <c r="BO57" s="88"/>
      <c r="BQ57" s="88">
        <f>+BQ41</f>
        <v>4.1298655665606546E-2</v>
      </c>
      <c r="BT57" s="69"/>
      <c r="BU57" s="20"/>
      <c r="BW57" s="44"/>
      <c r="BX57" s="44"/>
      <c r="BY57" s="44"/>
      <c r="BZ57" s="44"/>
      <c r="CA57" s="42"/>
      <c r="CB57" s="44"/>
      <c r="CC57" s="44"/>
      <c r="CD57" s="44"/>
      <c r="CE57" s="44"/>
      <c r="CF57" s="42"/>
      <c r="CG57" s="44"/>
      <c r="CH57" s="44"/>
      <c r="CI57" s="44"/>
      <c r="CJ57" s="44"/>
      <c r="CK57" s="42"/>
      <c r="CL57" s="44"/>
      <c r="CM57" s="44"/>
      <c r="CN57" s="44"/>
      <c r="CO57" s="44"/>
      <c r="CP57" s="42"/>
      <c r="CQ57" s="44"/>
      <c r="CR57" s="44"/>
      <c r="CS57" s="44"/>
      <c r="CT57" s="44"/>
      <c r="CU57" s="42"/>
      <c r="CV57" s="44"/>
      <c r="CW57" s="44"/>
      <c r="CX57" s="44"/>
      <c r="CY57" s="44"/>
      <c r="CZ57" s="42"/>
      <c r="DA57" s="44"/>
      <c r="DB57" s="44"/>
      <c r="DC57" s="44"/>
      <c r="DD57" s="44"/>
      <c r="DE57" s="42"/>
      <c r="DF57" s="44"/>
      <c r="DG57" s="44"/>
      <c r="DH57" s="44"/>
      <c r="DI57" s="44"/>
      <c r="DJ57" s="42"/>
      <c r="DK57" s="44"/>
      <c r="DL57" s="44"/>
      <c r="DM57" s="44"/>
      <c r="DN57" s="44"/>
      <c r="DO57" s="42"/>
      <c r="DP57" s="44"/>
      <c r="DQ57" s="44"/>
      <c r="DR57" s="44"/>
      <c r="DS57" s="44"/>
      <c r="DT57" s="42"/>
      <c r="DU57" s="44"/>
      <c r="DV57" s="44"/>
      <c r="DW57" s="44"/>
      <c r="DX57" s="44"/>
      <c r="DY57" s="42"/>
      <c r="DZ57" s="44"/>
      <c r="EA57" s="44"/>
      <c r="EB57" s="44"/>
      <c r="EC57" s="44"/>
      <c r="ED57" s="42"/>
      <c r="EE57" s="44"/>
      <c r="EF57" s="44"/>
      <c r="EG57" s="44"/>
      <c r="EH57" s="44"/>
      <c r="EI57" s="42"/>
    </row>
    <row r="58" spans="2:140" x14ac:dyDescent="0.2">
      <c r="C58" s="20" t="s">
        <v>82</v>
      </c>
      <c r="D58" s="20"/>
      <c r="F58" s="37"/>
      <c r="G58" s="37"/>
      <c r="H58" s="37"/>
      <c r="I58" s="20"/>
      <c r="K58" s="37"/>
      <c r="L58" s="37"/>
      <c r="M58" s="37"/>
      <c r="N58" s="51">
        <f>CF17/N65</f>
        <v>16.577738847715139</v>
      </c>
      <c r="O58" s="37"/>
      <c r="P58" s="48"/>
      <c r="Q58" s="37"/>
      <c r="S58" s="51">
        <f t="shared" ref="S58:AM58" si="16">CK17/S65</f>
        <v>17.39535260554366</v>
      </c>
      <c r="T58" s="33" t="e">
        <f t="shared" si="16"/>
        <v>#DIV/0!</v>
      </c>
      <c r="U58" s="33" t="e">
        <f t="shared" si="16"/>
        <v>#DIV/0!</v>
      </c>
      <c r="V58" s="33" t="e">
        <f t="shared" si="16"/>
        <v>#DIV/0!</v>
      </c>
      <c r="W58" s="33" t="e">
        <f t="shared" si="16"/>
        <v>#DIV/0!</v>
      </c>
      <c r="X58" s="51">
        <f t="shared" si="16"/>
        <v>18.199020874512129</v>
      </c>
      <c r="Y58" s="33" t="e">
        <f t="shared" si="16"/>
        <v>#DIV/0!</v>
      </c>
      <c r="Z58" s="33" t="e">
        <f t="shared" si="16"/>
        <v>#DIV/0!</v>
      </c>
      <c r="AA58" s="33" t="e">
        <f t="shared" si="16"/>
        <v>#DIV/0!</v>
      </c>
      <c r="AB58" s="33" t="e">
        <f t="shared" si="16"/>
        <v>#DIV/0!</v>
      </c>
      <c r="AC58" s="51">
        <f t="shared" si="16"/>
        <v>19.617918994227718</v>
      </c>
      <c r="AD58" s="33" t="e">
        <f t="shared" si="16"/>
        <v>#DIV/0!</v>
      </c>
      <c r="AE58" s="33" t="e">
        <f t="shared" si="16"/>
        <v>#DIV/0!</v>
      </c>
      <c r="AF58" s="33" t="e">
        <f t="shared" si="16"/>
        <v>#DIV/0!</v>
      </c>
      <c r="AG58" s="33" t="e">
        <f t="shared" si="16"/>
        <v>#DIV/0!</v>
      </c>
      <c r="AH58" s="51">
        <f t="shared" si="16"/>
        <v>20.947933079725189</v>
      </c>
      <c r="AI58" s="33" t="e">
        <f t="shared" si="16"/>
        <v>#DIV/0!</v>
      </c>
      <c r="AJ58" s="33" t="e">
        <f t="shared" si="16"/>
        <v>#DIV/0!</v>
      </c>
      <c r="AK58" s="33" t="e">
        <f t="shared" si="16"/>
        <v>#DIV/0!</v>
      </c>
      <c r="AL58" s="33" t="e">
        <f t="shared" si="16"/>
        <v>#DIV/0!</v>
      </c>
      <c r="AM58" s="51">
        <f t="shared" si="16"/>
        <v>21.740442906798432</v>
      </c>
      <c r="AN58" s="33" t="e">
        <f>EJ17/AN65</f>
        <v>#DIV/0!</v>
      </c>
      <c r="AO58" s="33" t="e">
        <f>EK17/AO65</f>
        <v>#DIV/0!</v>
      </c>
      <c r="AP58" s="33" t="e">
        <f>EL17/AP65</f>
        <v>#DIV/0!</v>
      </c>
      <c r="AQ58" s="33" t="e">
        <f>EM17/AQ65</f>
        <v>#DIV/0!</v>
      </c>
      <c r="AR58" s="51">
        <f>DJ17/AR65</f>
        <v>22.601636317314593</v>
      </c>
      <c r="AS58" s="33" t="e">
        <f>EO17/AS65</f>
        <v>#DIV/0!</v>
      </c>
      <c r="AT58" s="33" t="e">
        <f>EP17/AT65</f>
        <v>#DIV/0!</v>
      </c>
      <c r="AU58" s="33" t="e">
        <f>EQ17/AU65</f>
        <v>#DIV/0!</v>
      </c>
      <c r="AV58" s="33" t="e">
        <f>ER17/AV65</f>
        <v>#DIV/0!</v>
      </c>
      <c r="AW58" s="51">
        <f>DO17/AW65</f>
        <v>23.491996307620102</v>
      </c>
      <c r="AX58" s="33" t="e">
        <f>ET17/AX65</f>
        <v>#DIV/0!</v>
      </c>
      <c r="AY58" s="33" t="e">
        <f>EU17/AY65</f>
        <v>#DIV/0!</v>
      </c>
      <c r="AZ58" s="33" t="e">
        <f>EV17/AZ65</f>
        <v>#DIV/0!</v>
      </c>
      <c r="BA58" s="33" t="e">
        <f>EW17/BA65</f>
        <v>#DIV/0!</v>
      </c>
      <c r="BB58" s="51">
        <f>DT17/BB65</f>
        <v>24.591301232003506</v>
      </c>
      <c r="BC58" s="33"/>
      <c r="BD58" s="33"/>
      <c r="BE58" s="33"/>
      <c r="BF58" s="33"/>
      <c r="BG58" s="51">
        <f>EN17/BG65</f>
        <v>0</v>
      </c>
      <c r="BH58" s="33"/>
      <c r="BI58" s="33"/>
      <c r="BJ58" s="33"/>
      <c r="BK58" s="33"/>
      <c r="BL58" s="51">
        <f>ES17/BL65</f>
        <v>0</v>
      </c>
      <c r="BM58" s="33"/>
      <c r="BN58" s="33"/>
      <c r="BO58" s="33"/>
      <c r="BP58" s="33"/>
      <c r="BQ58" s="51">
        <f>EX17/BQ65</f>
        <v>0</v>
      </c>
      <c r="BU58" s="646" t="s">
        <v>446</v>
      </c>
      <c r="CA58" s="42">
        <f>SUM(XEL!I143+XEL!I144)</f>
        <v>52.222000000000094</v>
      </c>
      <c r="CF58" s="42">
        <f>SUM(XEL!N143+XEL!N144)</f>
        <v>-589.39700000000005</v>
      </c>
      <c r="CK58" s="42">
        <f>SUM(XEL!S143+XEL!S144)</f>
        <v>48.598999999999961</v>
      </c>
      <c r="CP58" s="42">
        <f>SUM(XEL!X143+XEL!X144)</f>
        <v>237.267</v>
      </c>
      <c r="CU58" s="42">
        <f>SUM(XEL!AC143+XEL!AC144)</f>
        <v>181.9409999999998</v>
      </c>
      <c r="CZ58" s="42">
        <f>SUM(XEL!AH143+XEL!AH144)</f>
        <v>82.539999999999992</v>
      </c>
      <c r="DE58" s="42">
        <f>SUM(XEL!AM143+XEL!AM144)</f>
        <v>60.58500000000015</v>
      </c>
      <c r="DJ58" s="42">
        <f>SUM(XEL!AR143+XEL!AR144)</f>
        <v>-5.8629999999999711</v>
      </c>
      <c r="DO58" s="42">
        <f>SUM(XEL!AW143+XEL!AW144)</f>
        <v>23</v>
      </c>
      <c r="DT58" s="42">
        <f>SUM(XEL!BB143+XEL!BB144)</f>
        <v>86.274599237047184</v>
      </c>
      <c r="DY58" s="42">
        <f>SUM(XEL!BG143+XEL!BG144)</f>
        <v>100.16773381490501</v>
      </c>
      <c r="ED58" s="42">
        <f>SUM(XEL!BL143+XEL!BL144)</f>
        <v>78.196405898144306</v>
      </c>
      <c r="EI58" s="42">
        <f>SUM(XEL!BQ143+XEL!BQ144)</f>
        <v>82.630263155979804</v>
      </c>
    </row>
    <row r="59" spans="2:140" x14ac:dyDescent="0.2">
      <c r="AI59" s="35" t="e">
        <f>CE28/AVERAGE(EM15:ER15)</f>
        <v>#DIV/0!</v>
      </c>
      <c r="AJ59" s="35" t="e">
        <f>CJ28/AVERAGE(ER15:EW15)</f>
        <v>#DIV/0!</v>
      </c>
      <c r="AK59" s="35" t="e">
        <f>CO28/AVERAGE(EW15:FB15)</f>
        <v>#DIV/0!</v>
      </c>
      <c r="AN59" s="35" t="e">
        <f>CJ28/AVERAGE(ER15:EW15)</f>
        <v>#DIV/0!</v>
      </c>
      <c r="AO59" s="35" t="e">
        <f>CO28/AVERAGE(EW15:FB15)</f>
        <v>#DIV/0!</v>
      </c>
      <c r="AP59" s="35" t="e">
        <f>CT28/AVERAGE(FB15:FG15)</f>
        <v>#DIV/0!</v>
      </c>
      <c r="AS59" s="35" t="e">
        <f>CO28/AVERAGE(EW15:FB15)</f>
        <v>#DIV/0!</v>
      </c>
      <c r="AT59" s="35" t="e">
        <f>CT28/AVERAGE(FB15:FG15)</f>
        <v>#DIV/0!</v>
      </c>
      <c r="AU59" s="35" t="e">
        <f>CY28/AVERAGE(FG15:FL15)</f>
        <v>#DIV/0!</v>
      </c>
      <c r="AX59" s="35" t="e">
        <f>CT28/AVERAGE(FB15:FG15)</f>
        <v>#DIV/0!</v>
      </c>
      <c r="AY59" s="35" t="e">
        <f>CY28/AVERAGE(FG15:FL15)</f>
        <v>#DIV/0!</v>
      </c>
      <c r="AZ59" s="35" t="e">
        <f>DD28/AVERAGE(FL15:FQ15)</f>
        <v>#DIV/0!</v>
      </c>
      <c r="BC59" s="35"/>
      <c r="BD59" s="35"/>
      <c r="BE59" s="35"/>
      <c r="BH59" s="35"/>
      <c r="BI59" s="35"/>
      <c r="BJ59" s="35"/>
      <c r="BM59" s="35"/>
      <c r="BN59" s="35"/>
      <c r="BO59" s="35"/>
      <c r="BT59" s="69"/>
      <c r="BU59" s="20" t="s">
        <v>83</v>
      </c>
      <c r="BW59" s="44"/>
      <c r="BX59" s="44"/>
      <c r="BY59" s="44"/>
      <c r="BZ59" s="44"/>
      <c r="CA59" s="42">
        <f>+-XEL!I151</f>
        <v>414.92200000000003</v>
      </c>
      <c r="CB59" s="42">
        <f>+-XEL!J151</f>
        <v>105.965</v>
      </c>
      <c r="CC59" s="42">
        <f>+-XEL!K151</f>
        <v>106.422</v>
      </c>
      <c r="CD59" s="42">
        <f>+-XEL!L151</f>
        <v>109.80000000000001</v>
      </c>
      <c r="CE59" s="42">
        <f>+-XEL!M151</f>
        <v>109.923</v>
      </c>
      <c r="CF59" s="42">
        <f>+-XEL!N151</f>
        <v>432.11</v>
      </c>
      <c r="CG59" s="42">
        <f>+-XEL!O151</f>
        <v>115.621</v>
      </c>
      <c r="CH59" s="42">
        <f>+-XEL!P151</f>
        <v>116.09400000000001</v>
      </c>
      <c r="CI59" s="42">
        <f>+-XEL!Q151</f>
        <v>119.655</v>
      </c>
      <c r="CJ59" s="42">
        <f>+-XEL!R151</f>
        <v>123.38999999999999</v>
      </c>
      <c r="CK59" s="42">
        <f>+-XEL!S151</f>
        <v>474.76</v>
      </c>
      <c r="CL59" s="42">
        <f>+-XEL!T151</f>
        <v>119.16200000000001</v>
      </c>
      <c r="CM59" s="42">
        <f>+-XEL!U151</f>
        <v>119.34799999999998</v>
      </c>
      <c r="CN59" s="42">
        <f>+-XEL!V151</f>
        <v>124.05799999999999</v>
      </c>
      <c r="CO59" s="42">
        <f>+-XEL!W151</f>
        <v>124.18900000000002</v>
      </c>
      <c r="CP59" s="42">
        <f>+-XEL!X151</f>
        <v>486.75700000000001</v>
      </c>
      <c r="CQ59" s="42">
        <f>+-XEL!Y151</f>
        <v>124.426</v>
      </c>
      <c r="CR59" s="42">
        <f>+-XEL!Z151</f>
        <v>125.96599999999999</v>
      </c>
      <c r="CS59" s="42">
        <f>+-XEL!AA151</f>
        <v>131.75600000000003</v>
      </c>
      <c r="CT59" s="42">
        <f>+-XEL!AB151</f>
        <v>131.89400000000001</v>
      </c>
      <c r="CU59" s="42">
        <f>+-XEL!AC151</f>
        <v>514.04200000000003</v>
      </c>
      <c r="CV59" s="42">
        <f>+-XEL!AD151</f>
        <v>132.03299999999999</v>
      </c>
      <c r="CW59" s="42">
        <f>+-XEL!AE151</f>
        <v>142.328</v>
      </c>
      <c r="CX59" s="42">
        <f>+-XEL!AF151</f>
        <v>143.22500000000002</v>
      </c>
      <c r="CY59" s="42">
        <f>+-XEL!AG151</f>
        <v>143.82499999999993</v>
      </c>
      <c r="CZ59" s="42">
        <f>+-XEL!AH151</f>
        <v>561.41099999999994</v>
      </c>
      <c r="DA59" s="42">
        <f>+-XEL!AI151</f>
        <v>144.02500000000001</v>
      </c>
      <c r="DB59" s="42">
        <f>+-XEL!AJ151</f>
        <v>153.99699999999999</v>
      </c>
      <c r="DC59" s="42">
        <f>+-XEL!AK151</f>
        <v>154.19499999999999</v>
      </c>
      <c r="DD59" s="42">
        <f>+-XEL!AL151</f>
        <v>154.35699999999997</v>
      </c>
      <c r="DE59" s="42">
        <f>+-XEL!AM151</f>
        <v>606.57399999999996</v>
      </c>
      <c r="DF59" s="42">
        <f>+-XEL!AN151</f>
        <v>162.41</v>
      </c>
      <c r="DG59" s="42">
        <f>+-XEL!AO151</f>
        <v>173.49199999999999</v>
      </c>
      <c r="DH59" s="42">
        <f>+-XEL!AP151</f>
        <v>174.72500000000002</v>
      </c>
      <c r="DI59" s="42">
        <f>+-XEL!AQ151</f>
        <v>169.89399999999995</v>
      </c>
      <c r="DJ59" s="42">
        <f>+-XEL!AR151</f>
        <v>680.52099999999996</v>
      </c>
      <c r="DK59" s="42">
        <f>+-XEL!AS151</f>
        <v>172.45599999999999</v>
      </c>
      <c r="DL59" s="42">
        <f>+-XEL!AT151</f>
        <v>182.79400000000001</v>
      </c>
      <c r="DM59" s="42">
        <f>+-XEL!AU151</f>
        <v>182.79499999999996</v>
      </c>
      <c r="DN59" s="42">
        <f>+-XEL!AV151</f>
        <v>182.95500000000004</v>
      </c>
      <c r="DO59" s="42">
        <f>+-XEL!AW151</f>
        <v>721</v>
      </c>
      <c r="DP59" s="42">
        <f>+-XEL!AX151</f>
        <v>193.96103458685724</v>
      </c>
      <c r="DQ59" s="42">
        <f>+-XEL!AY151</f>
        <v>194.12790873497173</v>
      </c>
      <c r="DR59" s="42">
        <f>+-XEL!AZ151</f>
        <v>194.29478288308624</v>
      </c>
      <c r="DS59" s="42">
        <f>+-XEL!BA151</f>
        <v>194.46165703120073</v>
      </c>
      <c r="DT59" s="42">
        <f>+-XEL!BB151</f>
        <v>776.84538323611594</v>
      </c>
      <c r="DU59" s="42"/>
      <c r="DV59" s="42"/>
      <c r="DW59" s="42"/>
      <c r="DX59" s="42"/>
      <c r="DY59" s="42">
        <f>+-XEL!BG151</f>
        <v>826.28629178230472</v>
      </c>
      <c r="DZ59" s="42"/>
      <c r="EA59" s="42"/>
      <c r="EB59" s="42"/>
      <c r="EC59" s="42"/>
      <c r="ED59" s="42">
        <f>+-XEL!BL151</f>
        <v>878.86346597438614</v>
      </c>
      <c r="EE59" s="42"/>
      <c r="EF59" s="42"/>
      <c r="EG59" s="42"/>
      <c r="EH59" s="42"/>
      <c r="EI59" s="42">
        <f>+-XEL!BQ151</f>
        <v>934.77527041910128</v>
      </c>
    </row>
    <row r="60" spans="2:140" x14ac:dyDescent="0.2">
      <c r="C60" s="20" t="s">
        <v>84</v>
      </c>
      <c r="D60" s="20"/>
      <c r="F60" s="37"/>
      <c r="G60" s="35">
        <f>I30/AVERAGE(BR17:CA17)</f>
        <v>0.32907653113413038</v>
      </c>
      <c r="H60" s="35">
        <f>N30/AVERAGE(CA17:CF17)</f>
        <v>0.33788428064620518</v>
      </c>
      <c r="I60" s="20"/>
      <c r="K60" s="37"/>
      <c r="L60" s="35">
        <f>N30/AVERAGE(CA17:CF17)</f>
        <v>0.33788428064620518</v>
      </c>
      <c r="M60" s="35">
        <f>S30/AVERAGE(CF17:CK17)</f>
        <v>0.33360777562480382</v>
      </c>
      <c r="N60" s="35">
        <f>(N15*N47)/AVERAGE(CA17,CF17)</f>
        <v>9.7315869496011134E-2</v>
      </c>
      <c r="O60" s="35"/>
      <c r="P60" s="35"/>
      <c r="Q60" s="35"/>
      <c r="S60" s="35">
        <f t="shared" ref="S60:AM60" si="17">(S15*S47)/AVERAGE(CF17,CK17)</f>
        <v>0.10075990070336216</v>
      </c>
      <c r="T60" s="35" t="e">
        <f t="shared" si="17"/>
        <v>#DIV/0!</v>
      </c>
      <c r="U60" s="35" t="e">
        <f t="shared" si="17"/>
        <v>#DIV/0!</v>
      </c>
      <c r="V60" s="35" t="e">
        <f t="shared" si="17"/>
        <v>#DIV/0!</v>
      </c>
      <c r="W60" t="e">
        <f t="shared" si="17"/>
        <v>#DIV/0!</v>
      </c>
      <c r="X60" s="35">
        <f t="shared" si="17"/>
        <v>0.1023554881447776</v>
      </c>
      <c r="Y60" s="35" t="e">
        <f t="shared" si="17"/>
        <v>#DIV/0!</v>
      </c>
      <c r="Z60" s="35" t="e">
        <f t="shared" si="17"/>
        <v>#DIV/0!</v>
      </c>
      <c r="AA60" s="35" t="e">
        <f t="shared" si="17"/>
        <v>#DIV/0!</v>
      </c>
      <c r="AB60" t="e">
        <f t="shared" si="17"/>
        <v>#DIV/0!</v>
      </c>
      <c r="AC60" s="35">
        <f t="shared" si="17"/>
        <v>0.10503509566444787</v>
      </c>
      <c r="AD60" s="35" t="e">
        <f t="shared" si="17"/>
        <v>#DIV/0!</v>
      </c>
      <c r="AE60" s="35" t="e">
        <f t="shared" si="17"/>
        <v>#DIV/0!</v>
      </c>
      <c r="AF60" s="35" t="e">
        <f t="shared" si="17"/>
        <v>#DIV/0!</v>
      </c>
      <c r="AG60" t="e">
        <f t="shared" si="17"/>
        <v>#DIV/0!</v>
      </c>
      <c r="AH60" s="35">
        <f t="shared" si="17"/>
        <v>0.10326427653349528</v>
      </c>
      <c r="AI60" s="35" t="e">
        <f t="shared" si="17"/>
        <v>#DIV/0!</v>
      </c>
      <c r="AJ60" s="35" t="e">
        <f t="shared" si="17"/>
        <v>#DIV/0!</v>
      </c>
      <c r="AK60" s="35" t="e">
        <f t="shared" si="17"/>
        <v>#DIV/0!</v>
      </c>
      <c r="AL60" t="e">
        <f t="shared" si="17"/>
        <v>#DIV/0!</v>
      </c>
      <c r="AM60" s="35">
        <f t="shared" si="17"/>
        <v>0.10219692129894965</v>
      </c>
      <c r="AN60" s="35" t="e">
        <f>(AN15*AN47)/AVERAGE(DA17,EJ17)</f>
        <v>#DIV/0!</v>
      </c>
      <c r="AO60" s="35" t="e">
        <f>(AO15*AO47)/AVERAGE(DB17,EK17)</f>
        <v>#DIV/0!</v>
      </c>
      <c r="AP60" s="35" t="e">
        <f>(AP15*AP47)/AVERAGE(DC17,EL17)</f>
        <v>#DIV/0!</v>
      </c>
      <c r="AQ60" t="e">
        <f>(AQ15*AQ47)/AVERAGE(DD17,EM17)</f>
        <v>#DIV/0!</v>
      </c>
      <c r="AR60" s="35">
        <f>(AR15*AR47)/AVERAGE(DE17,DJ17)</f>
        <v>0.10391184921085804</v>
      </c>
      <c r="AS60" s="35" t="e">
        <f>(AS15*AS47)/AVERAGE(DF17,EO17)</f>
        <v>#DIV/0!</v>
      </c>
      <c r="AT60" s="35" t="e">
        <f>(AT15*AT47)/AVERAGE(DG17,EP17)</f>
        <v>#DIV/0!</v>
      </c>
      <c r="AU60" s="35" t="e">
        <f>(AU15*AU47)/AVERAGE(DH17,EQ17)</f>
        <v>#DIV/0!</v>
      </c>
      <c r="AV60" t="e">
        <f>(AV15*AV47)/AVERAGE(DI17,ER17)</f>
        <v>#DIV/0!</v>
      </c>
      <c r="AW60" s="35">
        <f>(AW15*AW47)/AVERAGE(DJ17,DO17)</f>
        <v>0.10420073564295615</v>
      </c>
      <c r="AX60" s="35" t="e">
        <f>(AX15*AX47)/AVERAGE(DK17,ET17)</f>
        <v>#DIV/0!</v>
      </c>
      <c r="AY60" s="35" t="e">
        <f>(AY15*AY47)/AVERAGE(DL17,EU17)</f>
        <v>#DIV/0!</v>
      </c>
      <c r="AZ60" s="35" t="e">
        <f>(AZ15*AZ47)/AVERAGE(DM17,EV17)</f>
        <v>#DIV/0!</v>
      </c>
      <c r="BA60" t="e">
        <f>(BA15*BA47)/AVERAGE(DN17,EW17)</f>
        <v>#DIV/0!</v>
      </c>
      <c r="BB60" s="35">
        <f>(BB15*BB47)/AVERAGE(DO17,DT17)</f>
        <v>0.10542342121336255</v>
      </c>
      <c r="BC60" s="35"/>
      <c r="BD60" s="35"/>
      <c r="BE60" s="35"/>
      <c r="BG60" s="35">
        <f>(BG15*BG47)/AVERAGE(DT17,EN17)</f>
        <v>0.11130886459653873</v>
      </c>
      <c r="BH60" s="35"/>
      <c r="BI60" s="35"/>
      <c r="BJ60" s="35"/>
      <c r="BL60" s="35">
        <f>(BL15*BL47)/AVERAGE(DY17,ES17)</f>
        <v>0.11096231700439554</v>
      </c>
      <c r="BM60" s="35"/>
      <c r="BN60" s="35"/>
      <c r="BO60" s="35"/>
      <c r="BQ60" s="35">
        <f>(BQ15*BQ47)/AVERAGE(ED17,EX17)</f>
        <v>0.11331874523523698</v>
      </c>
      <c r="BT60" s="69"/>
      <c r="BU60" s="73" t="s">
        <v>85</v>
      </c>
      <c r="BV60" s="38"/>
      <c r="BW60" s="83">
        <f>+BW56+BW57-BW59</f>
        <v>0</v>
      </c>
      <c r="BX60" s="83">
        <f>+BX56+BX57-BX59</f>
        <v>0</v>
      </c>
      <c r="BY60" s="83">
        <f>+BY56+BY57-BY59</f>
        <v>0</v>
      </c>
      <c r="BZ60" s="83">
        <f>+BZ56+BZ57-BZ59</f>
        <v>0</v>
      </c>
      <c r="CA60" s="83">
        <f>+CA56+CA58-CA59</f>
        <v>-236.69600000000003</v>
      </c>
      <c r="CB60" s="83">
        <f>+CB56+CB57-CB59</f>
        <v>-105.965</v>
      </c>
      <c r="CC60" s="83">
        <f>+CC56+CC57-CC59</f>
        <v>-106.422</v>
      </c>
      <c r="CD60" s="83">
        <f>+CD56+CD57-CD59</f>
        <v>-109.80000000000001</v>
      </c>
      <c r="CE60" s="83">
        <f>+CE56+CE57-CE59</f>
        <v>-109.923</v>
      </c>
      <c r="CF60" s="83">
        <f>+CF56+CF58-CF59</f>
        <v>-1344.8920000000001</v>
      </c>
      <c r="CG60" s="83">
        <f>+CG56+CG57-CG59</f>
        <v>-115.621</v>
      </c>
      <c r="CH60" s="83">
        <f>+CH56+CH57-CH59</f>
        <v>-116.09400000000001</v>
      </c>
      <c r="CI60" s="83">
        <f>+CI56+CI57-CI59</f>
        <v>-119.655</v>
      </c>
      <c r="CJ60" s="83">
        <f>+CJ56+CJ57-CJ59</f>
        <v>-123.38999999999999</v>
      </c>
      <c r="CK60" s="83">
        <f>+CK56+CK58-CK59</f>
        <v>-317.03899999999976</v>
      </c>
      <c r="CL60" s="83">
        <f>+CL56+CL57-CL59</f>
        <v>-119.16200000000001</v>
      </c>
      <c r="CM60" s="83">
        <f>+CM56+CM57-CM59</f>
        <v>-119.34799999999998</v>
      </c>
      <c r="CN60" s="83">
        <f>+CN56+CN57-CN59</f>
        <v>-124.05799999999999</v>
      </c>
      <c r="CO60" s="83">
        <f>+CO56+CO57-CO59</f>
        <v>-124.18900000000002</v>
      </c>
      <c r="CP60" s="83">
        <f>+CP56+CP58-CP59</f>
        <v>-814.94299999999998</v>
      </c>
      <c r="CQ60" s="83">
        <f>+CQ56+CQ57-CQ59</f>
        <v>-124.426</v>
      </c>
      <c r="CR60" s="83">
        <f>+CR56+CR57-CR59</f>
        <v>-125.96599999999999</v>
      </c>
      <c r="CS60" s="83">
        <f>+CS56+CS57-CS59</f>
        <v>-131.75600000000003</v>
      </c>
      <c r="CT60" s="83">
        <f>+CT56+CT57-CT59</f>
        <v>-131.89400000000001</v>
      </c>
      <c r="CU60" s="83">
        <f>+CU56+CU58-CU59</f>
        <v>-1143.3899999999999</v>
      </c>
      <c r="CV60" s="83">
        <f>+CV56+CV57-CV59</f>
        <v>-132.03299999999999</v>
      </c>
      <c r="CW60" s="83">
        <f>+CW56+CW57-CW59</f>
        <v>-142.328</v>
      </c>
      <c r="CX60" s="83">
        <f>+CX56+CX57-CX59</f>
        <v>-143.22500000000002</v>
      </c>
      <c r="CY60" s="83">
        <f>+CY56+CY57-CY59</f>
        <v>-143.82499999999993</v>
      </c>
      <c r="CZ60" s="83">
        <f>+CZ56+CZ58-CZ59</f>
        <v>-1030.4699999999998</v>
      </c>
      <c r="DA60" s="83">
        <f>+DA56+DA57-DA59</f>
        <v>-144.02500000000001</v>
      </c>
      <c r="DB60" s="83">
        <f>+DB56+DB57-DB59</f>
        <v>-153.99699999999999</v>
      </c>
      <c r="DC60" s="83">
        <f>+DC56+DC57-DC59</f>
        <v>-154.19499999999999</v>
      </c>
      <c r="DD60" s="83">
        <f>+DD56+DD57-DD59</f>
        <v>-154.35699999999997</v>
      </c>
      <c r="DE60" s="83">
        <f>+DE56+DE58-DE59</f>
        <v>-1203.5089999999998</v>
      </c>
      <c r="DF60" s="83">
        <f>+DF56+DF57-DF59</f>
        <v>-162.41</v>
      </c>
      <c r="DG60" s="83">
        <f>+DG56+DG57-DG59</f>
        <v>-173.49199999999999</v>
      </c>
      <c r="DH60" s="83">
        <f>+DH56+DH57-DH59</f>
        <v>-174.72500000000002</v>
      </c>
      <c r="DI60" s="83">
        <f>+DI56+DI57-DI59</f>
        <v>-169.89399999999995</v>
      </c>
      <c r="DJ60" s="83">
        <f>+DJ56+DJ58-DJ59</f>
        <v>-889.6350000000001</v>
      </c>
      <c r="DK60" s="83">
        <f>+DK56+DK57-DK59</f>
        <v>-172.45599999999999</v>
      </c>
      <c r="DL60" s="83">
        <f>+DL56+DL57-DL59</f>
        <v>-182.79400000000001</v>
      </c>
      <c r="DM60" s="83">
        <f>+DM56+DM57-DM59</f>
        <v>-182.79499999999996</v>
      </c>
      <c r="DN60" s="83">
        <f>+DN56+DN57-DN59</f>
        <v>-182.95500000000004</v>
      </c>
      <c r="DO60" s="83">
        <f>+DO56+DO58-DO59</f>
        <v>-891</v>
      </c>
      <c r="DP60" s="83">
        <f>+DP56+DP57-DP59</f>
        <v>-193.96103458685724</v>
      </c>
      <c r="DQ60" s="83">
        <f>+DQ56+DQ57-DQ59</f>
        <v>-194.12790873497173</v>
      </c>
      <c r="DR60" s="83">
        <f>+DR56+DR57-DR59</f>
        <v>-194.29478288308624</v>
      </c>
      <c r="DS60" s="83">
        <f>+DS56+DS57-DS59</f>
        <v>-194.46165703120073</v>
      </c>
      <c r="DT60" s="83">
        <f>+DT56+DT58-DT59</f>
        <v>-1338.7371869385056</v>
      </c>
      <c r="DU60" s="83"/>
      <c r="DV60" s="83"/>
      <c r="DW60" s="83"/>
      <c r="DX60" s="83"/>
      <c r="DY60" s="83">
        <f>+DY56+DY58-DY59</f>
        <v>-1801.1309694726788</v>
      </c>
      <c r="DZ60" s="83"/>
      <c r="EA60" s="83"/>
      <c r="EB60" s="83"/>
      <c r="EC60" s="83"/>
      <c r="ED60" s="83">
        <f>+ED56+ED58-ED59</f>
        <v>-672.85933231484705</v>
      </c>
      <c r="EE60" s="83"/>
      <c r="EF60" s="83"/>
      <c r="EG60" s="83"/>
      <c r="EH60" s="83"/>
      <c r="EI60" s="83">
        <f>+EI56+EI58-EI59</f>
        <v>-602.91931344166505</v>
      </c>
      <c r="EJ60" s="997"/>
    </row>
    <row r="61" spans="2:140" x14ac:dyDescent="0.2">
      <c r="C61" s="20" t="s">
        <v>86</v>
      </c>
      <c r="N61" s="35">
        <f>(XEL!N39*(1-XEL!N117))/AVERAGE((XEL!N185-XEL!N166-XEL!N189-XEL!N190),(XEL!I185-XEL!I166-XEL!I189-XEL!I190))</f>
        <v>4.5445167025514197E-2</v>
      </c>
      <c r="S61" s="35">
        <f>(XEL!S39*(1-XEL!S117))/AVERAGE((XEL!S185-XEL!S166-XEL!S189-XEL!S190),(XEL!N185-XEL!N166-XEL!N189-XEL!N190))</f>
        <v>4.5923734971833496E-2</v>
      </c>
      <c r="T61">
        <f>(XEL!T39*(1-XEL!T117))/AVERAGE((XEL!T185-XEL!T166-XEL!T189-XEL!T190),(XEL!O185-XEL!O166-XEL!O189-XEL!O190))</f>
        <v>1.0866313163762215E-2</v>
      </c>
      <c r="U61">
        <f>(XEL!U39*(1-XEL!U117))/AVERAGE((XEL!U185-XEL!U166-XEL!U189-XEL!U190),(XEL!P185-XEL!P166-XEL!P189-XEL!P190))</f>
        <v>1.0272501061458788E-2</v>
      </c>
      <c r="V61">
        <f>(XEL!V39*(1-XEL!V117))/AVERAGE((XEL!V185-XEL!V166-XEL!V189-XEL!V190),(XEL!Q185-XEL!Q166-XEL!Q189-XEL!Q190))</f>
        <v>1.8088884642004682E-2</v>
      </c>
      <c r="W61">
        <f>(XEL!W39*(1-XEL!W117))/AVERAGE((XEL!W185-XEL!W166-XEL!W189-XEL!W190),(XEL!R185-XEL!R166-XEL!R189-XEL!R190))</f>
        <v>8.1717513610845491E-3</v>
      </c>
      <c r="X61" s="35">
        <f>(XEL!X39*(1-XEL!X117))/AVERAGE((XEL!X185-XEL!X166-XEL!X189-XEL!X190),(XEL!S185-XEL!S166-XEL!S189-XEL!S190))</f>
        <v>4.5746442623952881E-2</v>
      </c>
      <c r="Y61">
        <f>(XEL!Y39*(1-XEL!Y117))/AVERAGE((XEL!Y185-XEL!Y166-XEL!Y189-XEL!Y190),(XEL!T185-XEL!T166-XEL!T189-XEL!T190))</f>
        <v>1.1426357167505619E-2</v>
      </c>
      <c r="Z61">
        <f>(XEL!Z39*(1-XEL!Z117))/AVERAGE((XEL!Z185-XEL!Z166-XEL!Z189-XEL!Z190),(XEL!U185-XEL!U166-XEL!U189-XEL!U190))</f>
        <v>9.9456536183696476E-3</v>
      </c>
      <c r="AA61">
        <f>(XEL!AA39*(1-XEL!AA117))/AVERAGE((XEL!AA185-XEL!AA166-XEL!AA189-XEL!AA190),(XEL!V185-XEL!V166-XEL!V189-XEL!V190))</f>
        <v>1.5334672516443982E-2</v>
      </c>
      <c r="AB61">
        <f>(XEL!AB39*(1-XEL!AB117))/AVERAGE((XEL!AB185-XEL!AB166-XEL!AB189-XEL!AB190),(XEL!W185-XEL!W166-XEL!W189-XEL!W190))</f>
        <v>7.9710408119327524E-3</v>
      </c>
      <c r="AC61" s="35">
        <f>(XEL!AC39*(1-XEL!AC117))/AVERAGE((XEL!AC185-XEL!AC166-XEL!AC189-XEL!AC190),(XEL!X185-XEL!X166-XEL!X189-XEL!X190))</f>
        <v>4.3316753788282626E-2</v>
      </c>
      <c r="AD61">
        <f>(XEL!AD39*(1-XEL!AD117))/AVERAGE((XEL!AD185-XEL!AD166-XEL!AD189-XEL!AD190),(XEL!Y185-XEL!Y166-XEL!Y189-XEL!Y190))</f>
        <v>1.1354590906684758E-2</v>
      </c>
      <c r="AE61">
        <f>(XEL!AE39*(1-XEL!AE117))/AVERAGE((XEL!AE185-XEL!AE166-XEL!AE189-XEL!AE190),(XEL!Z185-XEL!Z166-XEL!Z189-XEL!Z190))</f>
        <v>8.9432813607728777E-3</v>
      </c>
      <c r="AF61">
        <f>(XEL!AF39*(1-XEL!AF117))/AVERAGE((XEL!AF185-XEL!AF166-XEL!AF189-XEL!AF190),(XEL!AA185-XEL!AA166-XEL!AA189-XEL!AA190))</f>
        <v>1.435442319044032E-2</v>
      </c>
      <c r="AG61">
        <f>(XEL!AG39*(1-XEL!AG117))/AVERAGE((XEL!AG185-XEL!AG166-XEL!AG189-XEL!AG190),(XEL!AB185-XEL!AB166-XEL!AB189-XEL!AB190))</f>
        <v>8.8968991798079513E-3</v>
      </c>
      <c r="AH61" s="35">
        <f>(XEL!AH39*(1-XEL!AH117))/AVERAGE((XEL!AH185-XEL!AH166-XEL!AH189-XEL!AH190),(XEL!AC185-XEL!AC166-XEL!AC189-XEL!AC190))</f>
        <v>4.1988864214035172E-2</v>
      </c>
      <c r="AI61">
        <f>(XEL!AI39*(1-XEL!AI117))/AVERAGE((XEL!AI185-XEL!AI166-XEL!AI189-XEL!AI190),(XEL!AD185-XEL!AD166-XEL!AD189-XEL!AD190))</f>
        <v>7.33964406978277E-3</v>
      </c>
      <c r="AJ61">
        <f>(XEL!AJ39*(1-XEL!AJ117))/AVERAGE((XEL!AJ185-XEL!AJ166-XEL!AJ189-XEL!AJ190),(XEL!AE185-XEL!AE166-XEL!AE189-XEL!AE190))</f>
        <v>8.5112924351965682E-3</v>
      </c>
      <c r="AK61">
        <f>(XEL!AK39*(1-XEL!AK117))/AVERAGE((XEL!AK185-XEL!AK166-XEL!AK189-XEL!AK190),(XEL!AF185-XEL!AF166-XEL!AF189-XEL!AF190))</f>
        <v>1.5337700283186454E-2</v>
      </c>
      <c r="AL61">
        <f>(XEL!AL39*(1-XEL!AL117))/AVERAGE((XEL!AL185-XEL!AL166-XEL!AL189-XEL!AL190),(XEL!AG185-XEL!AG166-XEL!AG189-XEL!AG190))</f>
        <v>8.6530530785967636E-3</v>
      </c>
      <c r="AM61" s="35">
        <f>(XEL!AM39*(1-XEL!AM117))/AVERAGE((XEL!AM185-XEL!AM166-XEL!AM189-XEL!AM190),(XEL!AH185-XEL!AH166-XEL!AH189-XEL!AH190))</f>
        <v>3.8332523673394028E-2</v>
      </c>
      <c r="AN61">
        <f>(XEL!AN39*(1-XEL!AN117))/AVERAGE((XEL!AN185-XEL!AN166-XEL!AN189-XEL!AN190),(XEL!AI185-XEL!AI166-XEL!AI189-XEL!AI190))</f>
        <v>9.5866182233647328E-3</v>
      </c>
      <c r="AO61">
        <f>(XEL!AO39*(1-XEL!AO117))/AVERAGE((XEL!AO185-XEL!AO166-XEL!AO189-XEL!AO190),(XEL!AJ185-XEL!AJ166-XEL!AJ189-XEL!AJ190))</f>
        <v>8.3242239980514544E-3</v>
      </c>
      <c r="AP61">
        <f>(XEL!AP39*(1-XEL!AP117))/AVERAGE((XEL!AP185-XEL!AP166-XEL!AP189-XEL!AP190),(XEL!AK185-XEL!AK166-XEL!AK189-XEL!AK190))</f>
        <v>1.5467754336009314E-2</v>
      </c>
      <c r="AQ61">
        <f>(XEL!AQ39*(1-XEL!AQ117))/AVERAGE((XEL!AQ185-XEL!AQ166-XEL!AQ189-XEL!AQ190),(XEL!AL185-XEL!AL166-XEL!AL189-XEL!AL190))</f>
        <v>8.8642645074518741E-3</v>
      </c>
      <c r="AR61" s="35">
        <f>(XEL!AR39*(1-XEL!AR117))/AVERAGE((XEL!AR185-XEL!AR166-XEL!AR189-XEL!AR190),(XEL!AM185-XEL!AM166-XEL!AM189-XEL!AM190))</f>
        <v>4.0913549826246842E-2</v>
      </c>
      <c r="AS61">
        <f>(XEL!AS39*(1-XEL!AS117))/AVERAGE((XEL!AS185-XEL!AS166-XEL!AS189-XEL!AS190),(XEL!AN185-XEL!AN166-XEL!AN189-XEL!AN190))</f>
        <v>9.1703579380938045E-3</v>
      </c>
      <c r="AT61">
        <f>(XEL!AT39*(1-XEL!AT117))/AVERAGE((XEL!AT185-XEL!AT166-XEL!AT189-XEL!AT190),(XEL!AO185-XEL!AO166-XEL!AO189-XEL!AO190))</f>
        <v>8.7677791860167678E-3</v>
      </c>
      <c r="AU61">
        <f>(XEL!AU39*(1-XEL!AU117))/AVERAGE((XEL!AU185-XEL!AU166-XEL!AU189-XEL!AU190),(XEL!AP185-XEL!AP166-XEL!AP189-XEL!AP190))</f>
        <v>1.5588474018048141E-2</v>
      </c>
      <c r="AV61">
        <f>(XEL!AV39*(1-XEL!AV117))/AVERAGE((XEL!AV185-XEL!AV166-XEL!AV189-XEL!AV190),(XEL!AQ185-XEL!AQ166-XEL!AQ189-XEL!AQ190))</f>
        <v>7.2524797557821045E-3</v>
      </c>
      <c r="AW61" s="35">
        <f>(XEL!AW39*(1-XEL!AW117))/AVERAGE((XEL!AW185-XEL!AW166-XEL!AW189-XEL!AW190),(XEL!AR185-XEL!AR166-XEL!AR189-XEL!AR190))</f>
        <v>4.0065351165057564E-2</v>
      </c>
      <c r="AX61">
        <f>(XEL!AX39*(1-XEL!AX117))/AVERAGE((XEL!AX185-XEL!AX166-XEL!AX189-XEL!AX190),(XEL!AS185-XEL!AS166-XEL!AS189-XEL!AS190))</f>
        <v>1.0447777176995184E-2</v>
      </c>
      <c r="AY61">
        <f>(XEL!AY39*(1-XEL!AY117))/AVERAGE((XEL!AY185-XEL!AY166-XEL!AY189-XEL!AY190),(XEL!AT185-XEL!AT166-XEL!AT189-XEL!AT190))</f>
        <v>9.1791101376020486E-3</v>
      </c>
      <c r="AZ61">
        <f>(XEL!AZ39*(1-XEL!AZ117))/AVERAGE((XEL!AZ185-XEL!AZ166-XEL!AZ189-XEL!AZ190),(XEL!AU185-XEL!AU166-XEL!AU189-XEL!AU190))</f>
        <v>1.497359647394274E-2</v>
      </c>
      <c r="BA61">
        <f>(XEL!BA39*(1-XEL!BA117))/AVERAGE((XEL!BA185-XEL!BA166-XEL!BA189-XEL!BA190),(XEL!AV185-XEL!AV166-XEL!AV189-XEL!AV190))</f>
        <v>8.7538183503689474E-3</v>
      </c>
      <c r="BB61" s="35">
        <f>(XEL!BB39*(1-XEL!BB117))/AVERAGE((XEL!BB185-XEL!BB166-XEL!BB189-XEL!BB190),(XEL!AW185-XEL!AW166-XEL!AW189-XEL!AW190))</f>
        <v>4.2611302072148576E-2</v>
      </c>
      <c r="BG61" s="35">
        <f>(XEL!BG39*(1-XEL!BG117))/AVERAGE((XEL!BG185-XEL!BG166-XEL!BG189-XEL!BG190),(XEL!BB185-XEL!BB166-XEL!BB189-XEL!BB190))</f>
        <v>4.3446776969425678E-2</v>
      </c>
      <c r="BL61" s="35">
        <f>(XEL!BL39*(1-XEL!BL117))/AVERAGE((XEL!BL185-XEL!BL166-XEL!BL189-XEL!BL190),(XEL!BG185-XEL!BG166-XEL!BG189-XEL!BG190))</f>
        <v>4.3696598514098246E-2</v>
      </c>
      <c r="BQ61" s="35">
        <f>(XEL!BQ39*(1-XEL!BQ117))/AVERAGE((XEL!BQ185-XEL!BQ166-XEL!BQ189-XEL!BQ190),(XEL!BL185-XEL!BL166-XEL!BL189-XEL!BL190))</f>
        <v>4.4999358170533278E-2</v>
      </c>
    </row>
    <row r="62" spans="2:140" x14ac:dyDescent="0.2">
      <c r="C62" s="52" t="s">
        <v>87</v>
      </c>
      <c r="D62" s="72"/>
      <c r="F62" s="48"/>
      <c r="G62" s="35"/>
      <c r="H62" s="35"/>
      <c r="I62" s="20"/>
      <c r="K62" s="48"/>
      <c r="L62" s="35"/>
      <c r="M62" s="35"/>
      <c r="N62" s="35">
        <f>(N15*N47)/AVERAGE(XEL!I185,XEL!N185)</f>
        <v>2.8379699861753781E-2</v>
      </c>
      <c r="O62" s="35"/>
      <c r="P62" s="35"/>
      <c r="Q62" s="35"/>
      <c r="S62" s="35">
        <f>(S15*S47)/AVERAGE(XEL!N185,XEL!S185)</f>
        <v>2.9342731154740939E-2</v>
      </c>
      <c r="T62" s="35">
        <f>(T15*T47)/AVERAGE(XEL!O185,XEL!T185)</f>
        <v>0</v>
      </c>
      <c r="U62" s="35">
        <f>(U15*U47)/AVERAGE(XEL!P185,XEL!U185)</f>
        <v>0</v>
      </c>
      <c r="V62" s="35">
        <f>(V15*V47)/AVERAGE(XEL!Q185,XEL!V185)</f>
        <v>0</v>
      </c>
      <c r="W62">
        <f>(W15*W47)/AVERAGE(XEL!R185,XEL!W185)</f>
        <v>0</v>
      </c>
      <c r="X62" s="35">
        <f>(X15*X47)/AVERAGE(XEL!S185,XEL!X185)</f>
        <v>2.9296998201769772E-2</v>
      </c>
      <c r="Y62" s="35">
        <f>(Y15*Y47)/AVERAGE(XEL!T185,XEL!Y185)</f>
        <v>0</v>
      </c>
      <c r="Z62" s="35">
        <f>(Z15*Z47)/AVERAGE(XEL!U185,XEL!Z185)</f>
        <v>0</v>
      </c>
      <c r="AA62" s="35">
        <f>(AA15*AA47)/AVERAGE(XEL!V185,XEL!AA185)</f>
        <v>0</v>
      </c>
      <c r="AB62">
        <f>(AB15*AB47)/AVERAGE(XEL!W185,XEL!AB185)</f>
        <v>0</v>
      </c>
      <c r="AC62" s="35">
        <f>(AC15*AC47)/AVERAGE(XEL!X185,XEL!AC185)</f>
        <v>2.9775623531703665E-2</v>
      </c>
      <c r="AD62" s="35">
        <f>(AD15*AD47)/AVERAGE(XEL!Y185,XEL!AD185)</f>
        <v>0</v>
      </c>
      <c r="AE62" s="35">
        <f>(AE15*AE47)/AVERAGE(XEL!Z185,XEL!AE185)</f>
        <v>0</v>
      </c>
      <c r="AF62" s="35">
        <f>(AF15*AF47)/AVERAGE(XEL!AA185,XEL!AF185)</f>
        <v>0</v>
      </c>
      <c r="AG62">
        <f>(AG15*AG47)/AVERAGE(XEL!AB185,XEL!AG185)</f>
        <v>0</v>
      </c>
      <c r="AH62" s="35">
        <f>(AH15*AH47)/AVERAGE(XEL!AC185,XEL!AH185)</f>
        <v>2.8823837153529999E-2</v>
      </c>
      <c r="AI62" s="37">
        <f>(AI15*AI47)/AVERAGE(XEL!AD185,XEL!AI185)</f>
        <v>0</v>
      </c>
      <c r="AJ62" s="37">
        <f>(AJ15*AJ47)/AVERAGE(XEL!AE185,XEL!AJ185)</f>
        <v>0</v>
      </c>
      <c r="AK62" s="37">
        <f>(AK15*AK47)/AVERAGE(XEL!AF185,XEL!AK185)</f>
        <v>0</v>
      </c>
      <c r="AL62">
        <f>(AL15*AL47)/AVERAGE(XEL!AG185,XEL!AL185)</f>
        <v>0</v>
      </c>
      <c r="AM62" s="35">
        <f>(AM15*AM47)/AVERAGE(XEL!AH185,XEL!AM185)</f>
        <v>2.7986189811822871E-2</v>
      </c>
      <c r="AN62" s="37">
        <f>(AN15*AN47)/AVERAGE(XEL!AI185,XEL!AN185)</f>
        <v>0</v>
      </c>
      <c r="AO62" s="37">
        <f>(AO15*AO47)/AVERAGE(XEL!AJ185,XEL!AO185)</f>
        <v>0</v>
      </c>
      <c r="AP62" s="37">
        <f>(AP15*AP47)/AVERAGE(XEL!AK185,XEL!AP185)</f>
        <v>0</v>
      </c>
      <c r="AQ62">
        <f>(AQ15*AQ47)/AVERAGE(XEL!AL185,XEL!AQ185)</f>
        <v>0</v>
      </c>
      <c r="AR62" s="35">
        <f>(AR15*AR47)/AVERAGE(XEL!AM185,XEL!AR185)</f>
        <v>2.8011361145705595E-2</v>
      </c>
      <c r="AS62" s="37">
        <f>(AS15*AS47)/AVERAGE(XEL!AN185,XEL!AS185)</f>
        <v>0</v>
      </c>
      <c r="AT62" s="37">
        <f>(AT15*AT47)/AVERAGE(XEL!AO185,XEL!AT185)</f>
        <v>0</v>
      </c>
      <c r="AU62" s="37">
        <f>(AU15*AU47)/AVERAGE(XEL!AP185,XEL!AU185)</f>
        <v>0</v>
      </c>
      <c r="AV62">
        <f>(AV15*AV47)/AVERAGE(XEL!AQ185,XEL!AV185)</f>
        <v>0</v>
      </c>
      <c r="AW62" s="35">
        <f>(AW15*AW47)/AVERAGE(XEL!AR185,XEL!AW185)</f>
        <v>2.7819591304546049E-2</v>
      </c>
      <c r="AX62" s="37">
        <f>(AX15*AX47)/AVERAGE(XEL!AS185,XEL!AX185)</f>
        <v>0</v>
      </c>
      <c r="AY62" s="37">
        <f>(AY15*AY47)/AVERAGE(XEL!AT185,XEL!AY185)</f>
        <v>0</v>
      </c>
      <c r="AZ62" s="37">
        <f>(AZ15*AZ47)/AVERAGE(XEL!AU185,XEL!AZ185)</f>
        <v>0</v>
      </c>
      <c r="BA62">
        <f>(BA15*BA47)/AVERAGE(XEL!AV185,XEL!BA185)</f>
        <v>0</v>
      </c>
      <c r="BB62" s="35">
        <f>(BB15*BB47)/AVERAGE(XEL!AW185,XEL!BB185)</f>
        <v>2.8044437837179255E-2</v>
      </c>
      <c r="BC62" s="37"/>
      <c r="BD62" s="37"/>
      <c r="BE62" s="37"/>
      <c r="BG62" s="35">
        <f>(BG15*BG47)/AVERAGE(XEL!BB185,XEL!BG185)</f>
        <v>2.8727567414033404E-2</v>
      </c>
      <c r="BH62" s="37"/>
      <c r="BI62" s="37"/>
      <c r="BJ62" s="37"/>
      <c r="BL62" s="35">
        <f>(BL15*BL47)/AVERAGE(XEL!BG185,XEL!BL185)</f>
        <v>2.8701184913641615E-2</v>
      </c>
      <c r="BM62" s="37"/>
      <c r="BN62" s="37"/>
      <c r="BO62" s="37"/>
      <c r="BQ62" s="35">
        <f>(BQ15*BQ47)/AVERAGE(XEL!BL185,XEL!BQ185)</f>
        <v>2.970691006652194E-2</v>
      </c>
      <c r="BU62" s="26" t="s">
        <v>88</v>
      </c>
    </row>
    <row r="63" spans="2:140" x14ac:dyDescent="0.2">
      <c r="C63" s="72"/>
      <c r="Q63" s="37"/>
      <c r="V63" s="37"/>
      <c r="AA63" s="37"/>
      <c r="AF63" s="37"/>
      <c r="AK63" s="37"/>
      <c r="AP63" s="37"/>
      <c r="AU63" s="37"/>
      <c r="AZ63" s="37"/>
      <c r="BE63" s="37"/>
      <c r="BJ63" s="37"/>
      <c r="BO63" s="37"/>
      <c r="BU63" t="s">
        <v>89</v>
      </c>
      <c r="CA63" s="42">
        <f>XEL!I152</f>
        <v>20.132999999999999</v>
      </c>
      <c r="CB63" s="42">
        <f>XEL!J152</f>
        <v>2.589</v>
      </c>
      <c r="CC63" s="42">
        <f>XEL!K152</f>
        <v>1.7049999999999996</v>
      </c>
      <c r="CD63" s="42">
        <f>XEL!L152</f>
        <v>1.5750000000000002</v>
      </c>
      <c r="CE63" s="42">
        <f>XEL!M152</f>
        <v>451.38900000000001</v>
      </c>
      <c r="CF63" s="42">
        <f>XEL!N152</f>
        <v>457.25799999999998</v>
      </c>
      <c r="CG63" s="42">
        <f>XEL!O152</f>
        <v>1.8779999999999999</v>
      </c>
      <c r="CH63" s="42">
        <f>XEL!P152</f>
        <v>1.9110000000000003</v>
      </c>
      <c r="CI63" s="42">
        <f>XEL!Q152</f>
        <v>2.3749999999999996</v>
      </c>
      <c r="CJ63" s="42">
        <f>XEL!R152</f>
        <v>32.527000000000001</v>
      </c>
      <c r="CK63" s="42">
        <f>XEL!S152</f>
        <v>38.691000000000003</v>
      </c>
      <c r="CL63" s="42">
        <f>XEL!T152</f>
        <v>-40.238</v>
      </c>
      <c r="CM63" s="42">
        <f>XEL!U152</f>
        <v>2.1000000000000014</v>
      </c>
      <c r="CN63" s="42">
        <f>XEL!V152</f>
        <v>2.1799999999999997</v>
      </c>
      <c r="CO63" s="42">
        <f>XEL!W152</f>
        <v>2.171999999999997</v>
      </c>
      <c r="CP63" s="42">
        <f>XEL!X152</f>
        <v>-33.786000000000001</v>
      </c>
      <c r="CQ63" s="42">
        <f>XEL!Y152</f>
        <v>160.084</v>
      </c>
      <c r="CR63" s="42">
        <f>XEL!Z152</f>
        <v>67.028999999999996</v>
      </c>
      <c r="CS63" s="42">
        <f>XEL!AA152</f>
        <v>2.3069999999999879</v>
      </c>
      <c r="CT63" s="42">
        <f>XEL!AB152</f>
        <v>2.3470000000000084</v>
      </c>
      <c r="CU63" s="42">
        <f>XEL!AC152</f>
        <v>231.767</v>
      </c>
      <c r="CV63" s="42">
        <f>XEL!AD152</f>
        <v>63.548000000000002</v>
      </c>
      <c r="CW63" s="42">
        <f>XEL!AE152</f>
        <v>113.02500000000001</v>
      </c>
      <c r="CX63" s="42">
        <f>XEL!AF152</f>
        <v>2.0660000000000025</v>
      </c>
      <c r="CY63" s="42">
        <f>XEL!AG152</f>
        <v>2.1589999999999918</v>
      </c>
      <c r="CZ63" s="42">
        <f>XEL!AH152</f>
        <v>180.798</v>
      </c>
      <c r="DA63" s="42">
        <f>XEL!AI152</f>
        <v>1.411</v>
      </c>
      <c r="DB63" s="42">
        <f>XEL!AJ152</f>
        <v>1.9979999999999998</v>
      </c>
      <c r="DC63" s="42">
        <f>XEL!AK152</f>
        <v>1.8890000000000002</v>
      </c>
      <c r="DD63" s="42">
        <f>XEL!AL152</f>
        <v>1.7130000000000001</v>
      </c>
      <c r="DE63" s="42">
        <f>XEL!AM152</f>
        <v>7.0110000000000001</v>
      </c>
      <c r="DF63" s="42">
        <f>XEL!AN152</f>
        <v>0</v>
      </c>
      <c r="DG63" s="42">
        <f>XEL!AO152</f>
        <v>0</v>
      </c>
      <c r="DH63" s="42">
        <f>XEL!AP152</f>
        <v>0</v>
      </c>
      <c r="DI63" s="42">
        <f>XEL!AQ152</f>
        <v>-32.209000000000003</v>
      </c>
      <c r="DJ63" s="42">
        <f>XEL!AR152</f>
        <v>-32.209000000000003</v>
      </c>
      <c r="DK63" s="42">
        <f>XEL!AS152</f>
        <v>-2.9430000000000001</v>
      </c>
      <c r="DL63" s="42">
        <f>XEL!AT152</f>
        <v>0</v>
      </c>
      <c r="DM63" s="42">
        <f>XEL!AU152</f>
        <v>0</v>
      </c>
      <c r="DN63" s="42">
        <f>XEL!AV152</f>
        <v>-5.699999999999994E-2</v>
      </c>
      <c r="DO63" s="42">
        <f>XEL!AW152</f>
        <v>-3</v>
      </c>
      <c r="DP63" s="42">
        <f>XEL!AX152</f>
        <v>19.25</v>
      </c>
      <c r="DQ63" s="42">
        <f>XEL!AY152</f>
        <v>19.25</v>
      </c>
      <c r="DR63" s="42">
        <f>XEL!AZ152</f>
        <v>19.25</v>
      </c>
      <c r="DS63" s="42">
        <f>XEL!BA152</f>
        <v>19.25</v>
      </c>
      <c r="DT63" s="42">
        <f>XEL!BB152</f>
        <v>77</v>
      </c>
      <c r="DU63" s="42"/>
      <c r="DV63" s="42"/>
      <c r="DW63" s="42"/>
      <c r="DX63" s="42"/>
      <c r="DY63" s="42">
        <f>XEL!BG152</f>
        <v>77</v>
      </c>
      <c r="DZ63" s="42"/>
      <c r="EA63" s="42"/>
      <c r="EB63" s="42"/>
      <c r="EC63" s="42"/>
      <c r="ED63" s="42">
        <f>XEL!BL152</f>
        <v>77</v>
      </c>
      <c r="EE63" s="42"/>
      <c r="EF63" s="42"/>
      <c r="EG63" s="42"/>
      <c r="EH63" s="42"/>
      <c r="EI63" s="42">
        <f>XEL!BQ152</f>
        <v>77</v>
      </c>
    </row>
    <row r="64" spans="2:140" x14ac:dyDescent="0.2">
      <c r="C64" s="52" t="s">
        <v>90</v>
      </c>
      <c r="D64" s="20"/>
      <c r="G64" s="37"/>
      <c r="H64" s="37"/>
      <c r="L64" s="37"/>
      <c r="M64" s="37"/>
      <c r="N64" s="33">
        <f>+S64</f>
        <v>44.02</v>
      </c>
      <c r="O64" s="37"/>
      <c r="P64" s="48"/>
      <c r="Q64" s="37"/>
      <c r="S64" s="33">
        <f>+X64</f>
        <v>44.02</v>
      </c>
      <c r="T64" s="33"/>
      <c r="U64" s="33"/>
      <c r="V64" s="33"/>
      <c r="W64" s="33"/>
      <c r="X64" s="33">
        <f>+AC64</f>
        <v>44.02</v>
      </c>
      <c r="Y64" s="33"/>
      <c r="Z64" s="33"/>
      <c r="AA64" s="33"/>
      <c r="AB64" s="33"/>
      <c r="AC64" s="33">
        <f>+AH64</f>
        <v>44.02</v>
      </c>
      <c r="AD64" s="33"/>
      <c r="AE64" s="33"/>
      <c r="AF64" s="33"/>
      <c r="AG64" s="33"/>
      <c r="AH64" s="33">
        <f>+AM64</f>
        <v>44.02</v>
      </c>
      <c r="AI64" s="33"/>
      <c r="AJ64" s="33"/>
      <c r="AK64" s="33"/>
      <c r="AL64" s="33"/>
      <c r="AM64" s="33">
        <f>+AR64</f>
        <v>44.02</v>
      </c>
      <c r="AN64" s="33"/>
      <c r="AO64" s="33"/>
      <c r="AP64" s="33"/>
      <c r="AQ64" s="33"/>
      <c r="AR64" s="33">
        <f>+AW64</f>
        <v>44.02</v>
      </c>
      <c r="AS64" s="33"/>
      <c r="AT64" s="33"/>
      <c r="AU64" s="33"/>
      <c r="AV64" s="33"/>
      <c r="AW64" s="33">
        <f>+BB64</f>
        <v>44.02</v>
      </c>
      <c r="AX64" s="33"/>
      <c r="AY64" s="33"/>
      <c r="AZ64" s="33"/>
      <c r="BA64" s="33"/>
      <c r="BB64" s="51">
        <f>+Valuation!$BB$15</f>
        <v>44.02</v>
      </c>
      <c r="BC64" s="33"/>
      <c r="BD64" s="33"/>
      <c r="BE64" s="33"/>
      <c r="BF64" s="33"/>
      <c r="BG64" s="51">
        <f>+Valuation!$BB$15</f>
        <v>44.02</v>
      </c>
      <c r="BH64" s="33"/>
      <c r="BI64" s="33"/>
      <c r="BJ64" s="33"/>
      <c r="BK64" s="33"/>
      <c r="BL64" s="51">
        <f>+Valuation!$BB$15</f>
        <v>44.02</v>
      </c>
      <c r="BM64" s="33"/>
      <c r="BN64" s="33"/>
      <c r="BO64" s="33"/>
      <c r="BP64" s="33"/>
      <c r="BQ64" s="51">
        <f>+Valuation!$BB$15</f>
        <v>44.02</v>
      </c>
      <c r="BU64" t="s">
        <v>91</v>
      </c>
      <c r="CA64" s="42">
        <f>+XEL!I147</f>
        <v>689.91499999999996</v>
      </c>
      <c r="CB64">
        <f>+XEL!J147</f>
        <v>0</v>
      </c>
      <c r="CC64">
        <f>+XEL!K147</f>
        <v>544.20500000000004</v>
      </c>
      <c r="CD64">
        <f>+XEL!L147</f>
        <v>494.1629999999999</v>
      </c>
      <c r="CE64">
        <f>+XEL!M147</f>
        <v>395.03800000000001</v>
      </c>
      <c r="CF64" s="42">
        <f>+XEL!N147</f>
        <v>1433.4059999999999</v>
      </c>
      <c r="CG64">
        <f>+XEL!O147</f>
        <v>0</v>
      </c>
      <c r="CH64">
        <f>+XEL!P147</f>
        <v>0</v>
      </c>
      <c r="CI64">
        <f>+XEL!Q147</f>
        <v>688.68600000000004</v>
      </c>
      <c r="CJ64">
        <f>+XEL!R147</f>
        <v>-8.8000000000079126E-2</v>
      </c>
      <c r="CK64" s="42">
        <f>+XEL!S147</f>
        <v>688.59799999999996</v>
      </c>
      <c r="CL64">
        <f>+XEL!T147</f>
        <v>0.745</v>
      </c>
      <c r="CM64">
        <f>+XEL!U147</f>
        <v>110.27</v>
      </c>
      <c r="CN64">
        <f>+XEL!V147</f>
        <v>1580.3069999999998</v>
      </c>
      <c r="CO64">
        <f>+XEL!W147</f>
        <v>98.809000000000196</v>
      </c>
      <c r="CP64" s="42">
        <f>+XEL!X147</f>
        <v>1790.1310000000001</v>
      </c>
      <c r="CQ64">
        <f>+XEL!Y147</f>
        <v>494.28199999999998</v>
      </c>
      <c r="CR64">
        <f>+XEL!Z147</f>
        <v>842.76300000000015</v>
      </c>
      <c r="CS64">
        <f>+XEL!AA147</f>
        <v>97.94399999999996</v>
      </c>
      <c r="CT64">
        <f>+XEL!AB147</f>
        <v>-3.0940000000000509</v>
      </c>
      <c r="CU64" s="42">
        <f>+XEL!AC147</f>
        <v>1431.895</v>
      </c>
      <c r="CV64">
        <f>+XEL!AD147</f>
        <v>295.99900000000002</v>
      </c>
      <c r="CW64">
        <f>+XEL!AE147</f>
        <v>542.58299999999997</v>
      </c>
      <c r="CX64">
        <f>+XEL!AF147</f>
        <v>-0.78800000000001091</v>
      </c>
      <c r="CY64">
        <f>+XEL!AG147</f>
        <v>-0.21000000000003638</v>
      </c>
      <c r="CZ64" s="42">
        <f>+XEL!AH147</f>
        <v>837.58399999999995</v>
      </c>
      <c r="DA64">
        <f>+XEL!AI147</f>
        <v>0</v>
      </c>
      <c r="DB64">
        <f>+XEL!AJ147</f>
        <v>841.53399999999999</v>
      </c>
      <c r="DC64">
        <f>+XEL!AK147</f>
        <v>785.65600000000006</v>
      </c>
      <c r="DD64">
        <f>+XEL!AL147</f>
        <v>-0.97800000000006548</v>
      </c>
      <c r="DE64" s="42">
        <f>+XEL!AM147</f>
        <v>1626.212</v>
      </c>
      <c r="DF64">
        <f>+XEL!AN147</f>
        <v>747.12699999999995</v>
      </c>
      <c r="DG64">
        <f>+XEL!AO147</f>
        <v>590.30300000000011</v>
      </c>
      <c r="DH64">
        <f>+XEL!AP147</f>
        <v>295.21199999999999</v>
      </c>
      <c r="DI64">
        <f>+XEL!AQ147</f>
        <v>791.12599999999998</v>
      </c>
      <c r="DJ64" s="42">
        <f>+XEL!AR147</f>
        <v>2423.768</v>
      </c>
      <c r="DK64">
        <f>+XEL!AS147</f>
        <v>0</v>
      </c>
      <c r="DL64">
        <f>+XEL!AT147</f>
        <v>394.04599999999999</v>
      </c>
      <c r="DM64">
        <f>+XEL!AU147</f>
        <v>1028.117</v>
      </c>
      <c r="DN64">
        <f>+XEL!AV147</f>
        <v>95.836999999999989</v>
      </c>
      <c r="DO64" s="42">
        <f>+XEL!AW147</f>
        <v>1518</v>
      </c>
      <c r="DP64">
        <f>+XEL!AX147</f>
        <v>300</v>
      </c>
      <c r="DQ64">
        <f>+XEL!AY147</f>
        <v>0</v>
      </c>
      <c r="DR64">
        <f>+XEL!AZ147</f>
        <v>1850</v>
      </c>
      <c r="DS64">
        <f>+XEL!BA147</f>
        <v>200</v>
      </c>
      <c r="DT64" s="42">
        <f>+XEL!BB147</f>
        <v>2350</v>
      </c>
      <c r="DY64" s="42">
        <f>+XEL!BG147</f>
        <v>1350</v>
      </c>
      <c r="ED64" s="42">
        <f>+XEL!BL147</f>
        <v>1950</v>
      </c>
      <c r="EI64" s="42">
        <f>+XEL!BQ147</f>
        <v>1550</v>
      </c>
    </row>
    <row r="65" spans="3:139" x14ac:dyDescent="0.2">
      <c r="C65" s="20" t="s">
        <v>92</v>
      </c>
      <c r="D65" s="89"/>
      <c r="E65" s="44"/>
      <c r="F65" s="44"/>
      <c r="G65" s="44"/>
      <c r="H65" s="44"/>
      <c r="I65" s="44"/>
      <c r="J65" s="44"/>
      <c r="K65" s="44"/>
      <c r="L65" s="44"/>
      <c r="M65" s="44"/>
      <c r="N65" s="82">
        <f>+XEL!V58</f>
        <v>487.61288100000002</v>
      </c>
      <c r="O65" s="44"/>
      <c r="P65" s="44"/>
      <c r="Q65" s="44"/>
      <c r="R65" s="44"/>
      <c r="S65" s="42">
        <f>+N65</f>
        <v>487.61288100000002</v>
      </c>
      <c r="T65" s="44"/>
      <c r="U65" s="44"/>
      <c r="V65" s="44"/>
      <c r="W65" s="44"/>
      <c r="X65" s="42">
        <f>+S65</f>
        <v>487.61288100000002</v>
      </c>
      <c r="Y65" s="44"/>
      <c r="Z65" s="44"/>
      <c r="AA65" s="44"/>
      <c r="AB65" s="44"/>
      <c r="AC65" s="42">
        <f>+X65</f>
        <v>487.61288100000002</v>
      </c>
      <c r="AD65" s="44"/>
      <c r="AE65" s="44"/>
      <c r="AF65" s="44"/>
      <c r="AG65" s="44"/>
      <c r="AH65" s="42">
        <f>+AC65</f>
        <v>487.61288100000002</v>
      </c>
      <c r="AI65" s="44"/>
      <c r="AJ65" s="44"/>
      <c r="AK65" s="44"/>
      <c r="AL65" s="44"/>
      <c r="AM65" s="42">
        <f>+AH65</f>
        <v>487.61288100000002</v>
      </c>
      <c r="AN65" s="44"/>
      <c r="AO65" s="44"/>
      <c r="AP65" s="44"/>
      <c r="AQ65" s="44"/>
      <c r="AR65" s="42">
        <f>+AM65</f>
        <v>487.61288100000002</v>
      </c>
      <c r="AS65" s="44"/>
      <c r="AT65" s="44"/>
      <c r="AU65" s="44"/>
      <c r="AV65" s="44"/>
      <c r="AW65" s="42">
        <f>+AR65</f>
        <v>487.61288100000002</v>
      </c>
      <c r="AX65" s="44"/>
      <c r="AY65" s="44"/>
      <c r="AZ65" s="44"/>
      <c r="BA65" s="44"/>
      <c r="BB65" s="42">
        <f>+AW65</f>
        <v>487.61288100000002</v>
      </c>
      <c r="BC65" s="44"/>
      <c r="BD65" s="44"/>
      <c r="BE65" s="44"/>
      <c r="BF65" s="44"/>
      <c r="BG65" s="42">
        <f>+BB65</f>
        <v>487.61288100000002</v>
      </c>
      <c r="BH65" s="44"/>
      <c r="BI65" s="44"/>
      <c r="BJ65" s="44"/>
      <c r="BK65" s="44"/>
      <c r="BL65" s="42">
        <f>+BG65</f>
        <v>487.61288100000002</v>
      </c>
      <c r="BM65" s="44"/>
      <c r="BN65" s="44"/>
      <c r="BO65" s="44"/>
      <c r="BP65" s="44"/>
      <c r="BQ65" s="42">
        <f>+BL65</f>
        <v>487.61288100000002</v>
      </c>
      <c r="BU65" t="s">
        <v>93</v>
      </c>
      <c r="CA65" s="42">
        <f>+XEL!I148</f>
        <v>-621.29600000000005</v>
      </c>
      <c r="CB65">
        <f>+XEL!J148</f>
        <v>-25.355</v>
      </c>
      <c r="CC65">
        <f>+XEL!K148</f>
        <v>-0.50499999999999901</v>
      </c>
      <c r="CD65">
        <f>+XEL!L148</f>
        <v>-174.59199999999998</v>
      </c>
      <c r="CE65">
        <f>+XEL!M148</f>
        <v>-359.93100000000004</v>
      </c>
      <c r="CF65" s="42">
        <f>+XEL!N148</f>
        <v>-560.38300000000004</v>
      </c>
      <c r="CG65">
        <f>+XEL!O148</f>
        <v>-0.55100000000000005</v>
      </c>
      <c r="CH65">
        <f>+XEL!P148</f>
        <v>-1.19</v>
      </c>
      <c r="CI65">
        <f>+XEL!Q148</f>
        <v>-102.78400000000001</v>
      </c>
      <c r="CJ65">
        <f>+XEL!R148</f>
        <v>-1.097999999999999</v>
      </c>
      <c r="CK65" s="42">
        <f>+XEL!S148</f>
        <v>-105.623</v>
      </c>
      <c r="CL65">
        <f>+XEL!T148</f>
        <v>-0.75800000000000001</v>
      </c>
      <c r="CM65">
        <f>+XEL!U148</f>
        <v>-1.6970000000000001</v>
      </c>
      <c r="CN65">
        <f>+XEL!V148</f>
        <v>-651.077</v>
      </c>
      <c r="CO65">
        <f>+XEL!W148</f>
        <v>-649.23099999999988</v>
      </c>
      <c r="CP65" s="42">
        <f>+XEL!X148</f>
        <v>-1302.7629999999999</v>
      </c>
      <c r="CQ65">
        <f>+XEL!Y148</f>
        <v>-251.36699999999999</v>
      </c>
      <c r="CR65">
        <f>+XEL!Z148</f>
        <v>-400.149</v>
      </c>
      <c r="CS65">
        <f>+XEL!AA148</f>
        <v>-3.34800000000007</v>
      </c>
      <c r="CT65">
        <f>+XEL!AB148</f>
        <v>2.4130000000000109</v>
      </c>
      <c r="CU65" s="42">
        <f>+XEL!AC148</f>
        <v>-652.45100000000002</v>
      </c>
      <c r="CV65">
        <f>+XEL!AD148</f>
        <v>-0.224</v>
      </c>
      <c r="CW65">
        <f>+XEL!AE148</f>
        <v>-275.26</v>
      </c>
      <c r="CX65">
        <f>+XEL!AF148</f>
        <v>-0.22400000000004638</v>
      </c>
      <c r="CY65">
        <f>+XEL!AG148</f>
        <v>-0.23999999999995225</v>
      </c>
      <c r="CZ65" s="42">
        <f>+XEL!AH148</f>
        <v>-275.94799999999998</v>
      </c>
      <c r="DA65">
        <f>+XEL!AI148</f>
        <v>-0.45500000000000002</v>
      </c>
      <c r="DB65">
        <f>+XEL!AJ148</f>
        <v>1.0000000000000009E-3</v>
      </c>
      <c r="DC65">
        <f>+XEL!AK148</f>
        <v>-250.19</v>
      </c>
      <c r="DD65">
        <f>+XEL!AL148</f>
        <v>-0.23799999999999955</v>
      </c>
      <c r="DE65" s="42">
        <f>+XEL!AM148</f>
        <v>-250.88200000000001</v>
      </c>
      <c r="DF65">
        <f>+XEL!AN148</f>
        <v>-0.33300000000000002</v>
      </c>
      <c r="DG65">
        <f>+XEL!AO148</f>
        <v>-579.64300000000003</v>
      </c>
      <c r="DH65">
        <f>+XEL!AP148</f>
        <v>-0.19100000000003092</v>
      </c>
      <c r="DI65">
        <f>+XEL!AQ148</f>
        <v>-455.73400000000004</v>
      </c>
      <c r="DJ65" s="42">
        <f>+XEL!AR148</f>
        <v>-1035.9010000000001</v>
      </c>
      <c r="DK65">
        <f>+XEL!AS148</f>
        <v>-0.217</v>
      </c>
      <c r="DL65">
        <f>+XEL!AT148</f>
        <v>-250.17999999999998</v>
      </c>
      <c r="DM65">
        <f>+XEL!AU148</f>
        <v>-779.702</v>
      </c>
      <c r="DN65">
        <f>+XEL!AV148</f>
        <v>9.8999999999932697E-2</v>
      </c>
      <c r="DO65" s="42">
        <f>+XEL!AW148</f>
        <v>-1030</v>
      </c>
      <c r="DP65">
        <f>+XEL!AX148</f>
        <v>0</v>
      </c>
      <c r="DQ65">
        <f>+XEL!AY148</f>
        <v>0</v>
      </c>
      <c r="DR65">
        <f>+XEL!AZ148</f>
        <v>-300</v>
      </c>
      <c r="DS65">
        <f>+XEL!BA148</f>
        <v>-150</v>
      </c>
      <c r="DT65" s="42">
        <f>+XEL!BB148</f>
        <v>-450</v>
      </c>
      <c r="DY65" s="42">
        <f>+XEL!BG148</f>
        <v>-400</v>
      </c>
      <c r="ED65" s="42">
        <f>+XEL!BL148</f>
        <v>-1250</v>
      </c>
      <c r="EI65" s="42">
        <f>+XEL!BQ148</f>
        <v>-418.6</v>
      </c>
    </row>
    <row r="66" spans="3:139" x14ac:dyDescent="0.2">
      <c r="C66" s="57" t="s">
        <v>94</v>
      </c>
      <c r="D66" s="89"/>
      <c r="E66" s="42"/>
      <c r="F66" s="90"/>
      <c r="G66" s="42"/>
      <c r="H66" s="90"/>
      <c r="I66" s="82"/>
      <c r="J66" s="42"/>
      <c r="K66" s="90"/>
      <c r="L66" s="42"/>
      <c r="M66" s="90"/>
      <c r="N66" s="86">
        <f>+N64*N65</f>
        <v>21464.719021620003</v>
      </c>
      <c r="O66" s="42"/>
      <c r="P66" s="90"/>
      <c r="Q66" s="44"/>
      <c r="R66" s="44"/>
      <c r="S66" s="86">
        <f>+S64*S65</f>
        <v>21464.719021620003</v>
      </c>
      <c r="T66" s="42"/>
      <c r="U66" s="90"/>
      <c r="V66" s="44"/>
      <c r="W66" s="44"/>
      <c r="X66" s="86">
        <f>+X64*X65</f>
        <v>21464.719021620003</v>
      </c>
      <c r="Y66" s="42"/>
      <c r="Z66" s="90"/>
      <c r="AA66" s="44"/>
      <c r="AB66" s="44"/>
      <c r="AC66" s="86">
        <f>+AC64*AC65</f>
        <v>21464.719021620003</v>
      </c>
      <c r="AD66" s="42"/>
      <c r="AE66" s="90"/>
      <c r="AF66" s="44"/>
      <c r="AG66" s="44"/>
      <c r="AH66" s="86">
        <f>+AH64*AH65</f>
        <v>21464.719021620003</v>
      </c>
      <c r="AI66" s="42"/>
      <c r="AJ66" s="90"/>
      <c r="AK66" s="44"/>
      <c r="AL66" s="44"/>
      <c r="AM66" s="86">
        <f>+AM64*AM65</f>
        <v>21464.719021620003</v>
      </c>
      <c r="AN66" s="42"/>
      <c r="AO66" s="90"/>
      <c r="AP66" s="44"/>
      <c r="AQ66" s="44"/>
      <c r="AR66" s="86">
        <f>+AR64*AR65</f>
        <v>21464.719021620003</v>
      </c>
      <c r="AS66" s="42"/>
      <c r="AT66" s="90"/>
      <c r="AU66" s="44"/>
      <c r="AV66" s="44"/>
      <c r="AW66" s="86">
        <f>+AW64*AW65</f>
        <v>21464.719021620003</v>
      </c>
      <c r="AX66" s="42"/>
      <c r="AY66" s="90"/>
      <c r="AZ66" s="44"/>
      <c r="BA66" s="44"/>
      <c r="BB66" s="86">
        <f>+BB64*BB65</f>
        <v>21464.719021620003</v>
      </c>
      <c r="BC66" s="42"/>
      <c r="BD66" s="90"/>
      <c r="BE66" s="44"/>
      <c r="BF66" s="44"/>
      <c r="BG66" s="86">
        <f>+BG64*BG65</f>
        <v>21464.719021620003</v>
      </c>
      <c r="BH66" s="42"/>
      <c r="BI66" s="90"/>
      <c r="BJ66" s="44"/>
      <c r="BK66" s="44"/>
      <c r="BL66" s="86">
        <f>+BL64*BL65</f>
        <v>21464.719021620003</v>
      </c>
      <c r="BM66" s="42"/>
      <c r="BN66" s="90"/>
      <c r="BO66" s="44"/>
      <c r="BP66" s="44"/>
      <c r="BQ66" s="86">
        <f>+BQ64*BQ65</f>
        <v>21464.719021620003</v>
      </c>
      <c r="BU66" t="s">
        <v>95</v>
      </c>
      <c r="CA66" s="42">
        <f>XEL!I149+XEL!I160</f>
        <v>3.75</v>
      </c>
      <c r="CB66">
        <f>XEL!J149</f>
        <v>7</v>
      </c>
      <c r="CC66">
        <f>XEL!K149</f>
        <v>-337</v>
      </c>
      <c r="CD66">
        <f>XEL!L149</f>
        <v>-89</v>
      </c>
      <c r="CE66">
        <f>XEL!M149</f>
        <v>426.4</v>
      </c>
      <c r="CF66" s="42">
        <f>XEL!N149+XEL!N160</f>
        <v>7.4</v>
      </c>
      <c r="CG66">
        <f>XEL!O149</f>
        <v>65.099999999999994</v>
      </c>
      <c r="CH66">
        <f>XEL!P149</f>
        <v>124.5</v>
      </c>
      <c r="CI66">
        <f>XEL!Q149</f>
        <v>-606</v>
      </c>
      <c r="CJ66">
        <f>XEL!R149</f>
        <v>168.99999999999997</v>
      </c>
      <c r="CK66" s="42">
        <f>XEL!S149+XEL!S160</f>
        <v>-247.4</v>
      </c>
      <c r="CL66">
        <f>XEL!T149</f>
        <v>120</v>
      </c>
      <c r="CM66">
        <f>XEL!U149</f>
        <v>142</v>
      </c>
      <c r="CN66">
        <f>XEL!V149</f>
        <v>-177</v>
      </c>
      <c r="CO66">
        <f>XEL!W149</f>
        <v>298</v>
      </c>
      <c r="CP66" s="42">
        <f>XEL!X149+XEL!X160</f>
        <v>383</v>
      </c>
      <c r="CQ66">
        <f>XEL!Y149</f>
        <v>-177</v>
      </c>
      <c r="CR66">
        <f>XEL!Z149</f>
        <v>-71</v>
      </c>
      <c r="CS66">
        <f>XEL!AA149</f>
        <v>-52</v>
      </c>
      <c r="CT66">
        <f>XEL!AB149</f>
        <v>457</v>
      </c>
      <c r="CU66" s="42">
        <f>XEL!AC149+XEL!AC160</f>
        <v>157</v>
      </c>
      <c r="CV66">
        <f>XEL!AD149</f>
        <v>6</v>
      </c>
      <c r="CW66">
        <f>XEL!AE149</f>
        <v>12.8</v>
      </c>
      <c r="CX66">
        <f>XEL!AF149</f>
        <v>-80.8</v>
      </c>
      <c r="CY66">
        <f>XEL!AG149</f>
        <v>322.5</v>
      </c>
      <c r="CZ66" s="42">
        <f>XEL!AH149+XEL!AH160</f>
        <v>260.5</v>
      </c>
      <c r="DA66">
        <f>XEL!AI149</f>
        <v>-50.5</v>
      </c>
      <c r="DB66">
        <f>XEL!AJ149</f>
        <v>-518</v>
      </c>
      <c r="DC66">
        <f>XEL!AK149</f>
        <v>-387</v>
      </c>
      <c r="DD66">
        <f>XEL!AL149</f>
        <v>782</v>
      </c>
      <c r="DE66" s="42">
        <f>XEL!AM149+XEL!AM160</f>
        <v>-173.5</v>
      </c>
      <c r="DF66">
        <f>XEL!AN149</f>
        <v>-663</v>
      </c>
      <c r="DG66">
        <f>XEL!AO149</f>
        <v>264</v>
      </c>
      <c r="DH66">
        <f>XEL!AP149</f>
        <v>-81</v>
      </c>
      <c r="DI66">
        <f>XEL!AQ149</f>
        <v>26</v>
      </c>
      <c r="DJ66" s="42">
        <f>XEL!AR149+XEL!AR160</f>
        <v>-454</v>
      </c>
      <c r="DK66">
        <f>XEL!AS149</f>
        <v>213</v>
      </c>
      <c r="DL66">
        <f>XEL!AT149</f>
        <v>179</v>
      </c>
      <c r="DM66">
        <f>XEL!AU149</f>
        <v>-270</v>
      </c>
      <c r="DN66">
        <f>XEL!AV149</f>
        <v>300</v>
      </c>
      <c r="DO66" s="42">
        <f>XEL!AW149+XEL!AW160</f>
        <v>422</v>
      </c>
      <c r="DP66">
        <f>XEL!AX149</f>
        <v>0</v>
      </c>
      <c r="DQ66">
        <f>XEL!AY149</f>
        <v>0</v>
      </c>
      <c r="DR66">
        <f>XEL!AZ149</f>
        <v>0</v>
      </c>
      <c r="DS66">
        <f>XEL!BA149</f>
        <v>0</v>
      </c>
      <c r="DT66" s="42">
        <f>XEL!BB149+XEL!BB160</f>
        <v>-721.26281306149508</v>
      </c>
      <c r="DY66" s="42">
        <f>XEL!BG149+XEL!BG160</f>
        <v>774.13096947267923</v>
      </c>
      <c r="ED66" s="42">
        <f>XEL!BL149+XEL!BL160</f>
        <v>-104.14066768515283</v>
      </c>
      <c r="EI66" s="42">
        <f>XEL!BQ149+XEL!BQ160</f>
        <v>-605.48068655833526</v>
      </c>
    </row>
    <row r="67" spans="3:139" x14ac:dyDescent="0.2">
      <c r="C67" s="20" t="s">
        <v>96</v>
      </c>
      <c r="D67" s="82"/>
      <c r="E67" s="44"/>
      <c r="F67" s="44"/>
      <c r="G67" s="44"/>
      <c r="H67" s="44"/>
      <c r="I67" s="44"/>
      <c r="J67" s="44"/>
      <c r="K67" s="44"/>
      <c r="L67" s="44"/>
      <c r="M67" s="44"/>
      <c r="N67" s="42">
        <f>+CF14-CF9</f>
        <v>9676.5220000000008</v>
      </c>
      <c r="O67" s="44"/>
      <c r="P67" s="44"/>
      <c r="Q67" s="44"/>
      <c r="R67" s="44"/>
      <c r="S67" s="42">
        <f>+CK14-CK9</f>
        <v>10066.751000000002</v>
      </c>
      <c r="T67" s="44"/>
      <c r="U67" s="44"/>
      <c r="V67" s="44"/>
      <c r="W67" s="44"/>
      <c r="X67" s="42">
        <f>+CP14-CP9</f>
        <v>10921.737000000001</v>
      </c>
      <c r="Y67" s="44"/>
      <c r="Z67" s="44"/>
      <c r="AA67" s="44"/>
      <c r="AB67" s="44"/>
      <c r="AC67" s="42">
        <f>+CU14-CU9</f>
        <v>11843.373000000001</v>
      </c>
      <c r="AD67" s="44"/>
      <c r="AE67" s="44"/>
      <c r="AF67" s="44"/>
      <c r="AG67" s="44"/>
      <c r="AH67" s="42">
        <f>+CZ14-CZ9</f>
        <v>12697.252</v>
      </c>
      <c r="AI67" s="44"/>
      <c r="AJ67" s="44"/>
      <c r="AK67" s="44"/>
      <c r="AL67" s="44"/>
      <c r="AM67" s="42">
        <f>+DE14-DE9</f>
        <v>13908.8</v>
      </c>
      <c r="AN67" s="44"/>
      <c r="AO67" s="44"/>
      <c r="AP67" s="44"/>
      <c r="AQ67" s="44"/>
      <c r="AR67" s="42">
        <f>+DJ14-DJ9</f>
        <v>14757.771000000001</v>
      </c>
      <c r="AS67" s="44"/>
      <c r="AT67" s="44"/>
      <c r="AU67" s="44"/>
      <c r="AV67" s="44"/>
      <c r="AW67" s="42">
        <f>+DO14-DO9</f>
        <v>15708</v>
      </c>
      <c r="AX67" s="44"/>
      <c r="AY67" s="44"/>
      <c r="AZ67" s="44"/>
      <c r="BA67" s="44"/>
      <c r="BB67" s="42">
        <f>+DT14-DT9</f>
        <v>16969.737186938506</v>
      </c>
      <c r="BC67" s="44"/>
      <c r="BD67" s="44"/>
      <c r="BE67" s="44"/>
      <c r="BF67" s="44"/>
      <c r="BG67" s="42">
        <f>+DY14-DY9</f>
        <v>18693.868156411183</v>
      </c>
      <c r="BH67" s="44"/>
      <c r="BI67" s="44"/>
      <c r="BJ67" s="44"/>
      <c r="BK67" s="44"/>
      <c r="BL67" s="42">
        <f>+ED14-ED9</f>
        <v>19289.727488726032</v>
      </c>
      <c r="BM67" s="44"/>
      <c r="BN67" s="44"/>
      <c r="BO67" s="44"/>
      <c r="BP67" s="44"/>
      <c r="BQ67" s="42">
        <f>+EI14-EI9</f>
        <v>19815.646802167699</v>
      </c>
      <c r="BU67" t="s">
        <v>97</v>
      </c>
      <c r="BV67" s="20"/>
      <c r="BW67" s="44"/>
      <c r="BX67" s="44"/>
      <c r="BY67" s="44"/>
      <c r="BZ67" s="44"/>
      <c r="CA67" s="82">
        <f>SUM(XEL!I153)</f>
        <v>0</v>
      </c>
      <c r="CB67" s="82">
        <f>SUM(XEL!J153)</f>
        <v>0</v>
      </c>
      <c r="CC67" s="82">
        <f>SUM(XEL!K153)</f>
        <v>0</v>
      </c>
      <c r="CD67" s="82">
        <f>SUM(XEL!L153)</f>
        <v>0</v>
      </c>
      <c r="CE67" s="82">
        <f>SUM(XEL!M153)</f>
        <v>0</v>
      </c>
      <c r="CF67" s="82">
        <f>SUM(XEL!N153)</f>
        <v>0</v>
      </c>
      <c r="CG67" s="82">
        <f>SUM(XEL!O153)</f>
        <v>0</v>
      </c>
      <c r="CH67" s="82">
        <f>SUM(XEL!P153)</f>
        <v>0</v>
      </c>
      <c r="CI67" s="82">
        <f>SUM(XEL!Q153)</f>
        <v>0</v>
      </c>
      <c r="CJ67" s="82">
        <f>SUM(XEL!R153)</f>
        <v>0</v>
      </c>
      <c r="CK67" s="82">
        <f>SUM(XEL!S153)</f>
        <v>0</v>
      </c>
      <c r="CL67" s="82">
        <f>SUM(XEL!T153)</f>
        <v>0</v>
      </c>
      <c r="CM67" s="82">
        <f>SUM(XEL!U153)</f>
        <v>0</v>
      </c>
      <c r="CN67" s="82">
        <f>SUM(XEL!V153)</f>
        <v>0</v>
      </c>
      <c r="CO67" s="82">
        <f>SUM(XEL!W153)</f>
        <v>0</v>
      </c>
      <c r="CP67" s="82">
        <f>SUM(XEL!X153)</f>
        <v>0</v>
      </c>
      <c r="CQ67" s="82">
        <f>SUM(XEL!Y153)</f>
        <v>0</v>
      </c>
      <c r="CR67" s="82">
        <f>SUM(XEL!Z153)</f>
        <v>0</v>
      </c>
      <c r="CS67" s="82">
        <f>SUM(XEL!AA153)</f>
        <v>0</v>
      </c>
      <c r="CT67" s="82">
        <f>SUM(XEL!AB153)</f>
        <v>0</v>
      </c>
      <c r="CU67" s="82">
        <f>SUM(XEL!AC153)</f>
        <v>0</v>
      </c>
      <c r="CV67" s="82">
        <f>SUM(XEL!AD153)</f>
        <v>0</v>
      </c>
      <c r="CW67" s="82">
        <f>SUM(XEL!AE153)</f>
        <v>0</v>
      </c>
      <c r="CX67" s="82">
        <f>SUM(XEL!AF153)</f>
        <v>0</v>
      </c>
      <c r="CY67" s="82">
        <f>SUM(XEL!AG153)</f>
        <v>0</v>
      </c>
      <c r="CZ67" s="82">
        <f>SUM(XEL!AH153)</f>
        <v>0</v>
      </c>
      <c r="DA67" s="82">
        <f>SUM(XEL!AI153)</f>
        <v>0</v>
      </c>
      <c r="DB67" s="82">
        <f>SUM(XEL!AJ153)</f>
        <v>0</v>
      </c>
      <c r="DC67" s="82">
        <f>SUM(XEL!AK153)</f>
        <v>0</v>
      </c>
      <c r="DD67" s="82">
        <f>SUM(XEL!AL153)</f>
        <v>0</v>
      </c>
      <c r="DE67" s="82">
        <f>SUM(XEL!AM153)</f>
        <v>0</v>
      </c>
      <c r="DF67" s="82">
        <f>SUM(XEL!AN153)</f>
        <v>-0.78900000000000003</v>
      </c>
      <c r="DG67" s="82">
        <f>SUM(XEL!AO153)</f>
        <v>0.78900000000000003</v>
      </c>
      <c r="DH67" s="82">
        <f>SUM(XEL!AP153)</f>
        <v>0</v>
      </c>
      <c r="DI67" s="82">
        <f>SUM(XEL!AQ153)</f>
        <v>-12.487</v>
      </c>
      <c r="DJ67" s="82">
        <f>SUM(XEL!AR153)</f>
        <v>-12.487</v>
      </c>
      <c r="DK67" s="82">
        <f>SUM(XEL!AS153)</f>
        <v>-18.291</v>
      </c>
      <c r="DL67" s="82">
        <f>SUM(XEL!AT153)</f>
        <v>0</v>
      </c>
      <c r="DM67" s="82">
        <f>SUM(XEL!AU153)</f>
        <v>0</v>
      </c>
      <c r="DN67" s="82">
        <f>SUM(XEL!AV153)</f>
        <v>0.81500000000000128</v>
      </c>
      <c r="DO67" s="82">
        <f>SUM(XEL!AW153)</f>
        <v>-17.475999999999999</v>
      </c>
      <c r="DP67" s="82">
        <f>SUM(XEL!AX153)</f>
        <v>0</v>
      </c>
      <c r="DQ67" s="82">
        <f>SUM(XEL!AY153)</f>
        <v>0</v>
      </c>
      <c r="DR67" s="82">
        <f>SUM(XEL!AZ153)</f>
        <v>0</v>
      </c>
      <c r="DS67" s="82">
        <f>SUM(XEL!BA153)</f>
        <v>0</v>
      </c>
      <c r="DT67" s="82">
        <f>SUM(XEL!BB153)</f>
        <v>0</v>
      </c>
      <c r="DU67" s="82"/>
      <c r="DV67" s="82"/>
      <c r="DW67" s="82"/>
      <c r="DX67" s="82"/>
      <c r="DY67" s="82">
        <f>SUM(XEL!BG153)</f>
        <v>0</v>
      </c>
      <c r="DZ67" s="82"/>
      <c r="EA67" s="82"/>
      <c r="EB67" s="82"/>
      <c r="EC67" s="82"/>
      <c r="ED67" s="82">
        <f>SUM(XEL!BL153)</f>
        <v>0</v>
      </c>
      <c r="EE67" s="82"/>
      <c r="EF67" s="82"/>
      <c r="EG67" s="82"/>
      <c r="EH67" s="82"/>
      <c r="EI67" s="82">
        <f>SUM(XEL!BQ153)</f>
        <v>0</v>
      </c>
    </row>
    <row r="68" spans="3:139" x14ac:dyDescent="0.2">
      <c r="C68" s="26" t="s">
        <v>98</v>
      </c>
      <c r="D68" s="91"/>
      <c r="E68" s="91"/>
      <c r="F68" s="91"/>
      <c r="G68" s="42"/>
      <c r="H68" s="91"/>
      <c r="I68" s="91"/>
      <c r="J68" s="91"/>
      <c r="K68" s="91"/>
      <c r="L68" s="42"/>
      <c r="M68" s="90"/>
      <c r="N68" s="86">
        <f>+N66+N67</f>
        <v>31141.241021620004</v>
      </c>
      <c r="O68" s="42"/>
      <c r="P68" s="90"/>
      <c r="Q68" s="44"/>
      <c r="R68" s="44"/>
      <c r="S68" s="86">
        <f>+S66+S67</f>
        <v>31531.470021620007</v>
      </c>
      <c r="T68" s="42"/>
      <c r="U68" s="90"/>
      <c r="V68" s="44"/>
      <c r="W68" s="44"/>
      <c r="X68" s="86">
        <f>+X66+X67</f>
        <v>32386.456021620004</v>
      </c>
      <c r="Y68" s="42"/>
      <c r="Z68" s="90"/>
      <c r="AA68" s="44"/>
      <c r="AB68" s="44"/>
      <c r="AC68" s="86">
        <f>+AC66+AC67</f>
        <v>33308.092021620003</v>
      </c>
      <c r="AD68" s="42"/>
      <c r="AE68" s="90"/>
      <c r="AF68" s="44"/>
      <c r="AG68" s="44"/>
      <c r="AH68" s="86">
        <f>+AH66+AH67</f>
        <v>34161.971021620004</v>
      </c>
      <c r="AI68" s="42"/>
      <c r="AJ68" s="90"/>
      <c r="AK68" s="44"/>
      <c r="AL68" s="44"/>
      <c r="AM68" s="86">
        <f>+AM66+AM67</f>
        <v>35373.519021619999</v>
      </c>
      <c r="AN68" s="42"/>
      <c r="AO68" s="90"/>
      <c r="AP68" s="44"/>
      <c r="AQ68" s="44"/>
      <c r="AR68" s="86">
        <f>+AR66+AR67</f>
        <v>36222.490021620004</v>
      </c>
      <c r="AS68" s="42"/>
      <c r="AT68" s="90"/>
      <c r="AU68" s="44"/>
      <c r="AV68" s="44"/>
      <c r="AW68" s="86">
        <f>+AW66+AW67</f>
        <v>37172.719021620003</v>
      </c>
      <c r="AX68" s="42"/>
      <c r="AY68" s="90"/>
      <c r="AZ68" s="44"/>
      <c r="BA68" s="44"/>
      <c r="BB68" s="86">
        <f>+BB66+BB67</f>
        <v>38434.456208558506</v>
      </c>
      <c r="BC68" s="42"/>
      <c r="BD68" s="90"/>
      <c r="BE68" s="44"/>
      <c r="BF68" s="44"/>
      <c r="BG68" s="86">
        <f>+BG66+BG67</f>
        <v>40158.587178031186</v>
      </c>
      <c r="BH68" s="42"/>
      <c r="BI68" s="90"/>
      <c r="BJ68" s="44"/>
      <c r="BK68" s="44"/>
      <c r="BL68" s="86">
        <f>+BL66+BL67</f>
        <v>40754.446510346039</v>
      </c>
      <c r="BM68" s="42"/>
      <c r="BN68" s="90"/>
      <c r="BO68" s="44"/>
      <c r="BP68" s="44"/>
      <c r="BQ68" s="86">
        <f>+BQ66+BQ67</f>
        <v>41280.365823787703</v>
      </c>
      <c r="BU68" s="26" t="s">
        <v>99</v>
      </c>
      <c r="BV68" s="20"/>
      <c r="BX68" s="92"/>
      <c r="BY68" s="92"/>
      <c r="BZ68" s="92"/>
      <c r="CA68" s="93">
        <f>SUM(CA60,CA63:CA67)</f>
        <v>-144.19400000000007</v>
      </c>
      <c r="CC68" s="92"/>
      <c r="CD68" s="92"/>
      <c r="CE68" s="92"/>
      <c r="CF68" s="93">
        <f>SUM(CF60,CF63:CF67)</f>
        <v>-7.2110000000001033</v>
      </c>
      <c r="CG68" s="92"/>
      <c r="CH68" s="92"/>
      <c r="CI68" s="92"/>
      <c r="CK68" s="93">
        <f>SUM(CK60,CK63:CK67)</f>
        <v>57.227000000000231</v>
      </c>
      <c r="CL68" s="92"/>
      <c r="CM68" s="92"/>
      <c r="CN68" s="92"/>
      <c r="CP68" s="93">
        <f>SUM(CP60,CP63:CP67)</f>
        <v>21.639000000000124</v>
      </c>
      <c r="CQ68" s="92"/>
      <c r="CR68" s="92"/>
      <c r="CS68" s="92"/>
      <c r="CU68" s="93">
        <f>SUM(CU60,CU63:CU67)</f>
        <v>24.82100000000014</v>
      </c>
      <c r="CV68" s="92"/>
      <c r="CW68" s="92"/>
      <c r="CX68" s="92"/>
      <c r="CZ68" s="93">
        <f>SUM(CZ60,CZ63:CZ67)</f>
        <v>-27.535999999999831</v>
      </c>
      <c r="DA68" s="92"/>
      <c r="DB68" s="92"/>
      <c r="DC68" s="92"/>
      <c r="DE68" s="93">
        <f>SUM(DE60,DE63:DE67)</f>
        <v>5.3320000000001642</v>
      </c>
      <c r="DF68" s="92"/>
      <c r="DG68" s="92"/>
      <c r="DH68" s="92"/>
      <c r="DJ68" s="93">
        <f>SUM(DJ60,DJ63:DJ67)</f>
        <v>-0.46400000000008923</v>
      </c>
      <c r="DK68" s="92"/>
      <c r="DL68" s="92"/>
      <c r="DM68" s="92"/>
      <c r="DO68" s="93">
        <f>SUM(DO60,DO63:DO67)</f>
        <v>-1.4759999999999991</v>
      </c>
      <c r="DP68" s="92"/>
      <c r="DQ68" s="92"/>
      <c r="DR68" s="92"/>
      <c r="DT68" s="93">
        <f>SUM(DT60,DT63:DT67)</f>
        <v>-83.000000000000682</v>
      </c>
      <c r="DU68" s="92"/>
      <c r="DV68" s="92"/>
      <c r="DW68" s="92"/>
      <c r="DY68" s="93">
        <f>SUM(DY60,DY63:DY67)</f>
        <v>4.5474735088646412E-13</v>
      </c>
      <c r="DZ68" s="92"/>
      <c r="EA68" s="92"/>
      <c r="EB68" s="92"/>
      <c r="ED68" s="93">
        <f>SUM(ED60,ED63:ED67)</f>
        <v>1.1368683772161603E-13</v>
      </c>
      <c r="EE68" s="92"/>
      <c r="EF68" s="92"/>
      <c r="EG68" s="92"/>
      <c r="EI68" s="93">
        <f>SUM(EI60,EI63:EI67)</f>
        <v>-3.4106051316484809E-13</v>
      </c>
    </row>
    <row r="69" spans="3:139" x14ac:dyDescent="0.2">
      <c r="CU69" s="851"/>
      <c r="CZ69" s="851"/>
      <c r="DE69" s="851"/>
      <c r="DJ69" s="851"/>
      <c r="DO69" s="851"/>
      <c r="DT69" s="851"/>
      <c r="DY69" s="851"/>
      <c r="ED69" s="851"/>
      <c r="EI69" s="851"/>
    </row>
    <row r="70" spans="3:139" x14ac:dyDescent="0.2">
      <c r="CU70" s="852"/>
      <c r="CZ70" s="852"/>
      <c r="DE70" s="852"/>
      <c r="DJ70" s="852"/>
      <c r="DO70" s="852"/>
      <c r="DT70" s="852"/>
      <c r="DY70" s="852"/>
      <c r="ED70" s="852"/>
      <c r="EI70" s="852"/>
    </row>
    <row r="71" spans="3:139" x14ac:dyDescent="0.2">
      <c r="DJ71" s="224"/>
      <c r="DO71" s="224"/>
      <c r="DT71" s="224"/>
      <c r="DY71" s="224"/>
      <c r="ED71" s="224"/>
      <c r="EI71" s="224"/>
    </row>
  </sheetData>
  <phoneticPr fontId="45" type="noConversion"/>
  <pageMargins left="0.5" right="0.5" top="0.5" bottom="0.5" header="0" footer="0"/>
  <pageSetup scale="62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ED258"/>
  <sheetViews>
    <sheetView zoomScale="80" zoomScaleNormal="80" workbookViewId="0">
      <pane xSplit="4" ySplit="5" topLeftCell="I6" activePane="bottomRight" state="frozen"/>
      <selection activeCell="E6" sqref="E6"/>
      <selection pane="topRight" activeCell="E6" sqref="E6"/>
      <selection pane="bottomLeft" activeCell="E6" sqref="E6"/>
      <selection pane="bottomRight" activeCell="I6" sqref="I6"/>
    </sheetView>
  </sheetViews>
  <sheetFormatPr defaultRowHeight="12.75" outlineLevelCol="1" x14ac:dyDescent="0.2"/>
  <cols>
    <col min="1" max="2" width="2.7109375" customWidth="1"/>
    <col min="3" max="3" width="45" customWidth="1"/>
    <col min="4" max="4" width="2.7109375" customWidth="1"/>
    <col min="5" max="8" width="9" hidden="1" customWidth="1" outlineLevel="1"/>
    <col min="9" max="9" width="9.5703125" customWidth="1" collapsed="1"/>
    <col min="10" max="13" width="9" hidden="1" customWidth="1" outlineLevel="1"/>
    <col min="14" max="14" width="9" customWidth="1" collapsed="1"/>
    <col min="15" max="18" width="9" hidden="1" customWidth="1" outlineLevel="1"/>
    <col min="19" max="19" width="9" customWidth="1" collapsed="1"/>
    <col min="20" max="23" width="9" hidden="1" customWidth="1" outlineLevel="1"/>
    <col min="24" max="24" width="9" customWidth="1" collapsed="1"/>
    <col min="25" max="28" width="9" hidden="1" customWidth="1" outlineLevel="1"/>
    <col min="29" max="29" width="9" customWidth="1" collapsed="1"/>
    <col min="30" max="33" width="9" hidden="1" customWidth="1" outlineLevel="1"/>
    <col min="34" max="34" width="9" customWidth="1" collapsed="1"/>
    <col min="35" max="38" width="9" hidden="1" customWidth="1" outlineLevel="1"/>
    <col min="39" max="39" width="9" customWidth="1" collapsed="1"/>
    <col min="40" max="43" width="9" hidden="1" customWidth="1" outlineLevel="1"/>
    <col min="44" max="44" width="9" customWidth="1" collapsed="1"/>
    <col min="45" max="48" width="9" hidden="1" customWidth="1" outlineLevel="1"/>
    <col min="49" max="49" width="9" customWidth="1" collapsed="1"/>
    <col min="50" max="53" width="9" hidden="1" customWidth="1" outlineLevel="1"/>
    <col min="54" max="54" width="9" customWidth="1" collapsed="1"/>
    <col min="55" max="58" width="9" hidden="1" customWidth="1" outlineLevel="1"/>
    <col min="59" max="59" width="9" customWidth="1" collapsed="1"/>
    <col min="60" max="63" width="9" hidden="1" customWidth="1" outlineLevel="1"/>
    <col min="64" max="64" width="9" customWidth="1" collapsed="1"/>
    <col min="65" max="68" width="9" hidden="1" customWidth="1" outlineLevel="1"/>
    <col min="69" max="69" width="9" customWidth="1" collapsed="1"/>
    <col min="70" max="70" width="5.5703125" bestFit="1" customWidth="1"/>
    <col min="71" max="71" width="9.5703125" bestFit="1" customWidth="1"/>
    <col min="72" max="72" width="9.85546875" bestFit="1" customWidth="1"/>
    <col min="82" max="82" width="37.140625" customWidth="1"/>
    <col min="88" max="88" width="9.140625" style="20"/>
    <col min="121" max="121" width="10.28515625" bestFit="1" customWidth="1"/>
    <col min="128" max="131" width="9.140625" customWidth="1"/>
  </cols>
  <sheetData>
    <row r="1" spans="1:104" ht="15" customHeight="1" x14ac:dyDescent="0.25">
      <c r="A1" s="2"/>
      <c r="B1" s="2"/>
      <c r="C1" s="2"/>
      <c r="D1" s="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94"/>
      <c r="BS1" s="94"/>
      <c r="BT1" s="570"/>
      <c r="BU1" s="570"/>
      <c r="BV1" s="570"/>
      <c r="BW1" s="570"/>
      <c r="BX1" s="570"/>
      <c r="BY1" s="570"/>
      <c r="BZ1" s="570"/>
      <c r="CA1" s="570"/>
      <c r="CB1" s="94"/>
      <c r="CC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</row>
    <row r="2" spans="1:104" ht="15" customHeight="1" x14ac:dyDescent="0.25">
      <c r="A2" s="2"/>
      <c r="B2" s="2" t="str">
        <f>Cover!$B$2</f>
        <v>Xcel Energy</v>
      </c>
      <c r="C2" s="2"/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94"/>
      <c r="BS2" s="94"/>
      <c r="BT2" s="570"/>
      <c r="BU2" s="570"/>
      <c r="BV2" s="570"/>
      <c r="BW2" s="570"/>
      <c r="BX2" s="570"/>
      <c r="BY2" s="570"/>
      <c r="BZ2" s="570"/>
      <c r="CA2" s="570"/>
      <c r="CB2" s="94"/>
      <c r="CC2" s="94"/>
      <c r="CK2" s="94"/>
      <c r="CL2" s="94"/>
      <c r="CM2" s="94"/>
      <c r="CN2" s="94"/>
      <c r="CO2" s="94"/>
      <c r="CP2" s="94"/>
      <c r="CQ2" s="94"/>
      <c r="CR2" s="94"/>
      <c r="CS2" s="94"/>
      <c r="CT2" s="94"/>
      <c r="CU2" s="94"/>
      <c r="CV2" s="94"/>
      <c r="CW2" s="94"/>
      <c r="CX2" s="94"/>
      <c r="CY2" s="94"/>
      <c r="CZ2" s="94"/>
    </row>
    <row r="3" spans="1:104" ht="15" customHeight="1" x14ac:dyDescent="0.25">
      <c r="A3" s="5"/>
      <c r="B3" s="6" t="s">
        <v>100</v>
      </c>
      <c r="C3" s="6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94"/>
      <c r="BS3" s="94"/>
      <c r="BT3" s="570"/>
      <c r="BU3" s="570"/>
      <c r="BV3" s="570"/>
      <c r="BW3" s="570"/>
      <c r="BX3" s="570"/>
      <c r="BY3" s="570"/>
      <c r="BZ3" s="570"/>
      <c r="CA3" s="570"/>
      <c r="CB3" s="94"/>
      <c r="CC3" s="94"/>
      <c r="CK3" s="94"/>
      <c r="CL3" s="94"/>
      <c r="CM3" s="94"/>
      <c r="CN3" s="94"/>
      <c r="CO3" s="94"/>
      <c r="CP3" s="94"/>
      <c r="CQ3" s="94"/>
      <c r="CR3" s="94"/>
      <c r="CS3" s="94"/>
      <c r="CT3" s="94"/>
      <c r="CU3" s="94"/>
      <c r="CV3" s="94"/>
      <c r="CW3" s="94"/>
      <c r="CX3" s="94"/>
      <c r="CY3" s="94"/>
      <c r="CZ3" s="94"/>
    </row>
    <row r="4" spans="1:104" x14ac:dyDescent="0.2">
      <c r="A4" s="8"/>
      <c r="B4" s="9" t="s">
        <v>1</v>
      </c>
      <c r="C4" s="9"/>
      <c r="D4" s="8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95"/>
      <c r="BS4" s="95">
        <v>2016</v>
      </c>
      <c r="BT4" s="571">
        <v>2017</v>
      </c>
      <c r="BU4" s="571">
        <v>2018</v>
      </c>
      <c r="BV4" s="571"/>
      <c r="BW4" s="571"/>
      <c r="BX4" s="571"/>
      <c r="BY4" s="571"/>
      <c r="BZ4" s="571"/>
      <c r="CA4" s="571"/>
      <c r="CB4" s="95"/>
      <c r="CC4" s="95"/>
      <c r="CJ4" s="95"/>
      <c r="CK4" s="95"/>
      <c r="CL4" s="95"/>
      <c r="CM4" s="95"/>
      <c r="CN4" s="95"/>
      <c r="CO4" s="95"/>
      <c r="CP4" s="95"/>
      <c r="CQ4" s="95"/>
      <c r="CR4" s="95"/>
      <c r="CS4" s="95"/>
      <c r="CT4" s="95"/>
      <c r="CU4" s="95"/>
      <c r="CV4" s="95"/>
      <c r="CW4" s="95"/>
      <c r="CX4" s="95"/>
      <c r="CY4" s="95"/>
      <c r="CZ4" s="95"/>
    </row>
    <row r="5" spans="1:104" x14ac:dyDescent="0.2">
      <c r="A5" s="96"/>
      <c r="B5" s="97" t="s">
        <v>41</v>
      </c>
      <c r="C5" s="97"/>
      <c r="D5" s="98"/>
      <c r="E5" s="99" t="s">
        <v>101</v>
      </c>
      <c r="F5" s="100" t="s">
        <v>102</v>
      </c>
      <c r="G5" s="100" t="s">
        <v>103</v>
      </c>
      <c r="H5" s="101" t="s">
        <v>104</v>
      </c>
      <c r="I5" s="102">
        <v>2009</v>
      </c>
      <c r="J5" s="99" t="s">
        <v>105</v>
      </c>
      <c r="K5" s="100" t="s">
        <v>106</v>
      </c>
      <c r="L5" s="100" t="s">
        <v>107</v>
      </c>
      <c r="M5" s="101" t="s">
        <v>108</v>
      </c>
      <c r="N5" s="102" t="s">
        <v>3</v>
      </c>
      <c r="O5" s="99" t="s">
        <v>109</v>
      </c>
      <c r="P5" s="100" t="s">
        <v>110</v>
      </c>
      <c r="Q5" s="100" t="s">
        <v>479</v>
      </c>
      <c r="R5" s="101" t="s">
        <v>175</v>
      </c>
      <c r="S5" s="102">
        <v>2011</v>
      </c>
      <c r="T5" s="104" t="s">
        <v>508</v>
      </c>
      <c r="U5" s="105" t="s">
        <v>509</v>
      </c>
      <c r="V5" s="105" t="s">
        <v>510</v>
      </c>
      <c r="W5" s="106" t="s">
        <v>522</v>
      </c>
      <c r="X5" s="103" t="s">
        <v>523</v>
      </c>
      <c r="Y5" s="99" t="s">
        <v>524</v>
      </c>
      <c r="Z5" s="100" t="s">
        <v>527</v>
      </c>
      <c r="AA5" s="100" t="s">
        <v>528</v>
      </c>
      <c r="AB5" s="101" t="s">
        <v>537</v>
      </c>
      <c r="AC5" s="103" t="s">
        <v>538</v>
      </c>
      <c r="AD5" s="99" t="s">
        <v>539</v>
      </c>
      <c r="AE5" s="100" t="s">
        <v>543</v>
      </c>
      <c r="AF5" s="100" t="s">
        <v>544</v>
      </c>
      <c r="AG5" s="101" t="s">
        <v>550</v>
      </c>
      <c r="AH5" s="103" t="s">
        <v>551</v>
      </c>
      <c r="AI5" s="99" t="s">
        <v>553</v>
      </c>
      <c r="AJ5" s="100" t="s">
        <v>554</v>
      </c>
      <c r="AK5" s="100" t="s">
        <v>569</v>
      </c>
      <c r="AL5" s="101" t="s">
        <v>570</v>
      </c>
      <c r="AM5" s="103" t="s">
        <v>571</v>
      </c>
      <c r="AN5" s="372" t="s">
        <v>574</v>
      </c>
      <c r="AO5" s="373" t="s">
        <v>589</v>
      </c>
      <c r="AP5" s="373" t="s">
        <v>597</v>
      </c>
      <c r="AQ5" s="374" t="s">
        <v>605</v>
      </c>
      <c r="AR5" s="103" t="s">
        <v>604</v>
      </c>
      <c r="AS5" s="372" t="s">
        <v>631</v>
      </c>
      <c r="AT5" s="373" t="s">
        <v>638</v>
      </c>
      <c r="AU5" s="373" t="s">
        <v>640</v>
      </c>
      <c r="AV5" s="374" t="s">
        <v>664</v>
      </c>
      <c r="AW5" s="375" t="s">
        <v>665</v>
      </c>
      <c r="AX5" s="372" t="s">
        <v>529</v>
      </c>
      <c r="AY5" s="373" t="s">
        <v>530</v>
      </c>
      <c r="AZ5" s="373" t="s">
        <v>531</v>
      </c>
      <c r="BA5" s="374" t="s">
        <v>532</v>
      </c>
      <c r="BB5" s="375">
        <v>2018</v>
      </c>
      <c r="BC5" s="372" t="s">
        <v>555</v>
      </c>
      <c r="BD5" s="373" t="s">
        <v>556</v>
      </c>
      <c r="BE5" s="373" t="s">
        <v>557</v>
      </c>
      <c r="BF5" s="374" t="s">
        <v>558</v>
      </c>
      <c r="BG5" s="375">
        <v>2019</v>
      </c>
      <c r="BH5" s="372" t="s">
        <v>599</v>
      </c>
      <c r="BI5" s="373" t="s">
        <v>600</v>
      </c>
      <c r="BJ5" s="373" t="s">
        <v>601</v>
      </c>
      <c r="BK5" s="374" t="s">
        <v>602</v>
      </c>
      <c r="BL5" s="375">
        <v>2020</v>
      </c>
      <c r="BM5" s="372" t="s">
        <v>670</v>
      </c>
      <c r="BN5" s="373" t="s">
        <v>671</v>
      </c>
      <c r="BO5" s="373" t="s">
        <v>672</v>
      </c>
      <c r="BP5" s="374" t="s">
        <v>673</v>
      </c>
      <c r="BQ5" s="375">
        <v>2021</v>
      </c>
      <c r="BR5" s="107"/>
      <c r="BS5" s="868" t="s">
        <v>565</v>
      </c>
      <c r="BT5" s="933" t="s">
        <v>565</v>
      </c>
      <c r="BU5" s="933" t="s">
        <v>565</v>
      </c>
      <c r="BV5" s="572"/>
      <c r="BW5" s="572"/>
      <c r="BX5" s="572"/>
      <c r="BY5" s="572"/>
      <c r="BZ5" s="572"/>
      <c r="CA5" s="572"/>
      <c r="CB5" s="107"/>
      <c r="CC5" s="107"/>
      <c r="CJ5" s="519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</row>
    <row r="6" spans="1:104" x14ac:dyDescent="0.2">
      <c r="E6" s="108"/>
      <c r="F6" s="109"/>
      <c r="G6" s="109"/>
      <c r="H6" s="110"/>
      <c r="J6" s="108"/>
      <c r="K6" s="109"/>
      <c r="L6" s="109"/>
      <c r="M6" s="110"/>
      <c r="O6" s="108"/>
      <c r="P6" s="109"/>
      <c r="Q6" s="109"/>
      <c r="R6" s="110"/>
      <c r="T6" s="111"/>
      <c r="U6" s="112"/>
      <c r="V6" s="112"/>
      <c r="W6" s="113"/>
      <c r="Y6" s="108"/>
      <c r="Z6" s="109"/>
      <c r="AA6" s="109"/>
      <c r="AB6" s="110"/>
      <c r="AD6" s="108"/>
      <c r="AE6" s="109"/>
      <c r="AF6" s="109"/>
      <c r="AG6" s="110"/>
      <c r="AI6" s="108"/>
      <c r="AJ6" s="109"/>
      <c r="AK6" s="109"/>
      <c r="AL6" s="110"/>
      <c r="AN6" s="108"/>
      <c r="AO6" s="109"/>
      <c r="AP6" s="109"/>
      <c r="AQ6" s="110"/>
      <c r="AS6" s="108"/>
      <c r="AT6" s="109"/>
      <c r="AU6" s="109"/>
      <c r="AV6" s="110"/>
      <c r="AX6" s="108"/>
      <c r="AY6" s="109"/>
      <c r="AZ6" s="109"/>
      <c r="BA6" s="110"/>
      <c r="BC6" s="108"/>
      <c r="BD6" s="109"/>
      <c r="BE6" s="109"/>
      <c r="BF6" s="110"/>
      <c r="BH6" s="108"/>
      <c r="BI6" s="109"/>
      <c r="BJ6" s="109"/>
      <c r="BK6" s="110"/>
      <c r="BM6" s="108"/>
      <c r="BN6" s="109"/>
      <c r="BO6" s="109"/>
      <c r="BP6" s="110"/>
      <c r="BT6" s="525"/>
      <c r="BU6" s="525"/>
      <c r="BV6" s="525"/>
      <c r="BW6" s="525"/>
      <c r="BX6" s="525"/>
      <c r="BY6" s="525"/>
      <c r="BZ6" s="525"/>
      <c r="CA6" s="525"/>
    </row>
    <row r="7" spans="1:104" x14ac:dyDescent="0.2">
      <c r="B7" s="16" t="s">
        <v>111</v>
      </c>
      <c r="C7" s="16"/>
      <c r="D7" s="17"/>
      <c r="E7" s="108"/>
      <c r="F7" s="109"/>
      <c r="G7" s="109"/>
      <c r="H7" s="110"/>
      <c r="J7" s="108"/>
      <c r="K7" s="109"/>
      <c r="L7" s="109"/>
      <c r="M7" s="110"/>
      <c r="O7" s="108"/>
      <c r="P7" s="109"/>
      <c r="Q7" s="109"/>
      <c r="R7" s="110"/>
      <c r="T7" s="108"/>
      <c r="U7" s="109"/>
      <c r="V7" s="109"/>
      <c r="W7" s="110"/>
      <c r="Y7" s="108"/>
      <c r="Z7" s="109"/>
      <c r="AA7" s="109"/>
      <c r="AB7" s="110"/>
      <c r="AD7" s="108"/>
      <c r="AE7" s="109"/>
      <c r="AF7" s="109"/>
      <c r="AG7" s="110"/>
      <c r="AI7" s="108"/>
      <c r="AJ7" s="109"/>
      <c r="AK7" s="109"/>
      <c r="AL7" s="110"/>
      <c r="AN7" s="108"/>
      <c r="AO7" s="109"/>
      <c r="AP7" s="109"/>
      <c r="AQ7" s="110"/>
      <c r="AS7" s="108"/>
      <c r="AT7" s="109"/>
      <c r="AU7" s="109"/>
      <c r="AV7" s="110"/>
      <c r="AX7" s="108"/>
      <c r="AY7" s="109"/>
      <c r="AZ7" s="109"/>
      <c r="BA7" s="110"/>
      <c r="BC7" s="108"/>
      <c r="BD7" s="109"/>
      <c r="BE7" s="109"/>
      <c r="BF7" s="110"/>
      <c r="BH7" s="108"/>
      <c r="BI7" s="109"/>
      <c r="BJ7" s="109"/>
      <c r="BK7" s="110"/>
      <c r="BM7" s="108"/>
      <c r="BN7" s="109"/>
      <c r="BO7" s="109"/>
      <c r="BP7" s="110"/>
      <c r="BT7" s="525"/>
      <c r="BU7" s="525"/>
      <c r="BV7" s="525"/>
      <c r="BW7" s="525"/>
      <c r="BX7" s="525"/>
      <c r="BY7" s="525"/>
      <c r="BZ7" s="525"/>
      <c r="CA7" s="525"/>
    </row>
    <row r="8" spans="1:104" x14ac:dyDescent="0.2">
      <c r="C8" s="20" t="s">
        <v>112</v>
      </c>
      <c r="D8" s="42"/>
      <c r="E8" s="114">
        <v>1886.557</v>
      </c>
      <c r="F8" s="115">
        <v>1733.6949999999999</v>
      </c>
      <c r="G8" s="115">
        <v>2128.9549999999999</v>
      </c>
      <c r="H8" s="116">
        <f>I8-SUM(E8:G8)</f>
        <v>1955.5159999999996</v>
      </c>
      <c r="I8" s="117">
        <v>7704.723</v>
      </c>
      <c r="J8" s="114">
        <v>1995.5920000000001</v>
      </c>
      <c r="K8" s="115">
        <v>2040.702</v>
      </c>
      <c r="L8" s="115">
        <v>2440.9169999999999</v>
      </c>
      <c r="M8" s="116">
        <f>N8-SUM(J8:L8)</f>
        <v>1974.634</v>
      </c>
      <c r="N8" s="117">
        <v>8451.8449999999993</v>
      </c>
      <c r="O8" s="114">
        <v>2029.972</v>
      </c>
      <c r="P8" s="115">
        <v>2128.3969999999999</v>
      </c>
      <c r="Q8" s="115">
        <v>2619.424</v>
      </c>
      <c r="R8" s="116">
        <f>S8-SUM(O8:Q8)</f>
        <v>1988.8000000000011</v>
      </c>
      <c r="S8" s="117">
        <v>8766.5930000000008</v>
      </c>
      <c r="T8" s="114">
        <v>1936.7819999999999</v>
      </c>
      <c r="U8" s="115">
        <v>2036.829</v>
      </c>
      <c r="V8" s="115">
        <v>2532.7089999999998</v>
      </c>
      <c r="W8" s="116">
        <f>X8-SUM(T8:V8)</f>
        <v>2010.9760000000006</v>
      </c>
      <c r="X8" s="117">
        <v>8517.2960000000003</v>
      </c>
      <c r="Y8" s="114">
        <v>2092.1959999999999</v>
      </c>
      <c r="Z8" s="115">
        <v>2219.877</v>
      </c>
      <c r="AA8" s="115">
        <v>2599.9250000000002</v>
      </c>
      <c r="AB8" s="116">
        <f>AC8-SUM(Y8:AA8)</f>
        <v>2122.0469999999996</v>
      </c>
      <c r="AC8" s="117">
        <v>9034.0450000000001</v>
      </c>
      <c r="AD8" s="114">
        <v>2301.71</v>
      </c>
      <c r="AE8" s="115">
        <v>2297.6379999999999</v>
      </c>
      <c r="AF8" s="115">
        <v>2616.3510000000001</v>
      </c>
      <c r="AG8" s="116">
        <f>AH8-SUM(AD8:AF8)</f>
        <v>2250.1909999999989</v>
      </c>
      <c r="AH8" s="117">
        <v>9465.89</v>
      </c>
      <c r="AI8" s="114">
        <v>2224.8629999999998</v>
      </c>
      <c r="AJ8" s="115">
        <v>2213.46</v>
      </c>
      <c r="AK8" s="115">
        <v>2667.48</v>
      </c>
      <c r="AL8" s="116">
        <f>AM8-SUM(AI8:AK8)</f>
        <v>2170.1830000000009</v>
      </c>
      <c r="AM8" s="117">
        <v>9275.9860000000008</v>
      </c>
      <c r="AN8" s="114">
        <v>2185.1190000000001</v>
      </c>
      <c r="AO8" s="115">
        <v>2224.1419999999998</v>
      </c>
      <c r="AP8" s="115">
        <v>2799.9639999999999</v>
      </c>
      <c r="AQ8" s="116">
        <f>AR8-SUM(AN8:AP8)</f>
        <v>2290.5560000000005</v>
      </c>
      <c r="AR8" s="117">
        <v>9499.7810000000009</v>
      </c>
      <c r="AS8" s="114">
        <v>2299.06</v>
      </c>
      <c r="AT8" s="115">
        <v>2338.0169999999998</v>
      </c>
      <c r="AU8" s="115">
        <v>2783.569</v>
      </c>
      <c r="AV8" s="116">
        <f>AW8-SUM(AS8:AU8)</f>
        <v>2255.3540000000012</v>
      </c>
      <c r="AW8" s="117">
        <v>9676</v>
      </c>
      <c r="AX8" s="120">
        <f>'NSP-MN'!AX8+PSCO!AX8+SPS!AX8+'NSP-WI'!AX8</f>
        <v>2489.8031130031773</v>
      </c>
      <c r="AY8" s="118">
        <f>'NSP-MN'!AY8+PSCO!AY8+SPS!AY8+'NSP-WI'!AY8</f>
        <v>2496.6019381344358</v>
      </c>
      <c r="AZ8" s="118">
        <f>'NSP-MN'!AZ8+PSCO!AZ8+SPS!AZ8+'NSP-WI'!AZ8</f>
        <v>2915.0136114026222</v>
      </c>
      <c r="BA8" s="119">
        <f>'NSP-MN'!BA8+PSCO!BA8+SPS!BA8+'NSP-WI'!BA8</f>
        <v>2439.1176240038171</v>
      </c>
      <c r="BB8" s="42">
        <f>SUM(AX8:BA8)</f>
        <v>10340.536286544053</v>
      </c>
      <c r="BC8" s="120">
        <f>'NSP-MN'!BC8+PSCO!BC8+SPS!BC8+'NSP-WI'!BC8</f>
        <v>2555.3411155038984</v>
      </c>
      <c r="BD8" s="118">
        <f>'NSP-MN'!BD8+PSCO!BD8+SPS!BD8+'NSP-WI'!BD8</f>
        <v>2564.6144101144091</v>
      </c>
      <c r="BE8" s="118">
        <f>'NSP-MN'!BE8+PSCO!BE8+SPS!BE8+'NSP-WI'!BE8</f>
        <v>2998.6928666421832</v>
      </c>
      <c r="BF8" s="119">
        <f>'NSP-MN'!BF8+PSCO!BF8+SPS!BF8+'NSP-WI'!BF8</f>
        <v>2504.8037725520398</v>
      </c>
      <c r="BG8" s="42">
        <f>SUM(BC8:BF8)</f>
        <v>10623.45216481253</v>
      </c>
      <c r="BH8" s="120">
        <f>'NSP-MN'!BH8+PSCO!BH8+SPS!BH8+'NSP-WI'!BH8</f>
        <v>2626.4788105168368</v>
      </c>
      <c r="BI8" s="118">
        <f>'NSP-MN'!BI8+PSCO!BI8+SPS!BI8+'NSP-WI'!BI8</f>
        <v>2638.5600024299006</v>
      </c>
      <c r="BJ8" s="118">
        <f>'NSP-MN'!BJ8+PSCO!BJ8+SPS!BJ8+'NSP-WI'!BJ8</f>
        <v>3089.9594073338776</v>
      </c>
      <c r="BK8" s="119">
        <f>'NSP-MN'!BK8+PSCO!BK8+SPS!BK8+'NSP-WI'!BK8</f>
        <v>2576.0899839775989</v>
      </c>
      <c r="BL8" s="42">
        <f>SUM(BH8:BK8)</f>
        <v>10931.088204258214</v>
      </c>
      <c r="BM8" s="120">
        <f>'NSP-MN'!BM8+PSCO!BM8+SPS!BM8+'NSP-WI'!BM8</f>
        <v>2687.511345815381</v>
      </c>
      <c r="BN8" s="118">
        <f>'NSP-MN'!BN8+PSCO!BN8+SPS!BN8+'NSP-WI'!BN8</f>
        <v>2701.7860241597014</v>
      </c>
      <c r="BO8" s="118">
        <f>'NSP-MN'!BO8+PSCO!BO8+SPS!BO8+'NSP-WI'!BO8</f>
        <v>3167.1695478626516</v>
      </c>
      <c r="BP8" s="119">
        <f>'NSP-MN'!BP8+PSCO!BP8+SPS!BP8+'NSP-WI'!BP8</f>
        <v>2637.2829069797949</v>
      </c>
      <c r="BQ8" s="42">
        <f>SUM(BM8:BP8)</f>
        <v>11193.749824817529</v>
      </c>
      <c r="BS8" s="224"/>
      <c r="BT8" s="525"/>
      <c r="BU8" s="525"/>
      <c r="BV8" s="525"/>
      <c r="BW8" s="525"/>
      <c r="BX8" s="525"/>
      <c r="BY8" s="525"/>
      <c r="BZ8" s="525"/>
      <c r="CA8" s="525"/>
    </row>
    <row r="9" spans="1:104" x14ac:dyDescent="0.2">
      <c r="C9" s="20" t="s">
        <v>113</v>
      </c>
      <c r="D9" s="42"/>
      <c r="E9" s="114">
        <v>788.67600000000004</v>
      </c>
      <c r="F9" s="115">
        <v>265.88400000000001</v>
      </c>
      <c r="G9" s="115">
        <v>169.601</v>
      </c>
      <c r="H9" s="116">
        <f>I9-SUM(E9:G9)</f>
        <v>641.54199999999992</v>
      </c>
      <c r="I9" s="117">
        <v>1865.703</v>
      </c>
      <c r="J9" s="114">
        <v>790.15</v>
      </c>
      <c r="K9" s="115">
        <v>249.41</v>
      </c>
      <c r="L9" s="115">
        <v>170.59399999999999</v>
      </c>
      <c r="M9" s="116">
        <f>N9-SUM(J9:L9)</f>
        <v>572.42800000000011</v>
      </c>
      <c r="N9" s="117">
        <v>1782.5820000000001</v>
      </c>
      <c r="O9" s="114">
        <v>765.34900000000005</v>
      </c>
      <c r="P9" s="115">
        <v>291.53800000000001</v>
      </c>
      <c r="Q9" s="115">
        <v>194.93</v>
      </c>
      <c r="R9" s="116">
        <f>S9-SUM(O9:Q9)</f>
        <v>560.1089999999997</v>
      </c>
      <c r="S9" s="117">
        <v>1811.9259999999999</v>
      </c>
      <c r="T9" s="114">
        <v>621.03499999999997</v>
      </c>
      <c r="U9" s="115">
        <v>221.31299999999999</v>
      </c>
      <c r="V9" s="115">
        <v>174.51300000000001</v>
      </c>
      <c r="W9" s="116">
        <f>X9-SUM(T9:V9)</f>
        <v>520.51300000000003</v>
      </c>
      <c r="X9" s="117">
        <v>1537.374</v>
      </c>
      <c r="Y9" s="114">
        <v>669.596</v>
      </c>
      <c r="Z9" s="115">
        <v>341.32100000000003</v>
      </c>
      <c r="AA9" s="115">
        <v>205.358</v>
      </c>
      <c r="AB9" s="116">
        <f>AC9-SUM(Y9:AA9)</f>
        <v>588.404</v>
      </c>
      <c r="AC9" s="117">
        <v>1804.6790000000001</v>
      </c>
      <c r="AD9" s="114">
        <v>879.68799999999999</v>
      </c>
      <c r="AE9" s="115">
        <v>369.12700000000001</v>
      </c>
      <c r="AF9" s="115">
        <v>236.649</v>
      </c>
      <c r="AG9" s="116">
        <f>AH9-SUM(AD9:AF9)</f>
        <v>657.27399999999989</v>
      </c>
      <c r="AH9" s="117">
        <v>2142.7379999999998</v>
      </c>
      <c r="AI9" s="114">
        <v>715.99599999999998</v>
      </c>
      <c r="AJ9" s="115">
        <v>284.13099999999997</v>
      </c>
      <c r="AK9" s="115">
        <v>216.01900000000001</v>
      </c>
      <c r="AL9" s="116">
        <f>AM9-SUM(AI9:AK9)</f>
        <v>455.93499999999995</v>
      </c>
      <c r="AM9" s="117">
        <v>1672.0809999999999</v>
      </c>
      <c r="AN9" s="114">
        <v>565.68899999999996</v>
      </c>
      <c r="AO9" s="115">
        <v>258.899</v>
      </c>
      <c r="AP9" s="115">
        <v>221.95599999999999</v>
      </c>
      <c r="AQ9" s="116">
        <f>AR9-SUM(AN9:AP9)</f>
        <v>484.86800000000017</v>
      </c>
      <c r="AR9" s="117">
        <v>1531.412</v>
      </c>
      <c r="AS9" s="114">
        <v>625.70299999999997</v>
      </c>
      <c r="AT9" s="115">
        <v>289.839</v>
      </c>
      <c r="AU9" s="115">
        <v>214.25299999999999</v>
      </c>
      <c r="AV9" s="116">
        <f>AW9-SUM(AS9:AU9)</f>
        <v>520.20500000000015</v>
      </c>
      <c r="AW9" s="117">
        <v>1650</v>
      </c>
      <c r="AX9" s="120">
        <f>'NSP-MN'!AX9+'NSP-WI'!AX9+PSCO!AX9</f>
        <v>671.89387869303914</v>
      </c>
      <c r="AY9" s="118">
        <f>'NSP-MN'!AY9+'NSP-WI'!AY9+PSCO!AY9</f>
        <v>298.27971292871939</v>
      </c>
      <c r="AZ9" s="118">
        <f>'NSP-MN'!AZ9+'NSP-WI'!AZ9+PSCO!AZ9</f>
        <v>218.66690551888283</v>
      </c>
      <c r="BA9" s="119">
        <f>'NSP-MN'!BA9+'NSP-WI'!BA9+PSCO!BA9</f>
        <v>538.67119243823208</v>
      </c>
      <c r="BB9" s="42">
        <f>SUM(AX9:BA9)</f>
        <v>1727.5116895788735</v>
      </c>
      <c r="BC9" s="120">
        <f>'NSP-MN'!BC9+'NSP-WI'!BC9+PSCO!BC9</f>
        <v>680.3024729663673</v>
      </c>
      <c r="BD9" s="118">
        <f>'NSP-MN'!BD9+'NSP-WI'!BD9+PSCO!BD9</f>
        <v>300.979145370617</v>
      </c>
      <c r="BE9" s="118">
        <f>'NSP-MN'!BE9+'NSP-WI'!BE9+PSCO!BE9</f>
        <v>220.18267312167293</v>
      </c>
      <c r="BF9" s="119">
        <f>'NSP-MN'!BF9+'NSP-WI'!BF9+PSCO!BF9</f>
        <v>544.51062450086397</v>
      </c>
      <c r="BG9" s="42">
        <f>SUM(BC9:BF9)</f>
        <v>1745.9749159595212</v>
      </c>
      <c r="BH9" s="120">
        <f>'NSP-MN'!BH9+'NSP-WI'!BH9+PSCO!BH9</f>
        <v>690.9490367337587</v>
      </c>
      <c r="BI9" s="118">
        <f>'NSP-MN'!BI9+'NSP-WI'!BI9+PSCO!BI9</f>
        <v>304.42490779136176</v>
      </c>
      <c r="BJ9" s="118">
        <f>'NSP-MN'!BJ9+'NSP-WI'!BJ9+PSCO!BJ9</f>
        <v>222.19657765698511</v>
      </c>
      <c r="BK9" s="119">
        <f>'NSP-MN'!BK9+'NSP-WI'!BK9+PSCO!BK9</f>
        <v>551.84406485816464</v>
      </c>
      <c r="BL9" s="42">
        <f>SUM(BH9:BK9)</f>
        <v>1769.4145870402704</v>
      </c>
      <c r="BM9" s="120">
        <f>'NSP-MN'!BM9+'NSP-WI'!BM9+PSCO!BM9</f>
        <v>701.58037960139632</v>
      </c>
      <c r="BN9" s="118">
        <f>'NSP-MN'!BN9+'NSP-WI'!BN9+PSCO!BN9</f>
        <v>307.86595654318882</v>
      </c>
      <c r="BO9" s="118">
        <f>'NSP-MN'!BO9+'NSP-WI'!BO9+PSCO!BO9</f>
        <v>224.20792294317391</v>
      </c>
      <c r="BP9" s="119">
        <f>'NSP-MN'!BP9+'NSP-WI'!BP9+PSCO!BP9</f>
        <v>559.16999766435083</v>
      </c>
      <c r="BQ9" s="42">
        <f>SUM(BM9:BP9)</f>
        <v>1792.8242567521097</v>
      </c>
      <c r="BS9" s="224"/>
      <c r="BT9" s="525"/>
      <c r="BU9" s="525"/>
      <c r="BV9" s="525"/>
      <c r="BW9" s="525"/>
      <c r="BX9" s="525"/>
      <c r="BY9" s="525"/>
      <c r="BZ9" s="525"/>
      <c r="CA9" s="525"/>
    </row>
    <row r="10" spans="1:104" x14ac:dyDescent="0.2">
      <c r="C10" s="20" t="s">
        <v>97</v>
      </c>
      <c r="D10" s="42"/>
      <c r="E10" s="114">
        <v>20.309000000000001</v>
      </c>
      <c r="F10" s="115">
        <v>16.504000000000001</v>
      </c>
      <c r="G10" s="115">
        <v>16.006</v>
      </c>
      <c r="H10" s="116">
        <f>I10-SUM(E10:G10)</f>
        <v>21.057999999999993</v>
      </c>
      <c r="I10" s="117">
        <v>73.876999999999995</v>
      </c>
      <c r="J10" s="114">
        <v>21.72</v>
      </c>
      <c r="K10" s="115">
        <v>17.652000000000001</v>
      </c>
      <c r="L10" s="115">
        <v>17.276</v>
      </c>
      <c r="M10" s="116">
        <f>N10-SUM(J10:L10)</f>
        <v>19.872</v>
      </c>
      <c r="N10" s="117">
        <v>76.52</v>
      </c>
      <c r="O10" s="114">
        <v>21.219000000000001</v>
      </c>
      <c r="P10" s="115">
        <v>18.286999999999999</v>
      </c>
      <c r="Q10" s="115">
        <v>17.244</v>
      </c>
      <c r="R10" s="116">
        <f>S10-SUM(O10:Q10)</f>
        <v>19.501000000000005</v>
      </c>
      <c r="S10" s="117">
        <v>76.251000000000005</v>
      </c>
      <c r="T10" s="114">
        <v>20.262</v>
      </c>
      <c r="U10" s="115">
        <v>16.526</v>
      </c>
      <c r="V10" s="115">
        <v>17.119</v>
      </c>
      <c r="W10" s="116">
        <f>X10-SUM(T10:V10)</f>
        <v>19.646000000000001</v>
      </c>
      <c r="X10" s="117">
        <v>73.552999999999997</v>
      </c>
      <c r="Y10" s="114">
        <v>21.056999999999999</v>
      </c>
      <c r="Z10" s="115">
        <v>17.715</v>
      </c>
      <c r="AA10" s="115">
        <v>17.055</v>
      </c>
      <c r="AB10" s="116">
        <f>AC10-SUM(Y10:AA10)</f>
        <v>20.370999999999995</v>
      </c>
      <c r="AC10" s="117">
        <v>76.197999999999993</v>
      </c>
      <c r="AD10" s="114">
        <v>21.206</v>
      </c>
      <c r="AE10" s="115">
        <v>18.331</v>
      </c>
      <c r="AF10" s="115">
        <v>16.806999999999999</v>
      </c>
      <c r="AG10" s="116">
        <f>AH10-SUM(AD10:AF10)</f>
        <v>21.163000000000011</v>
      </c>
      <c r="AH10" s="117">
        <v>77.507000000000005</v>
      </c>
      <c r="AI10" s="114">
        <v>21.36</v>
      </c>
      <c r="AJ10" s="115">
        <v>17.542999999999999</v>
      </c>
      <c r="AK10" s="115">
        <v>17.812999999999999</v>
      </c>
      <c r="AL10" s="116">
        <f>AM10-SUM(AI10:AK10)</f>
        <v>19.703000000000003</v>
      </c>
      <c r="AM10" s="117">
        <v>76.418999999999997</v>
      </c>
      <c r="AN10" s="114">
        <v>21.465</v>
      </c>
      <c r="AO10" s="115">
        <v>16.808</v>
      </c>
      <c r="AP10" s="115">
        <v>18.227</v>
      </c>
      <c r="AQ10" s="116">
        <f>AR10-SUM(AN10:AP10)</f>
        <v>19.227000000000004</v>
      </c>
      <c r="AR10" s="117">
        <v>75.727000000000004</v>
      </c>
      <c r="AS10" s="114">
        <v>21.658999999999999</v>
      </c>
      <c r="AT10" s="115">
        <v>17.071999999999999</v>
      </c>
      <c r="AU10" s="115">
        <v>19.074999999999999</v>
      </c>
      <c r="AV10" s="116">
        <f>AW10-SUM(AS10:AU10)</f>
        <v>20.194000000000003</v>
      </c>
      <c r="AW10" s="117">
        <v>78</v>
      </c>
      <c r="AX10" s="120">
        <f>'NSP-MN'!AX10+'NSP-WI'!AX10+PSCO!AX10+Parent!AX8</f>
        <v>-146.04300000000001</v>
      </c>
      <c r="AY10" s="118">
        <f>'NSP-MN'!AY10+'NSP-WI'!AY10+PSCO!AY10+Parent!AY8</f>
        <v>-145.11900000000017</v>
      </c>
      <c r="AZ10" s="118">
        <f>'NSP-MN'!AZ10+'NSP-WI'!AZ10+PSCO!AZ10+Parent!AZ8</f>
        <v>-150.3280000000002</v>
      </c>
      <c r="BA10" s="119">
        <f>'NSP-MN'!BA10+'NSP-WI'!BA10+PSCO!BA10+Parent!BA8</f>
        <v>-149.44899999999899</v>
      </c>
      <c r="BB10" s="42">
        <f>SUM(AX10:BA10)</f>
        <v>-590.9389999999994</v>
      </c>
      <c r="BC10" s="120">
        <f>'NSP-MN'!BC10+'NSP-WI'!BC10+PSCO!BC10+Parent!BC8</f>
        <v>-146.04300000000001</v>
      </c>
      <c r="BD10" s="118">
        <f>'NSP-MN'!BD10+'NSP-WI'!BD10+PSCO!BD10+Parent!BD8</f>
        <v>-145.11900000000017</v>
      </c>
      <c r="BE10" s="118">
        <f>'NSP-MN'!BE10+'NSP-WI'!BE10+PSCO!BE10+Parent!BE8</f>
        <v>-150.3280000000002</v>
      </c>
      <c r="BF10" s="119">
        <f>'NSP-MN'!BF10+'NSP-WI'!BF10+PSCO!BF10+Parent!BF8</f>
        <v>-149.44899999999899</v>
      </c>
      <c r="BG10" s="42">
        <f>SUM(BC10:BF10)</f>
        <v>-590.9389999999994</v>
      </c>
      <c r="BH10" s="120">
        <f>'NSP-MN'!BH10+'NSP-WI'!BH10+PSCO!BH10+Parent!BH8</f>
        <v>-146.04300000000001</v>
      </c>
      <c r="BI10" s="118">
        <f>'NSP-MN'!BI10+'NSP-WI'!BI10+PSCO!BI10+Parent!BI8</f>
        <v>-145.11900000000017</v>
      </c>
      <c r="BJ10" s="118">
        <f>'NSP-MN'!BJ10+'NSP-WI'!BJ10+PSCO!BJ10+Parent!BJ8</f>
        <v>-150.3280000000002</v>
      </c>
      <c r="BK10" s="119">
        <f>'NSP-MN'!BK10+'NSP-WI'!BK10+PSCO!BK10+Parent!BK8</f>
        <v>-149.44899999999899</v>
      </c>
      <c r="BL10" s="42">
        <f>SUM(BH10:BK10)</f>
        <v>-590.9389999999994</v>
      </c>
      <c r="BM10" s="120">
        <f>'NSP-MN'!BM10+'NSP-WI'!BM10+PSCO!BM10+Parent!BM8</f>
        <v>-146.04300000000001</v>
      </c>
      <c r="BN10" s="118">
        <f>'NSP-MN'!BN10+'NSP-WI'!BN10+PSCO!BN10+Parent!BN8</f>
        <v>-145.11900000000017</v>
      </c>
      <c r="BO10" s="118">
        <f>'NSP-MN'!BO10+'NSP-WI'!BO10+PSCO!BO10+Parent!BO8</f>
        <v>-150.3280000000002</v>
      </c>
      <c r="BP10" s="119">
        <f>'NSP-MN'!BP10+'NSP-WI'!BP10+PSCO!BP10+Parent!BP8</f>
        <v>-149.44899999999899</v>
      </c>
      <c r="BQ10" s="42">
        <f>SUM(BM10:BP10)</f>
        <v>-590.9389999999994</v>
      </c>
      <c r="BS10" s="224"/>
      <c r="BT10" s="525"/>
      <c r="BU10" s="525"/>
      <c r="BV10" s="525"/>
      <c r="BW10" s="525"/>
      <c r="BX10" s="525"/>
      <c r="BY10" s="525"/>
      <c r="BZ10" s="525"/>
      <c r="CA10" s="525"/>
    </row>
    <row r="11" spans="1:104" x14ac:dyDescent="0.2">
      <c r="C11" s="26" t="s">
        <v>114</v>
      </c>
      <c r="D11" s="42"/>
      <c r="E11" s="121">
        <f t="shared" ref="E11:AD11" si="0">SUM(E8:E10)</f>
        <v>2695.5420000000004</v>
      </c>
      <c r="F11" s="122">
        <f t="shared" si="0"/>
        <v>2016.0829999999999</v>
      </c>
      <c r="G11" s="122">
        <f t="shared" si="0"/>
        <v>2314.5619999999999</v>
      </c>
      <c r="H11" s="123">
        <f t="shared" si="0"/>
        <v>2618.1159999999995</v>
      </c>
      <c r="I11" s="86">
        <f t="shared" si="0"/>
        <v>9644.3029999999999</v>
      </c>
      <c r="J11" s="121">
        <f t="shared" si="0"/>
        <v>2807.462</v>
      </c>
      <c r="K11" s="122">
        <f t="shared" si="0"/>
        <v>2307.7640000000001</v>
      </c>
      <c r="L11" s="122">
        <f t="shared" si="0"/>
        <v>2628.7869999999998</v>
      </c>
      <c r="M11" s="123">
        <f t="shared" si="0"/>
        <v>2566.9339999999997</v>
      </c>
      <c r="N11" s="86">
        <f t="shared" si="0"/>
        <v>10310.947</v>
      </c>
      <c r="O11" s="121">
        <f t="shared" si="0"/>
        <v>2816.54</v>
      </c>
      <c r="P11" s="122">
        <f t="shared" si="0"/>
        <v>2438.2219999999998</v>
      </c>
      <c r="Q11" s="122">
        <f t="shared" si="0"/>
        <v>2831.598</v>
      </c>
      <c r="R11" s="123">
        <f t="shared" si="0"/>
        <v>2568.4100000000008</v>
      </c>
      <c r="S11" s="86">
        <f t="shared" si="0"/>
        <v>10654.77</v>
      </c>
      <c r="T11" s="121">
        <f t="shared" si="0"/>
        <v>2578.0790000000002</v>
      </c>
      <c r="U11" s="122">
        <f>SUM(U8:U10)</f>
        <v>2274.6679999999997</v>
      </c>
      <c r="V11" s="122">
        <f>SUM(V8:V10)</f>
        <v>2724.3409999999999</v>
      </c>
      <c r="W11" s="123">
        <f t="shared" si="0"/>
        <v>2551.1350000000007</v>
      </c>
      <c r="X11" s="86">
        <f t="shared" si="0"/>
        <v>10128.223</v>
      </c>
      <c r="Y11" s="121">
        <f t="shared" si="0"/>
        <v>2782.8489999999997</v>
      </c>
      <c r="Z11" s="122">
        <f>SUM(Z8:Z10)</f>
        <v>2578.913</v>
      </c>
      <c r="AA11" s="122">
        <f>SUM(AA8:AA10)</f>
        <v>2822.3380000000002</v>
      </c>
      <c r="AB11" s="123">
        <f>SUM(AB8:AB10)</f>
        <v>2730.8219999999997</v>
      </c>
      <c r="AC11" s="86">
        <f>SUM(AC8:AC10)</f>
        <v>10914.922</v>
      </c>
      <c r="AD11" s="121">
        <f t="shared" si="0"/>
        <v>3202.6040000000003</v>
      </c>
      <c r="AE11" s="122">
        <f t="shared" ref="AE11:AJ11" si="1">SUM(AE8:AE10)</f>
        <v>2685.096</v>
      </c>
      <c r="AF11" s="122">
        <f t="shared" si="1"/>
        <v>2869.8069999999998</v>
      </c>
      <c r="AG11" s="123">
        <f t="shared" si="1"/>
        <v>2928.6279999999988</v>
      </c>
      <c r="AH11" s="86">
        <f t="shared" si="1"/>
        <v>11686.134999999998</v>
      </c>
      <c r="AI11" s="121">
        <f t="shared" si="1"/>
        <v>2962.2190000000001</v>
      </c>
      <c r="AJ11" s="122">
        <f t="shared" si="1"/>
        <v>2515.134</v>
      </c>
      <c r="AK11" s="122">
        <f t="shared" ref="AK11:AP11" si="2">SUM(AK8:AK10)</f>
        <v>2901.3119999999999</v>
      </c>
      <c r="AL11" s="123">
        <f t="shared" si="2"/>
        <v>2645.8210000000008</v>
      </c>
      <c r="AM11" s="86">
        <f t="shared" si="2"/>
        <v>11024.486000000001</v>
      </c>
      <c r="AN11" s="121">
        <f t="shared" si="2"/>
        <v>2772.2730000000001</v>
      </c>
      <c r="AO11" s="122">
        <f t="shared" si="2"/>
        <v>2499.8489999999997</v>
      </c>
      <c r="AP11" s="122">
        <f t="shared" si="2"/>
        <v>3040.1469999999999</v>
      </c>
      <c r="AQ11" s="123">
        <f t="shared" ref="AQ11:AU11" si="3">SUM(AQ8:AQ10)</f>
        <v>2794.6510000000007</v>
      </c>
      <c r="AR11" s="86">
        <f t="shared" si="3"/>
        <v>11106.920000000002</v>
      </c>
      <c r="AS11" s="121">
        <f t="shared" si="3"/>
        <v>2946.422</v>
      </c>
      <c r="AT11" s="122">
        <f t="shared" si="3"/>
        <v>2644.9279999999999</v>
      </c>
      <c r="AU11" s="122">
        <f t="shared" si="3"/>
        <v>3016.8969999999999</v>
      </c>
      <c r="AV11" s="123">
        <f t="shared" ref="AV11:AW11" si="4">SUM(AV8:AV10)</f>
        <v>2795.7530000000011</v>
      </c>
      <c r="AW11" s="86">
        <f t="shared" si="4"/>
        <v>11404</v>
      </c>
      <c r="AX11" s="121">
        <f t="shared" ref="AX11:BG11" si="5">SUM(AX8:AX10)</f>
        <v>3015.6539916962161</v>
      </c>
      <c r="AY11" s="122">
        <f t="shared" si="5"/>
        <v>2649.7626510631549</v>
      </c>
      <c r="AZ11" s="122">
        <f t="shared" si="5"/>
        <v>2983.3525169215045</v>
      </c>
      <c r="BA11" s="123">
        <f t="shared" si="5"/>
        <v>2828.3398164420501</v>
      </c>
      <c r="BB11" s="86">
        <f t="shared" si="5"/>
        <v>11477.108976122927</v>
      </c>
      <c r="BC11" s="121">
        <f t="shared" si="5"/>
        <v>3089.6005884702658</v>
      </c>
      <c r="BD11" s="122">
        <f t="shared" si="5"/>
        <v>2720.474555485026</v>
      </c>
      <c r="BE11" s="122">
        <f t="shared" si="5"/>
        <v>3068.5475397638556</v>
      </c>
      <c r="BF11" s="123">
        <f t="shared" si="5"/>
        <v>2899.8653970529044</v>
      </c>
      <c r="BG11" s="86">
        <f t="shared" si="5"/>
        <v>11778.488080772051</v>
      </c>
      <c r="BH11" s="121">
        <f t="shared" ref="BH11:BQ11" si="6">SUM(BH8:BH10)</f>
        <v>3171.3848472505956</v>
      </c>
      <c r="BI11" s="122">
        <f t="shared" si="6"/>
        <v>2797.8659102212623</v>
      </c>
      <c r="BJ11" s="122">
        <f t="shared" si="6"/>
        <v>3161.8279849908622</v>
      </c>
      <c r="BK11" s="123">
        <f t="shared" si="6"/>
        <v>2978.4850488357642</v>
      </c>
      <c r="BL11" s="86">
        <f t="shared" si="6"/>
        <v>12109.563791298486</v>
      </c>
      <c r="BM11" s="121">
        <f t="shared" si="6"/>
        <v>3243.048725416777</v>
      </c>
      <c r="BN11" s="122">
        <f t="shared" si="6"/>
        <v>2864.5329807028902</v>
      </c>
      <c r="BO11" s="122">
        <f t="shared" si="6"/>
        <v>3241.049470805825</v>
      </c>
      <c r="BP11" s="123">
        <f t="shared" si="6"/>
        <v>3047.0039046441466</v>
      </c>
      <c r="BQ11" s="86">
        <f t="shared" si="6"/>
        <v>12395.635081569639</v>
      </c>
      <c r="BS11" s="224"/>
      <c r="BT11" s="525"/>
      <c r="BU11" s="525"/>
      <c r="BV11" s="525"/>
      <c r="BW11" s="525"/>
      <c r="BX11" s="525"/>
      <c r="BY11" s="525"/>
      <c r="BZ11" s="525"/>
      <c r="CA11" s="525"/>
    </row>
    <row r="12" spans="1:104" x14ac:dyDescent="0.2">
      <c r="C12" s="26"/>
      <c r="D12" s="42"/>
      <c r="E12" s="124"/>
      <c r="F12" s="125"/>
      <c r="G12" s="125"/>
      <c r="H12" s="126"/>
      <c r="I12" s="127"/>
      <c r="J12" s="124"/>
      <c r="K12" s="125"/>
      <c r="L12" s="125"/>
      <c r="M12" s="126"/>
      <c r="N12" s="127"/>
      <c r="O12" s="124"/>
      <c r="P12" s="128"/>
      <c r="Q12" s="128"/>
      <c r="R12" s="126"/>
      <c r="S12" s="127"/>
      <c r="T12" s="124"/>
      <c r="U12" s="128"/>
      <c r="V12" s="128"/>
      <c r="W12" s="126"/>
      <c r="X12" s="127"/>
      <c r="Y12" s="124"/>
      <c r="Z12" s="128"/>
      <c r="AA12" s="128"/>
      <c r="AB12" s="126"/>
      <c r="AC12" s="127"/>
      <c r="AD12" s="124"/>
      <c r="AE12" s="128"/>
      <c r="AF12" s="128"/>
      <c r="AG12" s="126"/>
      <c r="AH12" s="127"/>
      <c r="AI12" s="124"/>
      <c r="AJ12" s="128"/>
      <c r="AK12" s="128"/>
      <c r="AL12" s="126"/>
      <c r="AM12" s="127"/>
      <c r="AN12" s="124"/>
      <c r="AO12" s="128"/>
      <c r="AP12" s="130"/>
      <c r="AQ12" s="126"/>
      <c r="AR12" s="127"/>
      <c r="AS12" s="124"/>
      <c r="AT12" s="128"/>
      <c r="AU12" s="130"/>
      <c r="AV12" s="126"/>
      <c r="AW12" s="127"/>
      <c r="AX12" s="121"/>
      <c r="AY12" s="130"/>
      <c r="AZ12" s="130"/>
      <c r="BA12" s="123"/>
      <c r="BB12" s="127"/>
      <c r="BC12" s="121"/>
      <c r="BD12" s="130"/>
      <c r="BE12" s="130"/>
      <c r="BF12" s="123"/>
      <c r="BG12" s="127"/>
      <c r="BH12" s="121"/>
      <c r="BI12" s="130"/>
      <c r="BJ12" s="130"/>
      <c r="BK12" s="123"/>
      <c r="BL12" s="127"/>
      <c r="BM12" s="121"/>
      <c r="BN12" s="130"/>
      <c r="BO12" s="130"/>
      <c r="BP12" s="123"/>
      <c r="BQ12" s="127"/>
      <c r="BS12" s="224"/>
      <c r="BT12" s="525"/>
      <c r="BU12" s="525"/>
      <c r="BV12" s="525"/>
      <c r="BW12" s="525"/>
      <c r="BX12" s="525"/>
      <c r="BY12" s="525"/>
      <c r="BZ12" s="525"/>
      <c r="CA12" s="525"/>
    </row>
    <row r="13" spans="1:104" x14ac:dyDescent="0.2">
      <c r="C13" s="20" t="s">
        <v>115</v>
      </c>
      <c r="D13" s="82"/>
      <c r="E13" s="114">
        <v>924.74800000000005</v>
      </c>
      <c r="F13" s="115">
        <v>797.101</v>
      </c>
      <c r="G13" s="115">
        <v>982.10299999999995</v>
      </c>
      <c r="H13" s="131">
        <f>I13-SUM(E13:G13)</f>
        <v>968.53799999999956</v>
      </c>
      <c r="I13" s="117">
        <v>3672.49</v>
      </c>
      <c r="J13" s="114">
        <v>988.47799999999995</v>
      </c>
      <c r="K13" s="115">
        <v>986.08799999999997</v>
      </c>
      <c r="L13" s="115">
        <v>1110.7809999999999</v>
      </c>
      <c r="M13" s="131">
        <f>N13-SUM(J13:L13)</f>
        <v>925.3130000000001</v>
      </c>
      <c r="N13" s="117">
        <v>4010.66</v>
      </c>
      <c r="O13" s="114">
        <v>931.82799999999997</v>
      </c>
      <c r="P13" s="115">
        <v>989.41300000000001</v>
      </c>
      <c r="Q13" s="115">
        <v>1150.252</v>
      </c>
      <c r="R13" s="131">
        <f>S13-SUM(O13:Q13)</f>
        <v>920.29300000000012</v>
      </c>
      <c r="S13" s="117">
        <v>3991.7860000000001</v>
      </c>
      <c r="T13" s="114">
        <v>863.98</v>
      </c>
      <c r="U13" s="115">
        <v>854.37300000000005</v>
      </c>
      <c r="V13" s="115">
        <v>1006.83</v>
      </c>
      <c r="W13" s="131">
        <f>X13-SUM(T13:V13)</f>
        <v>898.75199999999995</v>
      </c>
      <c r="X13" s="117">
        <v>3623.9349999999999</v>
      </c>
      <c r="Y13" s="114">
        <v>925.04300000000001</v>
      </c>
      <c r="Z13" s="115">
        <v>1011.044</v>
      </c>
      <c r="AA13" s="115">
        <v>1097.944</v>
      </c>
      <c r="AB13" s="131">
        <f>AC13-SUM(Y13:AA13)</f>
        <v>984.64100000000008</v>
      </c>
      <c r="AC13" s="117">
        <v>4018.672</v>
      </c>
      <c r="AD13" s="114">
        <v>1067.3209999999999</v>
      </c>
      <c r="AE13" s="115">
        <v>1041.3219999999999</v>
      </c>
      <c r="AF13" s="115">
        <v>1079.855</v>
      </c>
      <c r="AG13" s="131">
        <f>AH13-SUM(AD13:AF13)</f>
        <v>1021.6439999999998</v>
      </c>
      <c r="AH13" s="117">
        <v>4210.1419999999998</v>
      </c>
      <c r="AI13" s="114">
        <v>950.13199999999995</v>
      </c>
      <c r="AJ13" s="115">
        <v>904.70500000000004</v>
      </c>
      <c r="AK13" s="115">
        <v>1014.726</v>
      </c>
      <c r="AL13" s="131">
        <f>AM13-SUM(AI13:AK13)</f>
        <v>893.38999999999987</v>
      </c>
      <c r="AM13" s="117">
        <v>3762.953</v>
      </c>
      <c r="AN13" s="114">
        <v>861.85199999999998</v>
      </c>
      <c r="AO13" s="115">
        <v>855.96799999999996</v>
      </c>
      <c r="AP13" s="115">
        <v>1037.2629999999999</v>
      </c>
      <c r="AQ13" s="131">
        <f>AR13-SUM(AN13:AP13)</f>
        <v>962.60200000000032</v>
      </c>
      <c r="AR13" s="117">
        <v>3717.6849999999999</v>
      </c>
      <c r="AS13" s="114">
        <v>925.221</v>
      </c>
      <c r="AT13" s="115">
        <v>919.09900000000005</v>
      </c>
      <c r="AU13" s="115">
        <v>1006.16</v>
      </c>
      <c r="AV13" s="131">
        <f>AW13-SUM(AS13:AU13)</f>
        <v>906.52</v>
      </c>
      <c r="AW13" s="117">
        <v>3757</v>
      </c>
      <c r="AX13" s="136">
        <f>'NSP-MN'!AX13+'NSP-WI'!AX13+PSCO!AX13+SPS!AX9</f>
        <v>1061.5438015025238</v>
      </c>
      <c r="AY13" s="137">
        <f>'NSP-MN'!AY13+'NSP-WI'!AY13+PSCO!AY13+SPS!AY9</f>
        <v>1032.4003057789002</v>
      </c>
      <c r="AZ13" s="137">
        <f>'NSP-MN'!AZ13+'NSP-WI'!AZ13+PSCO!AZ13+SPS!AZ9</f>
        <v>1138.6615144964744</v>
      </c>
      <c r="BA13" s="116">
        <f>'NSP-MN'!BA13+'NSP-WI'!BA13+PSCO!BA13+SPS!BA9</f>
        <v>1034.8575857906358</v>
      </c>
      <c r="BB13" s="82">
        <f>SUM(AX13:BA13)</f>
        <v>4267.4632075685349</v>
      </c>
      <c r="BC13" s="136">
        <f>'NSP-MN'!BC13+'NSP-WI'!BC13+PSCO!BC13+SPS!BC9</f>
        <v>1063.6339714642381</v>
      </c>
      <c r="BD13" s="137">
        <f>'NSP-MN'!BD13+'NSP-WI'!BD13+PSCO!BD13+SPS!BD9</f>
        <v>1034.4625108834889</v>
      </c>
      <c r="BE13" s="137">
        <f>'NSP-MN'!BE13+'NSP-WI'!BE13+PSCO!BE13+SPS!BE9</f>
        <v>1141.1381347015406</v>
      </c>
      <c r="BF13" s="116">
        <f>'NSP-MN'!BF13+'NSP-WI'!BF13+PSCO!BF13+SPS!BF9</f>
        <v>1037.2013117610213</v>
      </c>
      <c r="BG13" s="82">
        <f>SUM(BC13:BF13)</f>
        <v>4276.4359288102887</v>
      </c>
      <c r="BH13" s="136">
        <f>'NSP-MN'!BH13+'NSP-WI'!BH13+PSCO!BH13+SPS!BH9</f>
        <v>1065.7293668508569</v>
      </c>
      <c r="BI13" s="137">
        <f>'NSP-MN'!BI13+'NSP-WI'!BI13+PSCO!BI13+SPS!BI9</f>
        <v>1036.5298715008389</v>
      </c>
      <c r="BJ13" s="137">
        <f>'NSP-MN'!BJ13+'NSP-WI'!BJ13+PSCO!BJ13+SPS!BJ9</f>
        <v>1143.6209464571191</v>
      </c>
      <c r="BK13" s="116">
        <f>'NSP-MN'!BK13+'NSP-WI'!BK13+PSCO!BK13+SPS!BK9</f>
        <v>1039.5508970463325</v>
      </c>
      <c r="BL13" s="82">
        <f>SUM(BH13:BK13)</f>
        <v>4285.4310818551476</v>
      </c>
      <c r="BM13" s="136">
        <f>'NSP-MN'!BM13+'NSP-WI'!BM13+PSCO!BM13+SPS!BM9</f>
        <v>1067.830000725942</v>
      </c>
      <c r="BN13" s="137">
        <f>'NSP-MN'!BN13+'NSP-WI'!BN13+PSCO!BN13+SPS!BN9</f>
        <v>1038.6024005197326</v>
      </c>
      <c r="BO13" s="137">
        <f>'NSP-MN'!BO13+'NSP-WI'!BO13+PSCO!BO13+SPS!BO9</f>
        <v>1146.1099652420867</v>
      </c>
      <c r="BP13" s="116">
        <f>'NSP-MN'!BP13+'NSP-WI'!BP13+PSCO!BP13+SPS!BP9</f>
        <v>1041.906356294857</v>
      </c>
      <c r="BQ13" s="82">
        <f>SUM(BM13:BP13)</f>
        <v>4294.4487227826185</v>
      </c>
      <c r="BR13" s="20"/>
      <c r="BS13" s="224"/>
      <c r="BT13" s="573"/>
      <c r="BU13" s="573"/>
      <c r="BV13" s="573"/>
      <c r="BW13" s="573"/>
      <c r="BX13" s="573"/>
      <c r="BY13" s="573"/>
      <c r="BZ13" s="573"/>
      <c r="CA13" s="573"/>
      <c r="CB13" s="20"/>
      <c r="CC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</row>
    <row r="14" spans="1:104" x14ac:dyDescent="0.2">
      <c r="C14" s="20" t="s">
        <v>116</v>
      </c>
      <c r="D14" s="42"/>
      <c r="E14" s="114">
        <v>591.76499999999999</v>
      </c>
      <c r="F14" s="115">
        <v>146.38800000000001</v>
      </c>
      <c r="G14" s="115">
        <v>71.638000000000005</v>
      </c>
      <c r="H14" s="131">
        <f>I14-SUM(E14:G14)</f>
        <v>456.649</v>
      </c>
      <c r="I14" s="117">
        <v>1266.44</v>
      </c>
      <c r="J14" s="114">
        <v>581.11300000000006</v>
      </c>
      <c r="K14" s="115">
        <v>126.96299999999999</v>
      </c>
      <c r="L14" s="115">
        <v>66.570999999999998</v>
      </c>
      <c r="M14" s="131">
        <f>N14-SUM(J14:L14)</f>
        <v>388.27899999999988</v>
      </c>
      <c r="N14" s="117">
        <v>1162.9259999999999</v>
      </c>
      <c r="O14" s="114">
        <v>543.37599999999998</v>
      </c>
      <c r="P14" s="115">
        <v>163.05600000000001</v>
      </c>
      <c r="Q14" s="115">
        <v>87.106999999999999</v>
      </c>
      <c r="R14" s="131">
        <f>S14-SUM(O14:Q14)</f>
        <v>370.35100000000011</v>
      </c>
      <c r="S14" s="117">
        <v>1163.8900000000001</v>
      </c>
      <c r="T14" s="114">
        <v>417.94600000000003</v>
      </c>
      <c r="U14" s="115">
        <v>89.759</v>
      </c>
      <c r="V14" s="115">
        <v>49.738999999999997</v>
      </c>
      <c r="W14" s="131">
        <f>X14-SUM(T14:V14)</f>
        <v>323.49499999999989</v>
      </c>
      <c r="X14" s="117">
        <v>880.93899999999996</v>
      </c>
      <c r="Y14" s="114">
        <v>439.375</v>
      </c>
      <c r="Z14" s="115">
        <v>188.76499999999999</v>
      </c>
      <c r="AA14" s="115">
        <v>74.846999999999994</v>
      </c>
      <c r="AB14" s="131">
        <f>AC14-SUM(Y14:AA14)</f>
        <v>379.76400000000001</v>
      </c>
      <c r="AC14" s="117">
        <v>1082.751</v>
      </c>
      <c r="AD14" s="114">
        <v>623.82799999999997</v>
      </c>
      <c r="AE14" s="115">
        <v>210.90100000000001</v>
      </c>
      <c r="AF14" s="115">
        <v>99.343999999999994</v>
      </c>
      <c r="AG14" s="131">
        <f>AH14-SUM(AD14:AF14)</f>
        <v>438.40599999999995</v>
      </c>
      <c r="AH14" s="117">
        <v>1372.479</v>
      </c>
      <c r="AI14" s="114">
        <v>472.37099999999998</v>
      </c>
      <c r="AJ14" s="115">
        <v>126.667</v>
      </c>
      <c r="AK14" s="115">
        <v>66.070999999999998</v>
      </c>
      <c r="AL14" s="131">
        <f>AM14-SUM(AI14:AK14)</f>
        <v>239.68499999999995</v>
      </c>
      <c r="AM14" s="117">
        <v>904.79399999999998</v>
      </c>
      <c r="AN14" s="114">
        <v>312.11700000000002</v>
      </c>
      <c r="AO14" s="115">
        <v>90.070999999999998</v>
      </c>
      <c r="AP14" s="115">
        <v>67.566000000000003</v>
      </c>
      <c r="AQ14" s="131">
        <f>AR14-SUM(AN14:AP14)</f>
        <v>262.93499999999995</v>
      </c>
      <c r="AR14" s="117">
        <v>732.68899999999996</v>
      </c>
      <c r="AS14" s="114">
        <v>365.13400000000001</v>
      </c>
      <c r="AT14" s="115">
        <v>114.32</v>
      </c>
      <c r="AU14" s="115">
        <v>63.997999999999998</v>
      </c>
      <c r="AV14" s="131">
        <f>AW14-SUM(AS14:AU14)</f>
        <v>279.548</v>
      </c>
      <c r="AW14" s="117">
        <v>823</v>
      </c>
      <c r="AX14" s="136">
        <f>'NSP-MN'!AX14+'NSP-WI'!AX14+PSCO!AX14</f>
        <v>382.84299899999996</v>
      </c>
      <c r="AY14" s="137">
        <f>'NSP-MN'!AY14+'NSP-WI'!AY14+PSCO!AY14</f>
        <v>114.60680249999999</v>
      </c>
      <c r="AZ14" s="137">
        <f>'NSP-MN'!AZ14+'NSP-WI'!AZ14+PSCO!AZ14</f>
        <v>63.838005000000003</v>
      </c>
      <c r="BA14" s="116">
        <f>'NSP-MN'!BA14+'NSP-WI'!BA14+PSCO!BA14</f>
        <v>281.40180250000003</v>
      </c>
      <c r="BB14" s="82">
        <f>SUM(AX14:BA14)</f>
        <v>842.6896089999999</v>
      </c>
      <c r="BC14" s="136">
        <f>'NSP-MN'!BC14+'NSP-WI'!BC14+PSCO!BC14</f>
        <v>381.88589150249999</v>
      </c>
      <c r="BD14" s="137">
        <f>'NSP-MN'!BD14+'NSP-WI'!BD14+PSCO!BD14</f>
        <v>114.32028549375001</v>
      </c>
      <c r="BE14" s="137">
        <f>'NSP-MN'!BE14+'NSP-WI'!BE14+PSCO!BE14</f>
        <v>63.678409987500004</v>
      </c>
      <c r="BF14" s="116">
        <f>'NSP-MN'!BF14+'NSP-WI'!BF14+PSCO!BF14</f>
        <v>280.69829799374997</v>
      </c>
      <c r="BG14" s="82">
        <f>SUM(BC14:BF14)</f>
        <v>840.58288497750004</v>
      </c>
      <c r="BH14" s="136">
        <f>'NSP-MN'!BH14+'NSP-WI'!BH14+PSCO!BH14</f>
        <v>380.9311767737438</v>
      </c>
      <c r="BI14" s="137">
        <f>'NSP-MN'!BI14+'NSP-WI'!BI14+PSCO!BI14</f>
        <v>114.03448478001565</v>
      </c>
      <c r="BJ14" s="137">
        <f>'NSP-MN'!BJ14+'NSP-WI'!BJ14+PSCO!BJ14</f>
        <v>63.519213962531261</v>
      </c>
      <c r="BK14" s="116">
        <f>'NSP-MN'!BK14+'NSP-WI'!BK14+PSCO!BK14</f>
        <v>279.99655224876568</v>
      </c>
      <c r="BL14" s="82">
        <f>SUM(BH14:BK14)</f>
        <v>838.48142776505642</v>
      </c>
      <c r="BM14" s="136">
        <f>'NSP-MN'!BM14+'NSP-WI'!BM14+PSCO!BM14</f>
        <v>379.97884883180939</v>
      </c>
      <c r="BN14" s="137">
        <f>'NSP-MN'!BN14+'NSP-WI'!BN14+PSCO!BN14</f>
        <v>113.74939856806562</v>
      </c>
      <c r="BO14" s="137">
        <f>'NSP-MN'!BO14+'NSP-WI'!BO14+PSCO!BO14</f>
        <v>63.360415927624928</v>
      </c>
      <c r="BP14" s="116">
        <f>'NSP-MN'!BP14+'NSP-WI'!BP14+PSCO!BP14</f>
        <v>279.29656086814379</v>
      </c>
      <c r="BQ14" s="82">
        <f>SUM(BM14:BP14)</f>
        <v>836.38522419564379</v>
      </c>
      <c r="BR14" s="20"/>
      <c r="BS14" s="224"/>
      <c r="BT14" s="573"/>
      <c r="BU14" s="573"/>
      <c r="BV14" s="573"/>
      <c r="BW14" s="573"/>
      <c r="BX14" s="573"/>
      <c r="BY14" s="573"/>
      <c r="BZ14" s="573"/>
      <c r="CA14" s="573"/>
      <c r="CB14" s="20"/>
      <c r="CC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</row>
    <row r="15" spans="1:104" x14ac:dyDescent="0.2">
      <c r="C15" s="20" t="s">
        <v>117</v>
      </c>
      <c r="D15" s="42"/>
      <c r="E15" s="114">
        <v>5.3659999999999997</v>
      </c>
      <c r="F15" s="115">
        <v>3.9870000000000001</v>
      </c>
      <c r="G15" s="115">
        <v>4.915</v>
      </c>
      <c r="H15" s="131">
        <f>I15-SUM(E15:G15)</f>
        <v>7.8389999999999986</v>
      </c>
      <c r="I15" s="117">
        <v>22.106999999999999</v>
      </c>
      <c r="J15" s="114">
        <v>7.6920000000000002</v>
      </c>
      <c r="K15" s="115">
        <v>4.7039999999999997</v>
      </c>
      <c r="L15" s="115">
        <v>8.8480000000000008</v>
      </c>
      <c r="M15" s="131">
        <f>N15-SUM(J15:L15)</f>
        <v>8.2959999999999994</v>
      </c>
      <c r="N15" s="117">
        <v>29.54</v>
      </c>
      <c r="O15" s="114">
        <v>8.0549999999999997</v>
      </c>
      <c r="P15" s="115">
        <v>6.891</v>
      </c>
      <c r="Q15" s="115">
        <v>7.1539999999999999</v>
      </c>
      <c r="R15" s="131">
        <f>S15-SUM(O15:Q15)</f>
        <v>8.2909999999999968</v>
      </c>
      <c r="S15" s="117">
        <v>30.390999999999998</v>
      </c>
      <c r="T15" s="114">
        <v>7.3040000000000003</v>
      </c>
      <c r="U15" s="115">
        <v>5.944</v>
      </c>
      <c r="V15" s="115">
        <v>7.2510000000000003</v>
      </c>
      <c r="W15" s="131">
        <f>X15-SUM(T15:V15)</f>
        <v>8.5679999999999978</v>
      </c>
      <c r="X15" s="117">
        <v>29.067</v>
      </c>
      <c r="Y15" s="114">
        <v>8.4109999999999996</v>
      </c>
      <c r="Z15" s="115">
        <v>7.8810000000000002</v>
      </c>
      <c r="AA15" s="115">
        <v>7.54</v>
      </c>
      <c r="AB15" s="131">
        <f>AC15-SUM(Y15:AA15)</f>
        <v>9.4909999999999997</v>
      </c>
      <c r="AC15" s="117">
        <v>33.323</v>
      </c>
      <c r="AD15" s="114">
        <v>9.1289999999999996</v>
      </c>
      <c r="AE15" s="115">
        <v>7.6420000000000003</v>
      </c>
      <c r="AF15" s="115">
        <v>8.0120000000000005</v>
      </c>
      <c r="AG15" s="131">
        <f>AH15-SUM(AD15:AF15)</f>
        <v>9.5689999999999955</v>
      </c>
      <c r="AH15" s="117">
        <v>34.351999999999997</v>
      </c>
      <c r="AI15" s="114">
        <v>10.048999999999999</v>
      </c>
      <c r="AJ15" s="115">
        <v>8.1639999999999997</v>
      </c>
      <c r="AK15" s="115">
        <v>8.2029999999999994</v>
      </c>
      <c r="AL15" s="131">
        <f>AM15-SUM(AI15:AK15)</f>
        <v>9.8000000000000007</v>
      </c>
      <c r="AM15" s="117">
        <v>36.216000000000001</v>
      </c>
      <c r="AN15" s="114">
        <v>8.2449999999999992</v>
      </c>
      <c r="AO15" s="115">
        <v>8.3320000000000007</v>
      </c>
      <c r="AP15" s="115">
        <v>8.6479999999999997</v>
      </c>
      <c r="AQ15" s="131">
        <f>AR15-SUM(AN15:AP15)</f>
        <v>10.850000000000005</v>
      </c>
      <c r="AR15" s="117">
        <v>36.075000000000003</v>
      </c>
      <c r="AS15" s="114">
        <v>8.5869999999999997</v>
      </c>
      <c r="AT15" s="115">
        <v>8.1780000000000008</v>
      </c>
      <c r="AU15" s="115">
        <v>8.4510000000000005</v>
      </c>
      <c r="AV15" s="131">
        <f>AW15-SUM(AS15:AU15)</f>
        <v>8.7839999999999989</v>
      </c>
      <c r="AW15" s="117">
        <v>34</v>
      </c>
      <c r="AX15" s="136">
        <f>'NSP-MN'!AX15+PSCO!AX15+Parent!AX9</f>
        <v>-114.15599999999998</v>
      </c>
      <c r="AY15" s="137">
        <f>'NSP-MN'!AY15+PSCO!AY15+Parent!AY9</f>
        <v>-109.51099999999974</v>
      </c>
      <c r="AZ15" s="137">
        <f>'NSP-MN'!AZ15+PSCO!AZ15+Parent!AZ9</f>
        <v>-116.66700000000003</v>
      </c>
      <c r="BA15" s="116">
        <f>'NSP-MN'!BA15+PSCO!BA15+Parent!BA9</f>
        <v>-115.10400000000027</v>
      </c>
      <c r="BB15" s="82">
        <f>SUM(AX15:BA15)</f>
        <v>-455.43799999999999</v>
      </c>
      <c r="BC15" s="136">
        <f>'NSP-MN'!BC15+PSCO!BC15+Parent!BC9</f>
        <v>-114.15599999999998</v>
      </c>
      <c r="BD15" s="137">
        <f>'NSP-MN'!BD15+PSCO!BD15+Parent!BD9</f>
        <v>-109.51099999999974</v>
      </c>
      <c r="BE15" s="137">
        <f>'NSP-MN'!BE15+PSCO!BE15+Parent!BE9</f>
        <v>-116.66700000000003</v>
      </c>
      <c r="BF15" s="116">
        <f>'NSP-MN'!BF15+PSCO!BF15+Parent!BF9</f>
        <v>-115.10400000000027</v>
      </c>
      <c r="BG15" s="82">
        <f>SUM(BC15:BF15)</f>
        <v>-455.43799999999999</v>
      </c>
      <c r="BH15" s="136">
        <f>'NSP-MN'!BH15+PSCO!BH15+Parent!BH9</f>
        <v>-114.15599999999998</v>
      </c>
      <c r="BI15" s="137">
        <f>'NSP-MN'!BI15+PSCO!BI15+Parent!BI9</f>
        <v>-109.51099999999974</v>
      </c>
      <c r="BJ15" s="137">
        <f>'NSP-MN'!BJ15+PSCO!BJ15+Parent!BJ9</f>
        <v>-116.66700000000003</v>
      </c>
      <c r="BK15" s="116">
        <f>'NSP-MN'!BK15+PSCO!BK15+Parent!BK9</f>
        <v>-115.10400000000027</v>
      </c>
      <c r="BL15" s="82">
        <f>SUM(BH15:BK15)</f>
        <v>-455.43799999999999</v>
      </c>
      <c r="BM15" s="136">
        <f>'NSP-MN'!BM15+PSCO!BM15+Parent!BM9</f>
        <v>-114.15599999999998</v>
      </c>
      <c r="BN15" s="137">
        <f>'NSP-MN'!BN15+PSCO!BN15+Parent!BN9</f>
        <v>-109.51099999999974</v>
      </c>
      <c r="BO15" s="137">
        <f>'NSP-MN'!BO15+PSCO!BO15+Parent!BO9</f>
        <v>-116.66700000000003</v>
      </c>
      <c r="BP15" s="116">
        <f>'NSP-MN'!BP15+PSCO!BP15+Parent!BP9</f>
        <v>-115.10400000000027</v>
      </c>
      <c r="BQ15" s="82">
        <f>SUM(BM15:BP15)</f>
        <v>-455.43799999999999</v>
      </c>
      <c r="BR15" s="20"/>
      <c r="BS15" s="224"/>
      <c r="BT15" s="573"/>
      <c r="BU15" s="573"/>
      <c r="BV15" s="573"/>
      <c r="BW15" s="573"/>
      <c r="BX15" s="573"/>
      <c r="BY15" s="573"/>
      <c r="BZ15" s="573"/>
      <c r="CA15" s="573"/>
      <c r="CB15" s="20"/>
      <c r="CC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</row>
    <row r="16" spans="1:104" x14ac:dyDescent="0.2">
      <c r="A16" s="26"/>
      <c r="B16" s="26"/>
      <c r="C16" s="26" t="s">
        <v>118</v>
      </c>
      <c r="D16" s="86"/>
      <c r="E16" s="121">
        <f t="shared" ref="E16:AD16" si="7">SUM(E13:E15)</f>
        <v>1521.8789999999999</v>
      </c>
      <c r="F16" s="122">
        <f t="shared" si="7"/>
        <v>947.476</v>
      </c>
      <c r="G16" s="122">
        <f t="shared" si="7"/>
        <v>1058.6559999999999</v>
      </c>
      <c r="H16" s="123">
        <f t="shared" si="7"/>
        <v>1433.0259999999994</v>
      </c>
      <c r="I16" s="86">
        <f t="shared" si="7"/>
        <v>4961.0370000000003</v>
      </c>
      <c r="J16" s="121">
        <f t="shared" si="7"/>
        <v>1577.2829999999999</v>
      </c>
      <c r="K16" s="122">
        <f t="shared" si="7"/>
        <v>1117.7549999999999</v>
      </c>
      <c r="L16" s="122">
        <f t="shared" si="7"/>
        <v>1186.1999999999998</v>
      </c>
      <c r="M16" s="123">
        <f t="shared" si="7"/>
        <v>1321.8880000000001</v>
      </c>
      <c r="N16" s="86">
        <f t="shared" si="7"/>
        <v>5203.1259999999993</v>
      </c>
      <c r="O16" s="121">
        <f t="shared" si="7"/>
        <v>1483.259</v>
      </c>
      <c r="P16" s="122">
        <f t="shared" si="7"/>
        <v>1159.3600000000001</v>
      </c>
      <c r="Q16" s="122">
        <f t="shared" si="7"/>
        <v>1244.5129999999999</v>
      </c>
      <c r="R16" s="123">
        <f t="shared" si="7"/>
        <v>1298.9350000000002</v>
      </c>
      <c r="S16" s="86">
        <f t="shared" si="7"/>
        <v>5186.067</v>
      </c>
      <c r="T16" s="121">
        <f t="shared" si="7"/>
        <v>1289.23</v>
      </c>
      <c r="U16" s="122">
        <f>SUM(U13:U15)</f>
        <v>950.07600000000002</v>
      </c>
      <c r="V16" s="122">
        <f>SUM(V13:V15)</f>
        <v>1063.82</v>
      </c>
      <c r="W16" s="123">
        <f t="shared" si="7"/>
        <v>1230.8149999999998</v>
      </c>
      <c r="X16" s="86">
        <f t="shared" si="7"/>
        <v>4533.9409999999998</v>
      </c>
      <c r="Y16" s="121">
        <f t="shared" si="7"/>
        <v>1372.8290000000002</v>
      </c>
      <c r="Z16" s="122">
        <f>SUM(Z13:Z15)</f>
        <v>1207.69</v>
      </c>
      <c r="AA16" s="122">
        <f>SUM(AA13:AA15)</f>
        <v>1180.3309999999999</v>
      </c>
      <c r="AB16" s="123">
        <f>SUM(AB13:AB15)</f>
        <v>1373.8960000000002</v>
      </c>
      <c r="AC16" s="86">
        <f>SUM(AC13:AC15)</f>
        <v>5134.7460000000001</v>
      </c>
      <c r="AD16" s="121">
        <f t="shared" si="7"/>
        <v>1700.2779999999998</v>
      </c>
      <c r="AE16" s="122">
        <f t="shared" ref="AE16:AJ16" si="8">SUM(AE13:AE15)</f>
        <v>1259.865</v>
      </c>
      <c r="AF16" s="122">
        <f t="shared" si="8"/>
        <v>1187.211</v>
      </c>
      <c r="AG16" s="123">
        <f t="shared" si="8"/>
        <v>1469.6189999999997</v>
      </c>
      <c r="AH16" s="86">
        <f t="shared" si="8"/>
        <v>5616.973</v>
      </c>
      <c r="AI16" s="121">
        <f t="shared" si="8"/>
        <v>1432.5519999999999</v>
      </c>
      <c r="AJ16" s="122">
        <f t="shared" si="8"/>
        <v>1039.5360000000001</v>
      </c>
      <c r="AK16" s="122">
        <f t="shared" ref="AK16:AP16" si="9">SUM(AK13:AK15)</f>
        <v>1089</v>
      </c>
      <c r="AL16" s="123">
        <f t="shared" si="9"/>
        <v>1142.8749999999998</v>
      </c>
      <c r="AM16" s="86">
        <f t="shared" si="9"/>
        <v>4703.9630000000006</v>
      </c>
      <c r="AN16" s="121">
        <f t="shared" si="9"/>
        <v>1182.2139999999999</v>
      </c>
      <c r="AO16" s="122">
        <f t="shared" si="9"/>
        <v>954.37099999999998</v>
      </c>
      <c r="AP16" s="122">
        <f t="shared" si="9"/>
        <v>1113.4769999999999</v>
      </c>
      <c r="AQ16" s="123">
        <f t="shared" ref="AQ16:AW16" si="10">SUM(AQ13:AQ15)</f>
        <v>1236.3870000000002</v>
      </c>
      <c r="AR16" s="86">
        <f t="shared" si="10"/>
        <v>4486.4489999999996</v>
      </c>
      <c r="AS16" s="121">
        <f t="shared" si="10"/>
        <v>1298.942</v>
      </c>
      <c r="AT16" s="122">
        <f t="shared" si="10"/>
        <v>1041.5970000000002</v>
      </c>
      <c r="AU16" s="122">
        <f t="shared" si="10"/>
        <v>1078.6089999999999</v>
      </c>
      <c r="AV16" s="123">
        <f t="shared" si="10"/>
        <v>1194.8520000000001</v>
      </c>
      <c r="AW16" s="86">
        <f t="shared" si="10"/>
        <v>4614</v>
      </c>
      <c r="AX16" s="121">
        <f t="shared" ref="AX16:BB16" si="11">SUM(AX13:AX15)</f>
        <v>1330.2308005025238</v>
      </c>
      <c r="AY16" s="122">
        <f t="shared" si="11"/>
        <v>1037.4961082789005</v>
      </c>
      <c r="AZ16" s="122">
        <f t="shared" si="11"/>
        <v>1085.8325194964746</v>
      </c>
      <c r="BA16" s="123">
        <f t="shared" si="11"/>
        <v>1201.1553882906355</v>
      </c>
      <c r="BB16" s="86">
        <f t="shared" si="11"/>
        <v>4654.7148165685348</v>
      </c>
      <c r="BC16" s="121">
        <f t="shared" ref="BC16:BL16" si="12">SUM(BC13:BC15)</f>
        <v>1331.3638629667382</v>
      </c>
      <c r="BD16" s="122">
        <f t="shared" si="12"/>
        <v>1039.2717963772391</v>
      </c>
      <c r="BE16" s="122">
        <f t="shared" si="12"/>
        <v>1088.1495446890408</v>
      </c>
      <c r="BF16" s="123">
        <f t="shared" si="12"/>
        <v>1202.795609754771</v>
      </c>
      <c r="BG16" s="86">
        <f t="shared" si="12"/>
        <v>4661.5808137877884</v>
      </c>
      <c r="BH16" s="121">
        <f t="shared" si="12"/>
        <v>1332.5045436246007</v>
      </c>
      <c r="BI16" s="122">
        <f t="shared" si="12"/>
        <v>1041.0533562808548</v>
      </c>
      <c r="BJ16" s="122">
        <f t="shared" si="12"/>
        <v>1090.4731604196504</v>
      </c>
      <c r="BK16" s="123">
        <f t="shared" si="12"/>
        <v>1204.4434492950979</v>
      </c>
      <c r="BL16" s="86">
        <f t="shared" si="12"/>
        <v>4668.4745096202041</v>
      </c>
      <c r="BM16" s="121">
        <f t="shared" ref="BM16:BQ16" si="13">SUM(BM13:BM15)</f>
        <v>1333.6528495577513</v>
      </c>
      <c r="BN16" s="122">
        <f t="shared" si="13"/>
        <v>1042.8407990877984</v>
      </c>
      <c r="BO16" s="122">
        <f t="shared" si="13"/>
        <v>1092.8033811697114</v>
      </c>
      <c r="BP16" s="123">
        <f t="shared" si="13"/>
        <v>1206.0989171630006</v>
      </c>
      <c r="BQ16" s="86">
        <f t="shared" si="13"/>
        <v>4675.3959469782621</v>
      </c>
      <c r="BR16" s="26"/>
      <c r="BS16" s="224"/>
      <c r="BT16" s="562"/>
      <c r="BU16" s="562"/>
      <c r="BV16" s="562"/>
      <c r="BW16" s="562"/>
      <c r="BX16" s="562"/>
      <c r="BY16" s="562"/>
      <c r="BZ16" s="562"/>
      <c r="CA16" s="562"/>
      <c r="CB16" s="26"/>
      <c r="CC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</row>
    <row r="17" spans="1:104" x14ac:dyDescent="0.2">
      <c r="A17" s="26"/>
      <c r="B17" s="26"/>
      <c r="C17" s="20"/>
      <c r="D17" s="82"/>
      <c r="E17" s="114"/>
      <c r="F17" s="133"/>
      <c r="G17" s="133"/>
      <c r="H17" s="116"/>
      <c r="I17" s="117"/>
      <c r="J17" s="114"/>
      <c r="K17" s="133"/>
      <c r="L17" s="133"/>
      <c r="M17" s="116"/>
      <c r="N17" s="117"/>
      <c r="O17" s="114"/>
      <c r="P17" s="134"/>
      <c r="Q17" s="134"/>
      <c r="R17" s="116"/>
      <c r="S17" s="117"/>
      <c r="T17" s="114"/>
      <c r="U17" s="134"/>
      <c r="V17" s="134"/>
      <c r="W17" s="116"/>
      <c r="X17" s="117"/>
      <c r="Y17" s="114"/>
      <c r="Z17" s="134"/>
      <c r="AA17" s="134"/>
      <c r="AB17" s="116"/>
      <c r="AC17" s="117"/>
      <c r="AD17" s="114"/>
      <c r="AE17" s="134"/>
      <c r="AF17" s="134"/>
      <c r="AG17" s="116"/>
      <c r="AH17" s="117"/>
      <c r="AI17" s="114"/>
      <c r="AJ17" s="134"/>
      <c r="AK17" s="134"/>
      <c r="AL17" s="116"/>
      <c r="AM17" s="117"/>
      <c r="AN17" s="114"/>
      <c r="AO17" s="134"/>
      <c r="AP17" s="137"/>
      <c r="AQ17" s="116"/>
      <c r="AR17" s="117"/>
      <c r="AS17" s="114"/>
      <c r="AT17" s="134"/>
      <c r="AU17" s="137"/>
      <c r="AV17" s="116"/>
      <c r="AW17" s="117"/>
      <c r="AX17" s="136"/>
      <c r="AY17" s="137"/>
      <c r="AZ17" s="137"/>
      <c r="BA17" s="116"/>
      <c r="BB17" s="42"/>
      <c r="BC17" s="136"/>
      <c r="BD17" s="137"/>
      <c r="BE17" s="137"/>
      <c r="BF17" s="116"/>
      <c r="BG17" s="42"/>
      <c r="BH17" s="136"/>
      <c r="BI17" s="137"/>
      <c r="BJ17" s="137"/>
      <c r="BK17" s="116"/>
      <c r="BL17" s="42"/>
      <c r="BM17" s="136"/>
      <c r="BN17" s="137"/>
      <c r="BO17" s="137"/>
      <c r="BP17" s="116"/>
      <c r="BQ17" s="42"/>
      <c r="BR17" s="26"/>
      <c r="BS17" s="224"/>
      <c r="BT17" s="562"/>
      <c r="BU17" s="562"/>
      <c r="BV17" s="562"/>
      <c r="BW17" s="562"/>
      <c r="BX17" s="562"/>
      <c r="BY17" s="562"/>
      <c r="BZ17" s="562"/>
      <c r="CA17" s="562"/>
      <c r="CB17" s="26"/>
      <c r="CC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</row>
    <row r="18" spans="1:104" x14ac:dyDescent="0.2">
      <c r="A18" s="26"/>
      <c r="B18" s="26"/>
      <c r="C18" s="26" t="s">
        <v>119</v>
      </c>
      <c r="D18" s="86"/>
      <c r="E18" s="121">
        <f t="shared" ref="E18:Q18" si="14">+E11-E16</f>
        <v>1173.6630000000005</v>
      </c>
      <c r="F18" s="122">
        <f t="shared" si="14"/>
        <v>1068.607</v>
      </c>
      <c r="G18" s="122">
        <f t="shared" si="14"/>
        <v>1255.9059999999999</v>
      </c>
      <c r="H18" s="123">
        <f t="shared" si="14"/>
        <v>1185.0900000000001</v>
      </c>
      <c r="I18" s="86">
        <f t="shared" si="14"/>
        <v>4683.2659999999996</v>
      </c>
      <c r="J18" s="121">
        <f t="shared" si="14"/>
        <v>1230.1790000000001</v>
      </c>
      <c r="K18" s="122">
        <f t="shared" si="14"/>
        <v>1190.0090000000002</v>
      </c>
      <c r="L18" s="122">
        <f t="shared" si="14"/>
        <v>1442.587</v>
      </c>
      <c r="M18" s="123">
        <f t="shared" si="14"/>
        <v>1245.0459999999996</v>
      </c>
      <c r="N18" s="86">
        <f t="shared" si="14"/>
        <v>5107.8210000000008</v>
      </c>
      <c r="O18" s="121">
        <f t="shared" si="14"/>
        <v>1333.2809999999999</v>
      </c>
      <c r="P18" s="138">
        <f t="shared" si="14"/>
        <v>1278.8619999999996</v>
      </c>
      <c r="Q18" s="138">
        <f t="shared" si="14"/>
        <v>1587.085</v>
      </c>
      <c r="R18" s="123">
        <f t="shared" ref="R18:Y18" si="15">+R11-R16</f>
        <v>1269.4750000000006</v>
      </c>
      <c r="S18" s="86">
        <f t="shared" si="15"/>
        <v>5468.7030000000004</v>
      </c>
      <c r="T18" s="121">
        <f t="shared" si="15"/>
        <v>1288.8490000000002</v>
      </c>
      <c r="U18" s="138">
        <f t="shared" si="15"/>
        <v>1324.5919999999996</v>
      </c>
      <c r="V18" s="138">
        <f t="shared" si="15"/>
        <v>1660.521</v>
      </c>
      <c r="W18" s="123">
        <f t="shared" si="15"/>
        <v>1320.3200000000008</v>
      </c>
      <c r="X18" s="86">
        <f t="shared" si="15"/>
        <v>5594.2820000000002</v>
      </c>
      <c r="Y18" s="121">
        <f t="shared" si="15"/>
        <v>1410.0199999999995</v>
      </c>
      <c r="Z18" s="138">
        <f t="shared" ref="Z18:AF18" si="16">+Z11-Z16</f>
        <v>1371.223</v>
      </c>
      <c r="AA18" s="138">
        <f t="shared" si="16"/>
        <v>1642.0070000000003</v>
      </c>
      <c r="AB18" s="123">
        <f t="shared" si="16"/>
        <v>1356.9259999999995</v>
      </c>
      <c r="AC18" s="86">
        <f t="shared" si="16"/>
        <v>5780.1760000000004</v>
      </c>
      <c r="AD18" s="121">
        <f t="shared" si="16"/>
        <v>1502.3260000000005</v>
      </c>
      <c r="AE18" s="122">
        <f t="shared" si="16"/>
        <v>1425.231</v>
      </c>
      <c r="AF18" s="122">
        <f t="shared" si="16"/>
        <v>1682.5959999999998</v>
      </c>
      <c r="AG18" s="123">
        <f t="shared" ref="AG18:AM18" si="17">+AG11-AG16</f>
        <v>1459.0089999999991</v>
      </c>
      <c r="AH18" s="86">
        <f t="shared" si="17"/>
        <v>6069.1619999999984</v>
      </c>
      <c r="AI18" s="121">
        <f t="shared" si="17"/>
        <v>1529.6670000000001</v>
      </c>
      <c r="AJ18" s="122">
        <f t="shared" si="17"/>
        <v>1475.598</v>
      </c>
      <c r="AK18" s="122">
        <f t="shared" si="17"/>
        <v>1812.3119999999999</v>
      </c>
      <c r="AL18" s="123">
        <f t="shared" si="17"/>
        <v>1502.946000000001</v>
      </c>
      <c r="AM18" s="86">
        <f t="shared" si="17"/>
        <v>6320.5230000000001</v>
      </c>
      <c r="AN18" s="121">
        <f>+AN11-AN16</f>
        <v>1590.0590000000002</v>
      </c>
      <c r="AO18" s="122">
        <f>+AO11-AO16</f>
        <v>1545.4779999999996</v>
      </c>
      <c r="AP18" s="122">
        <f t="shared" ref="AP18:AR18" si="18">+AP11-AP16</f>
        <v>1926.67</v>
      </c>
      <c r="AQ18" s="123">
        <f t="shared" si="18"/>
        <v>1558.2640000000006</v>
      </c>
      <c r="AR18" s="86">
        <f t="shared" si="18"/>
        <v>6620.4710000000023</v>
      </c>
      <c r="AS18" s="121">
        <f>+AS11-AS16</f>
        <v>1647.48</v>
      </c>
      <c r="AT18" s="122">
        <f>+AT11-AT16</f>
        <v>1603.3309999999997</v>
      </c>
      <c r="AU18" s="122">
        <f>+AU11-AU16</f>
        <v>1938.288</v>
      </c>
      <c r="AV18" s="123">
        <f t="shared" ref="AV18:AW18" si="19">+AV11-AV16</f>
        <v>1600.901000000001</v>
      </c>
      <c r="AW18" s="86">
        <f t="shared" si="19"/>
        <v>6790</v>
      </c>
      <c r="AX18" s="121">
        <f t="shared" ref="AX18:BG18" si="20">+AX11-AX16</f>
        <v>1685.4231911936922</v>
      </c>
      <c r="AY18" s="122">
        <f t="shared" si="20"/>
        <v>1612.2665427842544</v>
      </c>
      <c r="AZ18" s="122">
        <f t="shared" si="20"/>
        <v>1897.5199974250299</v>
      </c>
      <c r="BA18" s="123">
        <f t="shared" si="20"/>
        <v>1627.1844281514145</v>
      </c>
      <c r="BB18" s="86">
        <f t="shared" si="20"/>
        <v>6822.394159554392</v>
      </c>
      <c r="BC18" s="121">
        <f t="shared" si="20"/>
        <v>1758.2367255035276</v>
      </c>
      <c r="BD18" s="122">
        <f t="shared" si="20"/>
        <v>1681.202759107787</v>
      </c>
      <c r="BE18" s="122">
        <f t="shared" si="20"/>
        <v>1980.3979950748148</v>
      </c>
      <c r="BF18" s="123">
        <f t="shared" si="20"/>
        <v>1697.0697872981334</v>
      </c>
      <c r="BG18" s="86">
        <f t="shared" si="20"/>
        <v>7116.9072669842626</v>
      </c>
      <c r="BH18" s="121">
        <f t="shared" ref="BH18:BQ18" si="21">+BH11-BH16</f>
        <v>1838.8803036259949</v>
      </c>
      <c r="BI18" s="122">
        <f t="shared" si="21"/>
        <v>1756.8125539404075</v>
      </c>
      <c r="BJ18" s="122">
        <f t="shared" si="21"/>
        <v>2071.3548245712118</v>
      </c>
      <c r="BK18" s="123">
        <f t="shared" si="21"/>
        <v>1774.0415995406663</v>
      </c>
      <c r="BL18" s="86">
        <f t="shared" si="21"/>
        <v>7441.0892816782816</v>
      </c>
      <c r="BM18" s="121">
        <f t="shared" si="21"/>
        <v>1909.3958758590256</v>
      </c>
      <c r="BN18" s="122">
        <f t="shared" si="21"/>
        <v>1821.6921816150918</v>
      </c>
      <c r="BO18" s="122">
        <f t="shared" si="21"/>
        <v>2148.2460896361135</v>
      </c>
      <c r="BP18" s="123">
        <f t="shared" si="21"/>
        <v>1840.904987481146</v>
      </c>
      <c r="BQ18" s="86">
        <f t="shared" si="21"/>
        <v>7720.2391345913766</v>
      </c>
      <c r="BR18" s="26"/>
      <c r="BS18" s="224"/>
      <c r="BT18" s="562"/>
      <c r="BU18" s="562"/>
      <c r="BV18" s="562"/>
      <c r="BW18" s="562"/>
      <c r="BX18" s="562"/>
      <c r="BY18" s="562"/>
      <c r="BZ18" s="562"/>
      <c r="CA18" s="562"/>
      <c r="CB18" s="26"/>
      <c r="CC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</row>
    <row r="19" spans="1:104" x14ac:dyDescent="0.2">
      <c r="A19" s="26"/>
      <c r="B19" s="26"/>
      <c r="C19" s="26"/>
      <c r="D19" s="86"/>
      <c r="E19" s="121"/>
      <c r="F19" s="130"/>
      <c r="G19" s="130"/>
      <c r="H19" s="123"/>
      <c r="I19" s="86"/>
      <c r="J19" s="121"/>
      <c r="K19" s="130"/>
      <c r="L19" s="130"/>
      <c r="M19" s="123"/>
      <c r="N19" s="86"/>
      <c r="O19" s="121"/>
      <c r="P19" s="138"/>
      <c r="Q19" s="138"/>
      <c r="R19" s="123"/>
      <c r="S19" s="86"/>
      <c r="T19" s="121"/>
      <c r="U19" s="138"/>
      <c r="V19" s="138"/>
      <c r="W19" s="123"/>
      <c r="X19" s="86"/>
      <c r="Y19" s="121"/>
      <c r="Z19" s="138"/>
      <c r="AA19" s="138"/>
      <c r="AB19" s="123"/>
      <c r="AC19" s="86"/>
      <c r="AD19" s="121"/>
      <c r="AE19" s="138"/>
      <c r="AF19" s="138"/>
      <c r="AG19" s="123"/>
      <c r="AH19" s="86"/>
      <c r="AI19" s="121"/>
      <c r="AJ19" s="138"/>
      <c r="AK19" s="138"/>
      <c r="AL19" s="123"/>
      <c r="AM19" s="86"/>
      <c r="AN19" s="121"/>
      <c r="AO19" s="138"/>
      <c r="AP19" s="130"/>
      <c r="AQ19" s="123"/>
      <c r="AR19" s="86"/>
      <c r="AS19" s="121"/>
      <c r="AT19" s="138"/>
      <c r="AU19" s="130"/>
      <c r="AV19" s="123"/>
      <c r="AW19" s="86"/>
      <c r="AX19" s="121"/>
      <c r="AY19" s="130"/>
      <c r="AZ19" s="130"/>
      <c r="BA19" s="123"/>
      <c r="BB19" s="86"/>
      <c r="BC19" s="121"/>
      <c r="BD19" s="130"/>
      <c r="BE19" s="130"/>
      <c r="BF19" s="123"/>
      <c r="BG19" s="86"/>
      <c r="BH19" s="121"/>
      <c r="BI19" s="130"/>
      <c r="BJ19" s="130"/>
      <c r="BK19" s="123"/>
      <c r="BL19" s="86"/>
      <c r="BM19" s="121"/>
      <c r="BN19" s="130"/>
      <c r="BO19" s="130"/>
      <c r="BP19" s="123"/>
      <c r="BQ19" s="86"/>
      <c r="BR19" s="26"/>
      <c r="BS19" s="224"/>
      <c r="BT19" s="562"/>
      <c r="BU19" s="562"/>
      <c r="BV19" s="562"/>
      <c r="BW19" s="562"/>
      <c r="BX19" s="562"/>
      <c r="BY19" s="562"/>
      <c r="BZ19" s="562"/>
      <c r="CA19" s="562"/>
      <c r="CB19" s="26"/>
      <c r="CC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</row>
    <row r="20" spans="1:104" x14ac:dyDescent="0.2">
      <c r="C20" t="s">
        <v>120</v>
      </c>
      <c r="D20" s="42"/>
      <c r="E20" s="114">
        <v>471.89400000000001</v>
      </c>
      <c r="F20" s="115">
        <v>472.40100000000001</v>
      </c>
      <c r="G20" s="115">
        <v>466.46499999999997</v>
      </c>
      <c r="H20" s="131">
        <f>I20-SUM(E20:G20)</f>
        <v>497.33699999999999</v>
      </c>
      <c r="I20" s="117">
        <v>1908.097</v>
      </c>
      <c r="J20" s="114">
        <v>480.97300000000001</v>
      </c>
      <c r="K20" s="115">
        <v>516.64</v>
      </c>
      <c r="L20" s="115">
        <v>509.63400000000001</v>
      </c>
      <c r="M20" s="131">
        <f>N20-SUM(J20:L20)</f>
        <v>550.00199999999973</v>
      </c>
      <c r="N20" s="117">
        <v>2057.2489999999998</v>
      </c>
      <c r="O20" s="114">
        <v>510.02699999999999</v>
      </c>
      <c r="P20" s="115">
        <v>532.16999999999996</v>
      </c>
      <c r="Q20" s="115">
        <v>532.96199999999999</v>
      </c>
      <c r="R20" s="131">
        <f>S20-SUM(O20:Q20)</f>
        <v>565.13000000000034</v>
      </c>
      <c r="S20" s="117">
        <v>2140.2890000000002</v>
      </c>
      <c r="T20" s="114">
        <v>510.68400000000003</v>
      </c>
      <c r="U20" s="115">
        <v>534.01400000000001</v>
      </c>
      <c r="V20" s="115">
        <v>531.48</v>
      </c>
      <c r="W20" s="131">
        <f>X20-SUM(T20:V20)</f>
        <v>599.91699999999969</v>
      </c>
      <c r="X20" s="117">
        <v>2176.0949999999998</v>
      </c>
      <c r="Y20" s="114">
        <v>529.23099999999999</v>
      </c>
      <c r="Z20" s="115">
        <v>562.55700000000002</v>
      </c>
      <c r="AA20" s="115">
        <v>575.30499999999995</v>
      </c>
      <c r="AB20" s="131">
        <f>AC20-SUM(Y20:AA20)</f>
        <v>606.43900000000031</v>
      </c>
      <c r="AC20" s="117">
        <v>2273.5320000000002</v>
      </c>
      <c r="AD20" s="114">
        <v>560.14300000000003</v>
      </c>
      <c r="AE20" s="115">
        <v>585.60400000000004</v>
      </c>
      <c r="AF20" s="115">
        <v>568.39099999999996</v>
      </c>
      <c r="AG20" s="131">
        <f>AH20-SUM(AD20:AF20)</f>
        <v>620.24099999999999</v>
      </c>
      <c r="AH20" s="117">
        <v>2334.3789999999999</v>
      </c>
      <c r="AI20" s="114">
        <v>585.83000000000004</v>
      </c>
      <c r="AJ20" s="115">
        <v>594.279</v>
      </c>
      <c r="AK20" s="115">
        <v>565.98400000000004</v>
      </c>
      <c r="AL20" s="131">
        <f>AM20-SUM(AI20:AK20)</f>
        <v>583.57700000000023</v>
      </c>
      <c r="AM20" s="117">
        <v>2329.67</v>
      </c>
      <c r="AN20" s="114">
        <v>577.41</v>
      </c>
      <c r="AO20" s="115">
        <v>596.97799999999995</v>
      </c>
      <c r="AP20" s="115">
        <v>590.00900000000001</v>
      </c>
      <c r="AQ20" s="131">
        <f>AR20-SUM(AN20:AP20)</f>
        <v>562.16100000000006</v>
      </c>
      <c r="AR20" s="117">
        <v>2326.558</v>
      </c>
      <c r="AS20" s="114">
        <v>586.42999999999995</v>
      </c>
      <c r="AT20" s="115">
        <v>578.13300000000004</v>
      </c>
      <c r="AU20" s="115">
        <v>541.53899999999999</v>
      </c>
      <c r="AV20" s="131">
        <f>AW20-SUM(AS20:AU20)</f>
        <v>596.89799999999991</v>
      </c>
      <c r="AW20" s="117">
        <v>2303</v>
      </c>
      <c r="AX20" s="136">
        <f>'NSP-MN'!AX20+'NSP-WI'!AX19+PSCO!AX20+SPS!AX12+Parent!AX12</f>
        <v>586.43000000000006</v>
      </c>
      <c r="AY20" s="135">
        <f>'NSP-MN'!AY20+'NSP-WI'!AY19+PSCO!AY20+SPS!AY12+Parent!AY12</f>
        <v>578.13299999999992</v>
      </c>
      <c r="AZ20" s="135">
        <f>'NSP-MN'!AZ20+'NSP-WI'!AZ19+PSCO!AZ20+SPS!AZ12+Parent!AZ12</f>
        <v>541.53899999999999</v>
      </c>
      <c r="BA20" s="116">
        <f>'NSP-MN'!BA20+'NSP-WI'!BA19+PSCO!BA20+SPS!BA12+Parent!BA12</f>
        <v>596.89799999999991</v>
      </c>
      <c r="BB20" s="42">
        <f>SUM(AX20:BA20)</f>
        <v>2303</v>
      </c>
      <c r="BC20" s="136">
        <f>'NSP-MN'!BC20+'NSP-WI'!BC19+PSCO!BC20+SPS!BC12+Parent!BC12</f>
        <v>591.90486999999996</v>
      </c>
      <c r="BD20" s="135">
        <f>'NSP-MN'!BD20+'NSP-WI'!BD19+PSCO!BD20+SPS!BD12+Parent!BD12</f>
        <v>583.59003999999993</v>
      </c>
      <c r="BE20" s="135">
        <f>'NSP-MN'!BE20+'NSP-WI'!BE19+PSCO!BE20+SPS!BE12+Parent!BE12</f>
        <v>546.68382999999994</v>
      </c>
      <c r="BF20" s="116">
        <f>'NSP-MN'!BF20+'NSP-WI'!BF19+PSCO!BF20+SPS!BF12+Parent!BF12</f>
        <v>602.63572999999997</v>
      </c>
      <c r="BG20" s="42">
        <f>SUM(BC20:BF20)</f>
        <v>2324.8144699999998</v>
      </c>
      <c r="BH20" s="136">
        <f>'NSP-MN'!BH20+'NSP-WI'!BH19+PSCO!BH20+SPS!BH12+Parent!BH12</f>
        <v>597.43448869999997</v>
      </c>
      <c r="BI20" s="135">
        <f>'NSP-MN'!BI20+'NSP-WI'!BI19+PSCO!BI20+SPS!BI12+Parent!BI12</f>
        <v>589.10165040000004</v>
      </c>
      <c r="BJ20" s="135">
        <f>'NSP-MN'!BJ20+'NSP-WI'!BJ19+PSCO!BJ20+SPS!BJ12+Parent!BJ12</f>
        <v>551.88010830000007</v>
      </c>
      <c r="BK20" s="116">
        <f>'NSP-MN'!BK20+'NSP-WI'!BK19+PSCO!BK20+SPS!BK12+Parent!BK12</f>
        <v>608.43083729999989</v>
      </c>
      <c r="BL20" s="42">
        <f>SUM(BH20:BK20)</f>
        <v>2346.8470846999999</v>
      </c>
      <c r="BM20" s="136">
        <f>'NSP-MN'!BM20+'NSP-WI'!BM19+PSCO!BM20+SPS!BM12+Parent!BM12</f>
        <v>603.01940358700006</v>
      </c>
      <c r="BN20" s="135">
        <f>'NSP-MN'!BN20+'NSP-WI'!BN19+PSCO!BN20+SPS!BN12+Parent!BN12</f>
        <v>594.66837690400007</v>
      </c>
      <c r="BO20" s="135">
        <f>'NSP-MN'!BO20+'NSP-WI'!BO19+PSCO!BO20+SPS!BO12+Parent!BO12</f>
        <v>557.128349383</v>
      </c>
      <c r="BP20" s="116">
        <f>'NSP-MN'!BP20+'NSP-WI'!BP19+PSCO!BP20+SPS!BP12+Parent!BP12</f>
        <v>614.28389567299996</v>
      </c>
      <c r="BQ20" s="42">
        <f>SUM(BM20:BP20)</f>
        <v>2369.1000255469999</v>
      </c>
      <c r="BS20" s="698">
        <f>AR20/AM20-1</f>
        <v>-1.335811509784679E-3</v>
      </c>
      <c r="BT20" s="698">
        <f>AW20/AR20-1</f>
        <v>-1.0125687818657414E-2</v>
      </c>
      <c r="BU20" s="977">
        <f>BB20/AW20-1</f>
        <v>0</v>
      </c>
      <c r="BV20" s="525"/>
      <c r="BW20" s="525"/>
      <c r="BX20" s="525"/>
      <c r="BY20" s="525"/>
      <c r="BZ20" s="525"/>
      <c r="CA20" s="525"/>
    </row>
    <row r="21" spans="1:104" x14ac:dyDescent="0.2">
      <c r="C21" t="s">
        <v>121</v>
      </c>
      <c r="D21" s="42"/>
      <c r="E21" s="114">
        <v>208.715</v>
      </c>
      <c r="F21" s="115">
        <v>202.34800000000001</v>
      </c>
      <c r="G21" s="115">
        <v>198.22200000000001</v>
      </c>
      <c r="H21" s="131">
        <f>I21-SUM(E21:G21)</f>
        <v>208.76700000000005</v>
      </c>
      <c r="I21" s="117">
        <v>818.05200000000002</v>
      </c>
      <c r="J21" s="114">
        <v>206.126</v>
      </c>
      <c r="K21" s="115">
        <v>211.506</v>
      </c>
      <c r="L21" s="115">
        <v>221.67099999999999</v>
      </c>
      <c r="M21" s="131">
        <f>N21-SUM(J21:L21)</f>
        <v>219.57899999999995</v>
      </c>
      <c r="N21" s="117">
        <v>858.88199999999995</v>
      </c>
      <c r="O21" s="114">
        <v>224.72300000000001</v>
      </c>
      <c r="P21" s="115">
        <v>229.26400000000001</v>
      </c>
      <c r="Q21" s="115">
        <v>242.32900000000001</v>
      </c>
      <c r="R21" s="131">
        <f>S21-SUM(O21:Q21)</f>
        <v>194.303</v>
      </c>
      <c r="S21" s="117">
        <v>890.61900000000003</v>
      </c>
      <c r="T21" s="114">
        <v>228.672</v>
      </c>
      <c r="U21" s="115">
        <v>226.64099999999999</v>
      </c>
      <c r="V21" s="115">
        <v>239.05099999999999</v>
      </c>
      <c r="W21" s="131">
        <f>X21-SUM(T21:V21)</f>
        <v>231.68899999999996</v>
      </c>
      <c r="X21" s="117">
        <v>926.053</v>
      </c>
      <c r="Y21" s="114">
        <v>248.70599999999999</v>
      </c>
      <c r="Z21" s="115">
        <v>243.934</v>
      </c>
      <c r="AA21" s="115">
        <v>228.49100000000001</v>
      </c>
      <c r="AB21" s="131">
        <f>AC21-SUM(Y21:AA21)</f>
        <v>256.73200000000008</v>
      </c>
      <c r="AC21" s="117">
        <v>977.86300000000006</v>
      </c>
      <c r="AD21" s="114">
        <v>245.94300000000001</v>
      </c>
      <c r="AE21" s="115">
        <v>255.30699999999999</v>
      </c>
      <c r="AF21" s="115">
        <v>255.39500000000001</v>
      </c>
      <c r="AG21" s="131">
        <f>AH21-SUM(AD21:AF21)</f>
        <v>262.39999999999998</v>
      </c>
      <c r="AH21" s="117">
        <v>1019.045</v>
      </c>
      <c r="AI21" s="114">
        <v>273.09800000000001</v>
      </c>
      <c r="AJ21" s="115">
        <v>274.60199999999998</v>
      </c>
      <c r="AK21" s="115">
        <v>280.12099999999998</v>
      </c>
      <c r="AL21" s="131">
        <f>AM21-SUM(AI21:AK21)</f>
        <v>296.70299999999986</v>
      </c>
      <c r="AM21" s="117">
        <v>1124.5239999999999</v>
      </c>
      <c r="AN21" s="114">
        <v>320.02</v>
      </c>
      <c r="AO21" s="115">
        <v>322.53399999999999</v>
      </c>
      <c r="AP21" s="115">
        <v>328.50299999999999</v>
      </c>
      <c r="AQ21" s="131">
        <f>AR21-SUM(AN21:AP21)</f>
        <v>332.14599999999996</v>
      </c>
      <c r="AR21" s="117">
        <v>1303.203</v>
      </c>
      <c r="AS21" s="114">
        <v>365.20400000000001</v>
      </c>
      <c r="AT21" s="115">
        <v>365.72</v>
      </c>
      <c r="AU21" s="115">
        <v>371.09100000000001</v>
      </c>
      <c r="AV21" s="131">
        <f>AW21-SUM(AS21:AU21)</f>
        <v>376.98500000000013</v>
      </c>
      <c r="AW21" s="117">
        <v>1479</v>
      </c>
      <c r="AX21" s="136">
        <f>'NSP-MN'!AX21+'NSP-WI'!AX20+PSCO!AX21+SPS!AX13+Parent!AX13</f>
        <v>397.60524896757948</v>
      </c>
      <c r="AY21" s="135">
        <f>'NSP-MN'!AY21+'NSP-WI'!AY20+PSCO!AY21+SPS!AY13+Parent!AY13</f>
        <v>397.69234701637095</v>
      </c>
      <c r="AZ21" s="135">
        <f>'NSP-MN'!AZ21+'NSP-WI'!AZ20+PSCO!AZ21+SPS!AZ13+Parent!AZ13</f>
        <v>404.36576345740582</v>
      </c>
      <c r="BA21" s="116">
        <f>'NSP-MN'!BA21+'NSP-WI'!BA20+PSCO!BA21+SPS!BA13+Parent!BA13</f>
        <v>410.49875735719172</v>
      </c>
      <c r="BB21" s="42">
        <f>SUM(AX21:BA21)</f>
        <v>1610.1621167985481</v>
      </c>
      <c r="BC21" s="136">
        <f>'NSP-MN'!BC21+'NSP-WI'!BC20+PSCO!BC21+SPS!BC13+Parent!BC13</f>
        <v>410.56336309377485</v>
      </c>
      <c r="BD21" s="135">
        <f>'NSP-MN'!BD21+'NSP-WI'!BD20+PSCO!BD21+SPS!BD13+Parent!BD13</f>
        <v>418.5888238114951</v>
      </c>
      <c r="BE21" s="135">
        <f>'NSP-MN'!BE21+'NSP-WI'!BE20+PSCO!BE21+SPS!BE13+Parent!BE13</f>
        <v>426.92163695338763</v>
      </c>
      <c r="BF21" s="116">
        <f>'NSP-MN'!BF21+'NSP-WI'!BF20+PSCO!BF21+SPS!BF13+Parent!BF13</f>
        <v>434.68902246247217</v>
      </c>
      <c r="BG21" s="42">
        <f>SUM(BC21:BF21)</f>
        <v>1690.7628463211297</v>
      </c>
      <c r="BH21" s="136">
        <f>'NSP-MN'!BH21+'NSP-WI'!BH20+PSCO!BH21+SPS!BH13+Parent!BH13</f>
        <v>440.79628721385461</v>
      </c>
      <c r="BI21" s="135">
        <f>'NSP-MN'!BI21+'NSP-WI'!BI20+PSCO!BI21+SPS!BI13+Parent!BI13</f>
        <v>452.61490236444718</v>
      </c>
      <c r="BJ21" s="135">
        <f>'NSP-MN'!BJ21+'NSP-WI'!BJ20+PSCO!BJ21+SPS!BJ13+Parent!BJ13</f>
        <v>457.36320818580867</v>
      </c>
      <c r="BK21" s="116">
        <f>'NSP-MN'!BK21+'NSP-WI'!BK20+PSCO!BK21+SPS!BK13+Parent!BK13</f>
        <v>461.5941044376608</v>
      </c>
      <c r="BL21" s="42">
        <f>SUM(BH21:BK21)</f>
        <v>1812.3685022017712</v>
      </c>
      <c r="BM21" s="136">
        <f>'NSP-MN'!BM21+'NSP-WI'!BM20+PSCO!BM21+SPS!BM13+Parent!BM13</f>
        <v>466.23060298260657</v>
      </c>
      <c r="BN21" s="135">
        <f>'NSP-MN'!BN21+'NSP-WI'!BN20+PSCO!BN21+SPS!BN13+Parent!BN13</f>
        <v>470.31776173756668</v>
      </c>
      <c r="BO21" s="135">
        <f>'NSP-MN'!BO21+'NSP-WI'!BO20+PSCO!BO21+SPS!BO13+Parent!BO13</f>
        <v>475.33848165970358</v>
      </c>
      <c r="BP21" s="116">
        <f>'NSP-MN'!BP21+'NSP-WI'!BP20+PSCO!BP21+SPS!BP13+Parent!BP13</f>
        <v>479.83730554117471</v>
      </c>
      <c r="BQ21" s="42">
        <f>SUM(BM21:BP21)</f>
        <v>1891.7241519210515</v>
      </c>
      <c r="BS21" s="224">
        <f>AR21-AM21</f>
        <v>178.67900000000009</v>
      </c>
      <c r="BT21" s="640">
        <f>AW21-AR21</f>
        <v>175.79700000000003</v>
      </c>
      <c r="BU21" s="640">
        <f>BB21-AW21</f>
        <v>131.16211679854814</v>
      </c>
      <c r="BV21" s="525"/>
      <c r="BW21" s="525"/>
      <c r="BX21" s="525"/>
      <c r="BY21" s="525"/>
      <c r="BZ21" s="525"/>
      <c r="CA21" s="525"/>
    </row>
    <row r="22" spans="1:104" x14ac:dyDescent="0.2">
      <c r="C22" t="s">
        <v>122</v>
      </c>
      <c r="D22" s="42"/>
      <c r="E22" s="114">
        <v>77.037999999999997</v>
      </c>
      <c r="F22" s="115">
        <v>73.072999999999993</v>
      </c>
      <c r="G22" s="115">
        <v>78.914000000000001</v>
      </c>
      <c r="H22" s="131">
        <f>I22-SUM(E22:G22)</f>
        <v>77.408000000000015</v>
      </c>
      <c r="I22" s="117">
        <v>306.43299999999999</v>
      </c>
      <c r="J22" s="114">
        <v>81.376000000000005</v>
      </c>
      <c r="K22" s="115">
        <v>81.007999999999996</v>
      </c>
      <c r="L22" s="115">
        <v>81.790999999999997</v>
      </c>
      <c r="M22" s="131">
        <f>N22-SUM(J22:L22)</f>
        <v>87.718999999999994</v>
      </c>
      <c r="N22" s="117">
        <v>331.89400000000001</v>
      </c>
      <c r="O22" s="114">
        <v>96.57</v>
      </c>
      <c r="P22" s="115">
        <v>92.489000000000004</v>
      </c>
      <c r="Q22" s="115">
        <v>89.018000000000001</v>
      </c>
      <c r="R22" s="131">
        <f>S22-SUM(O22:Q22)</f>
        <v>96.738</v>
      </c>
      <c r="S22" s="117">
        <v>374.815</v>
      </c>
      <c r="T22" s="114">
        <v>105.624</v>
      </c>
      <c r="U22" s="115">
        <v>99.632000000000005</v>
      </c>
      <c r="V22" s="115">
        <v>100.636</v>
      </c>
      <c r="W22" s="131">
        <f>X22-SUM(T22:V22)</f>
        <v>103.03199999999998</v>
      </c>
      <c r="X22" s="117">
        <v>408.92399999999998</v>
      </c>
      <c r="Y22" s="114">
        <v>113.42700000000001</v>
      </c>
      <c r="Z22" s="115">
        <v>102.051</v>
      </c>
      <c r="AA22" s="115">
        <v>105.28700000000001</v>
      </c>
      <c r="AB22" s="131">
        <f>AC22-SUM(Y22:AA22)</f>
        <v>99.735000000000014</v>
      </c>
      <c r="AC22" s="117">
        <v>420.5</v>
      </c>
      <c r="AD22" s="114">
        <v>124.702</v>
      </c>
      <c r="AE22" s="115">
        <v>116.27800000000001</v>
      </c>
      <c r="AF22" s="115">
        <v>117.958</v>
      </c>
      <c r="AG22" s="131">
        <f>AH22-SUM(AD22:AF22)</f>
        <v>106.89800000000002</v>
      </c>
      <c r="AH22" s="117">
        <v>465.83600000000001</v>
      </c>
      <c r="AI22" s="114">
        <v>136.626</v>
      </c>
      <c r="AJ22" s="115">
        <v>129.73099999999999</v>
      </c>
      <c r="AK22" s="115">
        <v>123.081</v>
      </c>
      <c r="AL22" s="131">
        <f>AM22-SUM(AI22:AK22)</f>
        <v>122.23700000000002</v>
      </c>
      <c r="AM22" s="117">
        <v>511.67500000000001</v>
      </c>
      <c r="AN22" s="114">
        <v>145.32300000000001</v>
      </c>
      <c r="AO22" s="115">
        <v>138.46899999999999</v>
      </c>
      <c r="AP22" s="115">
        <v>117.19</v>
      </c>
      <c r="AQ22" s="131">
        <f>AR22-SUM(AN22:AP22)</f>
        <v>131.089</v>
      </c>
      <c r="AR22" s="117">
        <v>532.07100000000003</v>
      </c>
      <c r="AS22" s="114">
        <v>142.09399999999999</v>
      </c>
      <c r="AT22" s="115">
        <v>134.92599999999999</v>
      </c>
      <c r="AU22" s="115">
        <v>133.571</v>
      </c>
      <c r="AV22" s="131">
        <f>AW22-SUM(AS22:AU22)</f>
        <v>134.40899999999999</v>
      </c>
      <c r="AW22" s="117">
        <v>545</v>
      </c>
      <c r="AX22" s="136">
        <f>'NSP-MN'!AX22+'NSP-WI'!AX21+PSCO!AX22+SPS!AX14++Parent!AX14</f>
        <v>151.31002499999997</v>
      </c>
      <c r="AY22" s="135">
        <f>'NSP-MN'!AY22+'NSP-WI'!AY21+PSCO!AY22+SPS!AY14++Parent!AY14</f>
        <v>143.67558500000001</v>
      </c>
      <c r="AZ22" s="135">
        <f>'NSP-MN'!AZ22+'NSP-WI'!AZ21+PSCO!AZ22+SPS!AZ14++Parent!AZ14</f>
        <v>142.2355</v>
      </c>
      <c r="BA22" s="116">
        <f>'NSP-MN'!BA22+'NSP-WI'!BA21+PSCO!BA22+SPS!BA14++Parent!BA14</f>
        <v>143.13258500000001</v>
      </c>
      <c r="BB22" s="42">
        <f>SUM(AX22:BA22)</f>
        <v>580.35369500000002</v>
      </c>
      <c r="BC22" s="136">
        <f>'NSP-MN'!BC22+'NSP-WI'!BC21+PSCO!BC22+SPS!BC14++Parent!BC14</f>
        <v>154.78327754999998</v>
      </c>
      <c r="BD22" s="135">
        <f>'NSP-MN'!BD22+'NSP-WI'!BD21+PSCO!BD22+SPS!BD14++Parent!BD14</f>
        <v>146.95882025</v>
      </c>
      <c r="BE22" s="135">
        <f>'NSP-MN'!BE22+'NSP-WI'!BE21+PSCO!BE22+SPS!BE14++Parent!BE14</f>
        <v>145.49526797499999</v>
      </c>
      <c r="BF22" s="116">
        <f>'NSP-MN'!BF22+'NSP-WI'!BF21+PSCO!BF22+SPS!BF14++Parent!BF14</f>
        <v>146.40747064999999</v>
      </c>
      <c r="BG22" s="42">
        <f>SUM(BC22:BF22)</f>
        <v>593.64483642499999</v>
      </c>
      <c r="BH22" s="136">
        <f>'NSP-MN'!BH22+'NSP-WI'!BH21+PSCO!BH22+SPS!BH14++Parent!BH14</f>
        <v>158.33732595224998</v>
      </c>
      <c r="BI22" s="135">
        <f>'NSP-MN'!BI22+'NSP-WI'!BI21+PSCO!BI22+SPS!BI14++Parent!BI14</f>
        <v>150.31812179375001</v>
      </c>
      <c r="BJ22" s="135">
        <f>'NSP-MN'!BJ22+'NSP-WI'!BJ21+PSCO!BJ22+SPS!BJ14++Parent!BJ14</f>
        <v>148.83074325887497</v>
      </c>
      <c r="BK22" s="116">
        <f>'NSP-MN'!BK22+'NSP-WI'!BK21+PSCO!BK22+SPS!BK14++Parent!BK14</f>
        <v>149.75825986174999</v>
      </c>
      <c r="BL22" s="42">
        <f>SUM(BH22:BK22)</f>
        <v>607.2444508666249</v>
      </c>
      <c r="BM22" s="136">
        <f>'NSP-MN'!BM22+'NSP-WI'!BM21+PSCO!BM22+SPS!BM14++Parent!BM14</f>
        <v>161.97406939382623</v>
      </c>
      <c r="BN22" s="135">
        <f>'NSP-MN'!BN22+'NSP-WI'!BN21+PSCO!BN22+SPS!BN14++Parent!BN14</f>
        <v>153.75527099684373</v>
      </c>
      <c r="BO22" s="135">
        <f>'NSP-MN'!BO22+'NSP-WI'!BO21+PSCO!BO22+SPS!BO14++Parent!BO14</f>
        <v>152.24370279653687</v>
      </c>
      <c r="BP22" s="116">
        <f>'NSP-MN'!BP22+'NSP-WI'!BP21+PSCO!BP22+SPS!BP14++Parent!BP14</f>
        <v>153.1867308527037</v>
      </c>
      <c r="BQ22" s="42">
        <f>SUM(BM22:BP22)</f>
        <v>621.15977403991053</v>
      </c>
      <c r="BS22" s="919">
        <f>AR22-AM22</f>
        <v>20.396000000000015</v>
      </c>
      <c r="BT22" s="640">
        <f>AW22-AR22</f>
        <v>12.928999999999974</v>
      </c>
      <c r="BU22" s="640">
        <f>BB22-AW22</f>
        <v>35.353695000000016</v>
      </c>
      <c r="BV22" s="978"/>
      <c r="BW22" s="525"/>
      <c r="BX22" s="525"/>
      <c r="BY22" s="525"/>
      <c r="BZ22" s="525"/>
      <c r="CA22" s="525"/>
    </row>
    <row r="23" spans="1:104" x14ac:dyDescent="0.2">
      <c r="C23" t="s">
        <v>442</v>
      </c>
      <c r="D23" s="42"/>
      <c r="E23" s="114">
        <v>45.219000000000001</v>
      </c>
      <c r="F23" s="115">
        <v>41.417000000000002</v>
      </c>
      <c r="G23" s="115">
        <v>47.156999999999996</v>
      </c>
      <c r="H23" s="131">
        <f>I23-SUM(E23:G23)</f>
        <v>48.318999999999988</v>
      </c>
      <c r="I23" s="117">
        <v>182.11199999999999</v>
      </c>
      <c r="J23" s="114">
        <v>58.039000000000001</v>
      </c>
      <c r="K23" s="115">
        <v>55.551000000000002</v>
      </c>
      <c r="L23" s="115">
        <v>60.860999999999997</v>
      </c>
      <c r="M23" s="131">
        <f>N23-SUM(J23:L23)</f>
        <v>65.376000000000005</v>
      </c>
      <c r="N23" s="117">
        <v>239.827</v>
      </c>
      <c r="O23" s="114">
        <v>75.298000000000002</v>
      </c>
      <c r="P23" s="115">
        <v>65.497</v>
      </c>
      <c r="Q23" s="115">
        <v>71.28</v>
      </c>
      <c r="R23" s="131">
        <f>S23-SUM(O23:Q23)</f>
        <v>69.302999999999969</v>
      </c>
      <c r="S23" s="117">
        <v>281.37799999999999</v>
      </c>
      <c r="T23" s="114">
        <v>63.707000000000001</v>
      </c>
      <c r="U23" s="115">
        <v>58.615000000000002</v>
      </c>
      <c r="V23" s="115">
        <v>68.92</v>
      </c>
      <c r="W23" s="131">
        <f>X23-SUM(T23:V23)</f>
        <v>69.284999999999968</v>
      </c>
      <c r="X23" s="117">
        <v>260.52699999999999</v>
      </c>
      <c r="Y23" s="114">
        <v>64.031999999999996</v>
      </c>
      <c r="Z23" s="115">
        <v>60.445</v>
      </c>
      <c r="AA23" s="115">
        <v>67.811000000000007</v>
      </c>
      <c r="AB23" s="131">
        <f>AC23-SUM(Y23:AA23)</f>
        <v>68.437999999999988</v>
      </c>
      <c r="AC23" s="117">
        <v>260.726</v>
      </c>
      <c r="AD23" s="114">
        <v>77.546000000000006</v>
      </c>
      <c r="AE23" s="115">
        <v>70.834000000000003</v>
      </c>
      <c r="AF23" s="115">
        <v>75.171999999999997</v>
      </c>
      <c r="AG23" s="131">
        <f>AH23-SUM(AD23:AF23)</f>
        <v>78.22</v>
      </c>
      <c r="AH23" s="117">
        <v>301.77199999999999</v>
      </c>
      <c r="AI23" s="114">
        <f>53.805</f>
        <v>53.805</v>
      </c>
      <c r="AJ23" s="115">
        <v>54.140999999999998</v>
      </c>
      <c r="AK23" s="115">
        <v>57.314</v>
      </c>
      <c r="AL23" s="131">
        <f>AM23-SUM(AI23:AK23)</f>
        <v>59.419000000000011</v>
      </c>
      <c r="AM23" s="117">
        <v>224.679</v>
      </c>
      <c r="AN23" s="114">
        <v>57.436</v>
      </c>
      <c r="AO23" s="115">
        <v>55.915999999999997</v>
      </c>
      <c r="AP23" s="115">
        <v>63.914000000000001</v>
      </c>
      <c r="AQ23" s="131">
        <f>AR23-SUM(AN23:AP23)</f>
        <v>67.517999999999972</v>
      </c>
      <c r="AR23" s="117">
        <v>244.78399999999999</v>
      </c>
      <c r="AS23" s="114">
        <v>67.533000000000001</v>
      </c>
      <c r="AT23" s="115">
        <v>64.86</v>
      </c>
      <c r="AU23" s="115">
        <v>73.727999999999994</v>
      </c>
      <c r="AV23" s="131">
        <f>AW23-SUM(AS23:AU23)</f>
        <v>66.879000000000019</v>
      </c>
      <c r="AW23" s="117">
        <v>273</v>
      </c>
      <c r="AX23" s="136">
        <f>'NSP-MN'!AX23+'NSP-WI'!AX22+PSCO!AX23+SPS!AX15+Parent!AX15</f>
        <v>67.771559999999994</v>
      </c>
      <c r="AY23" s="137">
        <f>'NSP-MN'!AY23+'NSP-WI'!AY22+PSCO!AY23+SPS!AY15+Parent!AY15</f>
        <v>65.093204999999998</v>
      </c>
      <c r="AZ23" s="137">
        <f>'NSP-MN'!AZ23+'NSP-WI'!AZ22+PSCO!AZ23+SPS!AZ15+Parent!AZ15</f>
        <v>73.989270000000005</v>
      </c>
      <c r="BA23" s="116">
        <f>'NSP-MN'!BA23+'NSP-WI'!BA22+PSCO!BA23+SPS!BA15+Parent!BA15</f>
        <v>67.304794999999999</v>
      </c>
      <c r="BB23" s="42">
        <f>SUM(AX23:BA23)</f>
        <v>274.15882999999997</v>
      </c>
      <c r="BC23" s="136">
        <f>'NSP-MN'!BC23+'NSP-WI'!BC22+PSCO!BC23+SPS!BC15+Parent!BC15</f>
        <v>68.021494649999994</v>
      </c>
      <c r="BD23" s="137">
        <f>'NSP-MN'!BD23+'NSP-WI'!BD22+PSCO!BD23+SPS!BD15+Parent!BD15</f>
        <v>65.335352325000002</v>
      </c>
      <c r="BE23" s="137">
        <f>'NSP-MN'!BE23+'NSP-WI'!BE22+PSCO!BE23+SPS!BE15+Parent!BE15</f>
        <v>74.261872050000008</v>
      </c>
      <c r="BF23" s="116">
        <f>'NSP-MN'!BF23+'NSP-WI'!BF22+PSCO!BF23+SPS!BF15+Parent!BF15</f>
        <v>67.546582174999998</v>
      </c>
      <c r="BG23" s="42">
        <f>SUM(BC23:BF23)</f>
        <v>275.16530120000004</v>
      </c>
      <c r="BH23" s="136">
        <f>'NSP-MN'!BH23+'NSP-WI'!BH22+PSCO!BH23+SPS!BH15+Parent!BH15</f>
        <v>68.282298632250004</v>
      </c>
      <c r="BI23" s="137">
        <f>'NSP-MN'!BI23+'NSP-WI'!BI22+PSCO!BI23+SPS!BI15+Parent!BI15</f>
        <v>65.587914072375</v>
      </c>
      <c r="BJ23" s="137">
        <f>'NSP-MN'!BJ23+'NSP-WI'!BJ22+PSCO!BJ23+SPS!BJ15+Parent!BJ15</f>
        <v>74.54634678075</v>
      </c>
      <c r="BK23" s="116">
        <f>'NSP-MN'!BK23+'NSP-WI'!BK22+PSCO!BK23+SPS!BK15+Parent!BK15</f>
        <v>67.798837170124997</v>
      </c>
      <c r="BL23" s="42">
        <f>SUM(BH23:BK23)</f>
        <v>276.2153966555</v>
      </c>
      <c r="BM23" s="136">
        <f>'NSP-MN'!BM23+'NSP-WI'!BM22+PSCO!BM23+SPS!BM15+Parent!BM15</f>
        <v>68.554491002358759</v>
      </c>
      <c r="BN23" s="137">
        <f>'NSP-MN'!BN23+'NSP-WI'!BN22+PSCO!BN23+SPS!BN15+Parent!BN15</f>
        <v>65.851385569085622</v>
      </c>
      <c r="BO23" s="137">
        <f>'NSP-MN'!BO23+'NSP-WI'!BO22+PSCO!BO23+SPS!BO15+Parent!BO15</f>
        <v>74.843261464961259</v>
      </c>
      <c r="BP23" s="116">
        <f>'NSP-MN'!BP23+'NSP-WI'!BP22+PSCO!BP23+SPS!BP15+Parent!BP15</f>
        <v>68.06205905330188</v>
      </c>
      <c r="BQ23" s="42">
        <f>SUM(BM23:BP23)</f>
        <v>277.31119708970749</v>
      </c>
      <c r="BS23" s="224"/>
      <c r="BT23" s="525"/>
      <c r="BU23" s="525"/>
      <c r="BV23" s="525"/>
      <c r="BW23" s="525"/>
      <c r="BX23" s="525"/>
      <c r="BY23" s="525"/>
      <c r="BZ23" s="525"/>
      <c r="CA23" s="525"/>
    </row>
    <row r="24" spans="1:104" x14ac:dyDescent="0.2">
      <c r="C24" s="26" t="s">
        <v>123</v>
      </c>
      <c r="D24" s="42"/>
      <c r="E24" s="121">
        <f t="shared" ref="E24:AD24" si="22">SUM(E20:E23)+E16</f>
        <v>2324.7449999999999</v>
      </c>
      <c r="F24" s="122">
        <f t="shared" si="22"/>
        <v>1736.7150000000001</v>
      </c>
      <c r="G24" s="122">
        <f t="shared" si="22"/>
        <v>1849.414</v>
      </c>
      <c r="H24" s="123">
        <f t="shared" si="22"/>
        <v>2264.8569999999995</v>
      </c>
      <c r="I24" s="86">
        <f t="shared" si="22"/>
        <v>8175.7309999999998</v>
      </c>
      <c r="J24" s="121">
        <f t="shared" si="22"/>
        <v>2403.797</v>
      </c>
      <c r="K24" s="122">
        <f t="shared" si="22"/>
        <v>1982.46</v>
      </c>
      <c r="L24" s="122">
        <f t="shared" si="22"/>
        <v>2060.1569999999997</v>
      </c>
      <c r="M24" s="123">
        <f t="shared" si="22"/>
        <v>2244.5639999999999</v>
      </c>
      <c r="N24" s="86">
        <f t="shared" si="22"/>
        <v>8690.9779999999992</v>
      </c>
      <c r="O24" s="121">
        <f t="shared" si="22"/>
        <v>2389.877</v>
      </c>
      <c r="P24" s="138">
        <f t="shared" si="22"/>
        <v>2078.7800000000002</v>
      </c>
      <c r="Q24" s="138">
        <f>SUM(Q20:Q23)+Q16</f>
        <v>2180.1019999999999</v>
      </c>
      <c r="R24" s="123">
        <f t="shared" si="22"/>
        <v>2224.4090000000006</v>
      </c>
      <c r="S24" s="86">
        <f t="shared" si="22"/>
        <v>8873.1680000000015</v>
      </c>
      <c r="T24" s="121">
        <f t="shared" si="22"/>
        <v>2197.9169999999999</v>
      </c>
      <c r="U24" s="138">
        <f t="shared" si="22"/>
        <v>1868.9780000000001</v>
      </c>
      <c r="V24" s="138">
        <f t="shared" si="22"/>
        <v>2003.9069999999997</v>
      </c>
      <c r="W24" s="123">
        <f t="shared" si="22"/>
        <v>2234.7379999999994</v>
      </c>
      <c r="X24" s="86">
        <f t="shared" si="22"/>
        <v>8305.5399999999991</v>
      </c>
      <c r="Y24" s="121">
        <f t="shared" si="22"/>
        <v>2328.2250000000004</v>
      </c>
      <c r="Z24" s="138">
        <f>SUM(Z20:Z23)+Z16</f>
        <v>2176.6770000000001</v>
      </c>
      <c r="AA24" s="138">
        <f>SUM(AA20:AA23)+AA16</f>
        <v>2157.2249999999999</v>
      </c>
      <c r="AB24" s="123">
        <f>SUM(AB20:AB23)+AB16</f>
        <v>2405.2400000000007</v>
      </c>
      <c r="AC24" s="86">
        <f>SUM(AC20:AC23)+AC16</f>
        <v>9067.3670000000002</v>
      </c>
      <c r="AD24" s="121">
        <f t="shared" si="22"/>
        <v>2708.6120000000001</v>
      </c>
      <c r="AE24" s="122">
        <f t="shared" ref="AE24:AJ24" si="23">SUM(AE20:AE23)+AE16</f>
        <v>2287.8879999999999</v>
      </c>
      <c r="AF24" s="122">
        <f t="shared" si="23"/>
        <v>2204.127</v>
      </c>
      <c r="AG24" s="123">
        <f t="shared" si="23"/>
        <v>2537.3779999999997</v>
      </c>
      <c r="AH24" s="86">
        <f t="shared" si="23"/>
        <v>9738.005000000001</v>
      </c>
      <c r="AI24" s="121">
        <f t="shared" si="23"/>
        <v>2481.9110000000001</v>
      </c>
      <c r="AJ24" s="122">
        <f t="shared" si="23"/>
        <v>2092.2889999999998</v>
      </c>
      <c r="AK24" s="122">
        <f t="shared" ref="AK24:AU24" si="24">SUM(AK20:AK23)+AK16</f>
        <v>2115.5</v>
      </c>
      <c r="AL24" s="123">
        <f t="shared" si="24"/>
        <v>2204.8109999999997</v>
      </c>
      <c r="AM24" s="86">
        <f t="shared" si="24"/>
        <v>8894.5110000000004</v>
      </c>
      <c r="AN24" s="121">
        <f t="shared" si="24"/>
        <v>2282.4029999999998</v>
      </c>
      <c r="AO24" s="122">
        <f t="shared" si="24"/>
        <v>2068.268</v>
      </c>
      <c r="AP24" s="122">
        <f t="shared" si="24"/>
        <v>2213.0929999999998</v>
      </c>
      <c r="AQ24" s="123">
        <f t="shared" si="24"/>
        <v>2329.3010000000004</v>
      </c>
      <c r="AR24" s="86">
        <f t="shared" si="24"/>
        <v>8893.0649999999987</v>
      </c>
      <c r="AS24" s="121">
        <f t="shared" si="24"/>
        <v>2460.203</v>
      </c>
      <c r="AT24" s="122">
        <f t="shared" si="24"/>
        <v>2185.2359999999999</v>
      </c>
      <c r="AU24" s="122">
        <f t="shared" si="24"/>
        <v>2198.538</v>
      </c>
      <c r="AV24" s="123">
        <f t="shared" ref="AV24:AW24" si="25">SUM(AV20:AV23)+AV16</f>
        <v>2370.0230000000001</v>
      </c>
      <c r="AW24" s="86">
        <f t="shared" si="25"/>
        <v>9214</v>
      </c>
      <c r="AX24" s="121">
        <f t="shared" ref="AX24:BG24" si="26">SUM(AX20:AX23)+AX16</f>
        <v>2533.347634470103</v>
      </c>
      <c r="AY24" s="122">
        <f t="shared" si="26"/>
        <v>2222.0902452952714</v>
      </c>
      <c r="AZ24" s="122">
        <f t="shared" si="26"/>
        <v>2247.9620529538806</v>
      </c>
      <c r="BA24" s="123">
        <f t="shared" si="26"/>
        <v>2418.9895256478271</v>
      </c>
      <c r="BB24" s="86">
        <f t="shared" si="26"/>
        <v>9422.3894583670844</v>
      </c>
      <c r="BC24" s="121">
        <f t="shared" si="26"/>
        <v>2556.6368682605134</v>
      </c>
      <c r="BD24" s="122">
        <f t="shared" si="26"/>
        <v>2253.7448327637339</v>
      </c>
      <c r="BE24" s="122">
        <f t="shared" si="26"/>
        <v>2281.512151667428</v>
      </c>
      <c r="BF24" s="123">
        <f t="shared" si="26"/>
        <v>2454.0744150422433</v>
      </c>
      <c r="BG24" s="86">
        <f t="shared" si="26"/>
        <v>9545.9682677339188</v>
      </c>
      <c r="BH24" s="121">
        <f t="shared" ref="BH24:BQ24" si="27">SUM(BH20:BH23)+BH16</f>
        <v>2597.3549441229552</v>
      </c>
      <c r="BI24" s="122">
        <f t="shared" si="27"/>
        <v>2298.675944911427</v>
      </c>
      <c r="BJ24" s="122">
        <f t="shared" si="27"/>
        <v>2323.0935669450837</v>
      </c>
      <c r="BK24" s="123">
        <f t="shared" si="27"/>
        <v>2492.0254880646335</v>
      </c>
      <c r="BL24" s="86">
        <f t="shared" si="27"/>
        <v>9711.1499440441003</v>
      </c>
      <c r="BM24" s="121">
        <f t="shared" si="27"/>
        <v>2633.4314165235432</v>
      </c>
      <c r="BN24" s="122">
        <f t="shared" si="27"/>
        <v>2327.4335942952948</v>
      </c>
      <c r="BO24" s="122">
        <f t="shared" si="27"/>
        <v>2352.3571764739131</v>
      </c>
      <c r="BP24" s="123">
        <f t="shared" si="27"/>
        <v>2521.468908283181</v>
      </c>
      <c r="BQ24" s="86">
        <f t="shared" si="27"/>
        <v>9834.6910955759304</v>
      </c>
      <c r="BS24" s="224"/>
      <c r="BT24" s="525"/>
      <c r="BU24" s="525"/>
      <c r="BV24" s="525"/>
      <c r="BW24" s="525"/>
      <c r="BX24" s="525"/>
      <c r="BY24" s="525"/>
      <c r="BZ24" s="525"/>
      <c r="CA24" s="525"/>
    </row>
    <row r="25" spans="1:104" x14ac:dyDescent="0.2">
      <c r="C25" s="26"/>
      <c r="D25" s="42"/>
      <c r="E25" s="120"/>
      <c r="F25" s="139"/>
      <c r="G25" s="139"/>
      <c r="H25" s="119"/>
      <c r="I25" s="42"/>
      <c r="J25" s="120"/>
      <c r="K25" s="139"/>
      <c r="L25" s="139"/>
      <c r="M25" s="119"/>
      <c r="N25" s="42"/>
      <c r="O25" s="120"/>
      <c r="P25" s="140"/>
      <c r="Q25" s="140"/>
      <c r="R25" s="119"/>
      <c r="S25" s="42"/>
      <c r="T25" s="120"/>
      <c r="U25" s="140"/>
      <c r="V25" s="140"/>
      <c r="W25" s="119"/>
      <c r="X25" s="42"/>
      <c r="Y25" s="120"/>
      <c r="Z25" s="140"/>
      <c r="AA25" s="140"/>
      <c r="AB25" s="119"/>
      <c r="AC25" s="42"/>
      <c r="AD25" s="120"/>
      <c r="AE25" s="140"/>
      <c r="AF25" s="140"/>
      <c r="AG25" s="119"/>
      <c r="AH25" s="42"/>
      <c r="AI25" s="120"/>
      <c r="AJ25" s="140"/>
      <c r="AK25" s="140"/>
      <c r="AL25" s="119"/>
      <c r="AM25" s="42"/>
      <c r="AN25" s="120"/>
      <c r="AO25" s="140"/>
      <c r="AP25" s="139"/>
      <c r="AQ25" s="119"/>
      <c r="AR25" s="42"/>
      <c r="AS25" s="120"/>
      <c r="AT25" s="140"/>
      <c r="AU25" s="139"/>
      <c r="AV25" s="119"/>
      <c r="AW25" s="42"/>
      <c r="AX25" s="120"/>
      <c r="AY25" s="139"/>
      <c r="AZ25" s="139"/>
      <c r="BA25" s="119"/>
      <c r="BB25" s="698"/>
      <c r="BC25" s="120"/>
      <c r="BD25" s="139"/>
      <c r="BE25" s="139"/>
      <c r="BF25" s="119"/>
      <c r="BG25" s="698"/>
      <c r="BH25" s="120"/>
      <c r="BI25" s="139"/>
      <c r="BJ25" s="139"/>
      <c r="BK25" s="119"/>
      <c r="BL25" s="698"/>
      <c r="BM25" s="120"/>
      <c r="BN25" s="139"/>
      <c r="BO25" s="139"/>
      <c r="BP25" s="119"/>
      <c r="BQ25" s="698"/>
      <c r="BS25" s="224"/>
      <c r="BT25" s="525"/>
      <c r="BU25" s="525"/>
      <c r="BV25" s="525"/>
      <c r="BW25" s="525"/>
      <c r="BX25" s="525"/>
      <c r="BY25" s="525"/>
      <c r="BZ25" s="525"/>
      <c r="CA25" s="525"/>
    </row>
    <row r="26" spans="1:104" x14ac:dyDescent="0.2">
      <c r="C26" s="70" t="s">
        <v>386</v>
      </c>
      <c r="D26" s="42"/>
      <c r="E26" s="120">
        <f>'NSP-MN'!E26</f>
        <v>158.98399999999992</v>
      </c>
      <c r="F26" s="118">
        <f>'NSP-MN'!F26</f>
        <v>115.28999999999985</v>
      </c>
      <c r="G26" s="118">
        <f>'NSP-MN'!G26</f>
        <v>196.44800000000009</v>
      </c>
      <c r="H26" s="119">
        <f>'NSP-MN'!H26</f>
        <v>144.79700000000025</v>
      </c>
      <c r="I26" s="42">
        <f>'NSP-MN'!I26</f>
        <v>615.51899999999978</v>
      </c>
      <c r="J26" s="120">
        <f>'NSP-MN'!J26</f>
        <v>142</v>
      </c>
      <c r="K26" s="118">
        <f>'NSP-MN'!K26</f>
        <v>107.36199999999985</v>
      </c>
      <c r="L26" s="118">
        <f>'NSP-MN'!L26</f>
        <v>217.67399999999998</v>
      </c>
      <c r="M26" s="119">
        <f>'NSP-MN'!M26</f>
        <v>131.1880000000001</v>
      </c>
      <c r="N26" s="42">
        <f>'NSP-MN'!N26</f>
        <v>598.22400000000016</v>
      </c>
      <c r="O26" s="120">
        <f>'NSP-MN'!O26</f>
        <v>174.8209999999998</v>
      </c>
      <c r="P26" s="118">
        <f>'NSP-MN'!P26</f>
        <v>135.85300000000007</v>
      </c>
      <c r="Q26" s="118">
        <f>'NSP-MN'!Q26</f>
        <v>255.87099999999987</v>
      </c>
      <c r="R26" s="119">
        <f>'NSP-MN'!R26</f>
        <v>126.3900000000001</v>
      </c>
      <c r="S26" s="42">
        <f>'NSP-MN'!S26</f>
        <v>692.9350000000004</v>
      </c>
      <c r="T26" s="120">
        <f>'NSP-MN'!T26</f>
        <v>132.67600000000016</v>
      </c>
      <c r="U26" s="118">
        <f>'NSP-MN'!U26</f>
        <v>139.47799999999995</v>
      </c>
      <c r="V26" s="118">
        <f>'NSP-MN'!V26</f>
        <v>259.74700000000007</v>
      </c>
      <c r="W26" s="119">
        <f>'NSP-MN'!W26</f>
        <v>126.38499999999999</v>
      </c>
      <c r="X26" s="42">
        <f>'NSP-MN'!X26</f>
        <v>658.28600000000006</v>
      </c>
      <c r="Y26" s="120">
        <f>'NSP-MN'!Y26</f>
        <v>175.29000000000008</v>
      </c>
      <c r="Z26" s="118">
        <f>'NSP-MN'!Z26</f>
        <v>142.04600000000005</v>
      </c>
      <c r="AA26" s="118">
        <f>'NSP-MN'!AA26</f>
        <v>264.51999999999987</v>
      </c>
      <c r="AB26" s="119">
        <f>'NSP-MN'!AB26</f>
        <v>127.74599999999941</v>
      </c>
      <c r="AC26" s="42">
        <f>'NSP-MN'!AC26</f>
        <v>709.60199999999986</v>
      </c>
      <c r="AD26" s="120">
        <f>'NSP-MN'!AD26</f>
        <v>203.69199999999978</v>
      </c>
      <c r="AE26" s="118">
        <f>'NSP-MN'!AE26</f>
        <v>155.29600000000005</v>
      </c>
      <c r="AF26" s="118">
        <f>'NSP-MN'!AF26</f>
        <v>252.745</v>
      </c>
      <c r="AG26" s="119">
        <f>'NSP-MN'!AG26</f>
        <v>155.8599999999999</v>
      </c>
      <c r="AH26" s="42">
        <f>'NSP-MN'!AH26</f>
        <v>767.59299999999985</v>
      </c>
      <c r="AI26" s="120">
        <f>'NSP-MN'!AI26</f>
        <v>175.07700000000023</v>
      </c>
      <c r="AJ26" s="118">
        <f>'NSP-MN'!AJ26</f>
        <v>154.48800000000017</v>
      </c>
      <c r="AK26" s="118">
        <f>'NSP-MN'!AK26</f>
        <v>310.69000000000017</v>
      </c>
      <c r="AL26" s="119">
        <f>'NSP-MN'!AL26</f>
        <v>190.31700000000001</v>
      </c>
      <c r="AM26" s="42">
        <f>'NSP-MN'!AM26</f>
        <v>830.57200000000012</v>
      </c>
      <c r="AN26" s="120">
        <f>'NSP-MN'!AN26</f>
        <v>183.89799999999991</v>
      </c>
      <c r="AO26" s="118">
        <f>'NSP-MN'!AO26</f>
        <v>159.67500000000007</v>
      </c>
      <c r="AP26" s="118">
        <f>'NSP-MN'!AP26</f>
        <v>347.42100000000005</v>
      </c>
      <c r="AQ26" s="119">
        <f>'NSP-MN'!AQ26</f>
        <v>207.48099999999999</v>
      </c>
      <c r="AR26" s="42">
        <f>'NSP-MN'!AR26</f>
        <v>898.47500000000036</v>
      </c>
      <c r="AS26" s="120">
        <f>'NSP-MN'!AS26</f>
        <v>179.06999999999994</v>
      </c>
      <c r="AT26" s="118">
        <f>'NSP-MN'!AT26</f>
        <v>169.65000000000009</v>
      </c>
      <c r="AU26" s="118">
        <f>'NSP-MN'!AU26</f>
        <v>336.33699999999999</v>
      </c>
      <c r="AV26" s="119">
        <f>'NSP-MN'!AV26</f>
        <v>182.91300000000047</v>
      </c>
      <c r="AW26" s="42">
        <f>'NSP-MN'!AW26</f>
        <v>867.97000000000116</v>
      </c>
      <c r="AX26" s="120">
        <f>'NSP-MN'!AX26</f>
        <v>175.87331422065176</v>
      </c>
      <c r="AY26" s="118">
        <f>'NSP-MN'!AY26</f>
        <v>158.4969706241169</v>
      </c>
      <c r="AZ26" s="118">
        <f>'NSP-MN'!AZ26</f>
        <v>306.87650439585832</v>
      </c>
      <c r="BA26" s="119">
        <f>'NSP-MN'!BA26</f>
        <v>172.15340507036899</v>
      </c>
      <c r="BB26" s="42">
        <f>SUM(AX26:BA26)</f>
        <v>813.40019431099597</v>
      </c>
      <c r="BC26" s="120">
        <f>'NSP-MN'!BC26</f>
        <v>193.34248049245298</v>
      </c>
      <c r="BD26" s="118">
        <f>'NSP-MN'!BD26</f>
        <v>177.59000858948377</v>
      </c>
      <c r="BE26" s="118">
        <f>'NSP-MN'!BE26</f>
        <v>331.55227367502016</v>
      </c>
      <c r="BF26" s="119">
        <f>'NSP-MN'!BF26</f>
        <v>186.16785248464498</v>
      </c>
      <c r="BG26" s="42">
        <f>SUM(BC26:BF26)</f>
        <v>888.65261524160189</v>
      </c>
      <c r="BH26" s="120">
        <f>'NSP-MN'!BH26</f>
        <v>208.60747023089061</v>
      </c>
      <c r="BI26" s="118">
        <f>'NSP-MN'!BI26</f>
        <v>189.25312991200303</v>
      </c>
      <c r="BJ26" s="118">
        <f>'NSP-MN'!BJ26</f>
        <v>353.27091349570469</v>
      </c>
      <c r="BK26" s="119">
        <f>'NSP-MN'!BK26</f>
        <v>200.48166876820528</v>
      </c>
      <c r="BL26" s="42">
        <f>SUM(BH26:BK26)</f>
        <v>951.61318240680362</v>
      </c>
      <c r="BM26" s="120">
        <f>'NSP-MN'!BM26</f>
        <v>215.07928916706692</v>
      </c>
      <c r="BN26" s="118">
        <f>'NSP-MN'!BN26</f>
        <v>201.07197027292409</v>
      </c>
      <c r="BO26" s="118">
        <f>'NSP-MN'!BO26</f>
        <v>371.05355266765469</v>
      </c>
      <c r="BP26" s="119">
        <f>'NSP-MN'!BP26</f>
        <v>210.47027172366006</v>
      </c>
      <c r="BQ26" s="42">
        <f>SUM(BM26:BP26)</f>
        <v>997.67508383130576</v>
      </c>
      <c r="BS26" s="224"/>
      <c r="BT26" s="525"/>
      <c r="BU26" s="525"/>
      <c r="BV26" s="525"/>
      <c r="BW26" s="525"/>
      <c r="BX26" s="525"/>
      <c r="BY26" s="525"/>
      <c r="BZ26" s="525"/>
      <c r="CA26" s="525"/>
    </row>
    <row r="27" spans="1:104" x14ac:dyDescent="0.2">
      <c r="C27" s="70" t="s">
        <v>388</v>
      </c>
      <c r="D27" s="42"/>
      <c r="E27" s="120">
        <f>PSCO!E26</f>
        <v>141.98300000000006</v>
      </c>
      <c r="F27" s="118">
        <f>PSCO!F26</f>
        <v>116.14999999999998</v>
      </c>
      <c r="G27" s="118">
        <f>PSCO!G26</f>
        <v>169.83200000000011</v>
      </c>
      <c r="H27" s="119">
        <f>PSCO!H26</f>
        <v>167.70600000000002</v>
      </c>
      <c r="I27" s="42">
        <f>PSCO!I26</f>
        <v>595.67100000000028</v>
      </c>
      <c r="J27" s="120">
        <f>PSCO!J26</f>
        <v>201.07799999999997</v>
      </c>
      <c r="K27" s="118">
        <f>PSCO!K26</f>
        <v>156.67700000000002</v>
      </c>
      <c r="L27" s="118">
        <f>PSCO!L26</f>
        <v>243.05499999999995</v>
      </c>
      <c r="M27" s="119">
        <f>PSCO!M26</f>
        <v>154.24199999999985</v>
      </c>
      <c r="N27" s="42">
        <f>PSCO!N26</f>
        <v>755.05199999999968</v>
      </c>
      <c r="O27" s="120">
        <f>PSCO!O26</f>
        <v>195.30800000000011</v>
      </c>
      <c r="P27" s="118">
        <f>PSCO!P26</f>
        <v>153.17600000000004</v>
      </c>
      <c r="Q27" s="118">
        <f>PSCO!Q26</f>
        <v>266.42200000000003</v>
      </c>
      <c r="R27" s="119">
        <f>PSCO!R26</f>
        <v>179.02599999999961</v>
      </c>
      <c r="S27" s="42">
        <f>PSCO!S26</f>
        <v>793.93199999999888</v>
      </c>
      <c r="T27" s="120">
        <f>PSCO!T26</f>
        <v>188.90599999999972</v>
      </c>
      <c r="U27" s="118">
        <f>PSCO!U26</f>
        <v>192.30999999999995</v>
      </c>
      <c r="V27" s="118">
        <f>PSCO!V26</f>
        <v>315.39100000000008</v>
      </c>
      <c r="W27" s="119">
        <f>PSCO!W26</f>
        <v>152.61199999999985</v>
      </c>
      <c r="X27" s="42">
        <f>PSCO!X26</f>
        <v>849.21899999999914</v>
      </c>
      <c r="Y27" s="120">
        <f>PSCO!Y26</f>
        <v>212.29899999999998</v>
      </c>
      <c r="Z27" s="118">
        <f>PSCO!Z26</f>
        <v>183.67499999999995</v>
      </c>
      <c r="AA27" s="118">
        <f>PSCO!AA26</f>
        <v>289.74100000000021</v>
      </c>
      <c r="AB27" s="119">
        <f>PSCO!AB26</f>
        <v>143.04399999999941</v>
      </c>
      <c r="AC27" s="42">
        <f>PSCO!AC26</f>
        <v>828.75899999999956</v>
      </c>
      <c r="AD27" s="120">
        <f>PSCO!AD26</f>
        <v>208.43700000000013</v>
      </c>
      <c r="AE27" s="118">
        <f>PSCO!AE26</f>
        <v>163.4369999999999</v>
      </c>
      <c r="AF27" s="118">
        <f>PSCO!AF26</f>
        <v>261.07299999999987</v>
      </c>
      <c r="AG27" s="119">
        <f>PSCO!AG26</f>
        <v>169.42300000000012</v>
      </c>
      <c r="AH27" s="42">
        <f>PSCO!AH26</f>
        <v>802.3700000000008</v>
      </c>
      <c r="AI27" s="120">
        <f>PSCO!AI26</f>
        <v>215.40000000000009</v>
      </c>
      <c r="AJ27" s="118">
        <f>PSCO!AJ26</f>
        <v>195.17599999999993</v>
      </c>
      <c r="AK27" s="118">
        <f>PSCO!AK26</f>
        <v>315.17399999999998</v>
      </c>
      <c r="AL27" s="119">
        <f>PSCO!AL26</f>
        <v>173.95100000000025</v>
      </c>
      <c r="AM27" s="42">
        <f>PSCO!AM26</f>
        <v>899.70100000000002</v>
      </c>
      <c r="AN27" s="120">
        <f>PSCO!AN26</f>
        <v>223.19000000000005</v>
      </c>
      <c r="AO27" s="118">
        <f>PSCO!AO26</f>
        <v>180.62900000000002</v>
      </c>
      <c r="AP27" s="118">
        <f>PSCO!AP26</f>
        <v>315.6049999999999</v>
      </c>
      <c r="AQ27" s="119">
        <f>PSCO!AQ26</f>
        <v>170.19699999999978</v>
      </c>
      <c r="AR27" s="42">
        <f>PSCO!AR26</f>
        <v>889.62099999999964</v>
      </c>
      <c r="AS27" s="120">
        <f>PSCO!AS26</f>
        <v>212.42200000000003</v>
      </c>
      <c r="AT27" s="118">
        <f>PSCO!AT26</f>
        <v>192.81099999999992</v>
      </c>
      <c r="AU27" s="118">
        <f>PSCO!AU26</f>
        <v>326.02800000000002</v>
      </c>
      <c r="AV27" s="119">
        <f>PSCO!AV26</f>
        <v>154.66899999999964</v>
      </c>
      <c r="AW27" s="42">
        <f>PSCO!AW26</f>
        <v>885.93000000000029</v>
      </c>
      <c r="AX27" s="120">
        <f>PSCO!AX26</f>
        <v>202.62912327358504</v>
      </c>
      <c r="AY27" s="118">
        <f>PSCO!AY26</f>
        <v>170.60567442911997</v>
      </c>
      <c r="AZ27" s="118">
        <f>PSCO!AZ26</f>
        <v>280.74718336041633</v>
      </c>
      <c r="BA27" s="119">
        <f>PSCO!BA26</f>
        <v>146.69816848216374</v>
      </c>
      <c r="BB27" s="42">
        <f>SUM(AX27:BA27)</f>
        <v>800.68014954528508</v>
      </c>
      <c r="BC27" s="120">
        <f>PSCO!BC26</f>
        <v>217.15962515521846</v>
      </c>
      <c r="BD27" s="118">
        <f>PSCO!BD26</f>
        <v>175.53783963264391</v>
      </c>
      <c r="BE27" s="118">
        <f>PSCO!BE26</f>
        <v>287.79212172129667</v>
      </c>
      <c r="BF27" s="119">
        <f>PSCO!BF26</f>
        <v>154.20572981950431</v>
      </c>
      <c r="BG27" s="42">
        <f>SUM(BC27:BF27)</f>
        <v>834.69531632866335</v>
      </c>
      <c r="BH27" s="120">
        <f>PSCO!BH26</f>
        <v>226.2532634586953</v>
      </c>
      <c r="BI27" s="118">
        <f>PSCO!BI26</f>
        <v>182.6004822311844</v>
      </c>
      <c r="BJ27" s="118">
        <f>PSCO!BJ26</f>
        <v>296.53372848205822</v>
      </c>
      <c r="BK27" s="119">
        <f>PSCO!BK26</f>
        <v>164.18405819032773</v>
      </c>
      <c r="BL27" s="42">
        <f>SUM(BH27:BK27)</f>
        <v>869.57153236226566</v>
      </c>
      <c r="BM27" s="120">
        <f>PSCO!BM26</f>
        <v>241.0166981473435</v>
      </c>
      <c r="BN27" s="118">
        <f>PSCO!BN26</f>
        <v>192.62244221346657</v>
      </c>
      <c r="BO27" s="118">
        <f>PSCO!BO26</f>
        <v>307.10722521629339</v>
      </c>
      <c r="BP27" s="119">
        <f>PSCO!BP26</f>
        <v>175.84660521862691</v>
      </c>
      <c r="BQ27" s="42">
        <f>SUM(BM27:BP27)</f>
        <v>916.59297079573037</v>
      </c>
      <c r="BS27" s="224"/>
      <c r="BT27" s="525"/>
      <c r="BU27" s="525"/>
      <c r="BV27" s="525"/>
      <c r="BW27" s="525"/>
      <c r="BX27" s="525"/>
      <c r="BY27" s="525"/>
      <c r="BZ27" s="525"/>
      <c r="CA27" s="525"/>
    </row>
    <row r="28" spans="1:104" x14ac:dyDescent="0.2">
      <c r="C28" s="70" t="s">
        <v>389</v>
      </c>
      <c r="D28" s="42"/>
      <c r="E28" s="120">
        <f>SPS!E18</f>
        <v>29.83200000000005</v>
      </c>
      <c r="F28" s="139">
        <f>SPS!F18</f>
        <v>41.043000000000006</v>
      </c>
      <c r="G28" s="139">
        <f>SPS!G18</f>
        <v>76.670000000000016</v>
      </c>
      <c r="H28" s="119">
        <f>SPS!H18</f>
        <v>25.271999999999821</v>
      </c>
      <c r="I28" s="42">
        <f>SPS!I18</f>
        <v>172.81700000000001</v>
      </c>
      <c r="J28" s="120">
        <f>SPS!J18</f>
        <v>30.828000000000031</v>
      </c>
      <c r="K28" s="139">
        <f>SPS!K18</f>
        <v>54.051000000000045</v>
      </c>
      <c r="L28" s="139">
        <f>SPS!L18</f>
        <v>76.936999999999955</v>
      </c>
      <c r="M28" s="119">
        <f>SPS!M18</f>
        <v>21.620999999999924</v>
      </c>
      <c r="N28" s="42">
        <f>SPS!N18</f>
        <v>183.43700000000013</v>
      </c>
      <c r="O28" s="120">
        <f>SPS!O18</f>
        <v>29.498999999999967</v>
      </c>
      <c r="P28" s="139">
        <f>SPS!P18</f>
        <v>53.432999999999993</v>
      </c>
      <c r="Q28" s="139">
        <f>SPS!Q18</f>
        <v>92.885000000000048</v>
      </c>
      <c r="R28" s="119">
        <f>SPS!R18</f>
        <v>24.780000000000086</v>
      </c>
      <c r="S28" s="42">
        <f>SPS!S18</f>
        <v>200.59699999999998</v>
      </c>
      <c r="T28" s="120">
        <f>SPS!T18</f>
        <v>31.84499999999997</v>
      </c>
      <c r="U28" s="139">
        <f>SPS!U18</f>
        <v>61.89100000000002</v>
      </c>
      <c r="V28" s="139">
        <f>SPS!V18</f>
        <v>107.50900000000001</v>
      </c>
      <c r="W28" s="119">
        <f>SPS!W18</f>
        <v>24.509999999999991</v>
      </c>
      <c r="X28" s="42">
        <f>SPS!X18</f>
        <v>225.75500000000011</v>
      </c>
      <c r="Y28" s="120">
        <f>SPS!Y18</f>
        <v>33.059000000000026</v>
      </c>
      <c r="Z28" s="139">
        <f>SPS!Z18</f>
        <v>58.469000000000051</v>
      </c>
      <c r="AA28" s="139">
        <f>SPS!AA18</f>
        <v>74.652999999999963</v>
      </c>
      <c r="AB28" s="119">
        <f>SPS!AB18</f>
        <v>43.836000000000126</v>
      </c>
      <c r="AC28" s="42">
        <f>SPS!AC18</f>
        <v>210.01700000000005</v>
      </c>
      <c r="AD28" s="120">
        <f>SPS!AD18</f>
        <v>42.575999999999965</v>
      </c>
      <c r="AE28" s="139">
        <f>SPS!AE18</f>
        <v>59</v>
      </c>
      <c r="AF28" s="139">
        <f>SPS!AF18</f>
        <v>118.76900000000001</v>
      </c>
      <c r="AG28" s="119">
        <f>SPS!AG18</f>
        <v>45.779000000000053</v>
      </c>
      <c r="AH28" s="42">
        <f>SPS!AH18</f>
        <v>266.12400000000002</v>
      </c>
      <c r="AI28" s="120">
        <f>SPS!AI18</f>
        <v>49.759000000000015</v>
      </c>
      <c r="AJ28" s="139">
        <f>SPS!AJ18</f>
        <v>53.132000000000005</v>
      </c>
      <c r="AK28" s="139">
        <f>SPS!AK18</f>
        <v>117.07599999999996</v>
      </c>
      <c r="AL28" s="119">
        <f>SPS!AL18</f>
        <v>54.498000000000104</v>
      </c>
      <c r="AM28" s="42">
        <f>SPS!AM18</f>
        <v>274.46500000000015</v>
      </c>
      <c r="AN28" s="120">
        <f>SPS!AN18</f>
        <v>53.569000000000017</v>
      </c>
      <c r="AO28" s="139">
        <f>SPS!AO18</f>
        <v>68.386000000000024</v>
      </c>
      <c r="AP28" s="139">
        <f>SPS!AP18</f>
        <v>122.36200000000008</v>
      </c>
      <c r="AQ28" s="119">
        <f>SPS!AQ18</f>
        <v>62.964000000000055</v>
      </c>
      <c r="AR28" s="42">
        <f>SPS!AR18</f>
        <v>307.28099999999995</v>
      </c>
      <c r="AS28" s="120">
        <f>SPS!AS18</f>
        <v>58.41500000000002</v>
      </c>
      <c r="AT28" s="139">
        <f>SPS!AT18</f>
        <v>74.488999999999976</v>
      </c>
      <c r="AU28" s="139">
        <f>SPS!AU18</f>
        <v>122.40700000000004</v>
      </c>
      <c r="AV28" s="119">
        <f>SPS!AV18</f>
        <v>41.497999999999877</v>
      </c>
      <c r="AW28" s="42">
        <f>SPS!AW18</f>
        <v>296.80899999999974</v>
      </c>
      <c r="AX28" s="120">
        <f>SPS!AX18</f>
        <v>69.059290261373917</v>
      </c>
      <c r="AY28" s="139">
        <f>SPS!AY18</f>
        <v>78.166455775054828</v>
      </c>
      <c r="AZ28" s="139">
        <f>SPS!AZ18</f>
        <v>118.02258427294475</v>
      </c>
      <c r="BA28" s="119">
        <f>SPS!BA18</f>
        <v>46.401260736327401</v>
      </c>
      <c r="BB28" s="42">
        <f>SUM(AX28:BA28)</f>
        <v>311.6495910457009</v>
      </c>
      <c r="BC28" s="120">
        <f>SPS!BC18</f>
        <v>85.178072776568058</v>
      </c>
      <c r="BD28" s="139">
        <f>SPS!BD18</f>
        <v>92.308194367689566</v>
      </c>
      <c r="BE28" s="139">
        <f>SPS!BE18</f>
        <v>136.85430198568531</v>
      </c>
      <c r="BF28" s="119">
        <f>SPS!BF18</f>
        <v>59.537830331641544</v>
      </c>
      <c r="BG28" s="42">
        <f>SUM(BC28:BF28)</f>
        <v>373.87839946158448</v>
      </c>
      <c r="BH28" s="120">
        <f>SPS!BH18</f>
        <v>98.639454865385801</v>
      </c>
      <c r="BI28" s="139">
        <f>SPS!BI18</f>
        <v>104.14571008175363</v>
      </c>
      <c r="BJ28" s="139">
        <f>SPS!BJ18</f>
        <v>155.71496073088059</v>
      </c>
      <c r="BK28" s="119">
        <f>SPS!BK18</f>
        <v>73.095070746524016</v>
      </c>
      <c r="BL28" s="42">
        <f>SUM(BH28:BK28)</f>
        <v>431.59519642454404</v>
      </c>
      <c r="BM28" s="120">
        <f>SPS!BM18</f>
        <v>109.82154580671249</v>
      </c>
      <c r="BN28" s="139">
        <f>SPS!BN18</f>
        <v>117.97925408918263</v>
      </c>
      <c r="BO28" s="139">
        <f>SPS!BO18</f>
        <v>174.85312033936248</v>
      </c>
      <c r="BP28" s="119">
        <f>SPS!BP18</f>
        <v>87.742766083628339</v>
      </c>
      <c r="BQ28" s="42">
        <f>SUM(BM28:BP28)</f>
        <v>490.39668631888594</v>
      </c>
      <c r="BS28" s="224"/>
      <c r="BT28" s="525"/>
      <c r="BU28" s="525"/>
      <c r="BV28" s="525"/>
      <c r="BW28" s="525"/>
      <c r="BX28" s="525"/>
      <c r="BY28" s="525"/>
      <c r="BZ28" s="525"/>
      <c r="CA28" s="525"/>
    </row>
    <row r="29" spans="1:104" x14ac:dyDescent="0.2">
      <c r="C29" s="70" t="s">
        <v>387</v>
      </c>
      <c r="D29" s="42"/>
      <c r="E29" s="120">
        <f>'NSP-WI'!E25</f>
        <v>41.116000000000014</v>
      </c>
      <c r="F29" s="118">
        <f>'NSP-WI'!F25</f>
        <v>10.656000000000006</v>
      </c>
      <c r="G29" s="118">
        <f>'NSP-WI'!G25</f>
        <v>25.953999999999979</v>
      </c>
      <c r="H29" s="119">
        <f>'NSP-WI'!H25</f>
        <v>16.855000000000018</v>
      </c>
      <c r="I29" s="42">
        <f>'NSP-WI'!I25</f>
        <v>94.581000000000131</v>
      </c>
      <c r="J29" s="120">
        <f>'NSP-WI'!J25</f>
        <v>28.867000000000019</v>
      </c>
      <c r="K29" s="118">
        <f>'NSP-WI'!K25</f>
        <v>8.9939999999999998</v>
      </c>
      <c r="L29" s="118">
        <f>'NSP-WI'!L25</f>
        <v>33.131</v>
      </c>
      <c r="M29" s="119">
        <f>'NSP-WI'!M25</f>
        <v>17.828999999999979</v>
      </c>
      <c r="N29" s="42">
        <f>'NSP-WI'!N25</f>
        <v>88.820999999999913</v>
      </c>
      <c r="O29" s="120">
        <f>'NSP-WI'!O25</f>
        <v>29.896999999999991</v>
      </c>
      <c r="P29" s="118">
        <f>'NSP-WI'!P25</f>
        <v>20.114999999999981</v>
      </c>
      <c r="Q29" s="118">
        <f>'NSP-WI'!Q25</f>
        <v>39.032000000000039</v>
      </c>
      <c r="R29" s="119">
        <f>'NSP-WI'!R25</f>
        <v>18.46399999999997</v>
      </c>
      <c r="S29" s="42">
        <f>'NSP-WI'!S25</f>
        <v>107.50800000000004</v>
      </c>
      <c r="T29" s="120">
        <f>'NSP-WI'!T25</f>
        <v>28.914000000000016</v>
      </c>
      <c r="U29" s="118">
        <f>'NSP-WI'!U25</f>
        <v>14.348000000000013</v>
      </c>
      <c r="V29" s="118">
        <f>'NSP-WI'!V25</f>
        <v>40.734999999999957</v>
      </c>
      <c r="W29" s="119">
        <f>'NSP-WI'!W25</f>
        <v>15.869000000000113</v>
      </c>
      <c r="X29" s="42">
        <f>'NSP-WI'!X25</f>
        <v>99.866000000000099</v>
      </c>
      <c r="Y29" s="120">
        <f>'NSP-WI'!Y25</f>
        <v>37.40100000000001</v>
      </c>
      <c r="Z29" s="118">
        <f>'NSP-WI'!Z25</f>
        <v>22.466000000000037</v>
      </c>
      <c r="AA29" s="118">
        <f>'NSP-WI'!AA25</f>
        <v>40.768999999999977</v>
      </c>
      <c r="AB29" s="119">
        <f>'NSP-WI'!AB25</f>
        <v>16.544999999999902</v>
      </c>
      <c r="AC29" s="42">
        <f>'NSP-WI'!AC25</f>
        <v>117.18100000000004</v>
      </c>
      <c r="AD29" s="120">
        <f>'NSP-WI'!AD25</f>
        <v>42.571000000000083</v>
      </c>
      <c r="AE29" s="118">
        <f>'NSP-WI'!AE25</f>
        <v>23.729999999999961</v>
      </c>
      <c r="AF29" s="118">
        <f>'NSP-WI'!AF25</f>
        <v>37.54000000000002</v>
      </c>
      <c r="AG29" s="119">
        <f>'NSP-WI'!AG25</f>
        <v>27.786999999999921</v>
      </c>
      <c r="AH29" s="42">
        <f>'NSP-WI'!AH25</f>
        <v>131.62800000000016</v>
      </c>
      <c r="AI29" s="120">
        <f>'NSP-WI'!AI25</f>
        <v>44.785999999999973</v>
      </c>
      <c r="AJ29" s="118">
        <f>'NSP-WI'!AJ25</f>
        <v>25.069000000000017</v>
      </c>
      <c r="AK29" s="118">
        <f>'NSP-WI'!AK25</f>
        <v>47.531999999999982</v>
      </c>
      <c r="AL29" s="119">
        <f>'NSP-WI'!AL25</f>
        <v>27.809000000000111</v>
      </c>
      <c r="AM29" s="42">
        <f>'NSP-WI'!AM25</f>
        <v>145.19600000000003</v>
      </c>
      <c r="AN29" s="120">
        <f>'NSP-WI'!AN25</f>
        <v>35.448000000000036</v>
      </c>
      <c r="AO29" s="118">
        <f>'NSP-WI'!AO25</f>
        <v>27.777999999999992</v>
      </c>
      <c r="AP29" s="118">
        <f>'NSP-WI'!AP25</f>
        <v>46.342000000000041</v>
      </c>
      <c r="AQ29" s="119">
        <f>'NSP-WI'!AQ25</f>
        <v>30.359999999999957</v>
      </c>
      <c r="AR29" s="42">
        <f>'NSP-WI'!AR25</f>
        <v>139.928</v>
      </c>
      <c r="AS29" s="120">
        <f>'NSP-WI'!AS25</f>
        <v>42.774999999999977</v>
      </c>
      <c r="AT29" s="118">
        <f>'NSP-WI'!AT25</f>
        <v>29.067000000000007</v>
      </c>
      <c r="AU29" s="118">
        <f>'NSP-WI'!AU25</f>
        <v>38.391999999999996</v>
      </c>
      <c r="AV29" s="119">
        <f>'NSP-WI'!AV25</f>
        <v>37.994</v>
      </c>
      <c r="AW29" s="42">
        <f>'NSP-WI'!AW25</f>
        <v>148.22799999999995</v>
      </c>
      <c r="AX29" s="120">
        <f>'NSP-WI'!AX25</f>
        <v>41.206629470502463</v>
      </c>
      <c r="AY29" s="118">
        <f>'NSP-WI'!AY25</f>
        <v>26.729304939592538</v>
      </c>
      <c r="AZ29" s="118">
        <f>'NSP-WI'!AZ25</f>
        <v>34.549191938405244</v>
      </c>
      <c r="BA29" s="119">
        <f>'NSP-WI'!BA25</f>
        <v>35.635456505361788</v>
      </c>
      <c r="BB29" s="42">
        <f>SUM(AX29:BA29)</f>
        <v>138.12058285386203</v>
      </c>
      <c r="BC29" s="120">
        <f>'NSP-WI'!BC25</f>
        <v>43.74554178551287</v>
      </c>
      <c r="BD29" s="118">
        <f>'NSP-WI'!BD25</f>
        <v>27.619680131475263</v>
      </c>
      <c r="BE29" s="118">
        <f>'NSP-WI'!BE25</f>
        <v>35.641690714425664</v>
      </c>
      <c r="BF29" s="119">
        <f>'NSP-WI'!BF25</f>
        <v>37.417569374870254</v>
      </c>
      <c r="BG29" s="42">
        <f>SUM(BC29:BF29)</f>
        <v>144.42448200628405</v>
      </c>
      <c r="BH29" s="120">
        <f>'NSP-WI'!BH25</f>
        <v>46.991714572667718</v>
      </c>
      <c r="BI29" s="118">
        <f>'NSP-WI'!BI25</f>
        <v>29.516643084894525</v>
      </c>
      <c r="BJ29" s="118">
        <f>'NSP-WI'!BJ25</f>
        <v>38.019815337135299</v>
      </c>
      <c r="BK29" s="119">
        <f>'NSP-WI'!BK25</f>
        <v>40.236763066072626</v>
      </c>
      <c r="BL29" s="42">
        <f>SUM(BH29:BK29)</f>
        <v>154.76493606077017</v>
      </c>
      <c r="BM29" s="120">
        <f>'NSP-WI'!BM25</f>
        <v>50.161775772110786</v>
      </c>
      <c r="BN29" s="118">
        <f>'NSP-WI'!BN25</f>
        <v>31.751719832022758</v>
      </c>
      <c r="BO29" s="118">
        <f>'NSP-WI'!BO25</f>
        <v>40.48339610860171</v>
      </c>
      <c r="BP29" s="119">
        <f>'NSP-WI'!BP25</f>
        <v>43.013353335049658</v>
      </c>
      <c r="BQ29" s="42">
        <f>SUM(BM29:BP29)</f>
        <v>165.41024504778491</v>
      </c>
      <c r="BS29" s="224"/>
      <c r="BT29" s="525"/>
      <c r="BU29" s="525"/>
      <c r="BV29" s="525"/>
      <c r="BW29" s="525"/>
      <c r="BX29" s="525"/>
      <c r="BY29" s="525"/>
      <c r="BZ29" s="525"/>
      <c r="CA29" s="525"/>
    </row>
    <row r="30" spans="1:104" x14ac:dyDescent="0.2">
      <c r="C30" s="70" t="s">
        <v>390</v>
      </c>
      <c r="D30" s="42"/>
      <c r="E30" s="120">
        <f>Parent!E18</f>
        <v>-1.1179999999995829</v>
      </c>
      <c r="F30" s="139">
        <f>Parent!F18</f>
        <v>-3.7709999999999582</v>
      </c>
      <c r="G30" s="139">
        <f>Parent!G18</f>
        <v>-3.7560000000000002</v>
      </c>
      <c r="H30" s="119">
        <f>Parent!H18</f>
        <v>-1.3709999999999525</v>
      </c>
      <c r="I30" s="42">
        <f>Parent!I18</f>
        <v>-10.016000000000872</v>
      </c>
      <c r="J30" s="120">
        <f>Parent!J18</f>
        <v>0.89200000000008117</v>
      </c>
      <c r="K30" s="139">
        <f>Parent!K18</f>
        <v>-1.7799999999995748</v>
      </c>
      <c r="L30" s="139">
        <f>Parent!L18</f>
        <v>-2.1669999999998311</v>
      </c>
      <c r="M30" s="119">
        <f>Parent!M18</f>
        <v>-2.5099999999997493</v>
      </c>
      <c r="N30" s="42">
        <f>Parent!N18</f>
        <v>-5.5649999999986903</v>
      </c>
      <c r="O30" s="120">
        <f>Parent!O18</f>
        <v>-2.8619999999999948</v>
      </c>
      <c r="P30" s="139">
        <f>Parent!P18</f>
        <v>-3.135000000000332</v>
      </c>
      <c r="Q30" s="139">
        <f>Parent!Q18</f>
        <v>-2.7139999999998849</v>
      </c>
      <c r="R30" s="119">
        <f>Parent!R18</f>
        <v>-4.6589999999995371</v>
      </c>
      <c r="S30" s="42">
        <f>Parent!S18</f>
        <v>-13.370000000000118</v>
      </c>
      <c r="T30" s="120">
        <f>Parent!T18</f>
        <v>-2.1789999999998884</v>
      </c>
      <c r="U30" s="139">
        <f>Parent!U18</f>
        <v>-2.3370000000004438</v>
      </c>
      <c r="V30" s="139">
        <f>Parent!V18</f>
        <v>-2.9480000000000359</v>
      </c>
      <c r="W30" s="119">
        <f>Parent!W18</f>
        <v>-2.9789999999988197</v>
      </c>
      <c r="X30" s="42">
        <f>Parent!X18</f>
        <v>-10.442999999999415</v>
      </c>
      <c r="Y30" s="120">
        <f>Parent!Y18</f>
        <v>-3.4250000000004661</v>
      </c>
      <c r="Z30" s="139">
        <f>Parent!Z18</f>
        <v>-4.4199999999999875</v>
      </c>
      <c r="AA30" s="139">
        <f>Parent!AA18</f>
        <v>-4.5699999999996237</v>
      </c>
      <c r="AB30" s="119">
        <f>Parent!AB18</f>
        <v>-5.5889999999998281</v>
      </c>
      <c r="AC30" s="42">
        <f>Parent!AC18</f>
        <v>-18.003999999998769</v>
      </c>
      <c r="AD30" s="120">
        <f>Parent!AD18</f>
        <v>-3.2839999999995939</v>
      </c>
      <c r="AE30" s="139">
        <f>Parent!AE18</f>
        <v>-4.2550000000001091</v>
      </c>
      <c r="AF30" s="139">
        <f>Parent!AF18</f>
        <v>-4.4470000000001164</v>
      </c>
      <c r="AG30" s="119">
        <f>Parent!AG18</f>
        <v>-7.5990000000009559</v>
      </c>
      <c r="AH30" s="42">
        <f>Parent!AH18</f>
        <v>-19.585000000001401</v>
      </c>
      <c r="AI30" s="120">
        <f>Parent!AI18</f>
        <v>-4.7140000000002829</v>
      </c>
      <c r="AJ30" s="139">
        <f>Parent!AJ18</f>
        <v>-5.0200000000002376</v>
      </c>
      <c r="AK30" s="139">
        <f>Parent!AK18</f>
        <v>-4.660000000000224</v>
      </c>
      <c r="AL30" s="119">
        <f>Parent!AL18</f>
        <v>-5.5649999999996567</v>
      </c>
      <c r="AM30" s="42">
        <f>Parent!AM18</f>
        <v>-19.959000000000515</v>
      </c>
      <c r="AN30" s="120">
        <f>Parent!AN18</f>
        <v>-6.2350000000000989</v>
      </c>
      <c r="AO30" s="139">
        <f>Parent!AO18</f>
        <v>-4.8870000000003984</v>
      </c>
      <c r="AP30" s="139">
        <f>Parent!AP18</f>
        <v>-4.6759999999999025</v>
      </c>
      <c r="AQ30" s="119">
        <f>Parent!AQ18</f>
        <v>-5.6519999999993047</v>
      </c>
      <c r="AR30" s="42">
        <f>Parent!AR18</f>
        <v>-21.449999999997544</v>
      </c>
      <c r="AS30" s="120">
        <f>Parent!AS18</f>
        <v>-6.4629999999999654</v>
      </c>
      <c r="AT30" s="139">
        <f>Parent!AT18</f>
        <v>-6.3250000000005002</v>
      </c>
      <c r="AU30" s="139">
        <f>Parent!AU18</f>
        <v>-4.8050000000001489</v>
      </c>
      <c r="AV30" s="119">
        <f>Parent!AV18</f>
        <v>8.6560000000010291</v>
      </c>
      <c r="AW30" s="42">
        <f>Parent!AW18</f>
        <v>-8.9370000000008076</v>
      </c>
      <c r="AX30" s="120">
        <f>Parent!AX18</f>
        <v>-6.4619999999999891</v>
      </c>
      <c r="AY30" s="139">
        <f>Parent!AY18</f>
        <v>-6.326000000000505</v>
      </c>
      <c r="AZ30" s="139">
        <f>Parent!AZ18</f>
        <v>-4.8050000000001774</v>
      </c>
      <c r="BA30" s="119">
        <f>Parent!BA18</f>
        <v>8.4620000000010691</v>
      </c>
      <c r="BB30" s="42">
        <f>SUM(AX30:BA30)</f>
        <v>-9.1309999999996023</v>
      </c>
      <c r="BC30" s="120">
        <f>Parent!BC18</f>
        <v>-6.4619999999999891</v>
      </c>
      <c r="BD30" s="139">
        <f>Parent!BD18</f>
        <v>-6.326000000000505</v>
      </c>
      <c r="BE30" s="139">
        <f>Parent!BE18</f>
        <v>-4.8050000000001774</v>
      </c>
      <c r="BF30" s="119">
        <f>Parent!BF18</f>
        <v>8.4620000000010691</v>
      </c>
      <c r="BG30" s="42">
        <f>SUM(BC30:BF30)</f>
        <v>-9.1309999999996023</v>
      </c>
      <c r="BH30" s="120">
        <f>Parent!BH18</f>
        <v>-6.4619999999999891</v>
      </c>
      <c r="BI30" s="139">
        <f>Parent!BI18</f>
        <v>-6.326000000000505</v>
      </c>
      <c r="BJ30" s="139">
        <f>Parent!BJ18</f>
        <v>-4.8050000000001774</v>
      </c>
      <c r="BK30" s="119">
        <f>Parent!BK18</f>
        <v>8.4620000000010691</v>
      </c>
      <c r="BL30" s="42">
        <f>SUM(BH30:BK30)</f>
        <v>-9.1309999999996023</v>
      </c>
      <c r="BM30" s="120">
        <f>Parent!BM18</f>
        <v>-6.4619999999999891</v>
      </c>
      <c r="BN30" s="139">
        <f>Parent!BN18</f>
        <v>-6.326000000000505</v>
      </c>
      <c r="BO30" s="139">
        <f>Parent!BO18</f>
        <v>-4.8050000000001774</v>
      </c>
      <c r="BP30" s="119">
        <f>Parent!BP18</f>
        <v>8.4620000000010691</v>
      </c>
      <c r="BQ30" s="42">
        <f>SUM(BM30:BP30)</f>
        <v>-9.1309999999996023</v>
      </c>
      <c r="BS30" s="224"/>
      <c r="BT30" s="525"/>
      <c r="BU30" s="525"/>
      <c r="BV30" s="525"/>
      <c r="BW30" s="525"/>
      <c r="BX30" s="525"/>
      <c r="BY30" s="525"/>
      <c r="BZ30" s="525"/>
      <c r="CA30" s="525"/>
    </row>
    <row r="31" spans="1:104" x14ac:dyDescent="0.2">
      <c r="C31" s="141" t="s">
        <v>124</v>
      </c>
      <c r="D31" s="42"/>
      <c r="E31" s="121">
        <f t="shared" ref="E31:V31" si="28">E11-E24</f>
        <v>370.79700000000048</v>
      </c>
      <c r="F31" s="122">
        <f t="shared" si="28"/>
        <v>279.36799999999971</v>
      </c>
      <c r="G31" s="122">
        <f t="shared" si="28"/>
        <v>465.14799999999991</v>
      </c>
      <c r="H31" s="123">
        <f t="shared" si="28"/>
        <v>353.25900000000001</v>
      </c>
      <c r="I31" s="86">
        <f t="shared" si="28"/>
        <v>1468.5720000000001</v>
      </c>
      <c r="J31" s="121">
        <f t="shared" si="28"/>
        <v>403.66499999999996</v>
      </c>
      <c r="K31" s="122">
        <f t="shared" si="28"/>
        <v>325.30400000000009</v>
      </c>
      <c r="L31" s="122">
        <f t="shared" si="28"/>
        <v>568.63000000000011</v>
      </c>
      <c r="M31" s="123">
        <f t="shared" si="28"/>
        <v>322.36999999999989</v>
      </c>
      <c r="N31" s="86">
        <f t="shared" si="28"/>
        <v>1619.969000000001</v>
      </c>
      <c r="O31" s="121">
        <f t="shared" si="28"/>
        <v>426.66300000000001</v>
      </c>
      <c r="P31" s="138">
        <f t="shared" si="28"/>
        <v>359.44199999999955</v>
      </c>
      <c r="Q31" s="138">
        <f t="shared" si="28"/>
        <v>651.49600000000009</v>
      </c>
      <c r="R31" s="123">
        <f t="shared" si="28"/>
        <v>344.0010000000002</v>
      </c>
      <c r="S31" s="86">
        <f t="shared" si="28"/>
        <v>1781.601999999999</v>
      </c>
      <c r="T31" s="121">
        <f t="shared" si="28"/>
        <v>380.16200000000026</v>
      </c>
      <c r="U31" s="138">
        <f t="shared" si="28"/>
        <v>405.6899999999996</v>
      </c>
      <c r="V31" s="138">
        <f t="shared" si="28"/>
        <v>720.4340000000002</v>
      </c>
      <c r="W31" s="123">
        <f t="shared" ref="W31:AD31" si="29">W11-W24</f>
        <v>316.3970000000013</v>
      </c>
      <c r="X31" s="86">
        <f t="shared" si="29"/>
        <v>1822.6830000000009</v>
      </c>
      <c r="Y31" s="121">
        <f t="shared" si="29"/>
        <v>454.62399999999934</v>
      </c>
      <c r="Z31" s="138">
        <f t="shared" si="29"/>
        <v>402.23599999999988</v>
      </c>
      <c r="AA31" s="138">
        <f t="shared" si="29"/>
        <v>665.11300000000028</v>
      </c>
      <c r="AB31" s="123">
        <f t="shared" si="29"/>
        <v>325.58199999999897</v>
      </c>
      <c r="AC31" s="86">
        <f t="shared" si="29"/>
        <v>1847.5550000000003</v>
      </c>
      <c r="AD31" s="121">
        <f t="shared" si="29"/>
        <v>493.99200000000019</v>
      </c>
      <c r="AE31" s="122">
        <f t="shared" ref="AE31:AJ31" si="30">AE11-AE24</f>
        <v>397.20800000000008</v>
      </c>
      <c r="AF31" s="122">
        <f t="shared" si="30"/>
        <v>665.67999999999984</v>
      </c>
      <c r="AG31" s="123">
        <f t="shared" si="30"/>
        <v>391.24999999999909</v>
      </c>
      <c r="AH31" s="86">
        <f t="shared" si="30"/>
        <v>1948.1299999999974</v>
      </c>
      <c r="AI31" s="121">
        <f t="shared" si="30"/>
        <v>480.30799999999999</v>
      </c>
      <c r="AJ31" s="122">
        <f t="shared" si="30"/>
        <v>422.84500000000025</v>
      </c>
      <c r="AK31" s="122">
        <f t="shared" ref="AK31:AP31" si="31">AK11-AK24</f>
        <v>785.8119999999999</v>
      </c>
      <c r="AL31" s="123">
        <f t="shared" si="31"/>
        <v>441.01000000000113</v>
      </c>
      <c r="AM31" s="86">
        <f t="shared" si="31"/>
        <v>2129.9750000000004</v>
      </c>
      <c r="AN31" s="121">
        <f t="shared" si="31"/>
        <v>489.87000000000035</v>
      </c>
      <c r="AO31" s="122">
        <f t="shared" si="31"/>
        <v>431.58099999999968</v>
      </c>
      <c r="AP31" s="122">
        <f t="shared" si="31"/>
        <v>827.05400000000009</v>
      </c>
      <c r="AQ31" s="123">
        <f t="shared" ref="AQ31:AT31" si="32">AQ11-AQ24</f>
        <v>465.35000000000036</v>
      </c>
      <c r="AR31" s="86">
        <f t="shared" si="32"/>
        <v>2213.8550000000032</v>
      </c>
      <c r="AS31" s="121">
        <f t="shared" si="32"/>
        <v>486.21900000000005</v>
      </c>
      <c r="AT31" s="122">
        <f t="shared" si="32"/>
        <v>459.69200000000001</v>
      </c>
      <c r="AU31" s="122">
        <f>AU11-AU24</f>
        <v>818.35899999999992</v>
      </c>
      <c r="AV31" s="123">
        <f t="shared" ref="AV31:AW31" si="33">AV11-AV24</f>
        <v>425.73000000000093</v>
      </c>
      <c r="AW31" s="86">
        <f t="shared" si="33"/>
        <v>2190</v>
      </c>
      <c r="AX31" s="121">
        <f t="shared" ref="AX31:BG31" si="34">AX11-AX24</f>
        <v>482.30635722611305</v>
      </c>
      <c r="AY31" s="122">
        <f t="shared" si="34"/>
        <v>427.67240576788345</v>
      </c>
      <c r="AZ31" s="122">
        <f t="shared" si="34"/>
        <v>735.39046396762387</v>
      </c>
      <c r="BA31" s="123">
        <f t="shared" si="34"/>
        <v>409.35029079422293</v>
      </c>
      <c r="BB31" s="86">
        <f t="shared" si="34"/>
        <v>2054.7195177558424</v>
      </c>
      <c r="BC31" s="121">
        <f t="shared" si="34"/>
        <v>532.96372020975241</v>
      </c>
      <c r="BD31" s="122">
        <f t="shared" si="34"/>
        <v>466.72972272129209</v>
      </c>
      <c r="BE31" s="122">
        <f t="shared" si="34"/>
        <v>787.0353880964276</v>
      </c>
      <c r="BF31" s="123">
        <f t="shared" si="34"/>
        <v>445.79098201066108</v>
      </c>
      <c r="BG31" s="86">
        <f t="shared" si="34"/>
        <v>2232.5198130381323</v>
      </c>
      <c r="BH31" s="121">
        <f t="shared" ref="BH31:BQ31" si="35">BH11-BH24</f>
        <v>574.02990312764041</v>
      </c>
      <c r="BI31" s="122">
        <f t="shared" si="35"/>
        <v>499.18996530983532</v>
      </c>
      <c r="BJ31" s="122">
        <f t="shared" si="35"/>
        <v>838.73441804577851</v>
      </c>
      <c r="BK31" s="123">
        <f t="shared" si="35"/>
        <v>486.45956077113078</v>
      </c>
      <c r="BL31" s="86">
        <f t="shared" si="35"/>
        <v>2398.4138472543855</v>
      </c>
      <c r="BM31" s="121">
        <f t="shared" si="35"/>
        <v>609.61730889323371</v>
      </c>
      <c r="BN31" s="122">
        <f t="shared" si="35"/>
        <v>537.09938640759538</v>
      </c>
      <c r="BO31" s="122">
        <f t="shared" si="35"/>
        <v>888.69229433191185</v>
      </c>
      <c r="BP31" s="123">
        <f t="shared" si="35"/>
        <v>525.53499636096558</v>
      </c>
      <c r="BQ31" s="86">
        <f t="shared" si="35"/>
        <v>2560.9439859937083</v>
      </c>
      <c r="BT31" s="525"/>
      <c r="BU31" s="525"/>
      <c r="BV31" s="525"/>
      <c r="BW31" s="525"/>
      <c r="BX31" s="525"/>
      <c r="BY31" s="525"/>
      <c r="BZ31" s="525"/>
      <c r="CA31" s="525"/>
    </row>
    <row r="32" spans="1:104" x14ac:dyDescent="0.2">
      <c r="C32" s="142" t="s">
        <v>125</v>
      </c>
      <c r="D32" s="143"/>
      <c r="E32" s="144">
        <f t="shared" ref="E32:AD32" si="36">SUM(E26:E30)-E31</f>
        <v>0</v>
      </c>
      <c r="F32" s="145">
        <f t="shared" si="36"/>
        <v>0</v>
      </c>
      <c r="G32" s="145">
        <f t="shared" si="36"/>
        <v>0</v>
      </c>
      <c r="H32" s="146">
        <f t="shared" si="36"/>
        <v>0</v>
      </c>
      <c r="I32" s="143">
        <f t="shared" si="36"/>
        <v>0</v>
      </c>
      <c r="J32" s="144">
        <f t="shared" si="36"/>
        <v>0</v>
      </c>
      <c r="K32" s="145">
        <f t="shared" si="36"/>
        <v>0</v>
      </c>
      <c r="L32" s="145">
        <f t="shared" si="36"/>
        <v>0</v>
      </c>
      <c r="M32" s="146">
        <f t="shared" si="36"/>
        <v>0</v>
      </c>
      <c r="N32" s="143">
        <f t="shared" si="36"/>
        <v>0</v>
      </c>
      <c r="O32" s="144">
        <f t="shared" si="36"/>
        <v>0</v>
      </c>
      <c r="P32" s="145">
        <f t="shared" si="36"/>
        <v>0</v>
      </c>
      <c r="Q32" s="145">
        <f t="shared" si="36"/>
        <v>0</v>
      </c>
      <c r="R32" s="146">
        <f t="shared" si="36"/>
        <v>0</v>
      </c>
      <c r="S32" s="143">
        <f t="shared" si="36"/>
        <v>0</v>
      </c>
      <c r="T32" s="144">
        <f t="shared" si="36"/>
        <v>0</v>
      </c>
      <c r="U32" s="145">
        <f t="shared" si="36"/>
        <v>0</v>
      </c>
      <c r="V32" s="145">
        <f t="shared" si="36"/>
        <v>0</v>
      </c>
      <c r="W32" s="146">
        <f t="shared" si="36"/>
        <v>0</v>
      </c>
      <c r="X32" s="143">
        <f t="shared" si="36"/>
        <v>0</v>
      </c>
      <c r="Y32" s="144">
        <f t="shared" si="36"/>
        <v>0</v>
      </c>
      <c r="Z32" s="145">
        <f>SUM(Z26:Z30)-Z31</f>
        <v>0</v>
      </c>
      <c r="AA32" s="145">
        <f>SUM(AA26:AA30)-AA31</f>
        <v>0</v>
      </c>
      <c r="AB32" s="146">
        <f>SUM(AB26:AB30)-AB31</f>
        <v>0</v>
      </c>
      <c r="AC32" s="143">
        <f>SUM(AC26:AC30)-AC31</f>
        <v>0</v>
      </c>
      <c r="AD32" s="144">
        <f t="shared" si="36"/>
        <v>0</v>
      </c>
      <c r="AE32" s="145">
        <f t="shared" ref="AE32:AJ32" si="37">SUM(AE26:AE30)-AE31</f>
        <v>0</v>
      </c>
      <c r="AF32" s="145">
        <f t="shared" si="37"/>
        <v>0</v>
      </c>
      <c r="AG32" s="146">
        <f t="shared" si="37"/>
        <v>0</v>
      </c>
      <c r="AH32" s="143">
        <f t="shared" si="37"/>
        <v>2.0463630789890885E-12</v>
      </c>
      <c r="AI32" s="144">
        <f t="shared" si="37"/>
        <v>0</v>
      </c>
      <c r="AJ32" s="145">
        <f t="shared" si="37"/>
        <v>0</v>
      </c>
      <c r="AK32" s="145">
        <f t="shared" ref="AK32:AP32" si="38">SUM(AK26:AK30)-AK31</f>
        <v>0</v>
      </c>
      <c r="AL32" s="146">
        <f t="shared" si="38"/>
        <v>0</v>
      </c>
      <c r="AM32" s="143">
        <f t="shared" si="38"/>
        <v>0</v>
      </c>
      <c r="AN32" s="144">
        <f t="shared" si="38"/>
        <v>-4.5474735088646412E-13</v>
      </c>
      <c r="AO32" s="145">
        <f t="shared" si="38"/>
        <v>0</v>
      </c>
      <c r="AP32" s="145">
        <f t="shared" si="38"/>
        <v>0</v>
      </c>
      <c r="AQ32" s="146">
        <f t="shared" ref="AQ32:AT32" si="39">SUM(AQ26:AQ30)-AQ31</f>
        <v>0</v>
      </c>
      <c r="AR32" s="143">
        <f t="shared" si="39"/>
        <v>0</v>
      </c>
      <c r="AS32" s="144">
        <f t="shared" si="39"/>
        <v>0</v>
      </c>
      <c r="AT32" s="145">
        <f t="shared" si="39"/>
        <v>-5.1159076974727213E-13</v>
      </c>
      <c r="AU32" s="145">
        <f>SUM(AU26:AU30)-AU31</f>
        <v>0</v>
      </c>
      <c r="AV32" s="146">
        <f t="shared" ref="AV32:AW32" si="40">SUM(AV26:AV30)-AV31</f>
        <v>0</v>
      </c>
      <c r="AW32" s="143">
        <f t="shared" si="40"/>
        <v>0</v>
      </c>
      <c r="AX32" s="144">
        <f t="shared" ref="AX32:BG32" si="41">SUM(AX26:AX30)-AX31</f>
        <v>0</v>
      </c>
      <c r="AY32" s="145">
        <f t="shared" si="41"/>
        <v>0</v>
      </c>
      <c r="AZ32" s="145">
        <f t="shared" si="41"/>
        <v>0</v>
      </c>
      <c r="BA32" s="146">
        <f t="shared" si="41"/>
        <v>0</v>
      </c>
      <c r="BB32" s="143">
        <f t="shared" si="41"/>
        <v>0</v>
      </c>
      <c r="BC32" s="144">
        <f t="shared" si="41"/>
        <v>0</v>
      </c>
      <c r="BD32" s="145">
        <f t="shared" si="41"/>
        <v>0</v>
      </c>
      <c r="BE32" s="145">
        <f t="shared" si="41"/>
        <v>0</v>
      </c>
      <c r="BF32" s="146">
        <f t="shared" si="41"/>
        <v>1.0800249583553523E-12</v>
      </c>
      <c r="BG32" s="143">
        <f t="shared" si="41"/>
        <v>0</v>
      </c>
      <c r="BH32" s="144">
        <f t="shared" ref="BH32:BQ32" si="42">SUM(BH26:BH30)-BH31</f>
        <v>-9.0949470177292824E-13</v>
      </c>
      <c r="BI32" s="145">
        <f t="shared" si="42"/>
        <v>0</v>
      </c>
      <c r="BJ32" s="145">
        <f t="shared" si="42"/>
        <v>0</v>
      </c>
      <c r="BK32" s="146">
        <f t="shared" si="42"/>
        <v>0</v>
      </c>
      <c r="BL32" s="143">
        <f t="shared" si="42"/>
        <v>0</v>
      </c>
      <c r="BM32" s="144">
        <f t="shared" si="42"/>
        <v>0</v>
      </c>
      <c r="BN32" s="145">
        <f t="shared" si="42"/>
        <v>0</v>
      </c>
      <c r="BO32" s="145">
        <f t="shared" si="42"/>
        <v>0</v>
      </c>
      <c r="BP32" s="146">
        <f t="shared" si="42"/>
        <v>0</v>
      </c>
      <c r="BQ32" s="143">
        <f t="shared" si="42"/>
        <v>0</v>
      </c>
      <c r="BR32" s="147"/>
      <c r="BS32" s="147"/>
      <c r="BT32" s="574"/>
      <c r="BU32" s="574"/>
      <c r="BV32" s="574"/>
      <c r="BW32" s="574"/>
      <c r="BX32" s="574"/>
      <c r="BY32" s="574"/>
      <c r="BZ32" s="574"/>
      <c r="CA32" s="574"/>
      <c r="CB32" s="147"/>
      <c r="CC32" s="147"/>
      <c r="CJ32" s="147"/>
      <c r="CK32" s="147"/>
      <c r="CL32" s="147"/>
      <c r="CM32" s="147"/>
      <c r="CN32" s="147"/>
      <c r="CO32" s="147"/>
      <c r="CP32" s="147"/>
      <c r="CQ32" s="147"/>
      <c r="CR32" s="147"/>
      <c r="CS32" s="147"/>
      <c r="CT32" s="147"/>
      <c r="CU32" s="147"/>
      <c r="CV32" s="147"/>
      <c r="CW32" s="147"/>
      <c r="CX32" s="147"/>
      <c r="CY32" s="147"/>
      <c r="CZ32" s="147"/>
    </row>
    <row r="33" spans="2:79" x14ac:dyDescent="0.2">
      <c r="C33" s="26"/>
      <c r="D33" s="42"/>
      <c r="E33" s="120"/>
      <c r="F33" s="139"/>
      <c r="G33" s="139"/>
      <c r="H33" s="119"/>
      <c r="I33" s="42"/>
      <c r="J33" s="120"/>
      <c r="K33" s="139"/>
      <c r="L33" s="139"/>
      <c r="M33" s="119"/>
      <c r="N33" s="42"/>
      <c r="O33" s="120"/>
      <c r="P33" s="139"/>
      <c r="Q33" s="139"/>
      <c r="R33" s="119"/>
      <c r="S33" s="42"/>
      <c r="T33" s="120"/>
      <c r="U33" s="139"/>
      <c r="V33" s="139"/>
      <c r="W33" s="119"/>
      <c r="X33" s="42"/>
      <c r="Y33" s="120"/>
      <c r="Z33" s="139"/>
      <c r="AA33" s="139"/>
      <c r="AB33" s="119"/>
      <c r="AC33" s="42"/>
      <c r="AD33" s="120"/>
      <c r="AE33" s="139"/>
      <c r="AF33" s="139"/>
      <c r="AG33" s="119"/>
      <c r="AH33" s="42"/>
      <c r="AI33" s="120"/>
      <c r="AJ33" s="139"/>
      <c r="AK33" s="139"/>
      <c r="AL33" s="119"/>
      <c r="AM33" s="42"/>
      <c r="AN33" s="120"/>
      <c r="AO33" s="139"/>
      <c r="AP33" s="139"/>
      <c r="AQ33" s="119"/>
      <c r="AR33" s="42"/>
      <c r="AS33" s="120"/>
      <c r="AT33" s="139"/>
      <c r="AU33" s="139"/>
      <c r="AV33" s="119"/>
      <c r="AW33" s="42"/>
      <c r="AX33" s="120"/>
      <c r="AY33" s="139"/>
      <c r="AZ33" s="139"/>
      <c r="BA33" s="119"/>
      <c r="BB33" s="42"/>
      <c r="BC33" s="120"/>
      <c r="BD33" s="139"/>
      <c r="BE33" s="139"/>
      <c r="BF33" s="119"/>
      <c r="BG33" s="42"/>
      <c r="BH33" s="120"/>
      <c r="BI33" s="139"/>
      <c r="BJ33" s="139"/>
      <c r="BK33" s="119"/>
      <c r="BL33" s="42"/>
      <c r="BM33" s="120"/>
      <c r="BN33" s="139"/>
      <c r="BO33" s="139"/>
      <c r="BP33" s="119"/>
      <c r="BQ33" s="42"/>
      <c r="BT33" s="525"/>
      <c r="BU33" s="525"/>
      <c r="BV33" s="525"/>
      <c r="BW33" s="525"/>
      <c r="BX33" s="525"/>
      <c r="BY33" s="525"/>
      <c r="BZ33" s="525"/>
      <c r="CA33" s="525"/>
    </row>
    <row r="34" spans="2:79" x14ac:dyDescent="0.2">
      <c r="C34" s="20" t="s">
        <v>126</v>
      </c>
      <c r="D34" s="42"/>
      <c r="E34" s="114">
        <v>18.227</v>
      </c>
      <c r="F34" s="115">
        <v>18.72</v>
      </c>
      <c r="G34" s="115">
        <v>18.617999999999999</v>
      </c>
      <c r="H34" s="116">
        <f>I34-SUM(E34:G34)</f>
        <v>20.121000000000009</v>
      </c>
      <c r="I34" s="117">
        <v>75.686000000000007</v>
      </c>
      <c r="J34" s="114">
        <v>13.29</v>
      </c>
      <c r="K34" s="115">
        <v>12.996</v>
      </c>
      <c r="L34" s="115">
        <v>13.464</v>
      </c>
      <c r="M34" s="116">
        <f>N34-SUM(J34:L34)</f>
        <v>16.402000000000001</v>
      </c>
      <c r="N34" s="117">
        <v>56.152000000000001</v>
      </c>
      <c r="O34" s="114">
        <v>13.244</v>
      </c>
      <c r="P34" s="115">
        <v>13.606</v>
      </c>
      <c r="Q34" s="115">
        <v>11.84</v>
      </c>
      <c r="R34" s="116">
        <f>S34-SUM(O34:Q34)</f>
        <v>12.533000000000001</v>
      </c>
      <c r="S34" s="117">
        <v>51.222999999999999</v>
      </c>
      <c r="T34" s="114">
        <v>13.45</v>
      </c>
      <c r="U34" s="115">
        <v>15.194000000000001</v>
      </c>
      <c r="V34" s="115">
        <v>15.86</v>
      </c>
      <c r="W34" s="116">
        <f>X34-SUM(T34:V34)</f>
        <v>18.336000000000006</v>
      </c>
      <c r="X34" s="117">
        <v>62.84</v>
      </c>
      <c r="Y34" s="114">
        <v>19.754000000000001</v>
      </c>
      <c r="Z34" s="115">
        <v>22.109000000000002</v>
      </c>
      <c r="AA34" s="115">
        <v>21.283999999999999</v>
      </c>
      <c r="AB34" s="116">
        <f>AC34-SUM(Y34:AA34)</f>
        <v>24.536000000000008</v>
      </c>
      <c r="AC34" s="117">
        <v>87.683000000000007</v>
      </c>
      <c r="AD34" s="114">
        <v>21.907</v>
      </c>
      <c r="AE34" s="115">
        <v>23.608000000000001</v>
      </c>
      <c r="AF34" s="115">
        <v>23.337</v>
      </c>
      <c r="AG34" s="116">
        <f>AH34-SUM(AD34:AF34)</f>
        <v>20.897999999999996</v>
      </c>
      <c r="AH34" s="117">
        <v>89.75</v>
      </c>
      <c r="AI34" s="114">
        <v>12.66</v>
      </c>
      <c r="AJ34" s="115">
        <v>12.641</v>
      </c>
      <c r="AK34" s="115">
        <v>15.427</v>
      </c>
      <c r="AL34" s="116">
        <f>AM34-SUM(AI34:AK34)</f>
        <v>15.207999999999998</v>
      </c>
      <c r="AM34" s="117">
        <v>55.936</v>
      </c>
      <c r="AN34" s="114">
        <v>13.113</v>
      </c>
      <c r="AO34" s="115">
        <v>14.73</v>
      </c>
      <c r="AP34" s="115">
        <v>17.199000000000002</v>
      </c>
      <c r="AQ34" s="116">
        <f>AR34-SUM(AN34:AP34)</f>
        <v>15.504999999999995</v>
      </c>
      <c r="AR34" s="117">
        <v>60.546999999999997</v>
      </c>
      <c r="AS34" s="114">
        <v>14.313000000000001</v>
      </c>
      <c r="AT34" s="115">
        <v>16.385999999999999</v>
      </c>
      <c r="AU34" s="115">
        <v>23.483000000000001</v>
      </c>
      <c r="AV34" s="116">
        <f>AW34-SUM(AS34:AU34)</f>
        <v>20.817999999999998</v>
      </c>
      <c r="AW34" s="117">
        <v>75</v>
      </c>
      <c r="AX34" s="120">
        <f>'NSP-MN'!AX28+'NSP-WI'!AX27+PSCO!AX28+SPS!AX20</f>
        <v>25.686122688179353</v>
      </c>
      <c r="AY34" s="118">
        <f>'NSP-MN'!AY28+'NSP-WI'!AY27+PSCO!AY28+SPS!AY20</f>
        <v>25.686122688179353</v>
      </c>
      <c r="AZ34" s="118">
        <f>'NSP-MN'!AZ28+'NSP-WI'!AZ27+PSCO!AZ28+SPS!AZ20</f>
        <v>25.686122688179353</v>
      </c>
      <c r="BA34" s="119">
        <f>'NSP-MN'!BA28+'NSP-WI'!BA27+PSCO!BA28+SPS!BA20</f>
        <v>25.686122688179353</v>
      </c>
      <c r="BB34" s="42">
        <f>SUM(AX34:BA34)</f>
        <v>102.74449075271741</v>
      </c>
      <c r="BC34" s="120">
        <f>'NSP-MN'!BC28+'NSP-WI'!BC27+PSCO!BC28+SPS!BC20</f>
        <v>26.026689572360361</v>
      </c>
      <c r="BD34" s="118">
        <f>'NSP-MN'!BD28+'NSP-WI'!BD27+PSCO!BD28+SPS!BD20</f>
        <v>26.026689572360361</v>
      </c>
      <c r="BE34" s="118">
        <f>'NSP-MN'!BE28+'NSP-WI'!BE27+PSCO!BE28+SPS!BE20</f>
        <v>26.026689572360361</v>
      </c>
      <c r="BF34" s="119">
        <f>'NSP-MN'!BF28+'NSP-WI'!BF27+PSCO!BF28+SPS!BF20</f>
        <v>26.026689572360361</v>
      </c>
      <c r="BG34" s="42">
        <f>SUM(BC34:BF34)</f>
        <v>104.10675828944144</v>
      </c>
      <c r="BH34" s="120">
        <f>'NSP-MN'!BH28+'NSP-WI'!BH27+PSCO!BH28+SPS!BH20</f>
        <v>20.466276290910983</v>
      </c>
      <c r="BI34" s="118">
        <f>'NSP-MN'!BI28+'NSP-WI'!BI27+PSCO!BI28+SPS!BI20</f>
        <v>20.466276290910983</v>
      </c>
      <c r="BJ34" s="118">
        <f>'NSP-MN'!BJ28+'NSP-WI'!BJ27+PSCO!BJ28+SPS!BJ20</f>
        <v>20.466276290910983</v>
      </c>
      <c r="BK34" s="119">
        <f>'NSP-MN'!BK28+'NSP-WI'!BK27+PSCO!BK28+SPS!BK20</f>
        <v>20.466276290910983</v>
      </c>
      <c r="BL34" s="42">
        <f>SUM(BH34:BK34)</f>
        <v>81.865105163643932</v>
      </c>
      <c r="BM34" s="120">
        <f>'NSP-MN'!BM28+'NSP-WI'!BM27+PSCO!BM28+SPS!BM20</f>
        <v>21.767830040396156</v>
      </c>
      <c r="BN34" s="118">
        <f>'NSP-MN'!BN28+'NSP-WI'!BN27+PSCO!BN28+SPS!BN20</f>
        <v>21.767830040396156</v>
      </c>
      <c r="BO34" s="118">
        <f>'NSP-MN'!BO28+'NSP-WI'!BO27+PSCO!BO28+SPS!BO20</f>
        <v>21.767830040396156</v>
      </c>
      <c r="BP34" s="119">
        <f>'NSP-MN'!BP28+'NSP-WI'!BP27+PSCO!BP28+SPS!BP20</f>
        <v>21.767830040396156</v>
      </c>
      <c r="BQ34" s="42">
        <f>SUM(BM34:BP34)</f>
        <v>87.071320161584623</v>
      </c>
      <c r="BS34" s="918">
        <f>AR34-AM34</f>
        <v>4.6109999999999971</v>
      </c>
      <c r="BT34" s="640">
        <f>AW34-AR34</f>
        <v>14.453000000000003</v>
      </c>
      <c r="BU34" s="640">
        <f>BB34-AW34</f>
        <v>27.744490752717411</v>
      </c>
      <c r="BV34" s="525"/>
      <c r="BW34" s="525"/>
      <c r="BX34" s="525"/>
      <c r="BY34" s="525"/>
      <c r="BZ34" s="525"/>
      <c r="CA34" s="525"/>
    </row>
    <row r="35" spans="2:79" x14ac:dyDescent="0.2">
      <c r="C35" s="20" t="s">
        <v>127</v>
      </c>
      <c r="D35" s="42"/>
      <c r="E35" s="114">
        <v>3.1419999999999999</v>
      </c>
      <c r="F35" s="115">
        <v>3.2549999999999999</v>
      </c>
      <c r="G35" s="115">
        <v>4.3630000000000004</v>
      </c>
      <c r="H35" s="116">
        <f>I35-SUM(E35:G35)</f>
        <v>13.904</v>
      </c>
      <c r="I35" s="117">
        <v>24.664000000000001</v>
      </c>
      <c r="J35" s="114">
        <v>7.4009999999999998</v>
      </c>
      <c r="K35" s="115">
        <v>7.3620000000000001</v>
      </c>
      <c r="L35" s="115">
        <v>7.67</v>
      </c>
      <c r="M35" s="116">
        <f>N35-SUM(J35:L35)</f>
        <v>7.5150000000000006</v>
      </c>
      <c r="N35" s="117">
        <v>29.948</v>
      </c>
      <c r="O35" s="114">
        <v>7.7130000000000001</v>
      </c>
      <c r="P35" s="115">
        <v>7.6769999999999996</v>
      </c>
      <c r="Q35" s="115">
        <v>7.423</v>
      </c>
      <c r="R35" s="116">
        <f>S35-SUM(O35:Q35)</f>
        <v>7.7139999999999986</v>
      </c>
      <c r="S35" s="117">
        <v>30.527000000000001</v>
      </c>
      <c r="T35" s="114">
        <v>7.1580000000000004</v>
      </c>
      <c r="U35" s="115">
        <v>7.5019999999999998</v>
      </c>
      <c r="V35" s="115">
        <v>7.49</v>
      </c>
      <c r="W35" s="116">
        <f>X35-SUM(T35:V35)</f>
        <v>7.8210000000000015</v>
      </c>
      <c r="X35" s="117">
        <v>29.971</v>
      </c>
      <c r="Y35" s="114">
        <v>7.577</v>
      </c>
      <c r="Z35" s="115">
        <v>7.5289999999999999</v>
      </c>
      <c r="AA35" s="115">
        <v>7.2729999999999997</v>
      </c>
      <c r="AB35" s="116">
        <f>AC35-SUM(Y35:AA35)</f>
        <v>7.6410000000000018</v>
      </c>
      <c r="AC35" s="117">
        <v>30.02</v>
      </c>
      <c r="AD35" s="114">
        <v>7.4379999999999997</v>
      </c>
      <c r="AE35" s="115">
        <v>7.8109999999999999</v>
      </c>
      <c r="AF35" s="115">
        <v>7.4009999999999998</v>
      </c>
      <c r="AG35" s="116">
        <f>AH35-SUM(AD35:AF35)</f>
        <v>7.5010000000000012</v>
      </c>
      <c r="AH35" s="117">
        <v>30.151</v>
      </c>
      <c r="AI35" s="114">
        <v>7.7759999999999998</v>
      </c>
      <c r="AJ35" s="115">
        <v>8.4220000000000006</v>
      </c>
      <c r="AK35" s="115">
        <v>8.1620000000000008</v>
      </c>
      <c r="AL35" s="116">
        <f>AM35-SUM(AI35:AK35)</f>
        <v>10.030000000000001</v>
      </c>
      <c r="AM35" s="117">
        <v>34.39</v>
      </c>
      <c r="AN35" s="114">
        <v>13.182</v>
      </c>
      <c r="AO35" s="115">
        <v>9.6170000000000009</v>
      </c>
      <c r="AP35" s="115">
        <v>9.7010000000000005</v>
      </c>
      <c r="AQ35" s="116">
        <f>AR35-SUM(AN35:AP35)</f>
        <v>9.6229999999999976</v>
      </c>
      <c r="AR35" s="117">
        <v>42.122999999999998</v>
      </c>
      <c r="AS35" s="114">
        <v>7.875</v>
      </c>
      <c r="AT35" s="115">
        <v>7.5410000000000004</v>
      </c>
      <c r="AU35" s="115">
        <v>7.08</v>
      </c>
      <c r="AV35" s="116">
        <f>AW35-SUM(AS35:AU35)</f>
        <v>7.5039999999999978</v>
      </c>
      <c r="AW35" s="117">
        <v>30</v>
      </c>
      <c r="AX35" s="120">
        <f>+Parent!AX20</f>
        <v>8.463000000000001</v>
      </c>
      <c r="AY35" s="118">
        <f>+Parent!AY20</f>
        <v>8.3320000000000007</v>
      </c>
      <c r="AZ35" s="118">
        <f>+Parent!AZ20</f>
        <v>8.1330000000000009</v>
      </c>
      <c r="BA35" s="119">
        <f>+Parent!BA20</f>
        <v>9.0309999999999953</v>
      </c>
      <c r="BB35" s="42">
        <f>SUM(AX35:BA35)</f>
        <v>33.959000000000003</v>
      </c>
      <c r="BC35" s="120">
        <f>+Parent!BC20</f>
        <v>8.463000000000001</v>
      </c>
      <c r="BD35" s="118">
        <f>+Parent!BD20</f>
        <v>8.3320000000000007</v>
      </c>
      <c r="BE35" s="118">
        <f>+Parent!BE20</f>
        <v>8.1330000000000009</v>
      </c>
      <c r="BF35" s="119">
        <f>+Parent!BF20</f>
        <v>9.0309999999999953</v>
      </c>
      <c r="BG35" s="42">
        <f>SUM(BC35:BF35)</f>
        <v>33.959000000000003</v>
      </c>
      <c r="BH35" s="120">
        <f>+Parent!BH20</f>
        <v>8.463000000000001</v>
      </c>
      <c r="BI35" s="118">
        <f>+Parent!BI20</f>
        <v>8.3320000000000007</v>
      </c>
      <c r="BJ35" s="118">
        <f>+Parent!BJ20</f>
        <v>8.1330000000000009</v>
      </c>
      <c r="BK35" s="119">
        <f>+Parent!BK20</f>
        <v>9.0309999999999953</v>
      </c>
      <c r="BL35" s="42">
        <f>SUM(BH35:BK35)</f>
        <v>33.959000000000003</v>
      </c>
      <c r="BM35" s="120">
        <f>+Parent!BM20</f>
        <v>8.463000000000001</v>
      </c>
      <c r="BN35" s="118">
        <f>+Parent!BN20</f>
        <v>8.3320000000000007</v>
      </c>
      <c r="BO35" s="118">
        <f>+Parent!BO20</f>
        <v>8.1330000000000009</v>
      </c>
      <c r="BP35" s="119">
        <f>+Parent!BP20</f>
        <v>9.0309999999999953</v>
      </c>
      <c r="BQ35" s="42">
        <f>SUM(BM35:BP35)</f>
        <v>33.959000000000003</v>
      </c>
      <c r="BT35" s="525"/>
      <c r="BU35" s="525"/>
      <c r="BV35" s="525"/>
      <c r="BW35" s="525"/>
      <c r="BX35" s="525"/>
      <c r="BY35" s="525"/>
      <c r="BZ35" s="525"/>
      <c r="CA35" s="525"/>
    </row>
    <row r="36" spans="2:79" x14ac:dyDescent="0.2">
      <c r="C36" s="20" t="s">
        <v>128</v>
      </c>
      <c r="D36" s="42"/>
      <c r="E36" s="114">
        <v>2.3519999999999999</v>
      </c>
      <c r="F36" s="115">
        <v>3.0190000000000001</v>
      </c>
      <c r="G36" s="115">
        <v>-0.97699999999999998</v>
      </c>
      <c r="H36" s="116">
        <f>I36-SUM(E36:G36)</f>
        <v>5.3770000000000007</v>
      </c>
      <c r="I36" s="117">
        <v>9.7710000000000008</v>
      </c>
      <c r="J36" s="114">
        <v>0.97499999999999998</v>
      </c>
      <c r="K36" s="115">
        <v>1.7090000000000001</v>
      </c>
      <c r="L36" s="115">
        <v>27.45</v>
      </c>
      <c r="M36" s="116">
        <f>N36-SUM(J36:L36)</f>
        <v>1.0090000000000003</v>
      </c>
      <c r="N36" s="117">
        <v>31.143000000000001</v>
      </c>
      <c r="O36" s="114">
        <v>4.766</v>
      </c>
      <c r="P36" s="115">
        <v>0.97899999999999998</v>
      </c>
      <c r="Q36" s="115">
        <v>2.5499999999999998</v>
      </c>
      <c r="R36" s="116">
        <f>S36-SUM(O36:Q36)</f>
        <v>0.96000000000000085</v>
      </c>
      <c r="S36" s="117">
        <v>9.2550000000000008</v>
      </c>
      <c r="T36" s="114">
        <v>3.7370000000000001</v>
      </c>
      <c r="U36" s="115">
        <v>0.72799999999999998</v>
      </c>
      <c r="V36" s="115">
        <v>0.48799999999999999</v>
      </c>
      <c r="W36" s="116">
        <f>X36-SUM(T36:V36)</f>
        <v>1.2220000000000004</v>
      </c>
      <c r="X36" s="117">
        <v>6.1749999999999998</v>
      </c>
      <c r="Y36" s="114">
        <v>3.9220000000000002</v>
      </c>
      <c r="Z36" s="115">
        <v>0.41299999999999998</v>
      </c>
      <c r="AA36" s="115">
        <v>-0.40400000000000003</v>
      </c>
      <c r="AB36" s="116">
        <f>AC36-SUM(Y36:AA36)</f>
        <v>-0.95900000000000007</v>
      </c>
      <c r="AC36" s="117">
        <v>2.972</v>
      </c>
      <c r="AD36" s="114">
        <v>3.2010000000000001</v>
      </c>
      <c r="AE36" s="115">
        <v>8.2000000000000003E-2</v>
      </c>
      <c r="AF36" s="115">
        <v>1.4039999999999999</v>
      </c>
      <c r="AG36" s="116">
        <f>AH36-SUM(AD36:AF36)</f>
        <v>0.60900000000000087</v>
      </c>
      <c r="AH36" s="117">
        <v>5.2960000000000003</v>
      </c>
      <c r="AI36" s="114">
        <f>3.161-129.463</f>
        <v>-126.30199999999999</v>
      </c>
      <c r="AJ36" s="115">
        <v>0.96099999999999997</v>
      </c>
      <c r="AK36" s="115">
        <v>1.6259999999999999</v>
      </c>
      <c r="AL36" s="116">
        <f>AM36-SUM(AI36:AK36)</f>
        <v>-0.34799999999999898</v>
      </c>
      <c r="AM36" s="117">
        <f>5.4-129.463</f>
        <v>-124.06299999999999</v>
      </c>
      <c r="AN36" s="114">
        <v>4.25</v>
      </c>
      <c r="AO36" s="115">
        <v>1.56</v>
      </c>
      <c r="AP36" s="115">
        <v>0.57799999999999996</v>
      </c>
      <c r="AQ36" s="116">
        <f>AR36-SUM(AN36:AP36)</f>
        <v>1.5619999999999994</v>
      </c>
      <c r="AR36" s="117">
        <v>7.95</v>
      </c>
      <c r="AS36" s="114">
        <v>6.4459999999999997</v>
      </c>
      <c r="AT36" s="115">
        <v>2.6080000000000001</v>
      </c>
      <c r="AU36" s="115">
        <v>5.0890000000000004</v>
      </c>
      <c r="AV36" s="116">
        <f>AW36-SUM(AS36:AU36)</f>
        <v>8.8569999999999993</v>
      </c>
      <c r="AW36" s="117">
        <v>23</v>
      </c>
      <c r="AX36" s="120">
        <f>'NSP-MN'!AX29+'NSP-WI'!AX28+PSCO!AX29+SPS!AX21</f>
        <v>5.8579999999999997</v>
      </c>
      <c r="AY36" s="118">
        <f>'NSP-MN'!AY29+'NSP-WI'!AY28+PSCO!AY29+SPS!AY21</f>
        <v>1.8170000000000002</v>
      </c>
      <c r="AZ36" s="118">
        <f>'NSP-MN'!AZ29+'NSP-WI'!AZ28+PSCO!AZ29+SPS!AZ21</f>
        <v>4.0360000000000005</v>
      </c>
      <c r="BA36" s="119">
        <f>'NSP-MN'!BA29+'NSP-WI'!BA28+PSCO!BA29+SPS!BA21</f>
        <v>6.9959999999999996</v>
      </c>
      <c r="BB36" s="42">
        <f>SUM(AX36:BA36)</f>
        <v>18.707000000000001</v>
      </c>
      <c r="BC36" s="120">
        <f>'NSP-MN'!BC29+'NSP-WI'!BC28+PSCO!BC29+SPS!BC21</f>
        <v>5.8579999999999997</v>
      </c>
      <c r="BD36" s="118">
        <f>'NSP-MN'!BD29+'NSP-WI'!BD28+PSCO!BD29+SPS!BD21</f>
        <v>1.8170000000000002</v>
      </c>
      <c r="BE36" s="118">
        <f>'NSP-MN'!BE29+'NSP-WI'!BE28+PSCO!BE29+SPS!BE21</f>
        <v>4.0360000000000005</v>
      </c>
      <c r="BF36" s="119">
        <f>'NSP-MN'!BF29+'NSP-WI'!BF28+PSCO!BF29+SPS!BF21</f>
        <v>6.9959999999999996</v>
      </c>
      <c r="BG36" s="42">
        <f>SUM(BC36:BF36)</f>
        <v>18.707000000000001</v>
      </c>
      <c r="BH36" s="120">
        <f>'NSP-MN'!BH29+'NSP-WI'!BH28+PSCO!BH29+SPS!BH21</f>
        <v>5.8579999999999997</v>
      </c>
      <c r="BI36" s="118">
        <f>'NSP-MN'!BI29+'NSP-WI'!BI28+PSCO!BI29+SPS!BI21</f>
        <v>1.8170000000000002</v>
      </c>
      <c r="BJ36" s="118">
        <f>'NSP-MN'!BJ29+'NSP-WI'!BJ28+PSCO!BJ29+SPS!BJ21</f>
        <v>4.0360000000000005</v>
      </c>
      <c r="BK36" s="119">
        <f>'NSP-MN'!BK29+'NSP-WI'!BK28+PSCO!BK29+SPS!BK21</f>
        <v>6.9959999999999996</v>
      </c>
      <c r="BL36" s="42">
        <f>SUM(BH36:BK36)</f>
        <v>18.707000000000001</v>
      </c>
      <c r="BM36" s="120">
        <f>'NSP-MN'!BM29+'NSP-WI'!BM28+PSCO!BM29+SPS!BM21</f>
        <v>5.8579999999999997</v>
      </c>
      <c r="BN36" s="118">
        <f>'NSP-MN'!BN29+'NSP-WI'!BN28+PSCO!BN29+SPS!BN21</f>
        <v>1.8170000000000002</v>
      </c>
      <c r="BO36" s="118">
        <f>'NSP-MN'!BO29+'NSP-WI'!BO28+PSCO!BO29+SPS!BO21</f>
        <v>4.0360000000000005</v>
      </c>
      <c r="BP36" s="119">
        <f>'NSP-MN'!BP29+'NSP-WI'!BP28+PSCO!BP29+SPS!BP21</f>
        <v>6.9959999999999996</v>
      </c>
      <c r="BQ36" s="42">
        <f>SUM(BM36:BP36)</f>
        <v>18.707000000000001</v>
      </c>
      <c r="BT36" s="525"/>
      <c r="BU36" s="525"/>
      <c r="BV36" s="525"/>
      <c r="BW36" s="525"/>
      <c r="BX36" s="525"/>
      <c r="BY36" s="525"/>
      <c r="BZ36" s="525"/>
      <c r="CA36" s="525"/>
    </row>
    <row r="37" spans="2:79" x14ac:dyDescent="0.2">
      <c r="C37" s="26" t="s">
        <v>129</v>
      </c>
      <c r="D37" s="42"/>
      <c r="E37" s="124">
        <f>SUM(E34:E36)</f>
        <v>23.721</v>
      </c>
      <c r="F37" s="129">
        <f>SUM(F34:F36)</f>
        <v>24.994</v>
      </c>
      <c r="G37" s="129">
        <f>SUM(G34:G36)</f>
        <v>22.003999999999998</v>
      </c>
      <c r="H37" s="126">
        <f>I37-SUM(E37:G37)</f>
        <v>39.402000000000015</v>
      </c>
      <c r="I37" s="86">
        <f t="shared" ref="I37:AD37" si="43">SUM(I34:I36)</f>
        <v>110.12100000000001</v>
      </c>
      <c r="J37" s="124">
        <f t="shared" si="43"/>
        <v>21.666</v>
      </c>
      <c r="K37" s="129">
        <f t="shared" si="43"/>
        <v>22.067</v>
      </c>
      <c r="L37" s="129">
        <f t="shared" si="43"/>
        <v>48.584000000000003</v>
      </c>
      <c r="M37" s="126">
        <f t="shared" si="43"/>
        <v>24.926000000000002</v>
      </c>
      <c r="N37" s="127">
        <f t="shared" si="43"/>
        <v>117.24299999999999</v>
      </c>
      <c r="O37" s="121">
        <f t="shared" si="43"/>
        <v>25.722999999999999</v>
      </c>
      <c r="P37" s="122">
        <f t="shared" si="43"/>
        <v>22.262</v>
      </c>
      <c r="Q37" s="122">
        <f>SUM(Q34:Q36)</f>
        <v>21.812999999999999</v>
      </c>
      <c r="R37" s="126">
        <f t="shared" si="43"/>
        <v>21.207000000000001</v>
      </c>
      <c r="S37" s="127">
        <f t="shared" si="43"/>
        <v>91.004999999999995</v>
      </c>
      <c r="T37" s="121">
        <f t="shared" si="43"/>
        <v>24.344999999999999</v>
      </c>
      <c r="U37" s="122">
        <f t="shared" si="43"/>
        <v>23.424000000000003</v>
      </c>
      <c r="V37" s="122">
        <f t="shared" si="43"/>
        <v>23.838000000000001</v>
      </c>
      <c r="W37" s="126">
        <f t="shared" si="43"/>
        <v>27.379000000000008</v>
      </c>
      <c r="X37" s="127">
        <f t="shared" si="43"/>
        <v>98.986000000000004</v>
      </c>
      <c r="Y37" s="121">
        <f t="shared" si="43"/>
        <v>31.253000000000004</v>
      </c>
      <c r="Z37" s="122">
        <f>SUM(Z34:Z36)</f>
        <v>30.051000000000002</v>
      </c>
      <c r="AA37" s="122">
        <f>SUM(AA34:AA36)</f>
        <v>28.152999999999999</v>
      </c>
      <c r="AB37" s="126">
        <f>SUM(AB34:AB36)</f>
        <v>31.218000000000007</v>
      </c>
      <c r="AC37" s="127">
        <f>SUM(AC34:AC36)</f>
        <v>120.675</v>
      </c>
      <c r="AD37" s="121">
        <f t="shared" si="43"/>
        <v>32.545999999999999</v>
      </c>
      <c r="AE37" s="122">
        <f t="shared" ref="AE37:AJ37" si="44">SUM(AE34:AE36)</f>
        <v>31.501000000000001</v>
      </c>
      <c r="AF37" s="122">
        <f t="shared" si="44"/>
        <v>32.141999999999996</v>
      </c>
      <c r="AG37" s="126">
        <f t="shared" si="44"/>
        <v>29.007999999999999</v>
      </c>
      <c r="AH37" s="127">
        <f t="shared" si="44"/>
        <v>125.197</v>
      </c>
      <c r="AI37" s="121">
        <f t="shared" si="44"/>
        <v>-105.86599999999999</v>
      </c>
      <c r="AJ37" s="122">
        <f t="shared" si="44"/>
        <v>22.024000000000001</v>
      </c>
      <c r="AK37" s="122">
        <f t="shared" ref="AK37:AP37" si="45">SUM(AK34:AK36)</f>
        <v>25.215</v>
      </c>
      <c r="AL37" s="126">
        <f t="shared" si="45"/>
        <v>24.89</v>
      </c>
      <c r="AM37" s="127">
        <f t="shared" si="45"/>
        <v>-33.736999999999995</v>
      </c>
      <c r="AN37" s="121">
        <f t="shared" si="45"/>
        <v>30.545000000000002</v>
      </c>
      <c r="AO37" s="122">
        <f t="shared" si="45"/>
        <v>25.907</v>
      </c>
      <c r="AP37" s="122">
        <f t="shared" si="45"/>
        <v>27.478000000000002</v>
      </c>
      <c r="AQ37" s="126">
        <f t="shared" ref="AQ37:AU37" si="46">SUM(AQ34:AQ36)</f>
        <v>26.689999999999991</v>
      </c>
      <c r="AR37" s="127">
        <f t="shared" si="46"/>
        <v>110.61999999999999</v>
      </c>
      <c r="AS37" s="121">
        <f t="shared" si="46"/>
        <v>28.634</v>
      </c>
      <c r="AT37" s="122">
        <f t="shared" si="46"/>
        <v>26.535</v>
      </c>
      <c r="AU37" s="122">
        <f t="shared" si="46"/>
        <v>35.652000000000001</v>
      </c>
      <c r="AV37" s="126">
        <f t="shared" ref="AV37:AW37" si="47">SUM(AV34:AV36)</f>
        <v>37.178999999999995</v>
      </c>
      <c r="AW37" s="127">
        <f t="shared" si="47"/>
        <v>128</v>
      </c>
      <c r="AX37" s="121">
        <f t="shared" ref="AX37:BG37" si="48">SUM(AX34:AX36)</f>
        <v>40.007122688179351</v>
      </c>
      <c r="AY37" s="122">
        <f t="shared" si="48"/>
        <v>35.835122688179354</v>
      </c>
      <c r="AZ37" s="122">
        <f t="shared" si="48"/>
        <v>37.855122688179357</v>
      </c>
      <c r="BA37" s="123">
        <f t="shared" si="48"/>
        <v>41.713122688179347</v>
      </c>
      <c r="BB37" s="86">
        <f t="shared" si="48"/>
        <v>155.41049075271741</v>
      </c>
      <c r="BC37" s="121">
        <f t="shared" si="48"/>
        <v>40.347689572360359</v>
      </c>
      <c r="BD37" s="122">
        <f t="shared" si="48"/>
        <v>36.175689572360362</v>
      </c>
      <c r="BE37" s="122">
        <f t="shared" si="48"/>
        <v>38.195689572360365</v>
      </c>
      <c r="BF37" s="123">
        <f t="shared" si="48"/>
        <v>42.053689572360362</v>
      </c>
      <c r="BG37" s="86">
        <f t="shared" si="48"/>
        <v>156.77275828944144</v>
      </c>
      <c r="BH37" s="121">
        <f t="shared" ref="BH37:BQ37" si="49">SUM(BH34:BH36)</f>
        <v>34.787276290910981</v>
      </c>
      <c r="BI37" s="122">
        <f t="shared" si="49"/>
        <v>30.615276290910984</v>
      </c>
      <c r="BJ37" s="122">
        <f t="shared" si="49"/>
        <v>32.635276290910987</v>
      </c>
      <c r="BK37" s="123">
        <f t="shared" si="49"/>
        <v>36.493276290910977</v>
      </c>
      <c r="BL37" s="86">
        <f t="shared" si="49"/>
        <v>134.53110516364393</v>
      </c>
      <c r="BM37" s="121">
        <f t="shared" si="49"/>
        <v>36.088830040396154</v>
      </c>
      <c r="BN37" s="122">
        <f t="shared" si="49"/>
        <v>31.916830040396157</v>
      </c>
      <c r="BO37" s="122">
        <f t="shared" si="49"/>
        <v>33.93683004039616</v>
      </c>
      <c r="BP37" s="123">
        <f t="shared" si="49"/>
        <v>37.79483004039615</v>
      </c>
      <c r="BQ37" s="86">
        <f t="shared" si="49"/>
        <v>139.73732016158462</v>
      </c>
      <c r="BT37" s="525"/>
      <c r="BU37" s="525"/>
      <c r="BV37" s="525"/>
      <c r="BW37" s="525"/>
      <c r="BX37" s="525"/>
      <c r="BY37" s="525"/>
      <c r="BZ37" s="525"/>
      <c r="CA37" s="525"/>
    </row>
    <row r="38" spans="2:79" x14ac:dyDescent="0.2">
      <c r="D38" s="42"/>
      <c r="E38" s="148"/>
      <c r="F38" s="149"/>
      <c r="G38" s="149"/>
      <c r="H38" s="150"/>
      <c r="I38" s="42"/>
      <c r="J38" s="148"/>
      <c r="K38" s="149"/>
      <c r="L38" s="149"/>
      <c r="M38" s="150"/>
      <c r="N38" s="42"/>
      <c r="O38" s="148"/>
      <c r="P38" s="139"/>
      <c r="Q38" s="139"/>
      <c r="R38" s="150"/>
      <c r="S38" s="42"/>
      <c r="T38" s="148"/>
      <c r="U38" s="139"/>
      <c r="V38" s="139"/>
      <c r="W38" s="150"/>
      <c r="X38" s="42"/>
      <c r="Y38" s="148"/>
      <c r="Z38" s="139"/>
      <c r="AA38" s="139"/>
      <c r="AB38" s="150"/>
      <c r="AC38" s="42"/>
      <c r="AD38" s="148"/>
      <c r="AE38" s="139"/>
      <c r="AF38" s="139"/>
      <c r="AG38" s="150"/>
      <c r="AH38" s="42"/>
      <c r="AI38" s="148"/>
      <c r="AJ38" s="139"/>
      <c r="AK38" s="139"/>
      <c r="AL38" s="150"/>
      <c r="AM38" s="42"/>
      <c r="AN38" s="148"/>
      <c r="AO38" s="139"/>
      <c r="AP38" s="139"/>
      <c r="AQ38" s="150"/>
      <c r="AR38" s="42"/>
      <c r="AS38" s="148"/>
      <c r="AT38" s="139"/>
      <c r="AU38" s="139"/>
      <c r="AV38" s="150"/>
      <c r="AW38" s="42"/>
      <c r="AX38" s="148"/>
      <c r="AY38" s="139"/>
      <c r="AZ38" s="139"/>
      <c r="BA38" s="119"/>
      <c r="BB38" s="42"/>
      <c r="BC38" s="148"/>
      <c r="BD38" s="139"/>
      <c r="BE38" s="139"/>
      <c r="BF38" s="119"/>
      <c r="BG38" s="42"/>
      <c r="BH38" s="148"/>
      <c r="BI38" s="139"/>
      <c r="BJ38" s="139"/>
      <c r="BK38" s="119"/>
      <c r="BL38" s="42"/>
      <c r="BM38" s="148"/>
      <c r="BN38" s="139"/>
      <c r="BO38" s="139"/>
      <c r="BP38" s="119"/>
      <c r="BQ38" s="42"/>
      <c r="BT38" s="525"/>
      <c r="BU38" s="525"/>
      <c r="BV38" s="525"/>
      <c r="BW38" s="525"/>
      <c r="BX38" s="525"/>
      <c r="BY38" s="525"/>
      <c r="BZ38" s="525"/>
      <c r="CA38" s="525"/>
    </row>
    <row r="39" spans="2:79" x14ac:dyDescent="0.2">
      <c r="C39" s="26" t="s">
        <v>130</v>
      </c>
      <c r="D39" s="42"/>
      <c r="E39" s="121">
        <f t="shared" ref="E39:V39" si="50">E31+E37</f>
        <v>394.51800000000048</v>
      </c>
      <c r="F39" s="122">
        <f t="shared" si="50"/>
        <v>304.36199999999974</v>
      </c>
      <c r="G39" s="122">
        <f t="shared" si="50"/>
        <v>487.15199999999993</v>
      </c>
      <c r="H39" s="123">
        <f t="shared" si="50"/>
        <v>392.66100000000006</v>
      </c>
      <c r="I39" s="86">
        <f t="shared" si="50"/>
        <v>1578.6930000000002</v>
      </c>
      <c r="J39" s="121">
        <f t="shared" si="50"/>
        <v>425.33099999999996</v>
      </c>
      <c r="K39" s="122">
        <f t="shared" si="50"/>
        <v>347.37100000000009</v>
      </c>
      <c r="L39" s="122">
        <f t="shared" si="50"/>
        <v>617.21400000000017</v>
      </c>
      <c r="M39" s="123">
        <f t="shared" si="50"/>
        <v>347.29599999999988</v>
      </c>
      <c r="N39" s="86">
        <f t="shared" si="50"/>
        <v>1737.2120000000009</v>
      </c>
      <c r="O39" s="121">
        <f t="shared" si="50"/>
        <v>452.38600000000002</v>
      </c>
      <c r="P39" s="122">
        <f t="shared" si="50"/>
        <v>381.70399999999955</v>
      </c>
      <c r="Q39" s="122">
        <f t="shared" si="50"/>
        <v>673.30900000000008</v>
      </c>
      <c r="R39" s="123">
        <f t="shared" si="50"/>
        <v>365.2080000000002</v>
      </c>
      <c r="S39" s="86">
        <f t="shared" si="50"/>
        <v>1872.6069999999991</v>
      </c>
      <c r="T39" s="121">
        <f t="shared" si="50"/>
        <v>404.50700000000029</v>
      </c>
      <c r="U39" s="122">
        <f t="shared" si="50"/>
        <v>429.11399999999958</v>
      </c>
      <c r="V39" s="122">
        <f t="shared" si="50"/>
        <v>744.27200000000016</v>
      </c>
      <c r="W39" s="123">
        <f t="shared" ref="W39:AD39" si="51">W31+W37</f>
        <v>343.77600000000132</v>
      </c>
      <c r="X39" s="86">
        <f t="shared" si="51"/>
        <v>1921.669000000001</v>
      </c>
      <c r="Y39" s="121">
        <f t="shared" si="51"/>
        <v>485.87699999999933</v>
      </c>
      <c r="Z39" s="122">
        <f t="shared" si="51"/>
        <v>432.28699999999986</v>
      </c>
      <c r="AA39" s="122">
        <f t="shared" si="51"/>
        <v>693.2660000000003</v>
      </c>
      <c r="AB39" s="123">
        <f t="shared" si="51"/>
        <v>356.79999999999899</v>
      </c>
      <c r="AC39" s="86">
        <f t="shared" si="51"/>
        <v>1968.2300000000002</v>
      </c>
      <c r="AD39" s="121">
        <f t="shared" si="51"/>
        <v>526.53800000000024</v>
      </c>
      <c r="AE39" s="122">
        <f t="shared" ref="AE39:AJ39" si="52">AE31+AE37</f>
        <v>428.70900000000006</v>
      </c>
      <c r="AF39" s="122">
        <f t="shared" si="52"/>
        <v>697.82199999999989</v>
      </c>
      <c r="AG39" s="123">
        <f t="shared" si="52"/>
        <v>420.25799999999907</v>
      </c>
      <c r="AH39" s="86">
        <f t="shared" si="52"/>
        <v>2073.3269999999975</v>
      </c>
      <c r="AI39" s="121">
        <f t="shared" si="52"/>
        <v>374.44200000000001</v>
      </c>
      <c r="AJ39" s="122">
        <f t="shared" si="52"/>
        <v>444.86900000000026</v>
      </c>
      <c r="AK39" s="122">
        <f t="shared" ref="AK39:AP39" si="53">AK31+AK37</f>
        <v>811.02699999999993</v>
      </c>
      <c r="AL39" s="123">
        <f t="shared" si="53"/>
        <v>465.90000000000111</v>
      </c>
      <c r="AM39" s="86">
        <f t="shared" si="53"/>
        <v>2096.2380000000003</v>
      </c>
      <c r="AN39" s="121">
        <f t="shared" si="53"/>
        <v>520.4150000000003</v>
      </c>
      <c r="AO39" s="122">
        <f t="shared" si="53"/>
        <v>457.48799999999966</v>
      </c>
      <c r="AP39" s="122">
        <f t="shared" si="53"/>
        <v>854.53200000000004</v>
      </c>
      <c r="AQ39" s="123">
        <f t="shared" ref="AQ39:AU39" si="54">AQ31+AQ37</f>
        <v>492.04000000000036</v>
      </c>
      <c r="AR39" s="86">
        <f t="shared" si="54"/>
        <v>2324.4750000000031</v>
      </c>
      <c r="AS39" s="121">
        <f t="shared" si="54"/>
        <v>514.85300000000007</v>
      </c>
      <c r="AT39" s="122">
        <f t="shared" si="54"/>
        <v>486.22700000000003</v>
      </c>
      <c r="AU39" s="122">
        <f t="shared" si="54"/>
        <v>854.01099999999997</v>
      </c>
      <c r="AV39" s="123">
        <f t="shared" ref="AV39:AW39" si="55">AV31+AV37</f>
        <v>462.9090000000009</v>
      </c>
      <c r="AW39" s="86">
        <f t="shared" si="55"/>
        <v>2318</v>
      </c>
      <c r="AX39" s="121">
        <f t="shared" ref="AX39:BG39" si="56">AX31+AX37</f>
        <v>522.31347991429243</v>
      </c>
      <c r="AY39" s="122">
        <f t="shared" si="56"/>
        <v>463.5075284560628</v>
      </c>
      <c r="AZ39" s="122">
        <f t="shared" si="56"/>
        <v>773.24558665580321</v>
      </c>
      <c r="BA39" s="123">
        <f t="shared" si="56"/>
        <v>451.06341348240227</v>
      </c>
      <c r="BB39" s="86">
        <f t="shared" si="56"/>
        <v>2210.13000850856</v>
      </c>
      <c r="BC39" s="121">
        <f t="shared" si="56"/>
        <v>573.31140978211272</v>
      </c>
      <c r="BD39" s="122">
        <f t="shared" si="56"/>
        <v>502.90541229365243</v>
      </c>
      <c r="BE39" s="122">
        <f t="shared" si="56"/>
        <v>825.23107766878798</v>
      </c>
      <c r="BF39" s="123">
        <f t="shared" si="56"/>
        <v>487.84467158302147</v>
      </c>
      <c r="BG39" s="86">
        <f t="shared" si="56"/>
        <v>2389.2925713275736</v>
      </c>
      <c r="BH39" s="121">
        <f t="shared" ref="BH39:BQ39" si="57">BH31+BH37</f>
        <v>608.8171794185514</v>
      </c>
      <c r="BI39" s="122">
        <f t="shared" si="57"/>
        <v>529.80524160074629</v>
      </c>
      <c r="BJ39" s="122">
        <f t="shared" si="57"/>
        <v>871.36969433668946</v>
      </c>
      <c r="BK39" s="123">
        <f t="shared" si="57"/>
        <v>522.95283706204179</v>
      </c>
      <c r="BL39" s="86">
        <f t="shared" si="57"/>
        <v>2532.9449524180295</v>
      </c>
      <c r="BM39" s="121">
        <f t="shared" si="57"/>
        <v>645.70613893362986</v>
      </c>
      <c r="BN39" s="122">
        <f t="shared" si="57"/>
        <v>569.0162164479915</v>
      </c>
      <c r="BO39" s="122">
        <f t="shared" si="57"/>
        <v>922.62912437230807</v>
      </c>
      <c r="BP39" s="123">
        <f t="shared" si="57"/>
        <v>563.32982640136174</v>
      </c>
      <c r="BQ39" s="86">
        <f t="shared" si="57"/>
        <v>2700.681306155293</v>
      </c>
      <c r="BT39" s="525"/>
      <c r="BU39" s="525"/>
      <c r="BV39" s="525"/>
      <c r="BW39" s="525"/>
      <c r="BX39" s="525"/>
      <c r="BY39" s="525"/>
      <c r="BZ39" s="525"/>
      <c r="CA39" s="525"/>
    </row>
    <row r="40" spans="2:79" x14ac:dyDescent="0.2">
      <c r="C40" s="26" t="s">
        <v>131</v>
      </c>
      <c r="D40" s="42"/>
      <c r="E40" s="121">
        <f t="shared" ref="E40:AD40" si="58">+E39+E21</f>
        <v>603.23300000000052</v>
      </c>
      <c r="F40" s="122">
        <f t="shared" si="58"/>
        <v>506.70999999999975</v>
      </c>
      <c r="G40" s="122">
        <f t="shared" si="58"/>
        <v>685.37399999999991</v>
      </c>
      <c r="H40" s="123">
        <f t="shared" si="58"/>
        <v>601.42800000000011</v>
      </c>
      <c r="I40" s="86">
        <f t="shared" si="58"/>
        <v>2396.7450000000003</v>
      </c>
      <c r="J40" s="121">
        <f t="shared" si="58"/>
        <v>631.45699999999999</v>
      </c>
      <c r="K40" s="122">
        <f t="shared" si="58"/>
        <v>558.87700000000007</v>
      </c>
      <c r="L40" s="122">
        <f t="shared" si="58"/>
        <v>838.88500000000022</v>
      </c>
      <c r="M40" s="123">
        <f t="shared" si="58"/>
        <v>566.87499999999977</v>
      </c>
      <c r="N40" s="86">
        <f t="shared" si="58"/>
        <v>2596.094000000001</v>
      </c>
      <c r="O40" s="121">
        <f t="shared" si="58"/>
        <v>677.10900000000004</v>
      </c>
      <c r="P40" s="122">
        <f t="shared" si="58"/>
        <v>610.96799999999962</v>
      </c>
      <c r="Q40" s="122">
        <f t="shared" si="58"/>
        <v>915.63800000000015</v>
      </c>
      <c r="R40" s="123">
        <f t="shared" si="58"/>
        <v>559.51100000000019</v>
      </c>
      <c r="S40" s="86">
        <f t="shared" si="58"/>
        <v>2763.2259999999992</v>
      </c>
      <c r="T40" s="121">
        <f t="shared" si="58"/>
        <v>633.17900000000031</v>
      </c>
      <c r="U40" s="122">
        <f t="shared" si="58"/>
        <v>655.75499999999954</v>
      </c>
      <c r="V40" s="122">
        <f t="shared" si="58"/>
        <v>983.32300000000009</v>
      </c>
      <c r="W40" s="123">
        <f t="shared" si="58"/>
        <v>575.46500000000128</v>
      </c>
      <c r="X40" s="86">
        <f t="shared" si="58"/>
        <v>2847.7220000000011</v>
      </c>
      <c r="Y40" s="121">
        <f t="shared" si="58"/>
        <v>734.58299999999929</v>
      </c>
      <c r="Z40" s="122">
        <f>+Z39+Z21</f>
        <v>676.22099999999989</v>
      </c>
      <c r="AA40" s="122">
        <f>+AA39+AA21</f>
        <v>921.75700000000029</v>
      </c>
      <c r="AB40" s="123">
        <f>+AB39+AB21</f>
        <v>613.53199999999902</v>
      </c>
      <c r="AC40" s="86">
        <f>+AC39+AC21</f>
        <v>2946.0930000000003</v>
      </c>
      <c r="AD40" s="121">
        <f t="shared" si="58"/>
        <v>772.48100000000022</v>
      </c>
      <c r="AE40" s="122">
        <f t="shared" ref="AE40:AJ40" si="59">+AE39+AE21</f>
        <v>684.01600000000008</v>
      </c>
      <c r="AF40" s="122">
        <f t="shared" si="59"/>
        <v>953.21699999999987</v>
      </c>
      <c r="AG40" s="123">
        <f t="shared" si="59"/>
        <v>682.65799999999899</v>
      </c>
      <c r="AH40" s="86">
        <f t="shared" si="59"/>
        <v>3092.3719999999976</v>
      </c>
      <c r="AI40" s="121">
        <f t="shared" si="59"/>
        <v>647.54</v>
      </c>
      <c r="AJ40" s="122">
        <f t="shared" si="59"/>
        <v>719.47100000000023</v>
      </c>
      <c r="AK40" s="122">
        <f t="shared" ref="AK40:AP40" si="60">+AK39+AK21</f>
        <v>1091.1479999999999</v>
      </c>
      <c r="AL40" s="123">
        <f t="shared" si="60"/>
        <v>762.60300000000097</v>
      </c>
      <c r="AM40" s="86">
        <f t="shared" si="60"/>
        <v>3220.7620000000002</v>
      </c>
      <c r="AN40" s="121">
        <f t="shared" si="60"/>
        <v>840.43500000000029</v>
      </c>
      <c r="AO40" s="122">
        <f t="shared" si="60"/>
        <v>780.02199999999971</v>
      </c>
      <c r="AP40" s="122">
        <f t="shared" si="60"/>
        <v>1183.0350000000001</v>
      </c>
      <c r="AQ40" s="123">
        <f t="shared" ref="AQ40:AU40" si="61">+AQ39+AQ21</f>
        <v>824.18600000000038</v>
      </c>
      <c r="AR40" s="86">
        <f t="shared" si="61"/>
        <v>3627.6780000000031</v>
      </c>
      <c r="AS40" s="121">
        <f t="shared" si="61"/>
        <v>880.05700000000002</v>
      </c>
      <c r="AT40" s="122">
        <f t="shared" si="61"/>
        <v>851.94700000000012</v>
      </c>
      <c r="AU40" s="122">
        <f t="shared" si="61"/>
        <v>1225.1019999999999</v>
      </c>
      <c r="AV40" s="123">
        <f t="shared" ref="AV40:AW40" si="62">+AV39+AV21</f>
        <v>839.89400000000103</v>
      </c>
      <c r="AW40" s="86">
        <f t="shared" si="62"/>
        <v>3797</v>
      </c>
      <c r="AX40" s="121">
        <f t="shared" ref="AX40:BG40" si="63">+AX39+AX21</f>
        <v>919.91872888187186</v>
      </c>
      <c r="AY40" s="122">
        <f t="shared" si="63"/>
        <v>861.19987547243375</v>
      </c>
      <c r="AZ40" s="122">
        <f t="shared" si="63"/>
        <v>1177.611350113209</v>
      </c>
      <c r="BA40" s="123">
        <f t="shared" si="63"/>
        <v>861.56217083959405</v>
      </c>
      <c r="BB40" s="86">
        <f t="shared" si="63"/>
        <v>3820.2921253071081</v>
      </c>
      <c r="BC40" s="121">
        <f t="shared" si="63"/>
        <v>983.87477287588763</v>
      </c>
      <c r="BD40" s="122">
        <f t="shared" si="63"/>
        <v>921.49423610514759</v>
      </c>
      <c r="BE40" s="122">
        <f t="shared" si="63"/>
        <v>1252.1527146221756</v>
      </c>
      <c r="BF40" s="123">
        <f t="shared" si="63"/>
        <v>922.53369404549358</v>
      </c>
      <c r="BG40" s="86">
        <f t="shared" si="63"/>
        <v>4080.055417648703</v>
      </c>
      <c r="BH40" s="121">
        <f t="shared" ref="BH40:BQ40" si="64">+BH39+BH21</f>
        <v>1049.613466632406</v>
      </c>
      <c r="BI40" s="122">
        <f t="shared" si="64"/>
        <v>982.42014396519346</v>
      </c>
      <c r="BJ40" s="122">
        <f t="shared" si="64"/>
        <v>1328.7329025224981</v>
      </c>
      <c r="BK40" s="123">
        <f t="shared" si="64"/>
        <v>984.5469414997026</v>
      </c>
      <c r="BL40" s="86">
        <f t="shared" si="64"/>
        <v>4345.3134546198007</v>
      </c>
      <c r="BM40" s="121">
        <f t="shared" si="64"/>
        <v>1111.9367419162363</v>
      </c>
      <c r="BN40" s="122">
        <f t="shared" si="64"/>
        <v>1039.3339781855582</v>
      </c>
      <c r="BO40" s="122">
        <f t="shared" si="64"/>
        <v>1397.9676060320116</v>
      </c>
      <c r="BP40" s="123">
        <f t="shared" si="64"/>
        <v>1043.1671319425363</v>
      </c>
      <c r="BQ40" s="86">
        <f t="shared" si="64"/>
        <v>4592.4054580763441</v>
      </c>
      <c r="BT40" s="525"/>
      <c r="BU40" s="525"/>
      <c r="BV40" s="525"/>
      <c r="BW40" s="525"/>
      <c r="BX40" s="525"/>
      <c r="BY40" s="525"/>
      <c r="BZ40" s="525"/>
      <c r="CA40" s="525"/>
    </row>
    <row r="41" spans="2:79" x14ac:dyDescent="0.2">
      <c r="D41" s="42"/>
      <c r="E41" s="148"/>
      <c r="F41" s="149"/>
      <c r="G41" s="149"/>
      <c r="H41" s="150"/>
      <c r="I41" s="42"/>
      <c r="J41" s="148"/>
      <c r="K41" s="149"/>
      <c r="L41" s="149"/>
      <c r="M41" s="150"/>
      <c r="N41" s="42"/>
      <c r="O41" s="148"/>
      <c r="P41" s="139"/>
      <c r="Q41" s="139"/>
      <c r="R41" s="150"/>
      <c r="S41" s="42"/>
      <c r="T41" s="148"/>
      <c r="U41" s="139"/>
      <c r="V41" s="139"/>
      <c r="W41" s="150"/>
      <c r="X41" s="42"/>
      <c r="Y41" s="148"/>
      <c r="Z41" s="139"/>
      <c r="AA41" s="139"/>
      <c r="AB41" s="150"/>
      <c r="AC41" s="42"/>
      <c r="AD41" s="148"/>
      <c r="AE41" s="139"/>
      <c r="AF41" s="139"/>
      <c r="AG41" s="150"/>
      <c r="AH41" s="42"/>
      <c r="AI41" s="148"/>
      <c r="AJ41" s="139"/>
      <c r="AK41" s="139"/>
      <c r="AL41" s="150"/>
      <c r="AM41" s="42"/>
      <c r="AN41" s="148"/>
      <c r="AO41" s="139"/>
      <c r="AP41" s="139"/>
      <c r="AQ41" s="150"/>
      <c r="AR41" s="42"/>
      <c r="AS41" s="148"/>
      <c r="AT41" s="139"/>
      <c r="AU41" s="139"/>
      <c r="AV41" s="150"/>
      <c r="AW41" s="42"/>
      <c r="AX41" s="148"/>
      <c r="AY41" s="139"/>
      <c r="AZ41" s="139"/>
      <c r="BA41" s="119"/>
      <c r="BB41" s="42"/>
      <c r="BC41" s="148"/>
      <c r="BD41" s="139"/>
      <c r="BE41" s="139"/>
      <c r="BF41" s="119"/>
      <c r="BG41" s="42"/>
      <c r="BH41" s="148"/>
      <c r="BI41" s="139"/>
      <c r="BJ41" s="139"/>
      <c r="BK41" s="119"/>
      <c r="BL41" s="42"/>
      <c r="BM41" s="148"/>
      <c r="BN41" s="139"/>
      <c r="BO41" s="139"/>
      <c r="BP41" s="119"/>
      <c r="BQ41" s="42"/>
      <c r="BT41" s="525"/>
      <c r="BU41" s="525"/>
      <c r="BV41" s="525"/>
      <c r="BW41" s="525"/>
      <c r="BX41" s="525"/>
      <c r="BY41" s="525"/>
      <c r="BZ41" s="525"/>
      <c r="CA41" s="525"/>
    </row>
    <row r="42" spans="2:79" x14ac:dyDescent="0.2">
      <c r="C42" s="20" t="s">
        <v>132</v>
      </c>
      <c r="D42" s="42"/>
      <c r="E42" s="114">
        <v>141.803</v>
      </c>
      <c r="F42" s="115">
        <v>139.297</v>
      </c>
      <c r="G42" s="115">
        <v>139.34700000000001</v>
      </c>
      <c r="H42" s="131">
        <f>I42-SUM(E42:G42)</f>
        <v>141.20699999999999</v>
      </c>
      <c r="I42" s="117">
        <v>561.654</v>
      </c>
      <c r="J42" s="114">
        <v>143.83000000000001</v>
      </c>
      <c r="K42" s="115">
        <v>141.45500000000001</v>
      </c>
      <c r="L42" s="115">
        <v>144.84899999999999</v>
      </c>
      <c r="M42" s="131">
        <f>N42-SUM(J42:L42)</f>
        <v>147.15700000000004</v>
      </c>
      <c r="N42" s="117">
        <v>577.29100000000005</v>
      </c>
      <c r="O42" s="114">
        <v>144.35400000000001</v>
      </c>
      <c r="P42" s="115">
        <v>146.33799999999999</v>
      </c>
      <c r="Q42" s="115">
        <v>148.011</v>
      </c>
      <c r="R42" s="131">
        <f>S42-SUM(O42:Q42)</f>
        <v>152.39499999999998</v>
      </c>
      <c r="S42" s="117">
        <v>591.09799999999996</v>
      </c>
      <c r="T42" s="114">
        <v>151.83000000000001</v>
      </c>
      <c r="U42" s="115">
        <v>151.92099999999999</v>
      </c>
      <c r="V42" s="115">
        <v>153.71899999999999</v>
      </c>
      <c r="W42" s="131">
        <f>X42-SUM(T42:V42)</f>
        <v>144.11200000000002</v>
      </c>
      <c r="X42" s="117">
        <v>601.58199999999999</v>
      </c>
      <c r="Y42" s="114">
        <v>139.613</v>
      </c>
      <c r="Z42" s="115">
        <v>146.828</v>
      </c>
      <c r="AA42" s="115">
        <v>144.75800000000001</v>
      </c>
      <c r="AB42" s="131">
        <f>AC42-SUM(Y42:AA42)</f>
        <v>143.99999999999989</v>
      </c>
      <c r="AC42" s="117">
        <v>575.19899999999996</v>
      </c>
      <c r="AD42" s="114">
        <v>139.09399999999999</v>
      </c>
      <c r="AE42" s="115">
        <v>139.4</v>
      </c>
      <c r="AF42" s="115">
        <v>143.21899999999999</v>
      </c>
      <c r="AG42" s="131">
        <f>AH42-SUM(AD42:AF42)</f>
        <v>144.89499999999992</v>
      </c>
      <c r="AH42" s="117">
        <v>566.60799999999995</v>
      </c>
      <c r="AI42" s="114">
        <v>144.94</v>
      </c>
      <c r="AJ42" s="115">
        <v>144.22200000000001</v>
      </c>
      <c r="AK42" s="115">
        <v>152.566</v>
      </c>
      <c r="AL42" s="131">
        <f>AM42-SUM(AI42:AK42)</f>
        <v>153.55399999999997</v>
      </c>
      <c r="AM42" s="117">
        <v>595.28200000000004</v>
      </c>
      <c r="AN42" s="114">
        <v>156.44300000000001</v>
      </c>
      <c r="AO42" s="115">
        <v>162.97999999999999</v>
      </c>
      <c r="AP42" s="115">
        <v>165.857</v>
      </c>
      <c r="AQ42" s="131">
        <f>AR42-SUM(AN42:AP42)</f>
        <v>161.62700000000007</v>
      </c>
      <c r="AR42" s="117">
        <v>646.90700000000004</v>
      </c>
      <c r="AS42" s="114">
        <v>165.934</v>
      </c>
      <c r="AT42" s="115">
        <v>164.19499999999999</v>
      </c>
      <c r="AU42" s="115">
        <v>167.803</v>
      </c>
      <c r="AV42" s="131">
        <f>AW42-SUM(AS42:AU42)</f>
        <v>165.06799999999998</v>
      </c>
      <c r="AW42" s="117">
        <v>663</v>
      </c>
      <c r="AX42" s="120">
        <f>+AS42+AX111</f>
        <v>171.33027440217393</v>
      </c>
      <c r="AY42" s="118">
        <f>+AT42+AY111</f>
        <v>167.663061532836</v>
      </c>
      <c r="AZ42" s="118">
        <f>+AU42+AZ111</f>
        <v>190.77818785446095</v>
      </c>
      <c r="BA42" s="119">
        <f>+AV42+BA111</f>
        <v>178.64662330797844</v>
      </c>
      <c r="BB42" s="42">
        <f>SUM(AX42:BA42)</f>
        <v>708.41814709744926</v>
      </c>
      <c r="BC42" s="120">
        <f>+AX42+BC111</f>
        <v>183.03524903953769</v>
      </c>
      <c r="BD42" s="118">
        <f>+AY42+BD111</f>
        <v>180.20565068572526</v>
      </c>
      <c r="BE42" s="118">
        <f>+AZ42+BE111</f>
        <v>206.46817496144686</v>
      </c>
      <c r="BF42" s="119">
        <f>+BA42+BF111</f>
        <v>189.91969539705707</v>
      </c>
      <c r="BG42" s="42">
        <f>SUM(BC42:BF42)</f>
        <v>759.62877008376677</v>
      </c>
      <c r="BH42" s="120">
        <f>+BC42+BH111</f>
        <v>194.66843531424337</v>
      </c>
      <c r="BI42" s="118">
        <f>+BD42+BI111</f>
        <v>188.77156947630485</v>
      </c>
      <c r="BJ42" s="118">
        <f>+BE42+BJ111</f>
        <v>226.34912972558411</v>
      </c>
      <c r="BK42" s="119">
        <f>+BF42+BK111</f>
        <v>197.83733550203337</v>
      </c>
      <c r="BL42" s="42">
        <f>SUM(BH42:BK42)</f>
        <v>807.62647001816572</v>
      </c>
      <c r="BM42" s="120">
        <f>+BH42+BM111</f>
        <v>203.08504355232958</v>
      </c>
      <c r="BN42" s="118">
        <f>+BI42+BN111</f>
        <v>200.72179068805625</v>
      </c>
      <c r="BO42" s="118">
        <f>+BJ42+BO111</f>
        <v>242.81954282124414</v>
      </c>
      <c r="BP42" s="119">
        <f>+BK42+BP111</f>
        <v>207.56857363905826</v>
      </c>
      <c r="BQ42" s="42">
        <f>SUM(BM42:BP42)</f>
        <v>854.1949507006882</v>
      </c>
      <c r="BS42" s="224">
        <f>AR42-AM42</f>
        <v>51.625</v>
      </c>
      <c r="BT42" s="525"/>
      <c r="BU42" s="525"/>
      <c r="BV42" s="525"/>
      <c r="BW42" s="525"/>
      <c r="BX42" s="525"/>
      <c r="BY42" s="525"/>
      <c r="BZ42" s="525"/>
      <c r="CA42" s="525"/>
    </row>
    <row r="43" spans="2:79" x14ac:dyDescent="0.2">
      <c r="B43" s="20"/>
      <c r="C43" s="20" t="s">
        <v>133</v>
      </c>
      <c r="D43" s="42"/>
      <c r="E43" s="114">
        <v>-10.228</v>
      </c>
      <c r="F43" s="115">
        <v>-9.8450000000000006</v>
      </c>
      <c r="G43" s="115">
        <v>-9.5980000000000008</v>
      </c>
      <c r="H43" s="131">
        <f>I43-SUM(E43:G43)</f>
        <v>-10.128</v>
      </c>
      <c r="I43" s="117">
        <v>-39.798999999999999</v>
      </c>
      <c r="J43" s="114">
        <v>-7.7370000000000001</v>
      </c>
      <c r="K43" s="115">
        <v>-6.5750000000000002</v>
      </c>
      <c r="L43" s="115">
        <v>-6.3230000000000004</v>
      </c>
      <c r="M43" s="131">
        <f>N43-SUM(J43:L43)</f>
        <v>-8.0350000000000001</v>
      </c>
      <c r="N43" s="117">
        <v>-28.67</v>
      </c>
      <c r="O43" s="114">
        <v>-7.4359999999999999</v>
      </c>
      <c r="P43" s="115">
        <v>-7.8380000000000001</v>
      </c>
      <c r="Q43" s="115">
        <v>-6.3010000000000002</v>
      </c>
      <c r="R43" s="131">
        <f>S43-SUM(O43:Q43)</f>
        <v>-6.6059999999999981</v>
      </c>
      <c r="S43" s="117">
        <v>-28.181000000000001</v>
      </c>
      <c r="T43" s="114">
        <v>-6.6070000000000002</v>
      </c>
      <c r="U43" s="115">
        <v>-7.6829999999999998</v>
      </c>
      <c r="V43" s="115">
        <v>-10.439</v>
      </c>
      <c r="W43" s="131">
        <f>X43-SUM(T43:V43)</f>
        <v>-10.585999999999999</v>
      </c>
      <c r="X43" s="117">
        <v>-35.314999999999998</v>
      </c>
      <c r="Y43" s="114">
        <v>-8.7579999999999991</v>
      </c>
      <c r="Z43" s="115">
        <v>-10.316000000000001</v>
      </c>
      <c r="AA43" s="115">
        <v>-9.3770000000000007</v>
      </c>
      <c r="AB43" s="131">
        <f>AC43-SUM(Y43:AA43)</f>
        <v>-10.728000000000002</v>
      </c>
      <c r="AC43" s="117">
        <v>-39.179000000000002</v>
      </c>
      <c r="AD43" s="114">
        <v>-9.548</v>
      </c>
      <c r="AE43" s="115">
        <v>-10.113</v>
      </c>
      <c r="AF43" s="115">
        <v>-9.9480000000000004</v>
      </c>
      <c r="AG43" s="131">
        <f>AH43-SUM(AD43:AF43)</f>
        <v>-8.7929999999999993</v>
      </c>
      <c r="AH43" s="117">
        <v>-38.402000000000001</v>
      </c>
      <c r="AI43" s="114">
        <v>-6.1440000000000001</v>
      </c>
      <c r="AJ43" s="115">
        <v>-6.165</v>
      </c>
      <c r="AK43" s="115">
        <v>-7.0309999999999997</v>
      </c>
      <c r="AL43" s="131">
        <f>AM43-SUM(AI43:AK43)</f>
        <v>-6.9080000000000013</v>
      </c>
      <c r="AM43" s="117">
        <v>-26.248000000000001</v>
      </c>
      <c r="AN43" s="114">
        <v>-5.99</v>
      </c>
      <c r="AO43" s="115">
        <v>-6.6840000000000002</v>
      </c>
      <c r="AP43" s="115">
        <v>-7.532</v>
      </c>
      <c r="AQ43" s="131">
        <f>AR43-SUM(AN43:AP43)</f>
        <v>-6.8219999999999992</v>
      </c>
      <c r="AR43" s="117">
        <v>-27.027999999999999</v>
      </c>
      <c r="AS43" s="114">
        <v>-7.0220000000000002</v>
      </c>
      <c r="AT43" s="115">
        <v>-7.6130000000000004</v>
      </c>
      <c r="AU43" s="115">
        <v>-10.724</v>
      </c>
      <c r="AV43" s="131">
        <f>AW43-SUM(AS43:AU43)</f>
        <v>-9.6409999999999982</v>
      </c>
      <c r="AW43" s="117">
        <v>-35</v>
      </c>
      <c r="AX43" s="136">
        <f>'NSP-MN'!AX36+'NSP-WI'!AX35+PSCO!AX36+SPS!AX28</f>
        <v>-13.442815591644383</v>
      </c>
      <c r="AY43" s="135">
        <f>'NSP-MN'!AY36+'NSP-WI'!AY35+PSCO!AY36+SPS!AY28</f>
        <v>-13.442815591644383</v>
      </c>
      <c r="AZ43" s="135">
        <f>'NSP-MN'!AZ36+'NSP-WI'!AZ35+PSCO!AZ36+SPS!AZ28</f>
        <v>-13.442815591644383</v>
      </c>
      <c r="BA43" s="116">
        <f>'NSP-MN'!BA36+'NSP-WI'!BA35+PSCO!BA36+SPS!BA28</f>
        <v>-13.442815591644383</v>
      </c>
      <c r="BB43" s="42">
        <f>SUM(AX43:BA43)</f>
        <v>-53.771262366577531</v>
      </c>
      <c r="BC43" s="136">
        <f>'NSP-MN'!BC36+'NSP-WI'!BC35+PSCO!BC36+SPS!BC28</f>
        <v>-13.03438020822874</v>
      </c>
      <c r="BD43" s="135">
        <f>'NSP-MN'!BD36+'NSP-WI'!BD35+PSCO!BD36+SPS!BD28</f>
        <v>-13.03438020822874</v>
      </c>
      <c r="BE43" s="135">
        <f>'NSP-MN'!BE36+'NSP-WI'!BE35+PSCO!BE36+SPS!BE28</f>
        <v>-13.03438020822874</v>
      </c>
      <c r="BF43" s="116">
        <f>'NSP-MN'!BF36+'NSP-WI'!BF35+PSCO!BF36+SPS!BF28</f>
        <v>-13.03438020822874</v>
      </c>
      <c r="BG43" s="42">
        <f>SUM(BC43:BF43)</f>
        <v>-52.137520832914959</v>
      </c>
      <c r="BH43" s="136">
        <f>'NSP-MN'!BH36+'NSP-WI'!BH35+PSCO!BH36+SPS!BH28</f>
        <v>-10.177602851691438</v>
      </c>
      <c r="BI43" s="135">
        <f>'NSP-MN'!BI36+'NSP-WI'!BI35+PSCO!BI36+SPS!BI28</f>
        <v>-10.177602851691438</v>
      </c>
      <c r="BJ43" s="135">
        <f>'NSP-MN'!BJ36+'NSP-WI'!BJ35+PSCO!BJ36+SPS!BJ28</f>
        <v>-10.177602851691438</v>
      </c>
      <c r="BK43" s="116">
        <f>'NSP-MN'!BK36+'NSP-WI'!BK35+PSCO!BK36+SPS!BK28</f>
        <v>-10.177602851691438</v>
      </c>
      <c r="BL43" s="42">
        <f>SUM(BH43:BK43)</f>
        <v>-40.710411406765751</v>
      </c>
      <c r="BM43" s="136">
        <f>'NSP-MN'!BM36+'NSP-WI'!BM35+PSCO!BM36+SPS!BM28</f>
        <v>-10.578505291902342</v>
      </c>
      <c r="BN43" s="135">
        <f>'NSP-MN'!BN36+'NSP-WI'!BN35+PSCO!BN36+SPS!BN28</f>
        <v>-10.578505291902342</v>
      </c>
      <c r="BO43" s="135">
        <f>'NSP-MN'!BO36+'NSP-WI'!BO35+PSCO!BO36+SPS!BO28</f>
        <v>-10.578505291902342</v>
      </c>
      <c r="BP43" s="116">
        <f>'NSP-MN'!BP36+'NSP-WI'!BP35+PSCO!BP36+SPS!BP28</f>
        <v>-10.578505291902342</v>
      </c>
      <c r="BQ43" s="42">
        <f>SUM(BM43:BP43)</f>
        <v>-42.314021167609368</v>
      </c>
      <c r="BT43" s="640"/>
      <c r="BU43" s="525"/>
      <c r="BV43" s="525"/>
      <c r="BW43" s="525"/>
      <c r="BX43" s="525"/>
      <c r="BY43" s="525"/>
      <c r="BZ43" s="525"/>
      <c r="CA43" s="525"/>
    </row>
    <row r="44" spans="2:79" x14ac:dyDescent="0.2">
      <c r="C44" s="26" t="s">
        <v>134</v>
      </c>
      <c r="D44" s="42"/>
      <c r="E44" s="121">
        <f t="shared" ref="E44:AD44" si="65">SUM(E42:E43)</f>
        <v>131.57499999999999</v>
      </c>
      <c r="F44" s="122">
        <f t="shared" si="65"/>
        <v>129.452</v>
      </c>
      <c r="G44" s="122">
        <f t="shared" si="65"/>
        <v>129.749</v>
      </c>
      <c r="H44" s="123">
        <f t="shared" si="65"/>
        <v>131.07900000000001</v>
      </c>
      <c r="I44" s="86">
        <f t="shared" si="65"/>
        <v>521.85500000000002</v>
      </c>
      <c r="J44" s="121">
        <f t="shared" si="65"/>
        <v>136.09300000000002</v>
      </c>
      <c r="K44" s="122">
        <f t="shared" si="65"/>
        <v>134.88000000000002</v>
      </c>
      <c r="L44" s="122">
        <f t="shared" si="65"/>
        <v>138.52599999999998</v>
      </c>
      <c r="M44" s="123">
        <f t="shared" si="65"/>
        <v>139.12200000000004</v>
      </c>
      <c r="N44" s="86">
        <f t="shared" si="65"/>
        <v>548.62100000000009</v>
      </c>
      <c r="O44" s="121">
        <f t="shared" si="65"/>
        <v>136.91800000000001</v>
      </c>
      <c r="P44" s="122">
        <f t="shared" si="65"/>
        <v>138.5</v>
      </c>
      <c r="Q44" s="122">
        <f t="shared" si="65"/>
        <v>141.71</v>
      </c>
      <c r="R44" s="123">
        <f t="shared" si="65"/>
        <v>145.78899999999999</v>
      </c>
      <c r="S44" s="86">
        <f t="shared" si="65"/>
        <v>562.91699999999992</v>
      </c>
      <c r="T44" s="121">
        <f t="shared" si="65"/>
        <v>145.22300000000001</v>
      </c>
      <c r="U44" s="122">
        <f>SUM(U42:U43)</f>
        <v>144.238</v>
      </c>
      <c r="V44" s="122">
        <f>SUM(V42:V43)</f>
        <v>143.28</v>
      </c>
      <c r="W44" s="123">
        <f t="shared" si="65"/>
        <v>133.52600000000001</v>
      </c>
      <c r="X44" s="86">
        <f t="shared" si="65"/>
        <v>566.26700000000005</v>
      </c>
      <c r="Y44" s="121">
        <f t="shared" si="65"/>
        <v>130.85499999999999</v>
      </c>
      <c r="Z44" s="122">
        <f>SUM(Z42:Z43)</f>
        <v>136.512</v>
      </c>
      <c r="AA44" s="122">
        <f>SUM(AA42:AA43)</f>
        <v>135.381</v>
      </c>
      <c r="AB44" s="123">
        <f>SUM(AB42:AB43)</f>
        <v>133.27199999999988</v>
      </c>
      <c r="AC44" s="86">
        <f>SUM(AC42:AC43)</f>
        <v>536.02</v>
      </c>
      <c r="AD44" s="121">
        <f t="shared" si="65"/>
        <v>129.54599999999999</v>
      </c>
      <c r="AE44" s="122">
        <f t="shared" ref="AE44:AJ44" si="66">SUM(AE42:AE43)</f>
        <v>129.28700000000001</v>
      </c>
      <c r="AF44" s="122">
        <f t="shared" si="66"/>
        <v>133.27099999999999</v>
      </c>
      <c r="AG44" s="123">
        <f t="shared" si="66"/>
        <v>136.10199999999992</v>
      </c>
      <c r="AH44" s="86">
        <f t="shared" si="66"/>
        <v>528.2059999999999</v>
      </c>
      <c r="AI44" s="121">
        <f t="shared" si="66"/>
        <v>138.79599999999999</v>
      </c>
      <c r="AJ44" s="122">
        <f t="shared" si="66"/>
        <v>138.05700000000002</v>
      </c>
      <c r="AK44" s="122">
        <f t="shared" ref="AK44:AU44" si="67">SUM(AK42:AK43)</f>
        <v>145.535</v>
      </c>
      <c r="AL44" s="123">
        <f t="shared" si="67"/>
        <v>146.64599999999996</v>
      </c>
      <c r="AM44" s="86">
        <f t="shared" si="67"/>
        <v>569.03399999999999</v>
      </c>
      <c r="AN44" s="121">
        <f t="shared" si="67"/>
        <v>150.453</v>
      </c>
      <c r="AO44" s="122">
        <f t="shared" si="67"/>
        <v>156.29599999999999</v>
      </c>
      <c r="AP44" s="122">
        <f t="shared" si="67"/>
        <v>158.32499999999999</v>
      </c>
      <c r="AQ44" s="123">
        <f t="shared" si="67"/>
        <v>154.80500000000006</v>
      </c>
      <c r="AR44" s="86">
        <f t="shared" si="67"/>
        <v>619.87900000000002</v>
      </c>
      <c r="AS44" s="121">
        <f t="shared" si="67"/>
        <v>158.91200000000001</v>
      </c>
      <c r="AT44" s="122">
        <f t="shared" si="67"/>
        <v>156.58199999999999</v>
      </c>
      <c r="AU44" s="122">
        <f t="shared" si="67"/>
        <v>157.07900000000001</v>
      </c>
      <c r="AV44" s="123">
        <f t="shared" ref="AV44:AW44" si="68">SUM(AV42:AV43)</f>
        <v>155.42699999999999</v>
      </c>
      <c r="AW44" s="86">
        <f t="shared" si="68"/>
        <v>628</v>
      </c>
      <c r="AX44" s="121">
        <f t="shared" ref="AX44:BG44" si="69">SUM(AX42:AX43)</f>
        <v>157.88745881052955</v>
      </c>
      <c r="AY44" s="122">
        <f t="shared" si="69"/>
        <v>154.22024594119162</v>
      </c>
      <c r="AZ44" s="122">
        <f t="shared" si="69"/>
        <v>177.33537226281658</v>
      </c>
      <c r="BA44" s="123">
        <f t="shared" si="69"/>
        <v>165.20380771633407</v>
      </c>
      <c r="BB44" s="86">
        <f t="shared" si="69"/>
        <v>654.64688473087176</v>
      </c>
      <c r="BC44" s="121">
        <f t="shared" si="69"/>
        <v>170.00086883130894</v>
      </c>
      <c r="BD44" s="122">
        <f t="shared" si="69"/>
        <v>167.17127047749653</v>
      </c>
      <c r="BE44" s="122">
        <f t="shared" si="69"/>
        <v>193.43379475321814</v>
      </c>
      <c r="BF44" s="123">
        <f t="shared" si="69"/>
        <v>176.88531518882832</v>
      </c>
      <c r="BG44" s="86">
        <f t="shared" si="69"/>
        <v>707.49124925085175</v>
      </c>
      <c r="BH44" s="121">
        <f t="shared" ref="BH44:BQ44" si="70">SUM(BH42:BH43)</f>
        <v>184.49083246255194</v>
      </c>
      <c r="BI44" s="122">
        <f t="shared" si="70"/>
        <v>178.59396662461342</v>
      </c>
      <c r="BJ44" s="122">
        <f t="shared" si="70"/>
        <v>216.17152687389267</v>
      </c>
      <c r="BK44" s="123">
        <f t="shared" si="70"/>
        <v>187.65973265034194</v>
      </c>
      <c r="BL44" s="86">
        <f t="shared" si="70"/>
        <v>766.91605861139999</v>
      </c>
      <c r="BM44" s="121">
        <f t="shared" si="70"/>
        <v>192.50653826042725</v>
      </c>
      <c r="BN44" s="122">
        <f t="shared" si="70"/>
        <v>190.14328539615391</v>
      </c>
      <c r="BO44" s="122">
        <f t="shared" si="70"/>
        <v>232.24103752934181</v>
      </c>
      <c r="BP44" s="123">
        <f t="shared" si="70"/>
        <v>196.99006834715593</v>
      </c>
      <c r="BQ44" s="86">
        <f t="shared" si="70"/>
        <v>811.88092953307887</v>
      </c>
      <c r="BT44" s="640">
        <f>AW44-AR44</f>
        <v>8.1209999999999809</v>
      </c>
      <c r="BU44" s="640">
        <f>BB44-AW44</f>
        <v>26.646884730871761</v>
      </c>
      <c r="BV44" s="525"/>
      <c r="BW44" s="525"/>
      <c r="BX44" s="525"/>
      <c r="BY44" s="525"/>
      <c r="BZ44" s="525"/>
      <c r="CA44" s="525"/>
    </row>
    <row r="45" spans="2:79" x14ac:dyDescent="0.2">
      <c r="C45" s="20"/>
      <c r="D45" s="42"/>
      <c r="E45" s="148"/>
      <c r="F45" s="149"/>
      <c r="G45" s="149"/>
      <c r="H45" s="150"/>
      <c r="I45" s="42"/>
      <c r="J45" s="148"/>
      <c r="K45" s="149"/>
      <c r="L45" s="149"/>
      <c r="M45" s="150"/>
      <c r="N45" s="42"/>
      <c r="O45" s="148"/>
      <c r="P45" s="139"/>
      <c r="Q45" s="139"/>
      <c r="R45" s="150"/>
      <c r="S45" s="42"/>
      <c r="T45" s="148"/>
      <c r="U45" s="139"/>
      <c r="V45" s="139"/>
      <c r="W45" s="150"/>
      <c r="X45" s="42"/>
      <c r="Y45" s="148"/>
      <c r="Z45" s="139"/>
      <c r="AA45" s="139"/>
      <c r="AB45" s="150"/>
      <c r="AC45" s="42"/>
      <c r="AD45" s="148"/>
      <c r="AE45" s="139"/>
      <c r="AF45" s="139"/>
      <c r="AG45" s="150"/>
      <c r="AH45" s="42"/>
      <c r="AI45" s="148"/>
      <c r="AJ45" s="139"/>
      <c r="AK45" s="139"/>
      <c r="AL45" s="150"/>
      <c r="AM45" s="42"/>
      <c r="AN45" s="148"/>
      <c r="AO45" s="139"/>
      <c r="AP45" s="139"/>
      <c r="AQ45" s="150"/>
      <c r="AR45" s="42"/>
      <c r="AS45" s="148"/>
      <c r="AT45" s="139"/>
      <c r="AU45" s="139"/>
      <c r="AV45" s="150"/>
      <c r="AW45" s="42"/>
      <c r="AX45" s="148"/>
      <c r="AY45" s="139"/>
      <c r="AZ45" s="139"/>
      <c r="BA45" s="119"/>
      <c r="BB45" s="42"/>
      <c r="BC45" s="148"/>
      <c r="BD45" s="139"/>
      <c r="BE45" s="139"/>
      <c r="BF45" s="119"/>
      <c r="BG45" s="42"/>
      <c r="BH45" s="148"/>
      <c r="BI45" s="139"/>
      <c r="BJ45" s="139"/>
      <c r="BK45" s="119"/>
      <c r="BL45" s="42"/>
      <c r="BM45" s="148"/>
      <c r="BN45" s="139"/>
      <c r="BO45" s="139"/>
      <c r="BP45" s="119"/>
      <c r="BQ45" s="42"/>
      <c r="BT45" s="525"/>
      <c r="BU45" s="525"/>
      <c r="BV45" s="525"/>
      <c r="BW45" s="525"/>
      <c r="BX45" s="525"/>
      <c r="BY45" s="525"/>
      <c r="BZ45" s="525"/>
      <c r="CA45" s="525"/>
    </row>
    <row r="46" spans="2:79" x14ac:dyDescent="0.2">
      <c r="C46" s="26" t="s">
        <v>135</v>
      </c>
      <c r="D46" s="82"/>
      <c r="E46" s="121">
        <f t="shared" ref="E46:Q46" si="71">+E39-E44</f>
        <v>262.9430000000005</v>
      </c>
      <c r="F46" s="122">
        <f t="shared" si="71"/>
        <v>174.90999999999974</v>
      </c>
      <c r="G46" s="122">
        <f t="shared" si="71"/>
        <v>357.40299999999991</v>
      </c>
      <c r="H46" s="123">
        <f t="shared" si="71"/>
        <v>261.58200000000005</v>
      </c>
      <c r="I46" s="86">
        <f t="shared" si="71"/>
        <v>1056.8380000000002</v>
      </c>
      <c r="J46" s="121">
        <f t="shared" si="71"/>
        <v>289.23799999999994</v>
      </c>
      <c r="K46" s="122">
        <f t="shared" si="71"/>
        <v>212.49100000000007</v>
      </c>
      <c r="L46" s="122">
        <f t="shared" si="71"/>
        <v>478.68800000000022</v>
      </c>
      <c r="M46" s="123">
        <f t="shared" si="71"/>
        <v>208.17399999999984</v>
      </c>
      <c r="N46" s="86">
        <f t="shared" si="71"/>
        <v>1188.5910000000008</v>
      </c>
      <c r="O46" s="121">
        <f t="shared" si="71"/>
        <v>315.46800000000002</v>
      </c>
      <c r="P46" s="122">
        <f t="shared" si="71"/>
        <v>243.20399999999955</v>
      </c>
      <c r="Q46" s="122">
        <f t="shared" si="71"/>
        <v>531.59900000000005</v>
      </c>
      <c r="R46" s="123">
        <f t="shared" ref="R46:Y46" si="72">+R39-R44</f>
        <v>219.41900000000021</v>
      </c>
      <c r="S46" s="86">
        <f t="shared" si="72"/>
        <v>1309.6899999999991</v>
      </c>
      <c r="T46" s="121">
        <f t="shared" si="72"/>
        <v>259.28400000000028</v>
      </c>
      <c r="U46" s="122">
        <f t="shared" si="72"/>
        <v>284.87599999999958</v>
      </c>
      <c r="V46" s="122">
        <f t="shared" si="72"/>
        <v>600.99200000000019</v>
      </c>
      <c r="W46" s="123">
        <f t="shared" si="72"/>
        <v>210.25000000000131</v>
      </c>
      <c r="X46" s="86">
        <f t="shared" si="72"/>
        <v>1355.402000000001</v>
      </c>
      <c r="Y46" s="121">
        <f t="shared" si="72"/>
        <v>355.02199999999937</v>
      </c>
      <c r="Z46" s="122">
        <f t="shared" ref="Z46:AF46" si="73">+Z39-Z44</f>
        <v>295.77499999999986</v>
      </c>
      <c r="AA46" s="122">
        <f t="shared" si="73"/>
        <v>557.88500000000033</v>
      </c>
      <c r="AB46" s="123">
        <f t="shared" si="73"/>
        <v>223.52799999999911</v>
      </c>
      <c r="AC46" s="86">
        <f t="shared" si="73"/>
        <v>1432.2100000000003</v>
      </c>
      <c r="AD46" s="121">
        <f t="shared" si="73"/>
        <v>396.99200000000025</v>
      </c>
      <c r="AE46" s="122">
        <f t="shared" si="73"/>
        <v>299.42200000000003</v>
      </c>
      <c r="AF46" s="122">
        <f t="shared" si="73"/>
        <v>564.55099999999993</v>
      </c>
      <c r="AG46" s="123">
        <f t="shared" ref="AG46:AM46" si="74">+AG39-AG44</f>
        <v>284.15599999999915</v>
      </c>
      <c r="AH46" s="86">
        <f t="shared" si="74"/>
        <v>1545.1209999999976</v>
      </c>
      <c r="AI46" s="121">
        <f t="shared" si="74"/>
        <v>235.64600000000002</v>
      </c>
      <c r="AJ46" s="122">
        <f t="shared" si="74"/>
        <v>306.81200000000024</v>
      </c>
      <c r="AK46" s="122">
        <f t="shared" si="74"/>
        <v>665.49199999999996</v>
      </c>
      <c r="AL46" s="123">
        <f t="shared" si="74"/>
        <v>319.25400000000116</v>
      </c>
      <c r="AM46" s="86">
        <f t="shared" si="74"/>
        <v>1527.2040000000002</v>
      </c>
      <c r="AN46" s="121">
        <f>+AN39-AN44</f>
        <v>369.96200000000033</v>
      </c>
      <c r="AO46" s="122">
        <f>+AO39-AO44</f>
        <v>301.19199999999967</v>
      </c>
      <c r="AP46" s="122">
        <f t="shared" ref="AP46:AU46" si="75">+AP39-AP44</f>
        <v>696.20700000000011</v>
      </c>
      <c r="AQ46" s="123">
        <f t="shared" si="75"/>
        <v>337.2350000000003</v>
      </c>
      <c r="AR46" s="86">
        <f t="shared" si="75"/>
        <v>1704.5960000000032</v>
      </c>
      <c r="AS46" s="121">
        <f>+AS39-AS44</f>
        <v>355.94100000000003</v>
      </c>
      <c r="AT46" s="122">
        <f>+AT39-AT44</f>
        <v>329.64500000000004</v>
      </c>
      <c r="AU46" s="122">
        <f t="shared" si="75"/>
        <v>696.93200000000002</v>
      </c>
      <c r="AV46" s="123">
        <f t="shared" ref="AV46:AW46" si="76">+AV39-AV44</f>
        <v>307.48200000000088</v>
      </c>
      <c r="AW46" s="86">
        <f t="shared" si="76"/>
        <v>1690</v>
      </c>
      <c r="AX46" s="121">
        <f t="shared" ref="AX46:BG46" si="77">+AX39-AX44</f>
        <v>364.42602110376288</v>
      </c>
      <c r="AY46" s="122">
        <f t="shared" si="77"/>
        <v>309.28728251487121</v>
      </c>
      <c r="AZ46" s="122">
        <f t="shared" si="77"/>
        <v>595.91021439298663</v>
      </c>
      <c r="BA46" s="123">
        <f t="shared" si="77"/>
        <v>285.85960576606817</v>
      </c>
      <c r="BB46" s="86">
        <f t="shared" si="77"/>
        <v>1555.4831237776882</v>
      </c>
      <c r="BC46" s="121">
        <f t="shared" si="77"/>
        <v>403.31054095080378</v>
      </c>
      <c r="BD46" s="122">
        <f t="shared" si="77"/>
        <v>335.7341418161559</v>
      </c>
      <c r="BE46" s="122">
        <f t="shared" si="77"/>
        <v>631.79728291556989</v>
      </c>
      <c r="BF46" s="123">
        <f t="shared" si="77"/>
        <v>310.95935639419315</v>
      </c>
      <c r="BG46" s="86">
        <f t="shared" si="77"/>
        <v>1681.8013220767218</v>
      </c>
      <c r="BH46" s="121">
        <f t="shared" ref="BH46:BQ46" si="78">+BH39-BH44</f>
        <v>424.3263469559995</v>
      </c>
      <c r="BI46" s="122">
        <f t="shared" si="78"/>
        <v>351.21127497613287</v>
      </c>
      <c r="BJ46" s="122">
        <f t="shared" si="78"/>
        <v>655.19816746279685</v>
      </c>
      <c r="BK46" s="123">
        <f t="shared" si="78"/>
        <v>335.29310441169986</v>
      </c>
      <c r="BL46" s="86">
        <f t="shared" si="78"/>
        <v>1766.0288938066296</v>
      </c>
      <c r="BM46" s="121">
        <f t="shared" si="78"/>
        <v>453.19960067320261</v>
      </c>
      <c r="BN46" s="122">
        <f t="shared" si="78"/>
        <v>378.87293105183755</v>
      </c>
      <c r="BO46" s="122">
        <f t="shared" si="78"/>
        <v>690.38808684296623</v>
      </c>
      <c r="BP46" s="123">
        <f t="shared" si="78"/>
        <v>366.33975805420584</v>
      </c>
      <c r="BQ46" s="86">
        <f t="shared" si="78"/>
        <v>1888.8003766222141</v>
      </c>
      <c r="BT46" s="525"/>
      <c r="BU46" s="525"/>
      <c r="BV46" s="525"/>
      <c r="BW46" s="525"/>
      <c r="BX46" s="525"/>
      <c r="BY46" s="525"/>
      <c r="BZ46" s="525"/>
      <c r="CA46" s="525"/>
    </row>
    <row r="47" spans="2:79" x14ac:dyDescent="0.2">
      <c r="D47" s="42"/>
      <c r="E47" s="120"/>
      <c r="F47" s="139"/>
      <c r="G47" s="139"/>
      <c r="H47" s="119"/>
      <c r="I47" s="42"/>
      <c r="J47" s="120"/>
      <c r="K47" s="139"/>
      <c r="L47" s="139"/>
      <c r="M47" s="119"/>
      <c r="N47" s="42"/>
      <c r="O47" s="120"/>
      <c r="P47" s="139"/>
      <c r="Q47" s="139"/>
      <c r="R47" s="119"/>
      <c r="S47" s="42"/>
      <c r="T47" s="120"/>
      <c r="U47" s="139"/>
      <c r="V47" s="139"/>
      <c r="W47" s="119"/>
      <c r="X47" s="42"/>
      <c r="Y47" s="120"/>
      <c r="Z47" s="139"/>
      <c r="AA47" s="139"/>
      <c r="AB47" s="119"/>
      <c r="AC47" s="42"/>
      <c r="AD47" s="120"/>
      <c r="AE47" s="139"/>
      <c r="AF47" s="139"/>
      <c r="AG47" s="119"/>
      <c r="AH47" s="42"/>
      <c r="AI47" s="120"/>
      <c r="AJ47" s="139"/>
      <c r="AK47" s="139"/>
      <c r="AL47" s="119"/>
      <c r="AM47" s="42"/>
      <c r="AN47" s="120"/>
      <c r="AO47" s="139"/>
      <c r="AP47" s="139"/>
      <c r="AQ47" s="119"/>
      <c r="AR47" s="42"/>
      <c r="AS47" s="120"/>
      <c r="AT47" s="139"/>
      <c r="AU47" s="139"/>
      <c r="AV47" s="119"/>
      <c r="AW47" s="42"/>
      <c r="AX47" s="120"/>
      <c r="AY47" s="139"/>
      <c r="AZ47" s="139"/>
      <c r="BA47" s="119"/>
      <c r="BB47" s="42"/>
      <c r="BC47" s="120"/>
      <c r="BD47" s="139"/>
      <c r="BE47" s="139"/>
      <c r="BF47" s="119"/>
      <c r="BG47" s="42"/>
      <c r="BH47" s="120"/>
      <c r="BI47" s="139"/>
      <c r="BJ47" s="139"/>
      <c r="BK47" s="119"/>
      <c r="BL47" s="42"/>
      <c r="BM47" s="120"/>
      <c r="BN47" s="139"/>
      <c r="BO47" s="139"/>
      <c r="BP47" s="119"/>
      <c r="BQ47" s="42"/>
      <c r="BT47" s="525"/>
      <c r="BU47" s="525"/>
      <c r="BV47" s="525"/>
      <c r="BW47" s="525"/>
      <c r="BX47" s="525"/>
      <c r="BY47" s="525"/>
      <c r="BZ47" s="525"/>
      <c r="CA47" s="525"/>
    </row>
    <row r="48" spans="2:79" x14ac:dyDescent="0.2">
      <c r="C48" t="s">
        <v>136</v>
      </c>
      <c r="D48" s="42"/>
      <c r="E48" s="114">
        <v>87.125</v>
      </c>
      <c r="F48" s="115">
        <v>57.845999999999997</v>
      </c>
      <c r="G48" s="115">
        <v>135.61000000000001</v>
      </c>
      <c r="H48" s="131">
        <f>I48-SUM(E48:G48)</f>
        <v>90.733000000000004</v>
      </c>
      <c r="I48" s="117">
        <v>371.31400000000002</v>
      </c>
      <c r="J48" s="114">
        <v>121.898</v>
      </c>
      <c r="K48" s="115">
        <v>76.866</v>
      </c>
      <c r="L48" s="115">
        <v>166.2</v>
      </c>
      <c r="M48" s="131">
        <f>N48-SUM(J48:L48)</f>
        <v>71.670999999999992</v>
      </c>
      <c r="N48" s="117">
        <v>436.63499999999999</v>
      </c>
      <c r="O48" s="114">
        <v>112.001</v>
      </c>
      <c r="P48" s="115">
        <v>84.533000000000001</v>
      </c>
      <c r="Q48" s="115">
        <v>193.304</v>
      </c>
      <c r="R48" s="131">
        <f>S48-SUM(O48:Q48)</f>
        <v>78.478000000000009</v>
      </c>
      <c r="S48" s="117">
        <v>468.31599999999997</v>
      </c>
      <c r="T48" s="114">
        <v>75.515000000000001</v>
      </c>
      <c r="U48" s="115">
        <v>101.801</v>
      </c>
      <c r="V48" s="115">
        <v>202.845</v>
      </c>
      <c r="W48" s="131">
        <f>X48-SUM(T48:V48)</f>
        <v>70.041999999999973</v>
      </c>
      <c r="X48" s="117">
        <v>450.20299999999997</v>
      </c>
      <c r="Y48" s="114">
        <v>118.434</v>
      </c>
      <c r="Z48" s="115">
        <v>98.893000000000001</v>
      </c>
      <c r="AA48" s="115">
        <v>193.34899999999999</v>
      </c>
      <c r="AB48" s="131">
        <f>AC48-SUM(Y48:AA48)</f>
        <v>73.300000000000011</v>
      </c>
      <c r="AC48" s="117">
        <v>483.976</v>
      </c>
      <c r="AD48" s="114">
        <v>135.77099999999999</v>
      </c>
      <c r="AE48" s="115">
        <v>104.258</v>
      </c>
      <c r="AF48" s="115">
        <v>195.96899999999999</v>
      </c>
      <c r="AG48" s="131">
        <f>AH48-SUM(AD48:AF48)</f>
        <v>87.817000000000064</v>
      </c>
      <c r="AH48" s="117">
        <v>523.81500000000005</v>
      </c>
      <c r="AI48" s="114">
        <v>83.58</v>
      </c>
      <c r="AJ48" s="115">
        <v>109.881</v>
      </c>
      <c r="AK48" s="115">
        <v>239.029</v>
      </c>
      <c r="AL48" s="131">
        <f>AM48-SUM(AI48:AK48)</f>
        <v>110.22900000000004</v>
      </c>
      <c r="AM48" s="117">
        <v>542.71900000000005</v>
      </c>
      <c r="AN48" s="114">
        <v>128.65</v>
      </c>
      <c r="AO48" s="115">
        <v>104.39700000000001</v>
      </c>
      <c r="AP48" s="115">
        <v>238.41200000000001</v>
      </c>
      <c r="AQ48" s="131">
        <f>AR48-SUM(AN48:AP48)</f>
        <v>109.75799999999992</v>
      </c>
      <c r="AR48" s="117">
        <v>581.21699999999998</v>
      </c>
      <c r="AS48" s="114">
        <v>116.664</v>
      </c>
      <c r="AT48" s="115">
        <v>102.389</v>
      </c>
      <c r="AU48" s="115">
        <v>204.791</v>
      </c>
      <c r="AV48" s="131">
        <f>AW48-SUM(AS48:AU48)</f>
        <v>118.15600000000001</v>
      </c>
      <c r="AW48" s="117">
        <v>542</v>
      </c>
      <c r="AX48" s="120">
        <f t="shared" ref="AX48:BA48" si="79">AX116*(AX46-AX34)</f>
        <v>74.52277765142837</v>
      </c>
      <c r="AY48" s="118">
        <f t="shared" si="79"/>
        <v>62.392255161872207</v>
      </c>
      <c r="AZ48" s="118">
        <f t="shared" si="79"/>
        <v>125.4493001750576</v>
      </c>
      <c r="BA48" s="119">
        <f t="shared" si="79"/>
        <v>57.238166277135541</v>
      </c>
      <c r="BB48" s="42">
        <f>SUM(AX48:BA48)</f>
        <v>319.60249926549369</v>
      </c>
      <c r="BC48" s="120">
        <f>BC116*(BC46-BC34)</f>
        <v>83.002447303257554</v>
      </c>
      <c r="BD48" s="118">
        <f>BD116*(BD46-BD34)</f>
        <v>68.135639493635026</v>
      </c>
      <c r="BE48" s="118">
        <f>BE116*(BE46-BE34)</f>
        <v>133.26953053550608</v>
      </c>
      <c r="BF48" s="119">
        <f>BF116*(BF46-BF34)</f>
        <v>62.685186700803222</v>
      </c>
      <c r="BG48" s="42">
        <f>SUM(BC48:BF48)</f>
        <v>347.0928040332019</v>
      </c>
      <c r="BH48" s="120">
        <f>BH116*(BH46-BH34)</f>
        <v>88.849215546319471</v>
      </c>
      <c r="BI48" s="118">
        <f>BI116*(BI46-BI34)</f>
        <v>72.763899710748817</v>
      </c>
      <c r="BJ48" s="118">
        <f>BJ116*(BJ46-BJ34)</f>
        <v>139.64101605781488</v>
      </c>
      <c r="BK48" s="119">
        <f>BK116*(BK46-BK34)</f>
        <v>69.26190218657355</v>
      </c>
      <c r="BL48" s="42">
        <f>SUM(BH48:BK48)</f>
        <v>370.51603350145666</v>
      </c>
      <c r="BM48" s="120">
        <f>BM116*(BM46-BM34)</f>
        <v>94.914989539217416</v>
      </c>
      <c r="BN48" s="118">
        <f>BN116*(BN46-BN34)</f>
        <v>78.563122222517109</v>
      </c>
      <c r="BO48" s="118">
        <f>BO116*(BO46-BO34)</f>
        <v>147.09645649656542</v>
      </c>
      <c r="BP48" s="119">
        <f>BP116*(BP46-BP34)</f>
        <v>75.805824163038125</v>
      </c>
      <c r="BQ48" s="42">
        <f>SUM(BM48:BP48)</f>
        <v>396.380392421338</v>
      </c>
      <c r="BT48" s="525"/>
      <c r="BU48" s="525"/>
      <c r="BV48" s="525"/>
      <c r="BW48" s="525"/>
      <c r="BX48" s="525"/>
      <c r="BY48" s="525"/>
      <c r="BZ48" s="525"/>
      <c r="CA48" s="525"/>
    </row>
    <row r="49" spans="1:104" x14ac:dyDescent="0.2">
      <c r="D49" s="42"/>
      <c r="E49" s="114"/>
      <c r="F49" s="133"/>
      <c r="G49" s="133"/>
      <c r="H49" s="116"/>
      <c r="I49" s="117"/>
      <c r="J49" s="114"/>
      <c r="K49" s="133"/>
      <c r="L49" s="133"/>
      <c r="M49" s="116"/>
      <c r="N49" s="117"/>
      <c r="O49" s="114"/>
      <c r="P49" s="115"/>
      <c r="Q49" s="221"/>
      <c r="R49" s="116"/>
      <c r="S49" s="117"/>
      <c r="T49" s="114"/>
      <c r="U49" s="115"/>
      <c r="V49" s="221"/>
      <c r="W49" s="116"/>
      <c r="X49" s="117"/>
      <c r="Y49" s="114"/>
      <c r="Z49" s="115"/>
      <c r="AA49" s="221"/>
      <c r="AB49" s="116"/>
      <c r="AC49" s="117"/>
      <c r="AD49" s="114"/>
      <c r="AE49" s="115"/>
      <c r="AF49" s="221"/>
      <c r="AG49" s="116"/>
      <c r="AH49" s="117"/>
      <c r="AI49" s="114"/>
      <c r="AJ49" s="115"/>
      <c r="AK49" s="221"/>
      <c r="AL49" s="116"/>
      <c r="AM49" s="117"/>
      <c r="AN49" s="114"/>
      <c r="AO49" s="115"/>
      <c r="AP49" s="139"/>
      <c r="AQ49" s="116"/>
      <c r="AR49" s="117"/>
      <c r="AS49" s="114"/>
      <c r="AT49" s="115"/>
      <c r="AU49" s="139"/>
      <c r="AV49" s="116"/>
      <c r="AW49" s="117"/>
      <c r="AX49" s="120"/>
      <c r="AY49" s="139"/>
      <c r="AZ49" s="139"/>
      <c r="BA49" s="119"/>
      <c r="BB49" s="42"/>
      <c r="BC49" s="120"/>
      <c r="BD49" s="139"/>
      <c r="BE49" s="139"/>
      <c r="BF49" s="119"/>
      <c r="BG49" s="42"/>
      <c r="BH49" s="120"/>
      <c r="BI49" s="139"/>
      <c r="BJ49" s="139"/>
      <c r="BK49" s="119"/>
      <c r="BL49" s="42"/>
      <c r="BM49" s="120"/>
      <c r="BN49" s="139"/>
      <c r="BO49" s="139"/>
      <c r="BP49" s="119"/>
      <c r="BQ49" s="42"/>
      <c r="BT49" s="525"/>
      <c r="BU49" s="525"/>
      <c r="BV49" s="525"/>
      <c r="BW49" s="525"/>
      <c r="BX49" s="525"/>
      <c r="BY49" s="525"/>
      <c r="BZ49" s="525"/>
      <c r="CA49" s="525"/>
    </row>
    <row r="50" spans="1:104" x14ac:dyDescent="0.2">
      <c r="C50" s="26" t="s">
        <v>137</v>
      </c>
      <c r="D50" s="86"/>
      <c r="E50" s="121">
        <f t="shared" ref="E50:Q50" si="80">E46-E48</f>
        <v>175.8180000000005</v>
      </c>
      <c r="F50" s="122">
        <f t="shared" si="80"/>
        <v>117.06399999999974</v>
      </c>
      <c r="G50" s="122">
        <f t="shared" si="80"/>
        <v>221.79299999999989</v>
      </c>
      <c r="H50" s="123">
        <f t="shared" si="80"/>
        <v>170.84900000000005</v>
      </c>
      <c r="I50" s="86">
        <f t="shared" si="80"/>
        <v>685.52400000000011</v>
      </c>
      <c r="J50" s="121">
        <f t="shared" si="80"/>
        <v>167.33999999999995</v>
      </c>
      <c r="K50" s="122">
        <f t="shared" si="80"/>
        <v>135.62500000000006</v>
      </c>
      <c r="L50" s="122">
        <f t="shared" si="80"/>
        <v>312.48800000000023</v>
      </c>
      <c r="M50" s="123">
        <f t="shared" si="80"/>
        <v>136.50299999999984</v>
      </c>
      <c r="N50" s="86">
        <f t="shared" si="80"/>
        <v>751.95600000000081</v>
      </c>
      <c r="O50" s="121">
        <f t="shared" si="80"/>
        <v>203.46700000000001</v>
      </c>
      <c r="P50" s="122">
        <f t="shared" si="80"/>
        <v>158.67099999999954</v>
      </c>
      <c r="Q50" s="122">
        <f t="shared" si="80"/>
        <v>338.29500000000007</v>
      </c>
      <c r="R50" s="123">
        <f t="shared" ref="R50:Y50" si="81">R46-R48</f>
        <v>140.9410000000002</v>
      </c>
      <c r="S50" s="86">
        <f t="shared" si="81"/>
        <v>841.37399999999911</v>
      </c>
      <c r="T50" s="121">
        <f t="shared" si="81"/>
        <v>183.76900000000029</v>
      </c>
      <c r="U50" s="122">
        <f t="shared" si="81"/>
        <v>183.07499999999959</v>
      </c>
      <c r="V50" s="122">
        <f t="shared" si="81"/>
        <v>398.14700000000016</v>
      </c>
      <c r="W50" s="123">
        <f t="shared" si="81"/>
        <v>140.20800000000133</v>
      </c>
      <c r="X50" s="86">
        <f t="shared" si="81"/>
        <v>905.19900000000098</v>
      </c>
      <c r="Y50" s="121">
        <f t="shared" si="81"/>
        <v>236.58799999999937</v>
      </c>
      <c r="Z50" s="122">
        <f t="shared" ref="Z50:AF50" si="82">Z46-Z48</f>
        <v>196.88199999999986</v>
      </c>
      <c r="AA50" s="122">
        <f t="shared" si="82"/>
        <v>364.53600000000034</v>
      </c>
      <c r="AB50" s="123">
        <f t="shared" si="82"/>
        <v>150.2279999999991</v>
      </c>
      <c r="AC50" s="86">
        <f t="shared" si="82"/>
        <v>948.23400000000026</v>
      </c>
      <c r="AD50" s="121">
        <f t="shared" si="82"/>
        <v>261.22100000000023</v>
      </c>
      <c r="AE50" s="122">
        <f t="shared" si="82"/>
        <v>195.16400000000004</v>
      </c>
      <c r="AF50" s="122">
        <f t="shared" si="82"/>
        <v>368.58199999999994</v>
      </c>
      <c r="AG50" s="123">
        <f t="shared" ref="AG50:AM50" si="83">AG46-AG48</f>
        <v>196.33899999999909</v>
      </c>
      <c r="AH50" s="86">
        <f t="shared" si="83"/>
        <v>1021.3059999999975</v>
      </c>
      <c r="AI50" s="121">
        <f t="shared" si="83"/>
        <v>152.06600000000003</v>
      </c>
      <c r="AJ50" s="122">
        <f t="shared" si="83"/>
        <v>196.93100000000024</v>
      </c>
      <c r="AK50" s="122">
        <f t="shared" si="83"/>
        <v>426.46299999999997</v>
      </c>
      <c r="AL50" s="123">
        <f t="shared" si="83"/>
        <v>209.02500000000111</v>
      </c>
      <c r="AM50" s="86">
        <f t="shared" si="83"/>
        <v>984.48500000000013</v>
      </c>
      <c r="AN50" s="121">
        <f>AN46-AN48</f>
        <v>241.31200000000032</v>
      </c>
      <c r="AO50" s="122">
        <f>AO46-AO48</f>
        <v>196.79499999999967</v>
      </c>
      <c r="AP50" s="122">
        <f t="shared" ref="AP50:AR50" si="84">AP46-AP48</f>
        <v>457.79500000000007</v>
      </c>
      <c r="AQ50" s="123">
        <f t="shared" si="84"/>
        <v>227.47700000000037</v>
      </c>
      <c r="AR50" s="86">
        <f t="shared" si="84"/>
        <v>1123.3790000000031</v>
      </c>
      <c r="AS50" s="121">
        <f>AS46-AS48</f>
        <v>239.27700000000004</v>
      </c>
      <c r="AT50" s="122">
        <f>AT46-AT48</f>
        <v>227.25600000000003</v>
      </c>
      <c r="AU50" s="122">
        <f>AU46-AU48</f>
        <v>492.14100000000002</v>
      </c>
      <c r="AV50" s="123">
        <f t="shared" ref="AV50:AW50" si="85">AV46-AV48</f>
        <v>189.32600000000087</v>
      </c>
      <c r="AW50" s="86">
        <f t="shared" si="85"/>
        <v>1148</v>
      </c>
      <c r="AX50" s="121">
        <f t="shared" ref="AX50:BG50" si="86">AX46-AX48</f>
        <v>289.90324345233449</v>
      </c>
      <c r="AY50" s="122">
        <f t="shared" si="86"/>
        <v>246.89502735299899</v>
      </c>
      <c r="AZ50" s="122">
        <f t="shared" si="86"/>
        <v>470.46091421792903</v>
      </c>
      <c r="BA50" s="123">
        <f t="shared" si="86"/>
        <v>228.62143948893262</v>
      </c>
      <c r="BB50" s="86">
        <f t="shared" si="86"/>
        <v>1235.8806245121946</v>
      </c>
      <c r="BC50" s="121">
        <f t="shared" si="86"/>
        <v>320.30809364754623</v>
      </c>
      <c r="BD50" s="122">
        <f t="shared" si="86"/>
        <v>267.59850232252086</v>
      </c>
      <c r="BE50" s="122">
        <f t="shared" si="86"/>
        <v>498.52775238006382</v>
      </c>
      <c r="BF50" s="123">
        <f t="shared" si="86"/>
        <v>248.27416969338992</v>
      </c>
      <c r="BG50" s="86">
        <f t="shared" si="86"/>
        <v>1334.7085180435199</v>
      </c>
      <c r="BH50" s="121">
        <f t="shared" ref="BH50:BQ50" si="87">BH46-BH48</f>
        <v>335.47713140968006</v>
      </c>
      <c r="BI50" s="122">
        <f t="shared" si="87"/>
        <v>278.44737526538404</v>
      </c>
      <c r="BJ50" s="122">
        <f t="shared" si="87"/>
        <v>515.55715140498194</v>
      </c>
      <c r="BK50" s="123">
        <f t="shared" si="87"/>
        <v>266.03120222512632</v>
      </c>
      <c r="BL50" s="86">
        <f t="shared" si="87"/>
        <v>1395.512860305173</v>
      </c>
      <c r="BM50" s="121">
        <f t="shared" si="87"/>
        <v>358.28461113398521</v>
      </c>
      <c r="BN50" s="122">
        <f t="shared" si="87"/>
        <v>300.30980882932045</v>
      </c>
      <c r="BO50" s="122">
        <f t="shared" si="87"/>
        <v>543.29163034640078</v>
      </c>
      <c r="BP50" s="123">
        <f t="shared" si="87"/>
        <v>290.53393389116775</v>
      </c>
      <c r="BQ50" s="86">
        <f t="shared" si="87"/>
        <v>1492.4199842008761</v>
      </c>
      <c r="BT50" s="525"/>
      <c r="BU50" s="525"/>
      <c r="BV50" s="525"/>
      <c r="BW50" s="525"/>
      <c r="BX50" s="525"/>
      <c r="BY50" s="525"/>
      <c r="BZ50" s="525"/>
      <c r="CA50" s="525"/>
    </row>
    <row r="51" spans="1:104" x14ac:dyDescent="0.2">
      <c r="A51" s="20"/>
      <c r="B51" s="20"/>
      <c r="C51" s="525" t="s">
        <v>476</v>
      </c>
      <c r="E51" s="114">
        <v>-1.7509999999999999</v>
      </c>
      <c r="F51" s="115">
        <v>4.2999999999999997E-2</v>
      </c>
      <c r="G51" s="115">
        <v>-0.96499999999999997</v>
      </c>
      <c r="H51" s="116">
        <f>I51-SUM(E51:G51)</f>
        <v>-1.9639999999999995</v>
      </c>
      <c r="I51" s="117">
        <v>-4.6369999999999996</v>
      </c>
      <c r="J51" s="114">
        <v>-0.222</v>
      </c>
      <c r="K51" s="115">
        <v>4.1509999999999998</v>
      </c>
      <c r="L51" s="115">
        <v>-0.182</v>
      </c>
      <c r="M51" s="116">
        <f>N51-SUM(J51:L51)</f>
        <v>0.13100000000000023</v>
      </c>
      <c r="N51" s="117">
        <v>3.8780000000000001</v>
      </c>
      <c r="O51" s="114">
        <v>0.10199999999999999</v>
      </c>
      <c r="P51" s="115">
        <v>9.0999999999999998E-2</v>
      </c>
      <c r="Q51" s="115">
        <f>0.037-3.26</f>
        <v>-3.2229999999999999</v>
      </c>
      <c r="R51" s="116">
        <f>S51-SUM(O51:Q51)</f>
        <v>2.8279999999999998</v>
      </c>
      <c r="S51" s="117">
        <v>-0.20200000000000001</v>
      </c>
      <c r="T51" s="114">
        <v>0.124</v>
      </c>
      <c r="U51" s="115">
        <v>-1.4999999999999999E-2</v>
      </c>
      <c r="V51" s="115">
        <v>-4.1000000000000002E-2</v>
      </c>
      <c r="W51" s="116">
        <f>X51-SUM(T51:V51)</f>
        <v>-3.8000000000000006E-2</v>
      </c>
      <c r="X51" s="117">
        <v>0.03</v>
      </c>
      <c r="Y51" s="114">
        <v>-1.7999999999999999E-2</v>
      </c>
      <c r="Z51" s="115">
        <v>-2.5000000000000001E-2</v>
      </c>
      <c r="AA51" s="115">
        <v>0.216</v>
      </c>
      <c r="AB51" s="116">
        <f>AC51-SUM(Y51:AA51)</f>
        <v>-0.17299999999999999</v>
      </c>
      <c r="AC51" s="117">
        <v>0</v>
      </c>
      <c r="AD51" s="114">
        <v>0</v>
      </c>
      <c r="AE51" s="115">
        <v>0</v>
      </c>
      <c r="AF51" s="115">
        <v>0</v>
      </c>
      <c r="AG51" s="116">
        <f>AH51-SUM(AD51:AF51)</f>
        <v>0</v>
      </c>
      <c r="AH51" s="117">
        <v>0</v>
      </c>
      <c r="AI51" s="114">
        <v>0</v>
      </c>
      <c r="AJ51" s="115">
        <v>0</v>
      </c>
      <c r="AK51" s="115">
        <v>0</v>
      </c>
      <c r="AL51" s="116">
        <f>AM51-SUM(AI51:AK51)</f>
        <v>0</v>
      </c>
      <c r="AM51" s="117">
        <v>0</v>
      </c>
      <c r="AN51" s="114">
        <v>0</v>
      </c>
      <c r="AO51" s="115">
        <v>0</v>
      </c>
      <c r="AP51" s="115">
        <v>0</v>
      </c>
      <c r="AQ51" s="116">
        <f>AR51-SUM(AN51:AP51)</f>
        <v>0</v>
      </c>
      <c r="AR51" s="117">
        <v>0</v>
      </c>
      <c r="AS51" s="114">
        <v>0</v>
      </c>
      <c r="AT51" s="115">
        <v>0</v>
      </c>
      <c r="AU51" s="115">
        <v>0</v>
      </c>
      <c r="AV51" s="116">
        <f>AW51-SUM(AS51:AU51)</f>
        <v>0</v>
      </c>
      <c r="AW51" s="117">
        <v>0</v>
      </c>
      <c r="AX51" s="136">
        <f>+Parent!AX32</f>
        <v>0</v>
      </c>
      <c r="AY51" s="137">
        <f>+Parent!AY32</f>
        <v>0</v>
      </c>
      <c r="AZ51" s="137">
        <f>+Parent!AZ32</f>
        <v>0</v>
      </c>
      <c r="BA51" s="116">
        <f>+Parent!BA32</f>
        <v>0</v>
      </c>
      <c r="BB51" s="42">
        <f>SUM(AX51:BA51)</f>
        <v>0</v>
      </c>
      <c r="BC51" s="136">
        <f>+Parent!BC32</f>
        <v>0</v>
      </c>
      <c r="BD51" s="137">
        <f>+Parent!BD32</f>
        <v>0</v>
      </c>
      <c r="BE51" s="137">
        <f>+Parent!BE32</f>
        <v>0</v>
      </c>
      <c r="BF51" s="116">
        <f>+Parent!BF32</f>
        <v>0</v>
      </c>
      <c r="BG51" s="42">
        <f>SUM(BC51:BF51)</f>
        <v>0</v>
      </c>
      <c r="BH51" s="136">
        <f>+Parent!BH32</f>
        <v>0</v>
      </c>
      <c r="BI51" s="137">
        <f>+Parent!BI32</f>
        <v>0</v>
      </c>
      <c r="BJ51" s="137">
        <f>+Parent!BJ32</f>
        <v>0</v>
      </c>
      <c r="BK51" s="116">
        <f>+Parent!BK32</f>
        <v>0</v>
      </c>
      <c r="BL51" s="42">
        <f>SUM(BH51:BK51)</f>
        <v>0</v>
      </c>
      <c r="BM51" s="136">
        <f>+Parent!BM32</f>
        <v>0</v>
      </c>
      <c r="BN51" s="137">
        <f>+Parent!BN32</f>
        <v>0</v>
      </c>
      <c r="BO51" s="137">
        <f>+Parent!BO32</f>
        <v>0</v>
      </c>
      <c r="BP51" s="116">
        <f>+Parent!BP32</f>
        <v>0</v>
      </c>
      <c r="BQ51" s="42">
        <f>SUM(BM51:BP51)</f>
        <v>0</v>
      </c>
      <c r="BR51" s="20"/>
      <c r="BS51" s="20"/>
      <c r="BT51" s="573"/>
      <c r="BU51" s="573"/>
      <c r="BV51" s="573"/>
      <c r="BW51" s="573"/>
      <c r="BX51" s="573"/>
      <c r="BY51" s="573"/>
      <c r="BZ51" s="573"/>
      <c r="CA51" s="573"/>
      <c r="CB51" s="20"/>
      <c r="CC51" s="20"/>
      <c r="CK51" s="20"/>
      <c r="CL51" s="20"/>
      <c r="CM51" s="20"/>
      <c r="CN51" s="20"/>
      <c r="CO51" s="20"/>
      <c r="CP51" s="20"/>
      <c r="CQ51" s="20"/>
      <c r="CR51" s="20"/>
      <c r="CS51" s="20"/>
      <c r="CT51" s="20"/>
      <c r="CU51" s="20"/>
      <c r="CV51" s="20"/>
      <c r="CW51" s="20"/>
      <c r="CX51" s="20"/>
      <c r="CY51" s="20"/>
      <c r="CZ51" s="20"/>
    </row>
    <row r="52" spans="1:104" x14ac:dyDescent="0.2">
      <c r="C52" s="20" t="s">
        <v>138</v>
      </c>
      <c r="D52" s="42"/>
      <c r="E52" s="114">
        <v>1.06</v>
      </c>
      <c r="F52" s="115">
        <v>1.06</v>
      </c>
      <c r="G52" s="115">
        <v>1.06</v>
      </c>
      <c r="H52" s="131">
        <f>I52-SUM(E52:G52)</f>
        <v>1.0609999999999995</v>
      </c>
      <c r="I52" s="117">
        <v>4.2409999999999997</v>
      </c>
      <c r="J52" s="114">
        <v>1.06</v>
      </c>
      <c r="K52" s="115">
        <v>1.06</v>
      </c>
      <c r="L52" s="115">
        <v>1.06</v>
      </c>
      <c r="M52" s="131">
        <f>N52-SUM(J52:L52)</f>
        <v>1.0609999999999995</v>
      </c>
      <c r="N52" s="117">
        <v>4.2409999999999997</v>
      </c>
      <c r="O52" s="114">
        <v>1.06</v>
      </c>
      <c r="P52" s="115">
        <v>1.06</v>
      </c>
      <c r="Q52" s="115">
        <f>1.414</f>
        <v>1.4139999999999999</v>
      </c>
      <c r="R52" s="131">
        <f>S52-SUM(O52:Q52)</f>
        <v>3.26</v>
      </c>
      <c r="S52" s="117">
        <f>3.534+3.26</f>
        <v>6.7939999999999996</v>
      </c>
      <c r="T52" s="114">
        <v>0</v>
      </c>
      <c r="U52" s="115">
        <v>0</v>
      </c>
      <c r="V52" s="115">
        <v>0</v>
      </c>
      <c r="W52" s="131">
        <f>X52-SUM(T52:V52)</f>
        <v>0</v>
      </c>
      <c r="X52" s="117">
        <v>0</v>
      </c>
      <c r="Y52" s="114">
        <v>0</v>
      </c>
      <c r="Z52" s="115">
        <v>0</v>
      </c>
      <c r="AA52" s="115">
        <v>0</v>
      </c>
      <c r="AB52" s="131">
        <f>AC52-SUM(Y52:AA52)</f>
        <v>0</v>
      </c>
      <c r="AC52" s="117">
        <v>0</v>
      </c>
      <c r="AD52" s="114">
        <v>0</v>
      </c>
      <c r="AE52" s="115">
        <v>0</v>
      </c>
      <c r="AF52" s="115">
        <v>0</v>
      </c>
      <c r="AG52" s="131">
        <f>AH52-SUM(AD52:AF52)</f>
        <v>0</v>
      </c>
      <c r="AH52" s="117">
        <v>0</v>
      </c>
      <c r="AI52" s="114">
        <v>0</v>
      </c>
      <c r="AJ52" s="115">
        <v>0</v>
      </c>
      <c r="AK52" s="115">
        <v>0</v>
      </c>
      <c r="AL52" s="131">
        <f>AM52-SUM(AI52:AK52)</f>
        <v>0</v>
      </c>
      <c r="AM52" s="117">
        <v>0</v>
      </c>
      <c r="AN52" s="114">
        <v>0</v>
      </c>
      <c r="AO52" s="115">
        <v>0</v>
      </c>
      <c r="AP52" s="115">
        <v>0</v>
      </c>
      <c r="AQ52" s="131">
        <f>AR52-SUM(AN52:AP52)</f>
        <v>0</v>
      </c>
      <c r="AR52" s="117">
        <v>0</v>
      </c>
      <c r="AS52" s="114">
        <v>0</v>
      </c>
      <c r="AT52" s="115">
        <v>0</v>
      </c>
      <c r="AU52" s="115">
        <v>0</v>
      </c>
      <c r="AV52" s="131">
        <f>AW52-SUM(AS52:AU52)</f>
        <v>0</v>
      </c>
      <c r="AW52" s="117">
        <v>0</v>
      </c>
      <c r="AX52" s="676">
        <v>0</v>
      </c>
      <c r="AY52" s="677">
        <v>0</v>
      </c>
      <c r="AZ52" s="677">
        <v>0</v>
      </c>
      <c r="BA52" s="675">
        <v>0</v>
      </c>
      <c r="BB52" s="42">
        <f>SUM(AX52:BA52)</f>
        <v>0</v>
      </c>
      <c r="BC52" s="676">
        <v>0</v>
      </c>
      <c r="BD52" s="677">
        <v>0</v>
      </c>
      <c r="BE52" s="677">
        <v>0</v>
      </c>
      <c r="BF52" s="675">
        <v>0</v>
      </c>
      <c r="BG52" s="42">
        <f>SUM(BC52:BF52)</f>
        <v>0</v>
      </c>
      <c r="BH52" s="676">
        <v>0</v>
      </c>
      <c r="BI52" s="677">
        <v>0</v>
      </c>
      <c r="BJ52" s="677">
        <v>0</v>
      </c>
      <c r="BK52" s="675">
        <v>0</v>
      </c>
      <c r="BL52" s="42">
        <f>SUM(BH52:BK52)</f>
        <v>0</v>
      </c>
      <c r="BM52" s="676">
        <v>0</v>
      </c>
      <c r="BN52" s="677">
        <v>0</v>
      </c>
      <c r="BO52" s="677">
        <v>0</v>
      </c>
      <c r="BP52" s="675">
        <v>0</v>
      </c>
      <c r="BQ52" s="42">
        <f>SUM(BM52:BP52)</f>
        <v>0</v>
      </c>
      <c r="BT52" s="525"/>
      <c r="BU52" s="525"/>
      <c r="BV52" s="525"/>
      <c r="BW52" s="525"/>
      <c r="BX52" s="525"/>
      <c r="BY52" s="525"/>
      <c r="BZ52" s="525"/>
      <c r="CA52" s="525"/>
    </row>
    <row r="53" spans="1:104" x14ac:dyDescent="0.2">
      <c r="D53" s="42"/>
      <c r="E53" s="120"/>
      <c r="F53" s="139"/>
      <c r="G53" s="139"/>
      <c r="H53" s="119"/>
      <c r="I53" s="42"/>
      <c r="J53" s="120"/>
      <c r="K53" s="139"/>
      <c r="L53" s="139"/>
      <c r="M53" s="119"/>
      <c r="N53" s="42"/>
      <c r="O53" s="120"/>
      <c r="P53" s="139"/>
      <c r="Q53" s="139"/>
      <c r="R53" s="119"/>
      <c r="S53" s="42"/>
      <c r="T53" s="120"/>
      <c r="U53" s="139"/>
      <c r="V53" s="139"/>
      <c r="W53" s="119"/>
      <c r="X53" s="42"/>
      <c r="Y53" s="120"/>
      <c r="Z53" s="139"/>
      <c r="AA53" s="139"/>
      <c r="AB53" s="119"/>
      <c r="AC53" s="42"/>
      <c r="AD53" s="120"/>
      <c r="AE53" s="139"/>
      <c r="AF53" s="139"/>
      <c r="AG53" s="119"/>
      <c r="AH53" s="42"/>
      <c r="AI53" s="120"/>
      <c r="AJ53" s="139"/>
      <c r="AK53" s="139"/>
      <c r="AL53" s="119"/>
      <c r="AM53" s="42"/>
      <c r="AN53" s="120"/>
      <c r="AO53" s="139"/>
      <c r="AP53" s="139"/>
      <c r="AQ53" s="119"/>
      <c r="AR53" s="42"/>
      <c r="AS53" s="120"/>
      <c r="AT53" s="139"/>
      <c r="AU53" s="139"/>
      <c r="AV53" s="119"/>
      <c r="AW53" s="42"/>
      <c r="AX53" s="120"/>
      <c r="AY53" s="139"/>
      <c r="AZ53" s="139"/>
      <c r="BA53" s="119"/>
      <c r="BB53" s="42"/>
      <c r="BC53" s="120"/>
      <c r="BD53" s="139"/>
      <c r="BE53" s="139"/>
      <c r="BF53" s="119"/>
      <c r="BG53" s="42"/>
      <c r="BH53" s="120"/>
      <c r="BI53" s="139"/>
      <c r="BJ53" s="139"/>
      <c r="BK53" s="119"/>
      <c r="BL53" s="42"/>
      <c r="BM53" s="120"/>
      <c r="BN53" s="139"/>
      <c r="BO53" s="139"/>
      <c r="BP53" s="119"/>
      <c r="BQ53" s="42"/>
      <c r="BT53" s="525"/>
      <c r="BU53" s="525"/>
      <c r="BV53" s="525"/>
      <c r="BW53" s="525"/>
      <c r="BX53" s="525"/>
      <c r="BY53" s="525"/>
      <c r="BZ53" s="525"/>
      <c r="CA53" s="525"/>
    </row>
    <row r="54" spans="1:104" x14ac:dyDescent="0.2">
      <c r="C54" s="26" t="s">
        <v>139</v>
      </c>
      <c r="D54" s="86"/>
      <c r="E54" s="121">
        <f t="shared" ref="E54:V54" si="88">E50+E51-E52</f>
        <v>173.00700000000049</v>
      </c>
      <c r="F54" s="122">
        <f t="shared" si="88"/>
        <v>116.04699999999974</v>
      </c>
      <c r="G54" s="122">
        <f t="shared" si="88"/>
        <v>219.76799999999989</v>
      </c>
      <c r="H54" s="123">
        <f t="shared" si="88"/>
        <v>167.82400000000004</v>
      </c>
      <c r="I54" s="86">
        <f t="shared" si="88"/>
        <v>676.64600000000019</v>
      </c>
      <c r="J54" s="121">
        <f t="shared" si="88"/>
        <v>166.05799999999994</v>
      </c>
      <c r="K54" s="122">
        <f t="shared" si="88"/>
        <v>138.71600000000007</v>
      </c>
      <c r="L54" s="122">
        <f t="shared" si="88"/>
        <v>311.24600000000021</v>
      </c>
      <c r="M54" s="123">
        <f t="shared" si="88"/>
        <v>135.57299999999984</v>
      </c>
      <c r="N54" s="86">
        <f t="shared" si="88"/>
        <v>751.59300000000087</v>
      </c>
      <c r="O54" s="121">
        <f t="shared" si="88"/>
        <v>202.50900000000001</v>
      </c>
      <c r="P54" s="122">
        <f t="shared" si="88"/>
        <v>157.70199999999954</v>
      </c>
      <c r="Q54" s="122">
        <f t="shared" si="88"/>
        <v>333.65800000000007</v>
      </c>
      <c r="R54" s="123">
        <f t="shared" si="88"/>
        <v>140.50900000000021</v>
      </c>
      <c r="S54" s="86">
        <f t="shared" si="88"/>
        <v>834.37799999999913</v>
      </c>
      <c r="T54" s="121">
        <f t="shared" si="88"/>
        <v>183.89300000000028</v>
      </c>
      <c r="U54" s="122">
        <f t="shared" si="88"/>
        <v>183.0599999999996</v>
      </c>
      <c r="V54" s="122">
        <f t="shared" si="88"/>
        <v>398.10600000000017</v>
      </c>
      <c r="W54" s="123">
        <f t="shared" ref="W54:AD54" si="89">W50+W51-W52</f>
        <v>140.17000000000132</v>
      </c>
      <c r="X54" s="86">
        <f t="shared" si="89"/>
        <v>905.22900000000095</v>
      </c>
      <c r="Y54" s="121">
        <f t="shared" si="89"/>
        <v>236.56999999999937</v>
      </c>
      <c r="Z54" s="122">
        <f t="shared" si="89"/>
        <v>196.85699999999986</v>
      </c>
      <c r="AA54" s="122">
        <f t="shared" si="89"/>
        <v>364.75200000000035</v>
      </c>
      <c r="AB54" s="123">
        <f t="shared" si="89"/>
        <v>150.0549999999991</v>
      </c>
      <c r="AC54" s="86">
        <f t="shared" si="89"/>
        <v>948.23400000000026</v>
      </c>
      <c r="AD54" s="121">
        <f t="shared" si="89"/>
        <v>261.22100000000023</v>
      </c>
      <c r="AE54" s="122">
        <f t="shared" ref="AE54:AM54" si="90">AE50+AE51-AE52</f>
        <v>195.16400000000004</v>
      </c>
      <c r="AF54" s="122">
        <f t="shared" si="90"/>
        <v>368.58199999999994</v>
      </c>
      <c r="AG54" s="123">
        <f t="shared" si="90"/>
        <v>196.33899999999909</v>
      </c>
      <c r="AH54" s="86">
        <f t="shared" si="90"/>
        <v>1021.3059999999975</v>
      </c>
      <c r="AI54" s="121">
        <f t="shared" si="90"/>
        <v>152.06600000000003</v>
      </c>
      <c r="AJ54" s="122">
        <f t="shared" si="90"/>
        <v>196.93100000000024</v>
      </c>
      <c r="AK54" s="122">
        <f t="shared" si="90"/>
        <v>426.46299999999997</v>
      </c>
      <c r="AL54" s="123">
        <f t="shared" si="90"/>
        <v>209.02500000000111</v>
      </c>
      <c r="AM54" s="86">
        <f t="shared" si="90"/>
        <v>984.48500000000013</v>
      </c>
      <c r="AN54" s="121">
        <f>AN50+AN51-AN52</f>
        <v>241.31200000000032</v>
      </c>
      <c r="AO54" s="122">
        <f>AO50+AO51-AO52</f>
        <v>196.79499999999967</v>
      </c>
      <c r="AP54" s="122">
        <f t="shared" ref="AP54:AR54" si="91">AP50+AP51-AP52</f>
        <v>457.79500000000007</v>
      </c>
      <c r="AQ54" s="123">
        <f t="shared" si="91"/>
        <v>227.47700000000037</v>
      </c>
      <c r="AR54" s="86">
        <f t="shared" si="91"/>
        <v>1123.3790000000031</v>
      </c>
      <c r="AS54" s="121">
        <f>AS50+AS51-AS52</f>
        <v>239.27700000000004</v>
      </c>
      <c r="AT54" s="122">
        <f>AT50+AT51-AT52</f>
        <v>227.25600000000003</v>
      </c>
      <c r="AU54" s="122">
        <f>AU50+AU51-AU52</f>
        <v>492.14100000000002</v>
      </c>
      <c r="AV54" s="123">
        <f t="shared" ref="AV54:AW54" si="92">AV50+AV51-AV52</f>
        <v>189.32600000000087</v>
      </c>
      <c r="AW54" s="86">
        <f t="shared" si="92"/>
        <v>1148</v>
      </c>
      <c r="AX54" s="121">
        <f t="shared" ref="AX54:BG54" si="93">AX50+AX51-AX52</f>
        <v>289.90324345233449</v>
      </c>
      <c r="AY54" s="122">
        <f t="shared" si="93"/>
        <v>246.89502735299899</v>
      </c>
      <c r="AZ54" s="122">
        <f t="shared" si="93"/>
        <v>470.46091421792903</v>
      </c>
      <c r="BA54" s="123">
        <f t="shared" si="93"/>
        <v>228.62143948893262</v>
      </c>
      <c r="BB54" s="86">
        <f t="shared" si="93"/>
        <v>1235.8806245121946</v>
      </c>
      <c r="BC54" s="121">
        <f t="shared" si="93"/>
        <v>320.30809364754623</v>
      </c>
      <c r="BD54" s="122">
        <f t="shared" si="93"/>
        <v>267.59850232252086</v>
      </c>
      <c r="BE54" s="122">
        <f t="shared" si="93"/>
        <v>498.52775238006382</v>
      </c>
      <c r="BF54" s="123">
        <f t="shared" si="93"/>
        <v>248.27416969338992</v>
      </c>
      <c r="BG54" s="86">
        <f t="shared" si="93"/>
        <v>1334.7085180435199</v>
      </c>
      <c r="BH54" s="121">
        <f t="shared" ref="BH54:BQ54" si="94">BH50+BH51-BH52</f>
        <v>335.47713140968006</v>
      </c>
      <c r="BI54" s="122">
        <f t="shared" si="94"/>
        <v>278.44737526538404</v>
      </c>
      <c r="BJ54" s="122">
        <f t="shared" si="94"/>
        <v>515.55715140498194</v>
      </c>
      <c r="BK54" s="123">
        <f t="shared" si="94"/>
        <v>266.03120222512632</v>
      </c>
      <c r="BL54" s="86">
        <f t="shared" si="94"/>
        <v>1395.512860305173</v>
      </c>
      <c r="BM54" s="121">
        <f t="shared" si="94"/>
        <v>358.28461113398521</v>
      </c>
      <c r="BN54" s="122">
        <f t="shared" si="94"/>
        <v>300.30980882932045</v>
      </c>
      <c r="BO54" s="122">
        <f t="shared" si="94"/>
        <v>543.29163034640078</v>
      </c>
      <c r="BP54" s="123">
        <f t="shared" si="94"/>
        <v>290.53393389116775</v>
      </c>
      <c r="BQ54" s="86">
        <f t="shared" si="94"/>
        <v>1492.4199842008761</v>
      </c>
      <c r="BT54" s="640"/>
      <c r="BU54" s="525"/>
      <c r="BV54" s="525"/>
      <c r="BW54" s="525"/>
      <c r="BX54" s="525"/>
      <c r="BY54" s="525"/>
      <c r="BZ54" s="525"/>
      <c r="CA54" s="525"/>
    </row>
    <row r="55" spans="1:104" x14ac:dyDescent="0.2">
      <c r="C55" t="s">
        <v>140</v>
      </c>
      <c r="D55" s="42"/>
      <c r="E55" s="136">
        <f>-E51</f>
        <v>1.7509999999999999</v>
      </c>
      <c r="F55" s="135">
        <f>-F51</f>
        <v>-4.2999999999999997E-2</v>
      </c>
      <c r="G55" s="135">
        <f>-G51</f>
        <v>0.96499999999999997</v>
      </c>
      <c r="H55" s="116">
        <f>I55-SUM(E55:G55)</f>
        <v>1.9639999999999995</v>
      </c>
      <c r="I55" s="82">
        <f>-I51</f>
        <v>4.6369999999999996</v>
      </c>
      <c r="J55" s="136">
        <f>-J51</f>
        <v>0.222</v>
      </c>
      <c r="K55" s="135">
        <f>-K51</f>
        <v>-4.1509999999999998</v>
      </c>
      <c r="L55" s="135">
        <f>-L51</f>
        <v>0.182</v>
      </c>
      <c r="M55" s="116">
        <f>N55-SUM(J55:L55)</f>
        <v>-0.13100000000000023</v>
      </c>
      <c r="N55" s="82">
        <f>-N51</f>
        <v>-3.8780000000000001</v>
      </c>
      <c r="O55" s="136">
        <f>-O51</f>
        <v>-0.10199999999999999</v>
      </c>
      <c r="P55" s="135">
        <f>-P51</f>
        <v>-9.0999999999999998E-2</v>
      </c>
      <c r="Q55" s="135">
        <f>-Q51</f>
        <v>3.2229999999999999</v>
      </c>
      <c r="R55" s="116">
        <f>S55-SUM(O55:Q55)</f>
        <v>-2.8279999999999998</v>
      </c>
      <c r="S55" s="82">
        <f>-S51</f>
        <v>0.20200000000000001</v>
      </c>
      <c r="T55" s="114">
        <v>0</v>
      </c>
      <c r="U55" s="135">
        <f>-U51</f>
        <v>1.4999999999999999E-2</v>
      </c>
      <c r="V55" s="115">
        <f>0.041-16.944</f>
        <v>-16.902999999999999</v>
      </c>
      <c r="W55" s="116">
        <f>X55-SUM(T55:V55)</f>
        <v>-8.6000000000002075E-2</v>
      </c>
      <c r="X55" s="117">
        <f>-0.03-16.944</f>
        <v>-16.974</v>
      </c>
      <c r="Y55" s="351">
        <f>-Y51</f>
        <v>1.7999999999999999E-2</v>
      </c>
      <c r="Z55" s="135">
        <f>-Z51</f>
        <v>2.5000000000000001E-2</v>
      </c>
      <c r="AA55" s="115">
        <f>-0.216+19.52</f>
        <v>19.303999999999998</v>
      </c>
      <c r="AB55" s="116">
        <f>AC55-SUM(Y55:AA55)</f>
        <v>0.84400000000000119</v>
      </c>
      <c r="AC55" s="117">
        <v>20.190999999999999</v>
      </c>
      <c r="AD55" s="114">
        <v>0</v>
      </c>
      <c r="AE55" s="115">
        <v>0</v>
      </c>
      <c r="AF55" s="115">
        <v>0</v>
      </c>
      <c r="AG55" s="116">
        <f>AH55-SUM(AD55:AF55)</f>
        <v>0</v>
      </c>
      <c r="AH55" s="117">
        <v>0</v>
      </c>
      <c r="AI55" s="114">
        <v>79.150999999999996</v>
      </c>
      <c r="AJ55" s="115">
        <v>0</v>
      </c>
      <c r="AK55" s="115">
        <v>0</v>
      </c>
      <c r="AL55" s="116">
        <f>AM55-SUM(AI55:AK55)</f>
        <v>-9.9999999999056399E-4</v>
      </c>
      <c r="AM55" s="117">
        <v>79.150000000000006</v>
      </c>
      <c r="AN55" s="114">
        <v>0</v>
      </c>
      <c r="AO55" s="115">
        <v>0</v>
      </c>
      <c r="AP55" s="115">
        <v>0</v>
      </c>
      <c r="AQ55" s="116">
        <f>AR55-SUM(AN55:AP55)</f>
        <v>0</v>
      </c>
      <c r="AR55" s="117">
        <v>0</v>
      </c>
      <c r="AS55" s="114">
        <v>0</v>
      </c>
      <c r="AT55" s="115">
        <v>0</v>
      </c>
      <c r="AU55" s="115">
        <v>0</v>
      </c>
      <c r="AV55" s="116">
        <f>AW55-SUM(AS55:AU55)</f>
        <v>23</v>
      </c>
      <c r="AW55" s="117">
        <v>23</v>
      </c>
      <c r="AX55" s="136">
        <f>'NSP-MN'!AX48+'NSP-WI'!AX47+PSCO!AX48+SPS!AX40+Parent!AX36</f>
        <v>0</v>
      </c>
      <c r="AY55" s="135">
        <f>'NSP-MN'!AY48+'NSP-WI'!AY47+PSCO!AY48+SPS!AY40+Parent!AY36</f>
        <v>0</v>
      </c>
      <c r="AZ55" s="135">
        <f>'NSP-MN'!AZ48+'NSP-WI'!AZ47+PSCO!AZ48+SPS!AZ40+Parent!AZ36</f>
        <v>0</v>
      </c>
      <c r="BA55" s="116">
        <f>'NSP-MN'!BA48+'NSP-WI'!BA47+PSCO!BA48+SPS!BA40+Parent!BA36</f>
        <v>0</v>
      </c>
      <c r="BB55" s="82">
        <f>SUM(AX55:BA55)</f>
        <v>0</v>
      </c>
      <c r="BC55" s="136">
        <f>'NSP-MN'!BC48+'NSP-WI'!BC47+PSCO!BC48+SPS!BC40+Parent!BC36</f>
        <v>0</v>
      </c>
      <c r="BD55" s="135">
        <f>'NSP-MN'!BD48+'NSP-WI'!BD47+PSCO!BD48+SPS!BD40+Parent!BD36</f>
        <v>0</v>
      </c>
      <c r="BE55" s="135">
        <f>'NSP-MN'!BE48+'NSP-WI'!BE47+PSCO!BE48+SPS!BE40+Parent!BE36</f>
        <v>0</v>
      </c>
      <c r="BF55" s="116">
        <f>'NSP-MN'!BF48+'NSP-WI'!BF47+PSCO!BF48+SPS!BF40+Parent!BF36</f>
        <v>0</v>
      </c>
      <c r="BG55" s="82">
        <f>SUM(BC55:BF55)</f>
        <v>0</v>
      </c>
      <c r="BH55" s="136">
        <f>'NSP-MN'!BH48+'NSP-WI'!BH47+PSCO!BH48+SPS!BH40+Parent!BH36</f>
        <v>0</v>
      </c>
      <c r="BI55" s="135">
        <f>'NSP-MN'!BI48+'NSP-WI'!BI47+PSCO!BI48+SPS!BI40+Parent!BI36</f>
        <v>0</v>
      </c>
      <c r="BJ55" s="135">
        <f>'NSP-MN'!BJ48+'NSP-WI'!BJ47+PSCO!BJ48+SPS!BJ40+Parent!BJ36</f>
        <v>0</v>
      </c>
      <c r="BK55" s="116">
        <f>'NSP-MN'!BK48+'NSP-WI'!BK47+PSCO!BK48+SPS!BK40+Parent!BK36</f>
        <v>0</v>
      </c>
      <c r="BL55" s="82">
        <f>SUM(BH55:BK55)</f>
        <v>0</v>
      </c>
      <c r="BM55" s="136">
        <f>'NSP-MN'!BM48+'NSP-WI'!BM47+PSCO!BM48+SPS!BM40+Parent!BM36</f>
        <v>0</v>
      </c>
      <c r="BN55" s="135">
        <f>'NSP-MN'!BN48+'NSP-WI'!BN47+PSCO!BN48+SPS!BN40+Parent!BN36</f>
        <v>0</v>
      </c>
      <c r="BO55" s="135">
        <f>'NSP-MN'!BO48+'NSP-WI'!BO47+PSCO!BO48+SPS!BO40+Parent!BO36</f>
        <v>0</v>
      </c>
      <c r="BP55" s="116">
        <f>'NSP-MN'!BP48+'NSP-WI'!BP47+PSCO!BP48+SPS!BP40+Parent!BP36</f>
        <v>0</v>
      </c>
      <c r="BQ55" s="82">
        <f>SUM(BM55:BP55)</f>
        <v>0</v>
      </c>
      <c r="BT55" s="525"/>
      <c r="BU55" s="525"/>
      <c r="BV55" s="525"/>
      <c r="BW55" s="525"/>
      <c r="BX55" s="525"/>
      <c r="BY55" s="525"/>
      <c r="BZ55" s="525"/>
      <c r="CA55" s="525"/>
    </row>
    <row r="56" spans="1:104" x14ac:dyDescent="0.2">
      <c r="C56" s="26" t="s">
        <v>141</v>
      </c>
      <c r="D56" s="42"/>
      <c r="E56" s="121">
        <f t="shared" ref="E56:O56" si="95">+E54+E55</f>
        <v>174.75800000000049</v>
      </c>
      <c r="F56" s="122">
        <f t="shared" si="95"/>
        <v>116.00399999999973</v>
      </c>
      <c r="G56" s="122">
        <f t="shared" si="95"/>
        <v>220.73299999999989</v>
      </c>
      <c r="H56" s="123">
        <f t="shared" si="95"/>
        <v>169.78800000000004</v>
      </c>
      <c r="I56" s="86">
        <f t="shared" si="95"/>
        <v>681.28300000000013</v>
      </c>
      <c r="J56" s="121">
        <f t="shared" si="95"/>
        <v>166.27999999999994</v>
      </c>
      <c r="K56" s="122">
        <f t="shared" si="95"/>
        <v>134.56500000000005</v>
      </c>
      <c r="L56" s="122">
        <f t="shared" si="95"/>
        <v>311.42800000000022</v>
      </c>
      <c r="M56" s="123">
        <f t="shared" si="95"/>
        <v>135.44199999999984</v>
      </c>
      <c r="N56" s="86">
        <f t="shared" si="95"/>
        <v>747.71500000000083</v>
      </c>
      <c r="O56" s="121">
        <f t="shared" si="95"/>
        <v>202.40700000000001</v>
      </c>
      <c r="P56" s="122">
        <f>P54+P55</f>
        <v>157.61099999999954</v>
      </c>
      <c r="Q56" s="122">
        <f t="shared" ref="Q56:W56" si="96">+Q54+Q55</f>
        <v>336.88100000000009</v>
      </c>
      <c r="R56" s="123">
        <f t="shared" si="96"/>
        <v>137.68100000000021</v>
      </c>
      <c r="S56" s="86">
        <f t="shared" si="96"/>
        <v>834.57999999999913</v>
      </c>
      <c r="T56" s="121">
        <f t="shared" si="96"/>
        <v>183.89300000000028</v>
      </c>
      <c r="U56" s="122">
        <f t="shared" si="96"/>
        <v>183.07499999999959</v>
      </c>
      <c r="V56" s="122">
        <f t="shared" si="96"/>
        <v>381.20300000000015</v>
      </c>
      <c r="W56" s="123">
        <f t="shared" si="96"/>
        <v>140.08400000000131</v>
      </c>
      <c r="X56" s="86">
        <f t="shared" ref="X56:AD56" si="97">+X54+X55</f>
        <v>888.2550000000009</v>
      </c>
      <c r="Y56" s="121">
        <f t="shared" si="97"/>
        <v>236.58799999999937</v>
      </c>
      <c r="Z56" s="122">
        <f t="shared" si="97"/>
        <v>196.88199999999986</v>
      </c>
      <c r="AA56" s="122">
        <f t="shared" si="97"/>
        <v>384.05600000000032</v>
      </c>
      <c r="AB56" s="123">
        <f t="shared" si="97"/>
        <v>150.89899999999909</v>
      </c>
      <c r="AC56" s="86">
        <f t="shared" si="97"/>
        <v>968.4250000000003</v>
      </c>
      <c r="AD56" s="121">
        <f t="shared" si="97"/>
        <v>261.22100000000023</v>
      </c>
      <c r="AE56" s="122">
        <f t="shared" ref="AE56:AJ56" si="98">+AE54+AE55</f>
        <v>195.16400000000004</v>
      </c>
      <c r="AF56" s="122">
        <f t="shared" si="98"/>
        <v>368.58199999999994</v>
      </c>
      <c r="AG56" s="123">
        <f t="shared" si="98"/>
        <v>196.33899999999909</v>
      </c>
      <c r="AH56" s="86">
        <f t="shared" si="98"/>
        <v>1021.3059999999975</v>
      </c>
      <c r="AI56" s="121">
        <f t="shared" si="98"/>
        <v>231.21700000000004</v>
      </c>
      <c r="AJ56" s="122">
        <f t="shared" si="98"/>
        <v>196.93100000000024</v>
      </c>
      <c r="AK56" s="122">
        <f t="shared" ref="AK56:AU56" si="99">+AK54+AK55</f>
        <v>426.46299999999997</v>
      </c>
      <c r="AL56" s="123">
        <f t="shared" si="99"/>
        <v>209.02400000000114</v>
      </c>
      <c r="AM56" s="86">
        <f t="shared" si="99"/>
        <v>1063.6350000000002</v>
      </c>
      <c r="AN56" s="121">
        <f t="shared" si="99"/>
        <v>241.31200000000032</v>
      </c>
      <c r="AO56" s="122">
        <f t="shared" si="99"/>
        <v>196.79499999999967</v>
      </c>
      <c r="AP56" s="122">
        <f t="shared" si="99"/>
        <v>457.79500000000007</v>
      </c>
      <c r="AQ56" s="123">
        <f t="shared" si="99"/>
        <v>227.47700000000037</v>
      </c>
      <c r="AR56" s="86">
        <f t="shared" si="99"/>
        <v>1123.3790000000031</v>
      </c>
      <c r="AS56" s="121">
        <f t="shared" si="99"/>
        <v>239.27700000000004</v>
      </c>
      <c r="AT56" s="122">
        <f t="shared" si="99"/>
        <v>227.25600000000003</v>
      </c>
      <c r="AU56" s="122">
        <f t="shared" si="99"/>
        <v>492.14100000000002</v>
      </c>
      <c r="AV56" s="123">
        <f t="shared" ref="AV56:AW56" si="100">+AV54+AV55</f>
        <v>212.32600000000087</v>
      </c>
      <c r="AW56" s="86">
        <f t="shared" si="100"/>
        <v>1171</v>
      </c>
      <c r="AX56" s="121">
        <f t="shared" ref="AX56:BG56" si="101">+AX54+AX55</f>
        <v>289.90324345233449</v>
      </c>
      <c r="AY56" s="122">
        <f t="shared" si="101"/>
        <v>246.89502735299899</v>
      </c>
      <c r="AZ56" s="122">
        <f t="shared" si="101"/>
        <v>470.46091421792903</v>
      </c>
      <c r="BA56" s="123">
        <f t="shared" si="101"/>
        <v>228.62143948893262</v>
      </c>
      <c r="BB56" s="86">
        <f t="shared" si="101"/>
        <v>1235.8806245121946</v>
      </c>
      <c r="BC56" s="121">
        <f t="shared" si="101"/>
        <v>320.30809364754623</v>
      </c>
      <c r="BD56" s="122">
        <f t="shared" si="101"/>
        <v>267.59850232252086</v>
      </c>
      <c r="BE56" s="122">
        <f t="shared" si="101"/>
        <v>498.52775238006382</v>
      </c>
      <c r="BF56" s="123">
        <f t="shared" si="101"/>
        <v>248.27416969338992</v>
      </c>
      <c r="BG56" s="86">
        <f t="shared" si="101"/>
        <v>1334.7085180435199</v>
      </c>
      <c r="BH56" s="121">
        <f t="shared" ref="BH56:BQ56" si="102">+BH54+BH55</f>
        <v>335.47713140968006</v>
      </c>
      <c r="BI56" s="122">
        <f t="shared" si="102"/>
        <v>278.44737526538404</v>
      </c>
      <c r="BJ56" s="122">
        <f t="shared" si="102"/>
        <v>515.55715140498194</v>
      </c>
      <c r="BK56" s="123">
        <f t="shared" si="102"/>
        <v>266.03120222512632</v>
      </c>
      <c r="BL56" s="86">
        <f t="shared" si="102"/>
        <v>1395.512860305173</v>
      </c>
      <c r="BM56" s="121">
        <f t="shared" si="102"/>
        <v>358.28461113398521</v>
      </c>
      <c r="BN56" s="122">
        <f t="shared" si="102"/>
        <v>300.30980882932045</v>
      </c>
      <c r="BO56" s="122">
        <f t="shared" si="102"/>
        <v>543.29163034640078</v>
      </c>
      <c r="BP56" s="123">
        <f t="shared" si="102"/>
        <v>290.53393389116775</v>
      </c>
      <c r="BQ56" s="86">
        <f t="shared" si="102"/>
        <v>1492.4199842008761</v>
      </c>
      <c r="BT56" s="525"/>
      <c r="BU56" s="525"/>
      <c r="BV56" s="525"/>
      <c r="BW56" s="525"/>
      <c r="BX56" s="525"/>
      <c r="BY56" s="525"/>
      <c r="BZ56" s="525"/>
      <c r="CA56" s="525"/>
    </row>
    <row r="57" spans="1:104" x14ac:dyDescent="0.2">
      <c r="C57" s="26"/>
      <c r="D57" s="42"/>
      <c r="E57" s="120"/>
      <c r="F57" s="139"/>
      <c r="G57" s="139"/>
      <c r="H57" s="119"/>
      <c r="I57" s="86"/>
      <c r="J57" s="120"/>
      <c r="K57" s="139"/>
      <c r="L57" s="139"/>
      <c r="M57" s="119"/>
      <c r="N57" s="86"/>
      <c r="O57" s="120"/>
      <c r="P57" s="139"/>
      <c r="Q57" s="139"/>
      <c r="R57" s="119"/>
      <c r="S57" s="86"/>
      <c r="T57" s="120"/>
      <c r="U57" s="139"/>
      <c r="V57" s="139"/>
      <c r="W57" s="119"/>
      <c r="X57" s="86"/>
      <c r="Y57" s="120"/>
      <c r="Z57" s="139"/>
      <c r="AA57" s="139"/>
      <c r="AB57" s="119"/>
      <c r="AC57" s="86"/>
      <c r="AD57" s="120"/>
      <c r="AE57" s="139"/>
      <c r="AF57" s="139"/>
      <c r="AG57" s="119"/>
      <c r="AH57" s="86"/>
      <c r="AI57" s="120"/>
      <c r="AJ57" s="139"/>
      <c r="AK57" s="139"/>
      <c r="AL57" s="119"/>
      <c r="AM57" s="86"/>
      <c r="AN57" s="120"/>
      <c r="AO57" s="139"/>
      <c r="AP57" s="139"/>
      <c r="AQ57" s="119"/>
      <c r="AR57" s="86"/>
      <c r="AS57" s="120"/>
      <c r="AT57" s="139"/>
      <c r="AU57" s="139"/>
      <c r="AV57" s="119"/>
      <c r="AW57" s="86"/>
      <c r="AX57" s="120"/>
      <c r="AY57" s="139"/>
      <c r="AZ57" s="139"/>
      <c r="BA57" s="119"/>
      <c r="BB57" s="86"/>
      <c r="BC57" s="120"/>
      <c r="BD57" s="139"/>
      <c r="BE57" s="139"/>
      <c r="BF57" s="119"/>
      <c r="BG57" s="86"/>
      <c r="BH57" s="120"/>
      <c r="BI57" s="139"/>
      <c r="BJ57" s="139"/>
      <c r="BK57" s="119"/>
      <c r="BL57" s="86"/>
      <c r="BM57" s="120"/>
      <c r="BN57" s="139"/>
      <c r="BO57" s="139"/>
      <c r="BP57" s="119"/>
      <c r="BQ57" s="86"/>
      <c r="BT57" s="525"/>
      <c r="BU57" s="525"/>
      <c r="BV57" s="525"/>
      <c r="BW57" s="525"/>
      <c r="BX57" s="525"/>
      <c r="BY57" s="525"/>
      <c r="BZ57" s="525"/>
      <c r="CA57" s="525"/>
    </row>
    <row r="58" spans="1:104" x14ac:dyDescent="0.2">
      <c r="C58" s="70" t="s">
        <v>72</v>
      </c>
      <c r="D58" s="42"/>
      <c r="E58" s="114">
        <v>455.25599999999997</v>
      </c>
      <c r="F58" s="115">
        <v>455.71699999999998</v>
      </c>
      <c r="G58" s="115">
        <v>456.25099999999998</v>
      </c>
      <c r="H58" s="131">
        <f>I58</f>
        <v>457.50900000000001</v>
      </c>
      <c r="I58" s="117">
        <v>457.50900000000001</v>
      </c>
      <c r="J58" s="114">
        <v>459.21499999999997</v>
      </c>
      <c r="K58" s="115">
        <v>459.62700000000001</v>
      </c>
      <c r="L58" s="115">
        <v>460.10500000000002</v>
      </c>
      <c r="M58" s="131">
        <f>N58</f>
        <v>482.334</v>
      </c>
      <c r="N58" s="117">
        <v>482.334</v>
      </c>
      <c r="O58" s="114">
        <v>484.16500000000002</v>
      </c>
      <c r="P58" s="115">
        <v>484.54300000000001</v>
      </c>
      <c r="Q58" s="115">
        <v>484.95574299999998</v>
      </c>
      <c r="R58" s="131">
        <f>S58</f>
        <v>486.49393300000003</v>
      </c>
      <c r="S58" s="117">
        <v>486.49393300000003</v>
      </c>
      <c r="T58" s="114">
        <v>486.93599699999999</v>
      </c>
      <c r="U58" s="115">
        <v>487.285506</v>
      </c>
      <c r="V58" s="115">
        <v>487.61288100000002</v>
      </c>
      <c r="W58" s="131">
        <f>X58</f>
        <v>487.95951600000001</v>
      </c>
      <c r="X58" s="117">
        <v>487.95951600000001</v>
      </c>
      <c r="Y58" s="114">
        <v>494.75506100000001</v>
      </c>
      <c r="Z58" s="115">
        <v>497.29571900000002</v>
      </c>
      <c r="AA58" s="115">
        <v>497.62570899999997</v>
      </c>
      <c r="AB58" s="131">
        <f>AC58</f>
        <v>497.97150799999997</v>
      </c>
      <c r="AC58" s="117">
        <v>497.97150799999997</v>
      </c>
      <c r="AD58" s="114">
        <v>501.15161899999998</v>
      </c>
      <c r="AE58" s="115">
        <v>505.10556200000002</v>
      </c>
      <c r="AF58" s="115">
        <v>505.42406699999998</v>
      </c>
      <c r="AG58" s="131">
        <f>AH58</f>
        <v>505.73326700000001</v>
      </c>
      <c r="AH58" s="117">
        <v>505.73326700000001</v>
      </c>
      <c r="AI58" s="114">
        <v>506.66377</v>
      </c>
      <c r="AJ58" s="115">
        <v>506.95939499999997</v>
      </c>
      <c r="AK58" s="115">
        <v>507.26726400000001</v>
      </c>
      <c r="AL58" s="119">
        <f>+AM58</f>
        <v>507.53552300000001</v>
      </c>
      <c r="AM58" s="117">
        <v>507.53552300000001</v>
      </c>
      <c r="AN58" s="114">
        <v>507.95279499999998</v>
      </c>
      <c r="AO58" s="115">
        <v>507.95279499999998</v>
      </c>
      <c r="AP58" s="115">
        <v>507.95279499999998</v>
      </c>
      <c r="AQ58" s="119">
        <f>+AR58</f>
        <v>507.22279500000002</v>
      </c>
      <c r="AR58" s="117">
        <v>507.22279500000002</v>
      </c>
      <c r="AS58" s="114">
        <v>507.76288099999999</v>
      </c>
      <c r="AT58" s="115">
        <v>507.76288099999999</v>
      </c>
      <c r="AU58" s="115">
        <v>507.76288099999999</v>
      </c>
      <c r="AV58" s="119">
        <f>+AW58</f>
        <v>508.06498299999998</v>
      </c>
      <c r="AW58" s="117">
        <v>508.06498299999998</v>
      </c>
      <c r="AX58" s="120">
        <f>+AW58+AX79</f>
        <v>508.50228422671512</v>
      </c>
      <c r="AY58" s="118">
        <f>+AX58+AY79</f>
        <v>508.93958545343025</v>
      </c>
      <c r="AZ58" s="118">
        <f>+AY58+AZ79</f>
        <v>509.37688668014539</v>
      </c>
      <c r="BA58" s="119">
        <f>+AZ58+BA79</f>
        <v>509.81418790686052</v>
      </c>
      <c r="BB58" s="82">
        <f>+BA58</f>
        <v>509.81418790686052</v>
      </c>
      <c r="BC58" s="120">
        <f>+BB58+BC79</f>
        <v>510.25148913357566</v>
      </c>
      <c r="BD58" s="118">
        <f>+BC58+BD79</f>
        <v>510.6887903602908</v>
      </c>
      <c r="BE58" s="118">
        <f>+BD58+BE79</f>
        <v>511.12609158700593</v>
      </c>
      <c r="BF58" s="119">
        <f>+BE58+BF79</f>
        <v>511.56339281372107</v>
      </c>
      <c r="BG58" s="82">
        <f>+BF58</f>
        <v>511.56339281372107</v>
      </c>
      <c r="BH58" s="120">
        <f>+BG58+BH79</f>
        <v>512.0006940404362</v>
      </c>
      <c r="BI58" s="118">
        <f>+BH58+BI79</f>
        <v>512.43799526715134</v>
      </c>
      <c r="BJ58" s="118">
        <f>+BI58+BJ79</f>
        <v>512.87529649386647</v>
      </c>
      <c r="BK58" s="119">
        <f>+BJ58+BK79</f>
        <v>513.31259772058161</v>
      </c>
      <c r="BL58" s="82">
        <f>+BK58</f>
        <v>513.31259772058161</v>
      </c>
      <c r="BM58" s="120">
        <f>+BL58+BM79</f>
        <v>513.74989894729674</v>
      </c>
      <c r="BN58" s="118">
        <f>+BM58+BN79</f>
        <v>514.18720017401188</v>
      </c>
      <c r="BO58" s="118">
        <f>+BN58+BO79</f>
        <v>514.62450140072701</v>
      </c>
      <c r="BP58" s="119">
        <f>+BO58+BP79</f>
        <v>515.06180262744215</v>
      </c>
      <c r="BQ58" s="82">
        <f>+BP58</f>
        <v>515.06180262744215</v>
      </c>
      <c r="BT58" s="525"/>
      <c r="BU58" s="525"/>
      <c r="BV58" s="525"/>
      <c r="BW58" s="525"/>
      <c r="BX58" s="525"/>
      <c r="BY58" s="525"/>
      <c r="BZ58" s="525"/>
      <c r="CA58" s="525"/>
    </row>
    <row r="59" spans="1:104" x14ac:dyDescent="0.2">
      <c r="C59" s="87" t="s">
        <v>73</v>
      </c>
      <c r="D59" s="42"/>
      <c r="E59" s="114">
        <v>455.19200000000001</v>
      </c>
      <c r="F59" s="115">
        <v>456.30700000000002</v>
      </c>
      <c r="G59" s="115">
        <v>456.76900000000001</v>
      </c>
      <c r="H59" s="132">
        <v>457.43400000000003</v>
      </c>
      <c r="I59" s="117">
        <v>456.43299999999999</v>
      </c>
      <c r="J59" s="114">
        <v>458.91800000000001</v>
      </c>
      <c r="K59" s="115">
        <v>460.041</v>
      </c>
      <c r="L59" s="115">
        <v>460.47</v>
      </c>
      <c r="M59" s="132">
        <v>468.68599999999998</v>
      </c>
      <c r="N59" s="117">
        <v>462.05200000000002</v>
      </c>
      <c r="O59" s="114">
        <v>483.64100000000002</v>
      </c>
      <c r="P59" s="115">
        <v>484.91800000000001</v>
      </c>
      <c r="Q59" s="115">
        <v>485.34399999999999</v>
      </c>
      <c r="R59" s="132">
        <v>486.22300000000001</v>
      </c>
      <c r="S59" s="117">
        <v>485.03899999999999</v>
      </c>
      <c r="T59" s="114">
        <v>487.36</v>
      </c>
      <c r="U59" s="115">
        <v>487.71699999999998</v>
      </c>
      <c r="V59" s="115">
        <v>488.084</v>
      </c>
      <c r="W59" s="132">
        <v>488.428</v>
      </c>
      <c r="X59" s="117">
        <v>487.899</v>
      </c>
      <c r="Y59" s="114">
        <v>489.78100000000001</v>
      </c>
      <c r="Z59" s="115">
        <v>497.74700000000001</v>
      </c>
      <c r="AA59" s="115">
        <v>498.149</v>
      </c>
      <c r="AB59" s="132">
        <v>488.428</v>
      </c>
      <c r="AC59" s="117">
        <v>496.07299999999998</v>
      </c>
      <c r="AD59" s="114">
        <v>499.52300000000002</v>
      </c>
      <c r="AE59" s="115">
        <v>503.27199999999999</v>
      </c>
      <c r="AF59" s="115">
        <v>506.08199999999999</v>
      </c>
      <c r="AG59" s="132">
        <v>506.411</v>
      </c>
      <c r="AH59" s="117">
        <v>503.84699999999998</v>
      </c>
      <c r="AI59" s="114">
        <v>506.983</v>
      </c>
      <c r="AJ59" s="115">
        <v>507.70699999999999</v>
      </c>
      <c r="AK59" s="115">
        <v>508.03100000000001</v>
      </c>
      <c r="AL59" s="132">
        <v>508.31200000000001</v>
      </c>
      <c r="AM59" s="117">
        <v>507.76799999999997</v>
      </c>
      <c r="AN59" s="114">
        <v>508.66699999999997</v>
      </c>
      <c r="AO59" s="115">
        <v>508.93</v>
      </c>
      <c r="AP59" s="115">
        <v>508.94099999999997</v>
      </c>
      <c r="AQ59" s="132">
        <v>508.65600000000001</v>
      </c>
      <c r="AR59" s="117">
        <v>508.79399999999998</v>
      </c>
      <c r="AS59" s="114">
        <v>508.27800000000002</v>
      </c>
      <c r="AT59" s="115">
        <v>508.54199999999997</v>
      </c>
      <c r="AU59" s="115">
        <v>508.58100000000002</v>
      </c>
      <c r="AV59" s="132">
        <v>509</v>
      </c>
      <c r="AW59" s="117">
        <v>509</v>
      </c>
      <c r="AX59" s="120">
        <f>AVERAGE(AW58:AX58)</f>
        <v>508.28363361335755</v>
      </c>
      <c r="AY59" s="118">
        <f>AVERAGE(AX58:AY58)</f>
        <v>508.72093484007269</v>
      </c>
      <c r="AZ59" s="118">
        <f>AVERAGE(AY58:AZ58)</f>
        <v>509.15823606678782</v>
      </c>
      <c r="BA59" s="119">
        <f>AVERAGE(AZ58:BA58)</f>
        <v>509.59553729350296</v>
      </c>
      <c r="BB59" s="82">
        <f>AVERAGE(AX59:BA59)</f>
        <v>508.93958545343025</v>
      </c>
      <c r="BC59" s="120">
        <f>AVERAGE(BB58:BC58)</f>
        <v>510.03283852021809</v>
      </c>
      <c r="BD59" s="118">
        <f>AVERAGE(BC58:BD58)</f>
        <v>510.47013974693323</v>
      </c>
      <c r="BE59" s="118">
        <f>AVERAGE(BD58:BE58)</f>
        <v>510.90744097364836</v>
      </c>
      <c r="BF59" s="119">
        <f>AVERAGE(BE58:BF58)</f>
        <v>511.3447422003635</v>
      </c>
      <c r="BG59" s="82">
        <f>AVERAGE(BC59:BF59)</f>
        <v>510.6887903602908</v>
      </c>
      <c r="BH59" s="120">
        <f>AVERAGE(BG58:BH58)</f>
        <v>511.78204342707863</v>
      </c>
      <c r="BI59" s="118">
        <f>AVERAGE(BH58:BI58)</f>
        <v>512.21934465379377</v>
      </c>
      <c r="BJ59" s="118">
        <f>AVERAGE(BI58:BJ58)</f>
        <v>512.6566458805089</v>
      </c>
      <c r="BK59" s="119">
        <f>AVERAGE(BJ58:BK58)</f>
        <v>513.09394710722404</v>
      </c>
      <c r="BL59" s="82">
        <f>AVERAGE(BH59:BK59)</f>
        <v>512.43799526715134</v>
      </c>
      <c r="BM59" s="120">
        <f>AVERAGE(BL58:BM58)</f>
        <v>513.53124833393917</v>
      </c>
      <c r="BN59" s="118">
        <f>AVERAGE(BM58:BN58)</f>
        <v>513.96854956065431</v>
      </c>
      <c r="BO59" s="118">
        <f>AVERAGE(BN58:BO58)</f>
        <v>514.40585078736945</v>
      </c>
      <c r="BP59" s="119">
        <f>AVERAGE(BO58:BP58)</f>
        <v>514.84315201408458</v>
      </c>
      <c r="BQ59" s="82">
        <f>AVERAGE(BM59:BP59)</f>
        <v>514.18720017401188</v>
      </c>
      <c r="BT59" s="525"/>
      <c r="BU59" s="525"/>
      <c r="BV59" s="525"/>
      <c r="BW59" s="525"/>
      <c r="BX59" s="525"/>
      <c r="BY59" s="525"/>
      <c r="BZ59" s="525"/>
      <c r="CA59" s="525"/>
    </row>
    <row r="60" spans="1:104" x14ac:dyDescent="0.2">
      <c r="C60" s="70" t="s">
        <v>75</v>
      </c>
      <c r="D60" s="42"/>
      <c r="E60" s="114">
        <v>455.952</v>
      </c>
      <c r="F60" s="115">
        <v>456.76600000000002</v>
      </c>
      <c r="G60" s="115">
        <v>457.45299999999997</v>
      </c>
      <c r="H60" s="132">
        <v>458.35700000000003</v>
      </c>
      <c r="I60" s="117">
        <v>457.13900000000001</v>
      </c>
      <c r="J60" s="114">
        <v>459.697</v>
      </c>
      <c r="K60" s="115">
        <v>460.43200000000002</v>
      </c>
      <c r="L60" s="115">
        <v>462.01900000000001</v>
      </c>
      <c r="M60" s="132">
        <v>471.32499999999999</v>
      </c>
      <c r="N60" s="117">
        <v>463.39100000000002</v>
      </c>
      <c r="O60" s="114">
        <v>484.30099999999999</v>
      </c>
      <c r="P60" s="115">
        <v>485.24099999999999</v>
      </c>
      <c r="Q60" s="115">
        <v>485.89400000000001</v>
      </c>
      <c r="R60" s="132">
        <v>486.99099999999999</v>
      </c>
      <c r="S60" s="117">
        <v>485.61500000000001</v>
      </c>
      <c r="T60" s="114">
        <v>487.995</v>
      </c>
      <c r="U60" s="115">
        <v>488.017</v>
      </c>
      <c r="V60" s="115">
        <v>488.57799999999997</v>
      </c>
      <c r="W60" s="132">
        <v>489.13600000000002</v>
      </c>
      <c r="X60" s="117">
        <v>488.43400000000003</v>
      </c>
      <c r="Y60" s="114">
        <v>490.53100000000001</v>
      </c>
      <c r="Z60" s="115">
        <v>498.036</v>
      </c>
      <c r="AA60" s="115">
        <v>498.64100000000002</v>
      </c>
      <c r="AB60" s="132">
        <v>489.13600000000002</v>
      </c>
      <c r="AC60" s="117">
        <v>496.53199999999998</v>
      </c>
      <c r="AD60" s="114">
        <v>499.74599999999998</v>
      </c>
      <c r="AE60" s="115">
        <v>503.45600000000002</v>
      </c>
      <c r="AF60" s="115">
        <v>506.36500000000001</v>
      </c>
      <c r="AG60" s="132">
        <v>506.79899999999998</v>
      </c>
      <c r="AH60" s="117">
        <v>504.11700000000002</v>
      </c>
      <c r="AI60" s="114">
        <v>507.39299999999997</v>
      </c>
      <c r="AJ60" s="115">
        <v>508.07400000000001</v>
      </c>
      <c r="AK60" s="115">
        <v>508.42700000000002</v>
      </c>
      <c r="AL60" s="132">
        <v>508.738</v>
      </c>
      <c r="AM60" s="117">
        <v>508.16800000000001</v>
      </c>
      <c r="AN60" s="114">
        <v>509.15</v>
      </c>
      <c r="AO60" s="115">
        <v>509.49</v>
      </c>
      <c r="AP60" s="115">
        <v>509.56599999999997</v>
      </c>
      <c r="AQ60" s="132">
        <v>509.42099999999999</v>
      </c>
      <c r="AR60" s="117">
        <v>509.46499999999997</v>
      </c>
      <c r="AS60" s="114">
        <v>508.774</v>
      </c>
      <c r="AT60" s="115">
        <v>509.13499999999999</v>
      </c>
      <c r="AU60" s="115">
        <v>509.24200000000002</v>
      </c>
      <c r="AV60" s="132">
        <v>509</v>
      </c>
      <c r="AW60" s="117">
        <v>509</v>
      </c>
      <c r="AX60" s="120">
        <f>AX59+(AV60-AV59)</f>
        <v>508.28363361335755</v>
      </c>
      <c r="AY60" s="118">
        <f>AY59+(AX60-AX59)</f>
        <v>508.72093484007269</v>
      </c>
      <c r="AZ60" s="118">
        <f>AZ59+(AY60-AY59)</f>
        <v>509.15823606678782</v>
      </c>
      <c r="BA60" s="119">
        <f>BA59+(AZ60-AZ59)</f>
        <v>509.59553729350296</v>
      </c>
      <c r="BB60" s="82">
        <f>AVERAGE(AX60:BA60)</f>
        <v>508.93958545343025</v>
      </c>
      <c r="BC60" s="120">
        <f>BC59+(BA60-BA59)</f>
        <v>510.03283852021809</v>
      </c>
      <c r="BD60" s="118">
        <f>BD59+(BC60-BC59)</f>
        <v>510.47013974693323</v>
      </c>
      <c r="BE60" s="118">
        <f>BE59+(BD60-BD59)</f>
        <v>510.90744097364836</v>
      </c>
      <c r="BF60" s="119">
        <f>BF59+(BE60-BE59)</f>
        <v>511.3447422003635</v>
      </c>
      <c r="BG60" s="82">
        <f>AVERAGE(BC60:BF60)</f>
        <v>510.6887903602908</v>
      </c>
      <c r="BH60" s="120">
        <f>BH59+(BF60-BF59)</f>
        <v>511.78204342707863</v>
      </c>
      <c r="BI60" s="118">
        <f>BI59+(BH60-BH59)</f>
        <v>512.21934465379377</v>
      </c>
      <c r="BJ60" s="118">
        <f>BJ59+(BI60-BI59)</f>
        <v>512.6566458805089</v>
      </c>
      <c r="BK60" s="119">
        <f>BK59+(BJ60-BJ59)</f>
        <v>513.09394710722404</v>
      </c>
      <c r="BL60" s="82">
        <f>AVERAGE(BH60:BK60)</f>
        <v>512.43799526715134</v>
      </c>
      <c r="BM60" s="120">
        <f>BM59+(BK60-BK59)</f>
        <v>513.53124833393917</v>
      </c>
      <c r="BN60" s="118">
        <f>BN59+(BM60-BM59)</f>
        <v>513.96854956065431</v>
      </c>
      <c r="BO60" s="118">
        <f>BO59+(BN60-BN59)</f>
        <v>514.40585078736945</v>
      </c>
      <c r="BP60" s="119">
        <f>BP59+(BO60-BO59)</f>
        <v>514.84315201408458</v>
      </c>
      <c r="BQ60" s="82">
        <f>AVERAGE(BM60:BP60)</f>
        <v>514.18720017401188</v>
      </c>
      <c r="BT60" s="525"/>
      <c r="BU60" s="525"/>
      <c r="BV60" s="525"/>
      <c r="BW60" s="525"/>
      <c r="BX60" s="525"/>
      <c r="BY60" s="525"/>
      <c r="BZ60" s="525"/>
      <c r="CA60" s="525"/>
    </row>
    <row r="61" spans="1:104" x14ac:dyDescent="0.2">
      <c r="C61" s="26"/>
      <c r="D61" s="42"/>
      <c r="E61" s="120"/>
      <c r="F61" s="139"/>
      <c r="G61" s="139"/>
      <c r="H61" s="119"/>
      <c r="I61" s="42"/>
      <c r="J61" s="120"/>
      <c r="K61" s="139"/>
      <c r="L61" s="139"/>
      <c r="M61" s="119"/>
      <c r="N61" s="42"/>
      <c r="O61" s="120"/>
      <c r="P61" s="139"/>
      <c r="Q61" s="139"/>
      <c r="R61" s="119"/>
      <c r="S61" s="42"/>
      <c r="T61" s="120"/>
      <c r="U61" s="139"/>
      <c r="V61" s="139"/>
      <c r="W61" s="119"/>
      <c r="X61" s="42"/>
      <c r="Y61" s="120"/>
      <c r="Z61" s="139"/>
      <c r="AA61" s="139"/>
      <c r="AB61" s="119"/>
      <c r="AC61" s="42"/>
      <c r="AD61" s="120"/>
      <c r="AE61" s="139"/>
      <c r="AF61" s="139"/>
      <c r="AG61" s="119"/>
      <c r="AH61" s="42"/>
      <c r="AI61" s="120"/>
      <c r="AJ61" s="139"/>
      <c r="AK61" s="139"/>
      <c r="AL61" s="119"/>
      <c r="AM61" s="42"/>
      <c r="AN61" s="120"/>
      <c r="AO61" s="139"/>
      <c r="AP61" s="139"/>
      <c r="AQ61" s="119"/>
      <c r="AR61" s="42"/>
      <c r="AS61" s="120"/>
      <c r="AT61" s="139"/>
      <c r="AU61" s="139"/>
      <c r="AV61" s="119"/>
      <c r="AW61" s="42"/>
      <c r="AX61" s="120"/>
      <c r="AY61" s="139"/>
      <c r="AZ61" s="139"/>
      <c r="BA61" s="119"/>
      <c r="BB61" s="42"/>
      <c r="BC61" s="120"/>
      <c r="BD61" s="139"/>
      <c r="BE61" s="139"/>
      <c r="BF61" s="119"/>
      <c r="BG61" s="42"/>
      <c r="BH61" s="120"/>
      <c r="BI61" s="139"/>
      <c r="BJ61" s="139"/>
      <c r="BK61" s="119"/>
      <c r="BL61" s="42"/>
      <c r="BM61" s="120"/>
      <c r="BN61" s="139"/>
      <c r="BO61" s="139"/>
      <c r="BP61" s="119"/>
      <c r="BQ61" s="42"/>
      <c r="BT61" s="525"/>
      <c r="BU61" s="525"/>
      <c r="BV61" s="525"/>
      <c r="BW61" s="525"/>
      <c r="BX61" s="525"/>
      <c r="BY61" s="525"/>
      <c r="BZ61" s="525"/>
      <c r="CA61" s="525"/>
    </row>
    <row r="62" spans="1:104" x14ac:dyDescent="0.2">
      <c r="A62" s="20"/>
      <c r="B62" s="20"/>
      <c r="C62" s="20" t="s">
        <v>142</v>
      </c>
      <c r="D62" s="20"/>
      <c r="E62" s="151">
        <f t="shared" ref="E62:AM62" si="103">+E54/E60</f>
        <v>0.37944125697441944</v>
      </c>
      <c r="F62" s="152">
        <f t="shared" si="103"/>
        <v>0.25406225507152402</v>
      </c>
      <c r="G62" s="152">
        <f t="shared" si="103"/>
        <v>0.4804165673850645</v>
      </c>
      <c r="H62" s="153">
        <f t="shared" si="103"/>
        <v>0.36614254827568909</v>
      </c>
      <c r="I62" s="154">
        <f t="shared" si="103"/>
        <v>1.4801756139817432</v>
      </c>
      <c r="J62" s="151">
        <f t="shared" si="103"/>
        <v>0.36123359517247217</v>
      </c>
      <c r="K62" s="152">
        <f t="shared" si="103"/>
        <v>0.30127358654481023</v>
      </c>
      <c r="L62" s="152">
        <f t="shared" si="103"/>
        <v>0.67366493585761666</v>
      </c>
      <c r="M62" s="153">
        <f t="shared" si="103"/>
        <v>0.28764228504747219</v>
      </c>
      <c r="N62" s="154">
        <f t="shared" si="103"/>
        <v>1.6219412979535659</v>
      </c>
      <c r="O62" s="151">
        <f t="shared" si="103"/>
        <v>0.41814697884167085</v>
      </c>
      <c r="P62" s="152">
        <f t="shared" si="103"/>
        <v>0.32499726939809198</v>
      </c>
      <c r="Q62" s="152">
        <f t="shared" si="103"/>
        <v>0.68668886629594128</v>
      </c>
      <c r="R62" s="153">
        <f t="shared" si="103"/>
        <v>0.28852483926807726</v>
      </c>
      <c r="S62" s="154">
        <f t="shared" si="103"/>
        <v>1.7181882767212691</v>
      </c>
      <c r="T62" s="151">
        <f>+T54/T60</f>
        <v>0.37683377903462184</v>
      </c>
      <c r="U62" s="152">
        <f t="shared" si="103"/>
        <v>0.3751098834671735</v>
      </c>
      <c r="V62" s="152">
        <f t="shared" si="103"/>
        <v>0.81482588245889132</v>
      </c>
      <c r="W62" s="153">
        <f t="shared" ref="W62:AD62" si="104">+W54/W60</f>
        <v>0.28656651728762822</v>
      </c>
      <c r="X62" s="154">
        <f t="shared" si="104"/>
        <v>1.8533292113161675</v>
      </c>
      <c r="Y62" s="151">
        <f t="shared" si="104"/>
        <v>0.48227329159624849</v>
      </c>
      <c r="Z62" s="152">
        <f t="shared" si="104"/>
        <v>0.39526660723321178</v>
      </c>
      <c r="AA62" s="152">
        <f t="shared" si="104"/>
        <v>0.73149219578815283</v>
      </c>
      <c r="AB62" s="153">
        <f t="shared" si="104"/>
        <v>0.30677562068626946</v>
      </c>
      <c r="AC62" s="154">
        <f t="shared" si="104"/>
        <v>1.9097137747416084</v>
      </c>
      <c r="AD62" s="151">
        <f t="shared" si="104"/>
        <v>0.52270753542799786</v>
      </c>
      <c r="AE62" s="152">
        <f t="shared" si="103"/>
        <v>0.38764857306298872</v>
      </c>
      <c r="AF62" s="152">
        <f t="shared" si="103"/>
        <v>0.72789786023915537</v>
      </c>
      <c r="AG62" s="153">
        <f t="shared" si="103"/>
        <v>0.38740999883582861</v>
      </c>
      <c r="AH62" s="154">
        <f t="shared" si="103"/>
        <v>2.0259304883588483</v>
      </c>
      <c r="AI62" s="151">
        <f t="shared" si="103"/>
        <v>0.29970062653603824</v>
      </c>
      <c r="AJ62" s="152">
        <f>+AJ54/AJ60</f>
        <v>0.387602986966466</v>
      </c>
      <c r="AK62" s="152">
        <f>+AK54/AK60</f>
        <v>0.8387890493620519</v>
      </c>
      <c r="AL62" s="153">
        <f t="shared" si="103"/>
        <v>0.41086964213406729</v>
      </c>
      <c r="AM62" s="154">
        <f t="shared" si="103"/>
        <v>1.9373219092898413</v>
      </c>
      <c r="AN62" s="151">
        <f t="shared" ref="AN62:AW62" si="105">+AN54/AN60</f>
        <v>0.47395070215064389</v>
      </c>
      <c r="AO62" s="152">
        <f t="shared" si="105"/>
        <v>0.38625880782743466</v>
      </c>
      <c r="AP62" s="152">
        <f t="shared" si="105"/>
        <v>0.8984017771986359</v>
      </c>
      <c r="AQ62" s="153">
        <f t="shared" si="105"/>
        <v>0.44654028789547423</v>
      </c>
      <c r="AR62" s="154">
        <f t="shared" si="105"/>
        <v>2.2050170276662837</v>
      </c>
      <c r="AS62" s="151">
        <f>+AS54/AS60</f>
        <v>0.4703011553263336</v>
      </c>
      <c r="AT62" s="152">
        <f>+AT54/AT60</f>
        <v>0.44635705657635016</v>
      </c>
      <c r="AU62" s="152">
        <f>+AU54/AU60</f>
        <v>0.96641871644522648</v>
      </c>
      <c r="AV62" s="153">
        <f t="shared" si="105"/>
        <v>0.37195677799607246</v>
      </c>
      <c r="AW62" s="154">
        <f t="shared" si="105"/>
        <v>2.2554027504911591</v>
      </c>
      <c r="AX62" s="151">
        <f t="shared" ref="AX62:BG62" si="106">+AX54/AX60</f>
        <v>0.57035722632151242</v>
      </c>
      <c r="AY62" s="152">
        <f t="shared" si="106"/>
        <v>0.48532507794399249</v>
      </c>
      <c r="AZ62" s="152">
        <f t="shared" si="106"/>
        <v>0.92399745480345574</v>
      </c>
      <c r="BA62" s="153">
        <f t="shared" si="106"/>
        <v>0.44863312717210369</v>
      </c>
      <c r="BB62" s="154">
        <f t="shared" si="106"/>
        <v>2.4283444633435414</v>
      </c>
      <c r="BC62" s="151">
        <f t="shared" si="106"/>
        <v>0.6280146481878911</v>
      </c>
      <c r="BD62" s="152">
        <f t="shared" si="106"/>
        <v>0.52421969765985421</v>
      </c>
      <c r="BE62" s="152">
        <f t="shared" si="106"/>
        <v>0.97576921453719234</v>
      </c>
      <c r="BF62" s="153">
        <f t="shared" si="106"/>
        <v>0.48553187156094207</v>
      </c>
      <c r="BG62" s="154">
        <f t="shared" si="106"/>
        <v>2.6135457508317019</v>
      </c>
      <c r="BH62" s="151">
        <f t="shared" ref="BH62:BQ62" si="107">+BH54/BH60</f>
        <v>0.65550781962415716</v>
      </c>
      <c r="BI62" s="152">
        <f t="shared" si="107"/>
        <v>0.54360964335227335</v>
      </c>
      <c r="BJ62" s="152">
        <f t="shared" si="107"/>
        <v>1.0056577936671265</v>
      </c>
      <c r="BK62" s="153">
        <f t="shared" si="107"/>
        <v>0.51848439009071434</v>
      </c>
      <c r="BL62" s="154">
        <f t="shared" si="107"/>
        <v>2.7232813983234103</v>
      </c>
      <c r="BM62" s="151">
        <f t="shared" si="107"/>
        <v>0.69768804195728285</v>
      </c>
      <c r="BN62" s="152">
        <f t="shared" si="107"/>
        <v>0.584296080151263</v>
      </c>
      <c r="BO62" s="152">
        <f t="shared" si="107"/>
        <v>1.0561536761582662</v>
      </c>
      <c r="BP62" s="153">
        <f t="shared" si="107"/>
        <v>0.56431542840686288</v>
      </c>
      <c r="BQ62" s="154">
        <f t="shared" si="107"/>
        <v>2.9024837329591429</v>
      </c>
      <c r="BR62" s="20"/>
      <c r="BS62" s="20"/>
      <c r="BT62" s="976"/>
      <c r="BU62" s="573"/>
      <c r="BV62" s="573"/>
      <c r="BW62" s="573"/>
      <c r="BX62" s="573"/>
      <c r="BY62" s="573"/>
      <c r="BZ62" s="573"/>
      <c r="CA62" s="573"/>
      <c r="CB62" s="20"/>
      <c r="CC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</row>
    <row r="63" spans="1:104" x14ac:dyDescent="0.2">
      <c r="C63" s="155" t="s">
        <v>143</v>
      </c>
      <c r="D63" s="156"/>
      <c r="E63" s="157">
        <f t="shared" ref="E63:AM63" si="108">+E56/E60</f>
        <v>0.38328157349896591</v>
      </c>
      <c r="F63" s="76">
        <f t="shared" si="108"/>
        <v>0.25396811496477351</v>
      </c>
      <c r="G63" s="76">
        <f t="shared" si="108"/>
        <v>0.48252607371686251</v>
      </c>
      <c r="H63" s="77">
        <f t="shared" si="108"/>
        <v>0.37042741792969242</v>
      </c>
      <c r="I63" s="158">
        <f t="shared" si="108"/>
        <v>1.4903191370677193</v>
      </c>
      <c r="J63" s="157">
        <f t="shared" si="108"/>
        <v>0.36171652196990617</v>
      </c>
      <c r="K63" s="76">
        <f t="shared" si="108"/>
        <v>0.29225814018139495</v>
      </c>
      <c r="L63" s="76">
        <f t="shared" si="108"/>
        <v>0.67405885905125162</v>
      </c>
      <c r="M63" s="77">
        <f t="shared" si="108"/>
        <v>0.28736434519705051</v>
      </c>
      <c r="N63" s="158">
        <f t="shared" si="108"/>
        <v>1.6135725553582196</v>
      </c>
      <c r="O63" s="157">
        <f t="shared" si="108"/>
        <v>0.41793636602030559</v>
      </c>
      <c r="P63" s="76">
        <f t="shared" si="108"/>
        <v>0.32480973371994437</v>
      </c>
      <c r="Q63" s="76">
        <f t="shared" si="108"/>
        <v>0.69332200027166435</v>
      </c>
      <c r="R63" s="77">
        <f t="shared" si="108"/>
        <v>0.28271775043070657</v>
      </c>
      <c r="S63" s="158">
        <f>+S56/S60</f>
        <v>1.7186042441028369</v>
      </c>
      <c r="T63" s="157">
        <f>+T56/T60</f>
        <v>0.37683377903462184</v>
      </c>
      <c r="U63" s="76">
        <f t="shared" si="108"/>
        <v>0.37514062010134808</v>
      </c>
      <c r="V63" s="76">
        <f t="shared" si="108"/>
        <v>0.78022956416375722</v>
      </c>
      <c r="W63" s="77">
        <f t="shared" ref="W63:AD63" si="109">+W56/W60</f>
        <v>0.28639069706584941</v>
      </c>
      <c r="X63" s="158">
        <f t="shared" si="109"/>
        <v>1.8185773308164477</v>
      </c>
      <c r="Y63" s="157">
        <f t="shared" si="109"/>
        <v>0.4823099865248055</v>
      </c>
      <c r="Z63" s="76">
        <f t="shared" si="109"/>
        <v>0.39531680440771322</v>
      </c>
      <c r="AA63" s="76">
        <f t="shared" si="109"/>
        <v>0.77020541832701339</v>
      </c>
      <c r="AB63" s="77">
        <f t="shared" si="109"/>
        <v>0.30850111216512194</v>
      </c>
      <c r="AC63" s="158">
        <f t="shared" si="109"/>
        <v>1.9503778205634286</v>
      </c>
      <c r="AD63" s="157">
        <f t="shared" si="109"/>
        <v>0.52270753542799786</v>
      </c>
      <c r="AE63" s="76">
        <f t="shared" si="108"/>
        <v>0.38764857306298872</v>
      </c>
      <c r="AF63" s="76">
        <f t="shared" si="108"/>
        <v>0.72789786023915537</v>
      </c>
      <c r="AG63" s="77">
        <f t="shared" si="108"/>
        <v>0.38740999883582861</v>
      </c>
      <c r="AH63" s="158">
        <f t="shared" si="108"/>
        <v>2.0259304883588483</v>
      </c>
      <c r="AI63" s="157">
        <f t="shared" si="108"/>
        <v>0.45569607779374183</v>
      </c>
      <c r="AJ63" s="76">
        <f>+AJ56/AJ60</f>
        <v>0.387602986966466</v>
      </c>
      <c r="AK63" s="76">
        <f>+AK56/AK60</f>
        <v>0.8387890493620519</v>
      </c>
      <c r="AL63" s="77">
        <f t="shared" si="108"/>
        <v>0.41086767648573752</v>
      </c>
      <c r="AM63" s="158">
        <f t="shared" si="108"/>
        <v>2.0930774861856714</v>
      </c>
      <c r="AN63" s="157">
        <f t="shared" ref="AN63:AW63" si="110">+AN56/AN60</f>
        <v>0.47395070215064389</v>
      </c>
      <c r="AO63" s="76">
        <f t="shared" si="110"/>
        <v>0.38625880782743466</v>
      </c>
      <c r="AP63" s="76">
        <f t="shared" si="110"/>
        <v>0.8984017771986359</v>
      </c>
      <c r="AQ63" s="77">
        <f t="shared" si="110"/>
        <v>0.44654028789547423</v>
      </c>
      <c r="AR63" s="158">
        <f t="shared" si="110"/>
        <v>2.2050170276662837</v>
      </c>
      <c r="AS63" s="157">
        <f>+AS56/AS60</f>
        <v>0.4703011553263336</v>
      </c>
      <c r="AT63" s="76">
        <f>+AT56/AT60</f>
        <v>0.44635705657635016</v>
      </c>
      <c r="AU63" s="76">
        <f>+AU56/AU60</f>
        <v>0.96641871644522648</v>
      </c>
      <c r="AV63" s="77">
        <f t="shared" si="110"/>
        <v>0.41714341846758524</v>
      </c>
      <c r="AW63" s="158">
        <f t="shared" si="110"/>
        <v>2.300589390962672</v>
      </c>
      <c r="AX63" s="157">
        <f t="shared" ref="AX63:BG63" si="111">+AX56/AX60</f>
        <v>0.57035722632151242</v>
      </c>
      <c r="AY63" s="76">
        <f t="shared" si="111"/>
        <v>0.48532507794399249</v>
      </c>
      <c r="AZ63" s="76">
        <f t="shared" si="111"/>
        <v>0.92399745480345574</v>
      </c>
      <c r="BA63" s="77">
        <f t="shared" si="111"/>
        <v>0.44863312717210369</v>
      </c>
      <c r="BB63" s="771">
        <f t="shared" si="111"/>
        <v>2.4283444633435414</v>
      </c>
      <c r="BC63" s="157">
        <f t="shared" si="111"/>
        <v>0.6280146481878911</v>
      </c>
      <c r="BD63" s="76">
        <f t="shared" si="111"/>
        <v>0.52421969765985421</v>
      </c>
      <c r="BE63" s="76">
        <f t="shared" si="111"/>
        <v>0.97576921453719234</v>
      </c>
      <c r="BF63" s="77">
        <f t="shared" si="111"/>
        <v>0.48553187156094207</v>
      </c>
      <c r="BG63" s="771">
        <f t="shared" si="111"/>
        <v>2.6135457508317019</v>
      </c>
      <c r="BH63" s="157">
        <f t="shared" ref="BH63:BQ63" si="112">+BH56/BH60</f>
        <v>0.65550781962415716</v>
      </c>
      <c r="BI63" s="76">
        <f t="shared" si="112"/>
        <v>0.54360964335227335</v>
      </c>
      <c r="BJ63" s="76">
        <f t="shared" si="112"/>
        <v>1.0056577936671265</v>
      </c>
      <c r="BK63" s="77">
        <f t="shared" si="112"/>
        <v>0.51848439009071434</v>
      </c>
      <c r="BL63" s="771">
        <f t="shared" si="112"/>
        <v>2.7232813983234103</v>
      </c>
      <c r="BM63" s="157">
        <f t="shared" si="112"/>
        <v>0.69768804195728285</v>
      </c>
      <c r="BN63" s="76">
        <f t="shared" si="112"/>
        <v>0.584296080151263</v>
      </c>
      <c r="BO63" s="76">
        <f t="shared" si="112"/>
        <v>1.0561536761582662</v>
      </c>
      <c r="BP63" s="77">
        <f t="shared" si="112"/>
        <v>0.56431542840686288</v>
      </c>
      <c r="BQ63" s="771">
        <f t="shared" si="112"/>
        <v>2.9024837329591429</v>
      </c>
      <c r="BR63" s="159"/>
      <c r="BS63" s="20"/>
      <c r="BT63" s="764">
        <f>(BQ63/AW63)^(1/4)-1</f>
        <v>5.9821365446326435E-2</v>
      </c>
      <c r="BU63" s="562" t="s">
        <v>681</v>
      </c>
      <c r="BV63" s="573"/>
      <c r="BW63" s="573"/>
      <c r="BX63" s="573"/>
      <c r="BY63" s="573"/>
      <c r="BZ63" s="573"/>
      <c r="CA63" s="573"/>
      <c r="CB63" s="20"/>
      <c r="CC63" s="20"/>
      <c r="CK63" s="20"/>
      <c r="CL63" s="20"/>
      <c r="CM63" s="20"/>
      <c r="CN63" s="20"/>
      <c r="CO63" s="20"/>
      <c r="CP63" s="20"/>
      <c r="CQ63" s="20"/>
      <c r="CR63" s="20"/>
      <c r="CS63" s="20"/>
      <c r="CT63" s="20"/>
      <c r="CU63" s="20"/>
      <c r="CV63" s="20"/>
      <c r="CW63" s="20"/>
      <c r="CX63" s="20"/>
      <c r="CY63" s="20"/>
      <c r="CZ63" s="20"/>
    </row>
    <row r="64" spans="1:104" x14ac:dyDescent="0.2">
      <c r="A64" s="20"/>
      <c r="B64" s="20"/>
      <c r="C64" s="45" t="s">
        <v>144</v>
      </c>
      <c r="D64" s="20"/>
      <c r="E64" s="151"/>
      <c r="F64" s="152"/>
      <c r="G64" s="152"/>
      <c r="H64" s="153"/>
      <c r="I64" s="154"/>
      <c r="J64" s="160"/>
      <c r="K64" s="161"/>
      <c r="L64" s="161"/>
      <c r="M64" s="162"/>
      <c r="N64" s="163">
        <f>N63/I63-1</f>
        <v>8.270270120331924E-2</v>
      </c>
      <c r="O64" s="160"/>
      <c r="P64" s="164"/>
      <c r="Q64" s="152"/>
      <c r="R64" s="153"/>
      <c r="S64" s="165">
        <f>S63/N63-1</f>
        <v>6.5092634598820309E-2</v>
      </c>
      <c r="T64" s="151"/>
      <c r="U64" s="164"/>
      <c r="V64" s="152"/>
      <c r="W64" s="153"/>
      <c r="X64" s="165">
        <f>X63/S63-1</f>
        <v>5.8171092650710854E-2</v>
      </c>
      <c r="Y64" s="151"/>
      <c r="Z64" s="152"/>
      <c r="AA64" s="152"/>
      <c r="AB64" s="153"/>
      <c r="AC64" s="165">
        <f>AC63/X63-1</f>
        <v>7.2474503840762816E-2</v>
      </c>
      <c r="AD64" s="151"/>
      <c r="AE64" s="152"/>
      <c r="AF64" s="152"/>
      <c r="AG64" s="153"/>
      <c r="AH64" s="165">
        <f>AH63/AC63-1</f>
        <v>3.8737452302238573E-2</v>
      </c>
      <c r="AI64" s="151"/>
      <c r="AJ64" s="152"/>
      <c r="AK64" s="152"/>
      <c r="AL64" s="153"/>
      <c r="AM64" s="165">
        <f>AM63/AH63-1</f>
        <v>3.3143781690761376E-2</v>
      </c>
      <c r="AN64" s="151"/>
      <c r="AO64" s="152"/>
      <c r="AP64" s="152"/>
      <c r="AQ64" s="153"/>
      <c r="AR64" s="165">
        <f>AR63/AM63-1</f>
        <v>5.3480839681958381E-2</v>
      </c>
      <c r="AS64" s="151"/>
      <c r="AT64" s="152"/>
      <c r="AU64" s="152"/>
      <c r="AV64" s="153"/>
      <c r="AW64" s="165">
        <f>AW63/AR63-1</f>
        <v>4.3343140709230177E-2</v>
      </c>
      <c r="AX64" s="151"/>
      <c r="AY64" s="152"/>
      <c r="AZ64" s="152"/>
      <c r="BA64" s="153"/>
      <c r="BB64" s="165">
        <f>BB63/AW63-1</f>
        <v>5.5531453323537594E-2</v>
      </c>
      <c r="BC64" s="151"/>
      <c r="BD64" s="152"/>
      <c r="BE64" s="152"/>
      <c r="BF64" s="153"/>
      <c r="BG64" s="165">
        <f>BG63/BB63-1</f>
        <v>7.6266481252482698E-2</v>
      </c>
      <c r="BH64" s="151"/>
      <c r="BI64" s="152"/>
      <c r="BJ64" s="152"/>
      <c r="BK64" s="153"/>
      <c r="BL64" s="165">
        <f>BL63/BG63-1</f>
        <v>4.1987268620335971E-2</v>
      </c>
      <c r="BM64" s="151"/>
      <c r="BN64" s="152"/>
      <c r="BO64" s="152"/>
      <c r="BP64" s="153"/>
      <c r="BQ64" s="165">
        <f>BQ63/BL63-1</f>
        <v>6.5803825761839629E-2</v>
      </c>
      <c r="BR64" s="20"/>
      <c r="BS64" s="20"/>
      <c r="BV64" s="573"/>
      <c r="BW64" s="573"/>
      <c r="BX64" s="573"/>
      <c r="BY64" s="573"/>
      <c r="BZ64" s="573"/>
      <c r="CA64" s="573"/>
      <c r="CB64" s="20"/>
      <c r="CC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</row>
    <row r="65" spans="1:104" x14ac:dyDescent="0.2">
      <c r="C65" s="26"/>
      <c r="E65" s="166"/>
      <c r="F65" s="167"/>
      <c r="G65" s="167"/>
      <c r="H65" s="168"/>
      <c r="I65" s="169"/>
      <c r="J65" s="166"/>
      <c r="K65" s="167"/>
      <c r="L65" s="167"/>
      <c r="M65" s="168"/>
      <c r="N65" s="169"/>
      <c r="O65" s="166"/>
      <c r="P65" s="167"/>
      <c r="Q65" s="637"/>
      <c r="R65" s="681"/>
      <c r="S65" s="682"/>
      <c r="T65" s="683"/>
      <c r="U65" s="167"/>
      <c r="V65" s="637"/>
      <c r="W65" s="681"/>
      <c r="X65" s="682"/>
      <c r="Y65" s="683"/>
      <c r="Z65" s="167"/>
      <c r="AA65" s="167"/>
      <c r="AB65" s="681"/>
      <c r="AC65" s="682"/>
      <c r="AD65" s="683"/>
      <c r="AE65" s="637"/>
      <c r="AF65" s="637"/>
      <c r="AG65" s="854"/>
      <c r="AH65" s="682"/>
      <c r="AI65" s="683"/>
      <c r="AJ65" s="637"/>
      <c r="AK65" s="637"/>
      <c r="AL65" s="681"/>
      <c r="AM65" s="682"/>
      <c r="AN65" s="683"/>
      <c r="AO65" s="637"/>
      <c r="AP65" s="637"/>
      <c r="AQ65" s="681"/>
      <c r="AR65" s="682"/>
      <c r="AS65" s="683"/>
      <c r="AT65" s="637"/>
      <c r="AU65" s="637"/>
      <c r="AV65" s="681"/>
      <c r="AW65" s="682"/>
      <c r="AX65" s="683"/>
      <c r="AY65" s="637"/>
      <c r="AZ65" s="637"/>
      <c r="BA65" s="681"/>
      <c r="BB65" s="682"/>
      <c r="BC65" s="683"/>
      <c r="BD65" s="637"/>
      <c r="BE65" s="637"/>
      <c r="BF65" s="681"/>
      <c r="BG65" s="682"/>
      <c r="BH65" s="683"/>
      <c r="BI65" s="637"/>
      <c r="BJ65" s="637"/>
      <c r="BK65" s="681"/>
      <c r="BL65" s="682"/>
      <c r="BM65" s="683"/>
      <c r="BN65" s="637"/>
      <c r="BO65" s="637"/>
      <c r="BP65" s="681"/>
      <c r="BQ65" s="682"/>
      <c r="BT65" s="777"/>
      <c r="BU65" s="776"/>
      <c r="BV65" s="525"/>
      <c r="BW65" s="525"/>
      <c r="BX65" s="525"/>
      <c r="BY65" s="525"/>
      <c r="BZ65" s="525"/>
      <c r="CA65" s="525"/>
    </row>
    <row r="66" spans="1:104" x14ac:dyDescent="0.2">
      <c r="C66" s="778" t="s">
        <v>541</v>
      </c>
      <c r="D66" s="779"/>
      <c r="E66" s="780"/>
      <c r="F66" s="781"/>
      <c r="G66" s="781"/>
      <c r="H66" s="782"/>
      <c r="I66" s="783"/>
      <c r="J66" s="780"/>
      <c r="K66" s="781"/>
      <c r="L66" s="781"/>
      <c r="M66" s="782"/>
      <c r="N66" s="783"/>
      <c r="O66" s="780"/>
      <c r="P66" s="781"/>
      <c r="Q66" s="784"/>
      <c r="R66" s="785"/>
      <c r="S66" s="786"/>
      <c r="T66" s="787"/>
      <c r="U66" s="781"/>
      <c r="V66" s="784"/>
      <c r="W66" s="785"/>
      <c r="X66" s="786"/>
      <c r="Y66" s="787"/>
      <c r="Z66" s="781"/>
      <c r="AA66" s="781"/>
      <c r="AB66" s="785"/>
      <c r="AC66" s="788"/>
      <c r="AD66" s="787"/>
      <c r="AE66" s="784"/>
      <c r="AF66" s="784"/>
      <c r="AG66" s="854"/>
      <c r="AH66" s="788"/>
      <c r="AI66" s="787"/>
      <c r="AJ66" s="784"/>
      <c r="AK66" s="784"/>
      <c r="AL66" s="785"/>
      <c r="AM66" s="788"/>
      <c r="AN66" s="787"/>
      <c r="AO66" s="784"/>
      <c r="AP66" s="784"/>
      <c r="AQ66" s="785"/>
      <c r="AR66" s="788"/>
      <c r="AS66" s="787"/>
      <c r="AT66" s="784"/>
      <c r="AU66" s="784"/>
      <c r="AV66" s="785"/>
      <c r="AW66" s="788"/>
      <c r="AX66" s="787"/>
      <c r="AY66" s="784"/>
      <c r="AZ66" s="784"/>
      <c r="BA66" s="785"/>
      <c r="BB66" s="788">
        <v>2.37</v>
      </c>
      <c r="BC66" s="787"/>
      <c r="BD66" s="784"/>
      <c r="BE66" s="784"/>
      <c r="BF66" s="785"/>
      <c r="BG66" s="788">
        <f>BB66*1.05</f>
        <v>2.4885000000000002</v>
      </c>
      <c r="BH66" s="787"/>
      <c r="BI66" s="784"/>
      <c r="BJ66" s="784"/>
      <c r="BK66" s="785"/>
      <c r="BL66" s="788">
        <f>BG66*1.05</f>
        <v>2.6129250000000002</v>
      </c>
      <c r="BM66" s="787"/>
      <c r="BN66" s="784"/>
      <c r="BO66" s="784"/>
      <c r="BP66" s="785"/>
      <c r="BQ66" s="788">
        <f>BL66*1.05</f>
        <v>2.7435712500000005</v>
      </c>
      <c r="BT66" s="777"/>
      <c r="BU66" s="776"/>
      <c r="BV66" s="525"/>
      <c r="BW66" s="525"/>
      <c r="BX66" s="525"/>
      <c r="BY66" s="525"/>
      <c r="BZ66" s="525"/>
      <c r="CA66" s="525"/>
    </row>
    <row r="67" spans="1:104" x14ac:dyDescent="0.2">
      <c r="C67" s="778" t="s">
        <v>542</v>
      </c>
      <c r="D67" s="779"/>
      <c r="E67" s="780"/>
      <c r="F67" s="781"/>
      <c r="G67" s="781"/>
      <c r="H67" s="782"/>
      <c r="I67" s="783"/>
      <c r="J67" s="780"/>
      <c r="K67" s="781"/>
      <c r="L67" s="781"/>
      <c r="M67" s="782"/>
      <c r="N67" s="783"/>
      <c r="O67" s="780"/>
      <c r="P67" s="781"/>
      <c r="Q67" s="784"/>
      <c r="R67" s="785"/>
      <c r="S67" s="786"/>
      <c r="T67" s="787"/>
      <c r="U67" s="781"/>
      <c r="V67" s="784"/>
      <c r="W67" s="785"/>
      <c r="X67" s="786"/>
      <c r="Y67" s="787"/>
      <c r="Z67" s="781"/>
      <c r="AA67" s="781"/>
      <c r="AB67" s="785"/>
      <c r="AC67" s="788"/>
      <c r="AD67" s="787"/>
      <c r="AE67" s="784"/>
      <c r="AF67" s="784"/>
      <c r="AG67" s="785"/>
      <c r="AH67" s="788"/>
      <c r="AI67" s="787"/>
      <c r="AJ67" s="784"/>
      <c r="AK67" s="784"/>
      <c r="AL67" s="785"/>
      <c r="AM67" s="788"/>
      <c r="AN67" s="787"/>
      <c r="AO67" s="784"/>
      <c r="AP67" s="784"/>
      <c r="AQ67" s="785"/>
      <c r="AR67" s="788"/>
      <c r="AS67" s="787"/>
      <c r="AT67" s="784"/>
      <c r="AU67" s="784"/>
      <c r="AV67" s="785"/>
      <c r="AW67" s="788"/>
      <c r="AX67" s="787"/>
      <c r="AY67" s="784"/>
      <c r="AZ67" s="784"/>
      <c r="BA67" s="785"/>
      <c r="BB67" s="788">
        <v>2.4700000000000002</v>
      </c>
      <c r="BC67" s="787"/>
      <c r="BD67" s="784"/>
      <c r="BE67" s="784"/>
      <c r="BF67" s="785"/>
      <c r="BG67" s="788">
        <f>BB67*1.06</f>
        <v>2.6182000000000003</v>
      </c>
      <c r="BH67" s="787"/>
      <c r="BI67" s="784"/>
      <c r="BJ67" s="784"/>
      <c r="BK67" s="785"/>
      <c r="BL67" s="788">
        <f>BG67*1.06</f>
        <v>2.7752920000000003</v>
      </c>
      <c r="BM67" s="787"/>
      <c r="BN67" s="784"/>
      <c r="BO67" s="784"/>
      <c r="BP67" s="785"/>
      <c r="BQ67" s="788">
        <f>BL67*1.06</f>
        <v>2.9418095200000005</v>
      </c>
      <c r="BT67" s="777"/>
      <c r="BU67" s="776"/>
      <c r="BV67" s="525"/>
      <c r="BW67" s="525"/>
      <c r="BX67" s="525"/>
      <c r="BY67" s="525"/>
      <c r="BZ67" s="525"/>
      <c r="CA67" s="525"/>
    </row>
    <row r="68" spans="1:104" x14ac:dyDescent="0.2">
      <c r="E68" s="166"/>
      <c r="F68" s="167"/>
      <c r="G68" s="167"/>
      <c r="H68" s="168"/>
      <c r="J68" s="166"/>
      <c r="K68" s="167"/>
      <c r="L68" s="167"/>
      <c r="M68" s="168"/>
      <c r="O68" s="166"/>
      <c r="P68" s="167"/>
      <c r="Q68" s="167"/>
      <c r="R68" s="168"/>
      <c r="T68" s="166"/>
      <c r="U68" s="167"/>
      <c r="V68" s="167"/>
      <c r="W68" s="168"/>
      <c r="Y68" s="166"/>
      <c r="Z68" s="167"/>
      <c r="AA68" s="167"/>
      <c r="AB68" s="168"/>
      <c r="AD68" s="166"/>
      <c r="AE68" s="167"/>
      <c r="AF68" s="167"/>
      <c r="AG68" s="168"/>
      <c r="AI68" s="166"/>
      <c r="AJ68" s="167"/>
      <c r="AK68" s="167"/>
      <c r="AL68" s="168"/>
      <c r="AN68" s="166"/>
      <c r="AO68" s="167"/>
      <c r="AP68" s="167"/>
      <c r="AQ68" s="168"/>
      <c r="AS68" s="166"/>
      <c r="AT68" s="167"/>
      <c r="AU68" s="167"/>
      <c r="AV68" s="168"/>
      <c r="AX68" s="166"/>
      <c r="AY68" s="167"/>
      <c r="AZ68" s="167"/>
      <c r="BA68" s="168"/>
      <c r="BB68" s="802"/>
      <c r="BC68" s="166"/>
      <c r="BD68" s="167"/>
      <c r="BE68" s="167"/>
      <c r="BF68" s="168"/>
      <c r="BG68" s="802"/>
      <c r="BH68" s="166"/>
      <c r="BI68" s="167"/>
      <c r="BJ68" s="167"/>
      <c r="BK68" s="168"/>
      <c r="BL68" s="802"/>
      <c r="BM68" s="166"/>
      <c r="BN68" s="167"/>
      <c r="BO68" s="167"/>
      <c r="BP68" s="168"/>
      <c r="BQ68" s="802"/>
      <c r="BT68" s="525"/>
      <c r="BU68" s="525"/>
      <c r="BV68" s="525"/>
      <c r="BW68" s="525"/>
      <c r="BX68" s="525"/>
      <c r="BY68" s="525"/>
      <c r="BZ68" s="525"/>
      <c r="CA68" s="525"/>
    </row>
    <row r="69" spans="1:104" x14ac:dyDescent="0.2">
      <c r="B69" s="16" t="s">
        <v>145</v>
      </c>
      <c r="C69" s="16"/>
      <c r="E69" s="166"/>
      <c r="F69" s="167"/>
      <c r="G69" s="167"/>
      <c r="H69" s="168"/>
      <c r="J69" s="166"/>
      <c r="K69" s="167"/>
      <c r="L69" s="167"/>
      <c r="M69" s="168"/>
      <c r="O69" s="166"/>
      <c r="P69" s="167"/>
      <c r="Q69" s="167"/>
      <c r="R69" s="168"/>
      <c r="T69" s="166"/>
      <c r="U69" s="167"/>
      <c r="V69" s="167"/>
      <c r="W69" s="168"/>
      <c r="Y69" s="166"/>
      <c r="Z69" s="167"/>
      <c r="AA69" s="167"/>
      <c r="AB69" s="168"/>
      <c r="AD69" s="166"/>
      <c r="AE69" s="167"/>
      <c r="AF69" s="167"/>
      <c r="AG69" s="168"/>
      <c r="AI69" s="166"/>
      <c r="AJ69" s="167"/>
      <c r="AK69" s="167"/>
      <c r="AL69" s="168"/>
      <c r="AN69" s="166"/>
      <c r="AO69" s="167"/>
      <c r="AP69" s="167"/>
      <c r="AQ69" s="168"/>
      <c r="AS69" s="166"/>
      <c r="AT69" s="167"/>
      <c r="AU69" s="167"/>
      <c r="AV69" s="168"/>
      <c r="AW69" s="802"/>
      <c r="AX69" s="166"/>
      <c r="AY69" s="167"/>
      <c r="AZ69" s="167"/>
      <c r="BA69" s="168"/>
      <c r="BB69" s="802"/>
      <c r="BC69" s="166"/>
      <c r="BD69" s="167"/>
      <c r="BE69" s="167"/>
      <c r="BF69" s="168"/>
      <c r="BG69" s="802"/>
      <c r="BH69" s="166"/>
      <c r="BI69" s="167"/>
      <c r="BJ69" s="167"/>
      <c r="BK69" s="168"/>
      <c r="BL69" s="802"/>
      <c r="BM69" s="166"/>
      <c r="BN69" s="167"/>
      <c r="BO69" s="167"/>
      <c r="BP69" s="168"/>
      <c r="BQ69" s="802"/>
      <c r="BT69" s="525"/>
      <c r="BU69" s="525"/>
      <c r="BV69" s="525"/>
      <c r="BW69" s="525"/>
      <c r="BX69" s="525"/>
      <c r="BY69" s="525"/>
      <c r="BZ69" s="525"/>
      <c r="CA69" s="525"/>
    </row>
    <row r="70" spans="1:104" x14ac:dyDescent="0.2">
      <c r="A70" s="26"/>
      <c r="B70" s="26"/>
      <c r="C70" s="141" t="s">
        <v>83</v>
      </c>
      <c r="D70" s="26"/>
      <c r="E70" s="170"/>
      <c r="F70" s="171"/>
      <c r="G70" s="171"/>
      <c r="H70" s="172"/>
      <c r="I70" s="26"/>
      <c r="J70" s="170"/>
      <c r="K70" s="171"/>
      <c r="L70" s="171"/>
      <c r="M70" s="172"/>
      <c r="N70" s="26"/>
      <c r="O70" s="170"/>
      <c r="P70" s="171"/>
      <c r="Q70" s="171"/>
      <c r="R70" s="172"/>
      <c r="S70" s="26"/>
      <c r="T70" s="170"/>
      <c r="U70" s="171"/>
      <c r="V70" s="171"/>
      <c r="W70" s="172"/>
      <c r="X70" s="26"/>
      <c r="Y70" s="170"/>
      <c r="Z70" s="171"/>
      <c r="AA70" s="171"/>
      <c r="AB70" s="172"/>
      <c r="AC70" s="26"/>
      <c r="AD70" s="170"/>
      <c r="AE70" s="171"/>
      <c r="AF70" s="171"/>
      <c r="AG70" s="172"/>
      <c r="AH70" s="26"/>
      <c r="AI70" s="170"/>
      <c r="AJ70" s="171"/>
      <c r="AK70" s="171"/>
      <c r="AL70" s="172"/>
      <c r="AM70" s="26"/>
      <c r="AN70" s="170"/>
      <c r="AO70" s="171"/>
      <c r="AP70" s="171"/>
      <c r="AQ70" s="172"/>
      <c r="AR70" s="26"/>
      <c r="AS70" s="170"/>
      <c r="AT70" s="171"/>
      <c r="AU70" s="171"/>
      <c r="AV70" s="172"/>
      <c r="AW70" s="26"/>
      <c r="AX70" s="170"/>
      <c r="AY70" s="171"/>
      <c r="AZ70" s="171"/>
      <c r="BA70" s="172"/>
      <c r="BB70" s="26"/>
      <c r="BC70" s="170"/>
      <c r="BD70" s="171"/>
      <c r="BE70" s="171"/>
      <c r="BF70" s="172"/>
      <c r="BG70" s="26"/>
      <c r="BH70" s="170"/>
      <c r="BI70" s="171"/>
      <c r="BJ70" s="171"/>
      <c r="BK70" s="172"/>
      <c r="BL70" s="26"/>
      <c r="BM70" s="170"/>
      <c r="BN70" s="171"/>
      <c r="BO70" s="171"/>
      <c r="BP70" s="172"/>
      <c r="BQ70" s="26"/>
      <c r="BR70" s="26"/>
      <c r="BS70" s="26"/>
      <c r="BT70" s="562"/>
      <c r="BU70" s="562"/>
      <c r="BV70" s="562"/>
      <c r="BW70" s="562"/>
      <c r="BX70" s="562"/>
      <c r="BY70" s="562"/>
      <c r="BZ70" s="562"/>
      <c r="CA70" s="562"/>
      <c r="CB70" s="26"/>
      <c r="CC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</row>
    <row r="71" spans="1:104" x14ac:dyDescent="0.2">
      <c r="C71" s="864" t="s">
        <v>39</v>
      </c>
      <c r="E71" s="174">
        <v>0.23749999999999999</v>
      </c>
      <c r="F71" s="175">
        <v>0.245</v>
      </c>
      <c r="G71" s="175">
        <v>0.245</v>
      </c>
      <c r="H71" s="606">
        <v>0.245</v>
      </c>
      <c r="I71" s="608">
        <f>SUM(E71:H71)</f>
        <v>0.97250000000000003</v>
      </c>
      <c r="J71" s="174">
        <v>0.245</v>
      </c>
      <c r="K71" s="175">
        <v>0.2525</v>
      </c>
      <c r="L71" s="175">
        <v>0.2525</v>
      </c>
      <c r="M71" s="607">
        <v>0.2525</v>
      </c>
      <c r="N71" s="608">
        <f>SUM(J71:M71)</f>
        <v>1.0024999999999999</v>
      </c>
      <c r="O71" s="174">
        <v>0.2525</v>
      </c>
      <c r="P71" s="175">
        <v>0.26</v>
      </c>
      <c r="Q71" s="679">
        <v>0.26</v>
      </c>
      <c r="R71" s="607">
        <v>0.26</v>
      </c>
      <c r="S71" s="608">
        <f>SUM(O71:R71)</f>
        <v>1.0325</v>
      </c>
      <c r="T71" s="174">
        <v>0.26</v>
      </c>
      <c r="U71" s="175">
        <v>0.27</v>
      </c>
      <c r="V71" s="679">
        <v>0.27</v>
      </c>
      <c r="W71" s="607">
        <v>0.27</v>
      </c>
      <c r="X71" s="608">
        <f>SUM(T71:W71)</f>
        <v>1.07</v>
      </c>
      <c r="Y71" s="174">
        <v>0.27</v>
      </c>
      <c r="Z71" s="175">
        <v>0.28000000000000003</v>
      </c>
      <c r="AA71" s="679">
        <v>0.28000000000000003</v>
      </c>
      <c r="AB71" s="607">
        <v>0.28000000000000003</v>
      </c>
      <c r="AC71" s="608">
        <f>SUM(Y71:AB71)</f>
        <v>1.1100000000000001</v>
      </c>
      <c r="AD71" s="174">
        <v>0.3</v>
      </c>
      <c r="AE71" s="175">
        <v>0.3</v>
      </c>
      <c r="AF71" s="175">
        <v>0.3</v>
      </c>
      <c r="AG71" s="607">
        <v>0.3</v>
      </c>
      <c r="AH71" s="608">
        <f>SUM(AD71:AG71)</f>
        <v>1.2</v>
      </c>
      <c r="AI71" s="174">
        <v>0.32</v>
      </c>
      <c r="AJ71" s="845">
        <v>0.32</v>
      </c>
      <c r="AK71" s="845">
        <v>0.32</v>
      </c>
      <c r="AL71" s="607">
        <v>0.32</v>
      </c>
      <c r="AM71" s="608">
        <f>SUM(AI71:AL71)</f>
        <v>1.28</v>
      </c>
      <c r="AN71" s="174">
        <v>0.34</v>
      </c>
      <c r="AO71" s="845">
        <v>0.34</v>
      </c>
      <c r="AP71" s="845">
        <v>0.34</v>
      </c>
      <c r="AQ71" s="607">
        <v>0.34</v>
      </c>
      <c r="AR71" s="608">
        <f>SUM(AN71:AQ71)</f>
        <v>1.36</v>
      </c>
      <c r="AS71" s="174">
        <v>0.36</v>
      </c>
      <c r="AT71" s="845">
        <v>0.36</v>
      </c>
      <c r="AU71" s="845">
        <v>0.36</v>
      </c>
      <c r="AV71" s="607">
        <v>0.36</v>
      </c>
      <c r="AW71" s="608">
        <f>SUM(AS71:AV71)</f>
        <v>1.44</v>
      </c>
      <c r="AX71" s="799">
        <f>AV71*1.06</f>
        <v>0.38159999999999999</v>
      </c>
      <c r="AY71" s="800">
        <f>AX71</f>
        <v>0.38159999999999999</v>
      </c>
      <c r="AZ71" s="177">
        <f>+AY71</f>
        <v>0.38159999999999999</v>
      </c>
      <c r="BA71" s="176">
        <f>+AZ71</f>
        <v>0.38159999999999999</v>
      </c>
      <c r="BB71" s="33">
        <f>SUM(AX71:BA71)</f>
        <v>1.5264</v>
      </c>
      <c r="BC71" s="799">
        <f>BA71*1.06</f>
        <v>0.40449600000000002</v>
      </c>
      <c r="BD71" s="800">
        <f>BC71</f>
        <v>0.40449600000000002</v>
      </c>
      <c r="BE71" s="177">
        <f>+BD71</f>
        <v>0.40449600000000002</v>
      </c>
      <c r="BF71" s="176">
        <f>+BE71</f>
        <v>0.40449600000000002</v>
      </c>
      <c r="BG71" s="33">
        <f>SUM(BC71:BF71)</f>
        <v>1.6179840000000001</v>
      </c>
      <c r="BH71" s="799">
        <f>BF71*1.06</f>
        <v>0.42876576000000005</v>
      </c>
      <c r="BI71" s="800">
        <f>BH71</f>
        <v>0.42876576000000005</v>
      </c>
      <c r="BJ71" s="177">
        <f>+BI71</f>
        <v>0.42876576000000005</v>
      </c>
      <c r="BK71" s="176">
        <f>+BJ71</f>
        <v>0.42876576000000005</v>
      </c>
      <c r="BL71" s="33">
        <f>SUM(BH71:BK71)</f>
        <v>1.7150630400000002</v>
      </c>
      <c r="BM71" s="799">
        <f>BK71*1.06</f>
        <v>0.45449170560000007</v>
      </c>
      <c r="BN71" s="800">
        <f>BM71</f>
        <v>0.45449170560000007</v>
      </c>
      <c r="BO71" s="177">
        <f>+BN71</f>
        <v>0.45449170560000007</v>
      </c>
      <c r="BP71" s="176">
        <f>+BO71</f>
        <v>0.45449170560000007</v>
      </c>
      <c r="BQ71" s="33">
        <f>SUM(BM71:BP71)</f>
        <v>1.8179668224000003</v>
      </c>
      <c r="BT71" s="525"/>
      <c r="BU71" s="525"/>
      <c r="BV71" s="525"/>
      <c r="BW71" s="525"/>
      <c r="BX71" s="525"/>
      <c r="BY71" s="525"/>
      <c r="BZ71" s="525"/>
      <c r="CA71" s="525"/>
    </row>
    <row r="72" spans="1:104" x14ac:dyDescent="0.2">
      <c r="C72" s="178" t="s">
        <v>146</v>
      </c>
      <c r="E72" s="166"/>
      <c r="F72" s="167"/>
      <c r="G72" s="167"/>
      <c r="H72" s="168"/>
      <c r="J72" s="179">
        <f t="shared" ref="J72:AI72" si="113">+J71/E71-1</f>
        <v>3.1578947368421151E-2</v>
      </c>
      <c r="K72" s="180">
        <f t="shared" si="113"/>
        <v>3.0612244897959107E-2</v>
      </c>
      <c r="L72" s="180">
        <f t="shared" si="113"/>
        <v>3.0612244897959107E-2</v>
      </c>
      <c r="M72" s="181">
        <f t="shared" si="113"/>
        <v>3.0612244897959107E-2</v>
      </c>
      <c r="N72" s="35">
        <f t="shared" si="113"/>
        <v>3.0848329048843048E-2</v>
      </c>
      <c r="O72" s="179">
        <f t="shared" si="113"/>
        <v>3.0612244897959107E-2</v>
      </c>
      <c r="P72" s="180">
        <f t="shared" si="113"/>
        <v>2.9702970297029729E-2</v>
      </c>
      <c r="Q72" s="180">
        <f t="shared" si="113"/>
        <v>2.9702970297029729E-2</v>
      </c>
      <c r="R72" s="181">
        <f t="shared" si="113"/>
        <v>2.9702970297029729E-2</v>
      </c>
      <c r="S72" s="35">
        <f t="shared" si="113"/>
        <v>2.9925187032419087E-2</v>
      </c>
      <c r="T72" s="179">
        <f t="shared" si="113"/>
        <v>2.9702970297029729E-2</v>
      </c>
      <c r="U72" s="180">
        <f t="shared" si="113"/>
        <v>3.8461538461538547E-2</v>
      </c>
      <c r="V72" s="180">
        <f t="shared" si="113"/>
        <v>3.8461538461538547E-2</v>
      </c>
      <c r="W72" s="181">
        <f>+W71/R71-1</f>
        <v>3.8461538461538547E-2</v>
      </c>
      <c r="X72" s="35">
        <f>+X71/S71-1</f>
        <v>3.6319612590799188E-2</v>
      </c>
      <c r="Y72" s="179">
        <f t="shared" si="113"/>
        <v>3.8461538461538547E-2</v>
      </c>
      <c r="Z72" s="180">
        <f>+Z71/U71-1</f>
        <v>3.7037037037036979E-2</v>
      </c>
      <c r="AA72" s="180">
        <f>+AA71/V71-1</f>
        <v>3.7037037037036979E-2</v>
      </c>
      <c r="AB72" s="181">
        <f>+AB71/W71-1</f>
        <v>3.7037037037036979E-2</v>
      </c>
      <c r="AC72" s="35">
        <f>+AC71/X71-1</f>
        <v>3.7383177570093462E-2</v>
      </c>
      <c r="AD72" s="179">
        <f t="shared" si="113"/>
        <v>0.11111111111111094</v>
      </c>
      <c r="AE72" s="180">
        <f>+AE71/Z71-1</f>
        <v>7.1428571428571397E-2</v>
      </c>
      <c r="AF72" s="180">
        <f>+AF71/AA71-1</f>
        <v>7.1428571428571397E-2</v>
      </c>
      <c r="AG72" s="181">
        <f>+AG71/AB71-1</f>
        <v>7.1428571428571397E-2</v>
      </c>
      <c r="AH72" s="35">
        <f>+AH71/AC71-1</f>
        <v>8.1081081081080919E-2</v>
      </c>
      <c r="AI72" s="179">
        <f t="shared" si="113"/>
        <v>6.6666666666666652E-2</v>
      </c>
      <c r="AJ72" s="180">
        <f t="shared" ref="AJ72:AP72" si="114">+AJ71/AE71-1</f>
        <v>6.6666666666666652E-2</v>
      </c>
      <c r="AK72" s="180">
        <f t="shared" si="114"/>
        <v>6.6666666666666652E-2</v>
      </c>
      <c r="AL72" s="181">
        <f t="shared" si="114"/>
        <v>6.6666666666666652E-2</v>
      </c>
      <c r="AM72" s="35">
        <f t="shared" si="114"/>
        <v>6.6666666666666652E-2</v>
      </c>
      <c r="AN72" s="179">
        <f t="shared" si="114"/>
        <v>6.25E-2</v>
      </c>
      <c r="AO72" s="180">
        <f t="shared" si="114"/>
        <v>6.25E-2</v>
      </c>
      <c r="AP72" s="180">
        <f t="shared" si="114"/>
        <v>6.25E-2</v>
      </c>
      <c r="AQ72" s="181">
        <f t="shared" ref="AQ72:AU72" si="115">+AQ71/AL71-1</f>
        <v>6.25E-2</v>
      </c>
      <c r="AR72" s="35">
        <f t="shared" si="115"/>
        <v>6.25E-2</v>
      </c>
      <c r="AS72" s="179">
        <f t="shared" si="115"/>
        <v>5.8823529411764497E-2</v>
      </c>
      <c r="AT72" s="180">
        <f t="shared" si="115"/>
        <v>5.8823529411764497E-2</v>
      </c>
      <c r="AU72" s="180">
        <f t="shared" si="115"/>
        <v>5.8823529411764497E-2</v>
      </c>
      <c r="AV72" s="181">
        <f t="shared" ref="AV72" si="116">+AV71/AQ71-1</f>
        <v>5.8823529411764497E-2</v>
      </c>
      <c r="AW72" s="35">
        <f t="shared" ref="AW72" si="117">+AW71/AR71-1</f>
        <v>5.8823529411764497E-2</v>
      </c>
      <c r="AX72" s="179">
        <f t="shared" ref="AX72:BG72" si="118">+AX71/AS71-1</f>
        <v>6.0000000000000053E-2</v>
      </c>
      <c r="AY72" s="180">
        <f t="shared" si="118"/>
        <v>6.0000000000000053E-2</v>
      </c>
      <c r="AZ72" s="180">
        <f t="shared" si="118"/>
        <v>6.0000000000000053E-2</v>
      </c>
      <c r="BA72" s="181">
        <f t="shared" si="118"/>
        <v>6.0000000000000053E-2</v>
      </c>
      <c r="BB72" s="35">
        <f t="shared" si="118"/>
        <v>6.0000000000000053E-2</v>
      </c>
      <c r="BC72" s="179">
        <f t="shared" si="118"/>
        <v>6.0000000000000053E-2</v>
      </c>
      <c r="BD72" s="180">
        <f t="shared" si="118"/>
        <v>6.0000000000000053E-2</v>
      </c>
      <c r="BE72" s="180">
        <f t="shared" si="118"/>
        <v>6.0000000000000053E-2</v>
      </c>
      <c r="BF72" s="181">
        <f t="shared" si="118"/>
        <v>6.0000000000000053E-2</v>
      </c>
      <c r="BG72" s="35">
        <f t="shared" si="118"/>
        <v>6.0000000000000053E-2</v>
      </c>
      <c r="BH72" s="179">
        <f t="shared" ref="BH72:BQ72" si="119">+BH71/BC71-1</f>
        <v>6.0000000000000053E-2</v>
      </c>
      <c r="BI72" s="180">
        <f t="shared" si="119"/>
        <v>6.0000000000000053E-2</v>
      </c>
      <c r="BJ72" s="180">
        <f t="shared" si="119"/>
        <v>6.0000000000000053E-2</v>
      </c>
      <c r="BK72" s="181">
        <f t="shared" si="119"/>
        <v>6.0000000000000053E-2</v>
      </c>
      <c r="BL72" s="35">
        <f t="shared" si="119"/>
        <v>6.0000000000000053E-2</v>
      </c>
      <c r="BM72" s="179">
        <f t="shared" si="119"/>
        <v>6.0000000000000053E-2</v>
      </c>
      <c r="BN72" s="180">
        <f t="shared" si="119"/>
        <v>6.0000000000000053E-2</v>
      </c>
      <c r="BO72" s="180">
        <f t="shared" si="119"/>
        <v>6.0000000000000053E-2</v>
      </c>
      <c r="BP72" s="181">
        <f t="shared" si="119"/>
        <v>6.0000000000000053E-2</v>
      </c>
      <c r="BQ72" s="35">
        <f t="shared" si="119"/>
        <v>6.0000000000000053E-2</v>
      </c>
      <c r="BT72" s="525"/>
      <c r="BU72" s="525"/>
      <c r="BV72" s="525"/>
      <c r="BW72" s="525"/>
      <c r="BX72" s="525"/>
      <c r="BY72" s="525"/>
      <c r="BZ72" s="525"/>
      <c r="CA72" s="525"/>
    </row>
    <row r="73" spans="1:104" x14ac:dyDescent="0.2">
      <c r="C73" s="178"/>
      <c r="E73" s="166"/>
      <c r="F73" s="167"/>
      <c r="G73" s="167"/>
      <c r="H73" s="168"/>
      <c r="J73" s="166"/>
      <c r="K73" s="167"/>
      <c r="L73" s="167"/>
      <c r="M73" s="168"/>
      <c r="O73" s="166"/>
      <c r="P73" s="167"/>
      <c r="Q73" s="167"/>
      <c r="R73" s="168"/>
      <c r="T73" s="166"/>
      <c r="U73" s="167"/>
      <c r="V73" s="167"/>
      <c r="W73" s="168"/>
      <c r="Y73" s="166"/>
      <c r="Z73" s="167"/>
      <c r="AA73" s="167"/>
      <c r="AB73" s="168"/>
      <c r="AD73" s="166"/>
      <c r="AE73" s="167"/>
      <c r="AF73" s="167"/>
      <c r="AG73" s="168"/>
      <c r="AI73" s="166"/>
      <c r="AJ73" s="167"/>
      <c r="AK73" s="167"/>
      <c r="AL73" s="168"/>
      <c r="AN73" s="166"/>
      <c r="AO73" s="167"/>
      <c r="AP73" s="167"/>
      <c r="AQ73" s="168"/>
      <c r="AS73" s="166"/>
      <c r="AT73" s="167"/>
      <c r="AU73" s="167"/>
      <c r="AV73" s="168"/>
      <c r="AX73" s="166"/>
      <c r="AY73" s="167"/>
      <c r="AZ73" s="167"/>
      <c r="BA73" s="168"/>
      <c r="BC73" s="166"/>
      <c r="BD73" s="167"/>
      <c r="BE73" s="167"/>
      <c r="BF73" s="168"/>
      <c r="BH73" s="166"/>
      <c r="BI73" s="167"/>
      <c r="BJ73" s="167"/>
      <c r="BK73" s="168"/>
      <c r="BM73" s="166"/>
      <c r="BN73" s="167"/>
      <c r="BO73" s="167"/>
      <c r="BP73" s="168"/>
      <c r="BT73" s="525"/>
      <c r="BU73" s="525"/>
      <c r="BV73" s="525"/>
      <c r="BW73" s="525"/>
      <c r="BX73" s="525"/>
      <c r="BY73" s="525"/>
      <c r="BZ73" s="525"/>
      <c r="CA73" s="525"/>
    </row>
    <row r="74" spans="1:104" x14ac:dyDescent="0.2">
      <c r="A74" s="20"/>
      <c r="B74" s="20"/>
      <c r="C74" s="70" t="s">
        <v>147</v>
      </c>
      <c r="D74" s="82"/>
      <c r="E74" s="136">
        <f>-E151</f>
        <v>101.744</v>
      </c>
      <c r="F74" s="135">
        <f t="shared" ref="F74:N74" si="120">+-F151</f>
        <v>102.11500000000001</v>
      </c>
      <c r="G74" s="135">
        <f t="shared" si="120"/>
        <v>105.46099999999998</v>
      </c>
      <c r="H74" s="116">
        <f t="shared" si="120"/>
        <v>105.60200000000003</v>
      </c>
      <c r="I74" s="82">
        <f t="shared" si="120"/>
        <v>414.92200000000003</v>
      </c>
      <c r="J74" s="136">
        <f t="shared" si="120"/>
        <v>105.965</v>
      </c>
      <c r="K74" s="135">
        <f t="shared" si="120"/>
        <v>106.422</v>
      </c>
      <c r="L74" s="135">
        <f t="shared" si="120"/>
        <v>109.80000000000001</v>
      </c>
      <c r="M74" s="116">
        <f t="shared" si="120"/>
        <v>109.923</v>
      </c>
      <c r="N74" s="82">
        <f t="shared" si="120"/>
        <v>432.11</v>
      </c>
      <c r="O74" s="136">
        <f t="shared" ref="O74:T74" si="121">+-O151</f>
        <v>115.621</v>
      </c>
      <c r="P74" s="135">
        <f t="shared" si="121"/>
        <v>116.09400000000001</v>
      </c>
      <c r="Q74" s="135">
        <f t="shared" si="121"/>
        <v>119.655</v>
      </c>
      <c r="R74" s="116">
        <f t="shared" si="121"/>
        <v>123.38999999999999</v>
      </c>
      <c r="S74" s="82">
        <f t="shared" si="121"/>
        <v>474.76</v>
      </c>
      <c r="T74" s="136">
        <f t="shared" si="121"/>
        <v>119.16200000000001</v>
      </c>
      <c r="U74" s="135">
        <f t="shared" ref="U74:AA74" si="122">+-U151</f>
        <v>119.34799999999998</v>
      </c>
      <c r="V74" s="135">
        <f t="shared" si="122"/>
        <v>124.05799999999999</v>
      </c>
      <c r="W74" s="116">
        <f t="shared" si="122"/>
        <v>124.18900000000002</v>
      </c>
      <c r="X74" s="82">
        <f t="shared" si="122"/>
        <v>486.75700000000001</v>
      </c>
      <c r="Y74" s="136">
        <f t="shared" si="122"/>
        <v>124.426</v>
      </c>
      <c r="Z74" s="135">
        <f t="shared" si="122"/>
        <v>125.96599999999999</v>
      </c>
      <c r="AA74" s="135">
        <f t="shared" si="122"/>
        <v>131.75600000000003</v>
      </c>
      <c r="AB74" s="116">
        <f t="shared" ref="AB74:AI74" si="123">+-AB151</f>
        <v>131.89400000000001</v>
      </c>
      <c r="AC74" s="82">
        <f t="shared" si="123"/>
        <v>514.04200000000003</v>
      </c>
      <c r="AD74" s="136">
        <f t="shared" si="123"/>
        <v>132.03299999999999</v>
      </c>
      <c r="AE74" s="135">
        <f t="shared" si="123"/>
        <v>142.328</v>
      </c>
      <c r="AF74" s="135">
        <f t="shared" si="123"/>
        <v>143.22500000000002</v>
      </c>
      <c r="AG74" s="116">
        <f t="shared" si="123"/>
        <v>143.82499999999993</v>
      </c>
      <c r="AH74" s="82">
        <f t="shared" si="123"/>
        <v>561.41099999999994</v>
      </c>
      <c r="AI74" s="136">
        <f t="shared" si="123"/>
        <v>144.02500000000001</v>
      </c>
      <c r="AJ74" s="135">
        <f t="shared" ref="AJ74:AO74" si="124">+-AJ151</f>
        <v>153.99699999999999</v>
      </c>
      <c r="AK74" s="135">
        <f t="shared" si="124"/>
        <v>154.19499999999999</v>
      </c>
      <c r="AL74" s="116">
        <f t="shared" si="124"/>
        <v>154.35699999999997</v>
      </c>
      <c r="AM74" s="82">
        <f t="shared" si="124"/>
        <v>606.57399999999996</v>
      </c>
      <c r="AN74" s="136">
        <f t="shared" si="124"/>
        <v>162.41</v>
      </c>
      <c r="AO74" s="135">
        <f t="shared" si="124"/>
        <v>173.49199999999999</v>
      </c>
      <c r="AP74" s="135">
        <f t="shared" ref="AP74:AT74" si="125">+-AP151</f>
        <v>174.72500000000002</v>
      </c>
      <c r="AQ74" s="116">
        <f t="shared" si="125"/>
        <v>169.89399999999995</v>
      </c>
      <c r="AR74" s="82">
        <f t="shared" si="125"/>
        <v>680.52099999999996</v>
      </c>
      <c r="AS74" s="136">
        <f t="shared" si="125"/>
        <v>172.45599999999999</v>
      </c>
      <c r="AT74" s="135">
        <f t="shared" si="125"/>
        <v>182.79400000000001</v>
      </c>
      <c r="AU74" s="135">
        <f t="shared" ref="AU74:AW74" si="126">+-AU151</f>
        <v>182.79499999999996</v>
      </c>
      <c r="AV74" s="116">
        <f t="shared" si="126"/>
        <v>182.95500000000004</v>
      </c>
      <c r="AW74" s="82">
        <f t="shared" si="126"/>
        <v>721</v>
      </c>
      <c r="AX74" s="136">
        <f t="shared" ref="AX74:BG74" si="127">+AX71*AX59</f>
        <v>193.96103458685724</v>
      </c>
      <c r="AY74" s="135">
        <f t="shared" si="127"/>
        <v>194.12790873497173</v>
      </c>
      <c r="AZ74" s="135">
        <f t="shared" si="127"/>
        <v>194.29478288308624</v>
      </c>
      <c r="BA74" s="116">
        <f t="shared" si="127"/>
        <v>194.46165703120073</v>
      </c>
      <c r="BB74" s="82">
        <f t="shared" si="127"/>
        <v>776.84538323611594</v>
      </c>
      <c r="BC74" s="136">
        <f t="shared" si="127"/>
        <v>206.30624305007416</v>
      </c>
      <c r="BD74" s="135">
        <f t="shared" si="127"/>
        <v>206.48312964707551</v>
      </c>
      <c r="BE74" s="135">
        <f t="shared" si="127"/>
        <v>206.66001624407687</v>
      </c>
      <c r="BF74" s="116">
        <f t="shared" si="127"/>
        <v>206.83690284107826</v>
      </c>
      <c r="BG74" s="82">
        <f t="shared" si="127"/>
        <v>826.28629178230483</v>
      </c>
      <c r="BH74" s="136">
        <f t="shared" ref="BH74:BQ74" si="128">+BH71*BH59</f>
        <v>219.4346168043644</v>
      </c>
      <c r="BI74" s="135">
        <f t="shared" si="128"/>
        <v>219.62211659718585</v>
      </c>
      <c r="BJ74" s="135">
        <f t="shared" si="128"/>
        <v>219.80961639000731</v>
      </c>
      <c r="BK74" s="116">
        <f t="shared" si="128"/>
        <v>219.99711618282873</v>
      </c>
      <c r="BL74" s="82">
        <f t="shared" si="128"/>
        <v>878.86346597438626</v>
      </c>
      <c r="BM74" s="136">
        <f t="shared" si="128"/>
        <v>233.39569293418921</v>
      </c>
      <c r="BN74" s="135">
        <f t="shared" si="128"/>
        <v>233.59444271457994</v>
      </c>
      <c r="BO74" s="135">
        <f t="shared" si="128"/>
        <v>233.79319249497067</v>
      </c>
      <c r="BP74" s="116">
        <f t="shared" si="128"/>
        <v>233.99194227536142</v>
      </c>
      <c r="BQ74" s="82">
        <f t="shared" si="128"/>
        <v>934.77527041910128</v>
      </c>
      <c r="BR74" s="20"/>
      <c r="BS74" s="20"/>
      <c r="BT74" s="640"/>
      <c r="BU74" s="573"/>
      <c r="BV74" s="573"/>
      <c r="BW74" s="573"/>
      <c r="BX74" s="573"/>
      <c r="BY74" s="573"/>
      <c r="BZ74" s="573"/>
      <c r="CA74" s="573"/>
      <c r="CB74" s="20"/>
      <c r="CC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  <c r="CZ74" s="20"/>
    </row>
    <row r="75" spans="1:104" x14ac:dyDescent="0.2">
      <c r="C75" s="178" t="s">
        <v>37</v>
      </c>
      <c r="E75" s="182">
        <f t="shared" ref="E75:N75" si="129">+E71/E63</f>
        <v>0.61964888588791178</v>
      </c>
      <c r="F75" s="183">
        <f t="shared" si="129"/>
        <v>0.96468802799903675</v>
      </c>
      <c r="G75" s="183">
        <f t="shared" si="129"/>
        <v>0.50774458282178037</v>
      </c>
      <c r="H75" s="184">
        <f t="shared" si="129"/>
        <v>0.66139812589817881</v>
      </c>
      <c r="I75" s="53">
        <f t="shared" si="129"/>
        <v>0.65254479782997654</v>
      </c>
      <c r="J75" s="182">
        <f t="shared" si="129"/>
        <v>0.67732598628818874</v>
      </c>
      <c r="K75" s="183">
        <f t="shared" si="129"/>
        <v>0.86396224872738059</v>
      </c>
      <c r="L75" s="183">
        <f t="shared" si="129"/>
        <v>0.37459636737865548</v>
      </c>
      <c r="M75" s="184">
        <f t="shared" si="129"/>
        <v>0.87867546625123782</v>
      </c>
      <c r="N75" s="53">
        <f t="shared" si="129"/>
        <v>0.62129217348856114</v>
      </c>
      <c r="O75" s="182">
        <f t="shared" ref="O75:T75" si="130">+O71/O63</f>
        <v>0.60415895942334008</v>
      </c>
      <c r="P75" s="183">
        <f t="shared" si="130"/>
        <v>0.80046862211394121</v>
      </c>
      <c r="Q75" s="183">
        <f t="shared" si="130"/>
        <v>0.3750061297609541</v>
      </c>
      <c r="R75" s="184">
        <f t="shared" si="130"/>
        <v>0.91964512169434998</v>
      </c>
      <c r="S75" s="53">
        <f t="shared" si="130"/>
        <v>0.60077822078171117</v>
      </c>
      <c r="T75" s="182">
        <f t="shared" si="130"/>
        <v>0.68995937855165668</v>
      </c>
      <c r="U75" s="183">
        <f t="shared" ref="U75:AA75" si="131">+U71/U63</f>
        <v>0.71973011061040726</v>
      </c>
      <c r="V75" s="183">
        <f t="shared" si="131"/>
        <v>0.3460519985414594</v>
      </c>
      <c r="W75" s="184">
        <f t="shared" si="131"/>
        <v>0.94276805345363335</v>
      </c>
      <c r="X75" s="53">
        <f t="shared" si="131"/>
        <v>0.58837201028983743</v>
      </c>
      <c r="Y75" s="182">
        <f t="shared" si="131"/>
        <v>0.55980594958324326</v>
      </c>
      <c r="Z75" s="183">
        <f t="shared" si="131"/>
        <v>0.70829268292682979</v>
      </c>
      <c r="AA75" s="183">
        <f t="shared" si="131"/>
        <v>0.36353937967379735</v>
      </c>
      <c r="AB75" s="184">
        <f t="shared" ref="AB75:AI75" si="132">+AB71/AB63</f>
        <v>0.90761423203600322</v>
      </c>
      <c r="AC75" s="53">
        <f t="shared" si="132"/>
        <v>0.56912049978057144</v>
      </c>
      <c r="AD75" s="182">
        <f t="shared" si="132"/>
        <v>0.57393471428407317</v>
      </c>
      <c r="AE75" s="183">
        <f t="shared" si="132"/>
        <v>0.77389682523416181</v>
      </c>
      <c r="AF75" s="183">
        <f t="shared" si="132"/>
        <v>0.41214573690522066</v>
      </c>
      <c r="AG75" s="184">
        <f t="shared" si="132"/>
        <v>0.77437340518185738</v>
      </c>
      <c r="AH75" s="53">
        <f t="shared" si="132"/>
        <v>0.59232042110787697</v>
      </c>
      <c r="AI75" s="182">
        <f t="shared" si="132"/>
        <v>0.70222241444184452</v>
      </c>
      <c r="AJ75" s="183">
        <f t="shared" ref="AJ75:AO75" si="133">+AJ71/AJ63</f>
        <v>0.82558703302171721</v>
      </c>
      <c r="AK75" s="183">
        <f t="shared" si="133"/>
        <v>0.38150235776608993</v>
      </c>
      <c r="AL75" s="184">
        <f t="shared" si="133"/>
        <v>0.7788395590936884</v>
      </c>
      <c r="AM75" s="53">
        <f t="shared" si="133"/>
        <v>0.61153971052099632</v>
      </c>
      <c r="AN75" s="182">
        <f t="shared" si="133"/>
        <v>0.71737418777350392</v>
      </c>
      <c r="AO75" s="183">
        <f t="shared" si="133"/>
        <v>0.88023882720597724</v>
      </c>
      <c r="AP75" s="183">
        <f t="shared" ref="AP75:AT75" si="134">+AP71/AP63</f>
        <v>0.3784498301641564</v>
      </c>
      <c r="AQ75" s="184">
        <f t="shared" si="134"/>
        <v>0.76140946117629349</v>
      </c>
      <c r="AR75" s="53">
        <f t="shared" si="134"/>
        <v>0.61677528242916957</v>
      </c>
      <c r="AS75" s="182">
        <f t="shared" si="134"/>
        <v>0.76546696924484992</v>
      </c>
      <c r="AT75" s="183">
        <f t="shared" si="134"/>
        <v>0.80652920054916022</v>
      </c>
      <c r="AU75" s="183">
        <f t="shared" ref="AU75:AW75" si="135">+AU71/AU63</f>
        <v>0.37250934183496193</v>
      </c>
      <c r="AV75" s="184">
        <f t="shared" si="135"/>
        <v>0.86301253732467631</v>
      </c>
      <c r="AW75" s="53">
        <f t="shared" si="135"/>
        <v>0.62592655849701107</v>
      </c>
      <c r="AX75" s="182">
        <f t="shared" ref="AX75:BG75" si="136">+AX71/AX63</f>
        <v>0.66905437923721633</v>
      </c>
      <c r="AY75" s="183">
        <f t="shared" si="136"/>
        <v>0.78627711062571015</v>
      </c>
      <c r="AZ75" s="183">
        <f t="shared" si="136"/>
        <v>0.41298815058010135</v>
      </c>
      <c r="BA75" s="184">
        <f t="shared" si="136"/>
        <v>0.85058364371209583</v>
      </c>
      <c r="BB75" s="53">
        <f t="shared" si="136"/>
        <v>0.62857639146397248</v>
      </c>
      <c r="BC75" s="182">
        <f t="shared" si="136"/>
        <v>0.6440868874112341</v>
      </c>
      <c r="BD75" s="183">
        <f t="shared" si="136"/>
        <v>0.77161541583746773</v>
      </c>
      <c r="BE75" s="183">
        <f t="shared" si="136"/>
        <v>0.41454064544540137</v>
      </c>
      <c r="BF75" s="184">
        <f t="shared" si="136"/>
        <v>0.83309875971598135</v>
      </c>
      <c r="BG75" s="53">
        <f t="shared" si="136"/>
        <v>0.61907621073214936</v>
      </c>
      <c r="BH75" s="182">
        <f t="shared" ref="BH75:BQ75" si="137">+BH71/BH63</f>
        <v>0.65409709413663097</v>
      </c>
      <c r="BI75" s="183">
        <f t="shared" si="137"/>
        <v>0.7887383258250048</v>
      </c>
      <c r="BJ75" s="183">
        <f t="shared" si="137"/>
        <v>0.42635353964344841</v>
      </c>
      <c r="BK75" s="184">
        <f t="shared" si="137"/>
        <v>0.82695982404597168</v>
      </c>
      <c r="BL75" s="53">
        <f t="shared" si="137"/>
        <v>0.62977812026912816</v>
      </c>
      <c r="BM75" s="182">
        <f t="shared" si="137"/>
        <v>0.65142539110313014</v>
      </c>
      <c r="BN75" s="183">
        <f t="shared" si="137"/>
        <v>0.77784486502517858</v>
      </c>
      <c r="BO75" s="183">
        <f t="shared" si="137"/>
        <v>0.43032724863790922</v>
      </c>
      <c r="BP75" s="184">
        <f t="shared" si="137"/>
        <v>0.80538592907709483</v>
      </c>
      <c r="BQ75" s="53">
        <f t="shared" si="137"/>
        <v>0.62634866881632623</v>
      </c>
      <c r="BT75" s="525"/>
      <c r="BU75" s="525"/>
      <c r="BV75" s="525"/>
      <c r="BW75" s="525"/>
      <c r="BX75" s="525"/>
      <c r="BY75" s="525"/>
      <c r="BZ75" s="525"/>
      <c r="CA75" s="525"/>
    </row>
    <row r="76" spans="1:104" x14ac:dyDescent="0.2">
      <c r="E76" s="166"/>
      <c r="F76" s="167"/>
      <c r="G76" s="167"/>
      <c r="H76" s="168"/>
      <c r="J76" s="166"/>
      <c r="K76" s="167"/>
      <c r="L76" s="167"/>
      <c r="M76" s="168"/>
      <c r="O76" s="166"/>
      <c r="P76" s="167"/>
      <c r="Q76" s="167"/>
      <c r="R76" s="168"/>
      <c r="T76" s="166"/>
      <c r="U76" s="167"/>
      <c r="V76" s="167"/>
      <c r="W76" s="168"/>
      <c r="Y76" s="166"/>
      <c r="Z76" s="167"/>
      <c r="AA76" s="167"/>
      <c r="AB76" s="168"/>
      <c r="AD76" s="166"/>
      <c r="AE76" s="167"/>
      <c r="AF76" s="167"/>
      <c r="AG76" s="168"/>
      <c r="AI76" s="166"/>
      <c r="AJ76" s="167"/>
      <c r="AK76" s="167"/>
      <c r="AL76" s="168"/>
      <c r="AM76" s="775"/>
      <c r="AN76" s="166"/>
      <c r="AO76" s="167"/>
      <c r="AP76" s="167"/>
      <c r="AQ76" s="168"/>
      <c r="AR76" s="775"/>
      <c r="AS76" s="166"/>
      <c r="AT76" s="167"/>
      <c r="AU76" s="167"/>
      <c r="AV76" s="168"/>
      <c r="AW76" s="775"/>
      <c r="AX76" s="166"/>
      <c r="AY76" s="167"/>
      <c r="AZ76" s="167"/>
      <c r="BA76" s="168"/>
      <c r="BC76" s="166"/>
      <c r="BD76" s="167"/>
      <c r="BE76" s="167"/>
      <c r="BF76" s="168"/>
      <c r="BH76" s="166"/>
      <c r="BI76" s="167"/>
      <c r="BJ76" s="167"/>
      <c r="BK76" s="168"/>
      <c r="BM76" s="166"/>
      <c r="BN76" s="167"/>
      <c r="BO76" s="167"/>
      <c r="BP76" s="168"/>
      <c r="BT76" s="525"/>
      <c r="BU76" s="525"/>
      <c r="BV76" s="525"/>
      <c r="BW76" s="525"/>
      <c r="BX76" s="525"/>
      <c r="BY76" s="525"/>
      <c r="BZ76" s="525"/>
      <c r="CA76" s="525"/>
    </row>
    <row r="77" spans="1:104" x14ac:dyDescent="0.2">
      <c r="A77" s="26"/>
      <c r="B77" s="26"/>
      <c r="C77" s="141" t="s">
        <v>33</v>
      </c>
      <c r="D77" s="26"/>
      <c r="E77" s="170"/>
      <c r="F77" s="171"/>
      <c r="G77" s="171"/>
      <c r="H77" s="172"/>
      <c r="I77" s="26"/>
      <c r="J77" s="170"/>
      <c r="K77" s="171"/>
      <c r="L77" s="171"/>
      <c r="M77" s="172"/>
      <c r="N77" s="26"/>
      <c r="O77" s="170"/>
      <c r="P77" s="171"/>
      <c r="Q77" s="171"/>
      <c r="R77" s="172"/>
      <c r="S77" s="26"/>
      <c r="T77" s="170"/>
      <c r="U77" s="171"/>
      <c r="V77" s="171"/>
      <c r="W77" s="172"/>
      <c r="X77" s="26"/>
      <c r="Y77" s="170"/>
      <c r="Z77" s="171"/>
      <c r="AA77" s="171"/>
      <c r="AB77" s="172"/>
      <c r="AC77" s="26"/>
      <c r="AD77" s="170"/>
      <c r="AE77" s="171"/>
      <c r="AF77" s="171"/>
      <c r="AG77" s="172"/>
      <c r="AH77" s="26"/>
      <c r="AI77" s="170"/>
      <c r="AJ77" s="171"/>
      <c r="AK77" s="171"/>
      <c r="AL77" s="172"/>
      <c r="AM77" s="26"/>
      <c r="AN77" s="170"/>
      <c r="AO77" s="171"/>
      <c r="AP77" s="171"/>
      <c r="AQ77" s="172"/>
      <c r="AR77" s="26"/>
      <c r="AS77" s="170"/>
      <c r="AT77" s="171"/>
      <c r="AU77" s="171"/>
      <c r="AV77" s="172"/>
      <c r="AW77" s="26"/>
      <c r="AX77" s="170"/>
      <c r="AY77" s="171"/>
      <c r="AZ77" s="171"/>
      <c r="BA77" s="172"/>
      <c r="BB77" s="26"/>
      <c r="BC77" s="170"/>
      <c r="BD77" s="171"/>
      <c r="BE77" s="171"/>
      <c r="BF77" s="172"/>
      <c r="BG77" s="26"/>
      <c r="BH77" s="170"/>
      <c r="BI77" s="171"/>
      <c r="BJ77" s="171"/>
      <c r="BK77" s="172"/>
      <c r="BL77" s="26"/>
      <c r="BM77" s="170"/>
      <c r="BN77" s="171"/>
      <c r="BO77" s="171"/>
      <c r="BP77" s="172"/>
      <c r="BQ77" s="26"/>
      <c r="BR77" s="26"/>
      <c r="BS77" s="26"/>
      <c r="BT77" s="562"/>
      <c r="BU77" s="562"/>
      <c r="BV77" s="562"/>
      <c r="BW77" s="562"/>
      <c r="BX77" s="562"/>
      <c r="BY77" s="562"/>
      <c r="BZ77" s="562"/>
      <c r="CA77" s="562"/>
      <c r="CB77" s="26"/>
      <c r="CC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</row>
    <row r="78" spans="1:104" x14ac:dyDescent="0.2">
      <c r="C78" s="70" t="s">
        <v>148</v>
      </c>
      <c r="E78" s="166"/>
      <c r="F78" s="167"/>
      <c r="G78" s="167"/>
      <c r="H78" s="168"/>
      <c r="J78" s="166"/>
      <c r="K78" s="167"/>
      <c r="L78" s="167"/>
      <c r="M78" s="168"/>
      <c r="O78" s="185"/>
      <c r="P78" s="177"/>
      <c r="Q78" s="177"/>
      <c r="R78" s="176"/>
      <c r="S78" s="33"/>
      <c r="T78" s="185"/>
      <c r="U78" s="177"/>
      <c r="V78" s="177"/>
      <c r="W78" s="176"/>
      <c r="X78" s="33"/>
      <c r="Y78" s="185"/>
      <c r="Z78" s="177"/>
      <c r="AA78" s="177"/>
      <c r="AB78" s="176"/>
      <c r="AC78" s="33"/>
      <c r="AD78" s="185"/>
      <c r="AE78" s="177"/>
      <c r="AF78" s="177"/>
      <c r="AG78" s="176"/>
      <c r="AH78" s="33"/>
      <c r="AI78" s="185"/>
      <c r="AJ78" s="177"/>
      <c r="AK78" s="177"/>
      <c r="AL78" s="176"/>
      <c r="AM78" s="33"/>
      <c r="AN78" s="185"/>
      <c r="AO78" s="177"/>
      <c r="AP78" s="177"/>
      <c r="AQ78" s="176"/>
      <c r="AR78" s="33"/>
      <c r="AS78" s="185"/>
      <c r="AT78" s="177"/>
      <c r="AU78" s="177"/>
      <c r="AV78" s="176"/>
      <c r="AW78" s="33"/>
      <c r="AX78" s="185">
        <f>+Valuation!$BB$15</f>
        <v>44.02</v>
      </c>
      <c r="AY78" s="177">
        <f>+Valuation!$BB$15</f>
        <v>44.02</v>
      </c>
      <c r="AZ78" s="177">
        <f>+Valuation!$BB$15</f>
        <v>44.02</v>
      </c>
      <c r="BA78" s="176">
        <f>+Valuation!$BB$15</f>
        <v>44.02</v>
      </c>
      <c r="BB78" s="33">
        <f>+Valuation!$BB$15</f>
        <v>44.02</v>
      </c>
      <c r="BC78" s="185">
        <f>+Valuation!$BB$15</f>
        <v>44.02</v>
      </c>
      <c r="BD78" s="177">
        <f>+Valuation!$BB$15</f>
        <v>44.02</v>
      </c>
      <c r="BE78" s="177">
        <f>+Valuation!$BB$15</f>
        <v>44.02</v>
      </c>
      <c r="BF78" s="176">
        <f>+Valuation!$BB$15</f>
        <v>44.02</v>
      </c>
      <c r="BG78" s="33">
        <f>+Valuation!$BB$15</f>
        <v>44.02</v>
      </c>
      <c r="BH78" s="185">
        <f>+Valuation!$BB$15</f>
        <v>44.02</v>
      </c>
      <c r="BI78" s="177">
        <f>+Valuation!$BB$15</f>
        <v>44.02</v>
      </c>
      <c r="BJ78" s="177">
        <f>+Valuation!$BB$15</f>
        <v>44.02</v>
      </c>
      <c r="BK78" s="176">
        <f>+Valuation!$BB$15</f>
        <v>44.02</v>
      </c>
      <c r="BL78" s="33">
        <f>+Valuation!$BB$15</f>
        <v>44.02</v>
      </c>
      <c r="BM78" s="185">
        <f>+Valuation!$BB$15</f>
        <v>44.02</v>
      </c>
      <c r="BN78" s="177">
        <f>+Valuation!$BB$15</f>
        <v>44.02</v>
      </c>
      <c r="BO78" s="177">
        <f>+Valuation!$BB$15</f>
        <v>44.02</v>
      </c>
      <c r="BP78" s="176">
        <f>+Valuation!$BB$15</f>
        <v>44.02</v>
      </c>
      <c r="BQ78" s="33">
        <f>+Valuation!$BB$15</f>
        <v>44.02</v>
      </c>
      <c r="BT78" s="525"/>
      <c r="BU78" s="525"/>
      <c r="BV78" s="525"/>
      <c r="BW78" s="525"/>
      <c r="BX78" s="525"/>
      <c r="BY78" s="525"/>
      <c r="BZ78" s="525"/>
      <c r="CA78" s="525"/>
    </row>
    <row r="79" spans="1:104" x14ac:dyDescent="0.2">
      <c r="C79" s="70" t="s">
        <v>149</v>
      </c>
      <c r="D79" s="186"/>
      <c r="E79" s="187"/>
      <c r="F79" s="188"/>
      <c r="G79" s="188"/>
      <c r="H79" s="189"/>
      <c r="I79" s="186"/>
      <c r="J79" s="187"/>
      <c r="K79" s="188"/>
      <c r="L79" s="188"/>
      <c r="M79" s="189"/>
      <c r="N79" s="186"/>
      <c r="O79" s="190"/>
      <c r="P79" s="191"/>
      <c r="Q79" s="191"/>
      <c r="R79" s="192"/>
      <c r="S79" s="186"/>
      <c r="T79" s="190"/>
      <c r="U79" s="191"/>
      <c r="V79" s="191"/>
      <c r="W79" s="192"/>
      <c r="X79" s="186"/>
      <c r="Y79" s="190"/>
      <c r="Z79" s="191"/>
      <c r="AA79" s="191"/>
      <c r="AB79" s="192"/>
      <c r="AC79" s="186"/>
      <c r="AD79" s="190"/>
      <c r="AE79" s="191"/>
      <c r="AF79" s="191"/>
      <c r="AG79" s="192"/>
      <c r="AH79" s="186"/>
      <c r="AI79" s="190"/>
      <c r="AJ79" s="191"/>
      <c r="AK79" s="191"/>
      <c r="AL79" s="192"/>
      <c r="AM79" s="186"/>
      <c r="AN79" s="190"/>
      <c r="AO79" s="191"/>
      <c r="AP79" s="191"/>
      <c r="AQ79" s="192"/>
      <c r="AR79" s="186"/>
      <c r="AS79" s="190"/>
      <c r="AT79" s="191"/>
      <c r="AU79" s="191"/>
      <c r="AV79" s="192"/>
      <c r="AW79" s="186"/>
      <c r="AX79" s="980">
        <f>77/4/AX78</f>
        <v>0.43730122671512944</v>
      </c>
      <c r="AY79" s="981">
        <f>77/4/AY78</f>
        <v>0.43730122671512944</v>
      </c>
      <c r="AZ79" s="981">
        <f>77/4/AZ78</f>
        <v>0.43730122671512944</v>
      </c>
      <c r="BA79" s="982">
        <f>77/4/BA78</f>
        <v>0.43730122671512944</v>
      </c>
      <c r="BB79" s="42">
        <f>SUM(AX79:BA79)</f>
        <v>1.7492049068605178</v>
      </c>
      <c r="BC79" s="980">
        <f>77/4/BC78</f>
        <v>0.43730122671512944</v>
      </c>
      <c r="BD79" s="981">
        <f>77/4/BD78</f>
        <v>0.43730122671512944</v>
      </c>
      <c r="BE79" s="981">
        <f>77/4/BE78</f>
        <v>0.43730122671512944</v>
      </c>
      <c r="BF79" s="982">
        <f>77/4/BF78</f>
        <v>0.43730122671512944</v>
      </c>
      <c r="BG79" s="42">
        <f>SUM(BC79:BF79)</f>
        <v>1.7492049068605178</v>
      </c>
      <c r="BH79" s="980">
        <f>77/4/BH78</f>
        <v>0.43730122671512944</v>
      </c>
      <c r="BI79" s="981">
        <f>77/4/BI78</f>
        <v>0.43730122671512944</v>
      </c>
      <c r="BJ79" s="981">
        <f>77/4/BJ78</f>
        <v>0.43730122671512944</v>
      </c>
      <c r="BK79" s="982">
        <f>77/4/BK78</f>
        <v>0.43730122671512944</v>
      </c>
      <c r="BL79" s="42">
        <f>SUM(BH79:BK79)</f>
        <v>1.7492049068605178</v>
      </c>
      <c r="BM79" s="980">
        <f>77/4/BM78</f>
        <v>0.43730122671512944</v>
      </c>
      <c r="BN79" s="981">
        <f>77/4/BN78</f>
        <v>0.43730122671512944</v>
      </c>
      <c r="BO79" s="981">
        <f>77/4/BO78</f>
        <v>0.43730122671512944</v>
      </c>
      <c r="BP79" s="982">
        <f>77/4/BP78</f>
        <v>0.43730122671512944</v>
      </c>
      <c r="BQ79" s="42">
        <f>SUM(BM79:BP79)</f>
        <v>1.7492049068605178</v>
      </c>
      <c r="BT79" s="525"/>
      <c r="BU79" s="525"/>
      <c r="BV79" s="525"/>
      <c r="BW79" s="525"/>
      <c r="BX79" s="525"/>
      <c r="BY79" s="525"/>
      <c r="BZ79" s="525"/>
      <c r="CA79" s="525"/>
    </row>
    <row r="80" spans="1:104" x14ac:dyDescent="0.2">
      <c r="C80" s="70" t="s">
        <v>150</v>
      </c>
      <c r="D80" s="186"/>
      <c r="E80" s="120">
        <f t="shared" ref="E80:T80" si="138">+E152</f>
        <v>1.27</v>
      </c>
      <c r="F80" s="118">
        <f t="shared" si="138"/>
        <v>1.395</v>
      </c>
      <c r="G80" s="118">
        <f t="shared" si="138"/>
        <v>1.5090000000000003</v>
      </c>
      <c r="H80" s="119">
        <f t="shared" si="138"/>
        <v>15.959</v>
      </c>
      <c r="I80" s="42">
        <f t="shared" si="138"/>
        <v>20.132999999999999</v>
      </c>
      <c r="J80" s="120">
        <f t="shared" si="138"/>
        <v>2.589</v>
      </c>
      <c r="K80" s="118">
        <f t="shared" si="138"/>
        <v>1.7049999999999996</v>
      </c>
      <c r="L80" s="118">
        <f t="shared" si="138"/>
        <v>1.5750000000000002</v>
      </c>
      <c r="M80" s="119">
        <f t="shared" si="138"/>
        <v>451.38900000000001</v>
      </c>
      <c r="N80" s="42">
        <f t="shared" si="138"/>
        <v>457.25799999999998</v>
      </c>
      <c r="O80" s="120">
        <f t="shared" si="138"/>
        <v>1.8779999999999999</v>
      </c>
      <c r="P80" s="118">
        <f t="shared" si="138"/>
        <v>1.9110000000000003</v>
      </c>
      <c r="Q80" s="118">
        <f t="shared" si="138"/>
        <v>2.3749999999999996</v>
      </c>
      <c r="R80" s="119">
        <f t="shared" si="138"/>
        <v>32.527000000000001</v>
      </c>
      <c r="S80" s="42">
        <f t="shared" si="138"/>
        <v>38.691000000000003</v>
      </c>
      <c r="T80" s="120">
        <f t="shared" si="138"/>
        <v>-40.238</v>
      </c>
      <c r="U80" s="118">
        <f t="shared" ref="U80:AA80" si="139">+U152</f>
        <v>2.1000000000000014</v>
      </c>
      <c r="V80" s="118">
        <f t="shared" si="139"/>
        <v>2.1799999999999997</v>
      </c>
      <c r="W80" s="119">
        <f t="shared" si="139"/>
        <v>2.171999999999997</v>
      </c>
      <c r="X80" s="42">
        <f t="shared" si="139"/>
        <v>-33.786000000000001</v>
      </c>
      <c r="Y80" s="120">
        <f t="shared" si="139"/>
        <v>160.084</v>
      </c>
      <c r="Z80" s="118">
        <f t="shared" si="139"/>
        <v>67.028999999999996</v>
      </c>
      <c r="AA80" s="118">
        <f t="shared" si="139"/>
        <v>2.3069999999999879</v>
      </c>
      <c r="AB80" s="119">
        <f t="shared" ref="AB80:AI80" si="140">+AB152</f>
        <v>2.3470000000000084</v>
      </c>
      <c r="AC80" s="42">
        <f t="shared" si="140"/>
        <v>231.767</v>
      </c>
      <c r="AD80" s="120">
        <f t="shared" si="140"/>
        <v>63.548000000000002</v>
      </c>
      <c r="AE80" s="118">
        <f t="shared" si="140"/>
        <v>113.02500000000001</v>
      </c>
      <c r="AF80" s="118">
        <f t="shared" si="140"/>
        <v>2.0660000000000025</v>
      </c>
      <c r="AG80" s="119">
        <f t="shared" si="140"/>
        <v>2.1589999999999918</v>
      </c>
      <c r="AH80" s="42">
        <f t="shared" si="140"/>
        <v>180.798</v>
      </c>
      <c r="AI80" s="120">
        <f t="shared" si="140"/>
        <v>1.411</v>
      </c>
      <c r="AJ80" s="118">
        <f t="shared" ref="AJ80:AO80" si="141">+AJ152</f>
        <v>1.9979999999999998</v>
      </c>
      <c r="AK80" s="118">
        <f t="shared" si="141"/>
        <v>1.8890000000000002</v>
      </c>
      <c r="AL80" s="119">
        <f t="shared" si="141"/>
        <v>1.7130000000000001</v>
      </c>
      <c r="AM80" s="42">
        <f t="shared" si="141"/>
        <v>7.0110000000000001</v>
      </c>
      <c r="AN80" s="120">
        <f t="shared" si="141"/>
        <v>0</v>
      </c>
      <c r="AO80" s="118">
        <f t="shared" si="141"/>
        <v>0</v>
      </c>
      <c r="AP80" s="118">
        <f t="shared" ref="AP80:AU80" si="142">+AP152</f>
        <v>0</v>
      </c>
      <c r="AQ80" s="119">
        <f t="shared" si="142"/>
        <v>-32.209000000000003</v>
      </c>
      <c r="AR80" s="42">
        <f t="shared" si="142"/>
        <v>-32.209000000000003</v>
      </c>
      <c r="AS80" s="120">
        <f t="shared" si="142"/>
        <v>-2.9430000000000001</v>
      </c>
      <c r="AT80" s="118">
        <f t="shared" si="142"/>
        <v>0</v>
      </c>
      <c r="AU80" s="118">
        <f t="shared" si="142"/>
        <v>0</v>
      </c>
      <c r="AV80" s="119">
        <f t="shared" ref="AV80:AW80" si="143">+AV152</f>
        <v>-5.699999999999994E-2</v>
      </c>
      <c r="AW80" s="42">
        <f t="shared" si="143"/>
        <v>-3</v>
      </c>
      <c r="AX80" s="120">
        <f>+AX78*AX79</f>
        <v>19.25</v>
      </c>
      <c r="AY80" s="118">
        <f>+AY78*AY79</f>
        <v>19.25</v>
      </c>
      <c r="AZ80" s="118">
        <f>+AZ78*AZ79</f>
        <v>19.25</v>
      </c>
      <c r="BA80" s="119">
        <f>+BA78*BA79</f>
        <v>19.25</v>
      </c>
      <c r="BB80" s="42">
        <f>SUM(AX80:BA80)</f>
        <v>77</v>
      </c>
      <c r="BC80" s="120">
        <f>+BC78*BC79</f>
        <v>19.25</v>
      </c>
      <c r="BD80" s="118">
        <f>+BD78*BD79</f>
        <v>19.25</v>
      </c>
      <c r="BE80" s="118">
        <f>+BE78*BE79</f>
        <v>19.25</v>
      </c>
      <c r="BF80" s="119">
        <f>+BF78*BF79</f>
        <v>19.25</v>
      </c>
      <c r="BG80" s="42">
        <f>SUM(BC80:BF80)</f>
        <v>77</v>
      </c>
      <c r="BH80" s="120">
        <f>+BH78*BH79</f>
        <v>19.25</v>
      </c>
      <c r="BI80" s="118">
        <f>+BI78*BI79</f>
        <v>19.25</v>
      </c>
      <c r="BJ80" s="118">
        <f>+BJ78*BJ79</f>
        <v>19.25</v>
      </c>
      <c r="BK80" s="119">
        <f>+BK78*BK79</f>
        <v>19.25</v>
      </c>
      <c r="BL80" s="42">
        <f>SUM(BH80:BK80)</f>
        <v>77</v>
      </c>
      <c r="BM80" s="120">
        <f>+BM78*BM79</f>
        <v>19.25</v>
      </c>
      <c r="BN80" s="118">
        <f>+BN78*BN79</f>
        <v>19.25</v>
      </c>
      <c r="BO80" s="118">
        <f>+BO78*BO79</f>
        <v>19.25</v>
      </c>
      <c r="BP80" s="119">
        <f>+BP78*BP79</f>
        <v>19.25</v>
      </c>
      <c r="BQ80" s="42">
        <f>SUM(BM80:BP80)</f>
        <v>77</v>
      </c>
      <c r="BS80" s="224">
        <f>BG80+BB80+AW80+AR80</f>
        <v>118.791</v>
      </c>
      <c r="BT80" s="640"/>
      <c r="BU80" s="525"/>
      <c r="BV80" s="525"/>
      <c r="BW80" s="525"/>
      <c r="BX80" s="525"/>
      <c r="BY80" s="525"/>
      <c r="BZ80" s="525"/>
      <c r="CA80" s="525"/>
    </row>
    <row r="81" spans="1:104" x14ac:dyDescent="0.2">
      <c r="E81" s="166"/>
      <c r="F81" s="167"/>
      <c r="G81" s="167"/>
      <c r="H81" s="168"/>
      <c r="J81" s="166"/>
      <c r="K81" s="167"/>
      <c r="L81" s="167"/>
      <c r="M81" s="168"/>
      <c r="O81" s="166"/>
      <c r="P81" s="167"/>
      <c r="Q81" s="167"/>
      <c r="R81" s="168"/>
      <c r="T81" s="166"/>
      <c r="U81" s="167"/>
      <c r="V81" s="167"/>
      <c r="W81" s="168"/>
      <c r="Y81" s="166"/>
      <c r="Z81" s="167"/>
      <c r="AA81" s="167"/>
      <c r="AB81" s="168"/>
      <c r="AD81" s="166"/>
      <c r="AE81" s="167"/>
      <c r="AF81" s="167"/>
      <c r="AG81" s="168"/>
      <c r="AI81" s="166"/>
      <c r="AJ81" s="167"/>
      <c r="AK81" s="167"/>
      <c r="AL81" s="168"/>
      <c r="AN81" s="166"/>
      <c r="AO81" s="167"/>
      <c r="AP81" s="167"/>
      <c r="AQ81" s="168"/>
      <c r="AS81" s="166"/>
      <c r="AT81" s="167"/>
      <c r="AU81" s="167"/>
      <c r="AV81" s="168"/>
      <c r="AX81" s="166"/>
      <c r="AY81" s="167"/>
      <c r="AZ81" s="167"/>
      <c r="BA81" s="168"/>
      <c r="BC81" s="166"/>
      <c r="BD81" s="167"/>
      <c r="BE81" s="167"/>
      <c r="BF81" s="168"/>
      <c r="BH81" s="166"/>
      <c r="BI81" s="167"/>
      <c r="BJ81" s="167"/>
      <c r="BK81" s="168"/>
      <c r="BM81" s="166"/>
      <c r="BN81" s="167"/>
      <c r="BO81" s="167"/>
      <c r="BP81" s="168"/>
      <c r="BT81" s="525"/>
      <c r="BU81" s="525"/>
      <c r="BV81" s="525"/>
      <c r="BW81" s="525"/>
      <c r="BX81" s="525"/>
      <c r="BY81" s="525"/>
      <c r="BZ81" s="525"/>
      <c r="CA81" s="525"/>
    </row>
    <row r="82" spans="1:104" x14ac:dyDescent="0.2">
      <c r="E82" s="166"/>
      <c r="F82" s="167"/>
      <c r="G82" s="167"/>
      <c r="H82" s="168"/>
      <c r="J82" s="166"/>
      <c r="K82" s="167"/>
      <c r="L82" s="167"/>
      <c r="M82" s="168"/>
      <c r="O82" s="166"/>
      <c r="P82" s="167"/>
      <c r="Q82" s="167"/>
      <c r="R82" s="168"/>
      <c r="T82" s="166"/>
      <c r="U82" s="167"/>
      <c r="V82" s="167"/>
      <c r="W82" s="168"/>
      <c r="Y82" s="166"/>
      <c r="Z82" s="167"/>
      <c r="AA82" s="167"/>
      <c r="AB82" s="168"/>
      <c r="AD82" s="166"/>
      <c r="AE82" s="167"/>
      <c r="AF82" s="167"/>
      <c r="AG82" s="168"/>
      <c r="AI82" s="166"/>
      <c r="AJ82" s="167"/>
      <c r="AK82" s="167"/>
      <c r="AL82" s="168"/>
      <c r="AN82" s="166"/>
      <c r="AO82" s="167"/>
      <c r="AP82" s="167"/>
      <c r="AQ82" s="168"/>
      <c r="AS82" s="166"/>
      <c r="AT82" s="167"/>
      <c r="AU82" s="167"/>
      <c r="AV82" s="168"/>
      <c r="AX82" s="166"/>
      <c r="AY82" s="167"/>
      <c r="AZ82" s="167"/>
      <c r="BA82" s="168"/>
      <c r="BC82" s="166"/>
      <c r="BD82" s="167"/>
      <c r="BE82" s="167"/>
      <c r="BF82" s="168"/>
      <c r="BH82" s="166"/>
      <c r="BI82" s="167"/>
      <c r="BJ82" s="167"/>
      <c r="BK82" s="168"/>
      <c r="BM82" s="166"/>
      <c r="BN82" s="167"/>
      <c r="BO82" s="167"/>
      <c r="BP82" s="168"/>
      <c r="BT82" s="640"/>
      <c r="BU82" s="525"/>
      <c r="BV82" s="525"/>
      <c r="BW82" s="525"/>
      <c r="BX82" s="525"/>
      <c r="BY82" s="525"/>
      <c r="BZ82" s="525"/>
      <c r="CA82" s="525"/>
    </row>
    <row r="83" spans="1:104" x14ac:dyDescent="0.2">
      <c r="B83" s="16" t="s">
        <v>151</v>
      </c>
      <c r="C83" s="16"/>
      <c r="E83" s="166"/>
      <c r="F83" s="167"/>
      <c r="G83" s="167"/>
      <c r="H83" s="168"/>
      <c r="J83" s="166"/>
      <c r="K83" s="167"/>
      <c r="L83" s="167"/>
      <c r="M83" s="168"/>
      <c r="N83" s="56"/>
      <c r="O83" s="166"/>
      <c r="P83" s="167"/>
      <c r="Q83" s="167"/>
      <c r="R83" s="168"/>
      <c r="T83" s="166"/>
      <c r="U83" s="167"/>
      <c r="V83" s="167"/>
      <c r="W83" s="168"/>
      <c r="Y83" s="166"/>
      <c r="Z83" s="167"/>
      <c r="AA83" s="167"/>
      <c r="AB83" s="168"/>
      <c r="AD83" s="166"/>
      <c r="AE83" s="167"/>
      <c r="AF83" s="167"/>
      <c r="AG83" s="168"/>
      <c r="AI83" s="166"/>
      <c r="AJ83" s="167"/>
      <c r="AK83" s="167"/>
      <c r="AL83" s="168"/>
      <c r="AN83" s="166"/>
      <c r="AO83" s="167"/>
      <c r="AP83" s="167"/>
      <c r="AQ83" s="168"/>
      <c r="AS83" s="166"/>
      <c r="AT83" s="167"/>
      <c r="AU83" s="167"/>
      <c r="AV83" s="168"/>
      <c r="AX83" s="166"/>
      <c r="AY83" s="167"/>
      <c r="AZ83" s="167"/>
      <c r="BA83" s="168"/>
      <c r="BC83" s="166"/>
      <c r="BD83" s="167"/>
      <c r="BE83" s="167"/>
      <c r="BF83" s="168"/>
      <c r="BH83" s="166"/>
      <c r="BI83" s="167"/>
      <c r="BJ83" s="167"/>
      <c r="BK83" s="168"/>
      <c r="BM83" s="166"/>
      <c r="BN83" s="167"/>
      <c r="BO83" s="167"/>
      <c r="BP83" s="168"/>
      <c r="BT83" s="525"/>
      <c r="BU83" s="525"/>
      <c r="BV83" s="525"/>
      <c r="BW83" s="525"/>
      <c r="BX83" s="525"/>
      <c r="BY83" s="525"/>
      <c r="BZ83" s="525"/>
      <c r="CA83" s="525"/>
    </row>
    <row r="84" spans="1:104" x14ac:dyDescent="0.2">
      <c r="A84" s="26"/>
      <c r="B84" s="26"/>
      <c r="C84" s="711" t="s">
        <v>152</v>
      </c>
      <c r="D84" s="26"/>
      <c r="E84" s="170"/>
      <c r="F84" s="171"/>
      <c r="G84" s="171"/>
      <c r="H84" s="172"/>
      <c r="I84" s="26"/>
      <c r="J84" s="170"/>
      <c r="K84" s="171"/>
      <c r="L84" s="171"/>
      <c r="M84" s="172"/>
      <c r="N84" s="26"/>
      <c r="O84" s="170"/>
      <c r="P84" s="171"/>
      <c r="Q84" s="171"/>
      <c r="R84" s="172"/>
      <c r="S84" s="26"/>
      <c r="T84" s="170"/>
      <c r="U84" s="171"/>
      <c r="V84" s="171"/>
      <c r="W84" s="172"/>
      <c r="X84" s="26"/>
      <c r="Y84" s="170"/>
      <c r="Z84" s="171"/>
      <c r="AA84" s="171"/>
      <c r="AB84" s="172"/>
      <c r="AC84" s="26"/>
      <c r="AD84" s="170"/>
      <c r="AE84" s="171"/>
      <c r="AF84" s="171"/>
      <c r="AG84" s="172"/>
      <c r="AH84" s="26"/>
      <c r="AI84" s="170"/>
      <c r="AJ84" s="171"/>
      <c r="AK84" s="171"/>
      <c r="AL84" s="172"/>
      <c r="AM84" s="26"/>
      <c r="AN84" s="170"/>
      <c r="AO84" s="171"/>
      <c r="AP84" s="171"/>
      <c r="AQ84" s="172"/>
      <c r="AR84" s="26"/>
      <c r="AS84" s="170"/>
      <c r="AT84" s="171"/>
      <c r="AU84" s="171"/>
      <c r="AV84" s="172"/>
      <c r="AW84" s="26"/>
      <c r="AX84" s="170"/>
      <c r="AY84" s="171"/>
      <c r="AZ84" s="171"/>
      <c r="BA84" s="172"/>
      <c r="BB84" s="26"/>
      <c r="BC84" s="170"/>
      <c r="BD84" s="171"/>
      <c r="BE84" s="171"/>
      <c r="BF84" s="172"/>
      <c r="BG84" s="26"/>
      <c r="BH84" s="170"/>
      <c r="BI84" s="171"/>
      <c r="BJ84" s="171"/>
      <c r="BK84" s="172"/>
      <c r="BL84" s="26"/>
      <c r="BM84" s="170"/>
      <c r="BN84" s="171"/>
      <c r="BO84" s="171"/>
      <c r="BP84" s="172"/>
      <c r="BQ84" s="26"/>
      <c r="BR84" s="26"/>
      <c r="BS84" s="26"/>
      <c r="BT84" s="562"/>
      <c r="BU84" s="562"/>
      <c r="BV84" s="562"/>
      <c r="BW84" s="562"/>
      <c r="BX84" s="562"/>
      <c r="BY84" s="562"/>
      <c r="BZ84" s="562"/>
      <c r="CA84" s="562"/>
      <c r="CB84" s="26"/>
      <c r="CC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</row>
    <row r="85" spans="1:104" x14ac:dyDescent="0.2">
      <c r="C85" s="609" t="s">
        <v>244</v>
      </c>
      <c r="E85" s="193">
        <f>'NSP-MN'!E55</f>
        <v>0.1671206618240515</v>
      </c>
      <c r="F85" s="194">
        <f>'NSP-MN'!F55</f>
        <v>0.10924193131712921</v>
      </c>
      <c r="G85" s="194">
        <f>'NSP-MN'!G55</f>
        <v>0.20231368031251315</v>
      </c>
      <c r="H85" s="195">
        <f>'NSP-MN'!H55</f>
        <v>0.16389844597115327</v>
      </c>
      <c r="I85" s="56">
        <f>'NSP-MN'!I55</f>
        <v>0.6426272971678193</v>
      </c>
      <c r="J85" s="193">
        <f>'NSP-MN'!J55</f>
        <v>0.13952451288566167</v>
      </c>
      <c r="K85" s="194">
        <f>'NSP-MN'!K55</f>
        <v>9.564930326302222E-2</v>
      </c>
      <c r="L85" s="194">
        <f>'NSP-MN'!L55</f>
        <v>0.23762442670106632</v>
      </c>
      <c r="M85" s="195">
        <f>'NSP-MN'!M55</f>
        <v>0.11936349652575251</v>
      </c>
      <c r="N85" s="56">
        <f>'NSP-MN'!N55</f>
        <v>0.5917788649326382</v>
      </c>
      <c r="O85" s="193">
        <f>'NSP-MN'!O55</f>
        <v>0.1903258510719569</v>
      </c>
      <c r="P85" s="194">
        <f>'NSP-MN'!P55</f>
        <v>0.13441362127272855</v>
      </c>
      <c r="Q85" s="194">
        <f>'NSP-MN'!Q55</f>
        <v>0.29204312051599707</v>
      </c>
      <c r="R85" s="195">
        <f>'NSP-MN'!R55</f>
        <v>0.11022996318207239</v>
      </c>
      <c r="S85" s="56">
        <f>'NSP-MN'!S55</f>
        <v>0.72687416986707643</v>
      </c>
      <c r="T85" s="193">
        <f>'NSP-MN'!T55</f>
        <v>0.1577598131128396</v>
      </c>
      <c r="U85" s="194">
        <f>'NSP-MN'!U55</f>
        <v>0.13178229446924997</v>
      </c>
      <c r="V85" s="194">
        <f>'NSP-MN'!V55</f>
        <v>0.27838134340883147</v>
      </c>
      <c r="W85" s="195">
        <f>'NSP-MN'!W55</f>
        <v>0.12845507180007171</v>
      </c>
      <c r="X85" s="56">
        <f>'NSP-MN'!X55</f>
        <v>0.69639091463739222</v>
      </c>
      <c r="Y85" s="193">
        <f>'NSP-MN'!Y55</f>
        <v>0.20786657723976681</v>
      </c>
      <c r="Z85" s="194">
        <f>'NSP-MN'!Z55</f>
        <v>0.15601482623746091</v>
      </c>
      <c r="AA85" s="194">
        <f>'NSP-MN'!AA55</f>
        <v>0.31105745416040775</v>
      </c>
      <c r="AB85" s="195">
        <f>'NSP-MN'!AB55</f>
        <v>0.1197499264008373</v>
      </c>
      <c r="AC85" s="56">
        <f>'NSP-MN'!AC55</f>
        <v>0.79218660630130588</v>
      </c>
      <c r="AD85" s="193">
        <f>'NSP-MN'!AD55</f>
        <v>0.21683815378212093</v>
      </c>
      <c r="AE85" s="194">
        <f>'NSP-MN'!AE55</f>
        <v>0.14949866522595825</v>
      </c>
      <c r="AF85" s="194">
        <f>'NSP-MN'!AF55</f>
        <v>0.26555745361547506</v>
      </c>
      <c r="AG85" s="195">
        <f>'NSP-MN'!AG55</f>
        <v>0.17130262687968995</v>
      </c>
      <c r="AH85" s="56">
        <f>'NSP-MN'!AH55</f>
        <v>0.80321631684708084</v>
      </c>
      <c r="AI85" s="193">
        <f>'NSP-MN'!AI55</f>
        <v>0.16964167814692008</v>
      </c>
      <c r="AJ85" s="194">
        <f>'NSP-MN'!AJ55</f>
        <v>0.14600432220503343</v>
      </c>
      <c r="AK85" s="194">
        <f>'NSP-MN'!AK55</f>
        <v>0.34527867324119332</v>
      </c>
      <c r="AL85" s="195">
        <f>'NSP-MN'!AL55</f>
        <v>0.19692847791987131</v>
      </c>
      <c r="AM85" s="56">
        <f>'NSP-MN'!AM55</f>
        <v>0.85796429527242968</v>
      </c>
      <c r="AN85" s="193">
        <f>'NSP-MN'!AN55</f>
        <v>0.18585682019051344</v>
      </c>
      <c r="AO85" s="194">
        <f>'NSP-MN'!AO55</f>
        <v>0.15343971422402808</v>
      </c>
      <c r="AP85" s="194">
        <f>'NSP-MN'!AP55</f>
        <v>0.40534886550515542</v>
      </c>
      <c r="AQ85" s="195">
        <f>'NSP-MN'!AQ55</f>
        <v>0.21472809326667008</v>
      </c>
      <c r="AR85" s="56">
        <f>'NSP-MN'!AR55</f>
        <v>0.95932792242843057</v>
      </c>
      <c r="AS85" s="193">
        <f>'NSP-MN'!AS55</f>
        <v>0.18508414345072649</v>
      </c>
      <c r="AT85" s="194">
        <f>'NSP-MN'!AT55</f>
        <v>0.17217830241488033</v>
      </c>
      <c r="AU85" s="194">
        <f>'NSP-MN'!AU55</f>
        <v>0.4496938587155026</v>
      </c>
      <c r="AV85" s="195">
        <f>'NSP-MN'!AV55</f>
        <v>0.15577603143418695</v>
      </c>
      <c r="AW85" s="56">
        <f>'NSP-MN'!AW55</f>
        <v>0.96290962671905933</v>
      </c>
      <c r="AX85" s="193">
        <f>'NSP-MN'!AX55</f>
        <v>0.20467875436502028</v>
      </c>
      <c r="AY85" s="194">
        <f>'NSP-MN'!AY55</f>
        <v>0.17553418495734632</v>
      </c>
      <c r="AZ85" s="194">
        <f>'NSP-MN'!AZ55</f>
        <v>0.40483670401713812</v>
      </c>
      <c r="BA85" s="195">
        <f>'NSP-MN'!BA55</f>
        <v>0.20035656458606316</v>
      </c>
      <c r="BB85" s="56">
        <f>'NSP-MN'!BB55</f>
        <v>0.9854991501714655</v>
      </c>
      <c r="BC85" s="193">
        <f>'NSP-MN'!BC55</f>
        <v>0.23920315002663425</v>
      </c>
      <c r="BD85" s="194">
        <f>'NSP-MN'!BD55</f>
        <v>0.21202119236050102</v>
      </c>
      <c r="BE85" s="194">
        <f>'NSP-MN'!BE55</f>
        <v>0.44427682721100759</v>
      </c>
      <c r="BF85" s="195">
        <f>'NSP-MN'!BF55</f>
        <v>0.22610171034944293</v>
      </c>
      <c r="BG85" s="56">
        <f>'NSP-MN'!BG55</f>
        <v>1.121685491754127</v>
      </c>
      <c r="BH85" s="193">
        <f>'NSP-MN'!BH55</f>
        <v>0.24995175810759493</v>
      </c>
      <c r="BI85" s="194">
        <f>'NSP-MN'!BI55</f>
        <v>0.21770718171986692</v>
      </c>
      <c r="BJ85" s="194">
        <f>'NSP-MN'!BJ55</f>
        <v>0.4576564132564917</v>
      </c>
      <c r="BK85" s="195">
        <f>'NSP-MN'!BK55</f>
        <v>0.23299478230730625</v>
      </c>
      <c r="BL85" s="56">
        <f>'NSP-MN'!BL55</f>
        <v>1.1583908126391487</v>
      </c>
      <c r="BM85" s="193">
        <f>'NSP-MN'!BM55</f>
        <v>0.25485174426540524</v>
      </c>
      <c r="BN85" s="194">
        <f>'NSP-MN'!BN55</f>
        <v>0.23079804998953174</v>
      </c>
      <c r="BO85" s="194">
        <f>'NSP-MN'!BO55</f>
        <v>0.47405031621412641</v>
      </c>
      <c r="BP85" s="195">
        <f>'NSP-MN'!BP55</f>
        <v>0.24240080706222075</v>
      </c>
      <c r="BQ85" s="56">
        <f>'NSP-MN'!BQ55</f>
        <v>1.2021884732736798</v>
      </c>
      <c r="BT85" s="525"/>
      <c r="BU85" s="525"/>
      <c r="BV85" s="525"/>
      <c r="BW85" s="525"/>
      <c r="BX85" s="525"/>
      <c r="BY85" s="525"/>
      <c r="BZ85" s="525"/>
      <c r="CA85" s="525"/>
    </row>
    <row r="86" spans="1:104" x14ac:dyDescent="0.2">
      <c r="C86" s="609" t="s">
        <v>336</v>
      </c>
      <c r="E86" s="193">
        <f>PSCO!E55</f>
        <v>0.17170228445099495</v>
      </c>
      <c r="F86" s="194">
        <f>PSCO!F55</f>
        <v>0.13255583821913186</v>
      </c>
      <c r="G86" s="194">
        <f>PSCO!G55</f>
        <v>0.19941720788802378</v>
      </c>
      <c r="H86" s="195">
        <f>PSCO!H55</f>
        <v>0.20346803910489009</v>
      </c>
      <c r="I86" s="56">
        <f>PSCO!I55</f>
        <v>0.70726846757769579</v>
      </c>
      <c r="J86" s="193">
        <f>PSCO!J55</f>
        <v>0.18327289497212287</v>
      </c>
      <c r="K86" s="194">
        <f>PSCO!K55</f>
        <v>0.16872198283351295</v>
      </c>
      <c r="L86" s="194">
        <f>PSCO!L55</f>
        <v>0.34217423958754933</v>
      </c>
      <c r="M86" s="195">
        <f>PSCO!M55</f>
        <v>0.16908502625576752</v>
      </c>
      <c r="N86" s="56">
        <f>PSCO!N55</f>
        <v>0.86259767669203669</v>
      </c>
      <c r="O86" s="193">
        <f>PSCO!O55</f>
        <v>0.19952467576982105</v>
      </c>
      <c r="P86" s="194">
        <f>PSCO!P55</f>
        <v>0.14635614055696042</v>
      </c>
      <c r="Q86" s="194">
        <f>PSCO!Q55</f>
        <v>0.28960637505299514</v>
      </c>
      <c r="R86" s="195">
        <f>PSCO!R55</f>
        <v>0.18159883858222986</v>
      </c>
      <c r="S86" s="56">
        <f>PSCO!S55</f>
        <v>0.81711438073370646</v>
      </c>
      <c r="T86" s="193">
        <f>PSCO!T55</f>
        <v>0.19115974548919507</v>
      </c>
      <c r="U86" s="194">
        <f>PSCO!U55</f>
        <v>0.19549933711325623</v>
      </c>
      <c r="V86" s="194">
        <f>PSCO!V55</f>
        <v>0.39388388343314701</v>
      </c>
      <c r="W86" s="195">
        <f>PSCO!W55</f>
        <v>0.15729981027771295</v>
      </c>
      <c r="X86" s="56">
        <f>PSCO!X55</f>
        <v>0.93784625967889046</v>
      </c>
      <c r="Y86" s="193">
        <f>PSCO!Y55</f>
        <v>0.23771178579947036</v>
      </c>
      <c r="Z86" s="194">
        <f>PSCO!Z55</f>
        <v>0.1953653952726308</v>
      </c>
      <c r="AA86" s="194">
        <f>PSCO!AA55</f>
        <v>0.33343828525933533</v>
      </c>
      <c r="AB86" s="195">
        <f>PSCO!AB55</f>
        <v>0.14967820810571986</v>
      </c>
      <c r="AC86" s="56">
        <f>PSCO!AC55</f>
        <v>0.91309925644268564</v>
      </c>
      <c r="AD86" s="193">
        <f>PSCO!AD55</f>
        <v>0.23692635859016406</v>
      </c>
      <c r="AE86" s="194">
        <f>PSCO!AE55</f>
        <v>0.17835123625500524</v>
      </c>
      <c r="AF86" s="194">
        <f>PSCO!AF55</f>
        <v>0.30444244764152317</v>
      </c>
      <c r="AG86" s="195">
        <f>PSCO!AG55</f>
        <v>0.18317715701885928</v>
      </c>
      <c r="AH86" s="56">
        <f>PSCO!AH55</f>
        <v>0.90294118230490295</v>
      </c>
      <c r="AI86" s="193">
        <f>PSCO!AI55</f>
        <v>0.21869832654372462</v>
      </c>
      <c r="AJ86" s="194">
        <f>PSCO!AJ55</f>
        <v>0.1938693969776055</v>
      </c>
      <c r="AK86" s="194">
        <f>PSCO!AK55</f>
        <v>0.34042448571771355</v>
      </c>
      <c r="AL86" s="195">
        <f>PSCO!AL55</f>
        <v>0.16561570002633969</v>
      </c>
      <c r="AM86" s="56">
        <f>PSCO!AM55</f>
        <v>0.91859778655877578</v>
      </c>
      <c r="AN86" s="193">
        <f>PSCO!AN55</f>
        <v>0.22758322694687236</v>
      </c>
      <c r="AO86" s="194">
        <f>PSCO!AO55</f>
        <v>0.17143417927731655</v>
      </c>
      <c r="AP86" s="194">
        <f>PSCO!AP55</f>
        <v>0.34069580780507319</v>
      </c>
      <c r="AQ86" s="195">
        <f>PSCO!AQ55</f>
        <v>0.17012647692183805</v>
      </c>
      <c r="AR86" s="56">
        <f>PSCO!AR55</f>
        <v>0.90976023868175371</v>
      </c>
      <c r="AS86" s="193">
        <f>PSCO!AS55</f>
        <v>0.21924469410779643</v>
      </c>
      <c r="AT86" s="194">
        <f>PSCO!AT55</f>
        <v>0.19756449664627246</v>
      </c>
      <c r="AU86" s="194">
        <f>PSCO!AU55</f>
        <v>0.36539994737276188</v>
      </c>
      <c r="AV86" s="195">
        <f>PSCO!AV55</f>
        <v>0.18842632612966667</v>
      </c>
      <c r="AW86" s="56">
        <f>PSCO!AW55</f>
        <v>0.97076424361493174</v>
      </c>
      <c r="AX86" s="193">
        <f>PSCO!AX55</f>
        <v>0.26585720181994088</v>
      </c>
      <c r="AY86" s="194">
        <f>PSCO!AY55</f>
        <v>0.21481952436606797</v>
      </c>
      <c r="AZ86" s="194">
        <f>PSCO!AZ55</f>
        <v>0.37257219193007729</v>
      </c>
      <c r="BA86" s="195">
        <f>PSCO!BA55</f>
        <v>0.1759231002473482</v>
      </c>
      <c r="BB86" s="56">
        <f>PSCO!BB55</f>
        <v>1.029123879600818</v>
      </c>
      <c r="BC86" s="193">
        <f>PSCO!BC55</f>
        <v>0.272659355508448</v>
      </c>
      <c r="BD86" s="194">
        <f>PSCO!BD55</f>
        <v>0.20695943915430473</v>
      </c>
      <c r="BE86" s="194">
        <f>PSCO!BE55</f>
        <v>0.37579175233251205</v>
      </c>
      <c r="BF86" s="195">
        <f>PSCO!BF55</f>
        <v>0.17895825719964167</v>
      </c>
      <c r="BG86" s="56">
        <f>PSCO!BG55</f>
        <v>1.0343207355482378</v>
      </c>
      <c r="BH86" s="193">
        <f>PSCO!BH55</f>
        <v>0.28665296498942111</v>
      </c>
      <c r="BI86" s="194">
        <f>PSCO!BI55</f>
        <v>0.21358907205901245</v>
      </c>
      <c r="BJ86" s="194">
        <f>PSCO!BJ55</f>
        <v>0.3809022967355663</v>
      </c>
      <c r="BK86" s="195">
        <f>PSCO!BK55</f>
        <v>0.19079544352692326</v>
      </c>
      <c r="BL86" s="56">
        <f>PSCO!BL55</f>
        <v>1.0718884642181536</v>
      </c>
      <c r="BM86" s="193">
        <f>PSCO!BM55</f>
        <v>0.30903935368445062</v>
      </c>
      <c r="BN86" s="194">
        <f>PSCO!BN55</f>
        <v>0.22709708970005102</v>
      </c>
      <c r="BO86" s="194">
        <f>PSCO!BO55</f>
        <v>0.39634329238462529</v>
      </c>
      <c r="BP86" s="195">
        <f>PSCO!BP55</f>
        <v>0.20784153860912921</v>
      </c>
      <c r="BQ86" s="56">
        <f>PSCO!BQ55</f>
        <v>1.1402641451712774</v>
      </c>
      <c r="BT86" s="525"/>
      <c r="BU86" s="525"/>
      <c r="BV86" s="525"/>
      <c r="BW86" s="525"/>
      <c r="BX86" s="525"/>
      <c r="BY86" s="525"/>
      <c r="BZ86" s="525"/>
      <c r="CA86" s="525"/>
    </row>
    <row r="87" spans="1:104" x14ac:dyDescent="0.2">
      <c r="C87" s="609" t="s">
        <v>338</v>
      </c>
      <c r="E87" s="193">
        <f>SPS!E47</f>
        <v>2.0138084710671404E-2</v>
      </c>
      <c r="F87" s="194">
        <f>SPS!F47</f>
        <v>3.6797835215405715E-2</v>
      </c>
      <c r="G87" s="194">
        <f>SPS!G47</f>
        <v>8.17898232168114E-2</v>
      </c>
      <c r="H87" s="195">
        <f>SPS!H47</f>
        <v>9.4795105125479208E-3</v>
      </c>
      <c r="I87" s="56">
        <f>SPS!I47</f>
        <v>0.14820437547441806</v>
      </c>
      <c r="J87" s="193">
        <f>SPS!J47</f>
        <v>1.6747988348847238E-2</v>
      </c>
      <c r="K87" s="194">
        <f>SPS!K47</f>
        <v>5.2985022761233035E-2</v>
      </c>
      <c r="L87" s="194">
        <f>SPS!L47</f>
        <v>8.4821187007460636E-2</v>
      </c>
      <c r="M87" s="195">
        <f>SPS!M47</f>
        <v>1.439134355275044E-2</v>
      </c>
      <c r="N87" s="56">
        <f>SPS!N47</f>
        <v>0.16846896033803016</v>
      </c>
      <c r="O87" s="193">
        <f>SPS!O47</f>
        <v>2.1139745736638925E-2</v>
      </c>
      <c r="P87" s="194">
        <f>SPS!P47</f>
        <v>5.0844837925896599E-2</v>
      </c>
      <c r="Q87" s="194">
        <f>SPS!Q47</f>
        <v>9.9982712278809893E-2</v>
      </c>
      <c r="R87" s="195">
        <f>SPS!R47</f>
        <v>1.3162460907901666E-2</v>
      </c>
      <c r="S87" s="56">
        <f>SPS!S47</f>
        <v>0.18512813648672291</v>
      </c>
      <c r="T87" s="193">
        <f>SPS!T47</f>
        <v>2.3278927038186806E-2</v>
      </c>
      <c r="U87" s="194">
        <f>SPS!U47</f>
        <v>6.2075706379081094E-2</v>
      </c>
      <c r="V87" s="194">
        <f>SPS!V47</f>
        <v>0.1192174023390329</v>
      </c>
      <c r="W87" s="195">
        <f>SPS!W47</f>
        <v>1.3223316214713529E-2</v>
      </c>
      <c r="X87" s="56">
        <f>SPS!X47</f>
        <v>0.21777558482824727</v>
      </c>
      <c r="Y87" s="193">
        <f>SPS!Y47</f>
        <v>2.565383227563604E-2</v>
      </c>
      <c r="Z87" s="194">
        <f>SPS!Z47</f>
        <v>5.6634460159506635E-2</v>
      </c>
      <c r="AA87" s="194">
        <f>SPS!AA47</f>
        <v>7.0264980216227638E-2</v>
      </c>
      <c r="AB87" s="195">
        <f>SPS!AB47</f>
        <v>3.9559549900232291E-2</v>
      </c>
      <c r="AC87" s="56">
        <f>SPS!AC47</f>
        <v>0.19168351687303145</v>
      </c>
      <c r="AD87" s="193">
        <f>SPS!AD47</f>
        <v>3.7489044434572689E-2</v>
      </c>
      <c r="AE87" s="194">
        <f>SPS!AE47</f>
        <v>5.5685104557299935E-2</v>
      </c>
      <c r="AF87" s="194">
        <f>SPS!AF47</f>
        <v>0.13219120594827843</v>
      </c>
      <c r="AG87" s="195">
        <f>SPS!AG47</f>
        <v>3.1856811082894933E-2</v>
      </c>
      <c r="AH87" s="56">
        <f>SPS!AH47</f>
        <v>0.25758306107510764</v>
      </c>
      <c r="AI87" s="193">
        <f>SPS!AI47</f>
        <v>3.9903979755337611E-2</v>
      </c>
      <c r="AJ87" s="194">
        <f>SPS!AJ47</f>
        <v>4.4434472143821582E-2</v>
      </c>
      <c r="AK87" s="194">
        <f>SPS!AK47</f>
        <v>0.12158087591728992</v>
      </c>
      <c r="AL87" s="195">
        <f>SPS!AL47</f>
        <v>4.4472793461467729E-2</v>
      </c>
      <c r="AM87" s="56">
        <f>SPS!AM47</f>
        <v>0.25043489554635506</v>
      </c>
      <c r="AN87" s="193">
        <f>SPS!AN47</f>
        <v>4.4236472552293085E-2</v>
      </c>
      <c r="AO87" s="194">
        <f>SPS!AO47</f>
        <v>6.3222045574986799E-2</v>
      </c>
      <c r="AP87" s="194">
        <f>SPS!AP47</f>
        <v>0.13412590321960274</v>
      </c>
      <c r="AQ87" s="195">
        <f>SPS!AQ47</f>
        <v>5.7078526405467803E-2</v>
      </c>
      <c r="AR87" s="56">
        <f>SPS!AR47</f>
        <v>0.29866035939662189</v>
      </c>
      <c r="AS87" s="193">
        <f>SPS!AS47</f>
        <v>4.9245834103157818E-2</v>
      </c>
      <c r="AT87" s="194">
        <f>SPS!AT47</f>
        <v>6.945505612460344E-2</v>
      </c>
      <c r="AU87" s="194">
        <f>SPS!AU47</f>
        <v>0.1331017473028541</v>
      </c>
      <c r="AV87" s="195">
        <f>SPS!AV47</f>
        <v>6.0933202357563263E-2</v>
      </c>
      <c r="AW87" s="56">
        <f>SPS!AW47</f>
        <v>0.31279567779960654</v>
      </c>
      <c r="AX87" s="193">
        <f>SPS!AX47</f>
        <v>8.5603579164999208E-2</v>
      </c>
      <c r="AY87" s="194">
        <f>SPS!AY47</f>
        <v>9.9938902475793193E-2</v>
      </c>
      <c r="AZ87" s="194">
        <f>SPS!AZ47</f>
        <v>0.15095487045444397</v>
      </c>
      <c r="BA87" s="195">
        <f>SPS!BA47</f>
        <v>5.1044515941952195E-2</v>
      </c>
      <c r="BB87" s="56">
        <f>SPS!BB47</f>
        <v>0.3875192437242998</v>
      </c>
      <c r="BC87" s="193">
        <f>SPS!BC47</f>
        <v>0.10601008410304283</v>
      </c>
      <c r="BD87" s="194">
        <f>SPS!BD47</f>
        <v>0.11721877263217964</v>
      </c>
      <c r="BE87" s="194">
        <f>SPS!BE47</f>
        <v>0.17087296071728847</v>
      </c>
      <c r="BF87" s="195">
        <f>SPS!BF47</f>
        <v>6.571092114479167E-2</v>
      </c>
      <c r="BG87" s="56">
        <f>SPS!BG47</f>
        <v>0.45978394848238457</v>
      </c>
      <c r="BH87" s="193">
        <f>SPS!BH47</f>
        <v>0.11330331174321671</v>
      </c>
      <c r="BI87" s="194">
        <f>SPS!BI47</f>
        <v>0.12250534880678352</v>
      </c>
      <c r="BJ87" s="194">
        <f>SPS!BJ47</f>
        <v>0.18786820753025643</v>
      </c>
      <c r="BK87" s="195">
        <f>SPS!BK47</f>
        <v>7.7213767226901653E-2</v>
      </c>
      <c r="BL87" s="56">
        <f>SPS!BL47</f>
        <v>0.50087232797228309</v>
      </c>
      <c r="BM87" s="193">
        <f>SPS!BM47</f>
        <v>0.12369430291639837</v>
      </c>
      <c r="BN87" s="194">
        <f>SPS!BN47</f>
        <v>0.13697057820193678</v>
      </c>
      <c r="BO87" s="194">
        <f>SPS!BO47</f>
        <v>0.20873172842384227</v>
      </c>
      <c r="BP87" s="195">
        <f>SPS!BP47</f>
        <v>9.3530255368626594E-2</v>
      </c>
      <c r="BQ87" s="56">
        <f>SPS!BQ47</f>
        <v>0.56291889982925325</v>
      </c>
      <c r="BT87" s="525"/>
      <c r="BU87" s="525"/>
      <c r="BV87" s="525"/>
      <c r="BW87" s="525"/>
      <c r="BX87" s="525"/>
      <c r="BY87" s="525"/>
      <c r="BZ87" s="525"/>
      <c r="CA87" s="525"/>
    </row>
    <row r="88" spans="1:104" x14ac:dyDescent="0.2">
      <c r="C88" s="609" t="s">
        <v>335</v>
      </c>
      <c r="E88" s="193">
        <f>'NSP-WI'!E54</f>
        <v>4.7638786538933962E-2</v>
      </c>
      <c r="F88" s="194">
        <f>'NSP-WI'!F54</f>
        <v>7.6100235131336506E-3</v>
      </c>
      <c r="G88" s="194">
        <f>'NSP-WI'!G54</f>
        <v>2.978010855760041E-2</v>
      </c>
      <c r="H88" s="195">
        <f>'NSP-WI'!H54</f>
        <v>1.8638310312704146E-2</v>
      </c>
      <c r="I88" s="56">
        <f>'NSP-WI'!I54</f>
        <v>0.10360743668774736</v>
      </c>
      <c r="J88" s="193">
        <f>'NSP-WI'!J54</f>
        <v>2.9462885335340496E-2</v>
      </c>
      <c r="K88" s="194">
        <f>'NSP-WI'!K54</f>
        <v>5.8184487611634278E-3</v>
      </c>
      <c r="L88" s="194">
        <f>'NSP-WI'!L54</f>
        <v>3.8145617388029511E-2</v>
      </c>
      <c r="M88" s="195">
        <f>'NSP-WI'!M54</f>
        <v>1.8887179759189309E-2</v>
      </c>
      <c r="N88" s="56">
        <f>'NSP-WI'!N54</f>
        <v>9.2252546985159237E-2</v>
      </c>
      <c r="O88" s="193">
        <f>'NSP-WI'!O54</f>
        <v>3.0235328855401894E-2</v>
      </c>
      <c r="P88" s="194">
        <f>'NSP-WI'!P54</f>
        <v>1.7471730542142939E-2</v>
      </c>
      <c r="Q88" s="194">
        <f>'NSP-WI'!Q54</f>
        <v>4.1105673253837252E-2</v>
      </c>
      <c r="R88" s="195">
        <f>'NSP-WI'!R54</f>
        <v>1.6246706817990637E-2</v>
      </c>
      <c r="S88" s="56">
        <f>'NSP-WI'!S54</f>
        <v>0.10503382309030827</v>
      </c>
      <c r="T88" s="193">
        <f>'NSP-WI'!T54</f>
        <v>3.0488017295259205E-2</v>
      </c>
      <c r="U88" s="194">
        <f>'NSP-WI'!U54</f>
        <v>1.176598356204807E-2</v>
      </c>
      <c r="V88" s="194">
        <f>'NSP-WI'!V54</f>
        <v>4.5437985337039244E-2</v>
      </c>
      <c r="W88" s="195">
        <f>'NSP-WI'!W54</f>
        <v>1.4578767459357125E-2</v>
      </c>
      <c r="X88" s="56">
        <f>'NSP-WI'!X54</f>
        <v>0.1022676554048246</v>
      </c>
      <c r="Y88" s="193">
        <f>'NSP-WI'!Y54</f>
        <v>4.0129981591377532E-2</v>
      </c>
      <c r="Z88" s="194">
        <f>'NSP-WI'!Z54</f>
        <v>2.1171160317728113E-2</v>
      </c>
      <c r="AA88" s="194">
        <f>'NSP-WI'!AA54</f>
        <v>4.4145988797551709E-2</v>
      </c>
      <c r="AB88" s="195">
        <f>'NSP-WI'!AB54</f>
        <v>1.4772987471787E-2</v>
      </c>
      <c r="AC88" s="56">
        <f>'NSP-WI'!AC54</f>
        <v>0.11976670184398999</v>
      </c>
      <c r="AD88" s="193">
        <f>'NSP-WI'!AD54</f>
        <v>4.8494635274719713E-2</v>
      </c>
      <c r="AE88" s="194">
        <f>'NSP-WI'!AE54</f>
        <v>2.387894870654032E-2</v>
      </c>
      <c r="AF88" s="194">
        <f>'NSP-WI'!AF54</f>
        <v>3.9556446436858829E-2</v>
      </c>
      <c r="AG88" s="195">
        <f>'NSP-WI'!AG54</f>
        <v>2.8324838841434382E-2</v>
      </c>
      <c r="AH88" s="56">
        <f>'NSP-WI'!AH54</f>
        <v>0.14013016819508203</v>
      </c>
      <c r="AI88" s="193">
        <f>'NSP-WI'!AI54</f>
        <v>4.3885114694132511E-2</v>
      </c>
      <c r="AJ88" s="194">
        <f>'NSP-WI'!AJ54</f>
        <v>2.4626333959226442E-2</v>
      </c>
      <c r="AK88" s="194">
        <f>'NSP-WI'!AK54</f>
        <v>5.1594427518601445E-2</v>
      </c>
      <c r="AL88" s="195">
        <f>'NSP-WI'!AL54</f>
        <v>2.6781958493369978E-2</v>
      </c>
      <c r="AM88" s="56">
        <f>'NSP-WI'!AM54</f>
        <v>0.14687268777254769</v>
      </c>
      <c r="AN88" s="193">
        <f>'NSP-WI'!AN54</f>
        <v>3.4628302072080994E-2</v>
      </c>
      <c r="AO88" s="194">
        <f>'NSP-WI'!AO54</f>
        <v>2.4779681642426728E-2</v>
      </c>
      <c r="AP88" s="194">
        <f>'NSP-WI'!AP54</f>
        <v>4.7532606178591279E-2</v>
      </c>
      <c r="AQ88" s="195">
        <f>'NSP-WI'!AQ54</f>
        <v>2.877384324556689E-2</v>
      </c>
      <c r="AR88" s="56">
        <f>'NSP-WI'!AR54</f>
        <v>0.13570117672460327</v>
      </c>
      <c r="AS88" s="193">
        <f>'NSP-WI'!AS54</f>
        <v>4.406475173652738E-2</v>
      </c>
      <c r="AT88" s="194">
        <f>'NSP-WI'!AT54</f>
        <v>2.7970970371316069E-2</v>
      </c>
      <c r="AU88" s="194">
        <f>'NSP-WI'!AU54</f>
        <v>4.3839667584370488E-2</v>
      </c>
      <c r="AV88" s="195">
        <f>'NSP-WI'!AV54</f>
        <v>4.0139489194498931E-2</v>
      </c>
      <c r="AW88" s="56">
        <f>'NSP-WI'!AW54</f>
        <v>0.15602357563850675</v>
      </c>
      <c r="AX88" s="193">
        <f>'NSP-WI'!AX54</f>
        <v>5.1685510117004167E-2</v>
      </c>
      <c r="AY88" s="194">
        <f>'NSP-WI'!AY54</f>
        <v>3.0414942141111977E-2</v>
      </c>
      <c r="AZ88" s="194">
        <f>'NSP-WI'!AZ54</f>
        <v>4.1944669482037053E-2</v>
      </c>
      <c r="BA88" s="195">
        <f>'NSP-WI'!BA54</f>
        <v>4.3934715180761252E-2</v>
      </c>
      <c r="BB88" s="56">
        <f>'NSP-WI'!BB54</f>
        <v>0.16797480063307443</v>
      </c>
      <c r="BC88" s="193">
        <f>'NSP-WI'!BC54</f>
        <v>5.5124896835359954E-2</v>
      </c>
      <c r="BD88" s="194">
        <f>'NSP-WI'!BD54</f>
        <v>3.1678005552218093E-2</v>
      </c>
      <c r="BE88" s="194">
        <f>'NSP-WI'!BE54</f>
        <v>4.2613987621725767E-2</v>
      </c>
      <c r="BF88" s="195">
        <f>'NSP-WI'!BF54</f>
        <v>4.5653142542480186E-2</v>
      </c>
      <c r="BG88" s="56">
        <f>'NSP-WI'!BG54</f>
        <v>0.17506254882482131</v>
      </c>
      <c r="BH88" s="193">
        <f>'NSP-WI'!BH54</f>
        <v>5.8679574065310949E-2</v>
      </c>
      <c r="BI88" s="194">
        <f>'NSP-WI'!BI54</f>
        <v>3.349696110942315E-2</v>
      </c>
      <c r="BJ88" s="194">
        <f>'NSP-WI'!BJ54</f>
        <v>4.4684217096061588E-2</v>
      </c>
      <c r="BK88" s="195">
        <f>'NSP-WI'!BK54</f>
        <v>4.8689198005326964E-2</v>
      </c>
      <c r="BL88" s="56">
        <f>'NSP-WI'!BL54</f>
        <v>0.18554193544269065</v>
      </c>
      <c r="BM88" s="193">
        <f>'NSP-WI'!BM54</f>
        <v>6.3169885501990986E-2</v>
      </c>
      <c r="BN88" s="194">
        <f>'NSP-WI'!BN54</f>
        <v>3.6825429309698073E-2</v>
      </c>
      <c r="BO88" s="194">
        <f>'NSP-WI'!BO54</f>
        <v>4.786948392064487E-2</v>
      </c>
      <c r="BP88" s="195">
        <f>'NSP-WI'!BP54</f>
        <v>5.2835484301782039E-2</v>
      </c>
      <c r="BQ88" s="56">
        <f>'NSP-WI'!BQ54</f>
        <v>0.20069179569688314</v>
      </c>
      <c r="BT88" s="525"/>
      <c r="BU88" s="525"/>
      <c r="BV88" s="525"/>
      <c r="BW88" s="525"/>
      <c r="BX88" s="525"/>
      <c r="BY88" s="525"/>
      <c r="BZ88" s="525"/>
      <c r="CA88" s="525"/>
    </row>
    <row r="89" spans="1:104" x14ac:dyDescent="0.2">
      <c r="C89" s="609" t="s">
        <v>332</v>
      </c>
      <c r="E89" s="193">
        <f>Parent!E43</f>
        <v>-2.3318244025685993E-2</v>
      </c>
      <c r="F89" s="194">
        <f>Parent!F43</f>
        <v>-3.2237513300026589E-2</v>
      </c>
      <c r="G89" s="194">
        <f>Parent!G43</f>
        <v>-3.0774746258085559E-2</v>
      </c>
      <c r="H89" s="195">
        <f>Parent!H43</f>
        <v>-2.5056887971602847E-2</v>
      </c>
      <c r="I89" s="56">
        <f>Parent!I43</f>
        <v>-0.11138843983996312</v>
      </c>
      <c r="J89" s="193">
        <f>Parent!J43</f>
        <v>-7.2917595720657967E-3</v>
      </c>
      <c r="K89" s="194">
        <f>Parent!K43</f>
        <v>-3.0916617437536056E-2</v>
      </c>
      <c r="L89" s="194">
        <f>Parent!L43</f>
        <v>-2.870661163285447E-2</v>
      </c>
      <c r="M89" s="195">
        <f>Parent!M43</f>
        <v>-3.4362700896408582E-2</v>
      </c>
      <c r="N89" s="56">
        <f>Parent!N43</f>
        <v>-0.10152549358964406</v>
      </c>
      <c r="O89" s="193">
        <f>Parent!O43</f>
        <v>-2.3289235413513493E-2</v>
      </c>
      <c r="P89" s="194">
        <f>Parent!P43</f>
        <v>-2.4276596577783652E-2</v>
      </c>
      <c r="Q89" s="194">
        <f>Parent!Q43</f>
        <v>-2.9415880829975025E-2</v>
      </c>
      <c r="R89" s="195">
        <f>Parent!R43</f>
        <v>-3.8520219059488922E-2</v>
      </c>
      <c r="S89" s="56">
        <f>Parent!S43</f>
        <v>-0.11554626607497717</v>
      </c>
      <c r="T89" s="193">
        <f>Parent!T43</f>
        <v>-2.5852723900859454E-2</v>
      </c>
      <c r="U89" s="194">
        <f>Parent!U43</f>
        <v>-2.5982701422287407E-2</v>
      </c>
      <c r="V89" s="194">
        <f>Parent!V43</f>
        <v>-5.6691050354293532E-2</v>
      </c>
      <c r="W89" s="195">
        <f>Parent!W43</f>
        <v>-2.716626868600714E-2</v>
      </c>
      <c r="X89" s="56">
        <f>Parent!X43</f>
        <v>-0.1357030837329086</v>
      </c>
      <c r="Y89" s="193">
        <f>Parent!Y43</f>
        <v>-2.9052190381444687E-2</v>
      </c>
      <c r="Z89" s="194">
        <f>Parent!Z43</f>
        <v>-3.386903757961273E-2</v>
      </c>
      <c r="AA89" s="194">
        <f>Parent!AA43</f>
        <v>1.129870989349128E-2</v>
      </c>
      <c r="AB89" s="195">
        <f>Parent!AB43</f>
        <v>-1.5259559713453209E-2</v>
      </c>
      <c r="AC89" s="56">
        <f>Parent!AC43</f>
        <v>-6.6358260897583274E-2</v>
      </c>
      <c r="AD89" s="193">
        <f>Parent!AD43</f>
        <v>-1.7040656653579195E-2</v>
      </c>
      <c r="AE89" s="194">
        <f>Parent!AE43</f>
        <v>-1.9765381681815481E-2</v>
      </c>
      <c r="AF89" s="194">
        <f>Parent!AF43</f>
        <v>-1.3849693402980284E-2</v>
      </c>
      <c r="AG89" s="195">
        <f>Parent!AG43</f>
        <v>-2.7251434987048025E-2</v>
      </c>
      <c r="AH89" s="56">
        <f>Parent!AH43</f>
        <v>-7.7940240063321162E-2</v>
      </c>
      <c r="AI89" s="193">
        <f>Parent!AI43</f>
        <v>-1.6433021346373027E-2</v>
      </c>
      <c r="AJ89" s="194">
        <f>Parent!AJ43</f>
        <v>-2.1331538319221723E-2</v>
      </c>
      <c r="AK89" s="194">
        <f>Parent!AK43</f>
        <v>-2.0089413032746542E-2</v>
      </c>
      <c r="AL89" s="195">
        <f>Parent!AL43</f>
        <v>-2.2931253415313199E-2</v>
      </c>
      <c r="AM89" s="56">
        <f>Parent!AM43</f>
        <v>-8.0792178964437869E-2</v>
      </c>
      <c r="AN89" s="193">
        <f>Parent!AN43</f>
        <v>-1.8354119611116784E-2</v>
      </c>
      <c r="AO89" s="194">
        <f>Parent!AO43</f>
        <v>-2.6616812891323456E-2</v>
      </c>
      <c r="AP89" s="194">
        <f>Parent!AP43</f>
        <v>-2.9301405509786559E-2</v>
      </c>
      <c r="AQ89" s="195">
        <f>Parent!AQ43</f>
        <v>-2.4166651944068415E-2</v>
      </c>
      <c r="AR89" s="56">
        <f>Parent!AR43</f>
        <v>-9.8432669565127168E-2</v>
      </c>
      <c r="AS89" s="193">
        <f>Parent!AS43</f>
        <v>-2.7338268071874689E-2</v>
      </c>
      <c r="AT89" s="194">
        <f>Parent!AT43</f>
        <v>-2.0811768980723198E-2</v>
      </c>
      <c r="AU89" s="194">
        <f>Parent!AU43</f>
        <v>-2.5616504530262964E-2</v>
      </c>
      <c r="AV89" s="195">
        <f>Parent!AV43</f>
        <v>-2.8131630648328038E-2</v>
      </c>
      <c r="AW89" s="56">
        <f>Parent!AW43</f>
        <v>-0.10190373280943191</v>
      </c>
      <c r="AX89" s="193">
        <f>Parent!AX43</f>
        <v>-3.7467819145451796E-2</v>
      </c>
      <c r="AY89" s="194">
        <f>Parent!AY43</f>
        <v>-3.5382475996326442E-2</v>
      </c>
      <c r="AZ89" s="194">
        <f>Parent!AZ43</f>
        <v>-4.6310981080239469E-2</v>
      </c>
      <c r="BA89" s="195">
        <f>Parent!BA43</f>
        <v>-2.2625768784022914E-2</v>
      </c>
      <c r="BB89" s="56">
        <f>Parent!BB43</f>
        <v>-0.14177261078611494</v>
      </c>
      <c r="BC89" s="193">
        <f>Parent!BC43</f>
        <v>-4.4982838285593921E-2</v>
      </c>
      <c r="BD89" s="194">
        <f>Parent!BD43</f>
        <v>-4.3657712039349289E-2</v>
      </c>
      <c r="BE89" s="194">
        <f>Parent!BE43</f>
        <v>-5.7786313345341497E-2</v>
      </c>
      <c r="BF89" s="195">
        <f>Parent!BF43</f>
        <v>-3.0892159675410542E-2</v>
      </c>
      <c r="BG89" s="56">
        <f>Parent!BG43</f>
        <v>-0.17730697377786267</v>
      </c>
      <c r="BH89" s="193">
        <f>Parent!BH43</f>
        <v>-5.3079789281388415E-2</v>
      </c>
      <c r="BI89" s="194">
        <f>Parent!BI43</f>
        <v>-4.3688920342813048E-2</v>
      </c>
      <c r="BJ89" s="194">
        <f>Parent!BJ43</f>
        <v>-6.54533409512493E-2</v>
      </c>
      <c r="BK89" s="195">
        <f>Parent!BK43</f>
        <v>-3.1208800975744265E-2</v>
      </c>
      <c r="BL89" s="56">
        <f>Parent!BL43</f>
        <v>-0.1934121419488696</v>
      </c>
      <c r="BM89" s="193">
        <f>Parent!BM43</f>
        <v>-5.3067244410962375E-2</v>
      </c>
      <c r="BN89" s="194">
        <f>Parent!BN43</f>
        <v>-4.7395067049954144E-2</v>
      </c>
      <c r="BO89" s="194">
        <f>Parent!BO43</f>
        <v>-7.0841144784972235E-2</v>
      </c>
      <c r="BP89" s="195">
        <f>Parent!BP43</f>
        <v>-3.2292656934894005E-2</v>
      </c>
      <c r="BQ89" s="56">
        <f>Parent!BQ43</f>
        <v>-0.20357958101195162</v>
      </c>
      <c r="BT89" s="525"/>
      <c r="BU89" s="525"/>
      <c r="BV89" s="525"/>
      <c r="BW89" s="525"/>
      <c r="BX89" s="525"/>
      <c r="BY89" s="525"/>
      <c r="BZ89" s="525"/>
      <c r="CA89" s="525"/>
    </row>
    <row r="90" spans="1:104" x14ac:dyDescent="0.2">
      <c r="A90" s="26"/>
      <c r="B90" s="26"/>
      <c r="C90" s="711" t="s">
        <v>153</v>
      </c>
      <c r="D90" s="26"/>
      <c r="E90" s="196">
        <f t="shared" ref="E90:AM90" si="144">SUM(E85:E89)</f>
        <v>0.3832815734989658</v>
      </c>
      <c r="F90" s="197">
        <f t="shared" si="144"/>
        <v>0.25396811496477384</v>
      </c>
      <c r="G90" s="197">
        <f t="shared" si="144"/>
        <v>0.48252607371686312</v>
      </c>
      <c r="H90" s="198">
        <f t="shared" si="144"/>
        <v>0.37042741792969258</v>
      </c>
      <c r="I90" s="199">
        <f t="shared" si="144"/>
        <v>1.4903191370677171</v>
      </c>
      <c r="J90" s="196">
        <f t="shared" si="144"/>
        <v>0.36171652196990645</v>
      </c>
      <c r="K90" s="197">
        <f t="shared" si="144"/>
        <v>0.29225814018139556</v>
      </c>
      <c r="L90" s="197">
        <f t="shared" si="144"/>
        <v>0.67405885905125129</v>
      </c>
      <c r="M90" s="198">
        <f t="shared" si="144"/>
        <v>0.28736434519705117</v>
      </c>
      <c r="N90" s="199">
        <f t="shared" si="144"/>
        <v>1.6135725553582201</v>
      </c>
      <c r="O90" s="196">
        <f t="shared" si="144"/>
        <v>0.41793636602030526</v>
      </c>
      <c r="P90" s="197">
        <f t="shared" si="144"/>
        <v>0.32480973371994487</v>
      </c>
      <c r="Q90" s="197">
        <f t="shared" si="144"/>
        <v>0.69332200027166435</v>
      </c>
      <c r="R90" s="198">
        <f t="shared" si="144"/>
        <v>0.28271775043070563</v>
      </c>
      <c r="S90" s="199">
        <f t="shared" si="144"/>
        <v>1.7186042441028371</v>
      </c>
      <c r="T90" s="196">
        <f t="shared" si="144"/>
        <v>0.37683377903462117</v>
      </c>
      <c r="U90" s="197">
        <f>SUM(U85:U89)</f>
        <v>0.37514062010134797</v>
      </c>
      <c r="V90" s="197">
        <f>SUM(V85:V89)</f>
        <v>0.78022956416375699</v>
      </c>
      <c r="W90" s="198">
        <f>SUM(W85:W89)</f>
        <v>0.28639069706584813</v>
      </c>
      <c r="X90" s="199">
        <f>SUM(X85:X89)</f>
        <v>1.8185773308164459</v>
      </c>
      <c r="Y90" s="196">
        <f t="shared" si="144"/>
        <v>0.48230998652480606</v>
      </c>
      <c r="Z90" s="197">
        <f t="shared" si="144"/>
        <v>0.39531680440771372</v>
      </c>
      <c r="AA90" s="197">
        <f t="shared" si="144"/>
        <v>0.77020541832701361</v>
      </c>
      <c r="AB90" s="198">
        <f t="shared" si="144"/>
        <v>0.30850111216512327</v>
      </c>
      <c r="AC90" s="199">
        <f t="shared" si="144"/>
        <v>1.9503778205634297</v>
      </c>
      <c r="AD90" s="196">
        <f t="shared" si="144"/>
        <v>0.52270753542799819</v>
      </c>
      <c r="AE90" s="197">
        <f>SUM(AE85:AE89)</f>
        <v>0.38764857306298828</v>
      </c>
      <c r="AF90" s="197">
        <f t="shared" si="144"/>
        <v>0.72789786023915526</v>
      </c>
      <c r="AG90" s="198">
        <f>SUM(AG85:AG89)</f>
        <v>0.38740999883583055</v>
      </c>
      <c r="AH90" s="199">
        <f>SUM(AH85:AH89)</f>
        <v>2.0259304883588523</v>
      </c>
      <c r="AI90" s="196">
        <f>SUM(AI85:AI89)</f>
        <v>0.45569607779374177</v>
      </c>
      <c r="AJ90" s="197">
        <f>SUM(AJ85:AJ89)</f>
        <v>0.38760298696646517</v>
      </c>
      <c r="AK90" s="197">
        <f t="shared" si="144"/>
        <v>0.83878904936205168</v>
      </c>
      <c r="AL90" s="198">
        <f t="shared" si="144"/>
        <v>0.41086767648573541</v>
      </c>
      <c r="AM90" s="199">
        <f t="shared" si="144"/>
        <v>2.0930774861856705</v>
      </c>
      <c r="AN90" s="196">
        <f t="shared" ref="AN90:AR90" si="145">SUM(AN85:AN89)</f>
        <v>0.47395070215064311</v>
      </c>
      <c r="AO90" s="197">
        <f t="shared" si="145"/>
        <v>0.38625880782743471</v>
      </c>
      <c r="AP90" s="197">
        <f t="shared" si="145"/>
        <v>0.89840177719863601</v>
      </c>
      <c r="AQ90" s="198">
        <f t="shared" si="145"/>
        <v>0.44654028789547434</v>
      </c>
      <c r="AR90" s="199">
        <f t="shared" si="145"/>
        <v>2.2050170276662824</v>
      </c>
      <c r="AS90" s="196">
        <f t="shared" ref="AS90:AW90" si="146">SUM(AS85:AS89)</f>
        <v>0.47030115532633343</v>
      </c>
      <c r="AT90" s="197">
        <f t="shared" si="146"/>
        <v>0.44635705657634916</v>
      </c>
      <c r="AU90" s="197">
        <f t="shared" si="146"/>
        <v>0.96641871644522603</v>
      </c>
      <c r="AV90" s="198">
        <f t="shared" si="146"/>
        <v>0.41714341846758785</v>
      </c>
      <c r="AW90" s="199">
        <f t="shared" si="146"/>
        <v>2.3005893909626725</v>
      </c>
      <c r="AX90" s="196">
        <f t="shared" ref="AX90:BG90" si="147">SUM(AX85:AX89)</f>
        <v>0.57035722632151264</v>
      </c>
      <c r="AY90" s="197">
        <f t="shared" si="147"/>
        <v>0.48532507794399299</v>
      </c>
      <c r="AZ90" s="197">
        <f t="shared" si="147"/>
        <v>0.92399745480345696</v>
      </c>
      <c r="BA90" s="198">
        <f t="shared" si="147"/>
        <v>0.44863312717210191</v>
      </c>
      <c r="BB90" s="199">
        <f t="shared" si="147"/>
        <v>2.4283444633435427</v>
      </c>
      <c r="BC90" s="196">
        <f t="shared" si="147"/>
        <v>0.6280146481878911</v>
      </c>
      <c r="BD90" s="197">
        <f t="shared" si="147"/>
        <v>0.52421969765985421</v>
      </c>
      <c r="BE90" s="197">
        <f t="shared" si="147"/>
        <v>0.97576921453719245</v>
      </c>
      <c r="BF90" s="198">
        <f t="shared" si="147"/>
        <v>0.48553187156094585</v>
      </c>
      <c r="BG90" s="199">
        <f t="shared" si="147"/>
        <v>2.6135457508317081</v>
      </c>
      <c r="BH90" s="196">
        <f t="shared" ref="BH90:BQ90" si="148">SUM(BH85:BH89)</f>
        <v>0.65550781962415527</v>
      </c>
      <c r="BI90" s="197">
        <f t="shared" si="148"/>
        <v>0.54360964335227302</v>
      </c>
      <c r="BJ90" s="197">
        <f t="shared" si="148"/>
        <v>1.0056577936671267</v>
      </c>
      <c r="BK90" s="198">
        <f t="shared" si="148"/>
        <v>0.5184843900907139</v>
      </c>
      <c r="BL90" s="199">
        <f t="shared" si="148"/>
        <v>2.7232813983234063</v>
      </c>
      <c r="BM90" s="196">
        <f t="shared" si="148"/>
        <v>0.69768804195728296</v>
      </c>
      <c r="BN90" s="197">
        <f t="shared" si="148"/>
        <v>0.58429608015126355</v>
      </c>
      <c r="BO90" s="197">
        <f t="shared" si="148"/>
        <v>1.0561536761582666</v>
      </c>
      <c r="BP90" s="198">
        <f t="shared" si="148"/>
        <v>0.56431542840686466</v>
      </c>
      <c r="BQ90" s="199">
        <f t="shared" si="148"/>
        <v>2.9024837329591415</v>
      </c>
      <c r="BR90" s="26"/>
      <c r="BS90" s="26"/>
      <c r="BT90" s="562"/>
      <c r="BU90" s="562"/>
      <c r="BV90" s="562"/>
      <c r="BW90" s="562"/>
      <c r="BX90" s="562"/>
      <c r="BY90" s="562"/>
      <c r="BZ90" s="562"/>
      <c r="CA90" s="562"/>
      <c r="CB90" s="26"/>
      <c r="CC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</row>
    <row r="91" spans="1:104" x14ac:dyDescent="0.2">
      <c r="C91" s="525"/>
      <c r="E91" s="166"/>
      <c r="F91" s="167"/>
      <c r="G91" s="167"/>
      <c r="H91" s="168"/>
      <c r="J91" s="166"/>
      <c r="K91" s="167"/>
      <c r="L91" s="167"/>
      <c r="M91" s="168"/>
      <c r="O91" s="166"/>
      <c r="P91" s="167"/>
      <c r="Q91" s="167"/>
      <c r="R91" s="168"/>
      <c r="T91" s="166"/>
      <c r="U91" s="167"/>
      <c r="V91" s="167"/>
      <c r="W91" s="168"/>
      <c r="Y91" s="166"/>
      <c r="Z91" s="167"/>
      <c r="AA91" s="167"/>
      <c r="AB91" s="168"/>
      <c r="AD91" s="166"/>
      <c r="AE91" s="167"/>
      <c r="AF91" s="167"/>
      <c r="AG91" s="168"/>
      <c r="AI91" s="166"/>
      <c r="AJ91" s="167"/>
      <c r="AK91" s="167"/>
      <c r="AL91" s="168"/>
      <c r="AN91" s="166"/>
      <c r="AO91" s="167"/>
      <c r="AP91" s="167"/>
      <c r="AQ91" s="168"/>
      <c r="AS91" s="166"/>
      <c r="AT91" s="167"/>
      <c r="AU91" s="167"/>
      <c r="AV91" s="168"/>
      <c r="AX91" s="166"/>
      <c r="AY91" s="167"/>
      <c r="AZ91" s="167"/>
      <c r="BA91" s="168"/>
      <c r="BC91" s="166"/>
      <c r="BD91" s="167"/>
      <c r="BE91" s="167"/>
      <c r="BF91" s="168"/>
      <c r="BH91" s="166"/>
      <c r="BI91" s="167"/>
      <c r="BJ91" s="167"/>
      <c r="BK91" s="168"/>
      <c r="BM91" s="166"/>
      <c r="BN91" s="167"/>
      <c r="BO91" s="167"/>
      <c r="BP91" s="168"/>
      <c r="BT91" s="525"/>
      <c r="BU91" s="562">
        <v>2017</v>
      </c>
      <c r="BV91" s="562">
        <f>BU91+1</f>
        <v>2018</v>
      </c>
      <c r="BW91" s="562">
        <f>BV91+1</f>
        <v>2019</v>
      </c>
      <c r="BX91" s="562">
        <f>BW91+1</f>
        <v>2020</v>
      </c>
      <c r="BY91" s="525"/>
      <c r="BZ91" s="525"/>
      <c r="CA91" s="525"/>
    </row>
    <row r="92" spans="1:104" x14ac:dyDescent="0.2">
      <c r="C92" s="711" t="s">
        <v>154</v>
      </c>
      <c r="E92" s="166"/>
      <c r="F92" s="167"/>
      <c r="G92" s="167"/>
      <c r="H92" s="168"/>
      <c r="J92" s="166"/>
      <c r="K92" s="167"/>
      <c r="L92" s="167"/>
      <c r="M92" s="168"/>
      <c r="O92" s="166"/>
      <c r="P92" s="167"/>
      <c r="Q92" s="167"/>
      <c r="R92" s="168"/>
      <c r="T92" s="166"/>
      <c r="U92" s="167"/>
      <c r="V92" s="167"/>
      <c r="W92" s="168"/>
      <c r="Y92" s="166"/>
      <c r="Z92" s="167"/>
      <c r="AA92" s="167"/>
      <c r="AB92" s="168"/>
      <c r="AD92" s="166"/>
      <c r="AE92" s="167"/>
      <c r="AF92" s="167"/>
      <c r="AG92" s="168"/>
      <c r="AI92" s="166"/>
      <c r="AJ92" s="167"/>
      <c r="AK92" s="167"/>
      <c r="AL92" s="168"/>
      <c r="AN92" s="166"/>
      <c r="AO92" s="167"/>
      <c r="AP92" s="167"/>
      <c r="AQ92" s="168"/>
      <c r="AS92" s="166"/>
      <c r="AT92" s="167"/>
      <c r="AU92" s="167"/>
      <c r="AV92" s="168"/>
      <c r="AX92" s="166"/>
      <c r="AY92" s="167"/>
      <c r="AZ92" s="167"/>
      <c r="BA92" s="168"/>
      <c r="BC92" s="166"/>
      <c r="BD92" s="167"/>
      <c r="BE92" s="167"/>
      <c r="BF92" s="168"/>
      <c r="BH92" s="166"/>
      <c r="BI92" s="167"/>
      <c r="BJ92" s="167"/>
      <c r="BK92" s="168"/>
      <c r="BM92" s="166"/>
      <c r="BN92" s="167"/>
      <c r="BO92" s="167"/>
      <c r="BP92" s="168"/>
      <c r="BT92" s="525" t="s">
        <v>633</v>
      </c>
      <c r="BU92" s="525">
        <f>'NSP-MN'!AW174+PSCO!AW168+SPS!AW129+'NSP-WI'!AW165</f>
        <v>760</v>
      </c>
      <c r="BV92" s="525">
        <f>'NSP-MN'!BB174+PSCO!BB168+SPS!BB129+'NSP-WI'!BB165</f>
        <v>750</v>
      </c>
      <c r="BW92" s="525">
        <f>'NSP-MN'!BG174+PSCO!BG168+SPS!BG129+'NSP-WI'!BG165</f>
        <v>810</v>
      </c>
      <c r="BX92">
        <f>'NSP-MN'!BL174+PSCO!BL168+SPS!BL129+'NSP-WI'!BL165</f>
        <v>870</v>
      </c>
      <c r="BY92" s="525"/>
    </row>
    <row r="93" spans="1:104" x14ac:dyDescent="0.2">
      <c r="C93" s="609" t="s">
        <v>244</v>
      </c>
      <c r="E93" s="120">
        <f>'NSP-MN'!E179</f>
        <v>278.00299999999999</v>
      </c>
      <c r="F93" s="139">
        <f>'NSP-MN'!F179</f>
        <v>217.96899999999999</v>
      </c>
      <c r="G93" s="139">
        <f>'NSP-MN'!G179</f>
        <v>156.89100000000008</v>
      </c>
      <c r="H93" s="119">
        <f>'NSP-MN'!H179</f>
        <v>191.69299999999998</v>
      </c>
      <c r="I93" s="44">
        <f>'NSP-MN'!I179</f>
        <v>844.55600000000004</v>
      </c>
      <c r="J93" s="120">
        <f>'NSP-MN'!J179</f>
        <v>288.33600000000001</v>
      </c>
      <c r="K93" s="139">
        <f>'NSP-MN'!K179</f>
        <v>286.96699999999998</v>
      </c>
      <c r="L93" s="139">
        <f>'NSP-MN'!L179</f>
        <v>317.33500000000004</v>
      </c>
      <c r="M93" s="119">
        <f>'NSP-MN'!M179</f>
        <v>316.76400000000001</v>
      </c>
      <c r="N93" s="44">
        <f>'NSP-MN'!N179</f>
        <v>1209.402</v>
      </c>
      <c r="O93" s="120">
        <f>'NSP-MN'!O179</f>
        <v>303.37599999999998</v>
      </c>
      <c r="P93" s="139">
        <f>'NSP-MN'!P179</f>
        <v>318.98400000000004</v>
      </c>
      <c r="Q93" s="139">
        <f>'NSP-MN'!Q179</f>
        <v>187.59299999999996</v>
      </c>
      <c r="R93" s="119">
        <f>'NSP-MN'!R179</f>
        <v>309.71100000000001</v>
      </c>
      <c r="S93" s="44">
        <f>'NSP-MN'!S179</f>
        <v>1119.664</v>
      </c>
      <c r="T93" s="120">
        <f>'NSP-MN'!T179</f>
        <v>221.874</v>
      </c>
      <c r="U93" s="139">
        <f>'NSP-MN'!U179</f>
        <v>247.15200000000002</v>
      </c>
      <c r="V93" s="139">
        <f>'NSP-MN'!V179</f>
        <v>351.07199999999995</v>
      </c>
      <c r="W93" s="119">
        <f>'NSP-MN'!W179</f>
        <v>352.30500000000006</v>
      </c>
      <c r="X93" s="44">
        <f>'NSP-MN'!X179</f>
        <v>1172.403</v>
      </c>
      <c r="Y93" s="120">
        <f>'NSP-MN'!Y179</f>
        <v>376.58800000000002</v>
      </c>
      <c r="Z93" s="139">
        <f>'NSP-MN'!Z179</f>
        <v>386.52100000000002</v>
      </c>
      <c r="AA93" s="139">
        <f>'NSP-MN'!AA179</f>
        <v>394.00099999999986</v>
      </c>
      <c r="AB93" s="119">
        <f>'NSP-MN'!AB179</f>
        <v>391.8420000000001</v>
      </c>
      <c r="AC93" s="44">
        <f>'NSP-MN'!AC179</f>
        <v>1548.952</v>
      </c>
      <c r="AD93" s="120">
        <f>'NSP-MN'!AD179</f>
        <v>323.44799999999998</v>
      </c>
      <c r="AE93" s="139">
        <f>'NSP-MN'!AE179</f>
        <v>266.98400000000004</v>
      </c>
      <c r="AF93" s="139">
        <f>'NSP-MN'!AF179</f>
        <v>274.06899999999996</v>
      </c>
      <c r="AG93" s="119">
        <f>'NSP-MN'!AG179</f>
        <v>377.43900000000008</v>
      </c>
      <c r="AH93" s="44">
        <f>'NSP-MN'!AH179</f>
        <v>1241.94</v>
      </c>
      <c r="AI93" s="120">
        <f>'NSP-MN'!AI179</f>
        <v>322.66000000000003</v>
      </c>
      <c r="AJ93" s="139">
        <f>'NSP-MN'!AJ179</f>
        <v>288.07099999999997</v>
      </c>
      <c r="AK93" s="139">
        <f>'NSP-MN'!AK179</f>
        <v>296.58400000000006</v>
      </c>
      <c r="AL93" s="119">
        <f>'NSP-MN'!AL179</f>
        <v>947.56299999999987</v>
      </c>
      <c r="AM93" s="44">
        <f>'NSP-MN'!AM179</f>
        <v>1854.8779999999999</v>
      </c>
      <c r="AN93" s="120">
        <f>'NSP-MN'!AN179</f>
        <v>259.57</v>
      </c>
      <c r="AO93" s="139">
        <f>'NSP-MN'!AO179</f>
        <v>254.95599999999996</v>
      </c>
      <c r="AP93" s="139">
        <f>'NSP-MN'!AP179</f>
        <v>319.31900000000007</v>
      </c>
      <c r="AQ93" s="119">
        <f>'NSP-MN'!AQ179</f>
        <v>370.69200000000001</v>
      </c>
      <c r="AR93" s="44">
        <f>'NSP-MN'!AR179</f>
        <v>1204.537</v>
      </c>
      <c r="AS93" s="120">
        <f>'NSP-MN'!AS179</f>
        <v>277.125</v>
      </c>
      <c r="AT93" s="139">
        <f>'NSP-MN'!AT179</f>
        <v>207.04700000000003</v>
      </c>
      <c r="AU93" s="139">
        <f>'NSP-MN'!AU179</f>
        <v>212.68499999999995</v>
      </c>
      <c r="AV93" s="119">
        <f>'NSP-MN'!AV179</f>
        <v>319.82600000000002</v>
      </c>
      <c r="AW93" s="44">
        <f>'NSP-MN'!AW179</f>
        <v>1016.683</v>
      </c>
      <c r="AX93" s="120">
        <f>'NSP-MN'!AX179</f>
        <v>342.5</v>
      </c>
      <c r="AY93" s="139">
        <f>'NSP-MN'!AY179</f>
        <v>342.5</v>
      </c>
      <c r="AZ93" s="139">
        <f>'NSP-MN'!AZ179</f>
        <v>342.5</v>
      </c>
      <c r="BA93" s="119">
        <f>'NSP-MN'!BA179</f>
        <v>342.5</v>
      </c>
      <c r="BB93" s="44">
        <f>'NSP-MN'!BB179</f>
        <v>1370</v>
      </c>
      <c r="BC93" s="120">
        <f>'NSP-MN'!BC179</f>
        <v>477.5</v>
      </c>
      <c r="BD93" s="139">
        <f>'NSP-MN'!BD179</f>
        <v>477.5</v>
      </c>
      <c r="BE93" s="139">
        <f>'NSP-MN'!BE179</f>
        <v>477.5</v>
      </c>
      <c r="BF93" s="119">
        <f>'NSP-MN'!BF179</f>
        <v>477.5</v>
      </c>
      <c r="BG93" s="44">
        <f>'NSP-MN'!BG179</f>
        <v>1910</v>
      </c>
      <c r="BH93" s="120">
        <f>'NSP-MN'!BH179</f>
        <v>362.5</v>
      </c>
      <c r="BI93" s="139">
        <f>'NSP-MN'!BI179</f>
        <v>362.5</v>
      </c>
      <c r="BJ93" s="139">
        <f>'NSP-MN'!BJ179</f>
        <v>362.5</v>
      </c>
      <c r="BK93" s="119">
        <f>'NSP-MN'!BK179</f>
        <v>362.5</v>
      </c>
      <c r="BL93" s="44">
        <f>'NSP-MN'!BL179</f>
        <v>1450</v>
      </c>
      <c r="BM93" s="120">
        <f>'NSP-MN'!BM179</f>
        <v>397.5</v>
      </c>
      <c r="BN93" s="139">
        <f>'NSP-MN'!BN179</f>
        <v>397.5</v>
      </c>
      <c r="BO93" s="139">
        <f>'NSP-MN'!BO179</f>
        <v>397.5</v>
      </c>
      <c r="BP93" s="119">
        <f>'NSP-MN'!BP179</f>
        <v>397.5</v>
      </c>
      <c r="BQ93" s="44">
        <f>'NSP-MN'!BQ179</f>
        <v>1590</v>
      </c>
      <c r="BT93" s="525" t="s">
        <v>634</v>
      </c>
      <c r="BU93" s="525">
        <f>'NSP-MN'!AW172+PSCO!AW166+SPS!AW130+'NSP-WI'!AW163</f>
        <v>377.37999999999988</v>
      </c>
      <c r="BV93" s="525">
        <f>'NSP-MN'!BB172+PSCO!BB166+SPS!BB130+'NSP-WI'!BB163</f>
        <v>520</v>
      </c>
      <c r="BW93" s="525">
        <f>'NSP-MN'!BG172+PSCO!BG166+SPS!BG130+'NSP-WI'!BG163</f>
        <v>370</v>
      </c>
      <c r="BX93">
        <f>'NSP-MN'!BL172+PSCO!BL166+SPS!BL130+'NSP-WI'!BL163</f>
        <v>290</v>
      </c>
      <c r="BY93" s="525"/>
    </row>
    <row r="94" spans="1:104" x14ac:dyDescent="0.2">
      <c r="C94" s="609" t="s">
        <v>336</v>
      </c>
      <c r="E94" s="120">
        <f>PSCO!E172</f>
        <v>133.17699999999999</v>
      </c>
      <c r="F94" s="139">
        <f>PSCO!F172</f>
        <v>173.03900000000002</v>
      </c>
      <c r="G94" s="139">
        <f>PSCO!G172</f>
        <v>133.29300000000001</v>
      </c>
      <c r="H94" s="119">
        <f>PSCO!H172</f>
        <v>187.91200000000003</v>
      </c>
      <c r="I94" s="44">
        <f>PSCO!I172</f>
        <v>627.42100000000005</v>
      </c>
      <c r="J94" s="120">
        <f>PSCO!J172</f>
        <v>115.89</v>
      </c>
      <c r="K94" s="139">
        <f>PSCO!K172</f>
        <v>106.67399999999999</v>
      </c>
      <c r="L94" s="139">
        <f>PSCO!L172</f>
        <v>160.33799999999999</v>
      </c>
      <c r="M94" s="119">
        <f>PSCO!M172</f>
        <v>188.84399999999999</v>
      </c>
      <c r="N94" s="44">
        <f>PSCO!N172</f>
        <v>571.74599999999998</v>
      </c>
      <c r="O94" s="120">
        <f>PSCO!O172</f>
        <v>115.991</v>
      </c>
      <c r="P94" s="139">
        <f>PSCO!P172</f>
        <v>162.291</v>
      </c>
      <c r="Q94" s="139">
        <f>PSCO!Q172</f>
        <v>197.16200000000003</v>
      </c>
      <c r="R94" s="119">
        <f>PSCO!R172</f>
        <v>251.38600000000002</v>
      </c>
      <c r="S94" s="44">
        <f>PSCO!S172</f>
        <v>726.83</v>
      </c>
      <c r="T94" s="120">
        <f>PSCO!T172</f>
        <v>152.41999999999999</v>
      </c>
      <c r="U94" s="139">
        <f>PSCO!U172</f>
        <v>230.256</v>
      </c>
      <c r="V94" s="139">
        <f>PSCO!V172</f>
        <v>227.63299999999998</v>
      </c>
      <c r="W94" s="119">
        <f>PSCO!W172</f>
        <v>263.07400000000007</v>
      </c>
      <c r="X94" s="44">
        <f>PSCO!X172</f>
        <v>873.38300000000004</v>
      </c>
      <c r="Y94" s="120">
        <f>PSCO!Y172</f>
        <v>226.94800000000001</v>
      </c>
      <c r="Z94" s="139">
        <f>PSCO!Z172</f>
        <v>270.678</v>
      </c>
      <c r="AA94" s="139">
        <f>PSCO!AA172</f>
        <v>245.19600000000003</v>
      </c>
      <c r="AB94" s="119">
        <f>PSCO!AB172</f>
        <v>323.87800000000004</v>
      </c>
      <c r="AC94" s="44">
        <f>PSCO!AC172</f>
        <v>1066.7</v>
      </c>
      <c r="AD94" s="120">
        <f>PSCO!AD172</f>
        <v>299.08600000000001</v>
      </c>
      <c r="AE94" s="139">
        <f>PSCO!AE172</f>
        <v>274.31499999999994</v>
      </c>
      <c r="AF94" s="139">
        <f>PSCO!AF172</f>
        <v>258.86900000000003</v>
      </c>
      <c r="AG94" s="119">
        <f>PSCO!AG172</f>
        <v>282.06799999999998</v>
      </c>
      <c r="AH94" s="44">
        <f>PSCO!AH172</f>
        <v>1114.338</v>
      </c>
      <c r="AI94" s="120">
        <f>PSCO!AI172</f>
        <v>241.19399999999999</v>
      </c>
      <c r="AJ94" s="139">
        <f>PSCO!AJ172</f>
        <v>212.99600000000001</v>
      </c>
      <c r="AK94" s="139">
        <f>PSCO!AK172</f>
        <v>214.19099999999997</v>
      </c>
      <c r="AL94" s="119">
        <f>PSCO!AL172</f>
        <v>327.21600000000001</v>
      </c>
      <c r="AM94" s="44">
        <f>PSCO!AM172</f>
        <v>995.59699999999998</v>
      </c>
      <c r="AN94" s="120">
        <f>PSCO!AN172</f>
        <v>238.63499999999999</v>
      </c>
      <c r="AO94" s="139">
        <f>PSCO!AO172</f>
        <v>285.45100000000002</v>
      </c>
      <c r="AP94" s="139">
        <f>PSCO!AP172</f>
        <v>277.96500000000003</v>
      </c>
      <c r="AQ94" s="119">
        <f>PSCO!AQ172</f>
        <v>311.74899999999991</v>
      </c>
      <c r="AR94" s="44">
        <f>PSCO!AR172</f>
        <v>1113.8</v>
      </c>
      <c r="AS94" s="120">
        <f>PSCO!AS172</f>
        <v>272.92700000000002</v>
      </c>
      <c r="AT94" s="139">
        <f>PSCO!AT172</f>
        <v>336.44200000000001</v>
      </c>
      <c r="AU94" s="139">
        <f>PSCO!AU172</f>
        <v>386.31099999999992</v>
      </c>
      <c r="AV94" s="119">
        <f>PSCO!AV172</f>
        <v>480.01699999999994</v>
      </c>
      <c r="AW94" s="44">
        <f>PSCO!AW172</f>
        <v>1475.6969999999999</v>
      </c>
      <c r="AX94" s="120">
        <f>PSCO!AX172</f>
        <v>287.5</v>
      </c>
      <c r="AY94" s="139">
        <f>PSCO!AY172</f>
        <v>287.5</v>
      </c>
      <c r="AZ94" s="139">
        <f>PSCO!AZ172</f>
        <v>287.5</v>
      </c>
      <c r="BA94" s="119">
        <f>PSCO!BA172</f>
        <v>287.5</v>
      </c>
      <c r="BB94" s="44">
        <f>PSCO!BB172</f>
        <v>1650</v>
      </c>
      <c r="BC94" s="120">
        <f>PSCO!BC172</f>
        <v>255</v>
      </c>
      <c r="BD94" s="139">
        <f>PSCO!BD172</f>
        <v>255</v>
      </c>
      <c r="BE94" s="139">
        <f>PSCO!BE172</f>
        <v>255</v>
      </c>
      <c r="BF94" s="119">
        <f>PSCO!BF172</f>
        <v>255</v>
      </c>
      <c r="BG94" s="44">
        <f>PSCO!BG172</f>
        <v>1020</v>
      </c>
      <c r="BH94" s="120">
        <f>PSCO!BH172</f>
        <v>237.5</v>
      </c>
      <c r="BI94" s="139">
        <f>PSCO!BI172</f>
        <v>237.5</v>
      </c>
      <c r="BJ94" s="139">
        <f>PSCO!BJ172</f>
        <v>237.5</v>
      </c>
      <c r="BK94" s="119">
        <f>PSCO!BK172</f>
        <v>237.5</v>
      </c>
      <c r="BL94" s="44">
        <f>PSCO!BL172</f>
        <v>950</v>
      </c>
      <c r="BM94" s="120">
        <f>PSCO!BM172</f>
        <v>287.5</v>
      </c>
      <c r="BN94" s="139">
        <f>PSCO!BN172</f>
        <v>287.5</v>
      </c>
      <c r="BO94" s="139">
        <f>PSCO!BO172</f>
        <v>287.5</v>
      </c>
      <c r="BP94" s="119">
        <f>PSCO!BP172</f>
        <v>287.5</v>
      </c>
      <c r="BQ94" s="44">
        <f>PSCO!BQ172</f>
        <v>1150</v>
      </c>
      <c r="BT94" s="525" t="s">
        <v>635</v>
      </c>
      <c r="BU94" s="525">
        <f>'NSP-MN'!AW178+PSCO!AW171+SPS!AW132+'NSP-WI'!AW168</f>
        <v>610</v>
      </c>
      <c r="BV94" s="525">
        <f>'NSP-MN'!BB178+PSCO!BB171+SPS!BB132+'NSP-WI'!BB168-(Parent!BB60-10)</f>
        <v>1440</v>
      </c>
      <c r="BW94" s="525">
        <f>'NSP-MN'!BG178+PSCO!BG171+SPS!BG132+'NSP-WI'!BG168-(Parent!BG60-10)</f>
        <v>1780</v>
      </c>
      <c r="BX94">
        <f>'NSP-MN'!BL178+PSCO!BL171+SPS!BL132+'NSP-WI'!BL168-(Parent!BL60-10)</f>
        <v>800</v>
      </c>
      <c r="BY94" s="525">
        <f>SUM(BU94:BX94)</f>
        <v>4630</v>
      </c>
    </row>
    <row r="95" spans="1:104" x14ac:dyDescent="0.2">
      <c r="C95" s="609" t="s">
        <v>338</v>
      </c>
      <c r="E95" s="120">
        <f>SPS!E133</f>
        <v>44.398000000000003</v>
      </c>
      <c r="F95" s="139">
        <f>SPS!F133</f>
        <v>51.607999999999997</v>
      </c>
      <c r="G95" s="139">
        <f>SPS!G133</f>
        <v>52.537000000000006</v>
      </c>
      <c r="H95" s="119">
        <f>SPS!H133</f>
        <v>63.323000000000008</v>
      </c>
      <c r="I95" s="44">
        <f>SPS!I133</f>
        <v>211.86600000000001</v>
      </c>
      <c r="J95" s="120">
        <f>SPS!J133</f>
        <v>47.280999999999999</v>
      </c>
      <c r="K95" s="139">
        <f>SPS!K133</f>
        <v>64.045999999999992</v>
      </c>
      <c r="L95" s="139">
        <f>SPS!L133</f>
        <v>84.707999999999998</v>
      </c>
      <c r="M95" s="119">
        <f>SPS!M133</f>
        <v>113.37300000000002</v>
      </c>
      <c r="N95" s="44">
        <f>SPS!N133</f>
        <v>309.40800000000002</v>
      </c>
      <c r="O95" s="120">
        <f>SPS!O133</f>
        <v>91.01</v>
      </c>
      <c r="P95" s="139">
        <f>SPS!P133</f>
        <v>71.98</v>
      </c>
      <c r="Q95" s="139">
        <f>SPS!Q133</f>
        <v>61.873999999999995</v>
      </c>
      <c r="R95" s="119">
        <f>SPS!R133</f>
        <v>83.359000000000009</v>
      </c>
      <c r="S95" s="44">
        <f>SPS!S133</f>
        <v>308.22300000000001</v>
      </c>
      <c r="T95" s="120">
        <f>SPS!T133</f>
        <v>86.03</v>
      </c>
      <c r="U95" s="139">
        <f>SPS!U133</f>
        <v>98.878999999999991</v>
      </c>
      <c r="V95" s="139">
        <f>SPS!V133</f>
        <v>90.343999999999994</v>
      </c>
      <c r="W95" s="119">
        <f>SPS!W133</f>
        <v>109.37299999999999</v>
      </c>
      <c r="X95" s="44">
        <f>SPS!X133</f>
        <v>384.62599999999998</v>
      </c>
      <c r="Y95" s="120">
        <f>SPS!Y133</f>
        <v>106.376</v>
      </c>
      <c r="Z95" s="139">
        <f>SPS!Z133</f>
        <v>147.93299999999999</v>
      </c>
      <c r="AA95" s="139">
        <f>SPS!AA133</f>
        <v>169.126</v>
      </c>
      <c r="AB95" s="119">
        <f>SPS!AB133</f>
        <v>161.30099999999999</v>
      </c>
      <c r="AC95" s="44">
        <f>SPS!AC133</f>
        <v>584.73599999999999</v>
      </c>
      <c r="AD95" s="120">
        <f>SPS!AD133</f>
        <v>137.637</v>
      </c>
      <c r="AE95" s="139">
        <f>SPS!AE133</f>
        <v>143.76100000000002</v>
      </c>
      <c r="AF95" s="139">
        <f>SPS!AF133</f>
        <v>131.57799999999997</v>
      </c>
      <c r="AG95" s="119">
        <f>SPS!AG133</f>
        <v>141.96000000000004</v>
      </c>
      <c r="AH95" s="44">
        <f>SPS!AH133</f>
        <v>554.93600000000004</v>
      </c>
      <c r="AI95" s="120">
        <f>SPS!AI133</f>
        <v>126.622</v>
      </c>
      <c r="AJ95" s="139">
        <f>SPS!AJ133</f>
        <v>153.99299999999999</v>
      </c>
      <c r="AK95" s="139">
        <f>SPS!AK133</f>
        <v>148.37599999999998</v>
      </c>
      <c r="AL95" s="119">
        <f>SPS!AL133</f>
        <v>170.51999999999998</v>
      </c>
      <c r="AM95" s="44">
        <f>SPS!AM133</f>
        <v>599.51099999999997</v>
      </c>
      <c r="AN95" s="120">
        <f>SPS!AN133</f>
        <v>135.72</v>
      </c>
      <c r="AO95" s="139">
        <f>SPS!AO133</f>
        <v>127.93300000000002</v>
      </c>
      <c r="AP95" s="139">
        <f>SPS!AP133</f>
        <v>108.34100000000001</v>
      </c>
      <c r="AQ95" s="119">
        <f>SPS!AQ133</f>
        <v>140.52800000000002</v>
      </c>
      <c r="AR95" s="44">
        <f>SPS!AR133</f>
        <v>512.52200000000005</v>
      </c>
      <c r="AS95" s="120">
        <f>SPS!AS133</f>
        <v>142.559</v>
      </c>
      <c r="AT95" s="139">
        <f>SPS!AT133</f>
        <v>137.35900000000001</v>
      </c>
      <c r="AU95" s="139">
        <f>SPS!AU133</f>
        <v>121.03899999999999</v>
      </c>
      <c r="AV95" s="119">
        <f>SPS!AV133</f>
        <v>158.90800000000002</v>
      </c>
      <c r="AW95" s="44">
        <f>SPS!AW133</f>
        <v>559.86500000000001</v>
      </c>
      <c r="AX95" s="120">
        <f>SPS!AX133</f>
        <v>255</v>
      </c>
      <c r="AY95" s="139">
        <f>SPS!AY133</f>
        <v>255</v>
      </c>
      <c r="AZ95" s="139">
        <f>SPS!AZ133</f>
        <v>255</v>
      </c>
      <c r="BA95" s="119">
        <f>SPS!BA133</f>
        <v>255</v>
      </c>
      <c r="BB95" s="44">
        <f>SPS!BB133</f>
        <v>1020</v>
      </c>
      <c r="BC95" s="120">
        <f>SPS!BC133</f>
        <v>285</v>
      </c>
      <c r="BD95" s="139">
        <f>SPS!BD133</f>
        <v>285</v>
      </c>
      <c r="BE95" s="139">
        <f>SPS!BE133</f>
        <v>285</v>
      </c>
      <c r="BF95" s="119">
        <f>SPS!BF133</f>
        <v>285</v>
      </c>
      <c r="BG95" s="44">
        <f>SPS!BG133</f>
        <v>1140</v>
      </c>
      <c r="BH95" s="120">
        <f>SPS!BH133</f>
        <v>177.5</v>
      </c>
      <c r="BI95" s="139">
        <f>SPS!BI133</f>
        <v>177.5</v>
      </c>
      <c r="BJ95" s="139">
        <f>SPS!BJ133</f>
        <v>177.5</v>
      </c>
      <c r="BK95" s="119">
        <f>SPS!BK133</f>
        <v>177.5</v>
      </c>
      <c r="BL95" s="44">
        <f>SPS!BL133</f>
        <v>710</v>
      </c>
      <c r="BM95" s="120">
        <f>SPS!BM133</f>
        <v>117.5</v>
      </c>
      <c r="BN95" s="139">
        <f>SPS!BN133</f>
        <v>117.5</v>
      </c>
      <c r="BO95" s="139">
        <f>SPS!BO133</f>
        <v>117.5</v>
      </c>
      <c r="BP95" s="119">
        <f>SPS!BP133</f>
        <v>117.5</v>
      </c>
      <c r="BQ95" s="44">
        <f>SPS!BQ133</f>
        <v>470</v>
      </c>
      <c r="BT95" s="525" t="s">
        <v>636</v>
      </c>
      <c r="BU95" s="525">
        <f>'NSP-MN'!AW173+PSCO!AW167+SPS!AW128+'NSP-WI'!AW164</f>
        <v>744.86500000000001</v>
      </c>
      <c r="BV95" s="525">
        <f>'NSP-MN'!BB173+PSCO!BB167+SPS!BB128+'NSP-WI'!BB164</f>
        <v>770</v>
      </c>
      <c r="BW95" s="525">
        <f>'NSP-MN'!BG173+PSCO!BG167+SPS!BG128+'NSP-WI'!BG164</f>
        <v>540</v>
      </c>
      <c r="BX95">
        <f>'NSP-MN'!BL173+PSCO!BL167+SPS!BL128+'NSP-WI'!BL164</f>
        <v>570</v>
      </c>
      <c r="BY95" s="525"/>
    </row>
    <row r="96" spans="1:104" x14ac:dyDescent="0.2">
      <c r="C96" s="609" t="s">
        <v>335</v>
      </c>
      <c r="E96" s="120">
        <f>'NSP-WI'!E169</f>
        <v>20.959</v>
      </c>
      <c r="F96" s="139">
        <f>'NSP-WI'!F169</f>
        <v>24.702999999999999</v>
      </c>
      <c r="G96" s="139">
        <f>'NSP-WI'!G169</f>
        <v>24.298999999999999</v>
      </c>
      <c r="H96" s="119">
        <f>'NSP-WI'!H169</f>
        <v>35.447000000000003</v>
      </c>
      <c r="I96" s="44">
        <f>'NSP-WI'!I169</f>
        <v>105.408</v>
      </c>
      <c r="J96" s="120">
        <f>'NSP-WI'!J169</f>
        <v>26.170999999999999</v>
      </c>
      <c r="K96" s="139">
        <f>'NSP-WI'!K169</f>
        <v>29.856999999999999</v>
      </c>
      <c r="L96" s="139">
        <f>'NSP-WI'!L169</f>
        <v>34.121000000000002</v>
      </c>
      <c r="M96" s="119">
        <f>'NSP-WI'!M169</f>
        <v>38.783999999999992</v>
      </c>
      <c r="N96" s="44">
        <f>'NSP-WI'!N169</f>
        <v>128.93299999999999</v>
      </c>
      <c r="O96" s="120">
        <f>'NSP-WI'!O169</f>
        <v>26.2</v>
      </c>
      <c r="P96" s="139">
        <f>'NSP-WI'!P169</f>
        <v>32.019000000000005</v>
      </c>
      <c r="Q96" s="139">
        <f>'NSP-WI'!Q169</f>
        <v>34.467999999999996</v>
      </c>
      <c r="R96" s="119">
        <f>'NSP-WI'!R169</f>
        <v>48.295000000000002</v>
      </c>
      <c r="S96" s="44">
        <f>'NSP-WI'!S169</f>
        <v>140.982</v>
      </c>
      <c r="T96" s="120">
        <f>'NSP-WI'!T169</f>
        <v>36.747999999999998</v>
      </c>
      <c r="U96" s="139">
        <f>'NSP-WI'!U169</f>
        <v>35.482000000000006</v>
      </c>
      <c r="V96" s="139">
        <f>'NSP-WI'!V169</f>
        <v>34.322999999999993</v>
      </c>
      <c r="W96" s="119">
        <f>'NSP-WI'!W169</f>
        <v>46.205999999999989</v>
      </c>
      <c r="X96" s="44">
        <f>'NSP-WI'!X169</f>
        <v>152.75899999999999</v>
      </c>
      <c r="Y96" s="120">
        <f>'NSP-WI'!Y169</f>
        <v>39.369999999999997</v>
      </c>
      <c r="Z96" s="139">
        <f>'NSP-WI'!Z169</f>
        <v>42.232999999999997</v>
      </c>
      <c r="AA96" s="139">
        <f>'NSP-WI'!AA169</f>
        <v>53.037999999999997</v>
      </c>
      <c r="AB96" s="119">
        <f>'NSP-WI'!AB169</f>
        <v>66.637</v>
      </c>
      <c r="AC96" s="44">
        <f>'NSP-WI'!AC169</f>
        <v>201.27799999999999</v>
      </c>
      <c r="AD96" s="120">
        <f>'NSP-WI'!AD169</f>
        <v>59.698999999999998</v>
      </c>
      <c r="AE96" s="139">
        <f>'NSP-WI'!AE169</f>
        <v>64.924999999999997</v>
      </c>
      <c r="AF96" s="139">
        <f>'NSP-WI'!AF169</f>
        <v>70.262</v>
      </c>
      <c r="AG96" s="119">
        <f>'NSP-WI'!AG169</f>
        <v>93.323000000000008</v>
      </c>
      <c r="AH96" s="44">
        <f>'NSP-WI'!AH169</f>
        <v>288.209</v>
      </c>
      <c r="AI96" s="120">
        <f>'NSP-WI'!AI169</f>
        <v>79.926000000000002</v>
      </c>
      <c r="AJ96" s="139">
        <f>'NSP-WI'!AJ169</f>
        <v>70.51700000000001</v>
      </c>
      <c r="AK96" s="139">
        <f>'NSP-WI'!AK169</f>
        <v>21.143000000000001</v>
      </c>
      <c r="AL96" s="119">
        <f>'NSP-WI'!AL169</f>
        <v>80.210999999999984</v>
      </c>
      <c r="AM96" s="44">
        <f>'NSP-WI'!AM169</f>
        <v>251.797</v>
      </c>
      <c r="AN96" s="120">
        <f>'NSP-WI'!AN169</f>
        <v>44.655000000000001</v>
      </c>
      <c r="AO96" s="139">
        <f>'NSP-WI'!AO169</f>
        <v>43.135999999999996</v>
      </c>
      <c r="AP96" s="139">
        <f>'NSP-WI'!AP169</f>
        <v>50.825000000000017</v>
      </c>
      <c r="AQ96" s="119">
        <f>'NSP-WI'!AQ169</f>
        <v>65.810999999999979</v>
      </c>
      <c r="AR96" s="44">
        <f>'NSP-WI'!AR169</f>
        <v>204.42699999999999</v>
      </c>
      <c r="AS96" s="120">
        <f>'NSP-WI'!AS169</f>
        <v>47.999000000000002</v>
      </c>
      <c r="AT96" s="139">
        <f>'NSP-WI'!AT169</f>
        <v>42.735999999999997</v>
      </c>
      <c r="AU96" s="139">
        <f>'NSP-WI'!AU169</f>
        <v>54.704999999999998</v>
      </c>
      <c r="AV96" s="119">
        <f>'NSP-WI'!AV169</f>
        <v>73.36099999999999</v>
      </c>
      <c r="AW96" s="44">
        <f>'NSP-WI'!AW169</f>
        <v>218.80099999999999</v>
      </c>
      <c r="AX96" s="120">
        <f>'NSP-WI'!AX169</f>
        <v>62.5</v>
      </c>
      <c r="AY96" s="139">
        <f>'NSP-WI'!AY169</f>
        <v>62.5</v>
      </c>
      <c r="AZ96" s="139">
        <f>'NSP-WI'!AZ169</f>
        <v>62.5</v>
      </c>
      <c r="BA96" s="119">
        <f>'NSP-WI'!BA169</f>
        <v>62.5</v>
      </c>
      <c r="BB96" s="44">
        <f>'NSP-WI'!BB169</f>
        <v>250</v>
      </c>
      <c r="BC96" s="120">
        <f>'NSP-WI'!BC169</f>
        <v>62.5</v>
      </c>
      <c r="BD96" s="139">
        <f>'NSP-WI'!BD169</f>
        <v>62.5</v>
      </c>
      <c r="BE96" s="139">
        <f>'NSP-WI'!BE169</f>
        <v>62.5</v>
      </c>
      <c r="BF96" s="119">
        <f>'NSP-WI'!BF169</f>
        <v>62.5</v>
      </c>
      <c r="BG96" s="44">
        <f>'NSP-WI'!BG169</f>
        <v>250</v>
      </c>
      <c r="BH96" s="120">
        <f>'NSP-WI'!BH169</f>
        <v>60</v>
      </c>
      <c r="BI96" s="139">
        <f>'NSP-WI'!BI169</f>
        <v>60</v>
      </c>
      <c r="BJ96" s="139">
        <f>'NSP-WI'!BJ169</f>
        <v>60</v>
      </c>
      <c r="BK96" s="119">
        <f>'NSP-WI'!BK169</f>
        <v>60</v>
      </c>
      <c r="BL96" s="44">
        <f>'NSP-WI'!BL169</f>
        <v>240</v>
      </c>
      <c r="BM96" s="120">
        <f>'NSP-WI'!BM169</f>
        <v>70</v>
      </c>
      <c r="BN96" s="139">
        <f>'NSP-WI'!BN169</f>
        <v>70</v>
      </c>
      <c r="BO96" s="139">
        <f>'NSP-WI'!BO169</f>
        <v>70</v>
      </c>
      <c r="BP96" s="119">
        <f>'NSP-WI'!BP169</f>
        <v>70</v>
      </c>
      <c r="BQ96" s="44">
        <f>'NSP-WI'!BQ169</f>
        <v>280</v>
      </c>
      <c r="BT96" s="525" t="s">
        <v>637</v>
      </c>
      <c r="BU96" s="525">
        <f>'NSP-MN'!AW175+PSCO!AW169++'NSP-WI'!AW166</f>
        <v>400</v>
      </c>
      <c r="BV96" s="525">
        <f>'NSP-MN'!BB175+PSCO!BB169++'NSP-WI'!BB166</f>
        <v>460</v>
      </c>
      <c r="BW96" s="525">
        <f>'NSP-MN'!BG175+PSCO!BG169++'NSP-WI'!BG166</f>
        <v>400</v>
      </c>
      <c r="BX96">
        <f>'NSP-MN'!BL175+PSCO!BL169++'NSP-WI'!BL166</f>
        <v>410</v>
      </c>
      <c r="BY96" s="525"/>
    </row>
    <row r="97" spans="1:104" x14ac:dyDescent="0.2">
      <c r="C97" s="609" t="s">
        <v>332</v>
      </c>
      <c r="E97" s="120">
        <f>Parent!E60</f>
        <v>1.3010000000000375</v>
      </c>
      <c r="F97" s="139">
        <f>Parent!F60</f>
        <v>2.3170000000000144</v>
      </c>
      <c r="G97" s="139">
        <f>Parent!G60</f>
        <v>-3.8080000000002201</v>
      </c>
      <c r="H97" s="119">
        <f>Parent!H60</f>
        <v>-2.1589999999999065</v>
      </c>
      <c r="I97" s="44">
        <f>Parent!I60</f>
        <v>-2.3490000000000748</v>
      </c>
      <c r="J97" s="120">
        <f>Parent!J60</f>
        <v>3.5640000000000143</v>
      </c>
      <c r="K97" s="139">
        <f>Parent!K60</f>
        <v>-1.4549999999999699</v>
      </c>
      <c r="L97" s="139">
        <f>Parent!L60</f>
        <v>-1.8459999999999752</v>
      </c>
      <c r="M97" s="119">
        <f>Parent!M60</f>
        <v>-2.4249999999998693</v>
      </c>
      <c r="N97" s="44">
        <f>Parent!N60</f>
        <v>-2.1619999999998072</v>
      </c>
      <c r="O97" s="120">
        <f>Parent!O60</f>
        <v>3.7620000000000857</v>
      </c>
      <c r="P97" s="139">
        <f>Parent!P60</f>
        <v>-3.3440000000000936</v>
      </c>
      <c r="Q97" s="139">
        <f>Parent!Q60</f>
        <v>0.83999999999988972</v>
      </c>
      <c r="R97" s="119">
        <f>Parent!R60</f>
        <v>-0.55699999999987426</v>
      </c>
      <c r="S97" s="44">
        <f>Parent!S60</f>
        <v>0.70100000000007867</v>
      </c>
      <c r="T97" s="120">
        <f>Parent!T60</f>
        <v>0.14600000000007185</v>
      </c>
      <c r="U97" s="139">
        <f>Parent!U60</f>
        <v>-5.4250000000002387</v>
      </c>
      <c r="V97" s="139">
        <f>Parent!V60</f>
        <v>-1.090999999999724</v>
      </c>
      <c r="W97" s="119">
        <f>Parent!W60</f>
        <v>-6.5920000000003824</v>
      </c>
      <c r="X97" s="44">
        <f>Parent!X60</f>
        <v>-12.962000000000216</v>
      </c>
      <c r="Y97" s="120">
        <f>Parent!Y60</f>
        <v>2.9689999999999372</v>
      </c>
      <c r="Z97" s="139">
        <f>Parent!Z60</f>
        <v>-2.8379999999999654</v>
      </c>
      <c r="AA97" s="139">
        <f>Parent!AA60</f>
        <v>-3.9410000000000593</v>
      </c>
      <c r="AB97" s="119">
        <f>Parent!AB60</f>
        <v>-2.5310000000001764</v>
      </c>
      <c r="AC97" s="44">
        <f>Parent!AC60</f>
        <v>-6.3410000000002356</v>
      </c>
      <c r="AD97" s="120">
        <f>Parent!AD60</f>
        <v>2.7580000000000382</v>
      </c>
      <c r="AE97" s="139">
        <f>Parent!AE60</f>
        <v>3.1349999999999909</v>
      </c>
      <c r="AF97" s="139">
        <f>Parent!AF60</f>
        <v>-9.1870000000000687</v>
      </c>
      <c r="AG97" s="119">
        <f>Parent!AG60</f>
        <v>3.6620000000001482</v>
      </c>
      <c r="AH97" s="44">
        <f>Parent!AH60</f>
        <v>0.36800000000005184</v>
      </c>
      <c r="AI97" s="120">
        <f>Parent!AI60</f>
        <v>0.20700000000003627</v>
      </c>
      <c r="AJ97" s="139">
        <f>Parent!AJ60</f>
        <v>-18.226999999999947</v>
      </c>
      <c r="AK97" s="139">
        <f>Parent!AK60</f>
        <v>28.116000000000042</v>
      </c>
      <c r="AL97" s="119">
        <f>Parent!AL60</f>
        <v>-28.520000000000095</v>
      </c>
      <c r="AM97" s="44">
        <f>Parent!AM60</f>
        <v>-18.423999999999978</v>
      </c>
      <c r="AN97" s="120">
        <f>Parent!AN60</f>
        <v>21.738999999999947</v>
      </c>
      <c r="AO97" s="139">
        <f>Parent!AO60</f>
        <v>1.3339999999999179</v>
      </c>
      <c r="AP97" s="139">
        <f>Parent!AP60</f>
        <v>16.90400000000011</v>
      </c>
      <c r="AQ97" s="119">
        <f>Parent!AQ60</f>
        <v>180.28700000000015</v>
      </c>
      <c r="AR97" s="44">
        <f>Parent!AR60</f>
        <v>220.26400000000001</v>
      </c>
      <c r="AS97" s="120">
        <f>Parent!AS60</f>
        <v>8.462999999999937</v>
      </c>
      <c r="AT97" s="139">
        <f>Parent!AT60</f>
        <v>1.135999999999882</v>
      </c>
      <c r="AU97" s="139">
        <f>Parent!AU60</f>
        <v>7.9190000000004375</v>
      </c>
      <c r="AV97" s="119">
        <f>Parent!AV60</f>
        <v>30.435999999999808</v>
      </c>
      <c r="AW97" s="44">
        <f>Parent!AW60</f>
        <v>47.954000000000178</v>
      </c>
      <c r="AX97" s="120">
        <f>Parent!AX60</f>
        <v>-5</v>
      </c>
      <c r="AY97" s="139">
        <f>Parent!AY60</f>
        <v>-5</v>
      </c>
      <c r="AZ97" s="139">
        <f>Parent!AZ60</f>
        <v>-5</v>
      </c>
      <c r="BA97" s="119">
        <f>Parent!BA60</f>
        <v>-5</v>
      </c>
      <c r="BB97" s="44">
        <f>-Parent!BB60</f>
        <v>20</v>
      </c>
      <c r="BC97" s="120">
        <f>Parent!BC60</f>
        <v>22.5</v>
      </c>
      <c r="BD97" s="139">
        <f>Parent!BD60</f>
        <v>22.5</v>
      </c>
      <c r="BE97" s="139">
        <f>Parent!BE60</f>
        <v>22.5</v>
      </c>
      <c r="BF97" s="119">
        <f>Parent!BF60</f>
        <v>22.5</v>
      </c>
      <c r="BG97" s="44">
        <f>-Parent!BG60</f>
        <v>-90</v>
      </c>
      <c r="BH97" s="120">
        <f>Parent!BH60</f>
        <v>22.5</v>
      </c>
      <c r="BI97" s="139">
        <f>Parent!BI60</f>
        <v>22.5</v>
      </c>
      <c r="BJ97" s="139">
        <f>Parent!BJ60</f>
        <v>22.5</v>
      </c>
      <c r="BK97" s="119">
        <f>Parent!BK60</f>
        <v>22.5</v>
      </c>
      <c r="BL97" s="44">
        <f>-Parent!BL60</f>
        <v>-90</v>
      </c>
      <c r="BM97" s="120">
        <f>Parent!BM60</f>
        <v>7.5</v>
      </c>
      <c r="BN97" s="139">
        <f>Parent!BN60</f>
        <v>7.5</v>
      </c>
      <c r="BO97" s="139">
        <f>Parent!BO60</f>
        <v>7.5</v>
      </c>
      <c r="BP97" s="119">
        <f>Parent!BP60</f>
        <v>7.5</v>
      </c>
      <c r="BQ97" s="44">
        <f>-Parent!BQ60</f>
        <v>-30</v>
      </c>
      <c r="BT97" s="525" t="s">
        <v>97</v>
      </c>
      <c r="BU97">
        <f>'NSP-MN'!AW177+PSCO!AW170+SPS!AW131+'NSP-WI'!AW167-Parent!AW60</f>
        <v>330.84699999999981</v>
      </c>
      <c r="BV97" s="525">
        <f>'NSP-MN'!BB177+PSCO!BB170+SPS!BB131+'NSP-WI'!BB167-10</f>
        <v>370</v>
      </c>
      <c r="BW97" s="525">
        <f>'NSP-MN'!BG177+PSCO!BG170+SPS!BG131+'NSP-WI'!BG167-10</f>
        <v>330</v>
      </c>
      <c r="BX97">
        <f>'NSP-MN'!BL177+PSCO!BL170+SPS!BL131+'NSP-WI'!BL167-10</f>
        <v>320</v>
      </c>
      <c r="BY97" s="525"/>
    </row>
    <row r="98" spans="1:104" x14ac:dyDescent="0.2">
      <c r="A98" s="26"/>
      <c r="B98" s="26"/>
      <c r="C98" s="711" t="s">
        <v>155</v>
      </c>
      <c r="D98" s="26"/>
      <c r="E98" s="121">
        <f t="shared" ref="E98:AO98" si="149">SUM(E93:E97)</f>
        <v>477.83800000000002</v>
      </c>
      <c r="F98" s="130">
        <f t="shared" si="149"/>
        <v>469.63600000000002</v>
      </c>
      <c r="G98" s="130">
        <f t="shared" si="149"/>
        <v>363.21199999999988</v>
      </c>
      <c r="H98" s="123">
        <f t="shared" si="149"/>
        <v>476.21600000000012</v>
      </c>
      <c r="I98" s="85">
        <f t="shared" si="149"/>
        <v>1786.9019999999998</v>
      </c>
      <c r="J98" s="121">
        <f t="shared" si="149"/>
        <v>481.24200000000002</v>
      </c>
      <c r="K98" s="130">
        <f t="shared" si="149"/>
        <v>486.089</v>
      </c>
      <c r="L98" s="130">
        <f t="shared" si="149"/>
        <v>594.65599999999995</v>
      </c>
      <c r="M98" s="123">
        <f t="shared" si="149"/>
        <v>655.34000000000015</v>
      </c>
      <c r="N98" s="85">
        <f t="shared" si="149"/>
        <v>2217.3270000000002</v>
      </c>
      <c r="O98" s="121">
        <f t="shared" si="149"/>
        <v>540.33900000000006</v>
      </c>
      <c r="P98" s="130">
        <f t="shared" si="149"/>
        <v>581.92999999999995</v>
      </c>
      <c r="Q98" s="130">
        <f t="shared" si="149"/>
        <v>481.9369999999999</v>
      </c>
      <c r="R98" s="123">
        <f t="shared" si="149"/>
        <v>692.19400000000007</v>
      </c>
      <c r="S98" s="85">
        <f t="shared" si="149"/>
        <v>2296.4</v>
      </c>
      <c r="T98" s="121">
        <f t="shared" si="149"/>
        <v>497.21800000000002</v>
      </c>
      <c r="U98" s="130">
        <f>SUM(U93:U97)</f>
        <v>606.34399999999982</v>
      </c>
      <c r="V98" s="130">
        <f>SUM(V93:V97)</f>
        <v>702.28100000000018</v>
      </c>
      <c r="W98" s="123">
        <f>SUM(W93:W97)</f>
        <v>764.36599999999976</v>
      </c>
      <c r="X98" s="85">
        <f>SUM(X93:X97)</f>
        <v>2570.2089999999998</v>
      </c>
      <c r="Y98" s="121">
        <f t="shared" si="149"/>
        <v>752.25099999999998</v>
      </c>
      <c r="Z98" s="130">
        <f t="shared" si="149"/>
        <v>844.52700000000004</v>
      </c>
      <c r="AA98" s="130">
        <f t="shared" si="149"/>
        <v>857.41999999999985</v>
      </c>
      <c r="AB98" s="123">
        <f t="shared" si="149"/>
        <v>941.12699999999995</v>
      </c>
      <c r="AC98" s="85">
        <f t="shared" si="149"/>
        <v>3395.3249999999994</v>
      </c>
      <c r="AD98" s="121">
        <f t="shared" si="149"/>
        <v>822.62800000000004</v>
      </c>
      <c r="AE98" s="130">
        <f t="shared" ref="AE98:AJ98" si="150">SUM(AE93:AE97)</f>
        <v>753.11999999999989</v>
      </c>
      <c r="AF98" s="130">
        <f t="shared" si="150"/>
        <v>725.59099999999989</v>
      </c>
      <c r="AG98" s="123">
        <f t="shared" si="150"/>
        <v>898.45200000000023</v>
      </c>
      <c r="AH98" s="85">
        <f t="shared" si="150"/>
        <v>3199.7910000000002</v>
      </c>
      <c r="AI98" s="121">
        <f t="shared" si="150"/>
        <v>770.60900000000004</v>
      </c>
      <c r="AJ98" s="130">
        <f t="shared" si="150"/>
        <v>707.35</v>
      </c>
      <c r="AK98" s="130">
        <f t="shared" si="149"/>
        <v>708.41000000000008</v>
      </c>
      <c r="AL98" s="123">
        <f t="shared" si="149"/>
        <v>1496.9899999999998</v>
      </c>
      <c r="AM98" s="85">
        <f t="shared" si="149"/>
        <v>3683.3589999999999</v>
      </c>
      <c r="AN98" s="121">
        <f t="shared" si="149"/>
        <v>700.31899999999985</v>
      </c>
      <c r="AO98" s="130">
        <f t="shared" si="149"/>
        <v>712.80999999999983</v>
      </c>
      <c r="AP98" s="130">
        <f t="shared" ref="AP98:AR98" si="151">SUM(AP93:AP97)</f>
        <v>773.35400000000027</v>
      </c>
      <c r="AQ98" s="123">
        <f t="shared" si="151"/>
        <v>1069.067</v>
      </c>
      <c r="AR98" s="85">
        <f t="shared" si="151"/>
        <v>3255.55</v>
      </c>
      <c r="AS98" s="121">
        <f t="shared" ref="AS98:AT98" si="152">SUM(AS93:AS97)</f>
        <v>749.07299999999998</v>
      </c>
      <c r="AT98" s="130">
        <f t="shared" si="152"/>
        <v>724.71999999999991</v>
      </c>
      <c r="AU98" s="130">
        <f t="shared" ref="AU98:AW98" si="153">SUM(AU93:AU97)</f>
        <v>782.65900000000033</v>
      </c>
      <c r="AV98" s="123">
        <f t="shared" si="153"/>
        <v>1062.5479999999998</v>
      </c>
      <c r="AW98" s="85">
        <f t="shared" si="153"/>
        <v>3319</v>
      </c>
      <c r="AX98" s="121">
        <f t="shared" ref="AX98:BG98" si="154">SUM(AX93:AX97)</f>
        <v>942.5</v>
      </c>
      <c r="AY98" s="130">
        <f t="shared" si="154"/>
        <v>942.5</v>
      </c>
      <c r="AZ98" s="130">
        <f t="shared" si="154"/>
        <v>942.5</v>
      </c>
      <c r="BA98" s="123">
        <f t="shared" si="154"/>
        <v>942.5</v>
      </c>
      <c r="BB98" s="85">
        <f t="shared" si="154"/>
        <v>4310</v>
      </c>
      <c r="BC98" s="121">
        <f t="shared" si="154"/>
        <v>1102.5</v>
      </c>
      <c r="BD98" s="130">
        <f t="shared" si="154"/>
        <v>1102.5</v>
      </c>
      <c r="BE98" s="130">
        <f t="shared" si="154"/>
        <v>1102.5</v>
      </c>
      <c r="BF98" s="123">
        <f t="shared" si="154"/>
        <v>1102.5</v>
      </c>
      <c r="BG98" s="85">
        <f t="shared" si="154"/>
        <v>4230</v>
      </c>
      <c r="BH98" s="121">
        <f t="shared" ref="BH98:BQ98" si="155">SUM(BH93:BH97)</f>
        <v>860</v>
      </c>
      <c r="BI98" s="130">
        <f t="shared" si="155"/>
        <v>860</v>
      </c>
      <c r="BJ98" s="130">
        <f t="shared" si="155"/>
        <v>860</v>
      </c>
      <c r="BK98" s="123">
        <f t="shared" si="155"/>
        <v>860</v>
      </c>
      <c r="BL98" s="85">
        <f t="shared" si="155"/>
        <v>3260</v>
      </c>
      <c r="BM98" s="121">
        <f t="shared" si="155"/>
        <v>880</v>
      </c>
      <c r="BN98" s="130">
        <f t="shared" si="155"/>
        <v>880</v>
      </c>
      <c r="BO98" s="130">
        <f t="shared" si="155"/>
        <v>880</v>
      </c>
      <c r="BP98" s="123">
        <f t="shared" si="155"/>
        <v>880</v>
      </c>
      <c r="BQ98" s="85">
        <f t="shared" si="155"/>
        <v>3460</v>
      </c>
      <c r="BR98" s="26"/>
      <c r="BS98" s="93"/>
      <c r="BU98" s="86">
        <f>SUM(BU92:BU97)</f>
        <v>3223.0919999999996</v>
      </c>
      <c r="BV98" s="969">
        <f>SUM(BV92:BV97)</f>
        <v>4310</v>
      </c>
      <c r="BW98" s="969">
        <f>SUM(BW92:BW97)</f>
        <v>4230</v>
      </c>
      <c r="BX98" s="86">
        <f>SUM(BX92:BX97)</f>
        <v>3260</v>
      </c>
      <c r="BY98" s="562"/>
      <c r="CC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</row>
    <row r="99" spans="1:104" x14ac:dyDescent="0.2">
      <c r="E99" s="166"/>
      <c r="F99" s="167"/>
      <c r="G99" s="167"/>
      <c r="H99" s="168"/>
      <c r="J99" s="166"/>
      <c r="K99" s="167"/>
      <c r="L99" s="167"/>
      <c r="M99" s="168"/>
      <c r="O99" s="166"/>
      <c r="P99" s="167"/>
      <c r="Q99" s="167"/>
      <c r="R99" s="168"/>
      <c r="T99" s="166"/>
      <c r="U99" s="167"/>
      <c r="V99" s="167"/>
      <c r="W99" s="168"/>
      <c r="Y99" s="166"/>
      <c r="Z99" s="167"/>
      <c r="AA99" s="167"/>
      <c r="AB99" s="168"/>
      <c r="AD99" s="166"/>
      <c r="AE99" s="167"/>
      <c r="AF99" s="167"/>
      <c r="AG99" s="168"/>
      <c r="AH99" s="795"/>
      <c r="AI99" s="872"/>
      <c r="AJ99" s="873"/>
      <c r="AK99" s="873"/>
      <c r="AL99" s="874"/>
      <c r="AM99" s="795"/>
      <c r="AN99" s="872"/>
      <c r="AO99" s="873"/>
      <c r="AP99" s="873"/>
      <c r="AQ99" s="874"/>
      <c r="AR99" s="795"/>
      <c r="AS99" s="872"/>
      <c r="AT99" s="167"/>
      <c r="AU99" s="167"/>
      <c r="AV99" s="168"/>
      <c r="AW99" s="795"/>
      <c r="AX99" s="166"/>
      <c r="AY99" s="167"/>
      <c r="AZ99" s="167"/>
      <c r="BA99" s="168"/>
      <c r="BB99" s="795"/>
      <c r="BC99" s="166"/>
      <c r="BD99" s="167"/>
      <c r="BE99" s="167"/>
      <c r="BF99" s="168"/>
      <c r="BG99" s="795"/>
      <c r="BH99" s="166"/>
      <c r="BI99" s="167"/>
      <c r="BJ99" s="167"/>
      <c r="BK99" s="168"/>
      <c r="BL99" s="795"/>
      <c r="BM99" s="166"/>
      <c r="BN99" s="167"/>
      <c r="BO99" s="167"/>
      <c r="BP99" s="168"/>
      <c r="BQ99" s="795"/>
      <c r="BT99" s="795"/>
      <c r="BW99" s="776"/>
      <c r="BX99" s="525"/>
      <c r="BY99" s="525"/>
      <c r="BZ99" s="525"/>
      <c r="CA99" s="525"/>
    </row>
    <row r="100" spans="1:104" x14ac:dyDescent="0.2">
      <c r="E100" s="166"/>
      <c r="F100" s="167"/>
      <c r="G100" s="167"/>
      <c r="H100" s="168"/>
      <c r="J100" s="166"/>
      <c r="K100" s="167"/>
      <c r="L100" s="167"/>
      <c r="M100" s="168"/>
      <c r="O100" s="166"/>
      <c r="P100" s="167"/>
      <c r="Q100" s="167"/>
      <c r="R100" s="168"/>
      <c r="T100" s="166"/>
      <c r="U100" s="167"/>
      <c r="V100" s="167"/>
      <c r="W100" s="168"/>
      <c r="Y100" s="166"/>
      <c r="Z100" s="167"/>
      <c r="AA100" s="167"/>
      <c r="AB100" s="168"/>
      <c r="AD100" s="166"/>
      <c r="AE100" s="167"/>
      <c r="AF100" s="167"/>
      <c r="AG100" s="168"/>
      <c r="AI100" s="166"/>
      <c r="AJ100" s="167"/>
      <c r="AK100" s="167"/>
      <c r="AL100" s="168"/>
      <c r="AM100" s="795"/>
      <c r="AN100" s="166"/>
      <c r="AO100" s="167"/>
      <c r="AP100" s="167"/>
      <c r="AQ100" s="168"/>
      <c r="AR100" s="795"/>
      <c r="AS100" s="166"/>
      <c r="AT100" s="167"/>
      <c r="AU100" s="167"/>
      <c r="AV100" s="168"/>
      <c r="AW100" s="795"/>
      <c r="AX100" s="166"/>
      <c r="AY100" s="167"/>
      <c r="AZ100" s="167"/>
      <c r="BA100" s="168"/>
      <c r="BB100" s="795"/>
      <c r="BC100" s="166"/>
      <c r="BD100" s="167"/>
      <c r="BE100" s="167"/>
      <c r="BF100" s="168"/>
      <c r="BG100" s="795"/>
      <c r="BH100" s="166"/>
      <c r="BI100" s="167"/>
      <c r="BJ100" s="167"/>
      <c r="BK100" s="168"/>
      <c r="BL100" s="795"/>
      <c r="BM100" s="166"/>
      <c r="BN100" s="167"/>
      <c r="BO100" s="167"/>
      <c r="BP100" s="168"/>
      <c r="BQ100" s="795"/>
      <c r="BT100" s="525"/>
      <c r="BU100" s="525"/>
      <c r="BV100" s="525"/>
      <c r="BW100" s="525"/>
      <c r="BX100" s="525"/>
      <c r="BY100" s="525"/>
      <c r="BZ100" s="525"/>
      <c r="CA100" s="525"/>
    </row>
    <row r="101" spans="1:104" x14ac:dyDescent="0.2">
      <c r="B101" s="16" t="s">
        <v>156</v>
      </c>
      <c r="C101" s="16"/>
      <c r="D101" s="42"/>
      <c r="E101" s="120"/>
      <c r="F101" s="139"/>
      <c r="G101" s="139"/>
      <c r="H101" s="119"/>
      <c r="I101" s="42"/>
      <c r="J101" s="120"/>
      <c r="K101" s="139"/>
      <c r="L101" s="139"/>
      <c r="M101" s="119"/>
      <c r="N101" s="42"/>
      <c r="O101" s="120"/>
      <c r="P101" s="139"/>
      <c r="Q101" s="139"/>
      <c r="R101" s="119"/>
      <c r="S101" s="42"/>
      <c r="T101" s="120"/>
      <c r="U101" s="139"/>
      <c r="V101" s="139"/>
      <c r="W101" s="119"/>
      <c r="X101" s="42"/>
      <c r="Y101" s="120"/>
      <c r="Z101" s="139"/>
      <c r="AA101" s="139"/>
      <c r="AB101" s="119"/>
      <c r="AC101" s="42"/>
      <c r="AD101" s="120"/>
      <c r="AE101" s="139"/>
      <c r="AF101" s="139"/>
      <c r="AG101" s="119"/>
      <c r="AH101" s="42"/>
      <c r="AI101" s="120"/>
      <c r="AJ101" s="139"/>
      <c r="AK101" s="139"/>
      <c r="AL101" s="119"/>
      <c r="AM101" s="44"/>
      <c r="AN101" s="120"/>
      <c r="AO101" s="139"/>
      <c r="AP101" s="139"/>
      <c r="AQ101" s="119"/>
      <c r="AR101" s="44"/>
      <c r="AS101" s="120"/>
      <c r="AT101" s="139"/>
      <c r="AU101" s="139"/>
      <c r="AV101" s="119"/>
      <c r="AW101" s="44"/>
      <c r="AX101" s="120"/>
      <c r="AY101" s="139"/>
      <c r="AZ101" s="139"/>
      <c r="BA101" s="119"/>
      <c r="BB101" s="44"/>
      <c r="BC101" s="120"/>
      <c r="BD101" s="139"/>
      <c r="BE101" s="139"/>
      <c r="BF101" s="119"/>
      <c r="BG101" s="44"/>
      <c r="BH101" s="120"/>
      <c r="BI101" s="139"/>
      <c r="BJ101" s="139"/>
      <c r="BK101" s="119"/>
      <c r="BL101" s="44"/>
      <c r="BM101" s="120"/>
      <c r="BN101" s="139"/>
      <c r="BO101" s="139"/>
      <c r="BP101" s="119"/>
      <c r="BQ101" s="44"/>
      <c r="BR101" s="44"/>
      <c r="BT101" s="525"/>
      <c r="BU101" s="525"/>
      <c r="BV101" s="525"/>
      <c r="BW101" s="525"/>
      <c r="BX101" s="525"/>
      <c r="BY101" s="525"/>
      <c r="BZ101" s="525"/>
      <c r="CA101" s="525"/>
    </row>
    <row r="102" spans="1:104" x14ac:dyDescent="0.2">
      <c r="C102" s="141" t="s">
        <v>157</v>
      </c>
      <c r="D102" s="42"/>
      <c r="E102" s="120"/>
      <c r="F102" s="139"/>
      <c r="G102" s="139"/>
      <c r="H102" s="119"/>
      <c r="I102" s="42"/>
      <c r="J102" s="120"/>
      <c r="K102" s="139"/>
      <c r="L102" s="139"/>
      <c r="M102" s="119"/>
      <c r="N102" s="42"/>
      <c r="O102" s="120"/>
      <c r="P102" s="139"/>
      <c r="Q102" s="139"/>
      <c r="R102" s="119"/>
      <c r="S102" s="42"/>
      <c r="T102" s="120"/>
      <c r="U102" s="139"/>
      <c r="V102" s="139"/>
      <c r="W102" s="119"/>
      <c r="X102" s="42"/>
      <c r="Y102" s="120"/>
      <c r="Z102" s="139"/>
      <c r="AA102" s="139"/>
      <c r="AB102" s="119"/>
      <c r="AC102" s="42"/>
      <c r="AD102" s="120"/>
      <c r="AE102" s="139"/>
      <c r="AF102" s="139"/>
      <c r="AG102" s="119"/>
      <c r="AH102" s="42"/>
      <c r="AI102" s="120"/>
      <c r="AJ102" s="139"/>
      <c r="AK102" s="139"/>
      <c r="AL102" s="119"/>
      <c r="AM102" s="44"/>
      <c r="AN102" s="120"/>
      <c r="AO102" s="139"/>
      <c r="AP102" s="139"/>
      <c r="AQ102" s="119"/>
      <c r="AR102" s="44"/>
      <c r="AS102" s="120"/>
      <c r="AT102" s="139"/>
      <c r="AU102" s="139"/>
      <c r="AV102" s="119"/>
      <c r="AW102" s="44"/>
      <c r="AX102" s="120"/>
      <c r="AY102" s="139"/>
      <c r="AZ102" s="139"/>
      <c r="BA102" s="119"/>
      <c r="BB102" s="44"/>
      <c r="BC102" s="120"/>
      <c r="BD102" s="139"/>
      <c r="BE102" s="139"/>
      <c r="BF102" s="119"/>
      <c r="BG102" s="44"/>
      <c r="BH102" s="120"/>
      <c r="BI102" s="139"/>
      <c r="BJ102" s="139"/>
      <c r="BK102" s="119"/>
      <c r="BL102" s="44"/>
      <c r="BM102" s="120"/>
      <c r="BN102" s="139"/>
      <c r="BO102" s="139"/>
      <c r="BP102" s="119"/>
      <c r="BQ102" s="44"/>
      <c r="BR102" s="44"/>
      <c r="BT102" s="525"/>
      <c r="BU102" s="525"/>
      <c r="BV102" s="525"/>
      <c r="BW102" s="525"/>
      <c r="BX102" s="525"/>
      <c r="BY102" s="525"/>
      <c r="BZ102" s="525"/>
      <c r="CA102" s="525"/>
    </row>
    <row r="103" spans="1:104" x14ac:dyDescent="0.2">
      <c r="C103" s="70" t="s">
        <v>158</v>
      </c>
      <c r="D103" s="82"/>
      <c r="E103" s="136">
        <f t="shared" ref="E103:P103" si="156">+E147</f>
        <v>0</v>
      </c>
      <c r="F103" s="135">
        <f t="shared" si="156"/>
        <v>394.89699999999999</v>
      </c>
      <c r="G103" s="135">
        <f t="shared" si="156"/>
        <v>-0.13499999999999091</v>
      </c>
      <c r="H103" s="116">
        <f t="shared" si="156"/>
        <v>295.15299999999996</v>
      </c>
      <c r="I103" s="82">
        <f t="shared" si="156"/>
        <v>689.91499999999996</v>
      </c>
      <c r="J103" s="136">
        <f t="shared" si="156"/>
        <v>0</v>
      </c>
      <c r="K103" s="135">
        <f t="shared" si="156"/>
        <v>544.20500000000004</v>
      </c>
      <c r="L103" s="135">
        <f t="shared" si="156"/>
        <v>494.1629999999999</v>
      </c>
      <c r="M103" s="116">
        <f t="shared" si="156"/>
        <v>395.03800000000001</v>
      </c>
      <c r="N103" s="82">
        <f t="shared" si="156"/>
        <v>1433.4059999999999</v>
      </c>
      <c r="O103" s="136">
        <f t="shared" si="156"/>
        <v>0</v>
      </c>
      <c r="P103" s="135">
        <f t="shared" si="156"/>
        <v>0</v>
      </c>
      <c r="Q103" s="135">
        <f t="shared" ref="Q103:U104" si="157">+Q147</f>
        <v>688.68600000000004</v>
      </c>
      <c r="R103" s="116">
        <f t="shared" si="157"/>
        <v>-8.8000000000079126E-2</v>
      </c>
      <c r="S103" s="82">
        <f t="shared" si="157"/>
        <v>688.59799999999996</v>
      </c>
      <c r="T103" s="136">
        <f t="shared" ref="T103:Y103" si="158">+T147</f>
        <v>0.745</v>
      </c>
      <c r="U103" s="135">
        <f t="shared" si="158"/>
        <v>110.27</v>
      </c>
      <c r="V103" s="135">
        <f t="shared" si="158"/>
        <v>1580.3069999999998</v>
      </c>
      <c r="W103" s="116">
        <f t="shared" si="158"/>
        <v>98.809000000000196</v>
      </c>
      <c r="X103" s="82">
        <f t="shared" si="158"/>
        <v>1790.1310000000001</v>
      </c>
      <c r="Y103" s="136">
        <f t="shared" si="158"/>
        <v>494.28199999999998</v>
      </c>
      <c r="Z103" s="135">
        <f t="shared" ref="Z103:AD104" si="159">+Z147</f>
        <v>842.76300000000015</v>
      </c>
      <c r="AA103" s="135">
        <f t="shared" si="159"/>
        <v>97.94399999999996</v>
      </c>
      <c r="AB103" s="116">
        <f t="shared" si="159"/>
        <v>-3.0940000000000509</v>
      </c>
      <c r="AC103" s="82">
        <f t="shared" si="159"/>
        <v>1431.895</v>
      </c>
      <c r="AD103" s="136">
        <f t="shared" si="159"/>
        <v>295.99900000000002</v>
      </c>
      <c r="AE103" s="135">
        <f t="shared" ref="AE103:AI104" si="160">+AE147</f>
        <v>542.58299999999997</v>
      </c>
      <c r="AF103" s="135">
        <f t="shared" si="160"/>
        <v>-0.78800000000001091</v>
      </c>
      <c r="AG103" s="116">
        <f t="shared" si="160"/>
        <v>-0.21000000000003638</v>
      </c>
      <c r="AH103" s="82">
        <f t="shared" si="160"/>
        <v>837.58399999999995</v>
      </c>
      <c r="AI103" s="136">
        <f t="shared" si="160"/>
        <v>0</v>
      </c>
      <c r="AJ103" s="135">
        <f t="shared" ref="AJ103:AN104" si="161">+AJ147</f>
        <v>841.53399999999999</v>
      </c>
      <c r="AK103" s="135">
        <f t="shared" si="161"/>
        <v>785.65600000000006</v>
      </c>
      <c r="AL103" s="116">
        <f t="shared" si="161"/>
        <v>-0.97800000000006548</v>
      </c>
      <c r="AM103" s="82">
        <f t="shared" si="161"/>
        <v>1626.212</v>
      </c>
      <c r="AN103" s="136">
        <f t="shared" si="161"/>
        <v>747.12699999999995</v>
      </c>
      <c r="AO103" s="135">
        <f t="shared" ref="AO103:AS104" si="162">+AO147</f>
        <v>590.30300000000011</v>
      </c>
      <c r="AP103" s="135">
        <f t="shared" si="162"/>
        <v>295.21199999999999</v>
      </c>
      <c r="AQ103" s="116">
        <f t="shared" si="162"/>
        <v>791.12599999999998</v>
      </c>
      <c r="AR103" s="82">
        <f t="shared" si="162"/>
        <v>2423.768</v>
      </c>
      <c r="AS103" s="136">
        <f t="shared" si="162"/>
        <v>0</v>
      </c>
      <c r="AT103" s="135">
        <f t="shared" ref="AT103:AW103" si="163">+AT147</f>
        <v>394.04599999999999</v>
      </c>
      <c r="AU103" s="135">
        <f t="shared" si="163"/>
        <v>1028.117</v>
      </c>
      <c r="AV103" s="116">
        <f t="shared" si="163"/>
        <v>95.836999999999989</v>
      </c>
      <c r="AW103" s="82">
        <f t="shared" si="163"/>
        <v>1518</v>
      </c>
      <c r="AX103" s="136">
        <f>+Debt!AV11</f>
        <v>300</v>
      </c>
      <c r="AY103" s="135">
        <f>+Debt!AW11</f>
        <v>0</v>
      </c>
      <c r="AZ103" s="135">
        <f>+Debt!AX11</f>
        <v>1850</v>
      </c>
      <c r="BA103" s="116">
        <f>+Debt!AY11</f>
        <v>200</v>
      </c>
      <c r="BB103" s="82">
        <f>+Debt!AZ11</f>
        <v>2350</v>
      </c>
      <c r="BC103" s="136">
        <f>+Debt!BA11</f>
        <v>0</v>
      </c>
      <c r="BD103" s="135">
        <f>+Debt!BB11</f>
        <v>200</v>
      </c>
      <c r="BE103" s="135">
        <f>+Debt!BC11</f>
        <v>1150</v>
      </c>
      <c r="BF103" s="116">
        <f>+Debt!BD11</f>
        <v>0</v>
      </c>
      <c r="BG103" s="82">
        <f>+Debt!BE11</f>
        <v>1350</v>
      </c>
      <c r="BH103" s="136">
        <f>+Debt!BF11</f>
        <v>0</v>
      </c>
      <c r="BI103" s="135">
        <f>+Debt!BG11</f>
        <v>400</v>
      </c>
      <c r="BJ103" s="135">
        <f>+Debt!BH11</f>
        <v>1550</v>
      </c>
      <c r="BK103" s="116">
        <f>+Debt!BI11</f>
        <v>0</v>
      </c>
      <c r="BL103" s="82">
        <f>+Debt!BJ11</f>
        <v>1950</v>
      </c>
      <c r="BM103" s="136">
        <f>+Debt!BK11</f>
        <v>0</v>
      </c>
      <c r="BN103" s="135">
        <f>+Debt!BL11</f>
        <v>400</v>
      </c>
      <c r="BO103" s="135">
        <f>+Debt!BM11</f>
        <v>1150</v>
      </c>
      <c r="BP103" s="116">
        <f>+Debt!BN11</f>
        <v>0</v>
      </c>
      <c r="BQ103" s="82">
        <f>+Debt!BO11</f>
        <v>1550</v>
      </c>
      <c r="BR103" s="42"/>
      <c r="BS103" s="93"/>
      <c r="BT103" s="974">
        <f>SUM(AW103,BB103,BG103,BL103,BR103)</f>
        <v>7168</v>
      </c>
      <c r="BU103" s="525"/>
      <c r="BV103" s="525"/>
      <c r="BW103" s="525"/>
      <c r="BX103" s="525"/>
      <c r="BY103" s="525"/>
      <c r="BZ103" s="525"/>
      <c r="CA103" s="525"/>
    </row>
    <row r="104" spans="1:104" x14ac:dyDescent="0.2">
      <c r="C104" s="70" t="s">
        <v>159</v>
      </c>
      <c r="D104" s="82"/>
      <c r="E104" s="136">
        <f t="shared" ref="E104:P104" si="164">+E148</f>
        <v>-167.905</v>
      </c>
      <c r="F104" s="135">
        <f t="shared" si="164"/>
        <v>-1.0660000000000025</v>
      </c>
      <c r="G104" s="135">
        <f t="shared" si="164"/>
        <v>-451.10299999999995</v>
      </c>
      <c r="H104" s="116">
        <f t="shared" si="164"/>
        <v>-1.2220000000000937</v>
      </c>
      <c r="I104" s="82">
        <f t="shared" si="164"/>
        <v>-621.29600000000005</v>
      </c>
      <c r="J104" s="136">
        <f t="shared" si="164"/>
        <v>-25.355</v>
      </c>
      <c r="K104" s="135">
        <f t="shared" si="164"/>
        <v>-0.50499999999999901</v>
      </c>
      <c r="L104" s="135">
        <f t="shared" si="164"/>
        <v>-174.59199999999998</v>
      </c>
      <c r="M104" s="116">
        <f t="shared" si="164"/>
        <v>-359.93100000000004</v>
      </c>
      <c r="N104" s="82">
        <f t="shared" si="164"/>
        <v>-560.38300000000004</v>
      </c>
      <c r="O104" s="136">
        <f t="shared" si="164"/>
        <v>-0.55100000000000005</v>
      </c>
      <c r="P104" s="135">
        <f t="shared" si="164"/>
        <v>-1.19</v>
      </c>
      <c r="Q104" s="135">
        <f t="shared" si="157"/>
        <v>-102.78400000000001</v>
      </c>
      <c r="R104" s="116">
        <f t="shared" si="157"/>
        <v>-1.097999999999999</v>
      </c>
      <c r="S104" s="82">
        <f t="shared" si="157"/>
        <v>-105.623</v>
      </c>
      <c r="T104" s="136">
        <f t="shared" si="157"/>
        <v>-0.75800000000000001</v>
      </c>
      <c r="U104" s="135">
        <f t="shared" si="157"/>
        <v>-1.6970000000000001</v>
      </c>
      <c r="V104" s="135">
        <f>+V148</f>
        <v>-651.077</v>
      </c>
      <c r="W104" s="116">
        <f>+W148</f>
        <v>-649.23099999999988</v>
      </c>
      <c r="X104" s="82">
        <f>+X148</f>
        <v>-1302.7629999999999</v>
      </c>
      <c r="Y104" s="136">
        <f>+Y148</f>
        <v>-251.36699999999999</v>
      </c>
      <c r="Z104" s="135">
        <f t="shared" si="159"/>
        <v>-400.149</v>
      </c>
      <c r="AA104" s="135">
        <f t="shared" si="159"/>
        <v>-3.34800000000007</v>
      </c>
      <c r="AB104" s="116">
        <f t="shared" si="159"/>
        <v>2.4130000000000109</v>
      </c>
      <c r="AC104" s="82">
        <f t="shared" si="159"/>
        <v>-652.45100000000002</v>
      </c>
      <c r="AD104" s="136">
        <f t="shared" si="159"/>
        <v>-0.224</v>
      </c>
      <c r="AE104" s="135">
        <f t="shared" si="160"/>
        <v>-275.26</v>
      </c>
      <c r="AF104" s="135">
        <f t="shared" si="160"/>
        <v>-0.22400000000004638</v>
      </c>
      <c r="AG104" s="116">
        <f t="shared" si="160"/>
        <v>-0.23999999999995225</v>
      </c>
      <c r="AH104" s="82">
        <f t="shared" si="160"/>
        <v>-275.94799999999998</v>
      </c>
      <c r="AI104" s="136">
        <f t="shared" si="160"/>
        <v>-0.45500000000000002</v>
      </c>
      <c r="AJ104" s="135">
        <f t="shared" si="161"/>
        <v>1.0000000000000009E-3</v>
      </c>
      <c r="AK104" s="135">
        <f t="shared" si="161"/>
        <v>-250.19</v>
      </c>
      <c r="AL104" s="116">
        <f t="shared" si="161"/>
        <v>-0.23799999999999955</v>
      </c>
      <c r="AM104" s="82">
        <f t="shared" si="161"/>
        <v>-250.88200000000001</v>
      </c>
      <c r="AN104" s="136">
        <f t="shared" si="161"/>
        <v>-0.33300000000000002</v>
      </c>
      <c r="AO104" s="135">
        <f t="shared" si="162"/>
        <v>-579.64300000000003</v>
      </c>
      <c r="AP104" s="135">
        <f t="shared" si="162"/>
        <v>-0.19100000000003092</v>
      </c>
      <c r="AQ104" s="116">
        <f t="shared" si="162"/>
        <v>-455.73400000000004</v>
      </c>
      <c r="AR104" s="82">
        <f t="shared" si="162"/>
        <v>-1035.9010000000001</v>
      </c>
      <c r="AS104" s="136">
        <f t="shared" si="162"/>
        <v>-0.217</v>
      </c>
      <c r="AT104" s="135">
        <f t="shared" ref="AT104:AW104" si="165">+AT148</f>
        <v>-250.17999999999998</v>
      </c>
      <c r="AU104" s="135">
        <f t="shared" si="165"/>
        <v>-779.702</v>
      </c>
      <c r="AV104" s="116">
        <f t="shared" si="165"/>
        <v>9.8999999999932697E-2</v>
      </c>
      <c r="AW104" s="82">
        <f t="shared" si="165"/>
        <v>-1030</v>
      </c>
      <c r="AX104" s="136">
        <f>+Debt!AV10</f>
        <v>0</v>
      </c>
      <c r="AY104" s="135">
        <f>+Debt!AW10</f>
        <v>0</v>
      </c>
      <c r="AZ104" s="135">
        <f>+Debt!AX10</f>
        <v>-300</v>
      </c>
      <c r="BA104" s="116">
        <f>+Debt!AY10</f>
        <v>-150</v>
      </c>
      <c r="BB104" s="82">
        <f>+Debt!AZ10</f>
        <v>-450</v>
      </c>
      <c r="BC104" s="136">
        <f>+Debt!BA10</f>
        <v>0</v>
      </c>
      <c r="BD104" s="135">
        <f>+Debt!BB10</f>
        <v>-400</v>
      </c>
      <c r="BE104" s="135">
        <f>+Debt!BC10</f>
        <v>0</v>
      </c>
      <c r="BF104" s="116">
        <f>+Debt!BD10</f>
        <v>0</v>
      </c>
      <c r="BG104" s="82">
        <f>+Debt!BE10</f>
        <v>-400</v>
      </c>
      <c r="BH104" s="136">
        <f>+Debt!BF10</f>
        <v>0</v>
      </c>
      <c r="BI104" s="135">
        <f>+Debt!BG10</f>
        <v>-550</v>
      </c>
      <c r="BJ104" s="135">
        <f>+Debt!BH10</f>
        <v>-300</v>
      </c>
      <c r="BK104" s="116">
        <f>+Debt!BI10</f>
        <v>-400</v>
      </c>
      <c r="BL104" s="82">
        <f>+Debt!BJ10</f>
        <v>-1250</v>
      </c>
      <c r="BM104" s="136">
        <f>+Debt!BK10</f>
        <v>-400</v>
      </c>
      <c r="BN104" s="135">
        <f>+Debt!BL10</f>
        <v>0</v>
      </c>
      <c r="BO104" s="135">
        <f>+Debt!BM10</f>
        <v>0</v>
      </c>
      <c r="BP104" s="116">
        <f>+Debt!BN10</f>
        <v>-18.600000000000001</v>
      </c>
      <c r="BQ104" s="82">
        <f>+Debt!BO10</f>
        <v>-418.6</v>
      </c>
      <c r="BR104" s="42"/>
      <c r="BT104" s="974">
        <f>SUM(AW104,BB104,BG104,BL104,BR104)</f>
        <v>-3130</v>
      </c>
      <c r="BU104" s="525"/>
      <c r="BV104" s="525"/>
      <c r="BW104" s="525"/>
      <c r="BX104" s="525"/>
      <c r="BY104" s="525"/>
      <c r="BZ104" s="525"/>
      <c r="CA104" s="525"/>
    </row>
    <row r="105" spans="1:104" x14ac:dyDescent="0.2">
      <c r="C105" s="70"/>
      <c r="D105" s="82"/>
      <c r="E105" s="136"/>
      <c r="F105" s="137"/>
      <c r="G105" s="137"/>
      <c r="H105" s="116"/>
      <c r="I105" s="82"/>
      <c r="J105" s="136"/>
      <c r="K105" s="137"/>
      <c r="L105" s="137"/>
      <c r="M105" s="116"/>
      <c r="N105" s="82"/>
      <c r="O105" s="136"/>
      <c r="P105" s="137"/>
      <c r="Q105" s="137"/>
      <c r="R105" s="116"/>
      <c r="S105" s="82"/>
      <c r="T105" s="136"/>
      <c r="U105" s="137"/>
      <c r="V105" s="137"/>
      <c r="W105" s="116"/>
      <c r="X105" s="82"/>
      <c r="Y105" s="136"/>
      <c r="Z105" s="137"/>
      <c r="AA105" s="137"/>
      <c r="AB105" s="116"/>
      <c r="AC105" s="82"/>
      <c r="AD105" s="136"/>
      <c r="AE105" s="137"/>
      <c r="AF105" s="137"/>
      <c r="AG105" s="116"/>
      <c r="AH105" s="82"/>
      <c r="AI105" s="136"/>
      <c r="AJ105" s="137"/>
      <c r="AK105" s="137"/>
      <c r="AL105" s="116"/>
      <c r="AM105" s="82"/>
      <c r="AN105" s="136"/>
      <c r="AO105" s="137"/>
      <c r="AP105" s="137"/>
      <c r="AQ105" s="116"/>
      <c r="AR105" s="82"/>
      <c r="AS105" s="136"/>
      <c r="AT105" s="137"/>
      <c r="AU105" s="137"/>
      <c r="AV105" s="116"/>
      <c r="AW105" s="82"/>
      <c r="AX105" s="136"/>
      <c r="AY105" s="137"/>
      <c r="AZ105" s="137"/>
      <c r="BA105" s="116"/>
      <c r="BB105" s="82"/>
      <c r="BC105" s="136"/>
      <c r="BD105" s="137"/>
      <c r="BE105" s="137"/>
      <c r="BF105" s="116"/>
      <c r="BG105" s="82"/>
      <c r="BH105" s="136"/>
      <c r="BI105" s="137"/>
      <c r="BJ105" s="137"/>
      <c r="BK105" s="116"/>
      <c r="BL105" s="82"/>
      <c r="BM105" s="136"/>
      <c r="BN105" s="137"/>
      <c r="BO105" s="137"/>
      <c r="BP105" s="116"/>
      <c r="BQ105" s="82"/>
      <c r="BR105" s="42"/>
      <c r="BT105" s="525"/>
      <c r="BU105" s="525"/>
      <c r="BV105" s="525"/>
      <c r="BW105" s="525"/>
      <c r="BX105" s="525"/>
      <c r="BY105" s="525"/>
      <c r="BZ105" s="525"/>
      <c r="CA105" s="525"/>
    </row>
    <row r="106" spans="1:104" x14ac:dyDescent="0.2">
      <c r="C106" s="141" t="s">
        <v>132</v>
      </c>
      <c r="D106" s="82"/>
      <c r="E106" s="136"/>
      <c r="F106" s="137"/>
      <c r="G106" s="137"/>
      <c r="H106" s="116"/>
      <c r="I106" s="82"/>
      <c r="J106" s="136"/>
      <c r="K106" s="137"/>
      <c r="L106" s="137"/>
      <c r="M106" s="116"/>
      <c r="N106" s="82"/>
      <c r="O106" s="201"/>
      <c r="P106" s="202"/>
      <c r="Q106" s="135"/>
      <c r="R106" s="116"/>
      <c r="S106" s="82"/>
      <c r="T106" s="136"/>
      <c r="U106" s="202"/>
      <c r="V106" s="135"/>
      <c r="W106" s="116"/>
      <c r="X106" s="82"/>
      <c r="Y106" s="136"/>
      <c r="Z106" s="135"/>
      <c r="AA106" s="135"/>
      <c r="AB106" s="116"/>
      <c r="AC106" s="82"/>
      <c r="AD106" s="136"/>
      <c r="AE106" s="135"/>
      <c r="AF106" s="135"/>
      <c r="AG106" s="116"/>
      <c r="AH106" s="82"/>
      <c r="AI106" s="136"/>
      <c r="AJ106" s="135"/>
      <c r="AK106" s="135"/>
      <c r="AL106" s="116"/>
      <c r="AM106" s="82"/>
      <c r="AN106" s="136"/>
      <c r="AO106" s="135"/>
      <c r="AP106" s="135"/>
      <c r="AQ106" s="116"/>
      <c r="AR106" s="82"/>
      <c r="AS106" s="136"/>
      <c r="AT106" s="135"/>
      <c r="AU106" s="135"/>
      <c r="AV106" s="116"/>
      <c r="AW106" s="82"/>
      <c r="AX106" s="136"/>
      <c r="AY106" s="135"/>
      <c r="AZ106" s="135"/>
      <c r="BA106" s="116"/>
      <c r="BB106" s="82"/>
      <c r="BC106" s="136"/>
      <c r="BD106" s="135"/>
      <c r="BE106" s="135"/>
      <c r="BF106" s="116"/>
      <c r="BG106" s="82"/>
      <c r="BH106" s="136"/>
      <c r="BI106" s="135"/>
      <c r="BJ106" s="135"/>
      <c r="BK106" s="116"/>
      <c r="BL106" s="82"/>
      <c r="BM106" s="136"/>
      <c r="BN106" s="135"/>
      <c r="BO106" s="135"/>
      <c r="BP106" s="116"/>
      <c r="BQ106" s="82"/>
      <c r="BR106" s="42"/>
      <c r="BT106" s="525"/>
      <c r="BU106" s="525"/>
      <c r="BV106" s="525"/>
      <c r="BW106" s="525"/>
      <c r="BX106" s="525"/>
      <c r="BY106" s="525"/>
      <c r="BZ106" s="525"/>
      <c r="CA106" s="525"/>
    </row>
    <row r="107" spans="1:104" x14ac:dyDescent="0.2">
      <c r="C107" s="70" t="s">
        <v>160</v>
      </c>
      <c r="D107" s="82"/>
      <c r="E107" s="136"/>
      <c r="F107" s="137"/>
      <c r="G107" s="137"/>
      <c r="H107" s="116"/>
      <c r="I107" s="82"/>
      <c r="J107" s="136"/>
      <c r="K107" s="137"/>
      <c r="L107" s="137"/>
      <c r="M107" s="116"/>
      <c r="N107" s="82"/>
      <c r="O107" s="136"/>
      <c r="P107" s="135"/>
      <c r="Q107" s="135"/>
      <c r="R107" s="116"/>
      <c r="S107" s="82"/>
      <c r="T107" s="136"/>
      <c r="U107" s="135"/>
      <c r="V107" s="135"/>
      <c r="W107" s="116"/>
      <c r="X107" s="82"/>
      <c r="Y107" s="136"/>
      <c r="Z107" s="135"/>
      <c r="AA107" s="135"/>
      <c r="AB107" s="116"/>
      <c r="AC107" s="82"/>
      <c r="AD107" s="136"/>
      <c r="AE107" s="135"/>
      <c r="AF107" s="135"/>
      <c r="AG107" s="116"/>
      <c r="AH107" s="82"/>
      <c r="AI107" s="136"/>
      <c r="AJ107" s="135"/>
      <c r="AK107" s="135"/>
      <c r="AL107" s="116"/>
      <c r="AM107" s="82"/>
      <c r="AN107" s="136"/>
      <c r="AO107" s="135"/>
      <c r="AP107" s="135"/>
      <c r="AQ107" s="116"/>
      <c r="AR107" s="82"/>
      <c r="AS107" s="136"/>
      <c r="AT107" s="135"/>
      <c r="AU107" s="135"/>
      <c r="AV107" s="116"/>
      <c r="AW107" s="82"/>
      <c r="AX107" s="136">
        <f t="shared" ref="AX107:BA107" si="166">(((AW187-AS187)*AX113)/4)-((AW166-AS166)*(AX113-1%)/4)</f>
        <v>1.0224624999999998</v>
      </c>
      <c r="AY107" s="135">
        <f t="shared" si="166"/>
        <v>0.11091629732874977</v>
      </c>
      <c r="AZ107" s="135">
        <f t="shared" si="166"/>
        <v>3.731084521127638</v>
      </c>
      <c r="BA107" s="116">
        <f t="shared" si="166"/>
        <v>-4.5401266920215413</v>
      </c>
      <c r="BB107" s="82">
        <f>SUM(AX107:BA107)</f>
        <v>0.32433662643484595</v>
      </c>
      <c r="BC107" s="136">
        <f>(((BB187-AX187)*BC113)/4)-((BB166-AX166)*(BC113-1%)/4)</f>
        <v>-3.4137753626362248</v>
      </c>
      <c r="BD107" s="135">
        <f>(((BC187-AY187)*BD113)/4)-((BC166-AY166)*(BD113-1%)/4)</f>
        <v>-3.1178275137774087</v>
      </c>
      <c r="BE107" s="135">
        <f>(((BD187-AZ187)*BE113)/4)-((BD166-AZ166)*(BE113-1%)/4)</f>
        <v>7.0462371069859024</v>
      </c>
      <c r="BF107" s="116">
        <f>(((BE187-BA187)*BF113)/4)-((BE166-BA166)*(BF113-1%)/4)</f>
        <v>1.2105720890786251</v>
      </c>
      <c r="BG107" s="82">
        <f>SUM(BC107:BF107)</f>
        <v>1.725206319650894</v>
      </c>
      <c r="BH107" s="136">
        <f>(((BG187-BC187)*BH113)/4)-((BG166-BC166)*(BH113-1%)/4)</f>
        <v>1.5706862747056913</v>
      </c>
      <c r="BI107" s="135">
        <f>(((BH187-BD187)*BI113)/4)-((BH166-BD166)*(BI113-1%)/4)</f>
        <v>-1.1465812094204182</v>
      </c>
      <c r="BJ107" s="135">
        <f>(((BI187-BE187)*BJ113)/4)-((BI166-BE166)*(BJ113-1%)/4)</f>
        <v>5.5059547641372379</v>
      </c>
      <c r="BK107" s="116">
        <f>(((BJ187-BF187)*BK113)/4)-((BJ166-BF166)*(BK113-1%)/4)</f>
        <v>-3.7740265616903721</v>
      </c>
      <c r="BL107" s="82">
        <f>SUM(BH107:BK107)</f>
        <v>2.156033267732139</v>
      </c>
      <c r="BM107" s="136">
        <f>(((BL187-BH187)*BM113)/4)-((BL166-BH166)*(BM113-1%)/4)</f>
        <v>-1.4083917619137856</v>
      </c>
      <c r="BN107" s="135">
        <f>(((BM187-BI187)*BN113)/4)-((BM166-BI166)*(BN113-1%)/4)</f>
        <v>-0.58311212158193604</v>
      </c>
      <c r="BO107" s="135">
        <f>(((BN187-BJ187)*BO113)/4)-((BN166-BJ166)*(BO113-1%)/4)</f>
        <v>5.1829130956600364</v>
      </c>
      <c r="BP107" s="116">
        <f>(((BO187-BK187)*BP113)/4)-((BO166-BK166)*(BP113-1%)/4)</f>
        <v>-4.053595196308442</v>
      </c>
      <c r="BQ107" s="82">
        <f>SUM(BM107:BP107)</f>
        <v>-0.86218598414412728</v>
      </c>
      <c r="BR107" s="42"/>
      <c r="BT107" s="525"/>
      <c r="BU107" s="525"/>
      <c r="BV107" s="525"/>
      <c r="BW107" s="525"/>
      <c r="BX107" s="525"/>
      <c r="BY107" s="525"/>
      <c r="BZ107" s="525"/>
      <c r="CA107" s="525"/>
    </row>
    <row r="108" spans="1:104" x14ac:dyDescent="0.2">
      <c r="C108" s="70"/>
      <c r="D108" s="82"/>
      <c r="E108" s="136"/>
      <c r="F108" s="137"/>
      <c r="G108" s="137"/>
      <c r="H108" s="116"/>
      <c r="I108" s="82"/>
      <c r="J108" s="136"/>
      <c r="K108" s="137"/>
      <c r="L108" s="137"/>
      <c r="M108" s="116"/>
      <c r="N108" s="82"/>
      <c r="O108" s="136"/>
      <c r="P108" s="137"/>
      <c r="Q108" s="137"/>
      <c r="R108" s="116"/>
      <c r="S108" s="82"/>
      <c r="T108" s="136"/>
      <c r="U108" s="137"/>
      <c r="V108" s="137"/>
      <c r="W108" s="116"/>
      <c r="X108" s="82"/>
      <c r="Y108" s="136"/>
      <c r="Z108" s="137"/>
      <c r="AA108" s="137"/>
      <c r="AB108" s="116"/>
      <c r="AC108" s="82"/>
      <c r="AD108" s="136"/>
      <c r="AE108" s="137"/>
      <c r="AF108" s="137"/>
      <c r="AG108" s="116"/>
      <c r="AH108" s="82"/>
      <c r="AI108" s="136"/>
      <c r="AJ108" s="137"/>
      <c r="AK108" s="137"/>
      <c r="AL108" s="116"/>
      <c r="AM108" s="82"/>
      <c r="AN108" s="136"/>
      <c r="AO108" s="137"/>
      <c r="AP108" s="137"/>
      <c r="AQ108" s="116"/>
      <c r="AR108" s="82"/>
      <c r="AS108" s="136"/>
      <c r="AT108" s="137"/>
      <c r="AU108" s="137"/>
      <c r="AV108" s="116"/>
      <c r="AW108" s="82"/>
      <c r="AX108" s="136"/>
      <c r="AY108" s="137"/>
      <c r="AZ108" s="137"/>
      <c r="BA108" s="116"/>
      <c r="BB108" s="82"/>
      <c r="BC108" s="136"/>
      <c r="BD108" s="137"/>
      <c r="BE108" s="137"/>
      <c r="BF108" s="116"/>
      <c r="BG108" s="82"/>
      <c r="BH108" s="136"/>
      <c r="BI108" s="137"/>
      <c r="BJ108" s="137"/>
      <c r="BK108" s="116"/>
      <c r="BL108" s="82"/>
      <c r="BM108" s="136"/>
      <c r="BN108" s="137"/>
      <c r="BO108" s="137"/>
      <c r="BP108" s="116"/>
      <c r="BQ108" s="82"/>
      <c r="BR108" s="42"/>
      <c r="BT108" s="525"/>
      <c r="BU108" s="525"/>
      <c r="BV108" s="525"/>
      <c r="BW108" s="525"/>
      <c r="BX108" s="525"/>
      <c r="BY108" s="525"/>
      <c r="BZ108" s="525"/>
      <c r="CA108" s="525"/>
    </row>
    <row r="109" spans="1:104" x14ac:dyDescent="0.2">
      <c r="C109" s="70" t="s">
        <v>161</v>
      </c>
      <c r="D109" s="82"/>
      <c r="E109" s="136"/>
      <c r="F109" s="137"/>
      <c r="G109" s="137"/>
      <c r="H109" s="116"/>
      <c r="I109" s="82"/>
      <c r="J109" s="136"/>
      <c r="K109" s="137"/>
      <c r="L109" s="137"/>
      <c r="M109" s="116"/>
      <c r="N109" s="82"/>
      <c r="O109" s="136"/>
      <c r="P109" s="135"/>
      <c r="Q109" s="200"/>
      <c r="R109" s="116"/>
      <c r="S109" s="82"/>
      <c r="T109" s="136"/>
      <c r="U109" s="135"/>
      <c r="V109" s="200"/>
      <c r="W109" s="116"/>
      <c r="X109" s="82"/>
      <c r="Y109" s="136"/>
      <c r="Z109" s="135"/>
      <c r="AA109" s="200"/>
      <c r="AB109" s="116"/>
      <c r="AC109" s="82"/>
      <c r="AD109" s="136"/>
      <c r="AE109" s="135"/>
      <c r="AF109" s="200"/>
      <c r="AG109" s="116"/>
      <c r="AH109" s="82"/>
      <c r="AI109" s="136"/>
      <c r="AJ109" s="135"/>
      <c r="AK109" s="200"/>
      <c r="AL109" s="116"/>
      <c r="AM109" s="82"/>
      <c r="AN109" s="136"/>
      <c r="AO109" s="135"/>
      <c r="AP109" s="200"/>
      <c r="AQ109" s="116"/>
      <c r="AR109" s="82"/>
      <c r="AS109" s="136"/>
      <c r="AT109" s="135"/>
      <c r="AU109" s="135"/>
      <c r="AV109" s="116"/>
      <c r="AW109" s="82"/>
      <c r="AX109" s="136">
        <f>+Debt!DA11</f>
        <v>17.287500000000001</v>
      </c>
      <c r="AY109" s="135">
        <f>+Debt!DB11</f>
        <v>16.020833333333332</v>
      </c>
      <c r="AZ109" s="135">
        <f>+Debt!DC11</f>
        <v>28.349999999999998</v>
      </c>
      <c r="BA109" s="116">
        <f>+Debt!DD11</f>
        <v>24.4375</v>
      </c>
      <c r="BB109" s="82">
        <f>+Debt!DE11</f>
        <v>86.095833333333331</v>
      </c>
      <c r="BC109" s="136">
        <f>+Debt!DF11</f>
        <v>21.4375</v>
      </c>
      <c r="BD109" s="135">
        <f>+Debt!DG11</f>
        <v>23.6875</v>
      </c>
      <c r="BE109" s="135">
        <f>+Debt!DH11</f>
        <v>17.1875</v>
      </c>
      <c r="BF109" s="116">
        <f>+Debt!DI11</f>
        <v>15.1875</v>
      </c>
      <c r="BG109" s="82">
        <f>+Debt!DY11</f>
        <v>0</v>
      </c>
      <c r="BH109" s="136">
        <f>+Debt!DK11</f>
        <v>15.1875</v>
      </c>
      <c r="BI109" s="135">
        <f>+Debt!DL11</f>
        <v>17.4375</v>
      </c>
      <c r="BJ109" s="135">
        <f>+Debt!DM11</f>
        <v>21.9375</v>
      </c>
      <c r="BK109" s="116">
        <f>+Debt!DN11</f>
        <v>21.9375</v>
      </c>
      <c r="BL109" s="82">
        <f>+Debt!ED11</f>
        <v>0</v>
      </c>
      <c r="BM109" s="136">
        <f>+Debt!DP11</f>
        <v>21.9375</v>
      </c>
      <c r="BN109" s="135">
        <f>+Debt!DQ11</f>
        <v>21.9375</v>
      </c>
      <c r="BO109" s="135">
        <f>+Debt!DR11</f>
        <v>17.4375</v>
      </c>
      <c r="BP109" s="116">
        <f>+Debt!DS11</f>
        <v>17.4375</v>
      </c>
      <c r="BQ109" s="82">
        <f>+Debt!EI11</f>
        <v>0</v>
      </c>
      <c r="BR109" s="42"/>
      <c r="BT109" s="525"/>
      <c r="BU109" s="525"/>
      <c r="BV109" s="525"/>
      <c r="BW109" s="525"/>
      <c r="BX109" s="525"/>
      <c r="BY109" s="525"/>
      <c r="BZ109" s="525"/>
      <c r="CA109" s="525"/>
    </row>
    <row r="110" spans="1:104" x14ac:dyDescent="0.2">
      <c r="C110" s="70" t="s">
        <v>162</v>
      </c>
      <c r="D110" s="82"/>
      <c r="E110" s="136"/>
      <c r="F110" s="137"/>
      <c r="G110" s="137"/>
      <c r="H110" s="116"/>
      <c r="I110" s="82"/>
      <c r="J110" s="136"/>
      <c r="K110" s="137"/>
      <c r="L110" s="137"/>
      <c r="M110" s="116"/>
      <c r="N110" s="82"/>
      <c r="O110" s="136"/>
      <c r="P110" s="135"/>
      <c r="Q110" s="200"/>
      <c r="R110" s="116"/>
      <c r="S110" s="82"/>
      <c r="T110" s="136"/>
      <c r="U110" s="135"/>
      <c r="V110" s="200"/>
      <c r="W110" s="116"/>
      <c r="X110" s="82"/>
      <c r="Y110" s="136"/>
      <c r="Z110" s="135"/>
      <c r="AA110" s="200"/>
      <c r="AB110" s="116"/>
      <c r="AC110" s="82"/>
      <c r="AD110" s="136"/>
      <c r="AE110" s="135"/>
      <c r="AF110" s="200"/>
      <c r="AG110" s="116"/>
      <c r="AH110" s="82"/>
      <c r="AI110" s="136"/>
      <c r="AJ110" s="135"/>
      <c r="AK110" s="200"/>
      <c r="AL110" s="116"/>
      <c r="AM110" s="82"/>
      <c r="AN110" s="136"/>
      <c r="AO110" s="135"/>
      <c r="AP110" s="200"/>
      <c r="AQ110" s="116"/>
      <c r="AR110" s="82"/>
      <c r="AS110" s="136"/>
      <c r="AT110" s="135"/>
      <c r="AU110" s="135"/>
      <c r="AV110" s="116"/>
      <c r="AW110" s="82"/>
      <c r="AX110" s="136">
        <f>+Debt!DA10</f>
        <v>-12.913688097826086</v>
      </c>
      <c r="AY110" s="135">
        <f>+Debt!DB10</f>
        <v>-12.663688097826086</v>
      </c>
      <c r="AZ110" s="135">
        <f>+Debt!DC10</f>
        <v>-9.1058966666666663</v>
      </c>
      <c r="BA110" s="116">
        <f>+Debt!DD10</f>
        <v>-6.3187500000000005</v>
      </c>
      <c r="BB110" s="82">
        <f>+Debt!DE10</f>
        <v>-41.002022862318839</v>
      </c>
      <c r="BC110" s="136">
        <f>+Debt!DF10</f>
        <v>-6.3187500000000005</v>
      </c>
      <c r="BD110" s="135">
        <f>+Debt!DG10</f>
        <v>-8.0270833333333336</v>
      </c>
      <c r="BE110" s="135">
        <f>+Debt!DH10</f>
        <v>-8.5437499999999993</v>
      </c>
      <c r="BF110" s="116">
        <f>+Debt!DI10</f>
        <v>-5.125</v>
      </c>
      <c r="BG110" s="82">
        <f>+Debt!DY10</f>
        <v>0</v>
      </c>
      <c r="BH110" s="136">
        <f>+Debt!DK10</f>
        <v>-5.125</v>
      </c>
      <c r="BI110" s="135">
        <f>+Debt!DL10</f>
        <v>-7.7249999999999996</v>
      </c>
      <c r="BJ110" s="135">
        <f>+Debt!DM10</f>
        <v>-7.5625</v>
      </c>
      <c r="BK110" s="116">
        <f>+Debt!DN10</f>
        <v>-10.245833333333334</v>
      </c>
      <c r="BL110" s="82">
        <f>+Debt!ED10</f>
        <v>0</v>
      </c>
      <c r="BM110" s="136">
        <f>+Debt!DP10</f>
        <v>-12.112500000000001</v>
      </c>
      <c r="BN110" s="135">
        <f>+Debt!DQ10</f>
        <v>-9.4041666666666686</v>
      </c>
      <c r="BO110" s="135">
        <f>+Debt!DR10</f>
        <v>-6.15</v>
      </c>
      <c r="BP110" s="116">
        <f>+Debt!DS10</f>
        <v>-3.6526666666666667</v>
      </c>
      <c r="BQ110" s="82">
        <f>+Debt!EI10</f>
        <v>0</v>
      </c>
      <c r="BR110" s="42"/>
      <c r="BT110" s="525"/>
      <c r="BU110" s="525"/>
      <c r="BV110" s="525"/>
      <c r="BW110" s="525"/>
      <c r="BX110" s="525"/>
      <c r="BY110" s="525"/>
      <c r="BZ110" s="525"/>
      <c r="CA110" s="525"/>
    </row>
    <row r="111" spans="1:104" x14ac:dyDescent="0.2">
      <c r="C111" s="141" t="s">
        <v>163</v>
      </c>
      <c r="D111" s="82"/>
      <c r="E111" s="136"/>
      <c r="F111" s="137"/>
      <c r="G111" s="137"/>
      <c r="H111" s="116"/>
      <c r="I111" s="82"/>
      <c r="J111" s="136"/>
      <c r="K111" s="137"/>
      <c r="L111" s="137"/>
      <c r="M111" s="116"/>
      <c r="N111" s="82"/>
      <c r="O111" s="121"/>
      <c r="P111" s="122"/>
      <c r="Q111" s="122"/>
      <c r="R111" s="123"/>
      <c r="S111" s="86"/>
      <c r="T111" s="121"/>
      <c r="U111" s="122"/>
      <c r="V111" s="122"/>
      <c r="W111" s="123"/>
      <c r="X111" s="86"/>
      <c r="Y111" s="121"/>
      <c r="Z111" s="122"/>
      <c r="AA111" s="122"/>
      <c r="AB111" s="123"/>
      <c r="AC111" s="86"/>
      <c r="AD111" s="121"/>
      <c r="AE111" s="122"/>
      <c r="AF111" s="122"/>
      <c r="AG111" s="123"/>
      <c r="AH111" s="86"/>
      <c r="AI111" s="121"/>
      <c r="AJ111" s="122"/>
      <c r="AK111" s="122"/>
      <c r="AL111" s="123"/>
      <c r="AM111" s="86"/>
      <c r="AN111" s="121"/>
      <c r="AO111" s="122"/>
      <c r="AP111" s="122"/>
      <c r="AQ111" s="123"/>
      <c r="AR111" s="86"/>
      <c r="AS111" s="121"/>
      <c r="AT111" s="122"/>
      <c r="AU111" s="122"/>
      <c r="AV111" s="123"/>
      <c r="AW111" s="86"/>
      <c r="AX111" s="121">
        <f t="shared" ref="AX111:BA111" si="167">SUM(AX109:AX110)+AX107</f>
        <v>5.3962744021739155</v>
      </c>
      <c r="AY111" s="122">
        <f t="shared" si="167"/>
        <v>3.4680615328359963</v>
      </c>
      <c r="AZ111" s="122">
        <f t="shared" si="167"/>
        <v>22.97518785446097</v>
      </c>
      <c r="BA111" s="123">
        <f t="shared" si="167"/>
        <v>13.578623307978457</v>
      </c>
      <c r="BB111" s="86">
        <f t="shared" ref="BB111:BG111" si="168">SUM(BB109:BB110)+BB107</f>
        <v>45.418147097449335</v>
      </c>
      <c r="BC111" s="121">
        <f t="shared" si="168"/>
        <v>11.704974637363774</v>
      </c>
      <c r="BD111" s="122">
        <f t="shared" si="168"/>
        <v>12.542589152889258</v>
      </c>
      <c r="BE111" s="122">
        <f t="shared" si="168"/>
        <v>15.689987106985903</v>
      </c>
      <c r="BF111" s="123">
        <f t="shared" si="168"/>
        <v>11.273072089078624</v>
      </c>
      <c r="BG111" s="86">
        <f t="shared" si="168"/>
        <v>1.725206319650894</v>
      </c>
      <c r="BH111" s="121">
        <f t="shared" ref="BH111:BQ111" si="169">SUM(BH109:BH110)+BH107</f>
        <v>11.633186274705691</v>
      </c>
      <c r="BI111" s="122">
        <f t="shared" si="169"/>
        <v>8.5659187905795822</v>
      </c>
      <c r="BJ111" s="122">
        <f t="shared" si="169"/>
        <v>19.880954764137236</v>
      </c>
      <c r="BK111" s="123">
        <f t="shared" si="169"/>
        <v>7.9176401049762948</v>
      </c>
      <c r="BL111" s="86">
        <f t="shared" si="169"/>
        <v>2.156033267732139</v>
      </c>
      <c r="BM111" s="121">
        <f t="shared" si="169"/>
        <v>8.4166082380862139</v>
      </c>
      <c r="BN111" s="122">
        <f t="shared" si="169"/>
        <v>11.950221211751396</v>
      </c>
      <c r="BO111" s="122">
        <f t="shared" si="169"/>
        <v>16.470413095660035</v>
      </c>
      <c r="BP111" s="123">
        <f t="shared" si="169"/>
        <v>9.7312381370248922</v>
      </c>
      <c r="BQ111" s="86">
        <f t="shared" si="169"/>
        <v>-0.86218598414412728</v>
      </c>
      <c r="BR111" s="42"/>
      <c r="BT111" s="525"/>
      <c r="BU111" s="525"/>
      <c r="BV111" s="525"/>
      <c r="BW111" s="525"/>
      <c r="BX111" s="525"/>
      <c r="BY111" s="525"/>
      <c r="BZ111" s="525"/>
      <c r="CA111" s="525"/>
    </row>
    <row r="112" spans="1:104" x14ac:dyDescent="0.2">
      <c r="C112" s="20"/>
      <c r="D112" s="82"/>
      <c r="E112" s="136"/>
      <c r="F112" s="137"/>
      <c r="G112" s="137"/>
      <c r="H112" s="116"/>
      <c r="I112" s="82"/>
      <c r="J112" s="136"/>
      <c r="K112" s="137"/>
      <c r="L112" s="137"/>
      <c r="M112" s="116"/>
      <c r="N112" s="82"/>
      <c r="O112" s="136"/>
      <c r="P112" s="137"/>
      <c r="Q112" s="137"/>
      <c r="R112" s="116"/>
      <c r="S112" s="82"/>
      <c r="T112" s="136"/>
      <c r="U112" s="137"/>
      <c r="V112" s="137"/>
      <c r="W112" s="116"/>
      <c r="X112" s="82"/>
      <c r="Y112" s="136"/>
      <c r="Z112" s="137"/>
      <c r="AA112" s="137"/>
      <c r="AB112" s="116"/>
      <c r="AC112" s="82"/>
      <c r="AD112" s="136"/>
      <c r="AE112" s="137"/>
      <c r="AF112" s="137"/>
      <c r="AG112" s="116"/>
      <c r="AH112" s="82"/>
      <c r="AI112" s="136"/>
      <c r="AJ112" s="137"/>
      <c r="AK112" s="137"/>
      <c r="AL112" s="116"/>
      <c r="AM112" s="82"/>
      <c r="AN112" s="136"/>
      <c r="AO112" s="137"/>
      <c r="AP112" s="137"/>
      <c r="AQ112" s="116"/>
      <c r="AR112" s="82"/>
      <c r="AS112" s="136"/>
      <c r="AT112" s="137"/>
      <c r="AU112" s="137"/>
      <c r="AV112" s="116"/>
      <c r="AW112" s="82"/>
      <c r="AX112" s="136"/>
      <c r="AY112" s="137"/>
      <c r="AZ112" s="137"/>
      <c r="BA112" s="116"/>
      <c r="BB112" s="82"/>
      <c r="BC112" s="136"/>
      <c r="BD112" s="137"/>
      <c r="BE112" s="137"/>
      <c r="BF112" s="116"/>
      <c r="BG112" s="82"/>
      <c r="BH112" s="136"/>
      <c r="BI112" s="137"/>
      <c r="BJ112" s="137"/>
      <c r="BK112" s="116"/>
      <c r="BL112" s="82"/>
      <c r="BM112" s="136"/>
      <c r="BN112" s="137"/>
      <c r="BO112" s="137"/>
      <c r="BP112" s="116"/>
      <c r="BQ112" s="82"/>
      <c r="BR112" s="42"/>
      <c r="BT112" s="525"/>
      <c r="BU112" s="525"/>
      <c r="BV112" s="525"/>
      <c r="BW112" s="525"/>
      <c r="BX112" s="525"/>
      <c r="BY112" s="525"/>
      <c r="BZ112" s="525"/>
      <c r="CA112" s="525"/>
    </row>
    <row r="113" spans="2:79" x14ac:dyDescent="0.2">
      <c r="C113" s="70" t="s">
        <v>164</v>
      </c>
      <c r="D113" s="20"/>
      <c r="E113" s="203"/>
      <c r="F113" s="204"/>
      <c r="G113" s="204"/>
      <c r="H113" s="205"/>
      <c r="I113" s="206"/>
      <c r="J113" s="203"/>
      <c r="K113" s="204"/>
      <c r="L113" s="204"/>
      <c r="M113" s="205"/>
      <c r="N113" s="206"/>
      <c r="O113" s="207"/>
      <c r="P113" s="208"/>
      <c r="Q113" s="208"/>
      <c r="R113" s="209"/>
      <c r="S113" s="36"/>
      <c r="T113" s="207"/>
      <c r="U113" s="208"/>
      <c r="V113" s="208"/>
      <c r="W113" s="209"/>
      <c r="X113" s="36"/>
      <c r="Y113" s="207"/>
      <c r="Z113" s="208"/>
      <c r="AA113" s="208"/>
      <c r="AB113" s="209"/>
      <c r="AC113" s="36"/>
      <c r="AD113" s="207"/>
      <c r="AE113" s="208"/>
      <c r="AF113" s="208"/>
      <c r="AG113" s="209"/>
      <c r="AH113" s="36"/>
      <c r="AI113" s="207"/>
      <c r="AJ113" s="208"/>
      <c r="AK113" s="208"/>
      <c r="AL113" s="209"/>
      <c r="AM113" s="36"/>
      <c r="AN113" s="207"/>
      <c r="AO113" s="208"/>
      <c r="AP113" s="208"/>
      <c r="AQ113" s="209"/>
      <c r="AR113" s="36"/>
      <c r="AS113" s="207"/>
      <c r="AT113" s="208"/>
      <c r="AU113" s="208"/>
      <c r="AV113" s="209"/>
      <c r="AW113" s="36"/>
      <c r="AX113" s="207">
        <f>+AY113</f>
        <v>0.02</v>
      </c>
      <c r="AY113" s="208">
        <f>+AZ113</f>
        <v>0.02</v>
      </c>
      <c r="AZ113" s="208">
        <f>+BA113</f>
        <v>0.02</v>
      </c>
      <c r="BA113" s="209">
        <f>+BB113</f>
        <v>0.02</v>
      </c>
      <c r="BB113" s="36">
        <v>0.02</v>
      </c>
      <c r="BC113" s="207">
        <f>+BD113</f>
        <v>0.02</v>
      </c>
      <c r="BD113" s="208">
        <f>+BE113</f>
        <v>0.02</v>
      </c>
      <c r="BE113" s="208">
        <f>+BF113</f>
        <v>0.02</v>
      </c>
      <c r="BF113" s="209">
        <f>+BG113</f>
        <v>0.02</v>
      </c>
      <c r="BG113" s="36">
        <v>0.02</v>
      </c>
      <c r="BH113" s="207">
        <f>+BI113</f>
        <v>0.02</v>
      </c>
      <c r="BI113" s="208">
        <f>+BJ113</f>
        <v>0.02</v>
      </c>
      <c r="BJ113" s="208">
        <f>+BK113</f>
        <v>0.02</v>
      </c>
      <c r="BK113" s="209">
        <f>+BL113</f>
        <v>0.02</v>
      </c>
      <c r="BL113" s="36">
        <v>0.02</v>
      </c>
      <c r="BM113" s="207">
        <f>+BN113</f>
        <v>0.02</v>
      </c>
      <c r="BN113" s="208">
        <f>+BO113</f>
        <v>0.02</v>
      </c>
      <c r="BO113" s="208">
        <f>+BP113</f>
        <v>0.02</v>
      </c>
      <c r="BP113" s="209">
        <f>+BQ113</f>
        <v>0.02</v>
      </c>
      <c r="BQ113" s="995">
        <f>+BL113</f>
        <v>0.02</v>
      </c>
      <c r="BT113" s="525"/>
      <c r="BU113" s="525"/>
      <c r="BV113" s="525"/>
      <c r="BW113" s="525"/>
      <c r="BX113" s="525"/>
      <c r="BY113" s="525"/>
      <c r="BZ113" s="525"/>
      <c r="CA113" s="525"/>
    </row>
    <row r="114" spans="2:79" x14ac:dyDescent="0.2">
      <c r="C114" s="70"/>
      <c r="E114" s="166"/>
      <c r="F114" s="167"/>
      <c r="G114" s="167"/>
      <c r="H114" s="168"/>
      <c r="J114" s="166"/>
      <c r="K114" s="167"/>
      <c r="L114" s="167"/>
      <c r="M114" s="168"/>
      <c r="O114" s="166"/>
      <c r="P114" s="167"/>
      <c r="Q114" s="167"/>
      <c r="R114" s="168"/>
      <c r="T114" s="166"/>
      <c r="U114" s="167"/>
      <c r="V114" s="167"/>
      <c r="W114" s="168"/>
      <c r="Y114" s="166"/>
      <c r="Z114" s="167"/>
      <c r="AA114" s="167"/>
      <c r="AB114" s="168"/>
      <c r="AD114" s="166"/>
      <c r="AE114" s="167"/>
      <c r="AF114" s="167"/>
      <c r="AG114" s="168"/>
      <c r="AI114" s="166"/>
      <c r="AJ114" s="167"/>
      <c r="AK114" s="167"/>
      <c r="AL114" s="168"/>
      <c r="AN114" s="166"/>
      <c r="AO114" s="167"/>
      <c r="AP114" s="167"/>
      <c r="AQ114" s="168"/>
      <c r="AS114" s="166"/>
      <c r="AT114" s="167"/>
      <c r="AU114" s="167"/>
      <c r="AV114" s="168"/>
      <c r="AX114" s="166"/>
      <c r="AY114" s="167"/>
      <c r="AZ114" s="167"/>
      <c r="BA114" s="168"/>
      <c r="BC114" s="166"/>
      <c r="BD114" s="167"/>
      <c r="BE114" s="167"/>
      <c r="BF114" s="168"/>
      <c r="BH114" s="166"/>
      <c r="BI114" s="167"/>
      <c r="BJ114" s="167"/>
      <c r="BK114" s="168"/>
      <c r="BM114" s="166"/>
      <c r="BN114" s="167"/>
      <c r="BO114" s="167"/>
      <c r="BP114" s="168"/>
      <c r="BQ114" s="986"/>
      <c r="BT114" s="525"/>
      <c r="BU114" s="525"/>
      <c r="BV114" s="525"/>
      <c r="BW114" s="525"/>
      <c r="BX114" s="525"/>
      <c r="BY114" s="525"/>
      <c r="BZ114" s="525"/>
      <c r="CA114" s="525"/>
    </row>
    <row r="115" spans="2:79" x14ac:dyDescent="0.2">
      <c r="C115" s="141" t="s">
        <v>165</v>
      </c>
      <c r="E115" s="166"/>
      <c r="F115" s="167"/>
      <c r="G115" s="167"/>
      <c r="H115" s="168"/>
      <c r="J115" s="166"/>
      <c r="K115" s="167"/>
      <c r="L115" s="167"/>
      <c r="M115" s="168"/>
      <c r="O115" s="166"/>
      <c r="P115" s="167"/>
      <c r="Q115" s="167"/>
      <c r="R115" s="168"/>
      <c r="T115" s="166"/>
      <c r="U115" s="167"/>
      <c r="V115" s="167"/>
      <c r="W115" s="168"/>
      <c r="Y115" s="166"/>
      <c r="Z115" s="167"/>
      <c r="AA115" s="167"/>
      <c r="AB115" s="168"/>
      <c r="AD115" s="166"/>
      <c r="AE115" s="167"/>
      <c r="AF115" s="167"/>
      <c r="AG115" s="168"/>
      <c r="AI115" s="166"/>
      <c r="AJ115" s="167"/>
      <c r="AK115" s="167"/>
      <c r="AL115" s="168"/>
      <c r="AN115" s="166"/>
      <c r="AO115" s="167"/>
      <c r="AP115" s="167"/>
      <c r="AQ115" s="168"/>
      <c r="AS115" s="166"/>
      <c r="AT115" s="167"/>
      <c r="AU115" s="167"/>
      <c r="AV115" s="168"/>
      <c r="AX115" s="166"/>
      <c r="AY115" s="167"/>
      <c r="AZ115" s="167"/>
      <c r="BA115" s="168"/>
      <c r="BC115" s="166"/>
      <c r="BD115" s="167"/>
      <c r="BE115" s="167"/>
      <c r="BF115" s="168"/>
      <c r="BH115" s="166"/>
      <c r="BI115" s="167"/>
      <c r="BJ115" s="167"/>
      <c r="BK115" s="168"/>
      <c r="BM115" s="166"/>
      <c r="BN115" s="167"/>
      <c r="BO115" s="167"/>
      <c r="BP115" s="168"/>
      <c r="BQ115" s="986"/>
      <c r="BT115" s="525"/>
      <c r="BU115" s="525"/>
      <c r="BV115" s="525"/>
      <c r="BW115" s="525"/>
      <c r="BX115" s="525"/>
      <c r="BY115" s="525"/>
      <c r="BZ115" s="525"/>
      <c r="CA115" s="525"/>
    </row>
    <row r="116" spans="2:79" x14ac:dyDescent="0.2">
      <c r="C116" s="70" t="s">
        <v>166</v>
      </c>
      <c r="E116" s="207">
        <f t="shared" ref="E116:P116" si="170">(E48)/(E46-E34)</f>
        <v>0.35602494319946315</v>
      </c>
      <c r="F116" s="208">
        <f t="shared" si="170"/>
        <v>0.37035661694090588</v>
      </c>
      <c r="G116" s="208">
        <f t="shared" si="170"/>
        <v>0.40028336555632643</v>
      </c>
      <c r="H116" s="209">
        <f t="shared" si="170"/>
        <v>0.37576668695979887</v>
      </c>
      <c r="I116" s="88">
        <f t="shared" si="170"/>
        <v>0.3784469684615635</v>
      </c>
      <c r="J116" s="207">
        <f t="shared" si="170"/>
        <v>0.44174264716540806</v>
      </c>
      <c r="K116" s="208">
        <f t="shared" si="170"/>
        <v>0.38530288979673666</v>
      </c>
      <c r="L116" s="208">
        <f t="shared" si="170"/>
        <v>0.35724726153422848</v>
      </c>
      <c r="M116" s="209">
        <f t="shared" si="170"/>
        <v>0.37373026302067069</v>
      </c>
      <c r="N116" s="88">
        <f t="shared" si="170"/>
        <v>0.38557043690653509</v>
      </c>
      <c r="O116" s="207">
        <f t="shared" si="170"/>
        <v>0.37058936418021066</v>
      </c>
      <c r="P116" s="208">
        <f t="shared" si="170"/>
        <v>0.36817829423601323</v>
      </c>
      <c r="Q116" s="208">
        <f t="shared" ref="Q116:Y116" si="171">(Q48)/(Q46-Q34)</f>
        <v>0.37191082790293195</v>
      </c>
      <c r="R116" s="209">
        <f t="shared" si="171"/>
        <v>0.37932967914696952</v>
      </c>
      <c r="S116" s="88">
        <f t="shared" si="171"/>
        <v>0.37213212583246147</v>
      </c>
      <c r="T116" s="207">
        <f t="shared" si="171"/>
        <v>0.30717882798961865</v>
      </c>
      <c r="U116" s="208">
        <f t="shared" si="171"/>
        <v>0.37748533457924582</v>
      </c>
      <c r="V116" s="208">
        <f t="shared" si="171"/>
        <v>0.34666536781444174</v>
      </c>
      <c r="W116" s="209">
        <f t="shared" si="171"/>
        <v>0.36496555748928949</v>
      </c>
      <c r="X116" s="88">
        <f t="shared" si="171"/>
        <v>0.34830282802681778</v>
      </c>
      <c r="Y116" s="207">
        <f t="shared" si="171"/>
        <v>0.35325172697662832</v>
      </c>
      <c r="Z116" s="208">
        <f t="shared" ref="Z116:AF116" si="172">(Z48)/(Z46-Z34)</f>
        <v>0.36136385228709467</v>
      </c>
      <c r="AA116" s="208">
        <f t="shared" si="172"/>
        <v>0.36032172880781038</v>
      </c>
      <c r="AB116" s="209">
        <f t="shared" si="172"/>
        <v>0.36835651684490001</v>
      </c>
      <c r="AC116" s="88">
        <f t="shared" si="172"/>
        <v>0.35996004542861532</v>
      </c>
      <c r="AD116" s="207">
        <f t="shared" si="172"/>
        <v>0.36197395257075032</v>
      </c>
      <c r="AE116" s="208">
        <f t="shared" si="172"/>
        <v>0.37800111669458397</v>
      </c>
      <c r="AF116" s="208">
        <f t="shared" si="172"/>
        <v>0.362091520175014</v>
      </c>
      <c r="AG116" s="209">
        <f t="shared" ref="AG116:AM116" si="173">(AG48)/(AG46-AG34)</f>
        <v>0.33357770704024325</v>
      </c>
      <c r="AH116" s="88">
        <f t="shared" si="173"/>
        <v>0.3599185362357783</v>
      </c>
      <c r="AI116" s="207">
        <f t="shared" si="173"/>
        <v>0.37482173768756777</v>
      </c>
      <c r="AJ116" s="208">
        <f t="shared" si="173"/>
        <v>0.37352764208572536</v>
      </c>
      <c r="AK116" s="208">
        <f t="shared" si="173"/>
        <v>0.36770015306161696</v>
      </c>
      <c r="AL116" s="209">
        <f t="shared" si="173"/>
        <v>0.36254053662932456</v>
      </c>
      <c r="AM116" s="88">
        <f t="shared" si="173"/>
        <v>0.36887840964392615</v>
      </c>
      <c r="AN116" s="207">
        <f t="shared" ref="AN116:AR116" si="174">(AN48)/(AN46-AN34)</f>
        <v>0.36051663308570259</v>
      </c>
      <c r="AO116" s="208">
        <f t="shared" si="174"/>
        <v>0.36443577158576052</v>
      </c>
      <c r="AP116" s="208">
        <f t="shared" si="174"/>
        <v>0.35111810170130536</v>
      </c>
      <c r="AQ116" s="209">
        <f t="shared" si="174"/>
        <v>0.34114941099679802</v>
      </c>
      <c r="AR116" s="88">
        <f t="shared" si="174"/>
        <v>0.35352778414755209</v>
      </c>
      <c r="AS116" s="207">
        <f t="shared" ref="AS116:AW116" si="175">(AS48)/(AS46-AS34)</f>
        <v>0.34149425691102597</v>
      </c>
      <c r="AT116" s="208">
        <f t="shared" si="175"/>
        <v>0.32685094442617768</v>
      </c>
      <c r="AU116" s="208">
        <f t="shared" si="175"/>
        <v>0.30409281177936259</v>
      </c>
      <c r="AV116" s="209">
        <f t="shared" si="175"/>
        <v>0.41217592721792634</v>
      </c>
      <c r="AW116" s="88">
        <f t="shared" si="175"/>
        <v>0.33560371517027865</v>
      </c>
      <c r="AX116" s="207">
        <f>+AY116</f>
        <v>0.22</v>
      </c>
      <c r="AY116" s="208">
        <f>+AZ116</f>
        <v>0.22</v>
      </c>
      <c r="AZ116" s="208">
        <f>+BA116</f>
        <v>0.22</v>
      </c>
      <c r="BA116" s="209">
        <f>+BB116</f>
        <v>0.22</v>
      </c>
      <c r="BB116" s="36">
        <v>0.22</v>
      </c>
      <c r="BC116" s="207">
        <f>+BD116</f>
        <v>0.22</v>
      </c>
      <c r="BD116" s="208">
        <f>+BE116</f>
        <v>0.22</v>
      </c>
      <c r="BE116" s="208">
        <f>+BF116</f>
        <v>0.22</v>
      </c>
      <c r="BF116" s="209">
        <f>+BG116</f>
        <v>0.22</v>
      </c>
      <c r="BG116" s="36">
        <v>0.22</v>
      </c>
      <c r="BH116" s="207">
        <f>+BI116</f>
        <v>0.22</v>
      </c>
      <c r="BI116" s="208">
        <f>+BJ116</f>
        <v>0.22</v>
      </c>
      <c r="BJ116" s="208">
        <f>+BK116</f>
        <v>0.22</v>
      </c>
      <c r="BK116" s="209">
        <f>+BL116</f>
        <v>0.22</v>
      </c>
      <c r="BL116" s="36">
        <v>0.22</v>
      </c>
      <c r="BM116" s="207">
        <f>+BN116</f>
        <v>0.22</v>
      </c>
      <c r="BN116" s="208">
        <f>+BO116</f>
        <v>0.22</v>
      </c>
      <c r="BO116" s="208">
        <f>+BP116</f>
        <v>0.22</v>
      </c>
      <c r="BP116" s="209">
        <f>+BQ116</f>
        <v>0.22</v>
      </c>
      <c r="BQ116" s="36">
        <v>0.22</v>
      </c>
      <c r="BT116" s="525"/>
      <c r="BU116" s="525"/>
      <c r="BV116" s="525"/>
      <c r="BW116" s="525"/>
      <c r="BX116" s="525"/>
      <c r="BY116" s="525"/>
      <c r="BZ116" s="525"/>
      <c r="CA116" s="525"/>
    </row>
    <row r="117" spans="2:79" x14ac:dyDescent="0.2">
      <c r="C117" s="70" t="s">
        <v>167</v>
      </c>
      <c r="E117" s="207">
        <f t="shared" ref="E117:P117" si="176">E48/E46</f>
        <v>0.33134557679801263</v>
      </c>
      <c r="F117" s="208">
        <f t="shared" si="176"/>
        <v>0.3307186553084448</v>
      </c>
      <c r="G117" s="208">
        <f t="shared" si="176"/>
        <v>0.37943162200653058</v>
      </c>
      <c r="H117" s="209">
        <f t="shared" si="176"/>
        <v>0.34686255170462793</v>
      </c>
      <c r="I117" s="88">
        <f t="shared" si="176"/>
        <v>0.35134429307046111</v>
      </c>
      <c r="J117" s="207">
        <f t="shared" si="176"/>
        <v>0.4214453149309566</v>
      </c>
      <c r="K117" s="208">
        <f t="shared" si="176"/>
        <v>0.36173767359558745</v>
      </c>
      <c r="L117" s="208">
        <f t="shared" si="176"/>
        <v>0.34719901062905256</v>
      </c>
      <c r="M117" s="209">
        <f t="shared" si="176"/>
        <v>0.34428410848617047</v>
      </c>
      <c r="N117" s="88">
        <f t="shared" si="176"/>
        <v>0.36735512888790145</v>
      </c>
      <c r="O117" s="207">
        <f t="shared" si="176"/>
        <v>0.35503125515107714</v>
      </c>
      <c r="P117" s="208">
        <f t="shared" si="176"/>
        <v>0.34758063189750232</v>
      </c>
      <c r="Q117" s="208">
        <f t="shared" ref="Q117:Y117" si="177">Q48/Q46</f>
        <v>0.36362747108252647</v>
      </c>
      <c r="R117" s="209">
        <f t="shared" si="177"/>
        <v>0.3576627365907234</v>
      </c>
      <c r="S117" s="88">
        <f t="shared" si="177"/>
        <v>0.35757774740587489</v>
      </c>
      <c r="T117" s="207">
        <f t="shared" si="177"/>
        <v>0.2912443498249021</v>
      </c>
      <c r="U117" s="208">
        <f t="shared" si="177"/>
        <v>0.35735197068198149</v>
      </c>
      <c r="V117" s="208">
        <f t="shared" si="177"/>
        <v>0.33751697193972618</v>
      </c>
      <c r="W117" s="209">
        <f t="shared" si="177"/>
        <v>0.33313674197383847</v>
      </c>
      <c r="X117" s="88">
        <f t="shared" si="177"/>
        <v>0.33215459324982527</v>
      </c>
      <c r="Y117" s="207">
        <f t="shared" si="177"/>
        <v>0.33359622783940207</v>
      </c>
      <c r="Z117" s="208">
        <f t="shared" ref="Z117:AF117" si="178">Z48/Z46</f>
        <v>0.33435212577127899</v>
      </c>
      <c r="AA117" s="208">
        <f t="shared" si="178"/>
        <v>0.34657501097896498</v>
      </c>
      <c r="AB117" s="209">
        <f t="shared" si="178"/>
        <v>0.32792312372499333</v>
      </c>
      <c r="AC117" s="88">
        <f t="shared" si="178"/>
        <v>0.33792251136355694</v>
      </c>
      <c r="AD117" s="207">
        <f t="shared" si="178"/>
        <v>0.34199933499919372</v>
      </c>
      <c r="AE117" s="208">
        <f t="shared" si="178"/>
        <v>0.3481975272358076</v>
      </c>
      <c r="AF117" s="208">
        <f t="shared" si="178"/>
        <v>0.34712364339094259</v>
      </c>
      <c r="AG117" s="209">
        <f t="shared" ref="AG117:AM117" si="179">AG48/AG46</f>
        <v>0.30904503160236041</v>
      </c>
      <c r="AH117" s="88">
        <f t="shared" si="179"/>
        <v>0.33901228447480869</v>
      </c>
      <c r="AI117" s="207">
        <f t="shared" si="179"/>
        <v>0.35468456922672142</v>
      </c>
      <c r="AJ117" s="208">
        <f t="shared" si="179"/>
        <v>0.35813788248178008</v>
      </c>
      <c r="AK117" s="208">
        <f t="shared" si="179"/>
        <v>0.35917636876175824</v>
      </c>
      <c r="AL117" s="209">
        <f t="shared" si="179"/>
        <v>0.34527053693923848</v>
      </c>
      <c r="AM117" s="88">
        <f t="shared" si="179"/>
        <v>0.35536771773777437</v>
      </c>
      <c r="AN117" s="207">
        <f t="shared" ref="AN117:AR117" si="180">AN48/AN46</f>
        <v>0.34773841637789799</v>
      </c>
      <c r="AO117" s="208">
        <f t="shared" si="180"/>
        <v>0.34661279184042115</v>
      </c>
      <c r="AP117" s="208">
        <f t="shared" si="180"/>
        <v>0.34244412940404212</v>
      </c>
      <c r="AQ117" s="209">
        <f t="shared" si="180"/>
        <v>0.32546443874449515</v>
      </c>
      <c r="AR117" s="88">
        <f t="shared" si="180"/>
        <v>0.34097052908724351</v>
      </c>
      <c r="AS117" s="207">
        <f t="shared" ref="AS117:AW117" si="181">AS48/AS46</f>
        <v>0.32776218530599172</v>
      </c>
      <c r="AT117" s="208">
        <f t="shared" si="181"/>
        <v>0.31060383139437875</v>
      </c>
      <c r="AU117" s="208">
        <f t="shared" si="181"/>
        <v>0.29384645847801505</v>
      </c>
      <c r="AV117" s="209">
        <f t="shared" si="181"/>
        <v>0.38426964830461513</v>
      </c>
      <c r="AW117" s="88">
        <f t="shared" si="181"/>
        <v>0.32071005917159762</v>
      </c>
      <c r="AX117" s="207">
        <f t="shared" ref="AX117:BG117" si="182">AX48/AX46</f>
        <v>0.20449356888873071</v>
      </c>
      <c r="AY117" s="208">
        <f t="shared" si="182"/>
        <v>0.20172913239286602</v>
      </c>
      <c r="AZ117" s="208">
        <f t="shared" si="182"/>
        <v>0.21051711674861004</v>
      </c>
      <c r="BA117" s="209">
        <f t="shared" si="182"/>
        <v>0.20023174006605227</v>
      </c>
      <c r="BB117" s="88">
        <f t="shared" si="182"/>
        <v>0.20546831680776995</v>
      </c>
      <c r="BC117" s="207">
        <f t="shared" si="182"/>
        <v>0.20580282158651111</v>
      </c>
      <c r="BD117" s="208">
        <f t="shared" si="182"/>
        <v>0.2029452206589859</v>
      </c>
      <c r="BE117" s="208">
        <f t="shared" si="182"/>
        <v>0.21093716946756089</v>
      </c>
      <c r="BF117" s="209">
        <f t="shared" si="182"/>
        <v>0.20158643054733891</v>
      </c>
      <c r="BG117" s="88">
        <f t="shared" si="182"/>
        <v>0.20638157401648655</v>
      </c>
      <c r="BH117" s="207">
        <f t="shared" ref="BH117:BQ117" si="183">BH48/BH46</f>
        <v>0.20938887293635972</v>
      </c>
      <c r="BI117" s="208">
        <f t="shared" si="183"/>
        <v>0.20717985126102118</v>
      </c>
      <c r="BJ117" s="208">
        <f t="shared" si="183"/>
        <v>0.21312790998571271</v>
      </c>
      <c r="BK117" s="209">
        <f t="shared" si="183"/>
        <v>0.20657120971246762</v>
      </c>
      <c r="BL117" s="88">
        <f t="shared" si="183"/>
        <v>0.20980179588274964</v>
      </c>
      <c r="BM117" s="207">
        <f t="shared" si="183"/>
        <v>0.20943308290260298</v>
      </c>
      <c r="BN117" s="208">
        <f t="shared" si="183"/>
        <v>0.20736008245405124</v>
      </c>
      <c r="BO117" s="208">
        <f t="shared" si="183"/>
        <v>0.21306343388573501</v>
      </c>
      <c r="BP117" s="209">
        <f t="shared" si="183"/>
        <v>0.20692764707187866</v>
      </c>
      <c r="BQ117" s="88">
        <f t="shared" si="183"/>
        <v>0.20985827688693834</v>
      </c>
      <c r="BT117" s="525"/>
      <c r="BU117" s="525"/>
      <c r="BV117" s="525"/>
      <c r="BW117" s="525"/>
      <c r="BX117" s="525"/>
      <c r="BY117" s="525"/>
      <c r="BZ117" s="525"/>
      <c r="CA117" s="525"/>
    </row>
    <row r="118" spans="2:79" x14ac:dyDescent="0.2">
      <c r="E118" s="166"/>
      <c r="F118" s="167"/>
      <c r="G118" s="167"/>
      <c r="H118" s="168"/>
      <c r="J118" s="166"/>
      <c r="K118" s="167"/>
      <c r="L118" s="167"/>
      <c r="M118" s="168"/>
      <c r="O118" s="166"/>
      <c r="P118" s="167"/>
      <c r="Q118" s="167"/>
      <c r="R118" s="168"/>
      <c r="T118" s="166"/>
      <c r="U118" s="167"/>
      <c r="V118" s="167"/>
      <c r="W118" s="168"/>
      <c r="Y118" s="166"/>
      <c r="Z118" s="167"/>
      <c r="AA118" s="167"/>
      <c r="AB118" s="168"/>
      <c r="AD118" s="166"/>
      <c r="AE118" s="167"/>
      <c r="AF118" s="167"/>
      <c r="AG118" s="168"/>
      <c r="AI118" s="166"/>
      <c r="AJ118" s="167"/>
      <c r="AK118" s="167"/>
      <c r="AL118" s="168"/>
      <c r="AN118" s="166"/>
      <c r="AO118" s="167"/>
      <c r="AP118" s="167"/>
      <c r="AQ118" s="168"/>
      <c r="AS118" s="166"/>
      <c r="AT118" s="167"/>
      <c r="AU118" s="167"/>
      <c r="AV118" s="168"/>
      <c r="AX118" s="166"/>
      <c r="AY118" s="167"/>
      <c r="AZ118" s="167"/>
      <c r="BA118" s="168"/>
      <c r="BC118" s="166"/>
      <c r="BD118" s="167"/>
      <c r="BE118" s="167"/>
      <c r="BF118" s="168"/>
      <c r="BH118" s="166"/>
      <c r="BI118" s="167"/>
      <c r="BJ118" s="167"/>
      <c r="BK118" s="168"/>
      <c r="BM118" s="166"/>
      <c r="BN118" s="167"/>
      <c r="BO118" s="167"/>
      <c r="BP118" s="168"/>
      <c r="BT118" s="525"/>
      <c r="BU118" s="525"/>
      <c r="BV118" s="525"/>
      <c r="BW118" s="525"/>
      <c r="BX118" s="525"/>
      <c r="BY118" s="525"/>
      <c r="BZ118" s="525"/>
      <c r="CA118" s="525"/>
    </row>
    <row r="119" spans="2:79" x14ac:dyDescent="0.2">
      <c r="E119" s="166"/>
      <c r="F119" s="167"/>
      <c r="G119" s="167"/>
      <c r="H119" s="168"/>
      <c r="J119" s="166"/>
      <c r="K119" s="167"/>
      <c r="L119" s="167"/>
      <c r="M119" s="168"/>
      <c r="O119" s="166"/>
      <c r="P119" s="167"/>
      <c r="Q119" s="167"/>
      <c r="R119" s="168"/>
      <c r="T119" s="166"/>
      <c r="U119" s="167"/>
      <c r="V119" s="167"/>
      <c r="W119" s="168"/>
      <c r="Y119" s="166"/>
      <c r="Z119" s="167"/>
      <c r="AA119" s="167"/>
      <c r="AB119" s="168"/>
      <c r="AD119" s="166"/>
      <c r="AE119" s="167"/>
      <c r="AF119" s="167"/>
      <c r="AG119" s="168"/>
      <c r="AI119" s="166"/>
      <c r="AJ119" s="167"/>
      <c r="AK119" s="167"/>
      <c r="AL119" s="168"/>
      <c r="AN119" s="166"/>
      <c r="AO119" s="167"/>
      <c r="AP119" s="167"/>
      <c r="AQ119" s="168"/>
      <c r="AS119" s="166"/>
      <c r="AT119" s="167"/>
      <c r="AU119" s="167"/>
      <c r="AV119" s="168"/>
      <c r="AX119" s="166"/>
      <c r="AY119" s="167"/>
      <c r="AZ119" s="167"/>
      <c r="BA119" s="168"/>
      <c r="BC119" s="166"/>
      <c r="BD119" s="167"/>
      <c r="BE119" s="167"/>
      <c r="BF119" s="168"/>
      <c r="BH119" s="166"/>
      <c r="BI119" s="167"/>
      <c r="BJ119" s="167"/>
      <c r="BK119" s="168"/>
      <c r="BM119" s="166"/>
      <c r="BN119" s="167"/>
      <c r="BO119" s="167"/>
      <c r="BP119" s="168"/>
      <c r="BT119" s="525"/>
      <c r="BU119" s="525"/>
      <c r="BV119" s="525"/>
      <c r="BW119" s="525"/>
      <c r="BX119" s="525"/>
      <c r="BY119" s="525"/>
      <c r="BZ119" s="525"/>
      <c r="CA119" s="525"/>
    </row>
    <row r="120" spans="2:79" x14ac:dyDescent="0.2">
      <c r="B120" s="16" t="s">
        <v>439</v>
      </c>
      <c r="C120" s="16"/>
      <c r="D120" s="17"/>
      <c r="E120" s="212"/>
      <c r="F120" s="213"/>
      <c r="G120" s="213"/>
      <c r="H120" s="214"/>
      <c r="J120" s="212"/>
      <c r="K120" s="213"/>
      <c r="L120" s="213"/>
      <c r="M120" s="214"/>
      <c r="O120" s="212"/>
      <c r="P120" s="213"/>
      <c r="Q120" s="213"/>
      <c r="R120" s="214"/>
      <c r="T120" s="212"/>
      <c r="U120" s="213"/>
      <c r="V120" s="213"/>
      <c r="W120" s="214"/>
      <c r="Y120" s="212"/>
      <c r="Z120" s="213"/>
      <c r="AA120" s="213"/>
      <c r="AB120" s="214"/>
      <c r="AD120" s="212"/>
      <c r="AE120" s="213"/>
      <c r="AF120" s="213"/>
      <c r="AG120" s="214"/>
      <c r="AI120" s="212"/>
      <c r="AJ120" s="213"/>
      <c r="AK120" s="213"/>
      <c r="AL120" s="214"/>
      <c r="AN120" s="212"/>
      <c r="AO120" s="213"/>
      <c r="AP120" s="213"/>
      <c r="AQ120" s="214"/>
      <c r="AS120" s="212"/>
      <c r="AT120" s="213"/>
      <c r="AU120" s="213"/>
      <c r="AV120" s="214"/>
      <c r="AX120" s="212"/>
      <c r="AY120" s="213"/>
      <c r="AZ120" s="213"/>
      <c r="BA120" s="214"/>
      <c r="BC120" s="212"/>
      <c r="BD120" s="213"/>
      <c r="BE120" s="213"/>
      <c r="BF120" s="214"/>
      <c r="BH120" s="212"/>
      <c r="BI120" s="213"/>
      <c r="BJ120" s="213"/>
      <c r="BK120" s="214"/>
      <c r="BM120" s="212"/>
      <c r="BN120" s="213"/>
      <c r="BO120" s="213"/>
      <c r="BP120" s="214"/>
      <c r="BT120" s="525"/>
      <c r="BU120" s="525"/>
      <c r="BV120" s="525"/>
      <c r="BW120" s="525"/>
      <c r="BX120" s="525"/>
      <c r="BY120" s="525"/>
      <c r="BZ120" s="525"/>
      <c r="CA120" s="525"/>
    </row>
    <row r="121" spans="2:79" x14ac:dyDescent="0.2">
      <c r="C121" s="70" t="s">
        <v>406</v>
      </c>
      <c r="E121" s="215"/>
      <c r="F121" s="216"/>
      <c r="G121" s="216"/>
      <c r="H121" s="217"/>
      <c r="I121" s="42"/>
      <c r="J121" s="148"/>
      <c r="K121" s="149"/>
      <c r="L121" s="149"/>
      <c r="M121" s="150"/>
      <c r="N121" s="42"/>
      <c r="O121" s="120"/>
      <c r="P121" s="139"/>
      <c r="Q121" s="139"/>
      <c r="R121" s="119"/>
      <c r="S121" s="42">
        <f>-'NSP-MN'!S221</f>
        <v>107.50599999999999</v>
      </c>
      <c r="T121" s="120"/>
      <c r="U121" s="118"/>
      <c r="V121" s="139"/>
      <c r="W121" s="119"/>
      <c r="X121" s="42">
        <f>-'NSP-MN'!X221</f>
        <v>18.99799999999999</v>
      </c>
      <c r="Y121" s="120">
        <f>-'NSP-MN'!Y221</f>
        <v>-61.243000000000002</v>
      </c>
      <c r="Z121" s="118">
        <f>-'NSP-MN'!Z221</f>
        <v>58.690000000000005</v>
      </c>
      <c r="AA121" s="118">
        <f>-'NSP-MN'!AA221</f>
        <v>69.205999999999989</v>
      </c>
      <c r="AB121" s="119">
        <f>-'NSP-MN'!AB221</f>
        <v>-116.25599999999997</v>
      </c>
      <c r="AC121" s="42">
        <f>-'NSP-MN'!AC221</f>
        <v>-49.60299999999998</v>
      </c>
      <c r="AD121" s="120">
        <f>-'NSP-MN'!AD221</f>
        <v>-36.247999999999998</v>
      </c>
      <c r="AE121" s="118">
        <f>-'NSP-MN'!AE221</f>
        <v>59.74</v>
      </c>
      <c r="AF121" s="118">
        <f>-'NSP-MN'!AF221</f>
        <v>73.721000000000004</v>
      </c>
      <c r="AG121" s="119">
        <f>-'NSP-MN'!AG221</f>
        <v>67.187000000000026</v>
      </c>
      <c r="AH121" s="42">
        <f>-'NSP-MN'!AH221</f>
        <v>164.40000000000003</v>
      </c>
      <c r="AI121" s="120">
        <f>-'NSP-MN'!AI221</f>
        <v>1.967000000000013</v>
      </c>
      <c r="AJ121" s="118">
        <f>-'NSP-MN'!AJ221</f>
        <v>5.768999999999977</v>
      </c>
      <c r="AK121" s="118">
        <f>-'NSP-MN'!AK221</f>
        <v>65.066000000000003</v>
      </c>
      <c r="AL121" s="119">
        <f>-'NSP-MN'!AL221</f>
        <v>-160.96599999999998</v>
      </c>
      <c r="AM121" s="42">
        <f>-'NSP-MN'!AM221</f>
        <v>-88.163999999999987</v>
      </c>
      <c r="AN121" s="120">
        <f>-'NSP-MN'!AN221</f>
        <v>-16.375999999999991</v>
      </c>
      <c r="AO121" s="118">
        <f>-'NSP-MN'!AO221</f>
        <v>82.227999999999994</v>
      </c>
      <c r="AP121" s="118">
        <f>-'NSP-MN'!AP221</f>
        <v>143.72900000000001</v>
      </c>
      <c r="AQ121" s="119">
        <f>-'NSP-MN'!AQ221</f>
        <v>89.640999999999963</v>
      </c>
      <c r="AR121" s="42">
        <f>-'NSP-MN'!AR221</f>
        <v>299.22199999999998</v>
      </c>
      <c r="AS121" s="120">
        <f>-'NSP-MN'!AS221</f>
        <v>-5.8999999999997499E-2</v>
      </c>
      <c r="AT121" s="118">
        <f>-'NSP-MN'!AT221</f>
        <v>85.687000000000012</v>
      </c>
      <c r="AU121" s="118">
        <f>-'NSP-MN'!AU221</f>
        <v>209.25799999999995</v>
      </c>
      <c r="AV121" s="119">
        <f>-'NSP-MN'!AV221</f>
        <v>66.705000000000041</v>
      </c>
      <c r="AW121" s="42">
        <f>-'NSP-MN'!AW221</f>
        <v>361.59100000000001</v>
      </c>
      <c r="AX121" s="120">
        <f>-'NSP-MN'!AX221</f>
        <v>62.5</v>
      </c>
      <c r="AY121" s="118">
        <f>-'NSP-MN'!AY221</f>
        <v>62.5</v>
      </c>
      <c r="AZ121" s="118">
        <f>-'NSP-MN'!AZ221</f>
        <v>62.5</v>
      </c>
      <c r="BA121" s="119">
        <f>-'NSP-MN'!BA221</f>
        <v>62.5</v>
      </c>
      <c r="BB121" s="42">
        <f>-'NSP-MN'!BB221</f>
        <v>250</v>
      </c>
      <c r="BC121" s="120">
        <f>-'NSP-MN'!BC221</f>
        <v>0</v>
      </c>
      <c r="BD121" s="118">
        <f>-'NSP-MN'!BD221</f>
        <v>0</v>
      </c>
      <c r="BE121" s="118">
        <f>-'NSP-MN'!BE221</f>
        <v>0</v>
      </c>
      <c r="BF121" s="119">
        <f>-'NSP-MN'!BF221</f>
        <v>0</v>
      </c>
      <c r="BG121" s="42">
        <f>-'NSP-MN'!BG221</f>
        <v>0</v>
      </c>
      <c r="BH121" s="120">
        <f>-'NSP-MN'!BH221</f>
        <v>106.25</v>
      </c>
      <c r="BI121" s="118">
        <f>-'NSP-MN'!BI221</f>
        <v>106.25</v>
      </c>
      <c r="BJ121" s="118">
        <f>-'NSP-MN'!BJ221</f>
        <v>106.25</v>
      </c>
      <c r="BK121" s="119">
        <f>-'NSP-MN'!BK221</f>
        <v>106.25</v>
      </c>
      <c r="BL121" s="42">
        <f>-'NSP-MN'!BL221</f>
        <v>425</v>
      </c>
      <c r="BM121" s="120">
        <f>-'NSP-MN'!BM221</f>
        <v>106.25</v>
      </c>
      <c r="BN121" s="118">
        <f>-'NSP-MN'!BN221</f>
        <v>106.25</v>
      </c>
      <c r="BO121" s="118">
        <f>-'NSP-MN'!BO221</f>
        <v>106.25</v>
      </c>
      <c r="BP121" s="119">
        <f>-'NSP-MN'!BP221</f>
        <v>106.25</v>
      </c>
      <c r="BQ121" s="42">
        <f>-'NSP-MN'!BQ221</f>
        <v>425</v>
      </c>
      <c r="BT121" s="525"/>
      <c r="BU121" s="525"/>
      <c r="BV121" s="525"/>
      <c r="BW121" s="525"/>
      <c r="BX121" s="525"/>
      <c r="BY121" s="525"/>
      <c r="BZ121" s="525"/>
      <c r="CA121" s="525"/>
    </row>
    <row r="122" spans="2:79" x14ac:dyDescent="0.2">
      <c r="C122" s="70" t="s">
        <v>408</v>
      </c>
      <c r="E122" s="215"/>
      <c r="F122" s="216"/>
      <c r="G122" s="216"/>
      <c r="H122" s="217"/>
      <c r="I122" s="42"/>
      <c r="J122" s="148"/>
      <c r="K122" s="149"/>
      <c r="L122" s="149"/>
      <c r="M122" s="150"/>
      <c r="N122" s="42"/>
      <c r="O122" s="120"/>
      <c r="P122" s="139"/>
      <c r="Q122" s="139"/>
      <c r="R122" s="119"/>
      <c r="S122" s="42">
        <f>-PSCO!S214</f>
        <v>209.34699999999998</v>
      </c>
      <c r="T122" s="120"/>
      <c r="U122" s="118"/>
      <c r="V122" s="139"/>
      <c r="W122" s="119"/>
      <c r="X122" s="42">
        <f>-PSCO!X214</f>
        <v>167.68799999999999</v>
      </c>
      <c r="Y122" s="120">
        <f>-PSCO!Y214</f>
        <v>66.802999999999997</v>
      </c>
      <c r="Z122" s="118">
        <f>-PSCO!Z214</f>
        <v>66.217999999999989</v>
      </c>
      <c r="AA122" s="118">
        <f>-PSCO!AA214</f>
        <v>61.435000000000002</v>
      </c>
      <c r="AB122" s="119">
        <f>-PSCO!AB214</f>
        <v>43.865000000000009</v>
      </c>
      <c r="AC122" s="42">
        <f>-PSCO!AC214</f>
        <v>238.321</v>
      </c>
      <c r="AD122" s="120">
        <f>-PSCO!AD214</f>
        <v>195.13399999999999</v>
      </c>
      <c r="AE122" s="118">
        <f>-PSCO!AE214</f>
        <v>28.53600000000003</v>
      </c>
      <c r="AF122" s="118">
        <f>-PSCO!AF214</f>
        <v>96.39100000000002</v>
      </c>
      <c r="AG122" s="119">
        <f>-PSCO!AG214</f>
        <v>32.228999999999985</v>
      </c>
      <c r="AH122" s="42">
        <f>-PSCO!AH214</f>
        <v>352.29</v>
      </c>
      <c r="AI122" s="120">
        <f>-PSCO!AI214</f>
        <v>83.793999999999997</v>
      </c>
      <c r="AJ122" s="118">
        <f>-PSCO!AJ214</f>
        <v>52.801000000000002</v>
      </c>
      <c r="AK122" s="118">
        <f>-PSCO!AK214</f>
        <v>36.861000000000018</v>
      </c>
      <c r="AL122" s="119">
        <f>-PSCO!AL214</f>
        <v>-17.820000000000022</v>
      </c>
      <c r="AM122" s="42">
        <f>-PSCO!AM214</f>
        <v>155.636</v>
      </c>
      <c r="AN122" s="120">
        <f>-PSCO!AN214</f>
        <v>114.536</v>
      </c>
      <c r="AO122" s="118">
        <f>-PSCO!AO214</f>
        <v>83.914000000000016</v>
      </c>
      <c r="AP122" s="118">
        <f>-PSCO!AP214</f>
        <v>53.774999999999977</v>
      </c>
      <c r="AQ122" s="119">
        <f>-PSCO!AQ214</f>
        <v>45.601000000000028</v>
      </c>
      <c r="AR122" s="42">
        <f>-PSCO!AR214</f>
        <v>297.82600000000002</v>
      </c>
      <c r="AS122" s="120">
        <f>-PSCO!AS214</f>
        <v>6.7330000000000041</v>
      </c>
      <c r="AT122" s="118">
        <f>-PSCO!AT214</f>
        <v>72.104000000000013</v>
      </c>
      <c r="AU122" s="118">
        <f>-PSCO!AU214</f>
        <v>8.3739999999999668</v>
      </c>
      <c r="AV122" s="119">
        <f>-PSCO!AV214</f>
        <v>-88.797999999999988</v>
      </c>
      <c r="AW122" s="42">
        <f>-PSCO!AW214</f>
        <v>-1.5870000000000026</v>
      </c>
      <c r="AX122" s="120">
        <f>-PSCO!AX214</f>
        <v>62.5</v>
      </c>
      <c r="AY122" s="118">
        <f>-PSCO!AY214</f>
        <v>62.5</v>
      </c>
      <c r="AZ122" s="118">
        <f>-PSCO!AZ214</f>
        <v>62.5</v>
      </c>
      <c r="BA122" s="119">
        <f>-PSCO!BA214</f>
        <v>62.5</v>
      </c>
      <c r="BB122" s="42">
        <f>-PSCO!BB214</f>
        <v>250</v>
      </c>
      <c r="BC122" s="120">
        <f>-PSCO!BC214</f>
        <v>100</v>
      </c>
      <c r="BD122" s="118">
        <f>-PSCO!BD214</f>
        <v>100</v>
      </c>
      <c r="BE122" s="118">
        <f>-PSCO!BE214</f>
        <v>100</v>
      </c>
      <c r="BF122" s="119">
        <f>-PSCO!BF214</f>
        <v>100</v>
      </c>
      <c r="BG122" s="42">
        <f>-PSCO!BG214</f>
        <v>400</v>
      </c>
      <c r="BH122" s="120">
        <f>-PSCO!BH214</f>
        <v>87.5</v>
      </c>
      <c r="BI122" s="118">
        <f>-PSCO!BI214</f>
        <v>87.5</v>
      </c>
      <c r="BJ122" s="118">
        <f>-PSCO!BJ214</f>
        <v>87.5</v>
      </c>
      <c r="BK122" s="119">
        <f>-PSCO!BK214</f>
        <v>87.5</v>
      </c>
      <c r="BL122" s="42">
        <f>-PSCO!BL214</f>
        <v>350</v>
      </c>
      <c r="BM122" s="120">
        <f>-PSCO!BM214</f>
        <v>75</v>
      </c>
      <c r="BN122" s="118">
        <f>-PSCO!BN214</f>
        <v>75</v>
      </c>
      <c r="BO122" s="118">
        <f>-PSCO!BO214</f>
        <v>75</v>
      </c>
      <c r="BP122" s="119">
        <f>-PSCO!BP214</f>
        <v>75</v>
      </c>
      <c r="BQ122" s="42">
        <f>-PSCO!BQ214</f>
        <v>300</v>
      </c>
      <c r="BT122" s="525"/>
      <c r="BU122" s="525"/>
      <c r="BV122" s="525"/>
      <c r="BW122" s="525"/>
      <c r="BX122" s="525"/>
      <c r="BY122" s="525"/>
      <c r="BZ122" s="525"/>
      <c r="CA122" s="525"/>
    </row>
    <row r="123" spans="2:79" x14ac:dyDescent="0.2">
      <c r="C123" s="70" t="s">
        <v>409</v>
      </c>
      <c r="E123" s="215"/>
      <c r="F123" s="216"/>
      <c r="G123" s="216"/>
      <c r="H123" s="217"/>
      <c r="I123" s="42"/>
      <c r="J123" s="148"/>
      <c r="K123" s="149"/>
      <c r="L123" s="149"/>
      <c r="M123" s="150"/>
      <c r="N123" s="42"/>
      <c r="O123" s="120"/>
      <c r="P123" s="139"/>
      <c r="Q123" s="139"/>
      <c r="R123" s="119"/>
      <c r="S123" s="42">
        <f>-SPS!S175</f>
        <v>-25.230000000000004</v>
      </c>
      <c r="T123" s="120"/>
      <c r="U123" s="118"/>
      <c r="V123" s="139"/>
      <c r="W123" s="119"/>
      <c r="X123" s="42">
        <f>-SPS!X175</f>
        <v>6.5849999999999937</v>
      </c>
      <c r="Y123" s="120">
        <f>-SPS!Y175</f>
        <v>-48.227000000000004</v>
      </c>
      <c r="Z123" s="118">
        <f>-SPS!Z175</f>
        <v>-42.887</v>
      </c>
      <c r="AA123" s="118">
        <f>-SPS!AA175</f>
        <v>17.539999999999992</v>
      </c>
      <c r="AB123" s="119">
        <f>-SPS!AB175</f>
        <v>-19.123999999999981</v>
      </c>
      <c r="AC123" s="42">
        <f>-SPS!AC175</f>
        <v>-92.697999999999993</v>
      </c>
      <c r="AD123" s="120">
        <f>-SPS!AD175</f>
        <v>-21.917999999999999</v>
      </c>
      <c r="AE123" s="118">
        <f>-SPS!AE175</f>
        <v>-41.817999999999998</v>
      </c>
      <c r="AF123" s="118">
        <f>-SPS!AF175</f>
        <v>-35.631999999999998</v>
      </c>
      <c r="AG123" s="119">
        <f>-SPS!AG175</f>
        <v>22.866</v>
      </c>
      <c r="AH123" s="42">
        <f>-SPS!AH175</f>
        <v>-76.501999999999995</v>
      </c>
      <c r="AI123" s="120">
        <f>-SPS!AI175</f>
        <v>27.827999999999999</v>
      </c>
      <c r="AJ123" s="118">
        <f>-SPS!AJ175</f>
        <v>-9.1959999999999944</v>
      </c>
      <c r="AK123" s="118">
        <f>-SPS!AK175</f>
        <v>23.024999999999991</v>
      </c>
      <c r="AL123" s="119">
        <f>-SPS!AL175</f>
        <v>-155.648</v>
      </c>
      <c r="AM123" s="42">
        <f>-SPS!AM175</f>
        <v>-113.991</v>
      </c>
      <c r="AN123" s="120">
        <f>-SPS!AN175</f>
        <v>-3.6870000000000012</v>
      </c>
      <c r="AO123" s="118">
        <f>-SPS!AO175</f>
        <v>25.644000000000002</v>
      </c>
      <c r="AP123" s="118">
        <f>-SPS!AP175</f>
        <v>19.387999999999998</v>
      </c>
      <c r="AQ123" s="119">
        <f>-SPS!AQ175</f>
        <v>-22.500999999999991</v>
      </c>
      <c r="AR123" s="42">
        <f>-SPS!AR175</f>
        <v>18.844000000000008</v>
      </c>
      <c r="AS123" s="120">
        <f>-SPS!AS175</f>
        <v>-14.129999999999999</v>
      </c>
      <c r="AT123" s="118">
        <f>-SPS!AT175</f>
        <v>26.715</v>
      </c>
      <c r="AU123" s="118">
        <f>-SPS!AU175</f>
        <v>25.014000000000003</v>
      </c>
      <c r="AV123" s="119">
        <f>-SPS!AV175</f>
        <v>-72.492999999999995</v>
      </c>
      <c r="AW123" s="42">
        <f>-SPS!AW175</f>
        <v>-34.893999999999991</v>
      </c>
      <c r="AX123" s="120">
        <f>-SPS!AX175</f>
        <v>-37.5</v>
      </c>
      <c r="AY123" s="118">
        <f>-SPS!AY175</f>
        <v>-37.5</v>
      </c>
      <c r="AZ123" s="118">
        <f>-SPS!AZ175</f>
        <v>-37.5</v>
      </c>
      <c r="BA123" s="119">
        <f>-SPS!BA175</f>
        <v>-37.5</v>
      </c>
      <c r="BB123" s="42">
        <f>-SPS!BB175</f>
        <v>-150</v>
      </c>
      <c r="BC123" s="120">
        <f>-SPS!BC175</f>
        <v>-37.5</v>
      </c>
      <c r="BD123" s="118">
        <f>-SPS!BD175</f>
        <v>-37.5</v>
      </c>
      <c r="BE123" s="118">
        <f>-SPS!BE175</f>
        <v>-37.5</v>
      </c>
      <c r="BF123" s="119">
        <f>-SPS!BF175</f>
        <v>-37.5</v>
      </c>
      <c r="BG123" s="42">
        <f>-SPS!BG175</f>
        <v>-150</v>
      </c>
      <c r="BH123" s="120">
        <f>-SPS!BH175</f>
        <v>18.75</v>
      </c>
      <c r="BI123" s="118">
        <f>-SPS!BI175</f>
        <v>18.75</v>
      </c>
      <c r="BJ123" s="118">
        <f>-SPS!BJ175</f>
        <v>18.75</v>
      </c>
      <c r="BK123" s="119">
        <f>-SPS!BK175</f>
        <v>18.75</v>
      </c>
      <c r="BL123" s="42">
        <f>-SPS!BL175</f>
        <v>75</v>
      </c>
      <c r="BM123" s="120">
        <f>-SPS!BM175</f>
        <v>50</v>
      </c>
      <c r="BN123" s="118">
        <f>-SPS!BN175</f>
        <v>50</v>
      </c>
      <c r="BO123" s="118">
        <f>-SPS!BO175</f>
        <v>50</v>
      </c>
      <c r="BP123" s="119">
        <f>-SPS!BP175</f>
        <v>50</v>
      </c>
      <c r="BQ123" s="42">
        <f>-SPS!BQ175</f>
        <v>200</v>
      </c>
      <c r="BT123" s="525"/>
      <c r="BU123" s="525"/>
      <c r="BV123" s="525"/>
      <c r="BW123" s="525"/>
      <c r="BX123" s="525"/>
      <c r="BY123" s="525"/>
      <c r="BZ123" s="525"/>
      <c r="CA123" s="525"/>
    </row>
    <row r="124" spans="2:79" x14ac:dyDescent="0.2">
      <c r="C124" s="70" t="s">
        <v>407</v>
      </c>
      <c r="E124" s="215"/>
      <c r="F124" s="216"/>
      <c r="G124" s="216"/>
      <c r="H124" s="217"/>
      <c r="I124" s="42"/>
      <c r="J124" s="148"/>
      <c r="K124" s="149"/>
      <c r="L124" s="149"/>
      <c r="M124" s="150"/>
      <c r="N124" s="42"/>
      <c r="O124" s="120"/>
      <c r="P124" s="139"/>
      <c r="Q124" s="139"/>
      <c r="R124" s="119"/>
      <c r="S124" s="42">
        <f>-'NSP-WI'!S211</f>
        <v>32.941000000000003</v>
      </c>
      <c r="T124" s="120"/>
      <c r="U124" s="118"/>
      <c r="V124" s="139"/>
      <c r="W124" s="119"/>
      <c r="X124" s="42">
        <f>-'NSP-WI'!X211</f>
        <v>54.515000000000001</v>
      </c>
      <c r="Y124" s="120">
        <f>-'NSP-WI'!Y211</f>
        <v>-12.333</v>
      </c>
      <c r="Z124" s="118">
        <f>-'NSP-WI'!Z211</f>
        <v>-17.574000000000005</v>
      </c>
      <c r="AA124" s="118">
        <f>-'NSP-WI'!AA211</f>
        <v>10.369000000000003</v>
      </c>
      <c r="AB124" s="119">
        <f>-'NSP-WI'!AB211</f>
        <v>-8.4589999999999961</v>
      </c>
      <c r="AC124" s="42">
        <f>-'NSP-WI'!AC211</f>
        <v>-27.996999999999996</v>
      </c>
      <c r="AD124" s="120">
        <f>-'NSP-WI'!AD211</f>
        <v>8.032</v>
      </c>
      <c r="AE124" s="118">
        <f>-'NSP-WI'!AE211</f>
        <v>-12.422000000000001</v>
      </c>
      <c r="AF124" s="118">
        <f>-'NSP-WI'!AF211</f>
        <v>-31.289999999999992</v>
      </c>
      <c r="AG124" s="119">
        <f>-'NSP-WI'!AG211</f>
        <v>6.0659999999999883</v>
      </c>
      <c r="AH124" s="42">
        <f>-'NSP-WI'!AH211</f>
        <v>-29.614000000000004</v>
      </c>
      <c r="AI124" s="120">
        <f>-'NSP-WI'!AI211</f>
        <v>14.957000000000001</v>
      </c>
      <c r="AJ124" s="118">
        <f>-'NSP-WI'!AJ211</f>
        <v>-16.323000000000004</v>
      </c>
      <c r="AK124" s="118">
        <f>-'NSP-WI'!AK211</f>
        <v>16.571000000000005</v>
      </c>
      <c r="AL124" s="119">
        <f>-'NSP-WI'!AL211</f>
        <v>-30.518999999999995</v>
      </c>
      <c r="AM124" s="42">
        <f>-'NSP-WI'!AM211</f>
        <v>-15.313999999999993</v>
      </c>
      <c r="AN124" s="120">
        <f>-'NSP-WI'!AN211</f>
        <v>15.321999999999999</v>
      </c>
      <c r="AO124" s="118">
        <f>-'NSP-WI'!AO211</f>
        <v>14.073000000000004</v>
      </c>
      <c r="AP124" s="118">
        <f>-'NSP-WI'!AP211</f>
        <v>7.9110000000000014</v>
      </c>
      <c r="AQ124" s="119">
        <f>-'NSP-WI'!AQ211</f>
        <v>13.858999999999995</v>
      </c>
      <c r="AR124" s="42">
        <f>-'NSP-WI'!AR211</f>
        <v>51.164999999999999</v>
      </c>
      <c r="AS124" s="120">
        <f>-'NSP-WI'!AS211</f>
        <v>-1.5530000000000008</v>
      </c>
      <c r="AT124" s="118">
        <f>-'NSP-WI'!AT211</f>
        <v>28.070999999999998</v>
      </c>
      <c r="AU124" s="118">
        <f>-'NSP-WI'!AU211</f>
        <v>13.825000000000006</v>
      </c>
      <c r="AV124" s="119">
        <f>-'NSP-WI'!AV211</f>
        <v>-24.297999999999995</v>
      </c>
      <c r="AW124" s="42">
        <f>-'NSP-WI'!AW211</f>
        <v>16.045000000000009</v>
      </c>
      <c r="AX124" s="120">
        <f>-'NSP-WI'!AX211</f>
        <v>11.25</v>
      </c>
      <c r="AY124" s="118">
        <f>-'NSP-WI'!AY211</f>
        <v>11.25</v>
      </c>
      <c r="AZ124" s="118">
        <f>-'NSP-WI'!AZ211</f>
        <v>11.25</v>
      </c>
      <c r="BA124" s="119">
        <f>-'NSP-WI'!BA211</f>
        <v>11.25</v>
      </c>
      <c r="BB124" s="42">
        <f>-'NSP-WI'!BB211</f>
        <v>45</v>
      </c>
      <c r="BC124" s="120">
        <f>-'NSP-WI'!BC211</f>
        <v>10</v>
      </c>
      <c r="BD124" s="118">
        <f>-'NSP-WI'!BD211</f>
        <v>10</v>
      </c>
      <c r="BE124" s="118">
        <f>-'NSP-WI'!BE211</f>
        <v>10</v>
      </c>
      <c r="BF124" s="119">
        <f>-'NSP-WI'!BF211</f>
        <v>10</v>
      </c>
      <c r="BG124" s="42">
        <f>-'NSP-WI'!BG211</f>
        <v>40</v>
      </c>
      <c r="BH124" s="120">
        <f>-'NSP-WI'!BH211</f>
        <v>13.75</v>
      </c>
      <c r="BI124" s="118">
        <f>-'NSP-WI'!BI211</f>
        <v>13.75</v>
      </c>
      <c r="BJ124" s="118">
        <f>-'NSP-WI'!BJ211</f>
        <v>13.75</v>
      </c>
      <c r="BK124" s="119">
        <f>-'NSP-WI'!BK211</f>
        <v>13.75</v>
      </c>
      <c r="BL124" s="42">
        <f>-'NSP-WI'!BL211</f>
        <v>55</v>
      </c>
      <c r="BM124" s="120">
        <f>-'NSP-WI'!BM211</f>
        <v>11.25</v>
      </c>
      <c r="BN124" s="118">
        <f>-'NSP-WI'!BN211</f>
        <v>11.25</v>
      </c>
      <c r="BO124" s="118">
        <f>-'NSP-WI'!BO211</f>
        <v>11.25</v>
      </c>
      <c r="BP124" s="119">
        <f>-'NSP-WI'!BP211</f>
        <v>11.25</v>
      </c>
      <c r="BQ124" s="42">
        <f>-'NSP-WI'!BQ211</f>
        <v>45</v>
      </c>
      <c r="BT124" s="525"/>
      <c r="BU124" s="525"/>
      <c r="BV124" s="525"/>
      <c r="BW124" s="525"/>
      <c r="BX124" s="525"/>
      <c r="BY124" s="525"/>
      <c r="BZ124" s="525"/>
      <c r="CA124" s="525"/>
    </row>
    <row r="125" spans="2:79" x14ac:dyDescent="0.2">
      <c r="C125" s="638" t="s">
        <v>436</v>
      </c>
      <c r="E125" s="215"/>
      <c r="F125" s="216"/>
      <c r="G125" s="216"/>
      <c r="H125" s="217"/>
      <c r="I125" s="42"/>
      <c r="J125" s="148"/>
      <c r="K125" s="149"/>
      <c r="L125" s="149"/>
      <c r="M125" s="150"/>
      <c r="N125" s="42"/>
      <c r="O125" s="120"/>
      <c r="P125" s="139"/>
      <c r="Q125" s="139"/>
      <c r="R125" s="119"/>
      <c r="S125" s="42">
        <f>+S152</f>
        <v>38.691000000000003</v>
      </c>
      <c r="T125" s="120"/>
      <c r="U125" s="118"/>
      <c r="V125" s="139"/>
      <c r="W125" s="119"/>
      <c r="X125" s="42">
        <f>+X152</f>
        <v>-33.786000000000001</v>
      </c>
      <c r="Y125" s="120">
        <f t="shared" ref="Y125:AO125" si="184">+Y152</f>
        <v>160.084</v>
      </c>
      <c r="Z125" s="118">
        <f t="shared" si="184"/>
        <v>67.028999999999996</v>
      </c>
      <c r="AA125" s="118">
        <f t="shared" si="184"/>
        <v>2.3069999999999879</v>
      </c>
      <c r="AB125" s="119">
        <f t="shared" si="184"/>
        <v>2.3470000000000084</v>
      </c>
      <c r="AC125" s="42">
        <f t="shared" si="184"/>
        <v>231.767</v>
      </c>
      <c r="AD125" s="120">
        <f t="shared" si="184"/>
        <v>63.548000000000002</v>
      </c>
      <c r="AE125" s="118">
        <f t="shared" ref="AE125:AJ125" si="185">+AE152</f>
        <v>113.02500000000001</v>
      </c>
      <c r="AF125" s="118">
        <f t="shared" si="185"/>
        <v>2.0660000000000025</v>
      </c>
      <c r="AG125" s="119">
        <f t="shared" si="185"/>
        <v>2.1589999999999918</v>
      </c>
      <c r="AH125" s="42">
        <f t="shared" si="185"/>
        <v>180.798</v>
      </c>
      <c r="AI125" s="120">
        <f t="shared" si="185"/>
        <v>1.411</v>
      </c>
      <c r="AJ125" s="118">
        <f t="shared" si="185"/>
        <v>1.9979999999999998</v>
      </c>
      <c r="AK125" s="118">
        <f t="shared" si="184"/>
        <v>1.8890000000000002</v>
      </c>
      <c r="AL125" s="119">
        <f t="shared" si="184"/>
        <v>1.7130000000000001</v>
      </c>
      <c r="AM125" s="42">
        <f t="shared" si="184"/>
        <v>7.0110000000000001</v>
      </c>
      <c r="AN125" s="120">
        <f t="shared" si="184"/>
        <v>0</v>
      </c>
      <c r="AO125" s="118">
        <f t="shared" si="184"/>
        <v>0</v>
      </c>
      <c r="AP125" s="118">
        <f t="shared" ref="AP125:AT125" si="186">+AP152</f>
        <v>0</v>
      </c>
      <c r="AQ125" s="119">
        <f t="shared" si="186"/>
        <v>-32.209000000000003</v>
      </c>
      <c r="AR125" s="42">
        <f t="shared" si="186"/>
        <v>-32.209000000000003</v>
      </c>
      <c r="AS125" s="120">
        <f t="shared" si="186"/>
        <v>-2.9430000000000001</v>
      </c>
      <c r="AT125" s="118">
        <f t="shared" si="186"/>
        <v>0</v>
      </c>
      <c r="AU125" s="118">
        <f t="shared" ref="AU125:AW125" si="187">+AU152</f>
        <v>0</v>
      </c>
      <c r="AV125" s="119">
        <f t="shared" si="187"/>
        <v>-5.699999999999994E-2</v>
      </c>
      <c r="AW125" s="42">
        <f t="shared" si="187"/>
        <v>-3</v>
      </c>
      <c r="AX125" s="120">
        <f t="shared" ref="AX125:BG125" si="188">+AX152</f>
        <v>19.25</v>
      </c>
      <c r="AY125" s="118">
        <f t="shared" si="188"/>
        <v>19.25</v>
      </c>
      <c r="AZ125" s="118">
        <f t="shared" si="188"/>
        <v>19.25</v>
      </c>
      <c r="BA125" s="119">
        <f t="shared" si="188"/>
        <v>19.25</v>
      </c>
      <c r="BB125" s="42">
        <f t="shared" si="188"/>
        <v>77</v>
      </c>
      <c r="BC125" s="120">
        <f t="shared" si="188"/>
        <v>19.25</v>
      </c>
      <c r="BD125" s="118">
        <f t="shared" si="188"/>
        <v>19.25</v>
      </c>
      <c r="BE125" s="118">
        <f t="shared" si="188"/>
        <v>19.25</v>
      </c>
      <c r="BF125" s="119">
        <f t="shared" si="188"/>
        <v>19.25</v>
      </c>
      <c r="BG125" s="42">
        <f t="shared" si="188"/>
        <v>77</v>
      </c>
      <c r="BH125" s="120">
        <f t="shared" ref="BH125:BQ125" si="189">+BH152</f>
        <v>19.25</v>
      </c>
      <c r="BI125" s="118">
        <f t="shared" si="189"/>
        <v>19.25</v>
      </c>
      <c r="BJ125" s="118">
        <f t="shared" si="189"/>
        <v>19.25</v>
      </c>
      <c r="BK125" s="119">
        <f t="shared" si="189"/>
        <v>19.25</v>
      </c>
      <c r="BL125" s="42">
        <f t="shared" si="189"/>
        <v>77</v>
      </c>
      <c r="BM125" s="120">
        <f t="shared" si="189"/>
        <v>19.25</v>
      </c>
      <c r="BN125" s="118">
        <f t="shared" si="189"/>
        <v>19.25</v>
      </c>
      <c r="BO125" s="118">
        <f t="shared" si="189"/>
        <v>19.25</v>
      </c>
      <c r="BP125" s="119">
        <f t="shared" si="189"/>
        <v>19.25</v>
      </c>
      <c r="BQ125" s="42">
        <f t="shared" si="189"/>
        <v>77</v>
      </c>
      <c r="BT125" s="525"/>
      <c r="BU125" s="525"/>
      <c r="BV125" s="525"/>
      <c r="BW125" s="525"/>
      <c r="BX125" s="525"/>
      <c r="BY125" s="525"/>
      <c r="BZ125" s="525"/>
      <c r="CA125" s="525"/>
    </row>
    <row r="126" spans="2:79" x14ac:dyDescent="0.2">
      <c r="C126" s="70" t="s">
        <v>437</v>
      </c>
      <c r="E126" s="215"/>
      <c r="F126" s="216"/>
      <c r="G126" s="216"/>
      <c r="H126" s="217"/>
      <c r="I126" s="42"/>
      <c r="J126" s="148"/>
      <c r="K126" s="149"/>
      <c r="L126" s="149"/>
      <c r="M126" s="150"/>
      <c r="N126" s="42"/>
      <c r="O126" s="120"/>
      <c r="P126" s="139"/>
      <c r="Q126" s="139"/>
      <c r="R126" s="119"/>
      <c r="S126" s="42">
        <f>Parent!S37</f>
        <v>-56.11100000000004</v>
      </c>
      <c r="T126" s="120"/>
      <c r="U126" s="118"/>
      <c r="V126" s="139"/>
      <c r="W126" s="119"/>
      <c r="X126" s="42">
        <f>Parent!X37</f>
        <v>-66.281999999999485</v>
      </c>
      <c r="Y126" s="120">
        <f>Parent!Y37</f>
        <v>-14.251000000000444</v>
      </c>
      <c r="Z126" s="118">
        <f>Parent!Z37</f>
        <v>-16.868000000000006</v>
      </c>
      <c r="AA126" s="118">
        <f>Parent!AA37</f>
        <v>5.6340000000003858</v>
      </c>
      <c r="AB126" s="119">
        <f>Parent!AB37</f>
        <v>-7.4639999999996487</v>
      </c>
      <c r="AC126" s="42">
        <f>Parent!AC37</f>
        <v>-32.948999999998819</v>
      </c>
      <c r="AD126" s="120">
        <f>Parent!AD37</f>
        <v>-8.5159999999995879</v>
      </c>
      <c r="AE126" s="118">
        <f>Parent!AE37</f>
        <v>-9.9510000000000947</v>
      </c>
      <c r="AF126" s="118">
        <f>Parent!AF37</f>
        <v>-7.0130000000001118</v>
      </c>
      <c r="AG126" s="119">
        <f>Parent!AG37</f>
        <v>-13.811000000000952</v>
      </c>
      <c r="AH126" s="42">
        <f>Parent!AH37</f>
        <v>-39.291000000001276</v>
      </c>
      <c r="AI126" s="120">
        <f>Parent!AI37</f>
        <v>-8.3380000000002479</v>
      </c>
      <c r="AJ126" s="118">
        <f>Parent!AJ37</f>
        <v>-10.838000000000259</v>
      </c>
      <c r="AK126" s="118">
        <f>Parent!AK37</f>
        <v>-10.214000000000226</v>
      </c>
      <c r="AL126" s="119">
        <f>Parent!AL37</f>
        <v>-11.665999999999606</v>
      </c>
      <c r="AM126" s="42">
        <f>Parent!AM37</f>
        <v>-41.056000000000466</v>
      </c>
      <c r="AN126" s="120">
        <f>Parent!AN37</f>
        <v>-9.3450000000001108</v>
      </c>
      <c r="AO126" s="118">
        <f>Parent!AO37</f>
        <v>-13.561000000000387</v>
      </c>
      <c r="AP126" s="118">
        <f>Parent!AP37</f>
        <v>-14.930999999999898</v>
      </c>
      <c r="AQ126" s="119">
        <f>Parent!AQ37</f>
        <v>-12.310999999999275</v>
      </c>
      <c r="AR126" s="42">
        <f>Parent!AR37</f>
        <v>-50.147999999997509</v>
      </c>
      <c r="AS126" s="120">
        <f>Parent!AS37</f>
        <v>-13.908999999999972</v>
      </c>
      <c r="AT126" s="118">
        <f>Parent!AT37</f>
        <v>-10.596000000000505</v>
      </c>
      <c r="AU126" s="118">
        <f>Parent!AU37</f>
        <v>-13.045000000000172</v>
      </c>
      <c r="AV126" s="119">
        <f>Parent!AV37</f>
        <v>-14.318999999998972</v>
      </c>
      <c r="AW126" s="42">
        <f>Parent!AW37</f>
        <v>-51.869000000000838</v>
      </c>
      <c r="AX126" s="120">
        <f>Parent!AX37</f>
        <v>-19.044279258818364</v>
      </c>
      <c r="AY126" s="118">
        <f>Parent!AY37</f>
        <v>-17.999806265807621</v>
      </c>
      <c r="AZ126" s="118">
        <f>Parent!AZ37</f>
        <v>-23.579617437337113</v>
      </c>
      <c r="BA126" s="119">
        <f>Parent!BA37</f>
        <v>-11.529990800172724</v>
      </c>
      <c r="BB126" s="42">
        <f>Parent!BB37</f>
        <v>-72.153693762135859</v>
      </c>
      <c r="BC126" s="120">
        <f>Parent!BC37</f>
        <v>-22.942724695497407</v>
      </c>
      <c r="BD126" s="118">
        <f>Parent!BD37</f>
        <v>-22.285958365758002</v>
      </c>
      <c r="BE126" s="118">
        <f>Parent!BE37</f>
        <v>-29.52345747456981</v>
      </c>
      <c r="BF126" s="119">
        <f>Parent!BF37</f>
        <v>-15.796543425235269</v>
      </c>
      <c r="BG126" s="42">
        <f>Parent!BG37</f>
        <v>-90.54868396106049</v>
      </c>
      <c r="BH126" s="120">
        <f>Parent!BH37</f>
        <v>-27.165283023107708</v>
      </c>
      <c r="BI126" s="118">
        <f>Parent!BI37</f>
        <v>-22.378310146627499</v>
      </c>
      <c r="BJ126" s="118">
        <f>Parent!BJ37</f>
        <v>-33.555090233740827</v>
      </c>
      <c r="BK126" s="119">
        <f>Parent!BK37</f>
        <v>-16.01304687712841</v>
      </c>
      <c r="BL126" s="42">
        <f>Parent!BL37</f>
        <v>-99.111730280604448</v>
      </c>
      <c r="BM126" s="120">
        <f>Parent!BM37</f>
        <v>-27.251688268003765</v>
      </c>
      <c r="BN126" s="118">
        <f>Parent!BN37</f>
        <v>-24.359573867994889</v>
      </c>
      <c r="BO126" s="118">
        <f>Parent!BO37</f>
        <v>-36.441099353864864</v>
      </c>
      <c r="BP126" s="119">
        <f>Parent!BP37</f>
        <v>-16.625653283270317</v>
      </c>
      <c r="BQ126" s="42">
        <f>Parent!BQ37</f>
        <v>-104.67801477313384</v>
      </c>
      <c r="BT126" s="525"/>
      <c r="BU126" s="525"/>
      <c r="BV126" s="525"/>
      <c r="BW126" s="525"/>
      <c r="BX126" s="525"/>
      <c r="BY126" s="525"/>
      <c r="BZ126" s="525"/>
      <c r="CA126" s="525"/>
    </row>
    <row r="127" spans="2:79" x14ac:dyDescent="0.2">
      <c r="C127" s="70" t="s">
        <v>441</v>
      </c>
      <c r="E127" s="215"/>
      <c r="F127" s="216"/>
      <c r="G127" s="216"/>
      <c r="H127" s="217"/>
      <c r="I127" s="42"/>
      <c r="J127" s="148"/>
      <c r="K127" s="149"/>
      <c r="L127" s="149"/>
      <c r="M127" s="150"/>
      <c r="N127" s="42"/>
      <c r="O127" s="120"/>
      <c r="P127" s="139"/>
      <c r="Q127" s="139"/>
      <c r="R127" s="119"/>
      <c r="S127" s="42">
        <f>Parent!S56+Parent!S57</f>
        <v>53.556000000000616</v>
      </c>
      <c r="T127" s="120"/>
      <c r="U127" s="118"/>
      <c r="V127" s="139"/>
      <c r="W127" s="119"/>
      <c r="X127" s="42">
        <f>Parent!X56+Parent!X57</f>
        <v>244.38700000000011</v>
      </c>
      <c r="Y127" s="120">
        <f>Parent!Y56+Parent!Y57</f>
        <v>-138.40900000000008</v>
      </c>
      <c r="Z127" s="118">
        <f>Parent!Z56+Parent!Z57</f>
        <v>15.726000000000028</v>
      </c>
      <c r="AA127" s="118">
        <f>Parent!AA56+Parent!AA57</f>
        <v>7.8410000000000153</v>
      </c>
      <c r="AB127" s="119">
        <f>Parent!AB56+Parent!AB57</f>
        <v>22.291999999999867</v>
      </c>
      <c r="AC127" s="42">
        <f>Parent!AC56+Parent!AC57</f>
        <v>-92.55000000000004</v>
      </c>
      <c r="AD127" s="120">
        <f>Parent!AD56+Parent!AD57</f>
        <v>-82.709000000000017</v>
      </c>
      <c r="AE127" s="118">
        <f>Parent!AE56+Parent!AE57</f>
        <v>105.38700000000003</v>
      </c>
      <c r="AF127" s="118">
        <f>Parent!AF56+Parent!AF57</f>
        <v>-22.185000000000002</v>
      </c>
      <c r="AG127" s="119">
        <f>Parent!AG56+Parent!AG57</f>
        <v>79.822000000000159</v>
      </c>
      <c r="AH127" s="42">
        <f>Parent!AH56+Parent!AH57</f>
        <v>80.315000000000254</v>
      </c>
      <c r="AI127" s="120">
        <f>Parent!AI56+Parent!AI57</f>
        <v>-110.10000000000021</v>
      </c>
      <c r="AJ127" s="118">
        <f>Parent!AJ56+Parent!AJ57</f>
        <v>69.230000000000189</v>
      </c>
      <c r="AK127" s="118">
        <f>Parent!AK56+Parent!AK57</f>
        <v>60.411999999999786</v>
      </c>
      <c r="AL127" s="119">
        <f>Parent!AL56+Parent!AL57</f>
        <v>-20.077000000000155</v>
      </c>
      <c r="AM127" s="42">
        <f>Parent!AM56+Parent!AM57</f>
        <v>-0.53499999999996817</v>
      </c>
      <c r="AN127" s="120">
        <f>Parent!AN56+Parent!AN57</f>
        <v>-101.38899999999984</v>
      </c>
      <c r="AO127" s="118">
        <f>Parent!AO56+Parent!AO57</f>
        <v>61.697999999999922</v>
      </c>
      <c r="AP127" s="118">
        <f>Parent!AP56+Parent!AP57</f>
        <v>41.374000000000308</v>
      </c>
      <c r="AQ127" s="119">
        <f>Parent!AQ56+Parent!AQ57</f>
        <v>34.185999999999908</v>
      </c>
      <c r="AR127" s="42">
        <f>Parent!AR56+Parent!AR57</f>
        <v>35.868999999999943</v>
      </c>
      <c r="AS127" s="120">
        <f>Parent!AS56+Parent!AS57</f>
        <v>-92.641000000000048</v>
      </c>
      <c r="AT127" s="118">
        <f>Parent!AT56+Parent!AT57</f>
        <v>79.116999999999891</v>
      </c>
      <c r="AU127" s="118">
        <f>Parent!AU56+Parent!AU57</f>
        <v>73.302999999999969</v>
      </c>
      <c r="AV127" s="119">
        <f>Parent!AV56+Parent!AV57</f>
        <v>10.61300000000017</v>
      </c>
      <c r="AW127" s="42">
        <f>Parent!AW56+Parent!AW57</f>
        <v>70.392000000000365</v>
      </c>
      <c r="AX127" s="120">
        <f>Parent!AX56+Parent!AX57</f>
        <v>0</v>
      </c>
      <c r="AY127" s="118">
        <f>Parent!AY56+Parent!AY57</f>
        <v>0</v>
      </c>
      <c r="AZ127" s="118">
        <f>Parent!AZ56+Parent!AZ57</f>
        <v>-2.7533531010703882E-14</v>
      </c>
      <c r="BA127" s="119">
        <f>Parent!BA56+Parent!BA57</f>
        <v>0</v>
      </c>
      <c r="BB127" s="42">
        <f>Parent!BB56+Parent!BB57</f>
        <v>-2.7533531010703882E-14</v>
      </c>
      <c r="BC127" s="120">
        <f>Parent!BC56+Parent!BC57</f>
        <v>-1.5987211554602254E-14</v>
      </c>
      <c r="BD127" s="118">
        <f>Parent!BD56+Parent!BD57</f>
        <v>0</v>
      </c>
      <c r="BE127" s="118">
        <f>Parent!BE56+Parent!BE57</f>
        <v>9.7699626167013776E-15</v>
      </c>
      <c r="BF127" s="119">
        <f>Parent!BF56+Parent!BF57</f>
        <v>-1.0658141036401503E-14</v>
      </c>
      <c r="BG127" s="42">
        <f>Parent!BG56+Parent!BG57</f>
        <v>-1.6875389974302379E-14</v>
      </c>
      <c r="BH127" s="120">
        <f>Parent!BH56+Parent!BH57</f>
        <v>0</v>
      </c>
      <c r="BI127" s="118">
        <f>Parent!BI56+Parent!BI57</f>
        <v>2.1316282072803006E-14</v>
      </c>
      <c r="BJ127" s="118">
        <f>Parent!BJ56+Parent!BJ57</f>
        <v>-1.4210854715202004E-14</v>
      </c>
      <c r="BK127" s="119">
        <f>Parent!BK56+Parent!BK57</f>
        <v>0</v>
      </c>
      <c r="BL127" s="42">
        <f>Parent!BL56+Parent!BL57</f>
        <v>7.1054273576010019E-15</v>
      </c>
      <c r="BM127" s="120">
        <f>Parent!BM56+Parent!BM57</f>
        <v>0</v>
      </c>
      <c r="BN127" s="118">
        <f>Parent!BN56+Parent!BN57</f>
        <v>1.3322676295501878E-14</v>
      </c>
      <c r="BO127" s="118">
        <f>Parent!BO56+Parent!BO57</f>
        <v>-1.1546319456101628E-14</v>
      </c>
      <c r="BP127" s="119">
        <f>Parent!BP56+Parent!BP57</f>
        <v>0</v>
      </c>
      <c r="BQ127" s="42">
        <f>Parent!BQ56+Parent!BQ57</f>
        <v>1.7763568394002505E-15</v>
      </c>
      <c r="BT127" s="525"/>
      <c r="BU127" s="525"/>
      <c r="BV127" s="525"/>
      <c r="BW127" s="525"/>
      <c r="BX127" s="525"/>
      <c r="BY127" s="525"/>
      <c r="BZ127" s="525"/>
      <c r="CA127" s="525"/>
    </row>
    <row r="128" spans="2:79" x14ac:dyDescent="0.2">
      <c r="C128" s="70" t="s">
        <v>168</v>
      </c>
      <c r="E128" s="215"/>
      <c r="F128" s="216"/>
      <c r="G128" s="216"/>
      <c r="H128" s="217"/>
      <c r="I128" s="42"/>
      <c r="J128" s="148"/>
      <c r="K128" s="149"/>
      <c r="L128" s="149"/>
      <c r="M128" s="150"/>
      <c r="N128" s="42"/>
      <c r="O128" s="120"/>
      <c r="P128" s="139"/>
      <c r="Q128" s="139"/>
      <c r="R128" s="119"/>
      <c r="S128" s="42">
        <f>Parent!S64+Parent!S65</f>
        <v>245.46299999999997</v>
      </c>
      <c r="T128" s="120"/>
      <c r="U128" s="118"/>
      <c r="V128" s="139"/>
      <c r="W128" s="119"/>
      <c r="X128" s="42">
        <f>Parent!X64+Parent!X65</f>
        <v>1.7530000000001564</v>
      </c>
      <c r="Y128" s="120">
        <f>Parent!Y64+Parent!Y65</f>
        <v>-0.22900000000001342</v>
      </c>
      <c r="Z128" s="118">
        <f>Parent!Z64+Parent!Z65</f>
        <v>48.317000000000178</v>
      </c>
      <c r="AA128" s="118">
        <f>Parent!AA64+Parent!AA65</f>
        <v>0.1589999999998537</v>
      </c>
      <c r="AB128" s="119">
        <f>Parent!AB64+Parent!AB65</f>
        <v>-0.37000000000004896</v>
      </c>
      <c r="AC128" s="42">
        <f>Parent!AC64+Parent!AC65</f>
        <v>47.876999999999953</v>
      </c>
      <c r="AD128" s="120">
        <f>Parent!AD64+Parent!AD65</f>
        <v>-0.25199999999999229</v>
      </c>
      <c r="AE128" s="118">
        <f>Parent!AE64+Parent!AE65</f>
        <v>-0.22599999999999909</v>
      </c>
      <c r="AF128" s="118">
        <f>Parent!AF64+Parent!AF65</f>
        <v>-0.20500000000008423</v>
      </c>
      <c r="AG128" s="119">
        <f>Parent!AG64+Parent!AG65</f>
        <v>-0.16599999999997989</v>
      </c>
      <c r="AH128" s="42">
        <f>Parent!AH64+Parent!AH65</f>
        <v>-0.84899999999998954</v>
      </c>
      <c r="AI128" s="120">
        <f>Parent!AI64+Parent!AI65</f>
        <v>-0.29400000000000004</v>
      </c>
      <c r="AJ128" s="118">
        <f>Parent!AJ64+Parent!AJ65</f>
        <v>495.96200000000005</v>
      </c>
      <c r="AK128" s="118">
        <f>Parent!AK64+Parent!AK65</f>
        <v>-0.76000000000001366</v>
      </c>
      <c r="AL128" s="119">
        <f>Parent!AL64+Parent!AL65</f>
        <v>-0.23900000000000762</v>
      </c>
      <c r="AM128" s="42">
        <f>Parent!AM64+Parent!AM65</f>
        <v>494.66899999999993</v>
      </c>
      <c r="AN128" s="120">
        <f>Parent!AN64+Parent!AN65</f>
        <v>746.80799999999999</v>
      </c>
      <c r="AO128" s="118">
        <f>Parent!AO64+Parent!AO65</f>
        <v>-447.75799999999992</v>
      </c>
      <c r="AP128" s="118">
        <f>Parent!AP64+Parent!AP65</f>
        <v>-0.26900000000001589</v>
      </c>
      <c r="AQ128" s="119">
        <f>Parent!AQ64+Parent!AQ65</f>
        <v>535.69499999999982</v>
      </c>
      <c r="AR128" s="42">
        <f>Parent!AR64+Parent!AR65</f>
        <v>834.47599999999966</v>
      </c>
      <c r="AS128" s="120">
        <f>Parent!AS64+Parent!AS65</f>
        <v>-0.17599999999999999</v>
      </c>
      <c r="AT128" s="118">
        <f>Parent!AT64+Parent!AT65</f>
        <v>-250.74099999999996</v>
      </c>
      <c r="AU128" s="118">
        <f>Parent!AU64+Parent!AU65</f>
        <v>-0.18000000000006366</v>
      </c>
      <c r="AV128" s="119">
        <f>Parent!AV64+Parent!AV65</f>
        <v>-0.18000000000010652</v>
      </c>
      <c r="AW128" s="42">
        <f>Parent!AW64+Parent!AW65</f>
        <v>-251.2770000000001</v>
      </c>
      <c r="AX128" s="120">
        <f>Parent!AX64+Parent!AX65</f>
        <v>0</v>
      </c>
      <c r="AY128" s="118">
        <f>Parent!AY64+Parent!AY65</f>
        <v>0</v>
      </c>
      <c r="AZ128" s="118">
        <f>Parent!AZ64+Parent!AZ65</f>
        <v>750</v>
      </c>
      <c r="BA128" s="119">
        <f>Parent!BA64+Parent!BA65</f>
        <v>0</v>
      </c>
      <c r="BB128" s="42">
        <f>Parent!BB64+Parent!BB65</f>
        <v>750</v>
      </c>
      <c r="BC128" s="120">
        <f>Parent!BC64+Parent!BC65</f>
        <v>0</v>
      </c>
      <c r="BD128" s="118">
        <f>Parent!BD64+Parent!BD65</f>
        <v>0</v>
      </c>
      <c r="BE128" s="118">
        <f>Parent!BE64+Parent!BE65</f>
        <v>500</v>
      </c>
      <c r="BF128" s="119">
        <f>Parent!BF64+Parent!BF65</f>
        <v>0</v>
      </c>
      <c r="BG128" s="42">
        <f>Parent!BG64+Parent!BG65</f>
        <v>500</v>
      </c>
      <c r="BH128" s="120">
        <f>Parent!BH64+Parent!BH65</f>
        <v>0</v>
      </c>
      <c r="BI128" s="118">
        <f>Parent!BI64+Parent!BI65</f>
        <v>-550</v>
      </c>
      <c r="BJ128" s="118">
        <f>Parent!BJ64+Parent!BJ65</f>
        <v>800</v>
      </c>
      <c r="BK128" s="119">
        <f>Parent!BK64+Parent!BK65</f>
        <v>0</v>
      </c>
      <c r="BL128" s="42">
        <f>Parent!BL64+Parent!BL65</f>
        <v>250</v>
      </c>
      <c r="BM128" s="120">
        <f>Parent!BM64+Parent!BM65</f>
        <v>-400</v>
      </c>
      <c r="BN128" s="118">
        <f>Parent!BN64+Parent!BN65</f>
        <v>0</v>
      </c>
      <c r="BO128" s="118">
        <f>Parent!BO64+Parent!BO65</f>
        <v>400</v>
      </c>
      <c r="BP128" s="119">
        <f>Parent!BP64+Parent!BP65</f>
        <v>0</v>
      </c>
      <c r="BQ128" s="42">
        <f>Parent!BQ64+Parent!BQ65</f>
        <v>0</v>
      </c>
      <c r="BT128" s="525"/>
      <c r="BU128" s="525"/>
      <c r="BV128" s="525"/>
      <c r="BW128" s="525"/>
      <c r="BX128" s="525"/>
      <c r="BY128" s="525"/>
      <c r="BZ128" s="525"/>
      <c r="CA128" s="525"/>
    </row>
    <row r="129" spans="2:134" x14ac:dyDescent="0.2">
      <c r="C129" s="70" t="s">
        <v>169</v>
      </c>
      <c r="E129" s="215"/>
      <c r="F129" s="216"/>
      <c r="G129" s="216"/>
      <c r="H129" s="217"/>
      <c r="I129" s="42"/>
      <c r="J129" s="148"/>
      <c r="K129" s="149"/>
      <c r="L129" s="149"/>
      <c r="M129" s="150"/>
      <c r="N129" s="42"/>
      <c r="O129" s="120"/>
      <c r="P129" s="139"/>
      <c r="Q129" s="139"/>
      <c r="R129" s="119"/>
      <c r="S129" s="42">
        <f t="shared" ref="S129:AO129" si="190">+S151</f>
        <v>-474.76</v>
      </c>
      <c r="T129" s="120"/>
      <c r="U129" s="118"/>
      <c r="V129" s="139"/>
      <c r="W129" s="119"/>
      <c r="X129" s="42">
        <f>+X151</f>
        <v>-486.75700000000001</v>
      </c>
      <c r="Y129" s="120">
        <f t="shared" si="190"/>
        <v>-124.426</v>
      </c>
      <c r="Z129" s="118">
        <f t="shared" si="190"/>
        <v>-125.96599999999999</v>
      </c>
      <c r="AA129" s="118">
        <f t="shared" si="190"/>
        <v>-131.75600000000003</v>
      </c>
      <c r="AB129" s="119">
        <f t="shared" si="190"/>
        <v>-131.89400000000001</v>
      </c>
      <c r="AC129" s="42">
        <f t="shared" si="190"/>
        <v>-514.04200000000003</v>
      </c>
      <c r="AD129" s="120">
        <f t="shared" si="190"/>
        <v>-132.03299999999999</v>
      </c>
      <c r="AE129" s="118">
        <f t="shared" ref="AE129:AJ129" si="191">+AE151</f>
        <v>-142.328</v>
      </c>
      <c r="AF129" s="118">
        <f t="shared" si="191"/>
        <v>-143.22500000000002</v>
      </c>
      <c r="AG129" s="119">
        <f t="shared" si="191"/>
        <v>-143.82499999999993</v>
      </c>
      <c r="AH129" s="42">
        <f t="shared" si="191"/>
        <v>-561.41099999999994</v>
      </c>
      <c r="AI129" s="120">
        <f t="shared" si="191"/>
        <v>-144.02500000000001</v>
      </c>
      <c r="AJ129" s="118">
        <f t="shared" si="191"/>
        <v>-153.99699999999999</v>
      </c>
      <c r="AK129" s="118">
        <f t="shared" si="190"/>
        <v>-154.19499999999999</v>
      </c>
      <c r="AL129" s="119">
        <f t="shared" si="190"/>
        <v>-154.35699999999997</v>
      </c>
      <c r="AM129" s="42">
        <f t="shared" si="190"/>
        <v>-606.57399999999996</v>
      </c>
      <c r="AN129" s="120">
        <f t="shared" si="190"/>
        <v>-162.41</v>
      </c>
      <c r="AO129" s="118">
        <f t="shared" si="190"/>
        <v>-173.49199999999999</v>
      </c>
      <c r="AP129" s="118">
        <f t="shared" ref="AP129:AT129" si="192">+AP151</f>
        <v>-174.72500000000002</v>
      </c>
      <c r="AQ129" s="119">
        <f t="shared" si="192"/>
        <v>-169.89399999999995</v>
      </c>
      <c r="AR129" s="42">
        <f t="shared" si="192"/>
        <v>-680.52099999999996</v>
      </c>
      <c r="AS129" s="120">
        <f t="shared" si="192"/>
        <v>-172.45599999999999</v>
      </c>
      <c r="AT129" s="118">
        <f t="shared" si="192"/>
        <v>-182.79400000000001</v>
      </c>
      <c r="AU129" s="118">
        <f t="shared" ref="AU129:AW129" si="193">+AU151</f>
        <v>-182.79499999999996</v>
      </c>
      <c r="AV129" s="119">
        <f t="shared" si="193"/>
        <v>-182.95500000000004</v>
      </c>
      <c r="AW129" s="42">
        <f t="shared" si="193"/>
        <v>-721</v>
      </c>
      <c r="AX129" s="120">
        <f t="shared" ref="AX129:BG129" si="194">+AX151</f>
        <v>-193.96103458685724</v>
      </c>
      <c r="AY129" s="118">
        <f t="shared" si="194"/>
        <v>-194.12790873497173</v>
      </c>
      <c r="AZ129" s="118">
        <f t="shared" si="194"/>
        <v>-194.29478288308624</v>
      </c>
      <c r="BA129" s="119">
        <f t="shared" si="194"/>
        <v>-194.46165703120073</v>
      </c>
      <c r="BB129" s="42">
        <f t="shared" si="194"/>
        <v>-776.84538323611594</v>
      </c>
      <c r="BC129" s="120">
        <f t="shared" si="194"/>
        <v>-206.30624305007416</v>
      </c>
      <c r="BD129" s="118">
        <f t="shared" si="194"/>
        <v>-206.48312964707551</v>
      </c>
      <c r="BE129" s="118">
        <f t="shared" si="194"/>
        <v>-206.66001624407687</v>
      </c>
      <c r="BF129" s="119">
        <f t="shared" si="194"/>
        <v>-206.83690284107826</v>
      </c>
      <c r="BG129" s="42">
        <f t="shared" si="194"/>
        <v>-826.28629178230472</v>
      </c>
      <c r="BH129" s="120">
        <f t="shared" ref="BH129:BQ129" si="195">+BH151</f>
        <v>-219.4346168043644</v>
      </c>
      <c r="BI129" s="118">
        <f t="shared" si="195"/>
        <v>-219.62211659718585</v>
      </c>
      <c r="BJ129" s="118">
        <f t="shared" si="195"/>
        <v>-219.80961639000731</v>
      </c>
      <c r="BK129" s="119">
        <f t="shared" si="195"/>
        <v>-219.99711618282873</v>
      </c>
      <c r="BL129" s="42">
        <f t="shared" si="195"/>
        <v>-878.86346597438614</v>
      </c>
      <c r="BM129" s="120">
        <f t="shared" si="195"/>
        <v>-233.39569293418921</v>
      </c>
      <c r="BN129" s="118">
        <f t="shared" si="195"/>
        <v>-233.59444271457994</v>
      </c>
      <c r="BO129" s="118">
        <f t="shared" si="195"/>
        <v>-233.79319249497067</v>
      </c>
      <c r="BP129" s="119">
        <f t="shared" si="195"/>
        <v>-233.99194227536142</v>
      </c>
      <c r="BQ129" s="42">
        <f t="shared" si="195"/>
        <v>-934.77527041910128</v>
      </c>
      <c r="BT129" s="525"/>
      <c r="BU129" s="525"/>
      <c r="BV129" s="525"/>
      <c r="BW129" s="525"/>
      <c r="BX129" s="525"/>
      <c r="BY129" s="525"/>
      <c r="BZ129" s="525"/>
      <c r="CA129" s="525"/>
      <c r="CP129" s="525"/>
    </row>
    <row r="130" spans="2:134" x14ac:dyDescent="0.2">
      <c r="C130" s="141" t="s">
        <v>170</v>
      </c>
      <c r="E130" s="166"/>
      <c r="F130" s="167"/>
      <c r="G130" s="167"/>
      <c r="H130" s="168"/>
      <c r="I130" s="42"/>
      <c r="J130" s="120"/>
      <c r="K130" s="139"/>
      <c r="L130" s="139"/>
      <c r="M130" s="119"/>
      <c r="N130" s="42"/>
      <c r="O130" s="121"/>
      <c r="P130" s="130"/>
      <c r="Q130" s="130"/>
      <c r="R130" s="123"/>
      <c r="S130" s="86">
        <f t="shared" ref="S130:AO130" si="196">SUM(S121:S129)</f>
        <v>131.40300000000047</v>
      </c>
      <c r="T130" s="121"/>
      <c r="U130" s="122"/>
      <c r="V130" s="130"/>
      <c r="W130" s="123"/>
      <c r="X130" s="86">
        <f>SUM(X121:X129)</f>
        <v>-92.898999999999262</v>
      </c>
      <c r="Y130" s="121">
        <f t="shared" si="196"/>
        <v>-172.23100000000053</v>
      </c>
      <c r="Z130" s="122">
        <f t="shared" si="196"/>
        <v>52.685000000000187</v>
      </c>
      <c r="AA130" s="122">
        <f t="shared" si="196"/>
        <v>42.735000000000184</v>
      </c>
      <c r="AB130" s="123">
        <f t="shared" si="196"/>
        <v>-215.06299999999976</v>
      </c>
      <c r="AC130" s="86">
        <f t="shared" si="196"/>
        <v>-291.87399999999889</v>
      </c>
      <c r="AD130" s="121">
        <f t="shared" si="196"/>
        <v>-14.961999999999591</v>
      </c>
      <c r="AE130" s="122">
        <f t="shared" ref="AE130:AJ130" si="197">SUM(AE121:AE129)</f>
        <v>99.942999999999955</v>
      </c>
      <c r="AF130" s="122">
        <f t="shared" si="197"/>
        <v>-67.372000000000199</v>
      </c>
      <c r="AG130" s="123">
        <f t="shared" si="197"/>
        <v>52.526999999999333</v>
      </c>
      <c r="AH130" s="86">
        <f t="shared" si="197"/>
        <v>70.135999999999171</v>
      </c>
      <c r="AI130" s="121">
        <f t="shared" si="197"/>
        <v>-132.80000000000044</v>
      </c>
      <c r="AJ130" s="122">
        <f t="shared" si="197"/>
        <v>435.40599999999995</v>
      </c>
      <c r="AK130" s="122">
        <f t="shared" si="196"/>
        <v>38.654999999999575</v>
      </c>
      <c r="AL130" s="123">
        <f t="shared" si="196"/>
        <v>-549.57899999999972</v>
      </c>
      <c r="AM130" s="86">
        <f t="shared" si="196"/>
        <v>-208.31800000000044</v>
      </c>
      <c r="AN130" s="121">
        <f t="shared" si="196"/>
        <v>583.45900000000006</v>
      </c>
      <c r="AO130" s="122">
        <f t="shared" si="196"/>
        <v>-367.25400000000036</v>
      </c>
      <c r="AP130" s="122">
        <f t="shared" ref="AP130:AR130" si="198">SUM(AP121:AP129)</f>
        <v>76.252000000000379</v>
      </c>
      <c r="AQ130" s="123">
        <f t="shared" si="198"/>
        <v>482.06700000000052</v>
      </c>
      <c r="AR130" s="86">
        <f t="shared" si="198"/>
        <v>774.52400000000193</v>
      </c>
      <c r="AS130" s="121">
        <f t="shared" ref="AS130:AT130" si="199">SUM(AS121:AS129)</f>
        <v>-291.13400000000001</v>
      </c>
      <c r="AT130" s="122">
        <f t="shared" si="199"/>
        <v>-152.43700000000058</v>
      </c>
      <c r="AU130" s="122">
        <f t="shared" ref="AU130:AW130" si="200">SUM(AU121:AU129)</f>
        <v>133.75399999999968</v>
      </c>
      <c r="AV130" s="123">
        <f t="shared" si="200"/>
        <v>-305.7819999999989</v>
      </c>
      <c r="AW130" s="86">
        <f t="shared" si="200"/>
        <v>-615.59900000000061</v>
      </c>
      <c r="AX130" s="121">
        <f t="shared" ref="AX130:BG130" si="201">SUM(AX121:AX129)</f>
        <v>-95.005313845675602</v>
      </c>
      <c r="AY130" s="122">
        <f t="shared" si="201"/>
        <v>-94.127715000779347</v>
      </c>
      <c r="AZ130" s="122">
        <f t="shared" si="201"/>
        <v>650.12559967957668</v>
      </c>
      <c r="BA130" s="123">
        <f t="shared" si="201"/>
        <v>-87.991647831373456</v>
      </c>
      <c r="BB130" s="86">
        <f t="shared" si="201"/>
        <v>373.00092300174822</v>
      </c>
      <c r="BC130" s="121">
        <f t="shared" si="201"/>
        <v>-137.49896774557158</v>
      </c>
      <c r="BD130" s="122">
        <f t="shared" si="201"/>
        <v>-137.01908801283352</v>
      </c>
      <c r="BE130" s="122">
        <f t="shared" si="201"/>
        <v>355.56652628135333</v>
      </c>
      <c r="BF130" s="123">
        <f t="shared" si="201"/>
        <v>-130.88344626631354</v>
      </c>
      <c r="BG130" s="86">
        <f t="shared" si="201"/>
        <v>-49.834975743365248</v>
      </c>
      <c r="BH130" s="121">
        <f t="shared" ref="BH130:BQ130" si="202">SUM(BH121:BH129)</f>
        <v>-1.0998998274721146</v>
      </c>
      <c r="BI130" s="122">
        <f t="shared" si="202"/>
        <v>-546.50042674381325</v>
      </c>
      <c r="BJ130" s="122">
        <f t="shared" si="202"/>
        <v>792.13529337625187</v>
      </c>
      <c r="BK130" s="123">
        <f t="shared" si="202"/>
        <v>9.4898369400428635</v>
      </c>
      <c r="BL130" s="86">
        <f t="shared" si="202"/>
        <v>254.02480374500942</v>
      </c>
      <c r="BM130" s="121">
        <f t="shared" si="202"/>
        <v>-398.89738120219295</v>
      </c>
      <c r="BN130" s="122">
        <f t="shared" si="202"/>
        <v>3.7959834174251625</v>
      </c>
      <c r="BO130" s="122">
        <f t="shared" si="202"/>
        <v>391.51570815116452</v>
      </c>
      <c r="BP130" s="123">
        <f t="shared" si="202"/>
        <v>11.132404441368266</v>
      </c>
      <c r="BQ130" s="86">
        <f t="shared" si="202"/>
        <v>7.5467148077649426</v>
      </c>
      <c r="BT130" s="525"/>
      <c r="BU130" s="525"/>
      <c r="BV130" s="525"/>
      <c r="BW130" s="525"/>
      <c r="BX130" s="525"/>
      <c r="BY130" s="525"/>
      <c r="BZ130" s="525"/>
      <c r="CA130" s="525"/>
      <c r="CP130" s="525"/>
    </row>
    <row r="131" spans="2:134" x14ac:dyDescent="0.2">
      <c r="E131" s="166"/>
      <c r="F131" s="167"/>
      <c r="G131" s="167"/>
      <c r="H131" s="168"/>
      <c r="J131" s="166"/>
      <c r="K131" s="167"/>
      <c r="L131" s="167"/>
      <c r="M131" s="168"/>
      <c r="O131" s="166"/>
      <c r="P131" s="167"/>
      <c r="Q131" s="167"/>
      <c r="R131" s="168"/>
      <c r="T131" s="166"/>
      <c r="U131" s="167"/>
      <c r="V131" s="167"/>
      <c r="W131" s="168"/>
      <c r="Y131" s="166"/>
      <c r="Z131" s="167"/>
      <c r="AA131" s="167"/>
      <c r="AB131" s="168"/>
      <c r="AD131" s="166"/>
      <c r="AE131" s="167"/>
      <c r="AF131" s="167"/>
      <c r="AG131" s="168"/>
      <c r="AI131" s="166"/>
      <c r="AJ131" s="167"/>
      <c r="AK131" s="167"/>
      <c r="AL131" s="168"/>
      <c r="AN131" s="166"/>
      <c r="AO131" s="167"/>
      <c r="AP131" s="167"/>
      <c r="AQ131" s="168"/>
      <c r="AS131" s="166"/>
      <c r="AT131" s="167"/>
      <c r="AU131" s="167"/>
      <c r="AV131" s="168"/>
      <c r="AX131" s="166"/>
      <c r="AY131" s="167"/>
      <c r="AZ131" s="167"/>
      <c r="BA131" s="168"/>
      <c r="BC131" s="166"/>
      <c r="BD131" s="167"/>
      <c r="BE131" s="167"/>
      <c r="BF131" s="168"/>
      <c r="BH131" s="166"/>
      <c r="BI131" s="167"/>
      <c r="BJ131" s="167"/>
      <c r="BK131" s="168"/>
      <c r="BM131" s="166"/>
      <c r="BN131" s="167"/>
      <c r="BO131" s="167"/>
      <c r="BP131" s="168"/>
      <c r="BT131" s="525"/>
      <c r="BU131" s="525"/>
      <c r="BV131" s="525"/>
      <c r="BW131" s="525"/>
      <c r="BX131" s="525"/>
      <c r="BY131" s="525"/>
      <c r="BZ131" s="525"/>
      <c r="CA131" s="525"/>
      <c r="CL131" s="525"/>
      <c r="CM131" s="525"/>
      <c r="CN131" s="525"/>
      <c r="CO131" s="525"/>
      <c r="CP131" s="525"/>
      <c r="CQ131" s="525"/>
      <c r="CR131" s="525"/>
      <c r="CS131" s="525"/>
    </row>
    <row r="132" spans="2:134" x14ac:dyDescent="0.2">
      <c r="E132" s="166"/>
      <c r="F132" s="167"/>
      <c r="G132" s="167"/>
      <c r="H132" s="168"/>
      <c r="J132" s="166"/>
      <c r="K132" s="167"/>
      <c r="L132" s="167"/>
      <c r="M132" s="168"/>
      <c r="O132" s="166"/>
      <c r="P132" s="167"/>
      <c r="Q132" s="167"/>
      <c r="R132" s="168"/>
      <c r="T132" s="166"/>
      <c r="U132" s="167"/>
      <c r="V132" s="167"/>
      <c r="W132" s="168"/>
      <c r="Y132" s="166"/>
      <c r="Z132" s="167"/>
      <c r="AA132" s="167"/>
      <c r="AB132" s="168"/>
      <c r="AD132" s="166"/>
      <c r="AE132" s="167"/>
      <c r="AF132" s="167"/>
      <c r="AG132" s="168"/>
      <c r="AI132" s="166"/>
      <c r="AJ132" s="167"/>
      <c r="AK132" s="167"/>
      <c r="AL132" s="168"/>
      <c r="AN132" s="166"/>
      <c r="AO132" s="167"/>
      <c r="AP132" s="167"/>
      <c r="AQ132" s="168"/>
      <c r="AS132" s="166"/>
      <c r="AT132" s="167"/>
      <c r="AU132" s="167"/>
      <c r="AV132" s="168"/>
      <c r="AX132" s="166"/>
      <c r="AY132" s="167"/>
      <c r="AZ132" s="167"/>
      <c r="BA132" s="168"/>
      <c r="BC132" s="166"/>
      <c r="BD132" s="167"/>
      <c r="BE132" s="167"/>
      <c r="BF132" s="168"/>
      <c r="BH132" s="166"/>
      <c r="BI132" s="167"/>
      <c r="BJ132" s="167"/>
      <c r="BK132" s="168"/>
      <c r="BM132" s="166"/>
      <c r="BN132" s="167"/>
      <c r="BO132" s="167"/>
      <c r="BP132" s="168"/>
      <c r="BT132" s="525"/>
      <c r="BU132" s="525"/>
      <c r="BV132" s="525"/>
      <c r="BW132" s="525"/>
      <c r="BX132" s="525"/>
      <c r="BY132" s="525"/>
      <c r="BZ132" s="525"/>
      <c r="CA132" s="525"/>
      <c r="CL132" s="7" t="s">
        <v>171</v>
      </c>
      <c r="CM132" s="7"/>
      <c r="CN132" s="7"/>
      <c r="CO132" s="7"/>
      <c r="CP132" s="573"/>
      <c r="CQ132" s="20"/>
      <c r="CR132" s="20"/>
      <c r="CS132" s="20"/>
      <c r="CT132" s="20"/>
      <c r="CU132" s="20"/>
      <c r="CV132" s="20"/>
      <c r="CW132" s="20"/>
      <c r="CX132" s="20"/>
    </row>
    <row r="133" spans="2:134" x14ac:dyDescent="0.2">
      <c r="B133" s="16" t="s">
        <v>172</v>
      </c>
      <c r="C133" s="16"/>
      <c r="D133" s="17"/>
      <c r="E133" s="212"/>
      <c r="F133" s="213"/>
      <c r="G133" s="213"/>
      <c r="H133" s="214"/>
      <c r="I133" s="795"/>
      <c r="J133" s="212"/>
      <c r="K133" s="213"/>
      <c r="L133" s="213"/>
      <c r="M133" s="214"/>
      <c r="N133" s="795"/>
      <c r="O133" s="212"/>
      <c r="P133" s="213"/>
      <c r="Q133" s="213"/>
      <c r="R133" s="214"/>
      <c r="S133" s="795"/>
      <c r="T133" s="212"/>
      <c r="U133" s="213"/>
      <c r="V133" s="213"/>
      <c r="W133" s="214"/>
      <c r="X133" s="795"/>
      <c r="Y133" s="212"/>
      <c r="Z133" s="213"/>
      <c r="AA133" s="213"/>
      <c r="AB133" s="214"/>
      <c r="AC133" s="795"/>
      <c r="AD133" s="212"/>
      <c r="AE133" s="213"/>
      <c r="AF133" s="213"/>
      <c r="AG133" s="214"/>
      <c r="AH133" s="795"/>
      <c r="AI133" s="212"/>
      <c r="AJ133" s="213"/>
      <c r="AK133" s="213"/>
      <c r="AL133" s="214"/>
      <c r="AN133" s="212"/>
      <c r="AO133" s="213"/>
      <c r="AP133" s="213"/>
      <c r="AQ133" s="214"/>
      <c r="AS133" s="212"/>
      <c r="AT133" s="213"/>
      <c r="AU133" s="213"/>
      <c r="AV133" s="214"/>
      <c r="AX133" s="212"/>
      <c r="AY133" s="213"/>
      <c r="AZ133" s="213"/>
      <c r="BA133" s="214"/>
      <c r="BC133" s="212"/>
      <c r="BD133" s="213"/>
      <c r="BE133" s="213"/>
      <c r="BF133" s="214"/>
      <c r="BH133" s="212"/>
      <c r="BI133" s="213"/>
      <c r="BJ133" s="213"/>
      <c r="BK133" s="214"/>
      <c r="BM133" s="212"/>
      <c r="BN133" s="213"/>
      <c r="BO133" s="213"/>
      <c r="BP133" s="214"/>
      <c r="BU133" s="525"/>
      <c r="BV133" s="525"/>
      <c r="BW133" s="525"/>
      <c r="BX133" s="562"/>
      <c r="BY133" s="525"/>
      <c r="BZ133" s="525"/>
      <c r="CA133" s="525"/>
      <c r="CL133" s="218" t="s">
        <v>101</v>
      </c>
      <c r="CM133" s="218" t="s">
        <v>102</v>
      </c>
      <c r="CN133" s="218" t="s">
        <v>103</v>
      </c>
      <c r="CO133" s="218" t="s">
        <v>104</v>
      </c>
      <c r="CP133" s="218" t="s">
        <v>173</v>
      </c>
      <c r="CQ133" s="218" t="s">
        <v>105</v>
      </c>
      <c r="CR133" s="218" t="s">
        <v>106</v>
      </c>
      <c r="CS133" s="218" t="s">
        <v>107</v>
      </c>
      <c r="CT133" s="218" t="s">
        <v>108</v>
      </c>
      <c r="CU133" s="218" t="s">
        <v>174</v>
      </c>
      <c r="CV133" s="218" t="s">
        <v>109</v>
      </c>
      <c r="CW133" s="218" t="s">
        <v>110</v>
      </c>
      <c r="CX133" s="218" t="s">
        <v>479</v>
      </c>
      <c r="CY133" s="218" t="s">
        <v>175</v>
      </c>
      <c r="CZ133" s="218" t="s">
        <v>176</v>
      </c>
      <c r="DA133" s="218" t="s">
        <v>508</v>
      </c>
      <c r="DB133" s="218" t="s">
        <v>509</v>
      </c>
      <c r="DC133" s="218" t="s">
        <v>510</v>
      </c>
      <c r="DD133" s="218" t="s">
        <v>522</v>
      </c>
      <c r="DE133" s="218" t="s">
        <v>525</v>
      </c>
      <c r="DF133" s="218" t="s">
        <v>524</v>
      </c>
      <c r="DG133" s="218" t="s">
        <v>527</v>
      </c>
      <c r="DH133" s="218" t="s">
        <v>528</v>
      </c>
      <c r="DI133" s="218" t="s">
        <v>537</v>
      </c>
      <c r="DJ133" s="218" t="s">
        <v>540</v>
      </c>
      <c r="DK133" s="218" t="s">
        <v>539</v>
      </c>
      <c r="DL133" s="218" t="s">
        <v>543</v>
      </c>
      <c r="DM133" s="218" t="s">
        <v>544</v>
      </c>
      <c r="DN133" s="218" t="s">
        <v>550</v>
      </c>
      <c r="DO133" s="218" t="s">
        <v>552</v>
      </c>
      <c r="DP133" s="218" t="s">
        <v>553</v>
      </c>
      <c r="DQ133" s="218" t="s">
        <v>554</v>
      </c>
      <c r="DR133" s="218" t="s">
        <v>569</v>
      </c>
      <c r="DS133" s="218" t="s">
        <v>570</v>
      </c>
      <c r="DT133" s="218" t="s">
        <v>573</v>
      </c>
      <c r="DU133" s="218" t="s">
        <v>574</v>
      </c>
      <c r="DV133" s="218" t="s">
        <v>589</v>
      </c>
      <c r="DW133" s="218" t="s">
        <v>597</v>
      </c>
      <c r="DX133" s="218" t="s">
        <v>605</v>
      </c>
      <c r="DY133" s="218" t="s">
        <v>606</v>
      </c>
      <c r="DZ133" s="218" t="s">
        <v>631</v>
      </c>
      <c r="EA133" s="218" t="s">
        <v>638</v>
      </c>
      <c r="EB133" s="218" t="s">
        <v>640</v>
      </c>
      <c r="EC133" s="218" t="s">
        <v>605</v>
      </c>
      <c r="ED133" s="218" t="s">
        <v>606</v>
      </c>
    </row>
    <row r="134" spans="2:134" x14ac:dyDescent="0.2">
      <c r="C134" s="70" t="s">
        <v>177</v>
      </c>
      <c r="D134" s="42"/>
      <c r="E134" s="136">
        <f t="shared" ref="E134:E139" si="203">+CL134</f>
        <v>174.06700000000001</v>
      </c>
      <c r="F134" s="135">
        <f>+CM134-CL134</f>
        <v>117.10699999999997</v>
      </c>
      <c r="G134" s="135">
        <f>+CN134-CM134</f>
        <v>220.82799999999997</v>
      </c>
      <c r="H134" s="116">
        <f t="shared" ref="H134:H139" si="204">+I134-CN134</f>
        <v>168.88499999999999</v>
      </c>
      <c r="I134" s="42">
        <f t="shared" ref="I134:I140" si="205">CP134</f>
        <v>680.88699999999994</v>
      </c>
      <c r="J134" s="120">
        <f t="shared" ref="J134:J139" si="206">+CQ134</f>
        <v>167.11799999999999</v>
      </c>
      <c r="K134" s="118">
        <f>+CR134-CQ134</f>
        <v>139.77600000000001</v>
      </c>
      <c r="L134" s="118">
        <f>+CS134-CR134</f>
        <v>312.30600000000004</v>
      </c>
      <c r="M134" s="119">
        <f t="shared" ref="M134:M139" si="207">+N134-CS134</f>
        <v>136.6339999999999</v>
      </c>
      <c r="N134" s="42">
        <f t="shared" ref="N134:N140" si="208">CU134</f>
        <v>755.83399999999995</v>
      </c>
      <c r="O134" s="136">
        <f t="shared" ref="O134:O139" si="209">+CV134</f>
        <v>203.56899999999999</v>
      </c>
      <c r="P134" s="135">
        <f t="shared" ref="P134:Q139" si="210">+CW134-CV134</f>
        <v>158.76200000000003</v>
      </c>
      <c r="Q134" s="118">
        <f t="shared" si="210"/>
        <v>338.33199999999999</v>
      </c>
      <c r="R134" s="119">
        <f t="shared" ref="R134:R139" si="211">+S134-CX134</f>
        <v>140.50900000000001</v>
      </c>
      <c r="S134" s="42">
        <f t="shared" ref="S134:S140" si="212">CZ134</f>
        <v>841.17200000000003</v>
      </c>
      <c r="T134" s="136">
        <f t="shared" ref="T134:T139" si="213">+DA134</f>
        <v>183.893</v>
      </c>
      <c r="U134" s="135">
        <f t="shared" ref="U134:U139" si="214">+DB134-DA134</f>
        <v>183.05999999999997</v>
      </c>
      <c r="V134" s="118">
        <f t="shared" ref="V134:V139" si="215">+DC134-DB134</f>
        <v>398.10599999999999</v>
      </c>
      <c r="W134" s="119">
        <f t="shared" ref="W134:W139" si="216">+X134-DC134</f>
        <v>140.17000000000007</v>
      </c>
      <c r="X134" s="42">
        <f t="shared" ref="X134:X140" si="217">DE134</f>
        <v>905.22900000000004</v>
      </c>
      <c r="Y134" s="136">
        <f t="shared" ref="Y134:Y139" si="218">+DF134</f>
        <v>236.57</v>
      </c>
      <c r="Z134" s="135">
        <f t="shared" ref="Z134:AA139" si="219">+DG134-DF134</f>
        <v>196.85700000000003</v>
      </c>
      <c r="AA134" s="118">
        <f t="shared" si="219"/>
        <v>364.75199999999995</v>
      </c>
      <c r="AB134" s="119">
        <f t="shared" ref="AB134:AB139" si="220">+AC134-DH134</f>
        <v>150.05500000000006</v>
      </c>
      <c r="AC134" s="42">
        <f t="shared" ref="AC134:AC140" si="221">DJ134</f>
        <v>948.23400000000004</v>
      </c>
      <c r="AD134" s="136">
        <f t="shared" ref="AD134:AD139" si="222">+DK134</f>
        <v>261.221</v>
      </c>
      <c r="AE134" s="135">
        <f t="shared" ref="AE134:AF139" si="223">+DL134-DK134</f>
        <v>195.16399999999999</v>
      </c>
      <c r="AF134" s="118">
        <f t="shared" si="223"/>
        <v>368.58199999999999</v>
      </c>
      <c r="AG134" s="119">
        <f t="shared" ref="AG134:AG139" si="224">+AH134-DM134</f>
        <v>196.33900000000006</v>
      </c>
      <c r="AH134" s="42">
        <f t="shared" ref="AH134:AH140" si="225">DO134</f>
        <v>1021.306</v>
      </c>
      <c r="AI134" s="136">
        <f t="shared" ref="AI134:AI139" si="226">+DP134</f>
        <v>152.066</v>
      </c>
      <c r="AJ134" s="135">
        <f t="shared" ref="AJ134:AK139" si="227">+DQ134-DP134</f>
        <v>196.93100000000001</v>
      </c>
      <c r="AK134" s="118">
        <f t="shared" si="227"/>
        <v>426.46300000000002</v>
      </c>
      <c r="AL134" s="119">
        <f t="shared" ref="AL134:AL139" si="228">+AM134-DR134</f>
        <v>209.02499999999998</v>
      </c>
      <c r="AM134" s="42">
        <f t="shared" ref="AM134:AM140" si="229">DT134</f>
        <v>984.48500000000001</v>
      </c>
      <c r="AN134" s="136">
        <f t="shared" ref="AN134:AN139" si="230">+DU134</f>
        <v>241.31200000000001</v>
      </c>
      <c r="AO134" s="135">
        <f t="shared" ref="AO134:AP139" si="231">+DV134-DU134</f>
        <v>196.79500000000002</v>
      </c>
      <c r="AP134" s="118">
        <f t="shared" si="231"/>
        <v>457.79500000000002</v>
      </c>
      <c r="AQ134" s="119">
        <f t="shared" ref="AQ134:AQ139" si="232">+AR134-DW134</f>
        <v>227.47699999999986</v>
      </c>
      <c r="AR134" s="42">
        <f t="shared" ref="AR134:AR140" si="233">DY134</f>
        <v>1123.3789999999999</v>
      </c>
      <c r="AS134" s="136">
        <f t="shared" ref="AS134:AS139" si="234">+DZ134</f>
        <v>239.27699999999999</v>
      </c>
      <c r="AT134" s="135">
        <f t="shared" ref="AT134:AT139" si="235">+EA134-DZ134</f>
        <v>227.25600000000003</v>
      </c>
      <c r="AU134" s="118">
        <f t="shared" ref="AU134:AU139" si="236">+EB134-EA134</f>
        <v>492.14099999999996</v>
      </c>
      <c r="AV134" s="119">
        <f t="shared" ref="AV134:AV139" si="237">+AW134-EB134</f>
        <v>189.32600000000002</v>
      </c>
      <c r="AW134" s="42">
        <f t="shared" ref="AW134:AW140" si="238">ED134</f>
        <v>1148</v>
      </c>
      <c r="AX134" s="120">
        <f>+AX54</f>
        <v>289.90324345233449</v>
      </c>
      <c r="AY134" s="118">
        <f>+AY54</f>
        <v>246.89502735299899</v>
      </c>
      <c r="AZ134" s="118">
        <f>+AZ54</f>
        <v>470.46091421792903</v>
      </c>
      <c r="BA134" s="119">
        <f>+BA54</f>
        <v>228.62143948893262</v>
      </c>
      <c r="BB134" s="42">
        <f t="shared" ref="BB134:BB139" si="239">SUM(AX134:BA134)</f>
        <v>1235.880624512195</v>
      </c>
      <c r="BC134" s="120">
        <f>+BC54</f>
        <v>320.30809364754623</v>
      </c>
      <c r="BD134" s="118">
        <f>+BD54</f>
        <v>267.59850232252086</v>
      </c>
      <c r="BE134" s="118">
        <f>+BE54</f>
        <v>498.52775238006382</v>
      </c>
      <c r="BF134" s="119">
        <f>+BF54</f>
        <v>248.27416969338992</v>
      </c>
      <c r="BG134" s="42">
        <f t="shared" ref="BG134:BG139" si="240">SUM(BC134:BF134)</f>
        <v>1334.7085180435208</v>
      </c>
      <c r="BH134" s="120">
        <f>+BH54</f>
        <v>335.47713140968006</v>
      </c>
      <c r="BI134" s="118">
        <f>+BI54</f>
        <v>278.44737526538404</v>
      </c>
      <c r="BJ134" s="118">
        <f>+BJ54</f>
        <v>515.55715140498194</v>
      </c>
      <c r="BK134" s="119">
        <f>+BK54</f>
        <v>266.03120222512632</v>
      </c>
      <c r="BL134" s="42">
        <f t="shared" ref="BL134:BL139" si="241">SUM(BH134:BK134)</f>
        <v>1395.5128603051726</v>
      </c>
      <c r="BM134" s="120">
        <f>+BM54</f>
        <v>358.28461113398521</v>
      </c>
      <c r="BN134" s="118">
        <f>+BN54</f>
        <v>300.30980882932045</v>
      </c>
      <c r="BO134" s="118">
        <f>+BO54</f>
        <v>543.29163034640078</v>
      </c>
      <c r="BP134" s="119">
        <f>+BP54</f>
        <v>290.53393389116775</v>
      </c>
      <c r="BQ134" s="42">
        <f t="shared" ref="BQ134:BQ139" si="242">SUM(BM134:BP134)</f>
        <v>1492.4199842008743</v>
      </c>
      <c r="BT134" s="640"/>
      <c r="BU134" s="525"/>
      <c r="BV134" s="525"/>
      <c r="BW134" s="575"/>
      <c r="BX134" s="575"/>
      <c r="BY134" s="525"/>
      <c r="BZ134" s="525"/>
      <c r="CA134" s="525"/>
      <c r="CL134" s="117">
        <v>174.06700000000001</v>
      </c>
      <c r="CM134" s="117">
        <v>291.17399999999998</v>
      </c>
      <c r="CN134" s="117">
        <v>512.00199999999995</v>
      </c>
      <c r="CO134" s="82">
        <f t="shared" ref="CO134:CO139" si="243">CP134-CN134</f>
        <v>168.88499999999999</v>
      </c>
      <c r="CP134" s="117">
        <v>680.88699999999994</v>
      </c>
      <c r="CQ134" s="117">
        <v>167.11799999999999</v>
      </c>
      <c r="CR134" s="117">
        <v>306.89400000000001</v>
      </c>
      <c r="CS134" s="117">
        <v>619.20000000000005</v>
      </c>
      <c r="CT134" s="82">
        <f t="shared" ref="CT134:CT139" si="244">CU134-CS134</f>
        <v>136.6339999999999</v>
      </c>
      <c r="CU134" s="117">
        <v>755.83399999999995</v>
      </c>
      <c r="CV134" s="117">
        <v>203.56899999999999</v>
      </c>
      <c r="CW134" s="117">
        <v>362.33100000000002</v>
      </c>
      <c r="CX134" s="117">
        <v>700.66300000000001</v>
      </c>
      <c r="CY134" s="82">
        <f t="shared" ref="CY134:CY139" si="245">CZ134-CX134</f>
        <v>140.50900000000001</v>
      </c>
      <c r="CZ134" s="117">
        <v>841.17200000000003</v>
      </c>
      <c r="DA134" s="117">
        <v>183.893</v>
      </c>
      <c r="DB134" s="117">
        <v>366.95299999999997</v>
      </c>
      <c r="DC134" s="117">
        <v>765.05899999999997</v>
      </c>
      <c r="DD134" s="82">
        <f t="shared" ref="DD134:DD139" si="246">DE134-DC134</f>
        <v>140.17000000000007</v>
      </c>
      <c r="DE134" s="117">
        <v>905.22900000000004</v>
      </c>
      <c r="DF134" s="117">
        <v>236.57</v>
      </c>
      <c r="DG134" s="117">
        <v>433.42700000000002</v>
      </c>
      <c r="DH134" s="117">
        <v>798.17899999999997</v>
      </c>
      <c r="DI134" s="82">
        <f t="shared" ref="DI134:DI139" si="247">DJ134-DH134</f>
        <v>150.05500000000006</v>
      </c>
      <c r="DJ134" s="117">
        <v>948.23400000000004</v>
      </c>
      <c r="DK134" s="117">
        <v>261.221</v>
      </c>
      <c r="DL134" s="117">
        <v>456.38499999999999</v>
      </c>
      <c r="DM134" s="117">
        <v>824.96699999999998</v>
      </c>
      <c r="DN134" s="82">
        <f t="shared" ref="DN134:DN139" si="248">DO134-DM134</f>
        <v>196.33900000000006</v>
      </c>
      <c r="DO134" s="117">
        <v>1021.306</v>
      </c>
      <c r="DP134" s="117">
        <v>152.066</v>
      </c>
      <c r="DQ134" s="117">
        <v>348.99700000000001</v>
      </c>
      <c r="DR134" s="117">
        <v>775.46</v>
      </c>
      <c r="DS134" s="82">
        <f t="shared" ref="DS134:DS139" si="249">DT134-DR134</f>
        <v>209.02499999999998</v>
      </c>
      <c r="DT134" s="117">
        <v>984.48500000000001</v>
      </c>
      <c r="DU134" s="117">
        <v>241.31200000000001</v>
      </c>
      <c r="DV134" s="117">
        <v>438.10700000000003</v>
      </c>
      <c r="DW134" s="117">
        <v>895.90200000000004</v>
      </c>
      <c r="DX134" s="82">
        <f t="shared" ref="DX134:DX139" si="250">DY134-DW134</f>
        <v>227.47699999999986</v>
      </c>
      <c r="DY134" s="117">
        <v>1123.3789999999999</v>
      </c>
      <c r="DZ134" s="117">
        <v>239.27699999999999</v>
      </c>
      <c r="EA134" s="117">
        <v>466.53300000000002</v>
      </c>
      <c r="EB134" s="117">
        <v>958.67399999999998</v>
      </c>
      <c r="EC134" s="82">
        <f t="shared" ref="EC134:EC139" si="251">ED134-EB134</f>
        <v>189.32600000000002</v>
      </c>
      <c r="ED134" s="117">
        <v>1148</v>
      </c>
    </row>
    <row r="135" spans="2:134" x14ac:dyDescent="0.2">
      <c r="C135" s="70" t="s">
        <v>178</v>
      </c>
      <c r="D135" s="42"/>
      <c r="E135" s="136">
        <f t="shared" si="203"/>
        <v>213.102</v>
      </c>
      <c r="F135" s="135">
        <f>+CM135-CL135</f>
        <v>206.739</v>
      </c>
      <c r="G135" s="135">
        <f>+CN135-CM135</f>
        <v>202.72199999999998</v>
      </c>
      <c r="H135" s="116">
        <f t="shared" si="204"/>
        <v>213.03399999999999</v>
      </c>
      <c r="I135" s="42">
        <f t="shared" si="205"/>
        <v>835.59699999999998</v>
      </c>
      <c r="J135" s="120">
        <f t="shared" si="206"/>
        <v>210.48099999999999</v>
      </c>
      <c r="K135" s="118">
        <f>+CR135-CQ135</f>
        <v>211.339</v>
      </c>
      <c r="L135" s="118">
        <f>+CS135-CR135</f>
        <v>226.26900000000006</v>
      </c>
      <c r="M135" s="119">
        <f t="shared" si="207"/>
        <v>224.09699999999998</v>
      </c>
      <c r="N135" s="42">
        <f t="shared" si="208"/>
        <v>872.18600000000004</v>
      </c>
      <c r="O135" s="136">
        <f t="shared" si="209"/>
        <v>229.21700000000001</v>
      </c>
      <c r="P135" s="135">
        <f t="shared" si="210"/>
        <v>233.79599999999996</v>
      </c>
      <c r="Q135" s="118">
        <f t="shared" si="210"/>
        <v>246.92300000000006</v>
      </c>
      <c r="R135" s="119">
        <f t="shared" si="211"/>
        <v>198.91699999999992</v>
      </c>
      <c r="S135" s="42">
        <f t="shared" si="212"/>
        <v>908.85299999999995</v>
      </c>
      <c r="T135" s="136">
        <f t="shared" si="213"/>
        <v>233.09700000000001</v>
      </c>
      <c r="U135" s="135">
        <f t="shared" si="214"/>
        <v>231.02</v>
      </c>
      <c r="V135" s="118">
        <f t="shared" si="215"/>
        <v>243.51299999999998</v>
      </c>
      <c r="W135" s="119">
        <f t="shared" si="216"/>
        <v>236.072</v>
      </c>
      <c r="X135" s="42">
        <f t="shared" si="217"/>
        <v>943.702</v>
      </c>
      <c r="Y135" s="136">
        <f t="shared" si="218"/>
        <v>253.00399999999999</v>
      </c>
      <c r="Z135" s="135">
        <f t="shared" si="219"/>
        <v>254.65400000000002</v>
      </c>
      <c r="AA135" s="118">
        <f t="shared" si="219"/>
        <v>232.96500000000003</v>
      </c>
      <c r="AB135" s="119">
        <f t="shared" si="220"/>
        <v>261.21999999999991</v>
      </c>
      <c r="AC135" s="42">
        <f t="shared" si="221"/>
        <v>1001.843</v>
      </c>
      <c r="AD135" s="136">
        <f t="shared" si="222"/>
        <v>250.34299999999999</v>
      </c>
      <c r="AE135" s="135">
        <f t="shared" si="223"/>
        <v>259.57100000000003</v>
      </c>
      <c r="AF135" s="118">
        <f t="shared" si="223"/>
        <v>259.79200000000003</v>
      </c>
      <c r="AG135" s="119">
        <f t="shared" si="224"/>
        <v>266.80900000000008</v>
      </c>
      <c r="AH135" s="42">
        <f t="shared" si="225"/>
        <v>1036.5150000000001</v>
      </c>
      <c r="AI135" s="136">
        <f t="shared" si="226"/>
        <v>277.38799999999998</v>
      </c>
      <c r="AJ135" s="135">
        <f t="shared" si="227"/>
        <v>279.03199999999998</v>
      </c>
      <c r="AK135" s="118">
        <f t="shared" si="227"/>
        <v>284.94000000000005</v>
      </c>
      <c r="AL135" s="119">
        <f t="shared" si="228"/>
        <v>301.60599999999988</v>
      </c>
      <c r="AM135" s="42">
        <f t="shared" si="229"/>
        <v>1142.9659999999999</v>
      </c>
      <c r="AN135" s="136">
        <f t="shared" si="230"/>
        <v>323.76100000000002</v>
      </c>
      <c r="AO135" s="135">
        <f t="shared" si="231"/>
        <v>326.57499999999999</v>
      </c>
      <c r="AP135" s="118">
        <f t="shared" si="231"/>
        <v>332.346</v>
      </c>
      <c r="AQ135" s="119">
        <f t="shared" si="232"/>
        <v>336.06999999999994</v>
      </c>
      <c r="AR135" s="42">
        <f t="shared" si="233"/>
        <v>1318.752</v>
      </c>
      <c r="AS135" s="136">
        <f t="shared" si="234"/>
        <v>368.88</v>
      </c>
      <c r="AT135" s="135">
        <f t="shared" si="235"/>
        <v>369.4</v>
      </c>
      <c r="AU135" s="118">
        <f t="shared" si="236"/>
        <v>375.13799999999992</v>
      </c>
      <c r="AV135" s="119">
        <f t="shared" si="237"/>
        <v>381.58200000000011</v>
      </c>
      <c r="AW135" s="42">
        <f t="shared" si="238"/>
        <v>1495</v>
      </c>
      <c r="AX135" s="120">
        <f>+AX21+(AS135-AS21)</f>
        <v>401.28124896757947</v>
      </c>
      <c r="AY135" s="118">
        <f>+AY21+(AT135-AT21)</f>
        <v>401.3723470163709</v>
      </c>
      <c r="AZ135" s="118">
        <f>+AZ21+(AU135-AU21)</f>
        <v>408.41276345740573</v>
      </c>
      <c r="BA135" s="119">
        <f>+BA21+(AV135-AV21)</f>
        <v>415.0957573571917</v>
      </c>
      <c r="BB135" s="42">
        <f t="shared" si="239"/>
        <v>1626.1621167985477</v>
      </c>
      <c r="BC135" s="120">
        <f>+BC21+(AX135-AX21)</f>
        <v>414.23936309377484</v>
      </c>
      <c r="BD135" s="118">
        <f>+BD21+(AY135-AY21)</f>
        <v>422.26882381149505</v>
      </c>
      <c r="BE135" s="118">
        <f>+BE21+(AZ135-AZ21)</f>
        <v>430.96863695338754</v>
      </c>
      <c r="BF135" s="119">
        <f>+BF21+(BA135-BA21)</f>
        <v>439.28602246247215</v>
      </c>
      <c r="BG135" s="42">
        <f t="shared" si="240"/>
        <v>1706.7628463211297</v>
      </c>
      <c r="BH135" s="120">
        <f>+BH21+(BC135-BC21)</f>
        <v>444.4722872138546</v>
      </c>
      <c r="BI135" s="118">
        <f>+BI21+(BD135-BD21)</f>
        <v>456.29490236444713</v>
      </c>
      <c r="BJ135" s="118">
        <f>+BJ21+(BE135-BE21)</f>
        <v>461.41020818580859</v>
      </c>
      <c r="BK135" s="119">
        <f>+BK21+(BF135-BF21)</f>
        <v>466.19110443766078</v>
      </c>
      <c r="BL135" s="42">
        <f t="shared" si="241"/>
        <v>1828.3685022017712</v>
      </c>
      <c r="BM135" s="120">
        <f>+BM21+(BH135-BH21)</f>
        <v>469.90660298260656</v>
      </c>
      <c r="BN135" s="118">
        <f>+BN21+(BI135-BI21)</f>
        <v>473.99776173756663</v>
      </c>
      <c r="BO135" s="118">
        <f>+BO21+(BJ135-BJ21)</f>
        <v>479.38548165970349</v>
      </c>
      <c r="BP135" s="119">
        <f>+BP21+(BK135-BK21)</f>
        <v>484.43430554117469</v>
      </c>
      <c r="BQ135" s="42">
        <f t="shared" si="242"/>
        <v>1907.7241519210511</v>
      </c>
      <c r="BT135" s="640"/>
      <c r="BU135" s="525"/>
      <c r="BV135" s="525"/>
      <c r="BW135" s="575"/>
      <c r="BX135" s="575"/>
      <c r="BY135" s="525"/>
      <c r="BZ135" s="525"/>
      <c r="CA135" s="525"/>
      <c r="CL135" s="117">
        <v>213.102</v>
      </c>
      <c r="CM135" s="117">
        <v>419.84100000000001</v>
      </c>
      <c r="CN135" s="117">
        <v>622.56299999999999</v>
      </c>
      <c r="CO135" s="82">
        <f t="shared" si="243"/>
        <v>213.03399999999999</v>
      </c>
      <c r="CP135" s="117">
        <v>835.59699999999998</v>
      </c>
      <c r="CQ135" s="117">
        <v>210.48099999999999</v>
      </c>
      <c r="CR135" s="117">
        <v>421.82</v>
      </c>
      <c r="CS135" s="117">
        <v>648.08900000000006</v>
      </c>
      <c r="CT135" s="82">
        <f t="shared" si="244"/>
        <v>224.09699999999998</v>
      </c>
      <c r="CU135" s="117">
        <v>872.18600000000004</v>
      </c>
      <c r="CV135" s="117">
        <v>229.21700000000001</v>
      </c>
      <c r="CW135" s="117">
        <v>463.01299999999998</v>
      </c>
      <c r="CX135" s="117">
        <v>709.93600000000004</v>
      </c>
      <c r="CY135" s="82">
        <f t="shared" si="245"/>
        <v>198.91699999999992</v>
      </c>
      <c r="CZ135" s="117">
        <v>908.85299999999995</v>
      </c>
      <c r="DA135" s="117">
        <v>233.09700000000001</v>
      </c>
      <c r="DB135" s="117">
        <v>464.11700000000002</v>
      </c>
      <c r="DC135" s="117">
        <v>707.63</v>
      </c>
      <c r="DD135" s="82">
        <f t="shared" si="246"/>
        <v>236.072</v>
      </c>
      <c r="DE135" s="117">
        <v>943.702</v>
      </c>
      <c r="DF135" s="117">
        <v>253.00399999999999</v>
      </c>
      <c r="DG135" s="117">
        <v>507.65800000000002</v>
      </c>
      <c r="DH135" s="117">
        <v>740.62300000000005</v>
      </c>
      <c r="DI135" s="82">
        <f t="shared" si="247"/>
        <v>261.21999999999991</v>
      </c>
      <c r="DJ135" s="117">
        <v>1001.843</v>
      </c>
      <c r="DK135" s="117">
        <v>250.34299999999999</v>
      </c>
      <c r="DL135" s="117">
        <v>509.91399999999999</v>
      </c>
      <c r="DM135" s="117">
        <v>769.70600000000002</v>
      </c>
      <c r="DN135" s="82">
        <f t="shared" si="248"/>
        <v>266.80900000000008</v>
      </c>
      <c r="DO135" s="117">
        <v>1036.5150000000001</v>
      </c>
      <c r="DP135" s="117">
        <v>277.38799999999998</v>
      </c>
      <c r="DQ135" s="117">
        <v>556.41999999999996</v>
      </c>
      <c r="DR135" s="117">
        <v>841.36</v>
      </c>
      <c r="DS135" s="82">
        <f t="shared" si="249"/>
        <v>301.60599999999988</v>
      </c>
      <c r="DT135" s="117">
        <v>1142.9659999999999</v>
      </c>
      <c r="DU135" s="117">
        <v>323.76100000000002</v>
      </c>
      <c r="DV135" s="117">
        <v>650.33600000000001</v>
      </c>
      <c r="DW135" s="117">
        <v>982.68200000000002</v>
      </c>
      <c r="DX135" s="82">
        <f t="shared" si="250"/>
        <v>336.06999999999994</v>
      </c>
      <c r="DY135" s="117">
        <v>1318.752</v>
      </c>
      <c r="DZ135" s="117">
        <v>368.88</v>
      </c>
      <c r="EA135" s="117">
        <v>738.28</v>
      </c>
      <c r="EB135" s="117">
        <v>1113.4179999999999</v>
      </c>
      <c r="EC135" s="82">
        <f t="shared" si="251"/>
        <v>381.58200000000011</v>
      </c>
      <c r="ED135" s="117">
        <v>1495</v>
      </c>
    </row>
    <row r="136" spans="2:134" x14ac:dyDescent="0.2">
      <c r="C136" s="70" t="s">
        <v>179</v>
      </c>
      <c r="D136" s="42"/>
      <c r="E136" s="136">
        <f t="shared" si="203"/>
        <v>-18.227</v>
      </c>
      <c r="F136" s="135">
        <f t="shared" ref="F136:G139" si="252">+CM136-CL136</f>
        <v>-18.720000000000002</v>
      </c>
      <c r="G136" s="135">
        <f t="shared" si="252"/>
        <v>-18.617999999999995</v>
      </c>
      <c r="H136" s="116">
        <f t="shared" si="204"/>
        <v>-20.121000000000009</v>
      </c>
      <c r="I136" s="42">
        <f t="shared" si="205"/>
        <v>-75.686000000000007</v>
      </c>
      <c r="J136" s="120">
        <f t="shared" si="206"/>
        <v>-13.29</v>
      </c>
      <c r="K136" s="118">
        <f t="shared" ref="K136:L139" si="253">+CR136-CQ136</f>
        <v>-12.996000000000002</v>
      </c>
      <c r="L136" s="118">
        <f t="shared" si="253"/>
        <v>-13.463999999999999</v>
      </c>
      <c r="M136" s="119">
        <f t="shared" si="207"/>
        <v>-16.402000000000001</v>
      </c>
      <c r="N136" s="42">
        <f t="shared" si="208"/>
        <v>-56.152000000000001</v>
      </c>
      <c r="O136" s="136">
        <f t="shared" si="209"/>
        <v>-13.244</v>
      </c>
      <c r="P136" s="135">
        <f t="shared" si="210"/>
        <v>-13.606000000000002</v>
      </c>
      <c r="Q136" s="118">
        <f t="shared" si="210"/>
        <v>-11.839999999999996</v>
      </c>
      <c r="R136" s="119">
        <f t="shared" si="211"/>
        <v>-12.533000000000001</v>
      </c>
      <c r="S136" s="42">
        <f t="shared" si="212"/>
        <v>-51.222999999999999</v>
      </c>
      <c r="T136" s="136">
        <f t="shared" si="213"/>
        <v>-13.45</v>
      </c>
      <c r="U136" s="135">
        <f t="shared" si="214"/>
        <v>-15.193999999999999</v>
      </c>
      <c r="V136" s="118">
        <f t="shared" si="215"/>
        <v>-15.86</v>
      </c>
      <c r="W136" s="119">
        <f t="shared" si="216"/>
        <v>-18.336000000000006</v>
      </c>
      <c r="X136" s="42">
        <f t="shared" si="217"/>
        <v>-62.84</v>
      </c>
      <c r="Y136" s="136">
        <f t="shared" si="218"/>
        <v>-19.754000000000001</v>
      </c>
      <c r="Z136" s="135">
        <f t="shared" si="219"/>
        <v>-22.108999999999998</v>
      </c>
      <c r="AA136" s="118">
        <f t="shared" si="219"/>
        <v>-21.283999999999999</v>
      </c>
      <c r="AB136" s="119">
        <f t="shared" si="220"/>
        <v>-24.536000000000008</v>
      </c>
      <c r="AC136" s="42">
        <f t="shared" si="221"/>
        <v>-87.683000000000007</v>
      </c>
      <c r="AD136" s="136">
        <f t="shared" si="222"/>
        <v>-21.907</v>
      </c>
      <c r="AE136" s="135">
        <f t="shared" si="223"/>
        <v>-23.608000000000001</v>
      </c>
      <c r="AF136" s="118">
        <f t="shared" si="223"/>
        <v>-23.337000000000003</v>
      </c>
      <c r="AG136" s="119">
        <f t="shared" si="224"/>
        <v>-20.897999999999996</v>
      </c>
      <c r="AH136" s="42">
        <f t="shared" si="225"/>
        <v>-89.75</v>
      </c>
      <c r="AI136" s="136">
        <f t="shared" si="226"/>
        <v>-12.66</v>
      </c>
      <c r="AJ136" s="135">
        <f t="shared" si="227"/>
        <v>-12.640999999999998</v>
      </c>
      <c r="AK136" s="118">
        <f t="shared" si="227"/>
        <v>-15.427000000000003</v>
      </c>
      <c r="AL136" s="119">
        <f t="shared" si="228"/>
        <v>-15.207999999999998</v>
      </c>
      <c r="AM136" s="42">
        <f t="shared" si="229"/>
        <v>-55.936</v>
      </c>
      <c r="AN136" s="136">
        <f t="shared" si="230"/>
        <v>-13.113</v>
      </c>
      <c r="AO136" s="135">
        <f t="shared" si="231"/>
        <v>-14.73</v>
      </c>
      <c r="AP136" s="118">
        <f t="shared" si="231"/>
        <v>-17.199000000000002</v>
      </c>
      <c r="AQ136" s="119">
        <f t="shared" si="232"/>
        <v>-15.504999999999995</v>
      </c>
      <c r="AR136" s="42">
        <f t="shared" si="233"/>
        <v>-60.546999999999997</v>
      </c>
      <c r="AS136" s="136">
        <f t="shared" si="234"/>
        <v>-14.313000000000001</v>
      </c>
      <c r="AT136" s="135">
        <f t="shared" si="235"/>
        <v>-16.386000000000003</v>
      </c>
      <c r="AU136" s="118">
        <f t="shared" si="236"/>
        <v>-23.483000000000001</v>
      </c>
      <c r="AV136" s="119">
        <f t="shared" si="237"/>
        <v>-20.817999999999998</v>
      </c>
      <c r="AW136" s="42">
        <f t="shared" si="238"/>
        <v>-75</v>
      </c>
      <c r="AX136" s="120">
        <f>-AX34</f>
        <v>-25.686122688179353</v>
      </c>
      <c r="AY136" s="118">
        <f>-AY34</f>
        <v>-25.686122688179353</v>
      </c>
      <c r="AZ136" s="118">
        <f>-AZ34</f>
        <v>-25.686122688179353</v>
      </c>
      <c r="BA136" s="119">
        <f>-BA34</f>
        <v>-25.686122688179353</v>
      </c>
      <c r="BB136" s="42">
        <f t="shared" si="239"/>
        <v>-102.74449075271741</v>
      </c>
      <c r="BC136" s="120">
        <f>-BC34</f>
        <v>-26.026689572360361</v>
      </c>
      <c r="BD136" s="118">
        <f>-BD34</f>
        <v>-26.026689572360361</v>
      </c>
      <c r="BE136" s="118">
        <f>-BE34</f>
        <v>-26.026689572360361</v>
      </c>
      <c r="BF136" s="119">
        <f>-BF34</f>
        <v>-26.026689572360361</v>
      </c>
      <c r="BG136" s="42">
        <f t="shared" si="240"/>
        <v>-104.10675828944144</v>
      </c>
      <c r="BH136" s="120">
        <f>-BH34</f>
        <v>-20.466276290910983</v>
      </c>
      <c r="BI136" s="118">
        <f>-BI34</f>
        <v>-20.466276290910983</v>
      </c>
      <c r="BJ136" s="118">
        <f>-BJ34</f>
        <v>-20.466276290910983</v>
      </c>
      <c r="BK136" s="119">
        <f>-BK34</f>
        <v>-20.466276290910983</v>
      </c>
      <c r="BL136" s="42">
        <f t="shared" si="241"/>
        <v>-81.865105163643932</v>
      </c>
      <c r="BM136" s="120">
        <f>-BM34</f>
        <v>-21.767830040396156</v>
      </c>
      <c r="BN136" s="118">
        <f>-BN34</f>
        <v>-21.767830040396156</v>
      </c>
      <c r="BO136" s="118">
        <f>-BO34</f>
        <v>-21.767830040396156</v>
      </c>
      <c r="BP136" s="119">
        <f>-BP34</f>
        <v>-21.767830040396156</v>
      </c>
      <c r="BQ136" s="42">
        <f t="shared" si="242"/>
        <v>-87.071320161584623</v>
      </c>
      <c r="BT136" s="525"/>
      <c r="BU136" s="525"/>
      <c r="BV136" s="525"/>
      <c r="BW136" s="575"/>
      <c r="BX136" s="575"/>
      <c r="BY136" s="575"/>
      <c r="BZ136" s="525"/>
      <c r="CA136" s="525"/>
      <c r="CL136" s="117">
        <v>-18.227</v>
      </c>
      <c r="CM136" s="117">
        <v>-36.947000000000003</v>
      </c>
      <c r="CN136" s="117">
        <v>-55.564999999999998</v>
      </c>
      <c r="CO136" s="82">
        <f t="shared" si="243"/>
        <v>-20.121000000000009</v>
      </c>
      <c r="CP136" s="117">
        <v>-75.686000000000007</v>
      </c>
      <c r="CQ136" s="117">
        <v>-13.29</v>
      </c>
      <c r="CR136" s="117">
        <v>-26.286000000000001</v>
      </c>
      <c r="CS136" s="117">
        <v>-39.75</v>
      </c>
      <c r="CT136" s="82">
        <f t="shared" si="244"/>
        <v>-16.402000000000001</v>
      </c>
      <c r="CU136" s="117">
        <v>-56.152000000000001</v>
      </c>
      <c r="CV136" s="117">
        <v>-13.244</v>
      </c>
      <c r="CW136" s="117">
        <v>-26.85</v>
      </c>
      <c r="CX136" s="117">
        <v>-38.69</v>
      </c>
      <c r="CY136" s="82">
        <f t="shared" si="245"/>
        <v>-12.533000000000001</v>
      </c>
      <c r="CZ136" s="117">
        <v>-51.222999999999999</v>
      </c>
      <c r="DA136" s="117">
        <v>-13.45</v>
      </c>
      <c r="DB136" s="117">
        <v>-28.643999999999998</v>
      </c>
      <c r="DC136" s="117">
        <v>-44.503999999999998</v>
      </c>
      <c r="DD136" s="82">
        <f t="shared" si="246"/>
        <v>-18.336000000000006</v>
      </c>
      <c r="DE136" s="117">
        <v>-62.84</v>
      </c>
      <c r="DF136" s="117">
        <v>-19.754000000000001</v>
      </c>
      <c r="DG136" s="117">
        <v>-41.863</v>
      </c>
      <c r="DH136" s="117">
        <v>-63.146999999999998</v>
      </c>
      <c r="DI136" s="82">
        <f t="shared" si="247"/>
        <v>-24.536000000000008</v>
      </c>
      <c r="DJ136" s="117">
        <v>-87.683000000000007</v>
      </c>
      <c r="DK136" s="117">
        <v>-21.907</v>
      </c>
      <c r="DL136" s="117">
        <v>-45.515000000000001</v>
      </c>
      <c r="DM136" s="117">
        <v>-68.852000000000004</v>
      </c>
      <c r="DN136" s="82">
        <f t="shared" si="248"/>
        <v>-20.897999999999996</v>
      </c>
      <c r="DO136" s="117">
        <v>-89.75</v>
      </c>
      <c r="DP136" s="117">
        <v>-12.66</v>
      </c>
      <c r="DQ136" s="117">
        <v>-25.300999999999998</v>
      </c>
      <c r="DR136" s="117">
        <v>-40.728000000000002</v>
      </c>
      <c r="DS136" s="82">
        <f t="shared" si="249"/>
        <v>-15.207999999999998</v>
      </c>
      <c r="DT136" s="117">
        <v>-55.936</v>
      </c>
      <c r="DU136" s="117">
        <v>-13.113</v>
      </c>
      <c r="DV136" s="117">
        <v>-27.843</v>
      </c>
      <c r="DW136" s="117">
        <v>-45.042000000000002</v>
      </c>
      <c r="DX136" s="82">
        <f t="shared" si="250"/>
        <v>-15.504999999999995</v>
      </c>
      <c r="DY136" s="117">
        <v>-60.546999999999997</v>
      </c>
      <c r="DZ136" s="117">
        <v>-14.313000000000001</v>
      </c>
      <c r="EA136" s="117">
        <v>-30.699000000000002</v>
      </c>
      <c r="EB136" s="117">
        <v>-54.182000000000002</v>
      </c>
      <c r="EC136" s="82">
        <f t="shared" si="251"/>
        <v>-20.817999999999998</v>
      </c>
      <c r="ED136" s="117">
        <v>-75</v>
      </c>
    </row>
    <row r="137" spans="2:134" x14ac:dyDescent="0.2">
      <c r="C137" s="70" t="s">
        <v>180</v>
      </c>
      <c r="D137" s="42"/>
      <c r="E137" s="136">
        <f t="shared" si="203"/>
        <v>44.637999999999998</v>
      </c>
      <c r="F137" s="135">
        <f t="shared" si="252"/>
        <v>102.26499999999999</v>
      </c>
      <c r="G137" s="135">
        <f t="shared" si="252"/>
        <v>157.804</v>
      </c>
      <c r="H137" s="116">
        <f t="shared" si="204"/>
        <v>102.81</v>
      </c>
      <c r="I137" s="42">
        <f t="shared" si="205"/>
        <v>407.517</v>
      </c>
      <c r="J137" s="120">
        <f t="shared" si="206"/>
        <v>77.162999999999997</v>
      </c>
      <c r="K137" s="118">
        <f t="shared" si="253"/>
        <v>60.970000000000013</v>
      </c>
      <c r="L137" s="118">
        <f t="shared" si="253"/>
        <v>161.43899999999999</v>
      </c>
      <c r="M137" s="119">
        <f t="shared" si="207"/>
        <v>114.88799999999998</v>
      </c>
      <c r="N137" s="42">
        <f t="shared" si="208"/>
        <v>414.46</v>
      </c>
      <c r="O137" s="136">
        <f t="shared" si="209"/>
        <v>114.852</v>
      </c>
      <c r="P137" s="135">
        <f t="shared" si="210"/>
        <v>82.784999999999997</v>
      </c>
      <c r="Q137" s="118">
        <f t="shared" si="210"/>
        <v>191.71800000000002</v>
      </c>
      <c r="R137" s="119">
        <f t="shared" si="211"/>
        <v>77.211999999999989</v>
      </c>
      <c r="S137" s="42">
        <f t="shared" si="212"/>
        <v>466.56700000000001</v>
      </c>
      <c r="T137" s="136">
        <f t="shared" si="213"/>
        <v>167.42599999999999</v>
      </c>
      <c r="U137" s="135">
        <f t="shared" si="214"/>
        <v>110.93200000000002</v>
      </c>
      <c r="V137" s="118">
        <f t="shared" si="215"/>
        <v>162.05500000000001</v>
      </c>
      <c r="W137" s="119">
        <f t="shared" si="216"/>
        <v>67.680999999999983</v>
      </c>
      <c r="X137" s="42">
        <f t="shared" si="217"/>
        <v>508.09399999999999</v>
      </c>
      <c r="Y137" s="136">
        <f t="shared" si="218"/>
        <v>130.66200000000001</v>
      </c>
      <c r="Z137" s="135">
        <f t="shared" si="219"/>
        <v>105.02199999999999</v>
      </c>
      <c r="AA137" s="118">
        <f t="shared" si="219"/>
        <v>173.97799999999998</v>
      </c>
      <c r="AB137" s="119">
        <f t="shared" si="220"/>
        <v>105.40000000000003</v>
      </c>
      <c r="AC137" s="42">
        <f t="shared" si="221"/>
        <v>515.06200000000001</v>
      </c>
      <c r="AD137" s="136">
        <f t="shared" si="222"/>
        <v>150.464</v>
      </c>
      <c r="AE137" s="135">
        <f t="shared" si="223"/>
        <v>86.015000000000015</v>
      </c>
      <c r="AF137" s="118">
        <f t="shared" si="223"/>
        <v>196.74499999999998</v>
      </c>
      <c r="AG137" s="119">
        <f t="shared" si="224"/>
        <v>136.15400000000005</v>
      </c>
      <c r="AH137" s="42">
        <f t="shared" si="225"/>
        <v>569.37800000000004</v>
      </c>
      <c r="AI137" s="136">
        <f t="shared" si="226"/>
        <v>82.772999999999996</v>
      </c>
      <c r="AJ137" s="135">
        <f t="shared" si="227"/>
        <v>108.39099999999999</v>
      </c>
      <c r="AK137" s="118">
        <f t="shared" si="227"/>
        <v>237.92700000000002</v>
      </c>
      <c r="AL137" s="119">
        <f t="shared" si="228"/>
        <v>106.77700000000004</v>
      </c>
      <c r="AM137" s="42">
        <f t="shared" si="229"/>
        <v>535.86800000000005</v>
      </c>
      <c r="AN137" s="136">
        <f t="shared" si="230"/>
        <v>160.37899999999999</v>
      </c>
      <c r="AO137" s="135">
        <f t="shared" si="231"/>
        <v>92.510000000000019</v>
      </c>
      <c r="AP137" s="118">
        <f t="shared" si="231"/>
        <v>226.21100000000001</v>
      </c>
      <c r="AQ137" s="119">
        <f t="shared" si="232"/>
        <v>107.54999999999995</v>
      </c>
      <c r="AR137" s="42">
        <f t="shared" si="233"/>
        <v>586.65</v>
      </c>
      <c r="AS137" s="136">
        <f t="shared" si="234"/>
        <v>193.74</v>
      </c>
      <c r="AT137" s="135">
        <f t="shared" si="235"/>
        <v>115.49899999999997</v>
      </c>
      <c r="AU137" s="118">
        <f t="shared" si="236"/>
        <v>191.774</v>
      </c>
      <c r="AV137" s="119">
        <f t="shared" si="237"/>
        <v>138.98700000000002</v>
      </c>
      <c r="AW137" s="42">
        <f t="shared" si="238"/>
        <v>640</v>
      </c>
      <c r="AX137" s="136">
        <f>+'NSP-MN'!AX208+PSCO!AX201+SPS!AX162+'NSP-WI'!AX198</f>
        <v>85.651755580110006</v>
      </c>
      <c r="AY137" s="135">
        <f>+'NSP-MN'!AY208+PSCO!AY201+SPS!AY162+'NSP-WI'!AY198</f>
        <v>72.423862484741846</v>
      </c>
      <c r="AZ137" s="135">
        <f>+'NSP-MN'!AZ208+PSCO!AZ201+SPS!AZ162+'NSP-WI'!AZ198</f>
        <v>140.13565912081336</v>
      </c>
      <c r="BA137" s="116">
        <f>+'NSP-MN'!BA208+PSCO!BA201+SPS!BA162+'NSP-WI'!BA198</f>
        <v>64.324069316872311</v>
      </c>
      <c r="BB137" s="42">
        <f t="shared" si="239"/>
        <v>362.53534650253755</v>
      </c>
      <c r="BC137" s="136">
        <f>+'NSP-MN'!BC208+PSCO!BC201+SPS!BC162+'NSP-WI'!BC198</f>
        <v>95.999827895846423</v>
      </c>
      <c r="BD137" s="135">
        <f>+'NSP-MN'!BD208+PSCO!BD201+SPS!BD162+'NSP-WI'!BD198</f>
        <v>79.859378108867503</v>
      </c>
      <c r="BE137" s="135">
        <f>+'NSP-MN'!BE208+PSCO!BE201+SPS!BE162+'NSP-WI'!BE198</f>
        <v>150.26886126790188</v>
      </c>
      <c r="BF137" s="116">
        <f>+'NSP-MN'!BF208+PSCO!BF201+SPS!BF162+'NSP-WI'!BF198</f>
        <v>71.494915146896176</v>
      </c>
      <c r="BG137" s="42">
        <f t="shared" si="240"/>
        <v>397.62298241951197</v>
      </c>
      <c r="BH137" s="136">
        <f>+'NSP-MN'!BH208+PSCO!BH201+SPS!BH162+'NSP-WI'!BH198</f>
        <v>103.61468829960022</v>
      </c>
      <c r="BI137" s="135">
        <f>+'NSP-MN'!BI208+PSCO!BI201+SPS!BI162+'NSP-WI'!BI198</f>
        <v>84.910297310840662</v>
      </c>
      <c r="BJ137" s="135">
        <f>+'NSP-MN'!BJ208+PSCO!BJ201+SPS!BJ162+'NSP-WI'!BJ198</f>
        <v>158.48914512415931</v>
      </c>
      <c r="BK137" s="116">
        <f>+'NSP-MN'!BK208+PSCO!BK201+SPS!BK162+'NSP-WI'!BK198</f>
        <v>78.777339683494802</v>
      </c>
      <c r="BL137" s="42">
        <f t="shared" si="241"/>
        <v>425.79147041809495</v>
      </c>
      <c r="BM137" s="136">
        <f>+'NSP-MN'!BM208+PSCO!BM201+SPS!BM162+'NSP-WI'!BM198</f>
        <v>110.37209852973972</v>
      </c>
      <c r="BN137" s="135">
        <f>+'NSP-MN'!BN208+PSCO!BN201+SPS!BN162+'NSP-WI'!BN198</f>
        <v>91.921806459267415</v>
      </c>
      <c r="BO137" s="135">
        <f>+'NSP-MN'!BO208+PSCO!BO201+SPS!BO162+'NSP-WI'!BO198</f>
        <v>167.60490901669851</v>
      </c>
      <c r="BP137" s="116">
        <f>+'NSP-MN'!BP208+PSCO!BP201+SPS!BP162+'NSP-WI'!BP198</f>
        <v>86.254063855409967</v>
      </c>
      <c r="BQ137" s="42">
        <f t="shared" si="242"/>
        <v>456.1528778611156</v>
      </c>
      <c r="BT137" s="640"/>
      <c r="BU137" s="525"/>
      <c r="BV137" s="525"/>
      <c r="BW137" s="575"/>
      <c r="BX137" s="575"/>
      <c r="BY137" s="525"/>
      <c r="BZ137" s="525"/>
      <c r="CA137" s="525"/>
      <c r="CL137" s="117">
        <v>44.637999999999998</v>
      </c>
      <c r="CM137" s="117">
        <v>146.90299999999999</v>
      </c>
      <c r="CN137" s="117">
        <v>304.70699999999999</v>
      </c>
      <c r="CO137" s="82">
        <f t="shared" si="243"/>
        <v>102.81</v>
      </c>
      <c r="CP137" s="117">
        <v>407.517</v>
      </c>
      <c r="CQ137" s="117">
        <v>77.162999999999997</v>
      </c>
      <c r="CR137" s="117">
        <f>138.133</f>
        <v>138.13300000000001</v>
      </c>
      <c r="CS137" s="117">
        <f>299.572</f>
        <v>299.572</v>
      </c>
      <c r="CT137" s="82">
        <f t="shared" si="244"/>
        <v>114.88799999999998</v>
      </c>
      <c r="CU137" s="117">
        <v>414.46</v>
      </c>
      <c r="CV137" s="117">
        <v>114.852</v>
      </c>
      <c r="CW137" s="117">
        <v>197.637</v>
      </c>
      <c r="CX137" s="117">
        <v>389.35500000000002</v>
      </c>
      <c r="CY137" s="82">
        <f t="shared" si="245"/>
        <v>77.211999999999989</v>
      </c>
      <c r="CZ137" s="117">
        <v>466.56700000000001</v>
      </c>
      <c r="DA137" s="117">
        <v>167.42599999999999</v>
      </c>
      <c r="DB137" s="117">
        <v>278.358</v>
      </c>
      <c r="DC137" s="117">
        <v>440.41300000000001</v>
      </c>
      <c r="DD137" s="82">
        <f t="shared" si="246"/>
        <v>67.680999999999983</v>
      </c>
      <c r="DE137" s="117">
        <v>508.09399999999999</v>
      </c>
      <c r="DF137" s="117">
        <v>130.66200000000001</v>
      </c>
      <c r="DG137" s="117">
        <v>235.684</v>
      </c>
      <c r="DH137" s="117">
        <v>409.66199999999998</v>
      </c>
      <c r="DI137" s="82">
        <f t="shared" si="247"/>
        <v>105.40000000000003</v>
      </c>
      <c r="DJ137" s="117">
        <v>515.06200000000001</v>
      </c>
      <c r="DK137" s="117">
        <v>150.464</v>
      </c>
      <c r="DL137" s="117">
        <v>236.47900000000001</v>
      </c>
      <c r="DM137" s="117">
        <v>433.22399999999999</v>
      </c>
      <c r="DN137" s="82">
        <f t="shared" si="248"/>
        <v>136.15400000000005</v>
      </c>
      <c r="DO137" s="117">
        <v>569.37800000000004</v>
      </c>
      <c r="DP137" s="117">
        <v>82.772999999999996</v>
      </c>
      <c r="DQ137" s="117">
        <v>191.16399999999999</v>
      </c>
      <c r="DR137" s="117">
        <v>429.09100000000001</v>
      </c>
      <c r="DS137" s="82">
        <f t="shared" si="249"/>
        <v>106.77700000000004</v>
      </c>
      <c r="DT137" s="117">
        <v>535.86800000000005</v>
      </c>
      <c r="DU137" s="117">
        <v>160.37899999999999</v>
      </c>
      <c r="DV137" s="117">
        <v>252.88900000000001</v>
      </c>
      <c r="DW137" s="117">
        <v>479.1</v>
      </c>
      <c r="DX137" s="82">
        <f t="shared" si="250"/>
        <v>107.54999999999995</v>
      </c>
      <c r="DY137" s="117">
        <v>586.65</v>
      </c>
      <c r="DZ137" s="117">
        <v>193.74</v>
      </c>
      <c r="EA137" s="117">
        <v>309.23899999999998</v>
      </c>
      <c r="EB137" s="117">
        <v>501.01299999999998</v>
      </c>
      <c r="EC137" s="82">
        <f t="shared" si="251"/>
        <v>138.98700000000002</v>
      </c>
      <c r="ED137" s="117">
        <v>640</v>
      </c>
    </row>
    <row r="138" spans="2:134" x14ac:dyDescent="0.2">
      <c r="C138" s="70" t="s">
        <v>97</v>
      </c>
      <c r="D138" s="42"/>
      <c r="E138" s="136">
        <f t="shared" si="203"/>
        <v>75.436000000000007</v>
      </c>
      <c r="F138" s="135">
        <f t="shared" si="252"/>
        <v>50.822000000000003</v>
      </c>
      <c r="G138" s="135">
        <f t="shared" si="252"/>
        <v>22.171999999999997</v>
      </c>
      <c r="H138" s="116">
        <f t="shared" si="204"/>
        <v>81.421999999999969</v>
      </c>
      <c r="I138" s="42">
        <f t="shared" si="205"/>
        <v>229.85199999999998</v>
      </c>
      <c r="J138" s="120">
        <f t="shared" si="206"/>
        <v>25.073</v>
      </c>
      <c r="K138" s="118">
        <f t="shared" si="253"/>
        <v>28.999000000000002</v>
      </c>
      <c r="L138" s="118">
        <f t="shared" si="253"/>
        <v>1.767000000000003</v>
      </c>
      <c r="M138" s="119">
        <f t="shared" si="207"/>
        <v>107.91200000000001</v>
      </c>
      <c r="N138" s="42">
        <f t="shared" si="208"/>
        <v>163.751</v>
      </c>
      <c r="O138" s="136">
        <f t="shared" si="209"/>
        <v>52.023999999999994</v>
      </c>
      <c r="P138" s="135">
        <f t="shared" si="210"/>
        <v>33.074999999999996</v>
      </c>
      <c r="Q138" s="135">
        <f t="shared" si="210"/>
        <v>42.350000000000009</v>
      </c>
      <c r="R138" s="119">
        <f t="shared" si="211"/>
        <v>80.277000000000029</v>
      </c>
      <c r="S138" s="42">
        <f t="shared" si="212"/>
        <v>207.72600000000003</v>
      </c>
      <c r="T138" s="136">
        <f t="shared" si="213"/>
        <v>38.091999999999999</v>
      </c>
      <c r="U138" s="135">
        <f t="shared" si="214"/>
        <v>30.167000000000002</v>
      </c>
      <c r="V138" s="135">
        <f t="shared" si="215"/>
        <v>-54.766000000000005</v>
      </c>
      <c r="W138" s="119">
        <f t="shared" si="216"/>
        <v>89.510999999999981</v>
      </c>
      <c r="X138" s="42">
        <f t="shared" si="217"/>
        <v>103.00399999999998</v>
      </c>
      <c r="Y138" s="136">
        <f t="shared" si="218"/>
        <v>37.941000000000003</v>
      </c>
      <c r="Z138" s="135">
        <f t="shared" si="219"/>
        <v>31.267999999999986</v>
      </c>
      <c r="AA138" s="135">
        <f t="shared" si="219"/>
        <v>28.591000000000008</v>
      </c>
      <c r="AB138" s="119">
        <f t="shared" si="220"/>
        <v>51.338000000000008</v>
      </c>
      <c r="AC138" s="42">
        <f t="shared" si="221"/>
        <v>149.13800000000001</v>
      </c>
      <c r="AD138" s="136">
        <f t="shared" si="222"/>
        <v>43.139999999999993</v>
      </c>
      <c r="AE138" s="135">
        <f t="shared" si="223"/>
        <v>29.022999999999989</v>
      </c>
      <c r="AF138" s="135">
        <f t="shared" si="223"/>
        <v>40.030000000000015</v>
      </c>
      <c r="AG138" s="119">
        <f t="shared" si="224"/>
        <v>89.855000000000004</v>
      </c>
      <c r="AH138" s="42">
        <f t="shared" si="225"/>
        <v>202.048</v>
      </c>
      <c r="AI138" s="136">
        <f t="shared" si="226"/>
        <v>183.09799999999998</v>
      </c>
      <c r="AJ138" s="135">
        <f t="shared" si="227"/>
        <v>34.378000000000014</v>
      </c>
      <c r="AK138" s="135">
        <f t="shared" si="227"/>
        <v>48.173000000000002</v>
      </c>
      <c r="AL138" s="119">
        <f t="shared" si="228"/>
        <v>77.518999999999949</v>
      </c>
      <c r="AM138" s="42">
        <f t="shared" si="229"/>
        <v>343.16799999999995</v>
      </c>
      <c r="AN138" s="136">
        <f t="shared" si="230"/>
        <v>42.191000000000003</v>
      </c>
      <c r="AO138" s="135">
        <f t="shared" si="231"/>
        <v>43.866</v>
      </c>
      <c r="AP138" s="135">
        <f t="shared" si="231"/>
        <v>37.501999999999981</v>
      </c>
      <c r="AQ138" s="119">
        <f t="shared" si="232"/>
        <v>27.869000000000014</v>
      </c>
      <c r="AR138" s="42">
        <f t="shared" si="233"/>
        <v>151.428</v>
      </c>
      <c r="AS138" s="136">
        <f t="shared" si="234"/>
        <v>56.338000000000001</v>
      </c>
      <c r="AT138" s="135">
        <f t="shared" si="235"/>
        <v>37.375999999999998</v>
      </c>
      <c r="AU138" s="135">
        <f t="shared" si="236"/>
        <v>43.451999999999998</v>
      </c>
      <c r="AV138" s="119">
        <f t="shared" si="237"/>
        <v>79.834000000000003</v>
      </c>
      <c r="AW138" s="42">
        <f t="shared" si="238"/>
        <v>217</v>
      </c>
      <c r="AX138" s="136">
        <f>+'NSP-MN'!AX209+PSCO!AX202+SPS!AX163+'NSP-WI'!AX199</f>
        <v>0</v>
      </c>
      <c r="AY138" s="135">
        <f>+'NSP-MN'!AY209+PSCO!AY202+SPS!AY163+'NSP-WI'!AY199</f>
        <v>0</v>
      </c>
      <c r="AZ138" s="135">
        <f>+'NSP-MN'!AZ209+PSCO!AZ202+SPS!AZ163+'NSP-WI'!AZ199</f>
        <v>0</v>
      </c>
      <c r="BA138" s="116">
        <f>+'NSP-MN'!BA209+PSCO!BA202+SPS!BA163+'NSP-WI'!BA199</f>
        <v>0</v>
      </c>
      <c r="BB138" s="42">
        <f t="shared" si="239"/>
        <v>0</v>
      </c>
      <c r="BC138" s="136">
        <f>+'NSP-MN'!BC209+PSCO!BC202+SPS!BC163+'NSP-WI'!BC199</f>
        <v>0</v>
      </c>
      <c r="BD138" s="135">
        <f>+'NSP-MN'!BD209+PSCO!BD202+SPS!BD163+'NSP-WI'!BD199</f>
        <v>0</v>
      </c>
      <c r="BE138" s="135">
        <f>+'NSP-MN'!BE209+PSCO!BE202+SPS!BE163+'NSP-WI'!BE199</f>
        <v>0</v>
      </c>
      <c r="BF138" s="116">
        <f>+'NSP-MN'!BF209+PSCO!BF202+SPS!BF163+'NSP-WI'!BF199</f>
        <v>0</v>
      </c>
      <c r="BG138" s="42">
        <f t="shared" si="240"/>
        <v>0</v>
      </c>
      <c r="BH138" s="136">
        <f>+'NSP-MN'!BH209+PSCO!BH202+SPS!BH163+'NSP-WI'!BH199</f>
        <v>0</v>
      </c>
      <c r="BI138" s="135">
        <f>+'NSP-MN'!BI209+PSCO!BI202+SPS!BI163+'NSP-WI'!BI199</f>
        <v>0</v>
      </c>
      <c r="BJ138" s="135">
        <f>+'NSP-MN'!BJ209+PSCO!BJ202+SPS!BJ163+'NSP-WI'!BJ199</f>
        <v>0</v>
      </c>
      <c r="BK138" s="116">
        <f>+'NSP-MN'!BK209+PSCO!BK202+SPS!BK163+'NSP-WI'!BK199</f>
        <v>0</v>
      </c>
      <c r="BL138" s="42">
        <f t="shared" si="241"/>
        <v>0</v>
      </c>
      <c r="BM138" s="136">
        <f>+'NSP-MN'!BM209+PSCO!BM202+SPS!BM163+'NSP-WI'!BM199</f>
        <v>0</v>
      </c>
      <c r="BN138" s="135">
        <f>+'NSP-MN'!BN209+PSCO!BN202+SPS!BN163+'NSP-WI'!BN199</f>
        <v>0</v>
      </c>
      <c r="BO138" s="135">
        <f>+'NSP-MN'!BO209+PSCO!BO202+SPS!BO163+'NSP-WI'!BO199</f>
        <v>0</v>
      </c>
      <c r="BP138" s="116">
        <f>+'NSP-MN'!BP209+PSCO!BP202+SPS!BP163+'NSP-WI'!BP199</f>
        <v>0</v>
      </c>
      <c r="BQ138" s="42">
        <f t="shared" si="242"/>
        <v>0</v>
      </c>
      <c r="BT138" s="525"/>
      <c r="BU138" s="525"/>
      <c r="BV138" s="525"/>
      <c r="BW138" s="575"/>
      <c r="BX138" s="575"/>
      <c r="BY138" s="525"/>
      <c r="BZ138" s="525"/>
      <c r="CA138" s="525"/>
      <c r="CL138" s="117">
        <f>1.751+6.826+19.29-1.738-3.142+6.015+9.337+37.097</f>
        <v>75.436000000000007</v>
      </c>
      <c r="CM138" s="117">
        <f>1.708+13.904+37.713-3.475-6.397+13.473+17.944+51.388</f>
        <v>126.25800000000001</v>
      </c>
      <c r="CN138" s="117">
        <f>2.673+21.661+59.52-5.213-10.76+20.999+13.252+46.298</f>
        <v>148.43</v>
      </c>
      <c r="CO138" s="82">
        <f t="shared" si="243"/>
        <v>81.421999999999969</v>
      </c>
      <c r="CP138" s="117">
        <f>4.637+29.418+80.104-6.426-24.664+29.059+49.023+29.672+39.029</f>
        <v>229.85199999999998</v>
      </c>
      <c r="CQ138" s="117">
        <f>0.222+7.757+25.98-1.594-7.401+7.855+7.129-14.875</f>
        <v>25.073</v>
      </c>
      <c r="CR138" s="117">
        <f>-3.929+15.514+49.551-3.188-14.763+15.791+16.47-21.374</f>
        <v>54.072000000000003</v>
      </c>
      <c r="CS138" s="117">
        <f>18.694+78.15-4.782-22.433+23.821+27.272-61.136-3.747</f>
        <v>55.839000000000006</v>
      </c>
      <c r="CT138" s="82">
        <f t="shared" si="244"/>
        <v>107.91200000000001</v>
      </c>
      <c r="CU138" s="117">
        <f>-3.878+21.7+105.369-6.353-29.948+32.538+44.068+35.807-35.552</f>
        <v>163.751</v>
      </c>
      <c r="CV138" s="117">
        <f>-0.102+3.024+25.551-1.58-7.713+8.454+9.895+14.495</f>
        <v>52.023999999999994</v>
      </c>
      <c r="CW138" s="117">
        <f>-0.193+6.078+43.732-3.16-15.39+16.931+20.299+16.802</f>
        <v>85.09899999999999</v>
      </c>
      <c r="CX138" s="117">
        <f>-0.23+7.979+75.292-4.74-22.813+25.481+31.943+14.537</f>
        <v>127.449</v>
      </c>
      <c r="CY138" s="82">
        <f t="shared" si="245"/>
        <v>80.277000000000029</v>
      </c>
      <c r="CZ138" s="117">
        <f>0.202+9.816+100.902-6.194-30.527+34.034+44.521+45.006+9.966</f>
        <v>207.72600000000003</v>
      </c>
      <c r="DA138" s="117">
        <f>-0.124+1.882+26-1.552-7.158+8.028+3.883+7.133</f>
        <v>38.091999999999999</v>
      </c>
      <c r="DB138" s="117">
        <f>-0.109+3.765+49.765-3.104-14.66+8.028+17.249+7.325</f>
        <v>68.259</v>
      </c>
      <c r="DC138" s="117">
        <f>-0.068+5.511+79.171-4.656-22.15+24.922+20.886-90.123</f>
        <v>13.492999999999995</v>
      </c>
      <c r="DD138" s="82">
        <f t="shared" si="246"/>
        <v>89.510999999999981</v>
      </c>
      <c r="DE138" s="117">
        <f>-0.03+7.258+102.651-6.61-29.971+33.47+33.808+26.97+20.766-85.308</f>
        <v>103.00399999999998</v>
      </c>
      <c r="DF138" s="117">
        <f>0.018+1.712+27.522-1.657-7.577+9.539+8.167+0.217</f>
        <v>37.941000000000003</v>
      </c>
      <c r="DG138" s="117">
        <f>0.043+3.425+49.485-3.314-15.106+18.683+18.747-2.754</f>
        <v>69.208999999999989</v>
      </c>
      <c r="DH138" s="117">
        <f>-0.173+5.024+76.447-4.973-22.379+27.503+28.362-12.011</f>
        <v>97.8</v>
      </c>
      <c r="DI138" s="82">
        <f t="shared" si="247"/>
        <v>51.338000000000008</v>
      </c>
      <c r="DJ138" s="117">
        <f>6.531+98.089-5.753-30.02+36.416+37.627+24.613-13.661-4.704</f>
        <v>149.13800000000001</v>
      </c>
      <c r="DK138" s="117">
        <f>1.555+28.862-1.443-7.438+8.85+5.37+7.384</f>
        <v>43.139999999999993</v>
      </c>
      <c r="DL138" s="117">
        <f>3.131+60.466-2.886-15.249+18.114+10.99-2.403</f>
        <v>72.162999999999982</v>
      </c>
      <c r="DM138" s="117">
        <f>4.582+92.278-4.329-22.65+27.13+16.536-1.354</f>
        <v>112.193</v>
      </c>
      <c r="DN138" s="82">
        <f t="shared" si="248"/>
        <v>89.855000000000004</v>
      </c>
      <c r="DO138" s="117">
        <f>6.033+114.542-5.543-30.151+36.707+42.765+32.189+5.506</f>
        <v>202.048</v>
      </c>
      <c r="DP138" s="117">
        <f>1.451+28.465-1.384-7.776+9.876+10.225+129.463+12.778</f>
        <v>183.09799999999998</v>
      </c>
      <c r="DQ138" s="117">
        <f>2.901+49.454-2.768-16.198+19.754+21.42+129.463+13.45</f>
        <v>217.476</v>
      </c>
      <c r="DR138" s="117">
        <f>4.063+82.627-24.36+29.434+29.765+129.463+18.808-4.151</f>
        <v>265.649</v>
      </c>
      <c r="DS138" s="82">
        <f t="shared" si="249"/>
        <v>77.518999999999949</v>
      </c>
      <c r="DT138" s="117">
        <f>5.225+106.424+-5.277-34.39+40.128+36.074+44.928+129.463+21.919-1.326</f>
        <v>343.16799999999995</v>
      </c>
      <c r="DU138" s="117">
        <f>1.162+25.75-1.307-13.182+11.481+13.099+-0.388+5.576</f>
        <v>42.191000000000003</v>
      </c>
      <c r="DV138" s="117">
        <f>2.323+58.267-2.613-22.799+22.91+24.454+3.903-0.388</f>
        <v>86.057000000000002</v>
      </c>
      <c r="DW138" s="117">
        <f>3.089+89.475-3.92-32.5+34.502+29.872+3.307-0.266</f>
        <v>123.55899999999998</v>
      </c>
      <c r="DX138" s="82">
        <f t="shared" si="250"/>
        <v>27.869000000000014</v>
      </c>
      <c r="DY138" s="117">
        <f>3.854+116.982-5.203-42.123+46.17+38.96+41.17+7.939-0.889-16.191-39.241</f>
        <v>151.428</v>
      </c>
      <c r="DZ138" s="117">
        <f>0.755+30.852-1.278-7.875+11.754+17.953+4.177</f>
        <v>56.338000000000001</v>
      </c>
      <c r="EA138" s="117">
        <f>1.509+57.003-2.557-15.416+23.507+31.892+0.217-2.441</f>
        <v>93.713999999999999</v>
      </c>
      <c r="EB138" s="117">
        <f>1.927+87.654-3.835-22.496+32.316+44.239-0.062-2.577</f>
        <v>137.166</v>
      </c>
      <c r="EC138" s="82">
        <f t="shared" si="251"/>
        <v>79.834000000000003</v>
      </c>
      <c r="ED138" s="117">
        <f>2+114-5-30+41+39+57+2-3</f>
        <v>217</v>
      </c>
    </row>
    <row r="139" spans="2:134" x14ac:dyDescent="0.2">
      <c r="C139" s="70" t="s">
        <v>181</v>
      </c>
      <c r="D139" s="42"/>
      <c r="E139" s="136">
        <f t="shared" si="203"/>
        <v>323.5320000000001</v>
      </c>
      <c r="F139" s="135">
        <f t="shared" si="252"/>
        <v>-144.99499999999995</v>
      </c>
      <c r="G139" s="135">
        <f t="shared" si="252"/>
        <v>-81.858000000000175</v>
      </c>
      <c r="H139" s="116">
        <f t="shared" si="204"/>
        <v>-261.93999999999994</v>
      </c>
      <c r="I139" s="42">
        <f t="shared" si="205"/>
        <v>-165.26099999999997</v>
      </c>
      <c r="J139" s="120">
        <f t="shared" si="206"/>
        <v>88.993999999999971</v>
      </c>
      <c r="K139" s="118">
        <f t="shared" si="253"/>
        <v>-72.095999999999961</v>
      </c>
      <c r="L139" s="118">
        <f t="shared" si="253"/>
        <v>-78.118999999999986</v>
      </c>
      <c r="M139" s="119">
        <f t="shared" si="207"/>
        <v>-194.91599999999997</v>
      </c>
      <c r="N139" s="42">
        <f t="shared" si="208"/>
        <v>-256.13699999999994</v>
      </c>
      <c r="O139" s="136">
        <f t="shared" si="209"/>
        <v>73.025000000000006</v>
      </c>
      <c r="P139" s="135">
        <f t="shared" si="210"/>
        <v>-31.138999999999996</v>
      </c>
      <c r="Q139" s="135">
        <f t="shared" si="210"/>
        <v>-6.4809999999999874</v>
      </c>
      <c r="R139" s="119">
        <f t="shared" si="211"/>
        <v>-2.9780000000000442</v>
      </c>
      <c r="S139" s="42">
        <f t="shared" si="212"/>
        <v>32.426999999999978</v>
      </c>
      <c r="T139" s="136">
        <f t="shared" si="213"/>
        <v>-131.57499999999999</v>
      </c>
      <c r="U139" s="135">
        <f t="shared" si="214"/>
        <v>-152.17200000000003</v>
      </c>
      <c r="V139" s="135">
        <f t="shared" si="215"/>
        <v>-26.423000000000002</v>
      </c>
      <c r="W139" s="119">
        <f t="shared" si="216"/>
        <v>-82.26299999999992</v>
      </c>
      <c r="X139" s="42">
        <f t="shared" si="217"/>
        <v>-392.43299999999994</v>
      </c>
      <c r="Y139" s="136">
        <f t="shared" si="218"/>
        <v>3.9050000000000118</v>
      </c>
      <c r="Z139" s="135">
        <f t="shared" si="219"/>
        <v>-133.79500000000002</v>
      </c>
      <c r="AA139" s="135">
        <f t="shared" si="219"/>
        <v>149.68100000000001</v>
      </c>
      <c r="AB139" s="119">
        <f t="shared" si="220"/>
        <v>37.65100000000001</v>
      </c>
      <c r="AC139" s="42">
        <f t="shared" si="221"/>
        <v>57.442000000000021</v>
      </c>
      <c r="AD139" s="136">
        <f t="shared" si="222"/>
        <v>-90.611999999999995</v>
      </c>
      <c r="AE139" s="135">
        <f t="shared" si="223"/>
        <v>-99.302999999999997</v>
      </c>
      <c r="AF139" s="135">
        <f t="shared" si="223"/>
        <v>123.01799999999999</v>
      </c>
      <c r="AG139" s="119">
        <f t="shared" si="224"/>
        <v>-24.40800000000003</v>
      </c>
      <c r="AH139" s="42">
        <f t="shared" si="225"/>
        <v>-91.305000000000035</v>
      </c>
      <c r="AI139" s="136">
        <f t="shared" si="226"/>
        <v>302.72900000000004</v>
      </c>
      <c r="AJ139" s="135">
        <f t="shared" si="227"/>
        <v>-82.439999999999969</v>
      </c>
      <c r="AK139" s="135">
        <f t="shared" si="227"/>
        <v>-1.1990000000000691</v>
      </c>
      <c r="AL139" s="119">
        <f t="shared" si="228"/>
        <v>-143.80200000000002</v>
      </c>
      <c r="AM139" s="42">
        <f t="shared" si="229"/>
        <v>75.287999999999982</v>
      </c>
      <c r="AN139" s="136">
        <f t="shared" si="230"/>
        <v>35.533000000000001</v>
      </c>
      <c r="AO139" s="135">
        <f t="shared" si="231"/>
        <v>-22.539999999999964</v>
      </c>
      <c r="AP139" s="135">
        <f t="shared" si="231"/>
        <v>-36.340000000000011</v>
      </c>
      <c r="AQ139" s="119">
        <f t="shared" si="232"/>
        <v>-44.016000000000027</v>
      </c>
      <c r="AR139" s="42">
        <f t="shared" si="233"/>
        <v>-67.363</v>
      </c>
      <c r="AS139" s="136">
        <f t="shared" si="234"/>
        <v>-125.76699999999995</v>
      </c>
      <c r="AT139" s="135">
        <f t="shared" si="235"/>
        <v>-159.48100000000005</v>
      </c>
      <c r="AU139" s="135">
        <f t="shared" si="236"/>
        <v>-3.6610000000000014</v>
      </c>
      <c r="AV139" s="119">
        <f t="shared" si="237"/>
        <v>-10.091000000000008</v>
      </c>
      <c r="AW139" s="42">
        <f t="shared" si="238"/>
        <v>-299</v>
      </c>
      <c r="AX139" s="136">
        <f>+'NSP-MN'!AX210+PSCO!AX203+SPS!AX164+'NSP-WI'!AX200+Parent!AX57</f>
        <v>0</v>
      </c>
      <c r="AY139" s="135">
        <f>+'NSP-MN'!AY210+PSCO!AY203+SPS!AY164+'NSP-WI'!AY200+Parent!AY57</f>
        <v>0</v>
      </c>
      <c r="AZ139" s="135">
        <f>+'NSP-MN'!AZ210+PSCO!AZ203+SPS!AZ164+'NSP-WI'!AZ200+Parent!AZ57</f>
        <v>0</v>
      </c>
      <c r="BA139" s="116">
        <f>+'NSP-MN'!BA210+PSCO!BA203+SPS!BA164+'NSP-WI'!BA200+Parent!BA57</f>
        <v>0</v>
      </c>
      <c r="BB139" s="42">
        <f t="shared" si="239"/>
        <v>0</v>
      </c>
      <c r="BC139" s="136">
        <f>+'NSP-MN'!BC210+PSCO!BC203+SPS!BC164+'NSP-WI'!BC200+Parent!BC57</f>
        <v>0</v>
      </c>
      <c r="BD139" s="135">
        <f>+'NSP-MN'!BD210+PSCO!BD203+SPS!BD164+'NSP-WI'!BD200+Parent!BD57</f>
        <v>0</v>
      </c>
      <c r="BE139" s="135">
        <f>+'NSP-MN'!BE210+PSCO!BE203+SPS!BE164+'NSP-WI'!BE200+Parent!BE57</f>
        <v>0</v>
      </c>
      <c r="BF139" s="116">
        <f>+'NSP-MN'!BF210+PSCO!BF203+SPS!BF164+'NSP-WI'!BF200+Parent!BF57</f>
        <v>0</v>
      </c>
      <c r="BG139" s="42">
        <f t="shared" si="240"/>
        <v>0</v>
      </c>
      <c r="BH139" s="136">
        <f>+'NSP-MN'!BH210+PSCO!BH203+SPS!BH164+'NSP-WI'!BH200+Parent!BH57</f>
        <v>0</v>
      </c>
      <c r="BI139" s="135">
        <f>+'NSP-MN'!BI210+PSCO!BI203+SPS!BI164+'NSP-WI'!BI200+Parent!BI57</f>
        <v>0</v>
      </c>
      <c r="BJ139" s="135">
        <f>+'NSP-MN'!BJ210+PSCO!BJ203+SPS!BJ164+'NSP-WI'!BJ200+Parent!BJ57</f>
        <v>0</v>
      </c>
      <c r="BK139" s="116">
        <f>+'NSP-MN'!BK210+PSCO!BK203+SPS!BK164+'NSP-WI'!BK200+Parent!BK57</f>
        <v>0</v>
      </c>
      <c r="BL139" s="42">
        <f t="shared" si="241"/>
        <v>0</v>
      </c>
      <c r="BM139" s="136">
        <f>+'NSP-MN'!BM210+PSCO!BM203+SPS!BM164+'NSP-WI'!BM200+Parent!BM57</f>
        <v>0</v>
      </c>
      <c r="BN139" s="135">
        <f>+'NSP-MN'!BN210+PSCO!BN203+SPS!BN164+'NSP-WI'!BN200+Parent!BN57</f>
        <v>0</v>
      </c>
      <c r="BO139" s="135">
        <f>+'NSP-MN'!BO210+PSCO!BO203+SPS!BO164+'NSP-WI'!BO200+Parent!BO57</f>
        <v>0</v>
      </c>
      <c r="BP139" s="116">
        <f>+'NSP-MN'!BP210+PSCO!BP203+SPS!BP164+'NSP-WI'!BP200+Parent!BP57</f>
        <v>0</v>
      </c>
      <c r="BQ139" s="42">
        <f t="shared" si="242"/>
        <v>0</v>
      </c>
      <c r="BT139" s="707"/>
      <c r="BU139" s="525"/>
      <c r="BV139" s="525"/>
      <c r="BW139" s="575"/>
      <c r="BX139" s="641"/>
      <c r="BY139" s="642"/>
      <c r="BZ139" s="525"/>
      <c r="CA139" s="525"/>
      <c r="CL139" s="117">
        <f>114.182+223.906+215.901+7.988-5.207-239.175+28.376+28.107+0.192-19.609-31.129</f>
        <v>323.5320000000001</v>
      </c>
      <c r="CM139" s="117">
        <f>190.491+264.308+229.504-31.891+1.695-310.589+32.886-43.239+5.898-157.191-3.335</f>
        <v>178.53700000000015</v>
      </c>
      <c r="CN139" s="117">
        <f>265.655+272.574+111.78-30.792-72.817-286.019+20.422+7.347-2.014-172.291-17.166</f>
        <v>96.678999999999974</v>
      </c>
      <c r="CO139" s="82">
        <f t="shared" si="243"/>
        <v>-261.93999999999994</v>
      </c>
      <c r="CP139" s="117">
        <f>1912.906-SUM(CP134:CP138)</f>
        <v>-165.26099999999997</v>
      </c>
      <c r="CQ139" s="117">
        <f>-7.222+172.732+113.784-8.109+26.368-199.311+34.138+0.283-3.038-10.73-29.901</f>
        <v>88.993999999999971</v>
      </c>
      <c r="CR139" s="117">
        <f>72.912+140.035+101.822-1.186+21.491-226.316+28.829-119.096-2.736-22.218+23.361</f>
        <v>16.898000000000014</v>
      </c>
      <c r="CS139" s="117">
        <f>31.67+159.769-25.52+28.77+17.635-282.95+56.358-26.116-4.184-36.634+19.981</f>
        <v>-61.220999999999968</v>
      </c>
      <c r="CT139" s="82">
        <f t="shared" si="244"/>
        <v>-194.91599999999997</v>
      </c>
      <c r="CU139" s="117">
        <f>-29.749-14.642+9.239+10.461-188.855+36.096+13.192-62.625+5.936-35.19</f>
        <v>-256.13699999999994</v>
      </c>
      <c r="CV139" s="117">
        <f>-46.947+157.996+118.595+43.551-72.424+17.853+5.491-134.004+10.52-27.606</f>
        <v>73.025000000000006</v>
      </c>
      <c r="CW139" s="117">
        <f>38.914+117.836+76.028+52.397+32.116-41.888-78.11-131.892+13.119-36.634</f>
        <v>41.88600000000001</v>
      </c>
      <c r="CX139" s="117">
        <f>-33.649+155.854-47.207+60.216-82.681+134.338+5.969-136.538+21.211-42.108</f>
        <v>35.405000000000022</v>
      </c>
      <c r="CY139" s="82">
        <f t="shared" si="245"/>
        <v>-2.9780000000000442</v>
      </c>
      <c r="CZ139" s="117">
        <f>-79.701+19.951-57.432+62.458+13.748+149.282+112.353-150.717+24.069-61.584</f>
        <v>32.426999999999978</v>
      </c>
      <c r="DA139" s="117">
        <f>-52.643+197.33+143.873-71.547-202.649+61.872+17.711-180.03-38.806-6.686</f>
        <v>-131.57499999999999</v>
      </c>
      <c r="DB139" s="117">
        <f>-0.928+139.012+145.095-61.291-177.076+12.912-117.653-168.898-40.893-14.027</f>
        <v>-283.74700000000001</v>
      </c>
      <c r="DC139" s="117">
        <f>-125.803+166.857+55.511-30.289-118.276+1.848-35.283-181.281-38.79-4.664</f>
        <v>-310.17</v>
      </c>
      <c r="DD139" s="82">
        <f t="shared" si="246"/>
        <v>-82.26299999999992</v>
      </c>
      <c r="DE139" s="117">
        <f>-197.236+25.377+82.658-30.707-100.327+5.866+42.914-183.922-33.151-3.905</f>
        <v>-392.43299999999994</v>
      </c>
      <c r="DF139" s="117">
        <f>-72.205+76.602+87.865-51.203+5.311+88.572+20.318-181.091+24.576+5.16</f>
        <v>3.9050000000000118</v>
      </c>
      <c r="DG139" s="117">
        <f>-78.94+37.069+40.684+29.7+1.625+76.693-83.336-170.162+16.94-0.163</f>
        <v>-129.89000000000001</v>
      </c>
      <c r="DH139" s="117">
        <f>-108.488+87.652-69.918+6.06-3.297+100.648+129.984-159.592+26.71+10.032</f>
        <v>19.791000000000007</v>
      </c>
      <c r="DI139" s="82">
        <f t="shared" si="247"/>
        <v>37.65100000000001</v>
      </c>
      <c r="DJ139" s="117">
        <f>-108.911-23.867-43.588-18.071+132.441+141.325+126.555-156.369-9.998+17.925</f>
        <v>57.442000000000021</v>
      </c>
      <c r="DK139" s="117">
        <f>-140.962+111.417+140.301-66.32-37.73-0.253+1.008-125.78+48.054-20.347</f>
        <v>-90.611999999999995</v>
      </c>
      <c r="DL139" s="117">
        <f>1.406+77.557+75.268-32.157-147.734+63.675-129.981-115.455+47.855-30.349</f>
        <v>-189.91499999999999</v>
      </c>
      <c r="DM139" s="117">
        <f>-16.08+112.406-57.677-25.901-155.788+162.134+14.683-111.463+44.009-33.22</f>
        <v>-66.897000000000006</v>
      </c>
      <c r="DN139" s="82">
        <f t="shared" si="248"/>
        <v>-24.40800000000003</v>
      </c>
      <c r="DO139" s="117">
        <f>-125.146-41.262-20.558-111.3-53.242+195.823+137.147-101.457+44.364-15.674</f>
        <v>-91.305000000000035</v>
      </c>
      <c r="DP139" s="117">
        <f>-0.291+183.974+92.01+56.685-99.029+146.097+34.642-85.469-0.005-25.885</f>
        <v>302.72900000000004</v>
      </c>
      <c r="DQ139" s="117">
        <f>150.283+145.781+64.561+69.08-132.032+129.595-92.108-78.681+0.684-36.874</f>
        <v>220.28900000000007</v>
      </c>
      <c r="DR139" s="117">
        <f>85.276+182.425-47.659+72.445-116.137+116.068+60.293-82.013+2.374-53.982</f>
        <v>219.09</v>
      </c>
      <c r="DS139" s="82">
        <f t="shared" si="249"/>
        <v>-143.80200000000002</v>
      </c>
      <c r="DT139" s="117">
        <f>65.826+73.625+-11.24+9.273-120.002+102.465+66.134-69.256+10.553-52.09</f>
        <v>75.287999999999982</v>
      </c>
      <c r="DU139" s="117">
        <f>-4.78+129.444+88.57-16.635-22.063+34.404-44.929-118.774-1.196-8.508</f>
        <v>35.533000000000001</v>
      </c>
      <c r="DV139" s="117">
        <f>35.042+65.159+81.88+69.493+27.805+34.264-164.076-108.562-6.363-21.649</f>
        <v>12.993000000000038</v>
      </c>
      <c r="DW139" s="117">
        <f>-29.585+87.015-6.203+80.566+50.526+3.911-76.011-96.35-11.815-25.401</f>
        <v>-23.346999999999973</v>
      </c>
      <c r="DX139" s="82">
        <f t="shared" si="250"/>
        <v>-44.016000000000027</v>
      </c>
      <c r="DY139" s="117">
        <f>-83.17-74.965+1.349+61.515+117.744-19.378+20.249-90.707</f>
        <v>-67.363</v>
      </c>
      <c r="DZ139" s="117">
        <f>-4.959+174.387+88.355-76.758-121.39+17.863-42.27-148.565+0.263-12.693</f>
        <v>-125.76699999999995</v>
      </c>
      <c r="EA139" s="117">
        <f>16.906+121.333+65.433-84.024-52.349+1.498-190.184-140.479-6.676-16.706</f>
        <v>-285.24799999999999</v>
      </c>
      <c r="EB139" s="117">
        <f>-31.337+104.175-9.158+64.208-67.759-26.556-111.512-134.455-15.002-61.513</f>
        <v>-288.90899999999999</v>
      </c>
      <c r="EC139" s="82">
        <f t="shared" si="251"/>
        <v>-10.091000000000008</v>
      </c>
      <c r="ED139" s="117">
        <f>-60-34-3+9+43-16-38-133-1-66</f>
        <v>-299</v>
      </c>
    </row>
    <row r="140" spans="2:134" x14ac:dyDescent="0.2">
      <c r="C140" s="26" t="s">
        <v>182</v>
      </c>
      <c r="D140" s="82"/>
      <c r="E140" s="121">
        <f>SUM(E134:E139)</f>
        <v>812.548</v>
      </c>
      <c r="F140" s="122">
        <f>SUM(F134:F139)</f>
        <v>313.21800000000002</v>
      </c>
      <c r="G140" s="122">
        <f>SUM(G134:G139)</f>
        <v>503.04999999999984</v>
      </c>
      <c r="H140" s="123">
        <f>SUM(H134:H139)</f>
        <v>284.09000000000003</v>
      </c>
      <c r="I140" s="86">
        <f t="shared" si="205"/>
        <v>1912.9059999999999</v>
      </c>
      <c r="J140" s="121">
        <f>SUM(J134:J139)</f>
        <v>555.53899999999999</v>
      </c>
      <c r="K140" s="122">
        <f>SUM(K134:K139)</f>
        <v>355.99200000000013</v>
      </c>
      <c r="L140" s="122">
        <f>SUM(L134:L139)</f>
        <v>610.19800000000009</v>
      </c>
      <c r="M140" s="123">
        <f>SUM(M134:M139)</f>
        <v>372.21299999999997</v>
      </c>
      <c r="N140" s="86">
        <f t="shared" si="208"/>
        <v>1893.9420000000002</v>
      </c>
      <c r="O140" s="121">
        <f>SUM(O134:O139)</f>
        <v>659.44299999999998</v>
      </c>
      <c r="P140" s="122">
        <f>SUM(P134:P139)</f>
        <v>463.67299999999994</v>
      </c>
      <c r="Q140" s="122">
        <f>SUM(Q134:Q139)</f>
        <v>801.00200000000007</v>
      </c>
      <c r="R140" s="123">
        <f>SUM(R134:R139)</f>
        <v>481.40399999999988</v>
      </c>
      <c r="S140" s="86">
        <f t="shared" si="212"/>
        <v>2405.5220000000004</v>
      </c>
      <c r="T140" s="121">
        <f>SUM(T134:T139)</f>
        <v>477.483</v>
      </c>
      <c r="U140" s="122">
        <f>SUM(U134:U139)</f>
        <v>387.81299999999999</v>
      </c>
      <c r="V140" s="122">
        <f>SUM(V134:V139)</f>
        <v>706.62499999999989</v>
      </c>
      <c r="W140" s="123">
        <f>SUM(W134:W139)</f>
        <v>432.83500000000015</v>
      </c>
      <c r="X140" s="86">
        <f t="shared" si="217"/>
        <v>2004.7559999999999</v>
      </c>
      <c r="Y140" s="121">
        <f>SUM(Y134:Y139)</f>
        <v>642.32799999999997</v>
      </c>
      <c r="Z140" s="122">
        <f>SUM(Z134:Z139)</f>
        <v>431.89700000000011</v>
      </c>
      <c r="AA140" s="122">
        <f>SUM(AA134:AA139)</f>
        <v>928.68299999999999</v>
      </c>
      <c r="AB140" s="123">
        <f>SUM(AB134:AB139)</f>
        <v>581.12799999999993</v>
      </c>
      <c r="AC140" s="86">
        <f t="shared" si="221"/>
        <v>2584.0360000000001</v>
      </c>
      <c r="AD140" s="121">
        <f>SUM(AD134:AD139)</f>
        <v>592.649</v>
      </c>
      <c r="AE140" s="122">
        <f>SUM(AE134:AE139)</f>
        <v>446.86200000000008</v>
      </c>
      <c r="AF140" s="122">
        <f>SUM(AF134:AF139)</f>
        <v>964.83</v>
      </c>
      <c r="AG140" s="123">
        <f>SUM(AG134:AG139)</f>
        <v>643.85100000000023</v>
      </c>
      <c r="AH140" s="86">
        <f t="shared" si="225"/>
        <v>2648.1920000000005</v>
      </c>
      <c r="AI140" s="121">
        <f>SUM(AI134:AI139)</f>
        <v>985.39399999999989</v>
      </c>
      <c r="AJ140" s="122">
        <f>SUM(AJ134:AJ139)</f>
        <v>523.65100000000007</v>
      </c>
      <c r="AK140" s="122">
        <f>SUM(AK134:AK139)</f>
        <v>980.87699999999995</v>
      </c>
      <c r="AL140" s="123">
        <f>SUM(AL134:AL139)</f>
        <v>535.9169999999998</v>
      </c>
      <c r="AM140" s="86">
        <f t="shared" si="229"/>
        <v>3025.8389999999999</v>
      </c>
      <c r="AN140" s="121">
        <f>SUM(AN134:AN139)</f>
        <v>790.0630000000001</v>
      </c>
      <c r="AO140" s="122">
        <f>SUM(AO134:AO139)</f>
        <v>622.476</v>
      </c>
      <c r="AP140" s="122">
        <f>SUM(AP134:AP139)</f>
        <v>1000.3150000000002</v>
      </c>
      <c r="AQ140" s="123">
        <f>SUM(AQ134:AQ139)</f>
        <v>639.44499999999971</v>
      </c>
      <c r="AR140" s="86">
        <f t="shared" si="233"/>
        <v>3052.299</v>
      </c>
      <c r="AS140" s="121">
        <f>SUM(AS134:AS139)</f>
        <v>718.15499999999997</v>
      </c>
      <c r="AT140" s="122">
        <f>SUM(AT134:AT139)</f>
        <v>573.66399999999999</v>
      </c>
      <c r="AU140" s="122">
        <f>SUM(AU134:AU139)</f>
        <v>1075.3609999999999</v>
      </c>
      <c r="AV140" s="123">
        <f>SUM(AV134:AV139)</f>
        <v>758.82000000000028</v>
      </c>
      <c r="AW140" s="86">
        <f t="shared" si="238"/>
        <v>3126</v>
      </c>
      <c r="AX140" s="121">
        <f t="shared" ref="AX140:BG140" si="254">SUM(AX134:AX139)</f>
        <v>751.1501253118447</v>
      </c>
      <c r="AY140" s="122">
        <f t="shared" si="254"/>
        <v>695.00511416593235</v>
      </c>
      <c r="AZ140" s="122">
        <f t="shared" si="254"/>
        <v>993.32321410796874</v>
      </c>
      <c r="BA140" s="123">
        <f t="shared" si="254"/>
        <v>682.35514347481728</v>
      </c>
      <c r="BB140" s="86">
        <f t="shared" si="254"/>
        <v>3121.8335970605631</v>
      </c>
      <c r="BC140" s="121">
        <f t="shared" si="254"/>
        <v>804.52059506480714</v>
      </c>
      <c r="BD140" s="122">
        <f t="shared" si="254"/>
        <v>743.70001467052305</v>
      </c>
      <c r="BE140" s="122">
        <f t="shared" si="254"/>
        <v>1053.7385610289928</v>
      </c>
      <c r="BF140" s="123">
        <f t="shared" si="254"/>
        <v>733.0284177303979</v>
      </c>
      <c r="BG140" s="86">
        <f t="shared" si="254"/>
        <v>3334.987588494721</v>
      </c>
      <c r="BH140" s="121">
        <f t="shared" ref="BH140:BQ140" si="255">SUM(BH134:BH139)</f>
        <v>863.09783063222392</v>
      </c>
      <c r="BI140" s="122">
        <f t="shared" si="255"/>
        <v>799.18629864976083</v>
      </c>
      <c r="BJ140" s="122">
        <f t="shared" si="255"/>
        <v>1114.9902284240388</v>
      </c>
      <c r="BK140" s="123">
        <f t="shared" si="255"/>
        <v>790.53337005537094</v>
      </c>
      <c r="BL140" s="86">
        <f t="shared" si="255"/>
        <v>3567.8077277613947</v>
      </c>
      <c r="BM140" s="121">
        <f t="shared" si="255"/>
        <v>916.79548260593526</v>
      </c>
      <c r="BN140" s="122">
        <f t="shared" si="255"/>
        <v>844.46154698575833</v>
      </c>
      <c r="BO140" s="122">
        <f t="shared" si="255"/>
        <v>1168.5141909824067</v>
      </c>
      <c r="BP140" s="123">
        <f t="shared" si="255"/>
        <v>839.4544732473563</v>
      </c>
      <c r="BQ140" s="86">
        <f t="shared" si="255"/>
        <v>3769.2256938214564</v>
      </c>
      <c r="BS140" s="93"/>
      <c r="BT140" s="640"/>
      <c r="BU140" s="525"/>
      <c r="BV140" s="525"/>
      <c r="BW140" s="575"/>
      <c r="BX140" s="643"/>
      <c r="BY140" s="644"/>
      <c r="BZ140" s="645"/>
      <c r="CA140" s="525"/>
      <c r="CL140" s="86">
        <f t="shared" ref="CL140:CX140" si="256">SUM(CL134:CL139)</f>
        <v>812.548</v>
      </c>
      <c r="CM140" s="86">
        <f t="shared" si="256"/>
        <v>1125.7660000000001</v>
      </c>
      <c r="CN140" s="86">
        <f t="shared" si="256"/>
        <v>1628.8159999999998</v>
      </c>
      <c r="CO140" s="86">
        <f t="shared" si="256"/>
        <v>284.09000000000003</v>
      </c>
      <c r="CP140" s="86">
        <f t="shared" si="256"/>
        <v>1912.9059999999999</v>
      </c>
      <c r="CQ140" s="86">
        <f>SUM(CQ134:CQ139)</f>
        <v>555.53899999999999</v>
      </c>
      <c r="CR140" s="86">
        <f t="shared" si="256"/>
        <v>911.53099999999995</v>
      </c>
      <c r="CS140" s="86">
        <f t="shared" si="256"/>
        <v>1521.7290000000003</v>
      </c>
      <c r="CT140" s="86">
        <f t="shared" si="256"/>
        <v>372.21299999999997</v>
      </c>
      <c r="CU140" s="86">
        <f t="shared" si="256"/>
        <v>1893.9420000000002</v>
      </c>
      <c r="CV140" s="86">
        <f t="shared" si="256"/>
        <v>659.44299999999998</v>
      </c>
      <c r="CW140" s="86">
        <f t="shared" si="256"/>
        <v>1123.116</v>
      </c>
      <c r="CX140" s="86">
        <f t="shared" si="256"/>
        <v>1924.1180000000002</v>
      </c>
      <c r="CY140" s="86">
        <f t="shared" ref="CY140:DH140" si="257">SUM(CY134:CY139)</f>
        <v>481.40399999999988</v>
      </c>
      <c r="CZ140" s="86">
        <f t="shared" si="257"/>
        <v>2405.5220000000004</v>
      </c>
      <c r="DA140" s="86">
        <f t="shared" si="257"/>
        <v>477.483</v>
      </c>
      <c r="DB140" s="86">
        <f t="shared" si="257"/>
        <v>865.29599999999982</v>
      </c>
      <c r="DC140" s="86">
        <f t="shared" si="257"/>
        <v>1571.9209999999998</v>
      </c>
      <c r="DD140" s="86">
        <f t="shared" si="257"/>
        <v>432.83500000000015</v>
      </c>
      <c r="DE140" s="86">
        <f t="shared" si="257"/>
        <v>2004.7559999999999</v>
      </c>
      <c r="DF140" s="86">
        <f t="shared" si="257"/>
        <v>642.32799999999997</v>
      </c>
      <c r="DG140" s="86">
        <f t="shared" si="257"/>
        <v>1074.2249999999999</v>
      </c>
      <c r="DH140" s="86">
        <f t="shared" si="257"/>
        <v>2002.9080000000001</v>
      </c>
      <c r="DI140" s="86">
        <f t="shared" ref="DI140:DQ140" si="258">SUM(DI134:DI139)</f>
        <v>581.12799999999993</v>
      </c>
      <c r="DJ140" s="86">
        <f t="shared" si="258"/>
        <v>2584.0360000000001</v>
      </c>
      <c r="DK140" s="86">
        <f t="shared" si="258"/>
        <v>592.649</v>
      </c>
      <c r="DL140" s="86">
        <f t="shared" si="258"/>
        <v>1039.511</v>
      </c>
      <c r="DM140" s="86">
        <f t="shared" si="258"/>
        <v>2004.3409999999999</v>
      </c>
      <c r="DN140" s="86">
        <f t="shared" si="258"/>
        <v>643.85100000000023</v>
      </c>
      <c r="DO140" s="86">
        <f t="shared" si="258"/>
        <v>2648.1920000000005</v>
      </c>
      <c r="DP140" s="86">
        <f t="shared" si="258"/>
        <v>985.39399999999989</v>
      </c>
      <c r="DQ140" s="86">
        <f t="shared" si="258"/>
        <v>1509.0449999999998</v>
      </c>
      <c r="DR140" s="86">
        <f t="shared" ref="DR140:DW140" si="259">SUM(DR134:DR139)</f>
        <v>2489.922</v>
      </c>
      <c r="DS140" s="86">
        <f t="shared" si="259"/>
        <v>535.9169999999998</v>
      </c>
      <c r="DT140" s="86">
        <f t="shared" si="259"/>
        <v>3025.8389999999999</v>
      </c>
      <c r="DU140" s="86">
        <f t="shared" si="259"/>
        <v>790.0630000000001</v>
      </c>
      <c r="DV140" s="86">
        <f t="shared" si="259"/>
        <v>1412.539</v>
      </c>
      <c r="DW140" s="86">
        <f t="shared" si="259"/>
        <v>2412.8540000000007</v>
      </c>
      <c r="DX140" s="86">
        <f t="shared" ref="DX140:ED140" si="260">SUM(DX134:DX139)</f>
        <v>639.44499999999971</v>
      </c>
      <c r="DY140" s="86">
        <f t="shared" si="260"/>
        <v>3052.299</v>
      </c>
      <c r="DZ140" s="86">
        <f t="shared" si="260"/>
        <v>718.15499999999997</v>
      </c>
      <c r="EA140" s="86">
        <f t="shared" si="260"/>
        <v>1291.819</v>
      </c>
      <c r="EB140" s="86">
        <f t="shared" si="260"/>
        <v>2367.1799999999998</v>
      </c>
      <c r="EC140" s="86">
        <f t="shared" si="260"/>
        <v>758.82000000000028</v>
      </c>
      <c r="ED140" s="86">
        <f t="shared" si="260"/>
        <v>3126</v>
      </c>
    </row>
    <row r="141" spans="2:134" x14ac:dyDescent="0.2">
      <c r="D141" s="42"/>
      <c r="E141" s="120"/>
      <c r="F141" s="139"/>
      <c r="G141" s="139"/>
      <c r="H141" s="119"/>
      <c r="I141" s="42"/>
      <c r="J141" s="120"/>
      <c r="K141" s="139"/>
      <c r="L141" s="139"/>
      <c r="M141" s="119"/>
      <c r="N141" s="42"/>
      <c r="O141" s="120"/>
      <c r="P141" s="139"/>
      <c r="Q141" s="139"/>
      <c r="R141" s="119"/>
      <c r="S141" s="42"/>
      <c r="T141" s="120"/>
      <c r="U141" s="139"/>
      <c r="V141" s="139"/>
      <c r="W141" s="119"/>
      <c r="X141" s="42"/>
      <c r="Y141" s="120"/>
      <c r="Z141" s="139"/>
      <c r="AA141" s="139"/>
      <c r="AB141" s="119"/>
      <c r="AC141" s="42"/>
      <c r="AD141" s="120"/>
      <c r="AE141" s="139"/>
      <c r="AF141" s="139">
        <f>XEL!AF142-'NSP-MN'!AF213-'NSP-WI'!AF203-PSCO!AF206-SPS!AF167</f>
        <v>9.1870000000000687</v>
      </c>
      <c r="AG141" s="119"/>
      <c r="AH141" s="42"/>
      <c r="AI141" s="120"/>
      <c r="AJ141" s="139"/>
      <c r="AK141" s="139"/>
      <c r="AL141" s="119"/>
      <c r="AM141" s="42"/>
      <c r="AN141" s="120"/>
      <c r="AO141" s="139"/>
      <c r="AP141" s="139"/>
      <c r="AQ141" s="119"/>
      <c r="AR141" s="42"/>
      <c r="AS141" s="120"/>
      <c r="AT141" s="139"/>
      <c r="AU141" s="139"/>
      <c r="AV141" s="119"/>
      <c r="AW141" s="42"/>
      <c r="AX141" s="120"/>
      <c r="AY141" s="139"/>
      <c r="AZ141" s="139"/>
      <c r="BA141" s="119"/>
      <c r="BB141" s="42"/>
      <c r="BC141" s="120"/>
      <c r="BD141" s="139"/>
      <c r="BE141" s="139"/>
      <c r="BF141" s="119"/>
      <c r="BG141" s="42"/>
      <c r="BH141" s="120"/>
      <c r="BI141" s="139"/>
      <c r="BJ141" s="139"/>
      <c r="BK141" s="119"/>
      <c r="BL141" s="42"/>
      <c r="BM141" s="120"/>
      <c r="BN141" s="139"/>
      <c r="BO141" s="139"/>
      <c r="BP141" s="119"/>
      <c r="BQ141" s="42"/>
      <c r="BT141" s="525"/>
      <c r="BU141" s="525"/>
      <c r="BV141" s="525"/>
      <c r="BW141" s="575"/>
      <c r="BX141" s="643"/>
      <c r="BY141" s="643"/>
      <c r="BZ141" s="525"/>
      <c r="CA141" s="525"/>
      <c r="CL141" s="220"/>
      <c r="CM141" s="220"/>
      <c r="CN141" s="220"/>
      <c r="CO141" s="220"/>
      <c r="CP141" s="220"/>
      <c r="CQ141" s="220"/>
      <c r="CR141" s="220"/>
      <c r="CS141" s="220"/>
      <c r="CT141" s="220"/>
      <c r="CU141" s="220"/>
      <c r="CV141" s="220"/>
      <c r="CW141" s="220"/>
      <c r="CX141" s="117"/>
      <c r="CY141" s="220"/>
      <c r="CZ141" s="220"/>
      <c r="DA141" s="220"/>
      <c r="DB141" s="117"/>
      <c r="DC141" s="117"/>
      <c r="DD141" s="220"/>
      <c r="DE141" s="220"/>
      <c r="DF141" s="220"/>
      <c r="DG141" s="117"/>
      <c r="DH141" s="117"/>
      <c r="DI141" s="220"/>
      <c r="DJ141" s="220"/>
      <c r="DK141" s="220"/>
      <c r="DL141" s="117"/>
      <c r="DM141" s="117"/>
      <c r="DN141" s="220"/>
      <c r="DO141" s="220"/>
      <c r="DP141" s="220"/>
      <c r="DQ141" s="117"/>
      <c r="DR141" s="117"/>
      <c r="DS141" s="220"/>
      <c r="DT141" s="220"/>
      <c r="DU141" s="220"/>
      <c r="DV141" s="117"/>
      <c r="DW141" s="117"/>
      <c r="DX141" s="220"/>
      <c r="DY141" s="220"/>
      <c r="DZ141" s="220"/>
      <c r="EA141" s="117"/>
      <c r="EB141" s="117"/>
      <c r="EC141" s="220"/>
      <c r="ED141" s="220"/>
    </row>
    <row r="142" spans="2:134" x14ac:dyDescent="0.2">
      <c r="C142" s="70" t="s">
        <v>183</v>
      </c>
      <c r="D142" s="42"/>
      <c r="E142" s="136">
        <f>+CL142</f>
        <v>-477.83800000000002</v>
      </c>
      <c r="F142" s="135">
        <f t="shared" ref="F142:G144" si="261">+CM142-CL142</f>
        <v>-469.63600000000002</v>
      </c>
      <c r="G142" s="135">
        <f t="shared" si="261"/>
        <v>-363.21199999999988</v>
      </c>
      <c r="H142" s="116">
        <f>+I142-CN142</f>
        <v>-476.21600000000012</v>
      </c>
      <c r="I142" s="42">
        <f>CP142</f>
        <v>-1786.902</v>
      </c>
      <c r="J142" s="120">
        <f>+CQ142</f>
        <v>-481.24200000000002</v>
      </c>
      <c r="K142" s="118">
        <f t="shared" ref="K142:L144" si="262">+CR142-CQ142</f>
        <v>-486.089</v>
      </c>
      <c r="L142" s="118">
        <f t="shared" si="262"/>
        <v>-594.65600000000006</v>
      </c>
      <c r="M142" s="119">
        <f>+N142-CS142</f>
        <v>-655.34000000000015</v>
      </c>
      <c r="N142" s="42">
        <f>CU142</f>
        <v>-2217.3270000000002</v>
      </c>
      <c r="O142" s="136">
        <f>+CV142</f>
        <v>-540.33900000000006</v>
      </c>
      <c r="P142" s="135">
        <f t="shared" ref="P142:Q144" si="263">+CW142-CV142</f>
        <v>-581.92999999999995</v>
      </c>
      <c r="Q142" s="135">
        <f t="shared" si="263"/>
        <v>-481.9369999999999</v>
      </c>
      <c r="R142" s="119">
        <f>+S142-CX142</f>
        <v>-692.19400000000019</v>
      </c>
      <c r="S142" s="42">
        <f>CZ142</f>
        <v>-2296.4</v>
      </c>
      <c r="T142" s="136">
        <f>+DA142</f>
        <v>-497.21800000000002</v>
      </c>
      <c r="U142" s="135">
        <f t="shared" ref="U142:V144" si="264">+DB142-DA142</f>
        <v>-606.34399999999982</v>
      </c>
      <c r="V142" s="135">
        <f t="shared" si="264"/>
        <v>-702.28100000000018</v>
      </c>
      <c r="W142" s="119">
        <f>+X142-DC142</f>
        <v>-764.36599999999976</v>
      </c>
      <c r="X142" s="42">
        <f>DE142</f>
        <v>-2570.2089999999998</v>
      </c>
      <c r="Y142" s="136">
        <f>+DF142</f>
        <v>-752.25099999999998</v>
      </c>
      <c r="Z142" s="135">
        <f t="shared" ref="Z142:AA144" si="265">+DG142-DF142</f>
        <v>-844.52700000000004</v>
      </c>
      <c r="AA142" s="135">
        <f t="shared" si="265"/>
        <v>-857.41999999999985</v>
      </c>
      <c r="AB142" s="119">
        <f>+AC142-DH142</f>
        <v>-941.12699999999995</v>
      </c>
      <c r="AC142" s="42">
        <f>DJ142</f>
        <v>-3395.3249999999998</v>
      </c>
      <c r="AD142" s="136">
        <f>+DK142</f>
        <v>-822.62800000000004</v>
      </c>
      <c r="AE142" s="135">
        <f t="shared" ref="AE142:AF144" si="266">+DL142-DK142</f>
        <v>-753.12</v>
      </c>
      <c r="AF142" s="135">
        <f t="shared" si="266"/>
        <v>-725.59099999999989</v>
      </c>
      <c r="AG142" s="119">
        <f>+AH142-DM142</f>
        <v>-898.45200000000023</v>
      </c>
      <c r="AH142" s="42">
        <f>DO142</f>
        <v>-3199.7910000000002</v>
      </c>
      <c r="AI142" s="136">
        <f>+DP142</f>
        <v>-770.60900000000004</v>
      </c>
      <c r="AJ142" s="135">
        <f t="shared" ref="AJ142:AK144" si="267">+DQ142-DP142</f>
        <v>-707.35</v>
      </c>
      <c r="AK142" s="135">
        <f t="shared" si="267"/>
        <v>-708.41000000000008</v>
      </c>
      <c r="AL142" s="119">
        <f>+AM142-DR142</f>
        <v>-1496.9899999999998</v>
      </c>
      <c r="AM142" s="42">
        <f>DT142</f>
        <v>-3683.3589999999999</v>
      </c>
      <c r="AN142" s="136">
        <f>+DU142</f>
        <v>-700.31899999999996</v>
      </c>
      <c r="AO142" s="135">
        <f t="shared" ref="AO142:AP144" si="268">+DV142-DU142</f>
        <v>-712.81</v>
      </c>
      <c r="AP142" s="135">
        <f t="shared" si="268"/>
        <v>-773.35400000000027</v>
      </c>
      <c r="AQ142" s="119">
        <f>+AR142-DW142</f>
        <v>-1069.067</v>
      </c>
      <c r="AR142" s="42">
        <f>DY142</f>
        <v>-3255.55</v>
      </c>
      <c r="AS142" s="136">
        <f>+DZ142</f>
        <v>-749.07299999999998</v>
      </c>
      <c r="AT142" s="135">
        <f t="shared" ref="AT142:AT144" si="269">+EA142-DZ142</f>
        <v>-724.71999999999991</v>
      </c>
      <c r="AU142" s="135">
        <f t="shared" ref="AU142:AU144" si="270">+EB142-EA142</f>
        <v>-782.65900000000033</v>
      </c>
      <c r="AV142" s="119">
        <f>+AW142-EB142</f>
        <v>-1062.5479999999998</v>
      </c>
      <c r="AW142" s="42">
        <f>ED142</f>
        <v>-3319</v>
      </c>
      <c r="AX142" s="136">
        <f>+-AX98</f>
        <v>-942.5</v>
      </c>
      <c r="AY142" s="135">
        <f>+-AY98</f>
        <v>-942.5</v>
      </c>
      <c r="AZ142" s="135">
        <f>+-AZ98</f>
        <v>-942.5</v>
      </c>
      <c r="BA142" s="116">
        <f>+-BA98</f>
        <v>-942.5</v>
      </c>
      <c r="BB142" s="42">
        <f>SUM(AX142:BA142)</f>
        <v>-3770</v>
      </c>
      <c r="BC142" s="136">
        <f>+-BC98</f>
        <v>-1102.5</v>
      </c>
      <c r="BD142" s="135">
        <f>+-BD98</f>
        <v>-1102.5</v>
      </c>
      <c r="BE142" s="135">
        <f>+-BE98</f>
        <v>-1102.5</v>
      </c>
      <c r="BF142" s="116">
        <f>+-BF98</f>
        <v>-1102.5</v>
      </c>
      <c r="BG142" s="42">
        <f>SUM(BC142:BF142)</f>
        <v>-4410</v>
      </c>
      <c r="BH142" s="136">
        <f>+-BH98</f>
        <v>-860</v>
      </c>
      <c r="BI142" s="135">
        <f>+-BI98</f>
        <v>-860</v>
      </c>
      <c r="BJ142" s="135">
        <f>+-BJ98</f>
        <v>-860</v>
      </c>
      <c r="BK142" s="116">
        <f>+-BK98</f>
        <v>-860</v>
      </c>
      <c r="BL142" s="42">
        <f>SUM(BH142:BK142)</f>
        <v>-3440</v>
      </c>
      <c r="BM142" s="136">
        <f>+-BM98</f>
        <v>-880</v>
      </c>
      <c r="BN142" s="135">
        <f>+-BN98</f>
        <v>-880</v>
      </c>
      <c r="BO142" s="135">
        <f>+-BO98</f>
        <v>-880</v>
      </c>
      <c r="BP142" s="116">
        <f>+-BP98</f>
        <v>-880</v>
      </c>
      <c r="BQ142" s="42">
        <f>SUM(BM142:BP142)</f>
        <v>-3520</v>
      </c>
      <c r="BT142" s="640"/>
      <c r="BU142" s="525"/>
      <c r="BV142" s="525"/>
      <c r="BW142" s="575"/>
      <c r="BX142" s="643"/>
      <c r="BY142" s="644"/>
      <c r="BZ142" s="525"/>
      <c r="CA142" s="525"/>
      <c r="CL142" s="117">
        <v>-477.83800000000002</v>
      </c>
      <c r="CM142" s="117">
        <v>-947.47400000000005</v>
      </c>
      <c r="CN142" s="117">
        <v>-1310.6859999999999</v>
      </c>
      <c r="CO142" s="82">
        <f>CP142-CN142</f>
        <v>-476.21600000000012</v>
      </c>
      <c r="CP142" s="117">
        <v>-1786.902</v>
      </c>
      <c r="CQ142" s="117">
        <v>-481.24200000000002</v>
      </c>
      <c r="CR142" s="117">
        <v>-967.33100000000002</v>
      </c>
      <c r="CS142" s="117">
        <v>-1561.9870000000001</v>
      </c>
      <c r="CT142" s="82">
        <f>CU142-CS142</f>
        <v>-655.34000000000015</v>
      </c>
      <c r="CU142" s="117">
        <v>-2217.3270000000002</v>
      </c>
      <c r="CV142" s="117">
        <v>-540.33900000000006</v>
      </c>
      <c r="CW142" s="117">
        <v>-1122.269</v>
      </c>
      <c r="CX142" s="117">
        <v>-1604.2059999999999</v>
      </c>
      <c r="CY142" s="82">
        <f>CZ142-CX142</f>
        <v>-692.19400000000019</v>
      </c>
      <c r="CZ142" s="117">
        <f>-2205.567-90.833</f>
        <v>-2296.4</v>
      </c>
      <c r="DA142" s="117">
        <v>-497.21800000000002</v>
      </c>
      <c r="DB142" s="117">
        <v>-1103.5619999999999</v>
      </c>
      <c r="DC142" s="117">
        <v>-1805.8430000000001</v>
      </c>
      <c r="DD142" s="82">
        <f>DE142-DC142</f>
        <v>-764.36599999999976</v>
      </c>
      <c r="DE142" s="117">
        <v>-2570.2089999999998</v>
      </c>
      <c r="DF142" s="117">
        <v>-752.25099999999998</v>
      </c>
      <c r="DG142" s="117">
        <v>-1596.778</v>
      </c>
      <c r="DH142" s="117">
        <v>-2454.1979999999999</v>
      </c>
      <c r="DI142" s="82">
        <f>DJ142-DH142</f>
        <v>-941.12699999999995</v>
      </c>
      <c r="DJ142" s="117">
        <v>-3395.3249999999998</v>
      </c>
      <c r="DK142" s="117">
        <v>-822.62800000000004</v>
      </c>
      <c r="DL142" s="117">
        <v>-1575.748</v>
      </c>
      <c r="DM142" s="117">
        <v>-2301.3389999999999</v>
      </c>
      <c r="DN142" s="82">
        <f>DO142-DM142</f>
        <v>-898.45200000000023</v>
      </c>
      <c r="DO142" s="117">
        <v>-3199.7910000000002</v>
      </c>
      <c r="DP142" s="117">
        <v>-770.60900000000004</v>
      </c>
      <c r="DQ142" s="117">
        <v>-1477.9590000000001</v>
      </c>
      <c r="DR142" s="117">
        <v>-2186.3690000000001</v>
      </c>
      <c r="DS142" s="82">
        <f>DT142-DR142</f>
        <v>-1496.9899999999998</v>
      </c>
      <c r="DT142" s="117">
        <v>-3683.3589999999999</v>
      </c>
      <c r="DU142" s="117">
        <v>-700.31899999999996</v>
      </c>
      <c r="DV142" s="117">
        <v>-1413.1289999999999</v>
      </c>
      <c r="DW142" s="117">
        <v>-2186.4830000000002</v>
      </c>
      <c r="DX142" s="82">
        <f>DY142-DW142</f>
        <v>-1069.067</v>
      </c>
      <c r="DY142" s="117">
        <v>-3255.55</v>
      </c>
      <c r="DZ142" s="117">
        <v>-749.07299999999998</v>
      </c>
      <c r="EA142" s="117">
        <v>-1473.7929999999999</v>
      </c>
      <c r="EB142" s="117">
        <v>-2256.4520000000002</v>
      </c>
      <c r="EC142" s="82">
        <f>ED142-EB142</f>
        <v>-1062.5479999999998</v>
      </c>
      <c r="ED142" s="117">
        <v>-3319</v>
      </c>
    </row>
    <row r="143" spans="2:134" x14ac:dyDescent="0.2">
      <c r="C143" s="70" t="s">
        <v>126</v>
      </c>
      <c r="D143" s="42"/>
      <c r="E143" s="136">
        <f>+CL143</f>
        <v>18.227</v>
      </c>
      <c r="F143" s="135">
        <f t="shared" si="261"/>
        <v>18.720000000000002</v>
      </c>
      <c r="G143" s="135">
        <f t="shared" si="261"/>
        <v>18.617999999999995</v>
      </c>
      <c r="H143" s="116">
        <f>+I143-CN143</f>
        <v>20.121000000000009</v>
      </c>
      <c r="I143" s="42">
        <f>CP143</f>
        <v>75.686000000000007</v>
      </c>
      <c r="J143" s="120">
        <f>+CQ143</f>
        <v>13.29</v>
      </c>
      <c r="K143" s="118">
        <f t="shared" si="262"/>
        <v>12.996000000000002</v>
      </c>
      <c r="L143" s="118">
        <f t="shared" si="262"/>
        <v>13.463999999999999</v>
      </c>
      <c r="M143" s="119">
        <f>+N143-CS143</f>
        <v>16.402000000000001</v>
      </c>
      <c r="N143" s="42">
        <f>CU143</f>
        <v>56.152000000000001</v>
      </c>
      <c r="O143" s="136">
        <f>+CV143</f>
        <v>13.244</v>
      </c>
      <c r="P143" s="135">
        <f t="shared" si="263"/>
        <v>13.606000000000002</v>
      </c>
      <c r="Q143" s="135">
        <f t="shared" si="263"/>
        <v>11.839999999999996</v>
      </c>
      <c r="R143" s="119">
        <f>+S143-CX143</f>
        <v>12.533000000000001</v>
      </c>
      <c r="S143" s="42">
        <f>CZ143</f>
        <v>51.222999999999999</v>
      </c>
      <c r="T143" s="136">
        <f>+DA143</f>
        <v>13.45</v>
      </c>
      <c r="U143" s="135">
        <f t="shared" si="264"/>
        <v>15.193999999999999</v>
      </c>
      <c r="V143" s="135">
        <f t="shared" si="264"/>
        <v>15.86</v>
      </c>
      <c r="W143" s="119">
        <f>+X143-DC143</f>
        <v>18.336000000000006</v>
      </c>
      <c r="X143" s="42">
        <f>DE143</f>
        <v>62.84</v>
      </c>
      <c r="Y143" s="136">
        <f>+DF143</f>
        <v>19.754000000000001</v>
      </c>
      <c r="Z143" s="135">
        <f t="shared" si="265"/>
        <v>22.108999999999998</v>
      </c>
      <c r="AA143" s="135">
        <f t="shared" si="265"/>
        <v>21.283999999999999</v>
      </c>
      <c r="AB143" s="119">
        <f>+AC143-DH143</f>
        <v>24.536000000000008</v>
      </c>
      <c r="AC143" s="42">
        <f>DJ143</f>
        <v>87.683000000000007</v>
      </c>
      <c r="AD143" s="136">
        <f>+DK143</f>
        <v>21.907</v>
      </c>
      <c r="AE143" s="135">
        <f t="shared" si="266"/>
        <v>23.608000000000001</v>
      </c>
      <c r="AF143" s="135">
        <f t="shared" si="266"/>
        <v>23.337000000000003</v>
      </c>
      <c r="AG143" s="119">
        <f>+AH143-DM143</f>
        <v>20.897999999999996</v>
      </c>
      <c r="AH143" s="42">
        <f>DO143</f>
        <v>89.75</v>
      </c>
      <c r="AI143" s="136">
        <f>+DP143</f>
        <v>12.66</v>
      </c>
      <c r="AJ143" s="135">
        <f t="shared" si="267"/>
        <v>12.640999999999998</v>
      </c>
      <c r="AK143" s="135">
        <f t="shared" si="267"/>
        <v>15.427000000000003</v>
      </c>
      <c r="AL143" s="119">
        <f>+AM143-DR143</f>
        <v>15.207999999999998</v>
      </c>
      <c r="AM143" s="42">
        <f>DT143</f>
        <v>55.936</v>
      </c>
      <c r="AN143" s="136">
        <f>+DU143</f>
        <v>13.113</v>
      </c>
      <c r="AO143" s="135">
        <f t="shared" si="268"/>
        <v>14.73</v>
      </c>
      <c r="AP143" s="135">
        <f t="shared" si="268"/>
        <v>17.199000000000002</v>
      </c>
      <c r="AQ143" s="119">
        <f>+AR143-DW143</f>
        <v>15.504999999999995</v>
      </c>
      <c r="AR143" s="42">
        <f>DY143</f>
        <v>60.546999999999997</v>
      </c>
      <c r="AS143" s="136">
        <f>+DZ143</f>
        <v>14.313000000000001</v>
      </c>
      <c r="AT143" s="135">
        <f t="shared" si="269"/>
        <v>16.386000000000003</v>
      </c>
      <c r="AU143" s="135">
        <f t="shared" si="270"/>
        <v>23.483000000000001</v>
      </c>
      <c r="AV143" s="119">
        <f>+AW143-EB143</f>
        <v>20.817999999999998</v>
      </c>
      <c r="AW143" s="42">
        <f>ED143</f>
        <v>75</v>
      </c>
      <c r="AX143" s="136">
        <f>+'NSP-MN'!AX214+PSCO!AX207+SPS!AX168+'NSP-WI'!AX204</f>
        <v>21.568649809261796</v>
      </c>
      <c r="AY143" s="137">
        <f>+'NSP-MN'!AY214+PSCO!AY207+SPS!AY168+'NSP-WI'!AY204</f>
        <v>21.568649809261796</v>
      </c>
      <c r="AZ143" s="137">
        <f>+'NSP-MN'!AZ214+PSCO!AZ207+SPS!AZ168+'NSP-WI'!AZ204</f>
        <v>21.568649809261796</v>
      </c>
      <c r="BA143" s="116">
        <f>+'NSP-MN'!BA214+PSCO!BA207+SPS!BA168+'NSP-WI'!BA204</f>
        <v>21.568649809261796</v>
      </c>
      <c r="BB143" s="42">
        <f>SUM(AX143:BA143)</f>
        <v>86.274599237047184</v>
      </c>
      <c r="BC143" s="136">
        <f>+'NSP-MN'!BC214+PSCO!BC207+SPS!BC168+'NSP-WI'!BC204</f>
        <v>25.041933453726251</v>
      </c>
      <c r="BD143" s="137">
        <f>+'NSP-MN'!BD214+PSCO!BD207+SPS!BD168+'NSP-WI'!BD204</f>
        <v>25.041933453726251</v>
      </c>
      <c r="BE143" s="137">
        <f>+'NSP-MN'!BE214+PSCO!BE207+SPS!BE168+'NSP-WI'!BE204</f>
        <v>25.041933453726251</v>
      </c>
      <c r="BF143" s="116">
        <f>+'NSP-MN'!BF214+PSCO!BF207+SPS!BF168+'NSP-WI'!BF204</f>
        <v>25.041933453726251</v>
      </c>
      <c r="BG143" s="42">
        <f>SUM(BC143:BF143)</f>
        <v>100.16773381490501</v>
      </c>
      <c r="BH143" s="136">
        <f>+'NSP-MN'!BH214+PSCO!BH207+SPS!BH168+'NSP-WI'!BH204</f>
        <v>19.549101474536076</v>
      </c>
      <c r="BI143" s="137">
        <f>+'NSP-MN'!BI214+PSCO!BI207+SPS!BI168+'NSP-WI'!BI204</f>
        <v>19.549101474536076</v>
      </c>
      <c r="BJ143" s="137">
        <f>+'NSP-MN'!BJ214+PSCO!BJ207+SPS!BJ168+'NSP-WI'!BJ204</f>
        <v>19.549101474536076</v>
      </c>
      <c r="BK143" s="116">
        <f>+'NSP-MN'!BK214+PSCO!BK207+SPS!BK168+'NSP-WI'!BK204</f>
        <v>19.549101474536076</v>
      </c>
      <c r="BL143" s="42">
        <f>SUM(BH143:BK143)</f>
        <v>78.196405898144306</v>
      </c>
      <c r="BM143" s="136">
        <f>+'NSP-MN'!BM214+PSCO!BM207+SPS!BM168+'NSP-WI'!BM204</f>
        <v>20.657565788994951</v>
      </c>
      <c r="BN143" s="137">
        <f>+'NSP-MN'!BN214+PSCO!BN207+SPS!BN168+'NSP-WI'!BN204</f>
        <v>20.657565788994951</v>
      </c>
      <c r="BO143" s="137">
        <f>+'NSP-MN'!BO214+PSCO!BO207+SPS!BO168+'NSP-WI'!BO204</f>
        <v>20.657565788994951</v>
      </c>
      <c r="BP143" s="116">
        <f>+'NSP-MN'!BP214+PSCO!BP207+SPS!BP168+'NSP-WI'!BP204</f>
        <v>20.657565788994951</v>
      </c>
      <c r="BQ143" s="42">
        <f>SUM(BM143:BP143)</f>
        <v>82.630263155979804</v>
      </c>
      <c r="BT143" s="525"/>
      <c r="BU143" s="525"/>
      <c r="BV143" s="525"/>
      <c r="BW143" s="575"/>
      <c r="BX143" s="643"/>
      <c r="BY143" s="643"/>
      <c r="BZ143" s="525"/>
      <c r="CA143" s="525"/>
      <c r="CL143" s="117">
        <v>18.227</v>
      </c>
      <c r="CM143" s="117">
        <v>36.947000000000003</v>
      </c>
      <c r="CN143" s="117">
        <v>55.564999999999998</v>
      </c>
      <c r="CO143" s="82">
        <f>CP143-CN143</f>
        <v>20.121000000000009</v>
      </c>
      <c r="CP143" s="117">
        <v>75.686000000000007</v>
      </c>
      <c r="CQ143" s="117">
        <v>13.29</v>
      </c>
      <c r="CR143" s="117">
        <v>26.286000000000001</v>
      </c>
      <c r="CS143" s="117">
        <v>39.75</v>
      </c>
      <c r="CT143" s="82">
        <f>CU143-CS143</f>
        <v>16.402000000000001</v>
      </c>
      <c r="CU143" s="117">
        <v>56.152000000000001</v>
      </c>
      <c r="CV143" s="117">
        <v>13.244</v>
      </c>
      <c r="CW143" s="117">
        <v>26.85</v>
      </c>
      <c r="CX143" s="117">
        <v>38.69</v>
      </c>
      <c r="CY143" s="82">
        <f>CZ143-CX143</f>
        <v>12.533000000000001</v>
      </c>
      <c r="CZ143" s="117">
        <v>51.222999999999999</v>
      </c>
      <c r="DA143" s="117">
        <v>13.45</v>
      </c>
      <c r="DB143" s="117">
        <v>28.643999999999998</v>
      </c>
      <c r="DC143" s="117">
        <v>44.503999999999998</v>
      </c>
      <c r="DD143" s="82">
        <f>DE143-DC143</f>
        <v>18.336000000000006</v>
      </c>
      <c r="DE143" s="117">
        <v>62.84</v>
      </c>
      <c r="DF143" s="117">
        <v>19.754000000000001</v>
      </c>
      <c r="DG143" s="117">
        <v>41.863</v>
      </c>
      <c r="DH143" s="117">
        <v>63.146999999999998</v>
      </c>
      <c r="DI143" s="82">
        <f>DJ143-DH143</f>
        <v>24.536000000000008</v>
      </c>
      <c r="DJ143" s="117">
        <v>87.683000000000007</v>
      </c>
      <c r="DK143" s="117">
        <v>21.907</v>
      </c>
      <c r="DL143" s="117">
        <v>45.515000000000001</v>
      </c>
      <c r="DM143" s="117">
        <v>68.852000000000004</v>
      </c>
      <c r="DN143" s="82">
        <f>DO143-DM143</f>
        <v>20.897999999999996</v>
      </c>
      <c r="DO143" s="117">
        <v>89.75</v>
      </c>
      <c r="DP143" s="117">
        <v>12.66</v>
      </c>
      <c r="DQ143" s="117">
        <v>25.300999999999998</v>
      </c>
      <c r="DR143" s="117">
        <v>40.728000000000002</v>
      </c>
      <c r="DS143" s="82">
        <f>DT143-DR143</f>
        <v>15.207999999999998</v>
      </c>
      <c r="DT143" s="117">
        <v>55.936</v>
      </c>
      <c r="DU143" s="117">
        <v>13.113</v>
      </c>
      <c r="DV143" s="117">
        <v>27.843</v>
      </c>
      <c r="DW143" s="117">
        <v>45.042000000000002</v>
      </c>
      <c r="DX143" s="82">
        <f>DY143-DW143</f>
        <v>15.504999999999995</v>
      </c>
      <c r="DY143" s="117">
        <v>60.546999999999997</v>
      </c>
      <c r="DZ143" s="117">
        <v>14.313000000000001</v>
      </c>
      <c r="EA143" s="117">
        <v>30.699000000000002</v>
      </c>
      <c r="EB143" s="117">
        <v>54.182000000000002</v>
      </c>
      <c r="EC143" s="82">
        <f>ED143-EB143</f>
        <v>20.817999999999998</v>
      </c>
      <c r="ED143" s="117">
        <v>75</v>
      </c>
    </row>
    <row r="144" spans="2:134" x14ac:dyDescent="0.2">
      <c r="C144" s="70" t="s">
        <v>184</v>
      </c>
      <c r="D144" s="42"/>
      <c r="E144" s="136">
        <f>+CL144</f>
        <v>-13.632999999999988</v>
      </c>
      <c r="F144" s="135">
        <f t="shared" si="261"/>
        <v>-9.4759999999999671</v>
      </c>
      <c r="G144" s="135">
        <f t="shared" si="261"/>
        <v>-15.881000000000217</v>
      </c>
      <c r="H144" s="116">
        <f>+I144-CN144</f>
        <v>15.526000000000256</v>
      </c>
      <c r="I144" s="42">
        <f>CP144</f>
        <v>-23.463999999999917</v>
      </c>
      <c r="J144" s="120">
        <f>+CQ144</f>
        <v>7.8400000000000434</v>
      </c>
      <c r="K144" s="118">
        <f t="shared" si="262"/>
        <v>-1.2209999999999228</v>
      </c>
      <c r="L144" s="118">
        <f t="shared" si="262"/>
        <v>-5.3399999999997458</v>
      </c>
      <c r="M144" s="119">
        <f>+N144-CS144</f>
        <v>-646.82800000000043</v>
      </c>
      <c r="N144" s="42">
        <f>CU144</f>
        <v>-645.54900000000009</v>
      </c>
      <c r="O144" s="136">
        <f>+CV144</f>
        <v>-97.252999999999972</v>
      </c>
      <c r="P144" s="135">
        <f t="shared" si="263"/>
        <v>102.78899999999993</v>
      </c>
      <c r="Q144" s="135">
        <f t="shared" si="263"/>
        <v>-100.97499999999967</v>
      </c>
      <c r="R144" s="119">
        <f>+S144-CX144</f>
        <v>92.814999999999671</v>
      </c>
      <c r="S144" s="42">
        <f>CZ144</f>
        <v>-2.624000000000037</v>
      </c>
      <c r="T144" s="136">
        <f>+DA144</f>
        <v>84.756</v>
      </c>
      <c r="U144" s="135">
        <f t="shared" si="264"/>
        <v>33.799999999999997</v>
      </c>
      <c r="V144" s="135">
        <f t="shared" si="264"/>
        <v>33.186999999999998</v>
      </c>
      <c r="W144" s="119">
        <f>+X144-DC144</f>
        <v>22.683999999999997</v>
      </c>
      <c r="X144" s="42">
        <f>DE144</f>
        <v>174.42699999999999</v>
      </c>
      <c r="Y144" s="136">
        <f>+DF144</f>
        <v>19.232999999999944</v>
      </c>
      <c r="Z144" s="135">
        <f t="shared" si="265"/>
        <v>23.705000000000016</v>
      </c>
      <c r="AA144" s="135">
        <f t="shared" si="265"/>
        <v>37.319000000000102</v>
      </c>
      <c r="AB144" s="119">
        <f>+AC144-DH144</f>
        <v>14.000999999999721</v>
      </c>
      <c r="AC144" s="42">
        <f>DJ144</f>
        <v>94.257999999999782</v>
      </c>
      <c r="AD144" s="136">
        <f>+DK144</f>
        <v>-4.9000000000000377E-2</v>
      </c>
      <c r="AE144" s="135">
        <f t="shared" si="266"/>
        <v>-0.94299999999997297</v>
      </c>
      <c r="AF144" s="135">
        <f t="shared" si="266"/>
        <v>-1.2770000000000481</v>
      </c>
      <c r="AG144" s="119">
        <f>+AH144-DM144</f>
        <v>-4.9409999999999883</v>
      </c>
      <c r="AH144" s="42">
        <f>DO144</f>
        <v>-7.2100000000000097</v>
      </c>
      <c r="AI144" s="136">
        <f>+DP144</f>
        <v>19.559999999999953</v>
      </c>
      <c r="AJ144" s="135">
        <f t="shared" si="267"/>
        <v>2.0749999999999744</v>
      </c>
      <c r="AK144" s="135">
        <f t="shared" si="267"/>
        <v>-15.241999999999972</v>
      </c>
      <c r="AL144" s="119">
        <f>+AM144-DR144</f>
        <v>-1.7439999999998035</v>
      </c>
      <c r="AM144" s="42">
        <f>DT144</f>
        <v>4.6490000000001501</v>
      </c>
      <c r="AN144" s="136">
        <f>+DU144</f>
        <v>-6.9010000000000034</v>
      </c>
      <c r="AO144" s="135">
        <f t="shared" si="268"/>
        <v>-51.132999999999939</v>
      </c>
      <c r="AP144" s="135">
        <f t="shared" si="268"/>
        <v>-6.7820000000000604</v>
      </c>
      <c r="AQ144" s="119">
        <f>+AR144-DW144</f>
        <v>-1.5939999999999657</v>
      </c>
      <c r="AR144" s="42">
        <f>DY144</f>
        <v>-66.409999999999968</v>
      </c>
      <c r="AS144" s="136">
        <f>+DZ144</f>
        <v>-12.978999999999989</v>
      </c>
      <c r="AT144" s="135">
        <f t="shared" si="269"/>
        <v>-18.005000000000052</v>
      </c>
      <c r="AU144" s="135">
        <f t="shared" si="270"/>
        <v>-5.3460000000000143</v>
      </c>
      <c r="AV144" s="119">
        <f>+AW144-EB144</f>
        <v>-15.669999999999945</v>
      </c>
      <c r="AW144" s="42">
        <f>ED144</f>
        <v>-52</v>
      </c>
      <c r="AX144" s="120">
        <f>+'NSP-MN'!AX215+PSCO!AX208+SPS!AX169+'NSP-WI'!AX205+Parent!AX61</f>
        <v>0</v>
      </c>
      <c r="AY144" s="118">
        <f>+'NSP-MN'!AY215+PSCO!AY208+SPS!AY169+'NSP-WI'!AY205+Parent!AY61</f>
        <v>0</v>
      </c>
      <c r="AZ144" s="118">
        <f>+'NSP-MN'!AZ215+PSCO!AZ208+SPS!AZ169+'NSP-WI'!AZ205+Parent!AZ61</f>
        <v>0</v>
      </c>
      <c r="BA144" s="119">
        <f>+'NSP-MN'!BA215+PSCO!BA208+SPS!BA169+'NSP-WI'!BA205+Parent!BA61</f>
        <v>0</v>
      </c>
      <c r="BB144" s="42">
        <f>SUM(AX144:BA144)</f>
        <v>0</v>
      </c>
      <c r="BC144" s="120">
        <f>+'NSP-MN'!BC215+PSCO!BC208+SPS!BC169+'NSP-WI'!BC205+Parent!BC61</f>
        <v>0</v>
      </c>
      <c r="BD144" s="118">
        <f>+'NSP-MN'!BD215+PSCO!BD208+SPS!BD169+'NSP-WI'!BD205+Parent!BD61</f>
        <v>0</v>
      </c>
      <c r="BE144" s="118">
        <f>+'NSP-MN'!BE215+PSCO!BE208+SPS!BE169+'NSP-WI'!BE205+Parent!BE61</f>
        <v>0</v>
      </c>
      <c r="BF144" s="119">
        <f>+'NSP-MN'!BF215+PSCO!BF208+SPS!BF169+'NSP-WI'!BF205+Parent!BF61</f>
        <v>0</v>
      </c>
      <c r="BG144" s="42">
        <f>SUM(BC144:BF144)</f>
        <v>0</v>
      </c>
      <c r="BH144" s="120">
        <f>+'NSP-MN'!BH215+PSCO!BH208+SPS!BH169+'NSP-WI'!BH205+Parent!BH61</f>
        <v>0</v>
      </c>
      <c r="BI144" s="118">
        <f>+'NSP-MN'!BI215+PSCO!BI208+SPS!BI169+'NSP-WI'!BI205+Parent!BI61</f>
        <v>0</v>
      </c>
      <c r="BJ144" s="118">
        <f>+'NSP-MN'!BJ215+PSCO!BJ208+SPS!BJ169+'NSP-WI'!BJ205+Parent!BJ61</f>
        <v>0</v>
      </c>
      <c r="BK144" s="119">
        <f>+'NSP-MN'!BK215+PSCO!BK208+SPS!BK169+'NSP-WI'!BK205+Parent!BK61</f>
        <v>0</v>
      </c>
      <c r="BL144" s="42">
        <f>SUM(BH144:BK144)</f>
        <v>0</v>
      </c>
      <c r="BM144" s="120">
        <f>+'NSP-MN'!BM215+PSCO!BM208+SPS!BM169+'NSP-WI'!BM205+Parent!BM61</f>
        <v>0</v>
      </c>
      <c r="BN144" s="118">
        <f>+'NSP-MN'!BN215+PSCO!BN208+SPS!BN169+'NSP-WI'!BN205+Parent!BN61</f>
        <v>0</v>
      </c>
      <c r="BO144" s="118">
        <f>+'NSP-MN'!BO215+PSCO!BO208+SPS!BO169+'NSP-WI'!BO205+Parent!BO61</f>
        <v>0</v>
      </c>
      <c r="BP144" s="119">
        <f>+'NSP-MN'!BP215+PSCO!BP208+SPS!BP169+'NSP-WI'!BP205+Parent!BP61</f>
        <v>0</v>
      </c>
      <c r="BQ144" s="42">
        <f>SUM(BM144:BP144)</f>
        <v>0</v>
      </c>
      <c r="BT144" s="525"/>
      <c r="BU144" s="525"/>
      <c r="BV144" s="525"/>
      <c r="BW144" s="575"/>
      <c r="BX144" s="643"/>
      <c r="BY144" s="643"/>
      <c r="BZ144" s="525"/>
      <c r="CA144" s="525"/>
      <c r="CL144" s="117">
        <f>-396.527+395.815-14.17+1.249</f>
        <v>-13.632999999999988</v>
      </c>
      <c r="CM144" s="117">
        <f>-1014.13+1012.705-25.254+0.033+3.537</f>
        <v>-23.108999999999956</v>
      </c>
      <c r="CN144" s="117">
        <f>-1278.554+1276.417-38.936-1.389+3.472</f>
        <v>-38.990000000000173</v>
      </c>
      <c r="CO144" s="82">
        <f>CP144-CN144</f>
        <v>15.526000000000256</v>
      </c>
      <c r="CP144" s="117">
        <f>-1644.278+1664.957-42.49+0.264-1.917</f>
        <v>-23.463999999999917</v>
      </c>
      <c r="CQ144" s="117">
        <f>-910.889+916.541-1.237-0.168+3.593</f>
        <v>7.8400000000000434</v>
      </c>
      <c r="CR144" s="117">
        <f>-3001.198+3006.616-2.905-0.044+4.15</f>
        <v>6.6190000000001206</v>
      </c>
      <c r="CS144" s="117">
        <f>-3309.093+3314.356-6.119+0.091+2.044</f>
        <v>1.2790000000003749</v>
      </c>
      <c r="CT144" s="82">
        <f>CU144-CS144</f>
        <v>-646.82800000000043</v>
      </c>
      <c r="CU144" s="117">
        <f>-3781.438+3786.373+87.823-732.495-8.046+0.089+2.145</f>
        <v>-645.54900000000009</v>
      </c>
      <c r="CV144" s="117">
        <f>-90.833-699.156+699.156-0.901+0.026-5.545</f>
        <v>-97.252999999999972</v>
      </c>
      <c r="CW144" s="117">
        <f>101.261-90.833-1226.504+1226.491-0.961+0.046-3.964</f>
        <v>5.5359999999999623</v>
      </c>
      <c r="CX144" s="117">
        <f>101.261-90.833-1741.907+1741.909-1.768-99.972-4.129</f>
        <v>-95.438999999999709</v>
      </c>
      <c r="CY144" s="82">
        <f>CZ144-CX144</f>
        <v>92.814999999999671</v>
      </c>
      <c r="CZ144" s="117">
        <f>101.261-2098.642+2098.642-2.446-95.287-6.152</f>
        <v>-2.624000000000037</v>
      </c>
      <c r="DA144" s="117">
        <f>-213.618+213.618-0.172+86.232-1.304</f>
        <v>84.756</v>
      </c>
      <c r="DB144" s="117">
        <f>24-371.361+371.361-0.379+94.959-0.024</f>
        <v>118.556</v>
      </c>
      <c r="DC144" s="117">
        <f>56.892-501.009+501.009-0.779+95.287+0.343</f>
        <v>151.74299999999999</v>
      </c>
      <c r="DD144" s="82">
        <f>DE144-DC144</f>
        <v>22.683999999999997</v>
      </c>
      <c r="DE144" s="117">
        <f>97.835-1102.025+1087.076-0.98+95.287-2.766</f>
        <v>174.42699999999999</v>
      </c>
      <c r="DF144" s="117">
        <f>23.5-586.239+584.948-0.231-2.745</f>
        <v>19.232999999999944</v>
      </c>
      <c r="DG144" s="117">
        <f>50-890.7+887.5-2.166-1.696</f>
        <v>42.93799999999996</v>
      </c>
      <c r="DH144" s="117">
        <f>90-1177.398+1172.597-3.418-1.524</f>
        <v>80.257000000000062</v>
      </c>
      <c r="DI144" s="82">
        <f>DJ144-DH144</f>
        <v>14.000999999999721</v>
      </c>
      <c r="DJ144" s="117">
        <f>37.118+90-1481.881+1461.291-7.504-4.766</f>
        <v>94.257999999999782</v>
      </c>
      <c r="DK144" s="117">
        <f>4.26-229.548+227.901-1.161-1.501</f>
        <v>-4.9000000000000377E-2</v>
      </c>
      <c r="DL144" s="117">
        <f>6-404.78+401.488-2.132-1.568</f>
        <v>-0.99199999999997335</v>
      </c>
      <c r="DM144" s="117">
        <f>6-499.493+494.554-2.22-1.11</f>
        <v>-2.2690000000000214</v>
      </c>
      <c r="DN144" s="82">
        <f>DO144-DM144</f>
        <v>-4.9409999999999883</v>
      </c>
      <c r="DO144" s="117">
        <f>6-595.569+588.43-2.376-3.695</f>
        <v>-7.2100000000000097</v>
      </c>
      <c r="DP144" s="117">
        <f>24.241-387.826+386.111-0.321-2.645</f>
        <v>19.559999999999953</v>
      </c>
      <c r="DQ144" s="117">
        <f>27.237-640.1+636.669-0.764-1.407</f>
        <v>21.634999999999927</v>
      </c>
      <c r="DR144" s="117">
        <f>27.237-773.26+753.924-0.832-0.676</f>
        <v>6.3929999999999536</v>
      </c>
      <c r="DS144" s="82">
        <f>DT144-DR144</f>
        <v>-1.7439999999998035</v>
      </c>
      <c r="DT144" s="117">
        <f>27.237-1257.924+1236.873-1.392-0.145</f>
        <v>4.6490000000001501</v>
      </c>
      <c r="DU144" s="117">
        <f>-109.373+104.28-0.26-1.548</f>
        <v>-6.9010000000000034</v>
      </c>
      <c r="DV144" s="117">
        <f>1.595-319.88+262.321-2.17+0.1</f>
        <v>-58.033999999999942</v>
      </c>
      <c r="DW144" s="117">
        <f>1.595-390.031+327.378-3.962+0.204</f>
        <v>-64.816000000000003</v>
      </c>
      <c r="DX144" s="82">
        <f>DY144-DW144</f>
        <v>-1.5939999999999657</v>
      </c>
      <c r="DY144" s="117">
        <f>4.509-546.612+478.866-3.962+0.789</f>
        <v>-66.409999999999968</v>
      </c>
      <c r="DZ144" s="117">
        <f>-172.738+167.645-2.571-5.315</f>
        <v>-12.978999999999989</v>
      </c>
      <c r="EA144" s="117">
        <f>-368.266+350.448-7.683-5.483</f>
        <v>-30.984000000000041</v>
      </c>
      <c r="EB144" s="117">
        <f>-971.469+948.558-7.616-5.803</f>
        <v>-36.330000000000055</v>
      </c>
      <c r="EC144" s="82">
        <f>ED144-EB144</f>
        <v>-15.669999999999945</v>
      </c>
      <c r="ED144" s="117">
        <f>-1697+1669-17-7</f>
        <v>-52</v>
      </c>
    </row>
    <row r="145" spans="3:134" x14ac:dyDescent="0.2">
      <c r="C145" s="26" t="s">
        <v>185</v>
      </c>
      <c r="D145" s="42"/>
      <c r="E145" s="121">
        <f>SUM(E142:E144)</f>
        <v>-473.24400000000003</v>
      </c>
      <c r="F145" s="122">
        <f>SUM(F142:F144)</f>
        <v>-460.39199999999994</v>
      </c>
      <c r="G145" s="122">
        <f>SUM(G142:G144)</f>
        <v>-360.47500000000008</v>
      </c>
      <c r="H145" s="123">
        <f>SUM(H142:H144)</f>
        <v>-440.5689999999999</v>
      </c>
      <c r="I145" s="86">
        <f>CP145</f>
        <v>-1734.68</v>
      </c>
      <c r="J145" s="121">
        <f>SUM(J142:J144)</f>
        <v>-460.11199999999997</v>
      </c>
      <c r="K145" s="122">
        <f>SUM(K142:K144)</f>
        <v>-474.31399999999996</v>
      </c>
      <c r="L145" s="122">
        <f>SUM(L142:L144)</f>
        <v>-586.5319999999997</v>
      </c>
      <c r="M145" s="123">
        <f>SUM(M142:M144)</f>
        <v>-1285.7660000000005</v>
      </c>
      <c r="N145" s="86">
        <f>CU145</f>
        <v>-2806.7240000000002</v>
      </c>
      <c r="O145" s="121">
        <f>SUM(O142:O144)</f>
        <v>-624.34799999999996</v>
      </c>
      <c r="P145" s="122">
        <f>SUM(P142:P144)</f>
        <v>-465.53500000000003</v>
      </c>
      <c r="Q145" s="122">
        <f>SUM(Q142:Q144)</f>
        <v>-571.07199999999955</v>
      </c>
      <c r="R145" s="123">
        <f>SUM(R142:R144)</f>
        <v>-586.84600000000046</v>
      </c>
      <c r="S145" s="86">
        <f>CZ145</f>
        <v>-2247.8010000000004</v>
      </c>
      <c r="T145" s="121">
        <f>SUM(T142:T144)</f>
        <v>-399.01200000000006</v>
      </c>
      <c r="U145" s="122">
        <f>SUM(U142:U144)</f>
        <v>-557.34999999999991</v>
      </c>
      <c r="V145" s="122">
        <f>SUM(V142:V144)</f>
        <v>-653.23400000000015</v>
      </c>
      <c r="W145" s="123">
        <f>SUM(W142:W144)</f>
        <v>-723.34599999999978</v>
      </c>
      <c r="X145" s="86">
        <f>DE145</f>
        <v>-2332.9419999999996</v>
      </c>
      <c r="Y145" s="121">
        <f>SUM(Y142:Y144)</f>
        <v>-713.26400000000001</v>
      </c>
      <c r="Z145" s="122">
        <f>SUM(Z142:Z144)</f>
        <v>-798.71299999999997</v>
      </c>
      <c r="AA145" s="122">
        <f>SUM(AA142:AA144)</f>
        <v>-798.81699999999978</v>
      </c>
      <c r="AB145" s="123">
        <f>SUM(AB142:AB144)</f>
        <v>-902.59000000000015</v>
      </c>
      <c r="AC145" s="86">
        <f>DJ145</f>
        <v>-3213.384</v>
      </c>
      <c r="AD145" s="121">
        <f>SUM(AD142:AD144)</f>
        <v>-800.77</v>
      </c>
      <c r="AE145" s="122">
        <f>SUM(AE142:AE144)</f>
        <v>-730.45500000000004</v>
      </c>
      <c r="AF145" s="122">
        <f>SUM(AF142:AF144)</f>
        <v>-703.53099999999995</v>
      </c>
      <c r="AG145" s="123">
        <f>SUM(AG142:AG144)</f>
        <v>-882.49500000000023</v>
      </c>
      <c r="AH145" s="86">
        <f>DO145</f>
        <v>-3117.2510000000002</v>
      </c>
      <c r="AI145" s="121">
        <f>SUM(AI142:AI144)</f>
        <v>-738.38900000000012</v>
      </c>
      <c r="AJ145" s="122">
        <f>SUM(AJ142:AJ144)</f>
        <v>-692.63400000000013</v>
      </c>
      <c r="AK145" s="122">
        <f>SUM(AK142:AK144)</f>
        <v>-708.22500000000002</v>
      </c>
      <c r="AL145" s="123">
        <f>SUM(AL142:AL144)</f>
        <v>-1483.5259999999996</v>
      </c>
      <c r="AM145" s="86">
        <f>DT145</f>
        <v>-3622.7739999999994</v>
      </c>
      <c r="AN145" s="121">
        <f>SUM(AN142:AN144)</f>
        <v>-694.10699999999986</v>
      </c>
      <c r="AO145" s="122">
        <f>SUM(AO142:AO144)</f>
        <v>-749.21299999999985</v>
      </c>
      <c r="AP145" s="122">
        <f>SUM(AP142:AP144)</f>
        <v>-762.93700000000035</v>
      </c>
      <c r="AQ145" s="123">
        <f>SUM(AQ142:AQ144)</f>
        <v>-1055.1559999999999</v>
      </c>
      <c r="AR145" s="86">
        <f>DY145</f>
        <v>-3261.413</v>
      </c>
      <c r="AS145" s="121">
        <f>SUM(AS142:AS144)</f>
        <v>-747.73900000000003</v>
      </c>
      <c r="AT145" s="122">
        <f>SUM(AT142:AT144)</f>
        <v>-726.33899999999994</v>
      </c>
      <c r="AU145" s="122">
        <f>SUM(AU142:AU144)</f>
        <v>-764.52200000000039</v>
      </c>
      <c r="AV145" s="123">
        <f>SUM(AV142:AV144)</f>
        <v>-1057.3999999999996</v>
      </c>
      <c r="AW145" s="86">
        <f>ED145</f>
        <v>-3296</v>
      </c>
      <c r="AX145" s="121">
        <f t="shared" ref="AX145:BG145" si="271">SUM(AX142:AX144)</f>
        <v>-920.93135019073816</v>
      </c>
      <c r="AY145" s="122">
        <f t="shared" si="271"/>
        <v>-920.93135019073816</v>
      </c>
      <c r="AZ145" s="122">
        <f t="shared" si="271"/>
        <v>-920.93135019073816</v>
      </c>
      <c r="BA145" s="123">
        <f t="shared" si="271"/>
        <v>-920.93135019073816</v>
      </c>
      <c r="BB145" s="86">
        <f t="shared" si="271"/>
        <v>-3683.7254007629526</v>
      </c>
      <c r="BC145" s="121">
        <f t="shared" si="271"/>
        <v>-1077.4580665462738</v>
      </c>
      <c r="BD145" s="122">
        <f t="shared" si="271"/>
        <v>-1077.4580665462738</v>
      </c>
      <c r="BE145" s="122">
        <f t="shared" si="271"/>
        <v>-1077.4580665462738</v>
      </c>
      <c r="BF145" s="123">
        <f t="shared" si="271"/>
        <v>-1077.4580665462738</v>
      </c>
      <c r="BG145" s="86">
        <f t="shared" si="271"/>
        <v>-4309.8322661850952</v>
      </c>
      <c r="BH145" s="121">
        <f t="shared" ref="BH145:BQ145" si="272">SUM(BH142:BH144)</f>
        <v>-840.45089852546391</v>
      </c>
      <c r="BI145" s="122">
        <f t="shared" si="272"/>
        <v>-840.45089852546391</v>
      </c>
      <c r="BJ145" s="122">
        <f t="shared" si="272"/>
        <v>-840.45089852546391</v>
      </c>
      <c r="BK145" s="123">
        <f t="shared" si="272"/>
        <v>-840.45089852546391</v>
      </c>
      <c r="BL145" s="86">
        <f t="shared" si="272"/>
        <v>-3361.8035941018557</v>
      </c>
      <c r="BM145" s="121">
        <f t="shared" si="272"/>
        <v>-859.34243421100507</v>
      </c>
      <c r="BN145" s="122">
        <f t="shared" si="272"/>
        <v>-859.34243421100507</v>
      </c>
      <c r="BO145" s="122">
        <f t="shared" si="272"/>
        <v>-859.34243421100507</v>
      </c>
      <c r="BP145" s="123">
        <f t="shared" si="272"/>
        <v>-859.34243421100507</v>
      </c>
      <c r="BQ145" s="86">
        <f t="shared" si="272"/>
        <v>-3437.3697368440203</v>
      </c>
      <c r="BT145" s="525"/>
      <c r="BU145" s="525"/>
      <c r="BV145" s="525"/>
      <c r="BW145" s="575"/>
      <c r="BX145" s="643"/>
      <c r="BY145" s="643"/>
      <c r="BZ145" s="525"/>
      <c r="CA145" s="525"/>
      <c r="CL145" s="86">
        <f t="shared" ref="CL145:CX145" si="273">SUM(CL142:CL144)</f>
        <v>-473.24400000000003</v>
      </c>
      <c r="CM145" s="86">
        <f t="shared" si="273"/>
        <v>-933.63599999999997</v>
      </c>
      <c r="CN145" s="86">
        <f t="shared" si="273"/>
        <v>-1294.1110000000001</v>
      </c>
      <c r="CO145" s="86">
        <f t="shared" si="273"/>
        <v>-440.5689999999999</v>
      </c>
      <c r="CP145" s="86">
        <f t="shared" si="273"/>
        <v>-1734.68</v>
      </c>
      <c r="CQ145" s="86">
        <f t="shared" si="273"/>
        <v>-460.11199999999997</v>
      </c>
      <c r="CR145" s="86">
        <f t="shared" si="273"/>
        <v>-934.42599999999993</v>
      </c>
      <c r="CS145" s="86">
        <f t="shared" si="273"/>
        <v>-1520.9579999999996</v>
      </c>
      <c r="CT145" s="86">
        <f t="shared" si="273"/>
        <v>-1285.7660000000005</v>
      </c>
      <c r="CU145" s="86">
        <f t="shared" si="273"/>
        <v>-2806.7240000000002</v>
      </c>
      <c r="CV145" s="86">
        <f t="shared" si="273"/>
        <v>-624.34799999999996</v>
      </c>
      <c r="CW145" s="86">
        <f t="shared" si="273"/>
        <v>-1089.883</v>
      </c>
      <c r="CX145" s="86">
        <f t="shared" si="273"/>
        <v>-1660.9549999999995</v>
      </c>
      <c r="CY145" s="86">
        <f t="shared" ref="CY145:DH145" si="274">SUM(CY142:CY144)</f>
        <v>-586.84600000000046</v>
      </c>
      <c r="CZ145" s="86">
        <f t="shared" si="274"/>
        <v>-2247.8010000000004</v>
      </c>
      <c r="DA145" s="86">
        <f t="shared" si="274"/>
        <v>-399.01200000000006</v>
      </c>
      <c r="DB145" s="86">
        <f t="shared" si="274"/>
        <v>-956.36199999999985</v>
      </c>
      <c r="DC145" s="86">
        <f t="shared" si="274"/>
        <v>-1609.5960000000002</v>
      </c>
      <c r="DD145" s="86">
        <f t="shared" si="274"/>
        <v>-723.34599999999978</v>
      </c>
      <c r="DE145" s="86">
        <f t="shared" si="274"/>
        <v>-2332.9419999999996</v>
      </c>
      <c r="DF145" s="86">
        <f t="shared" si="274"/>
        <v>-713.26400000000001</v>
      </c>
      <c r="DG145" s="86">
        <f t="shared" si="274"/>
        <v>-1511.9770000000001</v>
      </c>
      <c r="DH145" s="86">
        <f t="shared" si="274"/>
        <v>-2310.7939999999999</v>
      </c>
      <c r="DI145" s="86">
        <f t="shared" ref="DI145:DQ145" si="275">SUM(DI142:DI144)</f>
        <v>-902.59000000000015</v>
      </c>
      <c r="DJ145" s="86">
        <f t="shared" si="275"/>
        <v>-3213.384</v>
      </c>
      <c r="DK145" s="86">
        <f t="shared" si="275"/>
        <v>-800.77</v>
      </c>
      <c r="DL145" s="86">
        <f t="shared" si="275"/>
        <v>-1531.2249999999999</v>
      </c>
      <c r="DM145" s="86">
        <f t="shared" si="275"/>
        <v>-2234.7560000000003</v>
      </c>
      <c r="DN145" s="86">
        <f t="shared" si="275"/>
        <v>-882.49500000000023</v>
      </c>
      <c r="DO145" s="86">
        <f t="shared" si="275"/>
        <v>-3117.2510000000002</v>
      </c>
      <c r="DP145" s="86">
        <f t="shared" si="275"/>
        <v>-738.38900000000012</v>
      </c>
      <c r="DQ145" s="86">
        <f t="shared" si="275"/>
        <v>-1431.0230000000001</v>
      </c>
      <c r="DR145" s="86">
        <f t="shared" ref="DR145:DW145" si="276">SUM(DR142:DR144)</f>
        <v>-2139.248</v>
      </c>
      <c r="DS145" s="86">
        <f t="shared" si="276"/>
        <v>-1483.5259999999996</v>
      </c>
      <c r="DT145" s="86">
        <f t="shared" si="276"/>
        <v>-3622.7739999999994</v>
      </c>
      <c r="DU145" s="86">
        <f t="shared" si="276"/>
        <v>-694.10699999999986</v>
      </c>
      <c r="DV145" s="86">
        <f t="shared" si="276"/>
        <v>-1443.3199999999997</v>
      </c>
      <c r="DW145" s="86">
        <f t="shared" si="276"/>
        <v>-2206.2570000000001</v>
      </c>
      <c r="DX145" s="86">
        <f t="shared" ref="DX145:ED145" si="277">SUM(DX142:DX144)</f>
        <v>-1055.1559999999999</v>
      </c>
      <c r="DY145" s="86">
        <f t="shared" si="277"/>
        <v>-3261.413</v>
      </c>
      <c r="DZ145" s="86">
        <f t="shared" si="277"/>
        <v>-747.73900000000003</v>
      </c>
      <c r="EA145" s="86">
        <f t="shared" si="277"/>
        <v>-1474.078</v>
      </c>
      <c r="EB145" s="86">
        <f t="shared" si="277"/>
        <v>-2238.6000000000004</v>
      </c>
      <c r="EC145" s="86">
        <f t="shared" si="277"/>
        <v>-1057.3999999999996</v>
      </c>
      <c r="ED145" s="86">
        <f t="shared" si="277"/>
        <v>-3296</v>
      </c>
    </row>
    <row r="146" spans="3:134" x14ac:dyDescent="0.2">
      <c r="D146" s="42"/>
      <c r="E146" s="120"/>
      <c r="F146" s="139"/>
      <c r="G146" s="139"/>
      <c r="H146" s="119"/>
      <c r="I146" s="42"/>
      <c r="J146" s="120"/>
      <c r="K146" s="139"/>
      <c r="L146" s="139"/>
      <c r="M146" s="119"/>
      <c r="N146" s="42"/>
      <c r="O146" s="120"/>
      <c r="P146" s="139"/>
      <c r="Q146" s="139"/>
      <c r="R146" s="119"/>
      <c r="S146" s="42"/>
      <c r="T146" s="120"/>
      <c r="U146" s="139"/>
      <c r="V146" s="139"/>
      <c r="W146" s="119"/>
      <c r="X146" s="42"/>
      <c r="Y146" s="120"/>
      <c r="Z146" s="139"/>
      <c r="AA146" s="139"/>
      <c r="AB146" s="119"/>
      <c r="AC146" s="42"/>
      <c r="AD146" s="120"/>
      <c r="AE146" s="139"/>
      <c r="AF146" s="139"/>
      <c r="AG146" s="119"/>
      <c r="AH146" s="42"/>
      <c r="AI146" s="120"/>
      <c r="AJ146" s="139"/>
      <c r="AK146" s="139"/>
      <c r="AL146" s="119"/>
      <c r="AM146" s="42"/>
      <c r="AN146" s="120"/>
      <c r="AO146" s="139"/>
      <c r="AP146" s="139"/>
      <c r="AQ146" s="119"/>
      <c r="AR146" s="42"/>
      <c r="AS146" s="120"/>
      <c r="AT146" s="139"/>
      <c r="AU146" s="139"/>
      <c r="AV146" s="119"/>
      <c r="AW146" s="42"/>
      <c r="AX146" s="120"/>
      <c r="AY146" s="139"/>
      <c r="AZ146" s="139"/>
      <c r="BA146" s="119"/>
      <c r="BB146" s="42"/>
      <c r="BC146" s="120"/>
      <c r="BD146" s="139"/>
      <c r="BE146" s="139"/>
      <c r="BF146" s="119"/>
      <c r="BG146" s="42"/>
      <c r="BH146" s="120"/>
      <c r="BI146" s="139"/>
      <c r="BJ146" s="139"/>
      <c r="BK146" s="119"/>
      <c r="BL146" s="42"/>
      <c r="BM146" s="120"/>
      <c r="BN146" s="139"/>
      <c r="BO146" s="139"/>
      <c r="BP146" s="119"/>
      <c r="BQ146" s="42"/>
      <c r="BT146" s="525"/>
      <c r="BU146" s="525"/>
      <c r="BV146" s="525"/>
      <c r="BW146" s="575"/>
      <c r="BX146" s="643"/>
      <c r="BY146" s="643"/>
      <c r="BZ146" s="525"/>
      <c r="CA146" s="525"/>
      <c r="CL146" s="220"/>
      <c r="CM146" s="220"/>
      <c r="CN146" s="220"/>
      <c r="CO146" s="220"/>
      <c r="CP146" s="220"/>
      <c r="CQ146" s="220"/>
      <c r="CR146" s="220"/>
      <c r="CS146" s="220"/>
      <c r="CT146" s="220"/>
      <c r="CU146" s="220"/>
      <c r="CV146" s="219"/>
      <c r="CW146" s="219"/>
      <c r="CX146" s="219"/>
      <c r="CY146" s="220"/>
      <c r="CZ146" s="220"/>
      <c r="DA146" s="219"/>
      <c r="DB146" s="219"/>
      <c r="DC146" s="219"/>
      <c r="DD146" s="220"/>
      <c r="DE146" s="220"/>
      <c r="DF146" s="219"/>
      <c r="DG146" s="219"/>
      <c r="DH146" s="219"/>
      <c r="DI146" s="220"/>
      <c r="DJ146" s="220"/>
      <c r="DK146" s="219"/>
      <c r="DL146" s="219"/>
      <c r="DM146" s="219"/>
      <c r="DN146" s="220"/>
      <c r="DO146" s="220"/>
      <c r="DP146" s="219"/>
      <c r="DQ146" s="219"/>
      <c r="DR146" s="219"/>
      <c r="DS146" s="220"/>
      <c r="DT146" s="220"/>
      <c r="DU146" s="219"/>
      <c r="DV146" s="219"/>
      <c r="DW146" s="219"/>
      <c r="DX146" s="220"/>
      <c r="DY146" s="220"/>
      <c r="DZ146" s="219"/>
      <c r="EA146" s="219"/>
      <c r="EB146" s="219"/>
      <c r="EC146" s="220"/>
      <c r="ED146" s="220"/>
    </row>
    <row r="147" spans="3:134" x14ac:dyDescent="0.2">
      <c r="C147" s="20" t="s">
        <v>186</v>
      </c>
      <c r="D147" s="42"/>
      <c r="E147" s="136">
        <f t="shared" ref="E147:E153" si="278">+CL147</f>
        <v>0</v>
      </c>
      <c r="F147" s="135">
        <f t="shared" ref="F147:G153" si="279">+CM147-CL147</f>
        <v>394.89699999999999</v>
      </c>
      <c r="G147" s="135">
        <f t="shared" si="279"/>
        <v>-0.13499999999999091</v>
      </c>
      <c r="H147" s="116">
        <f t="shared" ref="H147:H153" si="280">+I147-CN147</f>
        <v>295.15299999999996</v>
      </c>
      <c r="I147" s="42">
        <f t="shared" ref="I147:I154" si="281">CP147</f>
        <v>689.91499999999996</v>
      </c>
      <c r="J147" s="120">
        <f t="shared" ref="J147:J153" si="282">+CQ147</f>
        <v>0</v>
      </c>
      <c r="K147" s="118">
        <f t="shared" ref="K147:L153" si="283">+CR147-CQ147</f>
        <v>544.20500000000004</v>
      </c>
      <c r="L147" s="118">
        <f t="shared" si="283"/>
        <v>494.1629999999999</v>
      </c>
      <c r="M147" s="119">
        <f t="shared" ref="M147:M153" si="284">+N147-CS147</f>
        <v>395.03800000000001</v>
      </c>
      <c r="N147" s="42">
        <f t="shared" ref="N147:N154" si="285">CU147</f>
        <v>1433.4059999999999</v>
      </c>
      <c r="O147" s="136">
        <f t="shared" ref="O147:O153" si="286">+CV147</f>
        <v>0</v>
      </c>
      <c r="P147" s="135">
        <f t="shared" ref="P147:Q153" si="287">+CW147-CV147</f>
        <v>0</v>
      </c>
      <c r="Q147" s="118">
        <f t="shared" si="287"/>
        <v>688.68600000000004</v>
      </c>
      <c r="R147" s="119">
        <f t="shared" ref="R147:R153" si="288">+S147-CX147</f>
        <v>-8.8000000000079126E-2</v>
      </c>
      <c r="S147" s="42">
        <f t="shared" ref="S147:S154" si="289">CZ147</f>
        <v>688.59799999999996</v>
      </c>
      <c r="T147" s="136">
        <f t="shared" ref="T147:T153" si="290">+DA147</f>
        <v>0.745</v>
      </c>
      <c r="U147" s="135">
        <f t="shared" ref="U147:V153" si="291">+DB147-DA147</f>
        <v>110.27</v>
      </c>
      <c r="V147" s="118">
        <f t="shared" si="291"/>
        <v>1580.3069999999998</v>
      </c>
      <c r="W147" s="119">
        <f t="shared" ref="W147:W153" si="292">+X147-DC147</f>
        <v>98.809000000000196</v>
      </c>
      <c r="X147" s="42">
        <f t="shared" ref="X147:X154" si="293">DE147</f>
        <v>1790.1310000000001</v>
      </c>
      <c r="Y147" s="136">
        <f t="shared" ref="Y147:Y153" si="294">+DF147</f>
        <v>494.28199999999998</v>
      </c>
      <c r="Z147" s="135">
        <f t="shared" ref="Z147:AA153" si="295">+DG147-DF147</f>
        <v>842.76300000000015</v>
      </c>
      <c r="AA147" s="118">
        <f t="shared" si="295"/>
        <v>97.94399999999996</v>
      </c>
      <c r="AB147" s="119">
        <f t="shared" ref="AB147:AB153" si="296">+AC147-DH147</f>
        <v>-3.0940000000000509</v>
      </c>
      <c r="AC147" s="42">
        <f t="shared" ref="AC147:AC154" si="297">DJ147</f>
        <v>1431.895</v>
      </c>
      <c r="AD147" s="136">
        <f t="shared" ref="AD147:AD153" si="298">+DK147</f>
        <v>295.99900000000002</v>
      </c>
      <c r="AE147" s="135">
        <f t="shared" ref="AE147:AF153" si="299">+DL147-DK147</f>
        <v>542.58299999999997</v>
      </c>
      <c r="AF147" s="118">
        <f t="shared" si="299"/>
        <v>-0.78800000000001091</v>
      </c>
      <c r="AG147" s="119">
        <f t="shared" ref="AG147:AG153" si="300">+AH147-DM147</f>
        <v>-0.21000000000003638</v>
      </c>
      <c r="AH147" s="42">
        <f t="shared" ref="AH147:AH154" si="301">DO147</f>
        <v>837.58399999999995</v>
      </c>
      <c r="AI147" s="136">
        <f t="shared" ref="AI147:AI153" si="302">+DP147</f>
        <v>0</v>
      </c>
      <c r="AJ147" s="135">
        <f t="shared" ref="AJ147:AK153" si="303">+DQ147-DP147</f>
        <v>841.53399999999999</v>
      </c>
      <c r="AK147" s="118">
        <f t="shared" si="303"/>
        <v>785.65600000000006</v>
      </c>
      <c r="AL147" s="119">
        <f t="shared" ref="AL147:AL153" si="304">+AM147-DR147</f>
        <v>-0.97800000000006548</v>
      </c>
      <c r="AM147" s="42">
        <f t="shared" ref="AM147:AM154" si="305">DT147</f>
        <v>1626.212</v>
      </c>
      <c r="AN147" s="136">
        <f>+DU147</f>
        <v>747.12699999999995</v>
      </c>
      <c r="AO147" s="135">
        <f t="shared" ref="AO147:AP153" si="306">+DV147-DU147</f>
        <v>590.30300000000011</v>
      </c>
      <c r="AP147" s="118">
        <f>+DW147-DV147</f>
        <v>295.21199999999999</v>
      </c>
      <c r="AQ147" s="119">
        <f t="shared" ref="AQ147:AQ153" si="307">+AR147-DW147</f>
        <v>791.12599999999998</v>
      </c>
      <c r="AR147" s="42">
        <f t="shared" ref="AR147:AR154" si="308">DY147</f>
        <v>2423.768</v>
      </c>
      <c r="AS147" s="136">
        <f>+DZ147</f>
        <v>0</v>
      </c>
      <c r="AT147" s="135">
        <f t="shared" ref="AT147:AT153" si="309">+EA147-DZ147</f>
        <v>394.04599999999999</v>
      </c>
      <c r="AU147" s="118">
        <f>+EB147-EA147</f>
        <v>1028.117</v>
      </c>
      <c r="AV147" s="119">
        <f t="shared" ref="AV147:AV153" si="310">+AW147-EB147</f>
        <v>95.836999999999989</v>
      </c>
      <c r="AW147" s="42">
        <f t="shared" ref="AW147:AW154" si="311">ED147</f>
        <v>1518</v>
      </c>
      <c r="AX147" s="120">
        <f>+AX103</f>
        <v>300</v>
      </c>
      <c r="AY147" s="118">
        <f>+AY103</f>
        <v>0</v>
      </c>
      <c r="AZ147" s="118">
        <f>+AZ103</f>
        <v>1850</v>
      </c>
      <c r="BA147" s="119">
        <f>+BA103</f>
        <v>200</v>
      </c>
      <c r="BB147" s="42">
        <f t="shared" ref="BB147:BB154" si="312">SUM(AX147:BA147)</f>
        <v>2350</v>
      </c>
      <c r="BC147" s="120">
        <f>+BC103</f>
        <v>0</v>
      </c>
      <c r="BD147" s="118">
        <f>+BD103</f>
        <v>200</v>
      </c>
      <c r="BE147" s="118">
        <f>+BE103</f>
        <v>1150</v>
      </c>
      <c r="BF147" s="119">
        <f>+BF103</f>
        <v>0</v>
      </c>
      <c r="BG147" s="42">
        <f t="shared" ref="BG147:BG154" si="313">SUM(BC147:BF147)</f>
        <v>1350</v>
      </c>
      <c r="BH147" s="120">
        <f>+BH103</f>
        <v>0</v>
      </c>
      <c r="BI147" s="118">
        <f>+BI103</f>
        <v>400</v>
      </c>
      <c r="BJ147" s="118">
        <f>+BJ103</f>
        <v>1550</v>
      </c>
      <c r="BK147" s="119">
        <f>+BK103</f>
        <v>0</v>
      </c>
      <c r="BL147" s="42">
        <f t="shared" ref="BL147:BL154" si="314">SUM(BH147:BK147)</f>
        <v>1950</v>
      </c>
      <c r="BM147" s="120">
        <f>+BM103</f>
        <v>0</v>
      </c>
      <c r="BN147" s="118">
        <f>+BN103</f>
        <v>400</v>
      </c>
      <c r="BO147" s="118">
        <f>+BO103</f>
        <v>1150</v>
      </c>
      <c r="BP147" s="119">
        <f>+BP103</f>
        <v>0</v>
      </c>
      <c r="BQ147" s="42">
        <f t="shared" ref="BQ147:BQ154" si="315">SUM(BM147:BP147)</f>
        <v>1550</v>
      </c>
      <c r="BT147" s="640">
        <f>BQ147+BL147+BG147+BB147-BB148-BG148-BL148-BQ148</f>
        <v>9718.6</v>
      </c>
      <c r="BU147" s="525"/>
      <c r="BV147" s="525"/>
      <c r="BW147" s="575"/>
      <c r="BX147" s="643"/>
      <c r="BY147" s="644"/>
      <c r="BZ147" s="645"/>
      <c r="CA147" s="525"/>
      <c r="CL147" s="117">
        <v>0</v>
      </c>
      <c r="CM147" s="117">
        <v>394.89699999999999</v>
      </c>
      <c r="CN147" s="117">
        <v>394.762</v>
      </c>
      <c r="CO147" s="82">
        <f t="shared" ref="CO147:CO153" si="316">CP147-CN147</f>
        <v>295.15299999999996</v>
      </c>
      <c r="CP147" s="117">
        <v>689.91499999999996</v>
      </c>
      <c r="CQ147" s="117">
        <v>0</v>
      </c>
      <c r="CR147" s="117">
        <v>544.20500000000004</v>
      </c>
      <c r="CS147" s="117">
        <v>1038.3679999999999</v>
      </c>
      <c r="CT147" s="82">
        <f t="shared" ref="CT147:CT153" si="317">CU147-CS147</f>
        <v>395.03800000000001</v>
      </c>
      <c r="CU147" s="117">
        <v>1433.4059999999999</v>
      </c>
      <c r="CV147" s="117">
        <v>0</v>
      </c>
      <c r="CW147" s="117">
        <v>0</v>
      </c>
      <c r="CX147" s="117">
        <v>688.68600000000004</v>
      </c>
      <c r="CY147" s="82">
        <f t="shared" ref="CY147:CY153" si="318">CZ147-CX147</f>
        <v>-8.8000000000079126E-2</v>
      </c>
      <c r="CZ147" s="117">
        <v>688.59799999999996</v>
      </c>
      <c r="DA147" s="117">
        <v>0.745</v>
      </c>
      <c r="DB147" s="117">
        <v>111.015</v>
      </c>
      <c r="DC147" s="117">
        <v>1691.3219999999999</v>
      </c>
      <c r="DD147" s="82">
        <f t="shared" ref="DD147:DD153" si="319">DE147-DC147</f>
        <v>98.809000000000196</v>
      </c>
      <c r="DE147" s="117">
        <v>1790.1310000000001</v>
      </c>
      <c r="DF147" s="117">
        <v>494.28199999999998</v>
      </c>
      <c r="DG147" s="117">
        <v>1337.0450000000001</v>
      </c>
      <c r="DH147" s="117">
        <v>1434.989</v>
      </c>
      <c r="DI147" s="82">
        <f t="shared" ref="DI147:DI153" si="320">DJ147-DH147</f>
        <v>-3.0940000000000509</v>
      </c>
      <c r="DJ147" s="117">
        <v>1431.895</v>
      </c>
      <c r="DK147" s="117">
        <v>295.99900000000002</v>
      </c>
      <c r="DL147" s="117">
        <v>838.58199999999999</v>
      </c>
      <c r="DM147" s="117">
        <v>837.79399999999998</v>
      </c>
      <c r="DN147" s="82">
        <f t="shared" ref="DN147:DN153" si="321">DO147-DM147</f>
        <v>-0.21000000000003638</v>
      </c>
      <c r="DO147" s="117">
        <v>837.58399999999995</v>
      </c>
      <c r="DP147" s="117">
        <v>0</v>
      </c>
      <c r="DQ147" s="117">
        <v>841.53399999999999</v>
      </c>
      <c r="DR147" s="117">
        <v>1627.19</v>
      </c>
      <c r="DS147" s="82">
        <f t="shared" ref="DS147:DS153" si="322">DT147-DR147</f>
        <v>-0.97800000000006548</v>
      </c>
      <c r="DT147" s="117">
        <v>1626.212</v>
      </c>
      <c r="DU147" s="117">
        <v>747.12699999999995</v>
      </c>
      <c r="DV147" s="117">
        <v>1337.43</v>
      </c>
      <c r="DW147" s="117">
        <v>1632.6420000000001</v>
      </c>
      <c r="DX147" s="82">
        <f t="shared" ref="DX147:DX153" si="323">DY147-DW147</f>
        <v>791.12599999999998</v>
      </c>
      <c r="DY147" s="117">
        <v>2423.768</v>
      </c>
      <c r="DZ147" s="117">
        <v>0</v>
      </c>
      <c r="EA147" s="117">
        <v>394.04599999999999</v>
      </c>
      <c r="EB147" s="117">
        <v>1422.163</v>
      </c>
      <c r="EC147" s="82">
        <f t="shared" ref="EC147:EC153" si="324">ED147-EB147</f>
        <v>95.836999999999989</v>
      </c>
      <c r="ED147" s="117">
        <v>1518</v>
      </c>
    </row>
    <row r="148" spans="3:134" x14ac:dyDescent="0.2">
      <c r="C148" s="20" t="s">
        <v>187</v>
      </c>
      <c r="D148" s="42"/>
      <c r="E148" s="136">
        <f t="shared" si="278"/>
        <v>-167.905</v>
      </c>
      <c r="F148" s="135">
        <f t="shared" si="279"/>
        <v>-1.0660000000000025</v>
      </c>
      <c r="G148" s="135">
        <f t="shared" si="279"/>
        <v>-451.10299999999995</v>
      </c>
      <c r="H148" s="116">
        <f t="shared" si="280"/>
        <v>-1.2220000000000937</v>
      </c>
      <c r="I148" s="42">
        <f t="shared" si="281"/>
        <v>-621.29600000000005</v>
      </c>
      <c r="J148" s="120">
        <f t="shared" si="282"/>
        <v>-25.355</v>
      </c>
      <c r="K148" s="118">
        <f t="shared" si="283"/>
        <v>-0.50499999999999901</v>
      </c>
      <c r="L148" s="118">
        <f t="shared" si="283"/>
        <v>-174.59199999999998</v>
      </c>
      <c r="M148" s="119">
        <f t="shared" si="284"/>
        <v>-359.93100000000004</v>
      </c>
      <c r="N148" s="42">
        <f t="shared" si="285"/>
        <v>-560.38300000000004</v>
      </c>
      <c r="O148" s="136">
        <f t="shared" si="286"/>
        <v>-0.55100000000000005</v>
      </c>
      <c r="P148" s="135">
        <f t="shared" si="287"/>
        <v>-1.19</v>
      </c>
      <c r="Q148" s="118">
        <f t="shared" si="287"/>
        <v>-102.78400000000001</v>
      </c>
      <c r="R148" s="119">
        <f t="shared" si="288"/>
        <v>-1.097999999999999</v>
      </c>
      <c r="S148" s="42">
        <f t="shared" si="289"/>
        <v>-105.623</v>
      </c>
      <c r="T148" s="136">
        <f t="shared" si="290"/>
        <v>-0.75800000000000001</v>
      </c>
      <c r="U148" s="135">
        <f t="shared" si="291"/>
        <v>-1.6970000000000001</v>
      </c>
      <c r="V148" s="118">
        <f t="shared" si="291"/>
        <v>-651.077</v>
      </c>
      <c r="W148" s="119">
        <f t="shared" si="292"/>
        <v>-649.23099999999988</v>
      </c>
      <c r="X148" s="42">
        <f t="shared" si="293"/>
        <v>-1302.7629999999999</v>
      </c>
      <c r="Y148" s="136">
        <f t="shared" si="294"/>
        <v>-251.36699999999999</v>
      </c>
      <c r="Z148" s="135">
        <f t="shared" si="295"/>
        <v>-400.149</v>
      </c>
      <c r="AA148" s="118">
        <f t="shared" si="295"/>
        <v>-3.34800000000007</v>
      </c>
      <c r="AB148" s="119">
        <f t="shared" si="296"/>
        <v>2.4130000000000109</v>
      </c>
      <c r="AC148" s="42">
        <f t="shared" si="297"/>
        <v>-652.45100000000002</v>
      </c>
      <c r="AD148" s="136">
        <f t="shared" si="298"/>
        <v>-0.224</v>
      </c>
      <c r="AE148" s="135">
        <f t="shared" si="299"/>
        <v>-275.26</v>
      </c>
      <c r="AF148" s="118">
        <f t="shared" si="299"/>
        <v>-0.22400000000004638</v>
      </c>
      <c r="AG148" s="119">
        <f t="shared" si="300"/>
        <v>-0.23999999999995225</v>
      </c>
      <c r="AH148" s="42">
        <f t="shared" si="301"/>
        <v>-275.94799999999998</v>
      </c>
      <c r="AI148" s="136">
        <f t="shared" si="302"/>
        <v>-0.45500000000000002</v>
      </c>
      <c r="AJ148" s="135">
        <f t="shared" si="303"/>
        <v>1.0000000000000009E-3</v>
      </c>
      <c r="AK148" s="118">
        <f t="shared" si="303"/>
        <v>-250.19</v>
      </c>
      <c r="AL148" s="119">
        <f t="shared" si="304"/>
        <v>-0.23799999999999955</v>
      </c>
      <c r="AM148" s="42">
        <f t="shared" si="305"/>
        <v>-250.88200000000001</v>
      </c>
      <c r="AN148" s="136">
        <f t="shared" ref="AN148:AN153" si="325">+DU148</f>
        <v>-0.33300000000000002</v>
      </c>
      <c r="AO148" s="135">
        <f t="shared" si="306"/>
        <v>-579.64300000000003</v>
      </c>
      <c r="AP148" s="118">
        <f t="shared" si="306"/>
        <v>-0.19100000000003092</v>
      </c>
      <c r="AQ148" s="119">
        <f t="shared" si="307"/>
        <v>-455.73400000000004</v>
      </c>
      <c r="AR148" s="42">
        <f t="shared" si="308"/>
        <v>-1035.9010000000001</v>
      </c>
      <c r="AS148" s="136">
        <f t="shared" ref="AS148:AS153" si="326">+DZ148</f>
        <v>-0.217</v>
      </c>
      <c r="AT148" s="135">
        <f t="shared" si="309"/>
        <v>-250.17999999999998</v>
      </c>
      <c r="AU148" s="118">
        <f t="shared" ref="AU148:AU153" si="327">+EB148-EA148</f>
        <v>-779.702</v>
      </c>
      <c r="AV148" s="119">
        <f t="shared" si="310"/>
        <v>9.8999999999932697E-2</v>
      </c>
      <c r="AW148" s="42">
        <f t="shared" si="311"/>
        <v>-1030</v>
      </c>
      <c r="AX148" s="120">
        <f>AX104</f>
        <v>0</v>
      </c>
      <c r="AY148" s="118">
        <f>AY104</f>
        <v>0</v>
      </c>
      <c r="AZ148" s="118">
        <f>AZ104</f>
        <v>-300</v>
      </c>
      <c r="BA148" s="119">
        <f>BA104</f>
        <v>-150</v>
      </c>
      <c r="BB148" s="42">
        <f t="shared" si="312"/>
        <v>-450</v>
      </c>
      <c r="BC148" s="120">
        <f>BC104</f>
        <v>0</v>
      </c>
      <c r="BD148" s="118">
        <f>BD104</f>
        <v>-400</v>
      </c>
      <c r="BE148" s="118">
        <f>BE104</f>
        <v>0</v>
      </c>
      <c r="BF148" s="119">
        <f>BF104</f>
        <v>0</v>
      </c>
      <c r="BG148" s="42">
        <f t="shared" si="313"/>
        <v>-400</v>
      </c>
      <c r="BH148" s="120">
        <f>BH104</f>
        <v>0</v>
      </c>
      <c r="BI148" s="118">
        <f>BI104</f>
        <v>-550</v>
      </c>
      <c r="BJ148" s="118">
        <f>BJ104</f>
        <v>-300</v>
      </c>
      <c r="BK148" s="119">
        <f>BK104</f>
        <v>-400</v>
      </c>
      <c r="BL148" s="42">
        <f t="shared" si="314"/>
        <v>-1250</v>
      </c>
      <c r="BM148" s="120">
        <f>BM104</f>
        <v>-400</v>
      </c>
      <c r="BN148" s="118">
        <f>BN104</f>
        <v>0</v>
      </c>
      <c r="BO148" s="118">
        <f>BO104</f>
        <v>0</v>
      </c>
      <c r="BP148" s="119">
        <f>BP104</f>
        <v>-18.600000000000001</v>
      </c>
      <c r="BQ148" s="42">
        <f t="shared" si="315"/>
        <v>-418.6</v>
      </c>
      <c r="BT148" s="640"/>
      <c r="BU148" s="525"/>
      <c r="BV148" s="525"/>
      <c r="BW148" s="575"/>
      <c r="BX148" s="643"/>
      <c r="BY148" s="644"/>
      <c r="BZ148" s="525"/>
      <c r="CA148" s="525"/>
      <c r="CL148" s="117">
        <v>-167.905</v>
      </c>
      <c r="CM148" s="117">
        <v>-168.971</v>
      </c>
      <c r="CN148" s="117">
        <v>-620.07399999999996</v>
      </c>
      <c r="CO148" s="82">
        <f t="shared" si="316"/>
        <v>-1.2220000000000937</v>
      </c>
      <c r="CP148" s="117">
        <v>-621.29600000000005</v>
      </c>
      <c r="CQ148" s="117">
        <v>-25.355</v>
      </c>
      <c r="CR148" s="117">
        <v>-25.86</v>
      </c>
      <c r="CS148" s="117">
        <v>-200.452</v>
      </c>
      <c r="CT148" s="82">
        <f t="shared" si="317"/>
        <v>-359.93100000000004</v>
      </c>
      <c r="CU148" s="117">
        <v>-560.38300000000004</v>
      </c>
      <c r="CV148" s="117">
        <v>-0.55100000000000005</v>
      </c>
      <c r="CW148" s="117">
        <v>-1.7410000000000001</v>
      </c>
      <c r="CX148" s="117">
        <v>-104.52500000000001</v>
      </c>
      <c r="CY148" s="82">
        <f t="shared" si="318"/>
        <v>-1.097999999999999</v>
      </c>
      <c r="CZ148" s="117">
        <v>-105.623</v>
      </c>
      <c r="DA148" s="117">
        <v>-0.75800000000000001</v>
      </c>
      <c r="DB148" s="117">
        <v>-2.4550000000000001</v>
      </c>
      <c r="DC148" s="117">
        <v>-653.53200000000004</v>
      </c>
      <c r="DD148" s="82">
        <f t="shared" si="319"/>
        <v>-649.23099999999988</v>
      </c>
      <c r="DE148" s="117">
        <v>-1302.7629999999999</v>
      </c>
      <c r="DF148" s="117">
        <v>-251.36699999999999</v>
      </c>
      <c r="DG148" s="117">
        <v>-651.51599999999996</v>
      </c>
      <c r="DH148" s="117">
        <v>-654.86400000000003</v>
      </c>
      <c r="DI148" s="82">
        <f t="shared" si="320"/>
        <v>2.4130000000000109</v>
      </c>
      <c r="DJ148" s="117">
        <v>-652.45100000000002</v>
      </c>
      <c r="DK148" s="117">
        <v>-0.224</v>
      </c>
      <c r="DL148" s="117">
        <v>-275.48399999999998</v>
      </c>
      <c r="DM148" s="117">
        <v>-275.70800000000003</v>
      </c>
      <c r="DN148" s="82">
        <f t="shared" si="321"/>
        <v>-0.23999999999995225</v>
      </c>
      <c r="DO148" s="117">
        <v>-275.94799999999998</v>
      </c>
      <c r="DP148" s="117">
        <v>-0.45500000000000002</v>
      </c>
      <c r="DQ148" s="117">
        <v>-0.45400000000000001</v>
      </c>
      <c r="DR148" s="117">
        <v>-250.64400000000001</v>
      </c>
      <c r="DS148" s="82">
        <f t="shared" si="322"/>
        <v>-0.23799999999999955</v>
      </c>
      <c r="DT148" s="117">
        <v>-250.88200000000001</v>
      </c>
      <c r="DU148" s="117">
        <v>-0.33300000000000002</v>
      </c>
      <c r="DV148" s="117">
        <v>-579.976</v>
      </c>
      <c r="DW148" s="117">
        <v>-580.16700000000003</v>
      </c>
      <c r="DX148" s="82">
        <f t="shared" si="323"/>
        <v>-455.73400000000004</v>
      </c>
      <c r="DY148" s="117">
        <v>-1035.9010000000001</v>
      </c>
      <c r="DZ148" s="117">
        <v>-0.217</v>
      </c>
      <c r="EA148" s="117">
        <v>-250.39699999999999</v>
      </c>
      <c r="EB148" s="117">
        <v>-1030.0989999999999</v>
      </c>
      <c r="EC148" s="82">
        <f t="shared" si="324"/>
        <v>9.8999999999932697E-2</v>
      </c>
      <c r="ED148" s="117">
        <v>-1030</v>
      </c>
    </row>
    <row r="149" spans="3:134" x14ac:dyDescent="0.2">
      <c r="C149" t="s">
        <v>188</v>
      </c>
      <c r="D149" s="42"/>
      <c r="E149" s="136">
        <f t="shared" si="278"/>
        <v>-17.234999999999999</v>
      </c>
      <c r="F149" s="135">
        <f t="shared" si="279"/>
        <v>-68.015000000000001</v>
      </c>
      <c r="G149" s="135">
        <f t="shared" si="279"/>
        <v>124</v>
      </c>
      <c r="H149" s="116">
        <f t="shared" si="280"/>
        <v>-35</v>
      </c>
      <c r="I149" s="42">
        <f t="shared" si="281"/>
        <v>3.75</v>
      </c>
      <c r="J149" s="120">
        <f t="shared" si="282"/>
        <v>7</v>
      </c>
      <c r="K149" s="118">
        <f t="shared" si="283"/>
        <v>-337</v>
      </c>
      <c r="L149" s="118">
        <f t="shared" si="283"/>
        <v>-89</v>
      </c>
      <c r="M149" s="119">
        <f t="shared" si="284"/>
        <v>426.4</v>
      </c>
      <c r="N149" s="42">
        <f t="shared" si="285"/>
        <v>7.4</v>
      </c>
      <c r="O149" s="136">
        <f t="shared" si="286"/>
        <v>65.099999999999994</v>
      </c>
      <c r="P149" s="135">
        <f t="shared" si="287"/>
        <v>124.5</v>
      </c>
      <c r="Q149" s="135">
        <f t="shared" si="287"/>
        <v>-606</v>
      </c>
      <c r="R149" s="119">
        <f t="shared" si="288"/>
        <v>168.99999999999997</v>
      </c>
      <c r="S149" s="42">
        <f t="shared" si="289"/>
        <v>-247.4</v>
      </c>
      <c r="T149" s="136">
        <f t="shared" si="290"/>
        <v>120</v>
      </c>
      <c r="U149" s="135">
        <f t="shared" si="291"/>
        <v>142</v>
      </c>
      <c r="V149" s="135">
        <f t="shared" si="291"/>
        <v>-177</v>
      </c>
      <c r="W149" s="119">
        <f t="shared" si="292"/>
        <v>298</v>
      </c>
      <c r="X149" s="42">
        <f t="shared" si="293"/>
        <v>383</v>
      </c>
      <c r="Y149" s="136">
        <f t="shared" si="294"/>
        <v>-177</v>
      </c>
      <c r="Z149" s="135">
        <f t="shared" si="295"/>
        <v>-71</v>
      </c>
      <c r="AA149" s="135">
        <f t="shared" si="295"/>
        <v>-52</v>
      </c>
      <c r="AB149" s="119">
        <f t="shared" si="296"/>
        <v>457</v>
      </c>
      <c r="AC149" s="42">
        <f t="shared" si="297"/>
        <v>157</v>
      </c>
      <c r="AD149" s="136">
        <f t="shared" si="298"/>
        <v>6</v>
      </c>
      <c r="AE149" s="135">
        <f t="shared" si="299"/>
        <v>12.8</v>
      </c>
      <c r="AF149" s="135">
        <f t="shared" si="299"/>
        <v>-80.8</v>
      </c>
      <c r="AG149" s="119">
        <f t="shared" si="300"/>
        <v>322.5</v>
      </c>
      <c r="AH149" s="42">
        <f t="shared" si="301"/>
        <v>260.5</v>
      </c>
      <c r="AI149" s="136">
        <f t="shared" si="302"/>
        <v>-50.5</v>
      </c>
      <c r="AJ149" s="135">
        <f t="shared" si="303"/>
        <v>-518</v>
      </c>
      <c r="AK149" s="135">
        <f t="shared" si="303"/>
        <v>-387</v>
      </c>
      <c r="AL149" s="119">
        <f t="shared" si="304"/>
        <v>782</v>
      </c>
      <c r="AM149" s="42">
        <f t="shared" si="305"/>
        <v>-173.5</v>
      </c>
      <c r="AN149" s="136">
        <f t="shared" si="325"/>
        <v>-663</v>
      </c>
      <c r="AO149" s="135">
        <f t="shared" si="306"/>
        <v>264</v>
      </c>
      <c r="AP149" s="135">
        <f t="shared" si="306"/>
        <v>-81</v>
      </c>
      <c r="AQ149" s="119">
        <f t="shared" si="307"/>
        <v>26</v>
      </c>
      <c r="AR149" s="42">
        <f t="shared" si="308"/>
        <v>-454</v>
      </c>
      <c r="AS149" s="136">
        <f t="shared" si="326"/>
        <v>213</v>
      </c>
      <c r="AT149" s="135">
        <f t="shared" si="309"/>
        <v>179</v>
      </c>
      <c r="AU149" s="135">
        <f t="shared" si="327"/>
        <v>-270</v>
      </c>
      <c r="AV149" s="119">
        <f t="shared" si="310"/>
        <v>300</v>
      </c>
      <c r="AW149" s="42">
        <f t="shared" si="311"/>
        <v>422</v>
      </c>
      <c r="AX149" s="148">
        <v>0</v>
      </c>
      <c r="AY149" s="221">
        <v>0</v>
      </c>
      <c r="AZ149" s="221">
        <v>0</v>
      </c>
      <c r="BA149" s="150">
        <v>0</v>
      </c>
      <c r="BB149" s="42">
        <f t="shared" si="312"/>
        <v>0</v>
      </c>
      <c r="BC149" s="148">
        <v>0</v>
      </c>
      <c r="BD149" s="221">
        <v>0</v>
      </c>
      <c r="BE149" s="221">
        <v>0</v>
      </c>
      <c r="BF149" s="150">
        <v>0</v>
      </c>
      <c r="BG149" s="42">
        <f t="shared" si="313"/>
        <v>0</v>
      </c>
      <c r="BH149" s="148">
        <v>0</v>
      </c>
      <c r="BI149" s="221">
        <v>0</v>
      </c>
      <c r="BJ149" s="221">
        <v>0</v>
      </c>
      <c r="BK149" s="150">
        <v>0</v>
      </c>
      <c r="BL149" s="42">
        <f t="shared" si="314"/>
        <v>0</v>
      </c>
      <c r="BM149" s="148">
        <v>0</v>
      </c>
      <c r="BN149" s="221">
        <v>0</v>
      </c>
      <c r="BO149" s="221">
        <v>0</v>
      </c>
      <c r="BP149" s="150">
        <v>0</v>
      </c>
      <c r="BQ149" s="42">
        <f t="shared" si="315"/>
        <v>0</v>
      </c>
      <c r="BT149" s="525"/>
      <c r="BU149" s="525"/>
      <c r="BV149" s="525"/>
      <c r="BW149" s="575"/>
      <c r="BX149" s="643"/>
      <c r="BY149" s="643"/>
      <c r="BZ149" s="525"/>
      <c r="CA149" s="525"/>
      <c r="CL149" s="117">
        <v>-17.234999999999999</v>
      </c>
      <c r="CM149" s="117">
        <v>-85.25</v>
      </c>
      <c r="CN149" s="117">
        <v>38.75</v>
      </c>
      <c r="CO149" s="82">
        <f t="shared" si="316"/>
        <v>-35</v>
      </c>
      <c r="CP149" s="117">
        <v>3.75</v>
      </c>
      <c r="CQ149" s="117">
        <v>7</v>
      </c>
      <c r="CR149" s="117">
        <v>-330</v>
      </c>
      <c r="CS149" s="117">
        <v>-419</v>
      </c>
      <c r="CT149" s="82">
        <f t="shared" si="317"/>
        <v>426.4</v>
      </c>
      <c r="CU149" s="117">
        <v>7.4</v>
      </c>
      <c r="CV149" s="117">
        <v>65.099999999999994</v>
      </c>
      <c r="CW149" s="117">
        <v>189.6</v>
      </c>
      <c r="CX149" s="117">
        <v>-416.4</v>
      </c>
      <c r="CY149" s="82">
        <f t="shared" si="318"/>
        <v>168.99999999999997</v>
      </c>
      <c r="CZ149" s="117">
        <v>-247.4</v>
      </c>
      <c r="DA149" s="117">
        <v>120</v>
      </c>
      <c r="DB149" s="117">
        <v>262</v>
      </c>
      <c r="DC149" s="117">
        <v>85</v>
      </c>
      <c r="DD149" s="82">
        <f t="shared" si="319"/>
        <v>298</v>
      </c>
      <c r="DE149" s="117">
        <v>383</v>
      </c>
      <c r="DF149" s="117">
        <v>-177</v>
      </c>
      <c r="DG149" s="117">
        <v>-248</v>
      </c>
      <c r="DH149" s="117">
        <v>-300</v>
      </c>
      <c r="DI149" s="82">
        <f t="shared" si="320"/>
        <v>457</v>
      </c>
      <c r="DJ149" s="117">
        <v>157</v>
      </c>
      <c r="DK149" s="117">
        <v>6</v>
      </c>
      <c r="DL149" s="117">
        <v>18.8</v>
      </c>
      <c r="DM149" s="117">
        <v>-62</v>
      </c>
      <c r="DN149" s="82">
        <f t="shared" si="321"/>
        <v>322.5</v>
      </c>
      <c r="DO149" s="117">
        <v>260.5</v>
      </c>
      <c r="DP149" s="117">
        <v>-50.5</v>
      </c>
      <c r="DQ149" s="117">
        <v>-568.5</v>
      </c>
      <c r="DR149" s="117">
        <v>-955.5</v>
      </c>
      <c r="DS149" s="82">
        <f t="shared" si="322"/>
        <v>782</v>
      </c>
      <c r="DT149" s="117">
        <v>-173.5</v>
      </c>
      <c r="DU149" s="117">
        <v>-663</v>
      </c>
      <c r="DV149" s="117">
        <v>-399</v>
      </c>
      <c r="DW149" s="117">
        <v>-480</v>
      </c>
      <c r="DX149" s="82">
        <f t="shared" si="323"/>
        <v>26</v>
      </c>
      <c r="DY149" s="117">
        <v>-454</v>
      </c>
      <c r="DZ149" s="117">
        <v>213</v>
      </c>
      <c r="EA149" s="117">
        <v>392</v>
      </c>
      <c r="EB149" s="117">
        <v>122</v>
      </c>
      <c r="EC149" s="82">
        <f t="shared" si="324"/>
        <v>300</v>
      </c>
      <c r="ED149" s="117">
        <v>422</v>
      </c>
    </row>
    <row r="150" spans="3:134" x14ac:dyDescent="0.2">
      <c r="C150" t="s">
        <v>438</v>
      </c>
      <c r="D150" s="42"/>
      <c r="E150" s="136">
        <f>+CL150</f>
        <v>0</v>
      </c>
      <c r="F150" s="135">
        <f>+CM150-CL150</f>
        <v>0</v>
      </c>
      <c r="G150" s="135">
        <f>+CN150-CM150</f>
        <v>0</v>
      </c>
      <c r="H150" s="116">
        <f>+I150-CN150</f>
        <v>0</v>
      </c>
      <c r="I150" s="42">
        <f>CP150</f>
        <v>0</v>
      </c>
      <c r="J150" s="120">
        <f>+CQ150</f>
        <v>0</v>
      </c>
      <c r="K150" s="118">
        <f>+CR150-CQ150</f>
        <v>0</v>
      </c>
      <c r="L150" s="118">
        <f>+CS150-CR150</f>
        <v>0</v>
      </c>
      <c r="M150" s="119">
        <f>+N150-CS150</f>
        <v>0</v>
      </c>
      <c r="N150" s="42">
        <f>CU150</f>
        <v>0</v>
      </c>
      <c r="O150" s="136">
        <f>+CV150</f>
        <v>0</v>
      </c>
      <c r="P150" s="135">
        <f>+CW150-CV150</f>
        <v>0</v>
      </c>
      <c r="Q150" s="221">
        <f>+CX150-CW150</f>
        <v>0</v>
      </c>
      <c r="R150" s="119">
        <f t="shared" si="288"/>
        <v>-104.98</v>
      </c>
      <c r="S150" s="42">
        <f t="shared" si="289"/>
        <v>-104.98</v>
      </c>
      <c r="T150" s="136">
        <f>+DA150</f>
        <v>0</v>
      </c>
      <c r="U150" s="135">
        <f t="shared" si="291"/>
        <v>0</v>
      </c>
      <c r="V150" s="221">
        <f t="shared" si="291"/>
        <v>0</v>
      </c>
      <c r="W150" s="119">
        <f t="shared" si="292"/>
        <v>0</v>
      </c>
      <c r="X150" s="42">
        <f t="shared" si="293"/>
        <v>0</v>
      </c>
      <c r="Y150" s="136">
        <f>+DF150</f>
        <v>0</v>
      </c>
      <c r="Z150" s="135">
        <f t="shared" si="295"/>
        <v>0</v>
      </c>
      <c r="AA150" s="221">
        <f t="shared" si="295"/>
        <v>0</v>
      </c>
      <c r="AB150" s="119">
        <f t="shared" si="296"/>
        <v>0</v>
      </c>
      <c r="AC150" s="42">
        <f t="shared" si="297"/>
        <v>0</v>
      </c>
      <c r="AD150" s="136">
        <f>+DK150</f>
        <v>0</v>
      </c>
      <c r="AE150" s="135">
        <f t="shared" si="299"/>
        <v>0</v>
      </c>
      <c r="AF150" s="221">
        <f t="shared" si="299"/>
        <v>0</v>
      </c>
      <c r="AG150" s="119">
        <f t="shared" si="300"/>
        <v>0</v>
      </c>
      <c r="AH150" s="42">
        <f t="shared" si="301"/>
        <v>0</v>
      </c>
      <c r="AI150" s="136">
        <f t="shared" si="302"/>
        <v>0</v>
      </c>
      <c r="AJ150" s="135">
        <f t="shared" si="303"/>
        <v>0</v>
      </c>
      <c r="AK150" s="221">
        <f t="shared" si="303"/>
        <v>0</v>
      </c>
      <c r="AL150" s="119">
        <f t="shared" si="304"/>
        <v>0</v>
      </c>
      <c r="AM150" s="42">
        <f t="shared" si="305"/>
        <v>0</v>
      </c>
      <c r="AN150" s="136">
        <f t="shared" si="325"/>
        <v>0</v>
      </c>
      <c r="AO150" s="135">
        <f t="shared" si="306"/>
        <v>0</v>
      </c>
      <c r="AP150" s="221">
        <f t="shared" si="306"/>
        <v>0</v>
      </c>
      <c r="AQ150" s="119">
        <f t="shared" si="307"/>
        <v>0</v>
      </c>
      <c r="AR150" s="42">
        <f t="shared" si="308"/>
        <v>0</v>
      </c>
      <c r="AS150" s="136">
        <f t="shared" si="326"/>
        <v>0</v>
      </c>
      <c r="AT150" s="135">
        <f t="shared" si="309"/>
        <v>0</v>
      </c>
      <c r="AU150" s="221">
        <f t="shared" si="327"/>
        <v>0</v>
      </c>
      <c r="AV150" s="119">
        <f t="shared" si="310"/>
        <v>0</v>
      </c>
      <c r="AW150" s="42">
        <f t="shared" si="311"/>
        <v>0</v>
      </c>
      <c r="AX150" s="148">
        <v>0</v>
      </c>
      <c r="AY150" s="221">
        <v>0</v>
      </c>
      <c r="AZ150" s="221">
        <v>0</v>
      </c>
      <c r="BA150" s="150">
        <v>0</v>
      </c>
      <c r="BB150" s="42">
        <f t="shared" si="312"/>
        <v>0</v>
      </c>
      <c r="BC150" s="148">
        <v>0</v>
      </c>
      <c r="BD150" s="221">
        <v>0</v>
      </c>
      <c r="BE150" s="221">
        <v>0</v>
      </c>
      <c r="BF150" s="150">
        <v>0</v>
      </c>
      <c r="BG150" s="42">
        <f t="shared" si="313"/>
        <v>0</v>
      </c>
      <c r="BH150" s="148">
        <v>0</v>
      </c>
      <c r="BI150" s="221">
        <v>0</v>
      </c>
      <c r="BJ150" s="221">
        <v>0</v>
      </c>
      <c r="BK150" s="150">
        <v>0</v>
      </c>
      <c r="BL150" s="42">
        <f t="shared" si="314"/>
        <v>0</v>
      </c>
      <c r="BM150" s="148">
        <v>0</v>
      </c>
      <c r="BN150" s="221">
        <v>0</v>
      </c>
      <c r="BO150" s="221">
        <v>0</v>
      </c>
      <c r="BP150" s="150">
        <v>0</v>
      </c>
      <c r="BQ150" s="42">
        <f t="shared" si="315"/>
        <v>0</v>
      </c>
      <c r="BT150" s="525"/>
      <c r="BU150" s="525"/>
      <c r="BV150" s="525"/>
      <c r="BW150" s="575"/>
      <c r="BX150" s="643"/>
      <c r="BY150" s="643"/>
      <c r="BZ150" s="525"/>
      <c r="CA150" s="525"/>
      <c r="CL150" s="117">
        <v>0</v>
      </c>
      <c r="CM150" s="117">
        <v>0</v>
      </c>
      <c r="CN150" s="117">
        <v>0</v>
      </c>
      <c r="CO150" s="82">
        <f>CP150-CN150</f>
        <v>0</v>
      </c>
      <c r="CP150" s="117">
        <v>0</v>
      </c>
      <c r="CQ150" s="117">
        <v>0</v>
      </c>
      <c r="CR150" s="117">
        <v>0</v>
      </c>
      <c r="CS150" s="117">
        <v>0</v>
      </c>
      <c r="CT150" s="82">
        <f>CU150-CS150</f>
        <v>0</v>
      </c>
      <c r="CU150" s="117">
        <v>0</v>
      </c>
      <c r="CV150" s="117">
        <v>0</v>
      </c>
      <c r="CW150" s="117">
        <v>0</v>
      </c>
      <c r="CX150" s="117">
        <v>0</v>
      </c>
      <c r="CY150" s="82">
        <f t="shared" si="318"/>
        <v>-104.98</v>
      </c>
      <c r="CZ150" s="117">
        <v>-104.98</v>
      </c>
      <c r="DA150" s="117">
        <v>0</v>
      </c>
      <c r="DB150" s="117">
        <v>0</v>
      </c>
      <c r="DC150" s="117">
        <v>0</v>
      </c>
      <c r="DD150" s="82">
        <f t="shared" si="319"/>
        <v>0</v>
      </c>
      <c r="DE150" s="117">
        <v>0</v>
      </c>
      <c r="DF150" s="117">
        <v>0</v>
      </c>
      <c r="DG150" s="117">
        <v>0</v>
      </c>
      <c r="DH150" s="117">
        <v>0</v>
      </c>
      <c r="DI150" s="82">
        <f t="shared" si="320"/>
        <v>0</v>
      </c>
      <c r="DJ150" s="117">
        <v>0</v>
      </c>
      <c r="DK150" s="117">
        <v>0</v>
      </c>
      <c r="DL150" s="117">
        <v>0</v>
      </c>
      <c r="DM150" s="117">
        <v>0</v>
      </c>
      <c r="DN150" s="82">
        <f t="shared" si="321"/>
        <v>0</v>
      </c>
      <c r="DO150" s="117">
        <v>0</v>
      </c>
      <c r="DP150" s="117">
        <v>0</v>
      </c>
      <c r="DQ150" s="117">
        <v>0</v>
      </c>
      <c r="DR150" s="117">
        <v>0</v>
      </c>
      <c r="DS150" s="82">
        <f t="shared" si="322"/>
        <v>0</v>
      </c>
      <c r="DT150" s="117">
        <v>0</v>
      </c>
      <c r="DU150" s="117">
        <v>0</v>
      </c>
      <c r="DV150" s="117">
        <v>0</v>
      </c>
      <c r="DW150" s="117">
        <v>0</v>
      </c>
      <c r="DX150" s="82">
        <f t="shared" si="323"/>
        <v>0</v>
      </c>
      <c r="DY150" s="117">
        <v>0</v>
      </c>
      <c r="DZ150" s="117">
        <v>0</v>
      </c>
      <c r="EA150" s="117">
        <v>0</v>
      </c>
      <c r="EB150" s="117">
        <v>0</v>
      </c>
      <c r="EC150" s="82">
        <f t="shared" si="324"/>
        <v>0</v>
      </c>
      <c r="ED150" s="117">
        <v>0</v>
      </c>
    </row>
    <row r="151" spans="3:134" x14ac:dyDescent="0.2">
      <c r="C151" t="s">
        <v>189</v>
      </c>
      <c r="D151" s="42"/>
      <c r="E151" s="136">
        <f t="shared" si="278"/>
        <v>-101.744</v>
      </c>
      <c r="F151" s="135">
        <f t="shared" si="279"/>
        <v>-102.11500000000001</v>
      </c>
      <c r="G151" s="135">
        <f t="shared" si="279"/>
        <v>-105.46099999999998</v>
      </c>
      <c r="H151" s="116">
        <f t="shared" si="280"/>
        <v>-105.60200000000003</v>
      </c>
      <c r="I151" s="42">
        <f t="shared" si="281"/>
        <v>-414.92200000000003</v>
      </c>
      <c r="J151" s="120">
        <f t="shared" si="282"/>
        <v>-105.965</v>
      </c>
      <c r="K151" s="118">
        <f t="shared" si="283"/>
        <v>-106.422</v>
      </c>
      <c r="L151" s="118">
        <f t="shared" si="283"/>
        <v>-109.80000000000001</v>
      </c>
      <c r="M151" s="119">
        <f t="shared" si="284"/>
        <v>-109.923</v>
      </c>
      <c r="N151" s="42">
        <f t="shared" si="285"/>
        <v>-432.11</v>
      </c>
      <c r="O151" s="136">
        <f t="shared" si="286"/>
        <v>-115.621</v>
      </c>
      <c r="P151" s="135">
        <f t="shared" si="287"/>
        <v>-116.09400000000001</v>
      </c>
      <c r="Q151" s="118">
        <f t="shared" si="287"/>
        <v>-119.655</v>
      </c>
      <c r="R151" s="119">
        <f t="shared" si="288"/>
        <v>-123.38999999999999</v>
      </c>
      <c r="S151" s="42">
        <f t="shared" si="289"/>
        <v>-474.76</v>
      </c>
      <c r="T151" s="136">
        <f t="shared" si="290"/>
        <v>-119.16200000000001</v>
      </c>
      <c r="U151" s="135">
        <f t="shared" si="291"/>
        <v>-119.34799999999998</v>
      </c>
      <c r="V151" s="118">
        <f t="shared" si="291"/>
        <v>-124.05799999999999</v>
      </c>
      <c r="W151" s="119">
        <f t="shared" si="292"/>
        <v>-124.18900000000002</v>
      </c>
      <c r="X151" s="42">
        <f t="shared" si="293"/>
        <v>-486.75700000000001</v>
      </c>
      <c r="Y151" s="136">
        <f t="shared" si="294"/>
        <v>-124.426</v>
      </c>
      <c r="Z151" s="135">
        <f t="shared" si="295"/>
        <v>-125.96599999999999</v>
      </c>
      <c r="AA151" s="118">
        <f t="shared" si="295"/>
        <v>-131.75600000000003</v>
      </c>
      <c r="AB151" s="119">
        <f t="shared" si="296"/>
        <v>-131.89400000000001</v>
      </c>
      <c r="AC151" s="42">
        <f t="shared" si="297"/>
        <v>-514.04200000000003</v>
      </c>
      <c r="AD151" s="136">
        <f t="shared" si="298"/>
        <v>-132.03299999999999</v>
      </c>
      <c r="AE151" s="135">
        <f t="shared" si="299"/>
        <v>-142.328</v>
      </c>
      <c r="AF151" s="118">
        <f t="shared" si="299"/>
        <v>-143.22500000000002</v>
      </c>
      <c r="AG151" s="119">
        <f t="shared" si="300"/>
        <v>-143.82499999999993</v>
      </c>
      <c r="AH151" s="42">
        <f t="shared" si="301"/>
        <v>-561.41099999999994</v>
      </c>
      <c r="AI151" s="136">
        <f t="shared" si="302"/>
        <v>-144.02500000000001</v>
      </c>
      <c r="AJ151" s="135">
        <f t="shared" si="303"/>
        <v>-153.99699999999999</v>
      </c>
      <c r="AK151" s="118">
        <f t="shared" si="303"/>
        <v>-154.19499999999999</v>
      </c>
      <c r="AL151" s="119">
        <f t="shared" si="304"/>
        <v>-154.35699999999997</v>
      </c>
      <c r="AM151" s="42">
        <f t="shared" si="305"/>
        <v>-606.57399999999996</v>
      </c>
      <c r="AN151" s="136">
        <f t="shared" si="325"/>
        <v>-162.41</v>
      </c>
      <c r="AO151" s="135">
        <f t="shared" si="306"/>
        <v>-173.49199999999999</v>
      </c>
      <c r="AP151" s="118">
        <f t="shared" si="306"/>
        <v>-174.72500000000002</v>
      </c>
      <c r="AQ151" s="119">
        <f t="shared" si="307"/>
        <v>-169.89399999999995</v>
      </c>
      <c r="AR151" s="42">
        <f t="shared" si="308"/>
        <v>-680.52099999999996</v>
      </c>
      <c r="AS151" s="136">
        <f t="shared" si="326"/>
        <v>-172.45599999999999</v>
      </c>
      <c r="AT151" s="135">
        <f t="shared" si="309"/>
        <v>-182.79400000000001</v>
      </c>
      <c r="AU151" s="118">
        <f t="shared" si="327"/>
        <v>-182.79499999999996</v>
      </c>
      <c r="AV151" s="119">
        <f t="shared" si="310"/>
        <v>-182.95500000000004</v>
      </c>
      <c r="AW151" s="42">
        <f t="shared" si="311"/>
        <v>-721</v>
      </c>
      <c r="AX151" s="120">
        <f>+-AX74</f>
        <v>-193.96103458685724</v>
      </c>
      <c r="AY151" s="118">
        <f>+-AY74</f>
        <v>-194.12790873497173</v>
      </c>
      <c r="AZ151" s="118">
        <f>+-AZ74</f>
        <v>-194.29478288308624</v>
      </c>
      <c r="BA151" s="119">
        <f>+-BA74</f>
        <v>-194.46165703120073</v>
      </c>
      <c r="BB151" s="42">
        <f t="shared" si="312"/>
        <v>-776.84538323611594</v>
      </c>
      <c r="BC151" s="120">
        <f>+-BC74</f>
        <v>-206.30624305007416</v>
      </c>
      <c r="BD151" s="118">
        <f>+-BD74</f>
        <v>-206.48312964707551</v>
      </c>
      <c r="BE151" s="118">
        <f>+-BE74</f>
        <v>-206.66001624407687</v>
      </c>
      <c r="BF151" s="119">
        <f>+-BF74</f>
        <v>-206.83690284107826</v>
      </c>
      <c r="BG151" s="42">
        <f t="shared" si="313"/>
        <v>-826.28629178230472</v>
      </c>
      <c r="BH151" s="120">
        <f>+-BH74</f>
        <v>-219.4346168043644</v>
      </c>
      <c r="BI151" s="118">
        <f>+-BI74</f>
        <v>-219.62211659718585</v>
      </c>
      <c r="BJ151" s="118">
        <f>+-BJ74</f>
        <v>-219.80961639000731</v>
      </c>
      <c r="BK151" s="119">
        <f>+-BK74</f>
        <v>-219.99711618282873</v>
      </c>
      <c r="BL151" s="42">
        <f t="shared" si="314"/>
        <v>-878.86346597438614</v>
      </c>
      <c r="BM151" s="120">
        <f>+-BM74</f>
        <v>-233.39569293418921</v>
      </c>
      <c r="BN151" s="118">
        <f>+-BN74</f>
        <v>-233.59444271457994</v>
      </c>
      <c r="BO151" s="118">
        <f>+-BO74</f>
        <v>-233.79319249497067</v>
      </c>
      <c r="BP151" s="119">
        <f>+-BP74</f>
        <v>-233.99194227536142</v>
      </c>
      <c r="BQ151" s="42">
        <f t="shared" si="315"/>
        <v>-934.77527041910128</v>
      </c>
      <c r="BS151" s="93"/>
      <c r="BT151" s="640"/>
      <c r="BU151" s="525"/>
      <c r="BV151" s="525"/>
      <c r="BW151" s="575"/>
      <c r="BX151" s="643"/>
      <c r="BY151" s="643"/>
      <c r="BZ151" s="525"/>
      <c r="CA151" s="525"/>
      <c r="CL151" s="117">
        <v>-101.744</v>
      </c>
      <c r="CM151" s="117">
        <v>-203.85900000000001</v>
      </c>
      <c r="CN151" s="117">
        <v>-309.32</v>
      </c>
      <c r="CO151" s="82">
        <f t="shared" si="316"/>
        <v>-105.60200000000003</v>
      </c>
      <c r="CP151" s="117">
        <v>-414.92200000000003</v>
      </c>
      <c r="CQ151" s="117">
        <v>-105.965</v>
      </c>
      <c r="CR151" s="117">
        <v>-212.387</v>
      </c>
      <c r="CS151" s="117">
        <v>-322.18700000000001</v>
      </c>
      <c r="CT151" s="82">
        <f t="shared" si="317"/>
        <v>-109.923</v>
      </c>
      <c r="CU151" s="117">
        <v>-432.11</v>
      </c>
      <c r="CV151" s="117">
        <v>-115.621</v>
      </c>
      <c r="CW151" s="117">
        <v>-231.715</v>
      </c>
      <c r="CX151" s="117">
        <v>-351.37</v>
      </c>
      <c r="CY151" s="82">
        <f t="shared" si="318"/>
        <v>-123.38999999999999</v>
      </c>
      <c r="CZ151" s="117">
        <v>-474.76</v>
      </c>
      <c r="DA151" s="117">
        <v>-119.16200000000001</v>
      </c>
      <c r="DB151" s="117">
        <v>-238.51</v>
      </c>
      <c r="DC151" s="117">
        <v>-362.56799999999998</v>
      </c>
      <c r="DD151" s="82">
        <f t="shared" si="319"/>
        <v>-124.18900000000002</v>
      </c>
      <c r="DE151" s="117">
        <v>-486.75700000000001</v>
      </c>
      <c r="DF151" s="117">
        <v>-124.426</v>
      </c>
      <c r="DG151" s="117">
        <v>-250.392</v>
      </c>
      <c r="DH151" s="117">
        <v>-382.14800000000002</v>
      </c>
      <c r="DI151" s="82">
        <f t="shared" si="320"/>
        <v>-131.89400000000001</v>
      </c>
      <c r="DJ151" s="117">
        <v>-514.04200000000003</v>
      </c>
      <c r="DK151" s="117">
        <v>-132.03299999999999</v>
      </c>
      <c r="DL151" s="117">
        <v>-274.36099999999999</v>
      </c>
      <c r="DM151" s="117">
        <v>-417.58600000000001</v>
      </c>
      <c r="DN151" s="82">
        <f t="shared" si="321"/>
        <v>-143.82499999999993</v>
      </c>
      <c r="DO151" s="117">
        <v>-561.41099999999994</v>
      </c>
      <c r="DP151" s="117">
        <v>-144.02500000000001</v>
      </c>
      <c r="DQ151" s="117">
        <v>-298.02199999999999</v>
      </c>
      <c r="DR151" s="117">
        <v>-452.21699999999998</v>
      </c>
      <c r="DS151" s="82">
        <f t="shared" si="322"/>
        <v>-154.35699999999997</v>
      </c>
      <c r="DT151" s="117">
        <v>-606.57399999999996</v>
      </c>
      <c r="DU151" s="117">
        <v>-162.41</v>
      </c>
      <c r="DV151" s="117">
        <f>-335.113-0.789</f>
        <v>-335.90199999999999</v>
      </c>
      <c r="DW151" s="117">
        <f>-507.817-2.81</f>
        <v>-510.62700000000001</v>
      </c>
      <c r="DX151" s="82">
        <f t="shared" si="323"/>
        <v>-169.89399999999995</v>
      </c>
      <c r="DY151" s="117">
        <v>-680.52099999999996</v>
      </c>
      <c r="DZ151" s="117">
        <v>-172.45599999999999</v>
      </c>
      <c r="EA151" s="117">
        <f>-355.25</f>
        <v>-355.25</v>
      </c>
      <c r="EB151" s="117">
        <f>-538.045</f>
        <v>-538.04499999999996</v>
      </c>
      <c r="EC151" s="82">
        <f t="shared" si="324"/>
        <v>-182.95500000000004</v>
      </c>
      <c r="ED151" s="117">
        <v>-721</v>
      </c>
    </row>
    <row r="152" spans="3:134" x14ac:dyDescent="0.2">
      <c r="C152" t="s">
        <v>190</v>
      </c>
      <c r="D152" s="42"/>
      <c r="E152" s="136">
        <f t="shared" si="278"/>
        <v>1.27</v>
      </c>
      <c r="F152" s="135">
        <f t="shared" si="279"/>
        <v>1.395</v>
      </c>
      <c r="G152" s="135">
        <f t="shared" si="279"/>
        <v>1.5090000000000003</v>
      </c>
      <c r="H152" s="116">
        <f t="shared" si="280"/>
        <v>15.959</v>
      </c>
      <c r="I152" s="42">
        <f t="shared" si="281"/>
        <v>20.132999999999999</v>
      </c>
      <c r="J152" s="120">
        <f t="shared" si="282"/>
        <v>2.589</v>
      </c>
      <c r="K152" s="118">
        <f t="shared" si="283"/>
        <v>1.7049999999999996</v>
      </c>
      <c r="L152" s="118">
        <f t="shared" si="283"/>
        <v>1.5750000000000002</v>
      </c>
      <c r="M152" s="119">
        <f t="shared" si="284"/>
        <v>451.38900000000001</v>
      </c>
      <c r="N152" s="42">
        <f t="shared" si="285"/>
        <v>457.25799999999998</v>
      </c>
      <c r="O152" s="136">
        <f t="shared" si="286"/>
        <v>1.8779999999999999</v>
      </c>
      <c r="P152" s="135">
        <f t="shared" si="287"/>
        <v>1.9110000000000003</v>
      </c>
      <c r="Q152" s="118">
        <f t="shared" si="287"/>
        <v>2.3749999999999996</v>
      </c>
      <c r="R152" s="119">
        <f t="shared" si="288"/>
        <v>32.527000000000001</v>
      </c>
      <c r="S152" s="42">
        <f t="shared" si="289"/>
        <v>38.691000000000003</v>
      </c>
      <c r="T152" s="136">
        <f t="shared" si="290"/>
        <v>-40.238</v>
      </c>
      <c r="U152" s="135">
        <f t="shared" si="291"/>
        <v>2.1000000000000014</v>
      </c>
      <c r="V152" s="118">
        <f t="shared" si="291"/>
        <v>2.1799999999999997</v>
      </c>
      <c r="W152" s="119">
        <f t="shared" si="292"/>
        <v>2.171999999999997</v>
      </c>
      <c r="X152" s="42">
        <f t="shared" si="293"/>
        <v>-33.786000000000001</v>
      </c>
      <c r="Y152" s="136">
        <f t="shared" si="294"/>
        <v>160.084</v>
      </c>
      <c r="Z152" s="135">
        <f t="shared" si="295"/>
        <v>67.028999999999996</v>
      </c>
      <c r="AA152" s="118">
        <f t="shared" si="295"/>
        <v>2.3069999999999879</v>
      </c>
      <c r="AB152" s="119">
        <f t="shared" si="296"/>
        <v>2.3470000000000084</v>
      </c>
      <c r="AC152" s="42">
        <f t="shared" si="297"/>
        <v>231.767</v>
      </c>
      <c r="AD152" s="136">
        <f t="shared" si="298"/>
        <v>63.548000000000002</v>
      </c>
      <c r="AE152" s="135">
        <f t="shared" si="299"/>
        <v>113.02500000000001</v>
      </c>
      <c r="AF152" s="118">
        <f t="shared" si="299"/>
        <v>2.0660000000000025</v>
      </c>
      <c r="AG152" s="119">
        <f t="shared" si="300"/>
        <v>2.1589999999999918</v>
      </c>
      <c r="AH152" s="42">
        <f t="shared" si="301"/>
        <v>180.798</v>
      </c>
      <c r="AI152" s="136">
        <f t="shared" si="302"/>
        <v>1.411</v>
      </c>
      <c r="AJ152" s="135">
        <f t="shared" si="303"/>
        <v>1.9979999999999998</v>
      </c>
      <c r="AK152" s="118">
        <f t="shared" si="303"/>
        <v>1.8890000000000002</v>
      </c>
      <c r="AL152" s="119">
        <f t="shared" si="304"/>
        <v>1.7130000000000001</v>
      </c>
      <c r="AM152" s="42">
        <f t="shared" si="305"/>
        <v>7.0110000000000001</v>
      </c>
      <c r="AN152" s="136">
        <f t="shared" si="325"/>
        <v>0</v>
      </c>
      <c r="AO152" s="135">
        <f t="shared" si="306"/>
        <v>0</v>
      </c>
      <c r="AP152" s="118">
        <f t="shared" si="306"/>
        <v>0</v>
      </c>
      <c r="AQ152" s="119">
        <f t="shared" si="307"/>
        <v>-32.209000000000003</v>
      </c>
      <c r="AR152" s="42">
        <f t="shared" si="308"/>
        <v>-32.209000000000003</v>
      </c>
      <c r="AS152" s="136">
        <f t="shared" si="326"/>
        <v>-2.9430000000000001</v>
      </c>
      <c r="AT152" s="135">
        <f t="shared" si="309"/>
        <v>0</v>
      </c>
      <c r="AU152" s="118">
        <f t="shared" si="327"/>
        <v>0</v>
      </c>
      <c r="AV152" s="119">
        <f t="shared" si="310"/>
        <v>-5.699999999999994E-2</v>
      </c>
      <c r="AW152" s="42">
        <f t="shared" si="311"/>
        <v>-3</v>
      </c>
      <c r="AX152" s="120">
        <f>AX80</f>
        <v>19.25</v>
      </c>
      <c r="AY152" s="118">
        <f>AY80</f>
        <v>19.25</v>
      </c>
      <c r="AZ152" s="118">
        <f>AZ80</f>
        <v>19.25</v>
      </c>
      <c r="BA152" s="119">
        <f>BA80</f>
        <v>19.25</v>
      </c>
      <c r="BB152" s="42">
        <f t="shared" si="312"/>
        <v>77</v>
      </c>
      <c r="BC152" s="120">
        <f>BC80</f>
        <v>19.25</v>
      </c>
      <c r="BD152" s="118">
        <f>BD80</f>
        <v>19.25</v>
      </c>
      <c r="BE152" s="118">
        <f>BE80</f>
        <v>19.25</v>
      </c>
      <c r="BF152" s="119">
        <f>BF80</f>
        <v>19.25</v>
      </c>
      <c r="BG152" s="42">
        <f t="shared" si="313"/>
        <v>77</v>
      </c>
      <c r="BH152" s="120">
        <f>BH80</f>
        <v>19.25</v>
      </c>
      <c r="BI152" s="118">
        <f>BI80</f>
        <v>19.25</v>
      </c>
      <c r="BJ152" s="118">
        <f>BJ80</f>
        <v>19.25</v>
      </c>
      <c r="BK152" s="119">
        <f>BK80</f>
        <v>19.25</v>
      </c>
      <c r="BL152" s="42">
        <f t="shared" si="314"/>
        <v>77</v>
      </c>
      <c r="BM152" s="120">
        <f>BM80</f>
        <v>19.25</v>
      </c>
      <c r="BN152" s="118">
        <f>BN80</f>
        <v>19.25</v>
      </c>
      <c r="BO152" s="118">
        <f>BO80</f>
        <v>19.25</v>
      </c>
      <c r="BP152" s="119">
        <f>BP80</f>
        <v>19.25</v>
      </c>
      <c r="BQ152" s="42">
        <f t="shared" si="315"/>
        <v>77</v>
      </c>
      <c r="BT152" s="640"/>
      <c r="BU152" s="525"/>
      <c r="BV152" s="525"/>
      <c r="BW152" s="575"/>
      <c r="BX152" s="643"/>
      <c r="BY152" s="644"/>
      <c r="BZ152" s="525"/>
      <c r="CA152" s="525"/>
      <c r="CL152" s="117">
        <v>1.27</v>
      </c>
      <c r="CM152" s="117">
        <v>2.665</v>
      </c>
      <c r="CN152" s="117">
        <v>4.1740000000000004</v>
      </c>
      <c r="CO152" s="82">
        <f t="shared" si="316"/>
        <v>15.959</v>
      </c>
      <c r="CP152" s="117">
        <v>20.132999999999999</v>
      </c>
      <c r="CQ152" s="117">
        <v>2.589</v>
      </c>
      <c r="CR152" s="117">
        <v>4.2939999999999996</v>
      </c>
      <c r="CS152" s="117">
        <v>5.8689999999999998</v>
      </c>
      <c r="CT152" s="82">
        <f t="shared" si="317"/>
        <v>451.38900000000001</v>
      </c>
      <c r="CU152" s="117">
        <v>457.25799999999998</v>
      </c>
      <c r="CV152" s="117">
        <v>1.8779999999999999</v>
      </c>
      <c r="CW152" s="117">
        <v>3.7890000000000001</v>
      </c>
      <c r="CX152" s="117">
        <v>6.1639999999999997</v>
      </c>
      <c r="CY152" s="82">
        <f t="shared" si="318"/>
        <v>32.527000000000001</v>
      </c>
      <c r="CZ152" s="117">
        <v>38.691000000000003</v>
      </c>
      <c r="DA152" s="117">
        <f>1.598-18.529-23.307</f>
        <v>-40.238</v>
      </c>
      <c r="DB152" s="117">
        <f>-23.307-18.529+3.698</f>
        <v>-38.137999999999998</v>
      </c>
      <c r="DC152" s="117">
        <f>5.878-18.529-23.307</f>
        <v>-35.957999999999998</v>
      </c>
      <c r="DD152" s="82">
        <f t="shared" si="319"/>
        <v>2.171999999999997</v>
      </c>
      <c r="DE152" s="117">
        <f>8.05-18.529-23.307</f>
        <v>-33.786000000000001</v>
      </c>
      <c r="DF152" s="117">
        <v>160.084</v>
      </c>
      <c r="DG152" s="117">
        <v>227.113</v>
      </c>
      <c r="DH152" s="117">
        <v>229.42</v>
      </c>
      <c r="DI152" s="82">
        <f t="shared" si="320"/>
        <v>2.3470000000000084</v>
      </c>
      <c r="DJ152" s="117">
        <v>231.767</v>
      </c>
      <c r="DK152" s="117">
        <v>63.548000000000002</v>
      </c>
      <c r="DL152" s="117">
        <v>176.57300000000001</v>
      </c>
      <c r="DM152" s="117">
        <v>178.63900000000001</v>
      </c>
      <c r="DN152" s="82">
        <f t="shared" si="321"/>
        <v>2.1589999999999918</v>
      </c>
      <c r="DO152" s="117">
        <v>180.798</v>
      </c>
      <c r="DP152" s="117">
        <v>1.411</v>
      </c>
      <c r="DQ152" s="117">
        <v>3.4089999999999998</v>
      </c>
      <c r="DR152" s="117">
        <v>5.298</v>
      </c>
      <c r="DS152" s="82">
        <f t="shared" si="322"/>
        <v>1.7130000000000001</v>
      </c>
      <c r="DT152" s="117">
        <v>7.0110000000000001</v>
      </c>
      <c r="DU152" s="117">
        <v>0</v>
      </c>
      <c r="DV152" s="117">
        <v>0</v>
      </c>
      <c r="DW152" s="117">
        <v>0</v>
      </c>
      <c r="DX152" s="82">
        <f t="shared" si="323"/>
        <v>-32.209000000000003</v>
      </c>
      <c r="DY152" s="117">
        <v>-32.209000000000003</v>
      </c>
      <c r="DZ152" s="117">
        <v>-2.9430000000000001</v>
      </c>
      <c r="EA152" s="117">
        <v>-2.9430000000000001</v>
      </c>
      <c r="EB152" s="117">
        <v>-2.9430000000000001</v>
      </c>
      <c r="EC152" s="82">
        <f t="shared" si="324"/>
        <v>-5.699999999999994E-2</v>
      </c>
      <c r="ED152" s="117">
        <v>-3</v>
      </c>
    </row>
    <row r="153" spans="3:134" x14ac:dyDescent="0.2">
      <c r="C153" t="s">
        <v>191</v>
      </c>
      <c r="D153" s="42"/>
      <c r="E153" s="136">
        <f t="shared" si="278"/>
        <v>0</v>
      </c>
      <c r="F153" s="135">
        <f t="shared" si="279"/>
        <v>0</v>
      </c>
      <c r="G153" s="135">
        <f t="shared" si="279"/>
        <v>0</v>
      </c>
      <c r="H153" s="116">
        <f t="shared" si="280"/>
        <v>0</v>
      </c>
      <c r="I153" s="42">
        <f t="shared" si="281"/>
        <v>0</v>
      </c>
      <c r="J153" s="120">
        <f t="shared" si="282"/>
        <v>0</v>
      </c>
      <c r="K153" s="118">
        <f t="shared" si="283"/>
        <v>0</v>
      </c>
      <c r="L153" s="118">
        <f t="shared" si="283"/>
        <v>0</v>
      </c>
      <c r="M153" s="119">
        <f t="shared" si="284"/>
        <v>0</v>
      </c>
      <c r="N153" s="42">
        <f t="shared" si="285"/>
        <v>0</v>
      </c>
      <c r="O153" s="136">
        <f t="shared" si="286"/>
        <v>0</v>
      </c>
      <c r="P153" s="135">
        <f t="shared" si="287"/>
        <v>0</v>
      </c>
      <c r="Q153" s="118">
        <f t="shared" si="287"/>
        <v>0</v>
      </c>
      <c r="R153" s="119">
        <f t="shared" si="288"/>
        <v>0</v>
      </c>
      <c r="S153" s="42">
        <f t="shared" si="289"/>
        <v>0</v>
      </c>
      <c r="T153" s="136">
        <f t="shared" si="290"/>
        <v>0</v>
      </c>
      <c r="U153" s="135">
        <f t="shared" si="291"/>
        <v>0</v>
      </c>
      <c r="V153" s="118">
        <f t="shared" si="291"/>
        <v>0</v>
      </c>
      <c r="W153" s="119">
        <f t="shared" si="292"/>
        <v>0</v>
      </c>
      <c r="X153" s="42">
        <f t="shared" si="293"/>
        <v>0</v>
      </c>
      <c r="Y153" s="136">
        <f t="shared" si="294"/>
        <v>0</v>
      </c>
      <c r="Z153" s="135">
        <f t="shared" si="295"/>
        <v>0</v>
      </c>
      <c r="AA153" s="118">
        <f t="shared" si="295"/>
        <v>0</v>
      </c>
      <c r="AB153" s="119">
        <f t="shared" si="296"/>
        <v>0</v>
      </c>
      <c r="AC153" s="42">
        <f t="shared" si="297"/>
        <v>0</v>
      </c>
      <c r="AD153" s="136">
        <f t="shared" si="298"/>
        <v>0</v>
      </c>
      <c r="AE153" s="135">
        <f t="shared" si="299"/>
        <v>0</v>
      </c>
      <c r="AF153" s="118">
        <f t="shared" si="299"/>
        <v>0</v>
      </c>
      <c r="AG153" s="119">
        <f t="shared" si="300"/>
        <v>0</v>
      </c>
      <c r="AH153" s="42">
        <f t="shared" si="301"/>
        <v>0</v>
      </c>
      <c r="AI153" s="136">
        <f t="shared" si="302"/>
        <v>0</v>
      </c>
      <c r="AJ153" s="135">
        <f t="shared" si="303"/>
        <v>0</v>
      </c>
      <c r="AK153" s="118">
        <f t="shared" si="303"/>
        <v>0</v>
      </c>
      <c r="AL153" s="119">
        <f t="shared" si="304"/>
        <v>0</v>
      </c>
      <c r="AM153" s="42">
        <f t="shared" si="305"/>
        <v>0</v>
      </c>
      <c r="AN153" s="136">
        <f t="shared" si="325"/>
        <v>-0.78900000000000003</v>
      </c>
      <c r="AO153" s="135">
        <f t="shared" si="306"/>
        <v>0.78900000000000003</v>
      </c>
      <c r="AP153" s="118">
        <f t="shared" si="306"/>
        <v>0</v>
      </c>
      <c r="AQ153" s="119">
        <f t="shared" si="307"/>
        <v>-12.487</v>
      </c>
      <c r="AR153" s="42">
        <f t="shared" si="308"/>
        <v>-12.487</v>
      </c>
      <c r="AS153" s="136">
        <f t="shared" si="326"/>
        <v>-18.291</v>
      </c>
      <c r="AT153" s="135">
        <f t="shared" si="309"/>
        <v>0</v>
      </c>
      <c r="AU153" s="118">
        <f t="shared" si="327"/>
        <v>0</v>
      </c>
      <c r="AV153" s="119">
        <f t="shared" si="310"/>
        <v>0.81500000000000128</v>
      </c>
      <c r="AW153" s="42">
        <f t="shared" si="311"/>
        <v>-17.475999999999999</v>
      </c>
      <c r="AX153" s="120">
        <f>+'NSP-MN'!AX222+PSCO!AX215+SPS!AX176+'NSP-WI'!AX212+Parent!AX66</f>
        <v>0</v>
      </c>
      <c r="AY153" s="118">
        <f>+'NSP-MN'!AY222+PSCO!AY215+SPS!AY176+'NSP-WI'!AY212+Parent!AY66</f>
        <v>0</v>
      </c>
      <c r="AZ153" s="118">
        <f>+'NSP-MN'!AZ222+PSCO!AZ215+SPS!AZ176+'NSP-WI'!AZ212+Parent!AZ66</f>
        <v>0</v>
      </c>
      <c r="BA153" s="119">
        <f>+'NSP-MN'!BA222+PSCO!BA215+SPS!BA176+'NSP-WI'!BA212+Parent!BA66</f>
        <v>0</v>
      </c>
      <c r="BB153" s="42">
        <f t="shared" si="312"/>
        <v>0</v>
      </c>
      <c r="BC153" s="120">
        <f>+'NSP-MN'!BC222+PSCO!BC215+SPS!BC176+'NSP-WI'!BC212+Parent!BC66</f>
        <v>0</v>
      </c>
      <c r="BD153" s="118">
        <f>+'NSP-MN'!BD222+PSCO!BD215+SPS!BD176+'NSP-WI'!BD212+Parent!BD66</f>
        <v>0</v>
      </c>
      <c r="BE153" s="118">
        <f>+'NSP-MN'!BE222+PSCO!BE215+SPS!BE176+'NSP-WI'!BE212+Parent!BE66</f>
        <v>0</v>
      </c>
      <c r="BF153" s="119">
        <f>+'NSP-MN'!BF222+PSCO!BF215+SPS!BF176+'NSP-WI'!BF212+Parent!BF66</f>
        <v>0</v>
      </c>
      <c r="BG153" s="42">
        <f t="shared" si="313"/>
        <v>0</v>
      </c>
      <c r="BH153" s="120">
        <f>+'NSP-MN'!BH222+PSCO!BH215+SPS!BH176+'NSP-WI'!BH212+Parent!BH66</f>
        <v>0</v>
      </c>
      <c r="BI153" s="118">
        <f>+'NSP-MN'!BI222+PSCO!BI215+SPS!BI176+'NSP-WI'!BI212+Parent!BI66</f>
        <v>0</v>
      </c>
      <c r="BJ153" s="118">
        <f>+'NSP-MN'!BJ222+PSCO!BJ215+SPS!BJ176+'NSP-WI'!BJ212+Parent!BJ66</f>
        <v>0</v>
      </c>
      <c r="BK153" s="119">
        <f>+'NSP-MN'!BK222+PSCO!BK215+SPS!BK176+'NSP-WI'!BK212+Parent!BK66</f>
        <v>0</v>
      </c>
      <c r="BL153" s="42">
        <f t="shared" si="314"/>
        <v>0</v>
      </c>
      <c r="BM153" s="120">
        <f>+'NSP-MN'!BM222+PSCO!BM215+SPS!BM176+'NSP-WI'!BM212+Parent!BM66</f>
        <v>0</v>
      </c>
      <c r="BN153" s="118">
        <f>+'NSP-MN'!BN222+PSCO!BN215+SPS!BN176+'NSP-WI'!BN212+Parent!BN66</f>
        <v>0</v>
      </c>
      <c r="BO153" s="118">
        <f>+'NSP-MN'!BO222+PSCO!BO215+SPS!BO176+'NSP-WI'!BO212+Parent!BO66</f>
        <v>0</v>
      </c>
      <c r="BP153" s="119">
        <f>+'NSP-MN'!BP222+PSCO!BP215+SPS!BP176+'NSP-WI'!BP212+Parent!BP66</f>
        <v>0</v>
      </c>
      <c r="BQ153" s="42">
        <f t="shared" si="315"/>
        <v>0</v>
      </c>
      <c r="BT153" s="525"/>
      <c r="BU153" s="525"/>
      <c r="BV153" s="525"/>
      <c r="BW153" s="575"/>
      <c r="BX153" s="575"/>
      <c r="BY153" s="525"/>
      <c r="BZ153" s="525"/>
      <c r="CA153" s="525"/>
      <c r="CL153" s="117">
        <v>0</v>
      </c>
      <c r="CM153" s="117">
        <v>0</v>
      </c>
      <c r="CN153" s="117">
        <v>0</v>
      </c>
      <c r="CO153" s="82">
        <f t="shared" si="316"/>
        <v>0</v>
      </c>
      <c r="CP153" s="117">
        <v>0</v>
      </c>
      <c r="CQ153" s="117">
        <v>0</v>
      </c>
      <c r="CR153" s="117">
        <v>0</v>
      </c>
      <c r="CS153" s="117">
        <v>0</v>
      </c>
      <c r="CT153" s="82">
        <f t="shared" si="317"/>
        <v>0</v>
      </c>
      <c r="CU153" s="117">
        <v>0</v>
      </c>
      <c r="CV153" s="117">
        <v>0</v>
      </c>
      <c r="CW153" s="117">
        <v>0</v>
      </c>
      <c r="CX153" s="117">
        <v>0</v>
      </c>
      <c r="CY153" s="82">
        <f t="shared" si="318"/>
        <v>0</v>
      </c>
      <c r="CZ153" s="117">
        <v>0</v>
      </c>
      <c r="DA153" s="117">
        <v>0</v>
      </c>
      <c r="DB153" s="117"/>
      <c r="DC153" s="117">
        <v>0</v>
      </c>
      <c r="DD153" s="82">
        <f t="shared" si="319"/>
        <v>0</v>
      </c>
      <c r="DE153" s="117">
        <v>0</v>
      </c>
      <c r="DF153" s="117">
        <v>0</v>
      </c>
      <c r="DG153" s="117">
        <v>0</v>
      </c>
      <c r="DH153" s="117">
        <v>0</v>
      </c>
      <c r="DI153" s="82">
        <f t="shared" si="320"/>
        <v>0</v>
      </c>
      <c r="DJ153" s="117">
        <v>0</v>
      </c>
      <c r="DK153" s="117">
        <v>0</v>
      </c>
      <c r="DL153" s="117">
        <v>0</v>
      </c>
      <c r="DM153" s="117">
        <v>0</v>
      </c>
      <c r="DN153" s="82">
        <f t="shared" si="321"/>
        <v>0</v>
      </c>
      <c r="DO153" s="117">
        <v>0</v>
      </c>
      <c r="DP153" s="117">
        <v>0</v>
      </c>
      <c r="DQ153" s="117">
        <v>0</v>
      </c>
      <c r="DR153" s="117">
        <v>0</v>
      </c>
      <c r="DS153" s="82">
        <f t="shared" si="322"/>
        <v>0</v>
      </c>
      <c r="DT153" s="117">
        <v>0</v>
      </c>
      <c r="DU153" s="117">
        <v>-0.78900000000000003</v>
      </c>
      <c r="DV153" s="117">
        <v>0</v>
      </c>
      <c r="DW153" s="117">
        <v>0</v>
      </c>
      <c r="DX153" s="82">
        <f t="shared" si="323"/>
        <v>-12.487</v>
      </c>
      <c r="DY153" s="117">
        <v>-12.487</v>
      </c>
      <c r="DZ153" s="117">
        <f>-18.291</f>
        <v>-18.291</v>
      </c>
      <c r="EA153" s="117">
        <v>-18.291</v>
      </c>
      <c r="EB153" s="117">
        <v>-18.291</v>
      </c>
      <c r="EC153" s="82">
        <f t="shared" si="324"/>
        <v>0.81500000000000128</v>
      </c>
      <c r="ED153" s="117">
        <f>-18+(85-84.476)</f>
        <v>-17.475999999999999</v>
      </c>
    </row>
    <row r="154" spans="3:134" x14ac:dyDescent="0.2">
      <c r="C154" s="26" t="s">
        <v>192</v>
      </c>
      <c r="D154" s="42"/>
      <c r="E154" s="121">
        <f>SUM(E147:E153)</f>
        <v>-285.61400000000003</v>
      </c>
      <c r="F154" s="122">
        <f>SUM(F147:F153)</f>
        <v>225.09600000000003</v>
      </c>
      <c r="G154" s="122">
        <f>SUM(G147:G153)</f>
        <v>-431.18999999999994</v>
      </c>
      <c r="H154" s="123">
        <f>SUM(H147:H153)</f>
        <v>169.28799999999984</v>
      </c>
      <c r="I154" s="86">
        <f t="shared" si="281"/>
        <v>-322.42000000000013</v>
      </c>
      <c r="J154" s="121">
        <f>SUM(J147:J153)</f>
        <v>-121.73100000000001</v>
      </c>
      <c r="K154" s="122">
        <f>SUM(K147:K153)</f>
        <v>101.98300000000005</v>
      </c>
      <c r="L154" s="122">
        <f>SUM(L147:L153)</f>
        <v>122.3459999999999</v>
      </c>
      <c r="M154" s="123">
        <f>SUM(M147:M153)</f>
        <v>802.97299999999996</v>
      </c>
      <c r="N154" s="86">
        <f t="shared" si="285"/>
        <v>905.57099999999991</v>
      </c>
      <c r="O154" s="121">
        <f>SUM(O147:O153)</f>
        <v>-49.194000000000003</v>
      </c>
      <c r="P154" s="122">
        <f>SUM(P147:P153)</f>
        <v>9.1269999999999936</v>
      </c>
      <c r="Q154" s="122">
        <f>SUM(Q147:Q153)</f>
        <v>-137.37799999999996</v>
      </c>
      <c r="R154" s="123">
        <f>SUM(R147:R153)</f>
        <v>-28.029000000000082</v>
      </c>
      <c r="S154" s="86">
        <f t="shared" si="289"/>
        <v>-205.47400000000007</v>
      </c>
      <c r="T154" s="121">
        <f>SUM(T147:T153)</f>
        <v>-39.413000000000011</v>
      </c>
      <c r="U154" s="122">
        <f>SUM(U147:U153)</f>
        <v>133.32499999999999</v>
      </c>
      <c r="V154" s="122">
        <f>SUM(V147:V153)</f>
        <v>630.35199999999975</v>
      </c>
      <c r="W154" s="123">
        <f>SUM(W147:W153)</f>
        <v>-374.43899999999974</v>
      </c>
      <c r="X154" s="86">
        <f t="shared" si="293"/>
        <v>349.82500000000016</v>
      </c>
      <c r="Y154" s="121">
        <f>SUM(Y147:Y153)</f>
        <v>101.57299999999999</v>
      </c>
      <c r="Z154" s="122">
        <f>SUM(Z147:Z153)</f>
        <v>312.67700000000013</v>
      </c>
      <c r="AA154" s="122">
        <f>SUM(AA147:AA153)</f>
        <v>-86.853000000000151</v>
      </c>
      <c r="AB154" s="123">
        <f>SUM(AB147:AB153)</f>
        <v>326.77199999999993</v>
      </c>
      <c r="AC154" s="86">
        <f t="shared" si="297"/>
        <v>654.16899999999987</v>
      </c>
      <c r="AD154" s="121">
        <f>SUM(AD147:AD153)</f>
        <v>233.29000000000005</v>
      </c>
      <c r="AE154" s="122">
        <f>SUM(AE147:AE153)</f>
        <v>250.82</v>
      </c>
      <c r="AF154" s="122">
        <f>SUM(AF147:AF153)</f>
        <v>-222.97100000000009</v>
      </c>
      <c r="AG154" s="123">
        <f>SUM(AG147:AG153)</f>
        <v>180.38400000000007</v>
      </c>
      <c r="AH154" s="86">
        <f t="shared" si="301"/>
        <v>441.52300000000002</v>
      </c>
      <c r="AI154" s="121">
        <f>SUM(AI147:AI153)</f>
        <v>-193.56900000000002</v>
      </c>
      <c r="AJ154" s="122">
        <f>SUM(AJ147:AJ153)</f>
        <v>171.53599999999997</v>
      </c>
      <c r="AK154" s="122">
        <f>SUM(AK147:AK153)</f>
        <v>-3.8399999999998711</v>
      </c>
      <c r="AL154" s="123">
        <f>SUM(AL147:AL153)</f>
        <v>628.13999999999987</v>
      </c>
      <c r="AM154" s="86">
        <f t="shared" si="305"/>
        <v>602.26699999999994</v>
      </c>
      <c r="AN154" s="121">
        <f>SUM(AN147:AN153)</f>
        <v>-79.405000000000015</v>
      </c>
      <c r="AO154" s="122">
        <f>SUM(AO147:AO153)</f>
        <v>101.95700000000009</v>
      </c>
      <c r="AP154" s="122">
        <f>SUM(AP147:AP153)</f>
        <v>39.295999999999935</v>
      </c>
      <c r="AQ154" s="123">
        <f>SUM(AQ147:AQ153)</f>
        <v>146.80199999999999</v>
      </c>
      <c r="AR154" s="86">
        <f t="shared" si="308"/>
        <v>208.65</v>
      </c>
      <c r="AS154" s="121">
        <f>SUM(AS147:AS153)</f>
        <v>19.093</v>
      </c>
      <c r="AT154" s="122">
        <f>SUM(AT147:AT153)</f>
        <v>140.07199999999997</v>
      </c>
      <c r="AU154" s="122">
        <f>SUM(AU147:AU153)</f>
        <v>-204.38</v>
      </c>
      <c r="AV154" s="123">
        <f>SUM(AV147:AV153)</f>
        <v>213.73899999999989</v>
      </c>
      <c r="AW154" s="86">
        <f t="shared" si="311"/>
        <v>168.524</v>
      </c>
      <c r="AX154" s="121">
        <f>SUM(AX147:AX153)</f>
        <v>125.28896541314276</v>
      </c>
      <c r="AY154" s="122">
        <f>SUM(AY147:AY153)</f>
        <v>-174.87790873497173</v>
      </c>
      <c r="AZ154" s="122">
        <f>SUM(AZ147:AZ153)</f>
        <v>1374.9552171169137</v>
      </c>
      <c r="BA154" s="123">
        <f>SUM(BA147:BA153)</f>
        <v>-125.21165703120073</v>
      </c>
      <c r="BB154" s="86">
        <f t="shared" si="312"/>
        <v>1200.154616763884</v>
      </c>
      <c r="BC154" s="121">
        <f>SUM(BC147:BC153)</f>
        <v>-187.05624305007416</v>
      </c>
      <c r="BD154" s="122">
        <f>SUM(BD147:BD153)</f>
        <v>-387.23312964707554</v>
      </c>
      <c r="BE154" s="122">
        <f>SUM(BE147:BE153)</f>
        <v>962.58998375592319</v>
      </c>
      <c r="BF154" s="123">
        <f>SUM(BF147:BF153)</f>
        <v>-187.58690284107826</v>
      </c>
      <c r="BG154" s="86">
        <f t="shared" si="313"/>
        <v>200.71370821769523</v>
      </c>
      <c r="BH154" s="121">
        <f>SUM(BH147:BH153)</f>
        <v>-200.1846168043644</v>
      </c>
      <c r="BI154" s="122">
        <f>SUM(BI147:BI153)</f>
        <v>-350.37211659718582</v>
      </c>
      <c r="BJ154" s="122">
        <f>SUM(BJ147:BJ153)</f>
        <v>1049.4403836099928</v>
      </c>
      <c r="BK154" s="123">
        <f>SUM(BK147:BK153)</f>
        <v>-600.74711618282868</v>
      </c>
      <c r="BL154" s="86">
        <f t="shared" si="314"/>
        <v>-101.86346597438614</v>
      </c>
      <c r="BM154" s="121">
        <f>SUM(BM147:BM153)</f>
        <v>-614.14569293418924</v>
      </c>
      <c r="BN154" s="122">
        <f>SUM(BN147:BN153)</f>
        <v>185.65555728542006</v>
      </c>
      <c r="BO154" s="122">
        <f>SUM(BO147:BO153)</f>
        <v>935.45680750502936</v>
      </c>
      <c r="BP154" s="123">
        <f>SUM(BP147:BP153)</f>
        <v>-233.34194227536142</v>
      </c>
      <c r="BQ154" s="86">
        <f t="shared" si="315"/>
        <v>273.62472958089876</v>
      </c>
      <c r="BT154" s="525"/>
      <c r="BU154" s="525"/>
      <c r="BV154" s="525"/>
      <c r="BW154" s="575"/>
      <c r="BX154" s="575"/>
      <c r="BY154" s="575"/>
      <c r="BZ154" s="525"/>
      <c r="CA154" s="525"/>
      <c r="CL154" s="86">
        <f t="shared" ref="CL154:CX154" si="328">SUM(CL147:CL153)</f>
        <v>-285.61400000000003</v>
      </c>
      <c r="CM154" s="86">
        <f t="shared" si="328"/>
        <v>-60.518000000000022</v>
      </c>
      <c r="CN154" s="86">
        <f t="shared" si="328"/>
        <v>-491.70799999999997</v>
      </c>
      <c r="CO154" s="86">
        <f t="shared" si="328"/>
        <v>169.28799999999984</v>
      </c>
      <c r="CP154" s="86">
        <f t="shared" si="328"/>
        <v>-322.42000000000013</v>
      </c>
      <c r="CQ154" s="86">
        <f t="shared" si="328"/>
        <v>-121.73100000000001</v>
      </c>
      <c r="CR154" s="86">
        <f t="shared" si="328"/>
        <v>-19.747999999999973</v>
      </c>
      <c r="CS154" s="86">
        <f t="shared" si="328"/>
        <v>102.59799999999993</v>
      </c>
      <c r="CT154" s="86">
        <f t="shared" si="328"/>
        <v>802.97299999999996</v>
      </c>
      <c r="CU154" s="86">
        <f t="shared" si="328"/>
        <v>905.57099999999991</v>
      </c>
      <c r="CV154" s="86">
        <f t="shared" si="328"/>
        <v>-49.194000000000003</v>
      </c>
      <c r="CW154" s="86">
        <f t="shared" si="328"/>
        <v>-40.067000000000021</v>
      </c>
      <c r="CX154" s="86">
        <f t="shared" si="328"/>
        <v>-177.44499999999994</v>
      </c>
      <c r="CY154" s="86">
        <f t="shared" ref="CY154:DH154" si="329">SUM(CY147:CY153)</f>
        <v>-28.029000000000082</v>
      </c>
      <c r="CZ154" s="86">
        <f t="shared" si="329"/>
        <v>-205.47400000000007</v>
      </c>
      <c r="DA154" s="86">
        <f t="shared" si="329"/>
        <v>-39.413000000000011</v>
      </c>
      <c r="DB154" s="86">
        <f t="shared" si="329"/>
        <v>93.912000000000006</v>
      </c>
      <c r="DC154" s="86">
        <f t="shared" si="329"/>
        <v>724.26400000000001</v>
      </c>
      <c r="DD154" s="86">
        <f t="shared" si="329"/>
        <v>-374.43899999999974</v>
      </c>
      <c r="DE154" s="86">
        <f t="shared" si="329"/>
        <v>349.82500000000016</v>
      </c>
      <c r="DF154" s="86">
        <f t="shared" si="329"/>
        <v>101.57299999999999</v>
      </c>
      <c r="DG154" s="86">
        <f t="shared" si="329"/>
        <v>414.25000000000011</v>
      </c>
      <c r="DH154" s="86">
        <f t="shared" si="329"/>
        <v>327.39699999999993</v>
      </c>
      <c r="DI154" s="86">
        <f t="shared" ref="DI154:DQ154" si="330">SUM(DI147:DI153)</f>
        <v>326.77199999999993</v>
      </c>
      <c r="DJ154" s="86">
        <f t="shared" si="330"/>
        <v>654.16899999999987</v>
      </c>
      <c r="DK154" s="86">
        <f t="shared" si="330"/>
        <v>233.29000000000005</v>
      </c>
      <c r="DL154" s="86">
        <f t="shared" si="330"/>
        <v>484.1099999999999</v>
      </c>
      <c r="DM154" s="86">
        <f t="shared" si="330"/>
        <v>261.13900000000001</v>
      </c>
      <c r="DN154" s="86">
        <f t="shared" si="330"/>
        <v>180.38400000000007</v>
      </c>
      <c r="DO154" s="86">
        <f t="shared" si="330"/>
        <v>441.52300000000002</v>
      </c>
      <c r="DP154" s="86">
        <f t="shared" si="330"/>
        <v>-193.56900000000002</v>
      </c>
      <c r="DQ154" s="86">
        <f t="shared" si="330"/>
        <v>-22.032999999999952</v>
      </c>
      <c r="DR154" s="86">
        <f t="shared" ref="DR154:DW154" si="331">SUM(DR147:DR153)</f>
        <v>-25.872999999999934</v>
      </c>
      <c r="DS154" s="86">
        <f t="shared" si="331"/>
        <v>628.13999999999987</v>
      </c>
      <c r="DT154" s="86">
        <f t="shared" si="331"/>
        <v>602.26699999999994</v>
      </c>
      <c r="DU154" s="86">
        <f t="shared" si="331"/>
        <v>-79.405000000000015</v>
      </c>
      <c r="DV154" s="86">
        <f t="shared" si="331"/>
        <v>22.552000000000078</v>
      </c>
      <c r="DW154" s="86">
        <f t="shared" si="331"/>
        <v>61.8479999999999</v>
      </c>
      <c r="DX154" s="86">
        <f t="shared" ref="DX154:ED154" si="332">SUM(DX147:DX153)</f>
        <v>146.80199999999999</v>
      </c>
      <c r="DY154" s="86">
        <f t="shared" si="332"/>
        <v>208.65</v>
      </c>
      <c r="DZ154" s="86">
        <f t="shared" si="332"/>
        <v>19.093</v>
      </c>
      <c r="EA154" s="86">
        <f t="shared" si="332"/>
        <v>159.16499999999999</v>
      </c>
      <c r="EB154" s="86">
        <f t="shared" si="332"/>
        <v>-45.214999999999883</v>
      </c>
      <c r="EC154" s="86">
        <f t="shared" si="332"/>
        <v>213.73899999999989</v>
      </c>
      <c r="ED154" s="86">
        <f t="shared" si="332"/>
        <v>168.524</v>
      </c>
    </row>
    <row r="155" spans="3:134" x14ac:dyDescent="0.2">
      <c r="C155" s="26"/>
      <c r="D155" s="42"/>
      <c r="E155" s="121"/>
      <c r="F155" s="122"/>
      <c r="G155" s="122"/>
      <c r="H155" s="123"/>
      <c r="I155" s="86"/>
      <c r="J155" s="121"/>
      <c r="K155" s="122"/>
      <c r="L155" s="122"/>
      <c r="M155" s="123"/>
      <c r="N155" s="86"/>
      <c r="O155" s="121"/>
      <c r="P155" s="122"/>
      <c r="Q155" s="122"/>
      <c r="R155" s="123"/>
      <c r="S155" s="86"/>
      <c r="T155" s="121"/>
      <c r="U155" s="122"/>
      <c r="V155" s="122"/>
      <c r="W155" s="123"/>
      <c r="X155" s="86"/>
      <c r="Y155" s="121"/>
      <c r="Z155" s="122"/>
      <c r="AA155" s="122"/>
      <c r="AB155" s="123"/>
      <c r="AC155" s="86"/>
      <c r="AD155" s="121"/>
      <c r="AE155" s="122"/>
      <c r="AF155" s="122"/>
      <c r="AG155" s="123"/>
      <c r="AH155" s="86"/>
      <c r="AI155" s="121"/>
      <c r="AJ155" s="122"/>
      <c r="AK155" s="122"/>
      <c r="AL155" s="123"/>
      <c r="AM155" s="86"/>
      <c r="AN155" s="121"/>
      <c r="AO155" s="122"/>
      <c r="AP155" s="122"/>
      <c r="AQ155" s="123"/>
      <c r="AR155" s="86"/>
      <c r="AS155" s="121"/>
      <c r="AT155" s="122"/>
      <c r="AU155" s="122"/>
      <c r="AV155" s="123"/>
      <c r="AW155" s="86"/>
      <c r="AX155" s="121"/>
      <c r="AY155" s="122"/>
      <c r="AZ155" s="122"/>
      <c r="BA155" s="123"/>
      <c r="BB155" s="86"/>
      <c r="BC155" s="121"/>
      <c r="BD155" s="122"/>
      <c r="BE155" s="122"/>
      <c r="BF155" s="123"/>
      <c r="BG155" s="86"/>
      <c r="BH155" s="121"/>
      <c r="BI155" s="122"/>
      <c r="BJ155" s="122"/>
      <c r="BK155" s="123"/>
      <c r="BL155" s="86"/>
      <c r="BM155" s="121"/>
      <c r="BN155" s="122"/>
      <c r="BO155" s="122"/>
      <c r="BP155" s="123"/>
      <c r="BQ155" s="86"/>
      <c r="BT155" s="525"/>
      <c r="BU155" s="525"/>
      <c r="BV155" s="525"/>
      <c r="BW155" s="575"/>
      <c r="BX155" s="575"/>
      <c r="BY155" s="575"/>
      <c r="BZ155" s="525"/>
      <c r="CA155" s="525"/>
      <c r="CL155" s="86"/>
      <c r="CM155" s="86"/>
      <c r="CN155" s="86"/>
      <c r="CO155" s="86"/>
      <c r="CP155" s="86"/>
      <c r="CQ155" s="86"/>
      <c r="CR155" s="86"/>
      <c r="CS155" s="86"/>
      <c r="CT155" s="86"/>
      <c r="CU155" s="86"/>
      <c r="CV155" s="86"/>
      <c r="CW155" s="86"/>
      <c r="CX155" s="86"/>
      <c r="CY155" s="86"/>
      <c r="CZ155" s="86"/>
      <c r="DA155" s="86"/>
      <c r="DB155" s="86"/>
      <c r="DC155" s="86"/>
      <c r="DD155" s="86"/>
      <c r="DE155" s="86"/>
      <c r="DF155" s="86"/>
      <c r="DG155" s="86"/>
      <c r="DH155" s="86"/>
      <c r="DI155" s="86"/>
      <c r="DJ155" s="86"/>
      <c r="DK155" s="86"/>
      <c r="DL155" s="86"/>
      <c r="DM155" s="86"/>
      <c r="DN155" s="86"/>
      <c r="DO155" s="86"/>
      <c r="DP155" s="86"/>
      <c r="DR155" s="86"/>
      <c r="DS155" s="86"/>
      <c r="DT155" s="86"/>
      <c r="DU155" s="86"/>
      <c r="DX155" s="86"/>
      <c r="DY155" s="86"/>
      <c r="DZ155" s="86"/>
      <c r="EC155" s="86"/>
      <c r="ED155" s="86"/>
    </row>
    <row r="156" spans="3:134" x14ac:dyDescent="0.2">
      <c r="C156" t="s">
        <v>440</v>
      </c>
      <c r="D156" s="42"/>
      <c r="E156" s="136">
        <f>+CL156</f>
        <v>-12.217000000000001</v>
      </c>
      <c r="F156" s="135">
        <f>+CM156-CL156</f>
        <v>1.016</v>
      </c>
      <c r="G156" s="135">
        <f>+CN156-CM156</f>
        <v>-1.4320000000000004</v>
      </c>
      <c r="H156" s="116">
        <f>+I156-CN156</f>
        <v>12.633000000000001</v>
      </c>
      <c r="I156" s="42">
        <f>CP156</f>
        <v>0</v>
      </c>
      <c r="J156" s="120">
        <f>+CQ156</f>
        <v>-9.84</v>
      </c>
      <c r="K156" s="118">
        <f>+CR156-CQ156</f>
        <v>2.8229999999999995</v>
      </c>
      <c r="L156" s="118">
        <f>+CS156-CR156</f>
        <v>1.455000000000001</v>
      </c>
      <c r="M156" s="119">
        <f>+N156-CS156</f>
        <v>5.5619999999999994</v>
      </c>
      <c r="N156" s="42">
        <f>CU156</f>
        <v>0</v>
      </c>
      <c r="O156" s="136">
        <f>+CV156</f>
        <v>0</v>
      </c>
      <c r="P156" s="135">
        <f>+CW156-CV156</f>
        <v>0</v>
      </c>
      <c r="Q156" s="221">
        <f>+CX156-CW156</f>
        <v>0</v>
      </c>
      <c r="R156" s="119">
        <f>+S156-CX156</f>
        <v>0</v>
      </c>
      <c r="S156" s="42">
        <f>CZ156</f>
        <v>0</v>
      </c>
      <c r="T156" s="136">
        <f>+DA156</f>
        <v>0</v>
      </c>
      <c r="U156" s="135">
        <f>+DB156-DA156</f>
        <v>0</v>
      </c>
      <c r="V156" s="221">
        <f>+DC156-DB156</f>
        <v>0</v>
      </c>
      <c r="W156" s="119">
        <f>+X156-DC156</f>
        <v>0</v>
      </c>
      <c r="X156" s="42">
        <f>DE156</f>
        <v>0</v>
      </c>
      <c r="Y156" s="136">
        <f>+DF156</f>
        <v>0</v>
      </c>
      <c r="Z156" s="135">
        <f>+DG156-DF156</f>
        <v>0</v>
      </c>
      <c r="AA156" s="221">
        <f>+DH156-DG156</f>
        <v>0</v>
      </c>
      <c r="AB156" s="119">
        <f>+AC156-DH156</f>
        <v>0</v>
      </c>
      <c r="AC156" s="42">
        <f>DJ156</f>
        <v>0</v>
      </c>
      <c r="AD156" s="136">
        <f>+DK156</f>
        <v>0</v>
      </c>
      <c r="AE156" s="135">
        <f>+DL156-DK156</f>
        <v>0</v>
      </c>
      <c r="AF156" s="221">
        <f>+DM156-DL156</f>
        <v>0</v>
      </c>
      <c r="AG156" s="119">
        <f>+AH156-DM156</f>
        <v>0</v>
      </c>
      <c r="AH156" s="42">
        <f>DO156</f>
        <v>0</v>
      </c>
      <c r="AI156" s="136">
        <f>+DP156</f>
        <v>0</v>
      </c>
      <c r="AJ156" s="135">
        <f>+DQ156-DP156</f>
        <v>0</v>
      </c>
      <c r="AK156" s="221">
        <f>+DR156-DQ156</f>
        <v>0</v>
      </c>
      <c r="AL156" s="119">
        <f>+AM156-DR156</f>
        <v>0</v>
      </c>
      <c r="AM156" s="42">
        <f>DT156</f>
        <v>0</v>
      </c>
      <c r="AN156" s="136">
        <f>+DU156</f>
        <v>0</v>
      </c>
      <c r="AO156" s="135">
        <f>+DV156-DU156</f>
        <v>0</v>
      </c>
      <c r="AP156" s="135">
        <f>+DW156-DV156</f>
        <v>0</v>
      </c>
      <c r="AQ156" s="119">
        <f>+AR156-DW156</f>
        <v>0</v>
      </c>
      <c r="AR156" s="42">
        <f>DY156</f>
        <v>0</v>
      </c>
      <c r="AS156" s="136">
        <f>+DZ156</f>
        <v>0</v>
      </c>
      <c r="AT156" s="135">
        <f>+EA156-DZ156</f>
        <v>0</v>
      </c>
      <c r="AU156" s="135">
        <f>+EB156-EA156</f>
        <v>0</v>
      </c>
      <c r="AV156" s="119">
        <f>+AW156-EB156</f>
        <v>0</v>
      </c>
      <c r="AW156" s="42">
        <f>ED156</f>
        <v>0</v>
      </c>
      <c r="AX156" s="148">
        <v>0</v>
      </c>
      <c r="AY156" s="221">
        <v>0</v>
      </c>
      <c r="AZ156" s="221">
        <v>0</v>
      </c>
      <c r="BA156" s="150">
        <v>0</v>
      </c>
      <c r="BB156" s="42">
        <f>SUM(AX156:BA156)</f>
        <v>0</v>
      </c>
      <c r="BC156" s="148">
        <v>0</v>
      </c>
      <c r="BD156" s="221">
        <v>0</v>
      </c>
      <c r="BE156" s="221">
        <v>0</v>
      </c>
      <c r="BF156" s="150">
        <v>0</v>
      </c>
      <c r="BG156" s="42">
        <f>SUM(BC156:BF156)</f>
        <v>0</v>
      </c>
      <c r="BH156" s="148">
        <v>0</v>
      </c>
      <c r="BI156" s="221">
        <v>0</v>
      </c>
      <c r="BJ156" s="221">
        <v>0</v>
      </c>
      <c r="BK156" s="150">
        <v>0</v>
      </c>
      <c r="BL156" s="42">
        <f>SUM(BH156:BK156)</f>
        <v>0</v>
      </c>
      <c r="BM156" s="148">
        <v>0</v>
      </c>
      <c r="BN156" s="221">
        <v>0</v>
      </c>
      <c r="BO156" s="221">
        <v>0</v>
      </c>
      <c r="BP156" s="150">
        <v>0</v>
      </c>
      <c r="BQ156" s="42">
        <f>SUM(BM156:BP156)</f>
        <v>0</v>
      </c>
      <c r="BT156" s="525"/>
      <c r="BU156" s="525"/>
      <c r="BV156" s="525"/>
      <c r="BW156" s="575"/>
      <c r="BX156" s="575"/>
      <c r="BY156" s="525"/>
      <c r="BZ156" s="525"/>
      <c r="CA156" s="525"/>
      <c r="CL156" s="117">
        <f>-1.573+-10.644</f>
        <v>-12.217000000000001</v>
      </c>
      <c r="CM156" s="117">
        <f>-0.557+-10.644</f>
        <v>-11.201000000000001</v>
      </c>
      <c r="CN156" s="117">
        <f>+-1.989+-10.644</f>
        <v>-12.633000000000001</v>
      </c>
      <c r="CO156" s="82">
        <f>CP156-CN156</f>
        <v>12.633000000000001</v>
      </c>
      <c r="CP156" s="117">
        <v>0</v>
      </c>
      <c r="CQ156" s="117">
        <f>-1.981-7.859</f>
        <v>-9.84</v>
      </c>
      <c r="CR156" s="117">
        <f>0.842-7.859</f>
        <v>-7.0170000000000003</v>
      </c>
      <c r="CS156" s="117">
        <f>2.297-7.859</f>
        <v>-5.5619999999999994</v>
      </c>
      <c r="CT156" s="223">
        <f>CU156-CS156</f>
        <v>5.5619999999999994</v>
      </c>
      <c r="CU156" s="117">
        <v>0</v>
      </c>
      <c r="CV156" s="117">
        <v>0</v>
      </c>
      <c r="CW156" s="117">
        <v>0</v>
      </c>
      <c r="CX156" s="117">
        <v>0</v>
      </c>
      <c r="CY156" s="223">
        <f>CZ156-CX156</f>
        <v>0</v>
      </c>
      <c r="CZ156" s="117">
        <v>0</v>
      </c>
      <c r="DA156" s="117">
        <v>0</v>
      </c>
      <c r="DB156" s="117">
        <v>0</v>
      </c>
      <c r="DC156" s="117">
        <v>0</v>
      </c>
      <c r="DD156" s="223">
        <f>DE156-DC156</f>
        <v>0</v>
      </c>
      <c r="DE156" s="117">
        <v>0</v>
      </c>
      <c r="DF156" s="117">
        <v>0</v>
      </c>
      <c r="DG156" s="117">
        <v>0</v>
      </c>
      <c r="DH156" s="117">
        <v>0</v>
      </c>
      <c r="DI156" s="223">
        <f>DJ156-DH156</f>
        <v>0</v>
      </c>
      <c r="DJ156" s="117">
        <v>0</v>
      </c>
      <c r="DK156" s="117">
        <v>0</v>
      </c>
      <c r="DL156" s="117">
        <v>0</v>
      </c>
      <c r="DM156" s="117">
        <v>0</v>
      </c>
      <c r="DN156" s="223">
        <f>DO156-DM156</f>
        <v>0</v>
      </c>
      <c r="DO156" s="117">
        <v>0</v>
      </c>
      <c r="DP156" s="117">
        <v>0</v>
      </c>
      <c r="DQ156" s="117">
        <v>0</v>
      </c>
      <c r="DR156" s="117">
        <v>0</v>
      </c>
      <c r="DS156" s="223">
        <f>DT156-DR156</f>
        <v>0</v>
      </c>
      <c r="DT156" s="117">
        <v>0</v>
      </c>
      <c r="DU156" s="117">
        <v>0</v>
      </c>
      <c r="DV156" s="117">
        <v>0</v>
      </c>
      <c r="DW156" s="117">
        <v>0</v>
      </c>
      <c r="DX156" s="223">
        <f>DY156-DW156</f>
        <v>0</v>
      </c>
      <c r="DY156" s="117">
        <v>0</v>
      </c>
      <c r="DZ156" s="117">
        <v>0</v>
      </c>
      <c r="EA156" s="117">
        <v>0</v>
      </c>
      <c r="EB156" s="117">
        <v>0</v>
      </c>
      <c r="EC156" s="223">
        <f>ED156-EB156</f>
        <v>0</v>
      </c>
      <c r="ED156" s="117">
        <v>0</v>
      </c>
    </row>
    <row r="157" spans="3:134" x14ac:dyDescent="0.2">
      <c r="D157" s="42"/>
      <c r="E157" s="120"/>
      <c r="F157" s="139"/>
      <c r="G157" s="139"/>
      <c r="H157" s="119"/>
      <c r="I157" s="42"/>
      <c r="J157" s="120"/>
      <c r="K157" s="139"/>
      <c r="L157" s="139"/>
      <c r="M157" s="119"/>
      <c r="N157" s="42"/>
      <c r="O157" s="120"/>
      <c r="P157" s="139"/>
      <c r="Q157" s="139"/>
      <c r="R157" s="119"/>
      <c r="S157" s="42"/>
      <c r="T157" s="120"/>
      <c r="U157" s="139"/>
      <c r="V157" s="139"/>
      <c r="W157" s="119"/>
      <c r="X157" s="42"/>
      <c r="Y157" s="120"/>
      <c r="Z157" s="139"/>
      <c r="AA157" s="139"/>
      <c r="AB157" s="119"/>
      <c r="AC157" s="42"/>
      <c r="AD157" s="120"/>
      <c r="AE157" s="139"/>
      <c r="AF157" s="139"/>
      <c r="AG157" s="119"/>
      <c r="AH157" s="42"/>
      <c r="AI157" s="120"/>
      <c r="AJ157" s="139"/>
      <c r="AK157" s="139"/>
      <c r="AL157" s="119"/>
      <c r="AM157" s="42"/>
      <c r="AN157" s="120"/>
      <c r="AO157" s="139"/>
      <c r="AP157" s="139"/>
      <c r="AQ157" s="119"/>
      <c r="AR157" s="42"/>
      <c r="AS157" s="120"/>
      <c r="AT157" s="139"/>
      <c r="AU157" s="139"/>
      <c r="AV157" s="119"/>
      <c r="AW157" s="42"/>
      <c r="AX157" s="120"/>
      <c r="AY157" s="139"/>
      <c r="AZ157" s="139"/>
      <c r="BA157" s="119"/>
      <c r="BB157" s="42"/>
      <c r="BC157" s="120"/>
      <c r="BD157" s="139"/>
      <c r="BE157" s="139"/>
      <c r="BF157" s="119"/>
      <c r="BG157" s="42"/>
      <c r="BH157" s="120"/>
      <c r="BI157" s="139"/>
      <c r="BJ157" s="139"/>
      <c r="BK157" s="119"/>
      <c r="BL157" s="42"/>
      <c r="BM157" s="120"/>
      <c r="BN157" s="139"/>
      <c r="BO157" s="139"/>
      <c r="BP157" s="119"/>
      <c r="BQ157" s="42"/>
      <c r="BT157" s="525"/>
      <c r="BU157" s="525"/>
      <c r="BV157" s="525"/>
      <c r="BW157" s="575"/>
      <c r="BX157" s="575"/>
      <c r="BY157" s="525"/>
      <c r="BZ157" s="525"/>
      <c r="CA157" s="525"/>
      <c r="CL157" s="85"/>
      <c r="CM157" s="85"/>
      <c r="CN157" s="85"/>
      <c r="CO157" s="85"/>
      <c r="CP157" s="85"/>
      <c r="CQ157" s="85"/>
      <c r="CR157" s="85"/>
      <c r="CS157" s="85"/>
      <c r="CT157" s="85"/>
      <c r="CU157" s="85"/>
      <c r="CV157" s="85"/>
      <c r="CW157" s="85"/>
      <c r="CX157" s="85"/>
      <c r="CY157" s="85"/>
      <c r="CZ157" s="85"/>
      <c r="DA157" s="85"/>
      <c r="DB157" s="85"/>
      <c r="DC157" s="85"/>
      <c r="DD157" s="85"/>
      <c r="DE157" s="85"/>
      <c r="DF157" s="85"/>
      <c r="DG157" s="85"/>
      <c r="DH157" s="85"/>
      <c r="DI157" s="85"/>
      <c r="DJ157" s="85"/>
      <c r="DK157" s="85"/>
      <c r="DL157" s="85"/>
      <c r="DM157" s="85"/>
      <c r="DN157" s="85"/>
      <c r="DO157" s="85"/>
      <c r="DP157" s="85"/>
      <c r="DQ157" s="85"/>
      <c r="DR157" s="85"/>
      <c r="DS157" s="85"/>
      <c r="DT157" s="85"/>
      <c r="DU157" s="85"/>
      <c r="DV157" s="85"/>
      <c r="DW157" s="85"/>
      <c r="DX157" s="85"/>
      <c r="DY157" s="85"/>
      <c r="DZ157" s="85"/>
      <c r="EA157" s="85"/>
      <c r="EB157" s="85"/>
      <c r="EC157" s="85"/>
      <c r="ED157" s="85"/>
    </row>
    <row r="158" spans="3:134" x14ac:dyDescent="0.2">
      <c r="C158" s="26" t="s">
        <v>193</v>
      </c>
      <c r="D158" s="42"/>
      <c r="E158" s="121">
        <f t="shared" ref="E158:P158" si="333">E140+E145+E154+E156</f>
        <v>41.472999999999942</v>
      </c>
      <c r="F158" s="122">
        <f t="shared" si="333"/>
        <v>78.938000000000116</v>
      </c>
      <c r="G158" s="122">
        <f t="shared" si="333"/>
        <v>-290.0470000000002</v>
      </c>
      <c r="H158" s="123">
        <f t="shared" si="333"/>
        <v>25.441999999999972</v>
      </c>
      <c r="I158" s="86">
        <f t="shared" si="333"/>
        <v>-144.19400000000024</v>
      </c>
      <c r="J158" s="121">
        <f t="shared" si="333"/>
        <v>-36.143999999999991</v>
      </c>
      <c r="K158" s="122">
        <f t="shared" si="333"/>
        <v>-13.515999999999785</v>
      </c>
      <c r="L158" s="122">
        <f t="shared" si="333"/>
        <v>147.4670000000003</v>
      </c>
      <c r="M158" s="123">
        <f t="shared" si="333"/>
        <v>-105.01800000000061</v>
      </c>
      <c r="N158" s="86">
        <f t="shared" si="333"/>
        <v>-7.2110000000000127</v>
      </c>
      <c r="O158" s="121">
        <f t="shared" si="333"/>
        <v>-14.098999999999975</v>
      </c>
      <c r="P158" s="122">
        <f t="shared" si="333"/>
        <v>7.2649999999999135</v>
      </c>
      <c r="Q158" s="122">
        <f t="shared" ref="Q158:V158" si="334">Q140+Q145+Q154+Q156</f>
        <v>92.552000000000561</v>
      </c>
      <c r="R158" s="123">
        <f t="shared" si="334"/>
        <v>-133.47100000000066</v>
      </c>
      <c r="S158" s="86">
        <f t="shared" si="334"/>
        <v>-47.753000000000071</v>
      </c>
      <c r="T158" s="121">
        <f t="shared" si="334"/>
        <v>39.057999999999936</v>
      </c>
      <c r="U158" s="122">
        <f t="shared" si="334"/>
        <v>-36.211999999999932</v>
      </c>
      <c r="V158" s="122">
        <f t="shared" si="334"/>
        <v>683.74299999999948</v>
      </c>
      <c r="W158" s="123">
        <f t="shared" ref="W158:AD158" si="335">W140+W145+W154+W156</f>
        <v>-664.94999999999936</v>
      </c>
      <c r="X158" s="86">
        <f t="shared" si="335"/>
        <v>21.639000000000465</v>
      </c>
      <c r="Y158" s="121">
        <f t="shared" si="335"/>
        <v>30.636999999999958</v>
      </c>
      <c r="Z158" s="122">
        <f t="shared" si="335"/>
        <v>-54.138999999999726</v>
      </c>
      <c r="AA158" s="122">
        <f t="shared" si="335"/>
        <v>43.013000000000062</v>
      </c>
      <c r="AB158" s="123">
        <f t="shared" si="335"/>
        <v>5.3099999999997181</v>
      </c>
      <c r="AC158" s="86">
        <f t="shared" si="335"/>
        <v>24.820999999999913</v>
      </c>
      <c r="AD158" s="121">
        <f t="shared" si="335"/>
        <v>25.169000000000068</v>
      </c>
      <c r="AE158" s="122">
        <f t="shared" ref="AE158:AJ158" si="336">AE140+AE145+AE154+AE156</f>
        <v>-32.772999999999968</v>
      </c>
      <c r="AF158" s="122">
        <f t="shared" si="336"/>
        <v>38.328000000000003</v>
      </c>
      <c r="AG158" s="123">
        <f t="shared" si="336"/>
        <v>-58.259999999999934</v>
      </c>
      <c r="AH158" s="86">
        <f t="shared" si="336"/>
        <v>-27.535999999999717</v>
      </c>
      <c r="AI158" s="121">
        <f t="shared" si="336"/>
        <v>53.435999999999751</v>
      </c>
      <c r="AJ158" s="122">
        <f t="shared" si="336"/>
        <v>2.552999999999912</v>
      </c>
      <c r="AK158" s="122">
        <f t="shared" ref="AK158:AP158" si="337">AK140+AK145+AK154+AK156</f>
        <v>268.81200000000007</v>
      </c>
      <c r="AL158" s="123">
        <f t="shared" si="337"/>
        <v>-319.46899999999994</v>
      </c>
      <c r="AM158" s="86">
        <f t="shared" si="337"/>
        <v>5.3320000000004484</v>
      </c>
      <c r="AN158" s="121">
        <f t="shared" si="337"/>
        <v>16.551000000000229</v>
      </c>
      <c r="AO158" s="122">
        <f t="shared" si="337"/>
        <v>-24.77999999999976</v>
      </c>
      <c r="AP158" s="122">
        <f t="shared" si="337"/>
        <v>276.67399999999975</v>
      </c>
      <c r="AQ158" s="123">
        <f t="shared" ref="AQ158:AU158" si="338">AQ140+AQ145+AQ154+AQ156</f>
        <v>-268.90900000000022</v>
      </c>
      <c r="AR158" s="86">
        <f t="shared" si="338"/>
        <v>-0.46400000000002706</v>
      </c>
      <c r="AS158" s="121">
        <f t="shared" si="338"/>
        <v>-10.49100000000006</v>
      </c>
      <c r="AT158" s="122">
        <f t="shared" si="338"/>
        <v>-12.60299999999998</v>
      </c>
      <c r="AU158" s="122">
        <f t="shared" si="338"/>
        <v>106.45899999999949</v>
      </c>
      <c r="AV158" s="123">
        <f t="shared" ref="AV158:AW158" si="339">AV140+AV145+AV154+AV156</f>
        <v>-84.840999999999468</v>
      </c>
      <c r="AW158" s="86">
        <f t="shared" si="339"/>
        <v>-1.4759999999999991</v>
      </c>
      <c r="AX158" s="121">
        <f t="shared" ref="AX158:BG158" si="340">AX140+AX145+AX154+AX156</f>
        <v>-44.492259465750692</v>
      </c>
      <c r="AY158" s="122">
        <f t="shared" si="340"/>
        <v>-400.8041447597775</v>
      </c>
      <c r="AZ158" s="122">
        <f t="shared" si="340"/>
        <v>1447.3470810341441</v>
      </c>
      <c r="BA158" s="123">
        <f t="shared" si="340"/>
        <v>-363.78786374712161</v>
      </c>
      <c r="BB158" s="86">
        <f t="shared" si="340"/>
        <v>638.2628130614944</v>
      </c>
      <c r="BC158" s="121">
        <f t="shared" si="340"/>
        <v>-459.99371453154083</v>
      </c>
      <c r="BD158" s="122">
        <f t="shared" si="340"/>
        <v>-720.99118152282631</v>
      </c>
      <c r="BE158" s="122">
        <f t="shared" si="340"/>
        <v>938.87047823864214</v>
      </c>
      <c r="BF158" s="123">
        <f t="shared" si="340"/>
        <v>-532.01655165695411</v>
      </c>
      <c r="BG158" s="86">
        <f t="shared" si="340"/>
        <v>-774.130969472679</v>
      </c>
      <c r="BH158" s="121">
        <f t="shared" ref="BH158:BQ158" si="341">BH140+BH145+BH154+BH156</f>
        <v>-177.53768469760439</v>
      </c>
      <c r="BI158" s="122">
        <f t="shared" si="341"/>
        <v>-391.63671647288891</v>
      </c>
      <c r="BJ158" s="122">
        <f t="shared" si="341"/>
        <v>1323.9797135085678</v>
      </c>
      <c r="BK158" s="123">
        <f t="shared" si="341"/>
        <v>-650.66464465292165</v>
      </c>
      <c r="BL158" s="86">
        <f t="shared" si="341"/>
        <v>104.14066768515295</v>
      </c>
      <c r="BM158" s="121">
        <f t="shared" si="341"/>
        <v>-556.69264453925905</v>
      </c>
      <c r="BN158" s="122">
        <f t="shared" si="341"/>
        <v>170.77467006017332</v>
      </c>
      <c r="BO158" s="122">
        <f t="shared" si="341"/>
        <v>1244.628564276431</v>
      </c>
      <c r="BP158" s="123">
        <f t="shared" si="341"/>
        <v>-253.22990323901018</v>
      </c>
      <c r="BQ158" s="86">
        <f t="shared" si="341"/>
        <v>605.48068655833481</v>
      </c>
      <c r="BT158" s="525"/>
      <c r="BU158" s="525"/>
      <c r="BV158" s="525"/>
      <c r="BW158" s="575"/>
      <c r="BX158" s="575"/>
      <c r="BY158" s="525"/>
      <c r="BZ158" s="525"/>
      <c r="CA158" s="525"/>
      <c r="CL158" s="86">
        <f>CL140+CL145+CL154+CL156</f>
        <v>41.472999999999942</v>
      </c>
      <c r="CM158" s="86">
        <f>CM140+CM145+CM154+CM156</f>
        <v>120.41100000000009</v>
      </c>
      <c r="CN158" s="86">
        <f>CN140+CN145+CN154+CN156</f>
        <v>-169.63600000000028</v>
      </c>
      <c r="CO158" s="86">
        <f t="shared" ref="CO158:CX158" si="342">CO140+CO145+CO154+CO156</f>
        <v>25.441999999999972</v>
      </c>
      <c r="CP158" s="86">
        <f>CP140+CP145+CP154+CP156</f>
        <v>-144.19400000000024</v>
      </c>
      <c r="CQ158" s="86">
        <f t="shared" si="342"/>
        <v>-36.143999999999991</v>
      </c>
      <c r="CR158" s="86">
        <f t="shared" si="342"/>
        <v>-49.659999999999961</v>
      </c>
      <c r="CS158" s="86">
        <f t="shared" si="342"/>
        <v>97.807000000000571</v>
      </c>
      <c r="CT158" s="86">
        <f t="shared" si="342"/>
        <v>-105.01800000000061</v>
      </c>
      <c r="CU158" s="86">
        <f t="shared" si="342"/>
        <v>-7.2110000000000127</v>
      </c>
      <c r="CV158" s="86">
        <f t="shared" si="342"/>
        <v>-14.098999999999975</v>
      </c>
      <c r="CW158" s="86">
        <f t="shared" si="342"/>
        <v>-6.8340000000000742</v>
      </c>
      <c r="CX158" s="86">
        <f t="shared" si="342"/>
        <v>85.718000000000757</v>
      </c>
      <c r="CY158" s="86">
        <f t="shared" ref="CY158:DF158" si="343">CY140+CY145+CY154+CY156</f>
        <v>-133.47100000000066</v>
      </c>
      <c r="CZ158" s="86">
        <f t="shared" si="343"/>
        <v>-47.753000000000071</v>
      </c>
      <c r="DA158" s="86">
        <f t="shared" si="343"/>
        <v>39.057999999999936</v>
      </c>
      <c r="DB158" s="86">
        <f t="shared" si="343"/>
        <v>2.8459999999999752</v>
      </c>
      <c r="DC158" s="86">
        <f t="shared" si="343"/>
        <v>686.5889999999996</v>
      </c>
      <c r="DD158" s="86">
        <f t="shared" si="343"/>
        <v>-664.94999999999936</v>
      </c>
      <c r="DE158" s="86">
        <f t="shared" si="343"/>
        <v>21.639000000000465</v>
      </c>
      <c r="DF158" s="86">
        <f t="shared" si="343"/>
        <v>30.636999999999958</v>
      </c>
      <c r="DG158" s="86">
        <f t="shared" ref="DG158:DM158" si="344">DG140+DG145+DG154+DG156</f>
        <v>-23.502000000000066</v>
      </c>
      <c r="DH158" s="86">
        <f t="shared" si="344"/>
        <v>19.511000000000195</v>
      </c>
      <c r="DI158" s="86">
        <f t="shared" si="344"/>
        <v>5.3099999999997181</v>
      </c>
      <c r="DJ158" s="86">
        <f t="shared" si="344"/>
        <v>24.820999999999913</v>
      </c>
      <c r="DK158" s="86">
        <f t="shared" si="344"/>
        <v>25.169000000000068</v>
      </c>
      <c r="DL158" s="86">
        <f t="shared" si="344"/>
        <v>-7.6040000000000418</v>
      </c>
      <c r="DM158" s="86">
        <f t="shared" si="344"/>
        <v>30.723999999999592</v>
      </c>
      <c r="DN158" s="86">
        <f t="shared" ref="DN158:DT158" si="345">DN140+DN145+DN154+DN156</f>
        <v>-58.259999999999934</v>
      </c>
      <c r="DO158" s="86">
        <f t="shared" si="345"/>
        <v>-27.535999999999717</v>
      </c>
      <c r="DP158" s="86">
        <f t="shared" si="345"/>
        <v>53.435999999999751</v>
      </c>
      <c r="DQ158" s="86">
        <f t="shared" si="345"/>
        <v>55.988999999999756</v>
      </c>
      <c r="DR158" s="86">
        <f t="shared" si="345"/>
        <v>324.80100000000004</v>
      </c>
      <c r="DS158" s="86">
        <f t="shared" si="345"/>
        <v>-319.46899999999994</v>
      </c>
      <c r="DT158" s="86">
        <f t="shared" si="345"/>
        <v>5.3320000000004484</v>
      </c>
      <c r="DU158" s="86">
        <f t="shared" ref="DU158:DZ158" si="346">DU140+DU145+DU154+DU156</f>
        <v>16.551000000000229</v>
      </c>
      <c r="DV158" s="86">
        <f t="shared" si="346"/>
        <v>-8.2289999999996439</v>
      </c>
      <c r="DW158" s="86">
        <f t="shared" si="346"/>
        <v>268.44500000000056</v>
      </c>
      <c r="DX158" s="86">
        <f t="shared" si="346"/>
        <v>-268.90900000000022</v>
      </c>
      <c r="DY158" s="86">
        <f t="shared" si="346"/>
        <v>-0.46400000000002706</v>
      </c>
      <c r="DZ158" s="86">
        <f t="shared" si="346"/>
        <v>-10.49100000000006</v>
      </c>
      <c r="EA158" s="86">
        <f>EA140+EA145+EA154+EA156</f>
        <v>-23.094000000000023</v>
      </c>
      <c r="EB158" s="86">
        <f>EB140+EB145+EB154+EB156</f>
        <v>83.364999999999583</v>
      </c>
      <c r="EC158" s="86">
        <f t="shared" ref="EC158:ED158" si="347">EC140+EC145+EC154+EC156</f>
        <v>-84.840999999999468</v>
      </c>
      <c r="ED158" s="86">
        <f t="shared" si="347"/>
        <v>-1.4759999999999991</v>
      </c>
    </row>
    <row r="159" spans="3:134" x14ac:dyDescent="0.2">
      <c r="C159" s="20" t="s">
        <v>194</v>
      </c>
      <c r="D159" s="42"/>
      <c r="E159" s="222">
        <f>CL159</f>
        <v>259.84199999999998</v>
      </c>
      <c r="F159" s="118">
        <f>E161</f>
        <v>301.31499999999994</v>
      </c>
      <c r="G159" s="118">
        <f>F161</f>
        <v>380.25300000000004</v>
      </c>
      <c r="H159" s="119">
        <f>G161</f>
        <v>90.205999999999847</v>
      </c>
      <c r="I159" s="223">
        <f>E159</f>
        <v>259.84199999999998</v>
      </c>
      <c r="J159" s="120">
        <f>I161</f>
        <v>115.64799999999974</v>
      </c>
      <c r="K159" s="118">
        <f>J161</f>
        <v>79.503999999999749</v>
      </c>
      <c r="L159" s="118">
        <f>K161</f>
        <v>65.987999999999971</v>
      </c>
      <c r="M159" s="119">
        <f>L161</f>
        <v>213.45500000000027</v>
      </c>
      <c r="N159" s="42">
        <f>I161</f>
        <v>115.64799999999974</v>
      </c>
      <c r="O159" s="120">
        <f>N161</f>
        <v>108.43699999999973</v>
      </c>
      <c r="P159" s="118">
        <f>O161</f>
        <v>94.337999999999752</v>
      </c>
      <c r="Q159" s="118">
        <f>P161</f>
        <v>101.60299999999967</v>
      </c>
      <c r="R159" s="119">
        <f>Q161</f>
        <v>194.15500000000023</v>
      </c>
      <c r="S159" s="42">
        <f>N161</f>
        <v>108.43699999999973</v>
      </c>
      <c r="T159" s="120">
        <f>S161</f>
        <v>60.683999999999656</v>
      </c>
      <c r="U159" s="118">
        <f>T161</f>
        <v>99.741999999999592</v>
      </c>
      <c r="V159" s="118">
        <f>U161</f>
        <v>63.52999999999966</v>
      </c>
      <c r="W159" s="119">
        <f>V161</f>
        <v>747.27299999999912</v>
      </c>
      <c r="X159" s="42">
        <f>S161</f>
        <v>60.683999999999656</v>
      </c>
      <c r="Y159" s="120">
        <f>X161</f>
        <v>82.323000000000121</v>
      </c>
      <c r="Z159" s="118">
        <f>Y161</f>
        <v>112.96000000000008</v>
      </c>
      <c r="AA159" s="118">
        <f>Z161</f>
        <v>58.821000000000353</v>
      </c>
      <c r="AB159" s="119">
        <f>AA161</f>
        <v>101.83400000000042</v>
      </c>
      <c r="AC159" s="42">
        <f>X161</f>
        <v>82.323000000000121</v>
      </c>
      <c r="AD159" s="120">
        <f>AC161</f>
        <v>107.14400000000003</v>
      </c>
      <c r="AE159" s="118">
        <f>AD161</f>
        <v>132.3130000000001</v>
      </c>
      <c r="AF159" s="118">
        <f>AE161</f>
        <v>99.540000000000134</v>
      </c>
      <c r="AG159" s="119">
        <f>AF161</f>
        <v>137.86800000000014</v>
      </c>
      <c r="AH159" s="42">
        <f>AC161</f>
        <v>107.14400000000003</v>
      </c>
      <c r="AI159" s="120">
        <f>AH161</f>
        <v>79.608000000000317</v>
      </c>
      <c r="AJ159" s="118">
        <f>AI161</f>
        <v>133.04400000000007</v>
      </c>
      <c r="AK159" s="118">
        <f>AJ161</f>
        <v>135.59699999999998</v>
      </c>
      <c r="AL159" s="119">
        <f>AK161</f>
        <v>404.40900000000005</v>
      </c>
      <c r="AM159" s="42">
        <f>AH161</f>
        <v>79.608000000000317</v>
      </c>
      <c r="AN159" s="120">
        <f>AM161</f>
        <v>84.940000000000765</v>
      </c>
      <c r="AO159" s="118">
        <f>AN161</f>
        <v>101.49100000000099</v>
      </c>
      <c r="AP159" s="118">
        <f>AO161</f>
        <v>76.711000000001235</v>
      </c>
      <c r="AQ159" s="119">
        <f>AP161</f>
        <v>353.38500000000101</v>
      </c>
      <c r="AR159" s="42">
        <f>AM161</f>
        <v>84.940000000000765</v>
      </c>
      <c r="AS159" s="120">
        <f>AR161</f>
        <v>84.476000000000738</v>
      </c>
      <c r="AT159" s="118">
        <f>AS161</f>
        <v>73.985000000000682</v>
      </c>
      <c r="AU159" s="118">
        <f>AT161</f>
        <v>61.382000000000701</v>
      </c>
      <c r="AV159" s="119">
        <f>AU161</f>
        <v>167.84100000000018</v>
      </c>
      <c r="AW159" s="42">
        <f>AR161</f>
        <v>84.476000000000738</v>
      </c>
      <c r="AX159" s="120">
        <f>+AW161</f>
        <v>83.000000000000739</v>
      </c>
      <c r="AY159" s="118">
        <f>+AX161</f>
        <v>0</v>
      </c>
      <c r="AZ159" s="118">
        <f>+AY161</f>
        <v>0</v>
      </c>
      <c r="BA159" s="119">
        <f>+AZ161</f>
        <v>271.05067680861657</v>
      </c>
      <c r="BB159" s="42">
        <f>+AW161</f>
        <v>83.000000000000739</v>
      </c>
      <c r="BC159" s="120">
        <f>+BB161</f>
        <v>0</v>
      </c>
      <c r="BD159" s="118">
        <f>+BC161</f>
        <v>0</v>
      </c>
      <c r="BE159" s="118">
        <f>+BD161</f>
        <v>0</v>
      </c>
      <c r="BF159" s="119">
        <f>+BE161</f>
        <v>0</v>
      </c>
      <c r="BG159" s="42">
        <f>+BB161</f>
        <v>0</v>
      </c>
      <c r="BH159" s="120">
        <f>+BG161</f>
        <v>0</v>
      </c>
      <c r="BI159" s="118">
        <f>+BH161</f>
        <v>0</v>
      </c>
      <c r="BJ159" s="118">
        <f>+BI161</f>
        <v>0</v>
      </c>
      <c r="BK159" s="119">
        <f>+BJ161</f>
        <v>0</v>
      </c>
      <c r="BL159" s="42">
        <f>+BG161</f>
        <v>0</v>
      </c>
      <c r="BM159" s="120">
        <f>+BL161</f>
        <v>1.1368683772161603E-13</v>
      </c>
      <c r="BN159" s="118">
        <f>+BM161</f>
        <v>0</v>
      </c>
      <c r="BO159" s="118">
        <f>+BN161</f>
        <v>0</v>
      </c>
      <c r="BP159" s="119">
        <f>+BO161</f>
        <v>95.983101071313968</v>
      </c>
      <c r="BQ159" s="42">
        <f>+BL161</f>
        <v>1.1368683772161603E-13</v>
      </c>
      <c r="BT159" s="525"/>
      <c r="BU159" s="525"/>
      <c r="BV159" s="525"/>
      <c r="BW159" s="525"/>
      <c r="BX159" s="525"/>
      <c r="BY159" s="525"/>
      <c r="BZ159" s="525"/>
      <c r="CA159" s="525"/>
      <c r="CL159" s="117">
        <v>259.84199999999998</v>
      </c>
      <c r="CM159" s="82">
        <f>CL159</f>
        <v>259.84199999999998</v>
      </c>
      <c r="CN159" s="82">
        <f>CL159</f>
        <v>259.84199999999998</v>
      </c>
      <c r="CO159" s="82">
        <f>CN161</f>
        <v>90.205999999999705</v>
      </c>
      <c r="CP159" s="82">
        <f>CL159</f>
        <v>259.84199999999998</v>
      </c>
      <c r="CQ159" s="82">
        <f>CP161</f>
        <v>115.64799999999974</v>
      </c>
      <c r="CR159" s="82">
        <f>CQ159</f>
        <v>115.64799999999974</v>
      </c>
      <c r="CS159" s="82">
        <f>CQ159</f>
        <v>115.64799999999974</v>
      </c>
      <c r="CT159" s="82">
        <f>CS161</f>
        <v>213.45500000000033</v>
      </c>
      <c r="CU159" s="82">
        <f>CQ159</f>
        <v>115.64799999999974</v>
      </c>
      <c r="CV159" s="82">
        <f>CU161</f>
        <v>108.43699999999973</v>
      </c>
      <c r="CW159" s="82">
        <f>CV159</f>
        <v>108.43699999999973</v>
      </c>
      <c r="CX159" s="82">
        <f>CW159</f>
        <v>108.43699999999973</v>
      </c>
      <c r="CY159" s="82">
        <f>CX161</f>
        <v>194.15500000000048</v>
      </c>
      <c r="CZ159" s="82">
        <f>CV159</f>
        <v>108.43699999999973</v>
      </c>
      <c r="DA159" s="82">
        <f>CZ161</f>
        <v>60.683999999999656</v>
      </c>
      <c r="DB159" s="82">
        <f>DA159</f>
        <v>60.683999999999656</v>
      </c>
      <c r="DC159" s="82">
        <f>DB159</f>
        <v>60.683999999999656</v>
      </c>
      <c r="DD159" s="82">
        <f>DC161</f>
        <v>747.27299999999923</v>
      </c>
      <c r="DE159" s="82">
        <f>DA159</f>
        <v>60.683999999999656</v>
      </c>
      <c r="DF159" s="82">
        <f>DE161</f>
        <v>82.323000000000121</v>
      </c>
      <c r="DG159" s="82">
        <f>DF159</f>
        <v>82.323000000000121</v>
      </c>
      <c r="DH159" s="82">
        <f>DG159</f>
        <v>82.323000000000121</v>
      </c>
      <c r="DI159" s="82">
        <f>DH161</f>
        <v>101.83400000000032</v>
      </c>
      <c r="DJ159" s="82">
        <f>DF159</f>
        <v>82.323000000000121</v>
      </c>
      <c r="DK159" s="82">
        <f>DJ161</f>
        <v>107.14400000000001</v>
      </c>
      <c r="DL159" s="82">
        <f>DK159</f>
        <v>107.14400000000001</v>
      </c>
      <c r="DM159" s="82">
        <f>DL159</f>
        <v>107.14400000000001</v>
      </c>
      <c r="DN159" s="82">
        <f>DM161</f>
        <v>137.8679999999996</v>
      </c>
      <c r="DO159" s="82">
        <f>DK159</f>
        <v>107.14400000000001</v>
      </c>
      <c r="DP159" s="82">
        <f>DO161</f>
        <v>79.608000000000288</v>
      </c>
      <c r="DQ159" s="82">
        <f>DP159</f>
        <v>79.608000000000288</v>
      </c>
      <c r="DR159" s="82">
        <f>DQ159</f>
        <v>79.608000000000288</v>
      </c>
      <c r="DS159" s="82">
        <f>DR161</f>
        <v>404.40900000000033</v>
      </c>
      <c r="DT159" s="82">
        <f>DP159</f>
        <v>79.608000000000288</v>
      </c>
      <c r="DU159" s="82">
        <f>DT161</f>
        <v>84.940000000000737</v>
      </c>
      <c r="DV159" s="82">
        <f>DU159</f>
        <v>84.940000000000737</v>
      </c>
      <c r="DW159" s="82">
        <f>DV159</f>
        <v>84.940000000000737</v>
      </c>
      <c r="DX159" s="82">
        <f>DW161</f>
        <v>353.3850000000013</v>
      </c>
      <c r="DY159" s="82">
        <f>DU159</f>
        <v>84.940000000000737</v>
      </c>
      <c r="DZ159" s="82">
        <f>DY161</f>
        <v>84.47600000000071</v>
      </c>
      <c r="EA159" s="82">
        <f>DZ159</f>
        <v>84.47600000000071</v>
      </c>
      <c r="EB159" s="82">
        <f>EA159</f>
        <v>84.47600000000071</v>
      </c>
      <c r="EC159" s="82">
        <f>EB161</f>
        <v>167.84100000000029</v>
      </c>
      <c r="ED159" s="82">
        <f>DZ159</f>
        <v>84.47600000000071</v>
      </c>
    </row>
    <row r="160" spans="3:134" ht="12.75" customHeight="1" x14ac:dyDescent="0.2">
      <c r="C160" s="20" t="s">
        <v>188</v>
      </c>
      <c r="D160" s="42"/>
      <c r="E160" s="120">
        <f>+CL160</f>
        <v>0</v>
      </c>
      <c r="F160" s="118">
        <f>+CM160-CL160</f>
        <v>0</v>
      </c>
      <c r="G160" s="118">
        <f>+CN160-CM160</f>
        <v>0</v>
      </c>
      <c r="H160" s="119">
        <f>+I160-CN160</f>
        <v>0</v>
      </c>
      <c r="I160" s="42">
        <v>0</v>
      </c>
      <c r="J160" s="693">
        <f>+CQ160</f>
        <v>0</v>
      </c>
      <c r="K160" s="118">
        <f>+CR160-CQ160</f>
        <v>0</v>
      </c>
      <c r="L160" s="118">
        <f>+CS160-CR160</f>
        <v>0</v>
      </c>
      <c r="M160" s="119">
        <f>+N160-CS160</f>
        <v>0</v>
      </c>
      <c r="N160" s="42">
        <f>CU160</f>
        <v>0</v>
      </c>
      <c r="O160" s="120">
        <f>+CV160</f>
        <v>0</v>
      </c>
      <c r="P160" s="118">
        <f>+CW160-CV160</f>
        <v>0</v>
      </c>
      <c r="Q160" s="139">
        <f>+CX160-CW160</f>
        <v>0</v>
      </c>
      <c r="R160" s="119">
        <f>+S160-CX160</f>
        <v>0</v>
      </c>
      <c r="S160" s="42">
        <f>CZ160</f>
        <v>0</v>
      </c>
      <c r="T160" s="120">
        <f>+DA160</f>
        <v>0</v>
      </c>
      <c r="U160" s="118">
        <f>+DB160-DA160</f>
        <v>0</v>
      </c>
      <c r="V160" s="139">
        <f>+DC160-DB160</f>
        <v>0</v>
      </c>
      <c r="W160" s="119">
        <f>+X160-DC160</f>
        <v>0</v>
      </c>
      <c r="X160" s="42">
        <f>DE160</f>
        <v>0</v>
      </c>
      <c r="Y160" s="120">
        <f>+DF160</f>
        <v>0</v>
      </c>
      <c r="Z160" s="118">
        <f>+DG160-DF160</f>
        <v>0</v>
      </c>
      <c r="AA160" s="139">
        <f>+DH160-DG160</f>
        <v>0</v>
      </c>
      <c r="AB160" s="119">
        <f>+AC160-DH160</f>
        <v>0</v>
      </c>
      <c r="AC160" s="42">
        <f>DJ160</f>
        <v>0</v>
      </c>
      <c r="AD160" s="120">
        <f>+DK160</f>
        <v>0</v>
      </c>
      <c r="AE160" s="118">
        <f>+DL160-DK160</f>
        <v>0</v>
      </c>
      <c r="AF160" s="139">
        <f>+DM160-DL160</f>
        <v>0</v>
      </c>
      <c r="AG160" s="119">
        <f>+AH160-DM160</f>
        <v>0</v>
      </c>
      <c r="AH160" s="42">
        <f>DO160</f>
        <v>0</v>
      </c>
      <c r="AI160" s="120">
        <f>+DP160</f>
        <v>0</v>
      </c>
      <c r="AJ160" s="118">
        <f>+DQ160-DP160</f>
        <v>0</v>
      </c>
      <c r="AK160" s="139">
        <f>+DR160-DQ160</f>
        <v>0</v>
      </c>
      <c r="AL160" s="119">
        <f>+AM160-DR160</f>
        <v>0</v>
      </c>
      <c r="AM160" s="42">
        <f>DT160</f>
        <v>0</v>
      </c>
      <c r="AN160" s="120">
        <f>+DU160</f>
        <v>0</v>
      </c>
      <c r="AO160" s="118">
        <f>+DV160-DU160</f>
        <v>0</v>
      </c>
      <c r="AP160" s="139">
        <f>+DW160-DV160</f>
        <v>0</v>
      </c>
      <c r="AQ160" s="119">
        <f>+AR160-DW160</f>
        <v>0</v>
      </c>
      <c r="AR160" s="42">
        <f>DY160</f>
        <v>0</v>
      </c>
      <c r="AS160" s="120">
        <f>+DZ160</f>
        <v>0</v>
      </c>
      <c r="AT160" s="118">
        <f>+EA160-DZ160</f>
        <v>0</v>
      </c>
      <c r="AU160" s="139">
        <f>+EB160-EA160</f>
        <v>0</v>
      </c>
      <c r="AV160" s="119">
        <f>+AW160-EB160</f>
        <v>0</v>
      </c>
      <c r="AW160" s="42">
        <f>ED160</f>
        <v>0</v>
      </c>
      <c r="AX160" s="136">
        <f>IF((AX158+AX159)&gt;=AW217,-AW217,-(AX158+AX159))</f>
        <v>-38.507740534250047</v>
      </c>
      <c r="AY160" s="118">
        <f>IF((AY158+AY159)&gt;=AX217,-AX217,-(AY158+AY159))</f>
        <v>400.8041447597775</v>
      </c>
      <c r="AZ160" s="118">
        <f>IF((AZ158+AZ159)&gt;=AY217,-AY217,-(AZ158+AZ159))</f>
        <v>-1176.2964042255276</v>
      </c>
      <c r="BA160" s="119">
        <f>IF((BA158+BA159)&gt;=AZ217,-AZ217,-(BA158+BA159))</f>
        <v>92.737186938505033</v>
      </c>
      <c r="BB160" s="42">
        <f>SUM(AX160:BA160)</f>
        <v>-721.26281306149508</v>
      </c>
      <c r="BC160" s="136">
        <f>IF((BC158+BC159)&gt;=BB217,-BB217,-(BC158+BC159))</f>
        <v>459.99371453154083</v>
      </c>
      <c r="BD160" s="118">
        <f>IF((BD158+BD159)&gt;=BC217,-BC217,-(BD158+BD159))</f>
        <v>720.99118152282631</v>
      </c>
      <c r="BE160" s="118">
        <f>IF((BE158+BE159)&gt;=BD217,-BD217,-(BE158+BE159))</f>
        <v>-938.87047823864214</v>
      </c>
      <c r="BF160" s="119">
        <f>IF((BF158+BF159)&gt;=BE217,-BE217,-(BF158+BF159))</f>
        <v>532.01655165695411</v>
      </c>
      <c r="BG160" s="42">
        <f>SUM(BC160:BF160)</f>
        <v>774.13096947267923</v>
      </c>
      <c r="BH160" s="136">
        <f>IF((BH158+BH159)&gt;=BG217,-BG217,-(BH158+BH159))</f>
        <v>177.53768469760439</v>
      </c>
      <c r="BI160" s="118">
        <f>IF((BI158+BI159)&gt;=BH217,-BH217,-(BI158+BI159))</f>
        <v>391.63671647288891</v>
      </c>
      <c r="BJ160" s="118">
        <f>IF((BJ158+BJ159)&gt;=BI217,-BI217,-(BJ158+BJ159))</f>
        <v>-1323.9797135085678</v>
      </c>
      <c r="BK160" s="119">
        <f>IF((BK158+BK159)&gt;=BJ217,-BJ217,-(BK158+BK159))</f>
        <v>650.66464465292165</v>
      </c>
      <c r="BL160" s="42">
        <f>SUM(BH160:BK160)</f>
        <v>-104.14066768515283</v>
      </c>
      <c r="BM160" s="136">
        <f>IF((BM158+BM159)&gt;=BL217,-BL217,-(BM158+BM159))</f>
        <v>556.69264453925894</v>
      </c>
      <c r="BN160" s="118">
        <f>IF((BN158+BN159)&gt;=BM217,-BM217,-(BN158+BN159))</f>
        <v>-170.77467006017332</v>
      </c>
      <c r="BO160" s="118">
        <f>IF((BO158+BO159)&gt;=BN217,-BN217,-(BO158+BO159))</f>
        <v>-1148.645463205117</v>
      </c>
      <c r="BP160" s="119">
        <f>IF((BP158+BP159)&gt;=BO217,-BO217,-(BP158+BP159))</f>
        <v>157.24680216769622</v>
      </c>
      <c r="BQ160" s="42">
        <f>SUM(BM160:BP160)</f>
        <v>-605.48068655833526</v>
      </c>
      <c r="BT160" s="525"/>
      <c r="BU160" s="525"/>
      <c r="BV160" s="525"/>
      <c r="BW160" s="525"/>
      <c r="BX160" s="525"/>
      <c r="BY160" s="525"/>
      <c r="BZ160" s="525"/>
      <c r="CA160" s="525"/>
      <c r="CL160" s="219"/>
      <c r="CM160" s="219"/>
      <c r="CN160" s="219"/>
      <c r="CO160" s="82">
        <f>CP160-CN160</f>
        <v>0</v>
      </c>
      <c r="CP160" s="219"/>
      <c r="CQ160" s="219"/>
      <c r="CR160" s="219"/>
      <c r="CS160" s="219"/>
      <c r="CT160" s="82">
        <f>CU160-CS160</f>
        <v>0</v>
      </c>
      <c r="CU160" s="219"/>
      <c r="CV160" s="219"/>
      <c r="CW160" s="219"/>
      <c r="CX160" s="220"/>
      <c r="CY160" s="82">
        <f>CZ160-CX160</f>
        <v>0</v>
      </c>
      <c r="CZ160" s="219"/>
      <c r="DA160" s="219"/>
      <c r="DB160" s="220"/>
      <c r="DC160" s="220"/>
      <c r="DD160" s="82">
        <f>DE160-DC160</f>
        <v>0</v>
      </c>
      <c r="DE160" s="219"/>
      <c r="DF160" s="219"/>
      <c r="DG160" s="220"/>
      <c r="DH160" s="220"/>
      <c r="DI160" s="82">
        <f>DJ160-DH160</f>
        <v>0</v>
      </c>
      <c r="DJ160" s="219"/>
      <c r="DK160" s="219"/>
      <c r="DL160" s="220"/>
      <c r="DM160" s="220"/>
      <c r="DN160" s="82">
        <f>DO160-DM160</f>
        <v>0</v>
      </c>
      <c r="DO160" s="219"/>
      <c r="DP160" s="219"/>
      <c r="DQ160" s="220"/>
      <c r="DR160" s="220"/>
      <c r="DS160" s="82">
        <f>DT160-DR160</f>
        <v>0</v>
      </c>
      <c r="DT160" s="219"/>
      <c r="DU160" s="219"/>
      <c r="DV160" s="220"/>
      <c r="DW160" s="220"/>
      <c r="DX160" s="82">
        <f>DY160-DW160</f>
        <v>0</v>
      </c>
      <c r="DY160" s="219"/>
      <c r="DZ160" s="219"/>
      <c r="EA160" s="220"/>
      <c r="EB160" s="220"/>
      <c r="EC160" s="82">
        <f>ED160-EB160</f>
        <v>0</v>
      </c>
      <c r="ED160" s="219"/>
    </row>
    <row r="161" spans="2:134" x14ac:dyDescent="0.2">
      <c r="C161" s="26" t="s">
        <v>195</v>
      </c>
      <c r="D161" s="42">
        <f>+E159</f>
        <v>259.84199999999998</v>
      </c>
      <c r="E161" s="121">
        <f t="shared" ref="E161:N161" si="348">E160+E159+E158</f>
        <v>301.31499999999994</v>
      </c>
      <c r="F161" s="122">
        <f t="shared" si="348"/>
        <v>380.25300000000004</v>
      </c>
      <c r="G161" s="122">
        <f t="shared" si="348"/>
        <v>90.205999999999847</v>
      </c>
      <c r="H161" s="123">
        <f t="shared" si="348"/>
        <v>115.64799999999983</v>
      </c>
      <c r="I161" s="86">
        <f t="shared" si="348"/>
        <v>115.64799999999974</v>
      </c>
      <c r="J161" s="121">
        <f t="shared" si="348"/>
        <v>79.503999999999749</v>
      </c>
      <c r="K161" s="122">
        <f t="shared" si="348"/>
        <v>65.987999999999971</v>
      </c>
      <c r="L161" s="122">
        <f t="shared" si="348"/>
        <v>213.45500000000027</v>
      </c>
      <c r="M161" s="123">
        <f t="shared" si="348"/>
        <v>108.43699999999966</v>
      </c>
      <c r="N161" s="86">
        <f t="shared" si="348"/>
        <v>108.43699999999973</v>
      </c>
      <c r="O161" s="121">
        <f t="shared" ref="O161:AH161" si="349">O160+O159+O158</f>
        <v>94.337999999999752</v>
      </c>
      <c r="P161" s="122">
        <f t="shared" si="349"/>
        <v>101.60299999999967</v>
      </c>
      <c r="Q161" s="122">
        <f t="shared" si="349"/>
        <v>194.15500000000023</v>
      </c>
      <c r="R161" s="123">
        <f t="shared" si="349"/>
        <v>60.683999999999571</v>
      </c>
      <c r="S161" s="86">
        <f t="shared" si="349"/>
        <v>60.683999999999656</v>
      </c>
      <c r="T161" s="121">
        <f t="shared" si="349"/>
        <v>99.741999999999592</v>
      </c>
      <c r="U161" s="122">
        <f t="shared" si="349"/>
        <v>63.52999999999966</v>
      </c>
      <c r="V161" s="122">
        <f t="shared" si="349"/>
        <v>747.27299999999912</v>
      </c>
      <c r="W161" s="123">
        <f t="shared" si="349"/>
        <v>82.322999999999752</v>
      </c>
      <c r="X161" s="86">
        <f t="shared" si="349"/>
        <v>82.323000000000121</v>
      </c>
      <c r="Y161" s="121">
        <f t="shared" si="349"/>
        <v>112.96000000000008</v>
      </c>
      <c r="Z161" s="122">
        <f t="shared" si="349"/>
        <v>58.821000000000353</v>
      </c>
      <c r="AA161" s="122">
        <f t="shared" si="349"/>
        <v>101.83400000000042</v>
      </c>
      <c r="AB161" s="123">
        <f t="shared" si="349"/>
        <v>107.14400000000013</v>
      </c>
      <c r="AC161" s="86">
        <f t="shared" si="349"/>
        <v>107.14400000000003</v>
      </c>
      <c r="AD161" s="121">
        <f t="shared" si="349"/>
        <v>132.3130000000001</v>
      </c>
      <c r="AE161" s="122">
        <f t="shared" si="349"/>
        <v>99.540000000000134</v>
      </c>
      <c r="AF161" s="122">
        <f t="shared" si="349"/>
        <v>137.86800000000014</v>
      </c>
      <c r="AG161" s="123">
        <f t="shared" si="349"/>
        <v>79.608000000000203</v>
      </c>
      <c r="AH161" s="86">
        <f t="shared" si="349"/>
        <v>79.608000000000317</v>
      </c>
      <c r="AI161" s="121">
        <f t="shared" ref="AI161:AN161" si="350">AI160+AI159+AI158</f>
        <v>133.04400000000007</v>
      </c>
      <c r="AJ161" s="122">
        <f t="shared" si="350"/>
        <v>135.59699999999998</v>
      </c>
      <c r="AK161" s="122">
        <f t="shared" si="350"/>
        <v>404.40900000000005</v>
      </c>
      <c r="AL161" s="123">
        <f t="shared" si="350"/>
        <v>84.940000000000111</v>
      </c>
      <c r="AM161" s="86">
        <f t="shared" si="350"/>
        <v>84.940000000000765</v>
      </c>
      <c r="AN161" s="121">
        <f t="shared" si="350"/>
        <v>101.49100000000099</v>
      </c>
      <c r="AO161" s="122">
        <f t="shared" ref="AO161:AS161" si="351">AO160+AO159+AO158</f>
        <v>76.711000000001235</v>
      </c>
      <c r="AP161" s="122">
        <f t="shared" si="351"/>
        <v>353.38500000000101</v>
      </c>
      <c r="AQ161" s="123">
        <f t="shared" si="351"/>
        <v>84.476000000000795</v>
      </c>
      <c r="AR161" s="86">
        <f t="shared" si="351"/>
        <v>84.476000000000738</v>
      </c>
      <c r="AS161" s="121">
        <f t="shared" si="351"/>
        <v>73.985000000000682</v>
      </c>
      <c r="AT161" s="122">
        <f t="shared" ref="AT161:AW161" si="352">AT160+AT159+AT158</f>
        <v>61.382000000000701</v>
      </c>
      <c r="AU161" s="122">
        <f t="shared" si="352"/>
        <v>167.84100000000018</v>
      </c>
      <c r="AV161" s="123">
        <f t="shared" si="352"/>
        <v>83.000000000000711</v>
      </c>
      <c r="AW161" s="86">
        <f t="shared" si="352"/>
        <v>83.000000000000739</v>
      </c>
      <c r="AX161" s="121">
        <f t="shared" ref="AX161:BG161" si="353">AX160+AX159+AX158</f>
        <v>0</v>
      </c>
      <c r="AY161" s="122">
        <f t="shared" si="353"/>
        <v>0</v>
      </c>
      <c r="AZ161" s="122">
        <f t="shared" si="353"/>
        <v>271.05067680861657</v>
      </c>
      <c r="BA161" s="123">
        <f t="shared" si="353"/>
        <v>0</v>
      </c>
      <c r="BB161" s="86">
        <f t="shared" si="353"/>
        <v>0</v>
      </c>
      <c r="BC161" s="121">
        <f t="shared" si="353"/>
        <v>0</v>
      </c>
      <c r="BD161" s="122">
        <f t="shared" si="353"/>
        <v>0</v>
      </c>
      <c r="BE161" s="122">
        <f t="shared" si="353"/>
        <v>0</v>
      </c>
      <c r="BF161" s="123">
        <f t="shared" si="353"/>
        <v>0</v>
      </c>
      <c r="BG161" s="86">
        <f t="shared" si="353"/>
        <v>0</v>
      </c>
      <c r="BH161" s="121">
        <f t="shared" ref="BH161:BQ161" si="354">BH160+BH159+BH158</f>
        <v>0</v>
      </c>
      <c r="BI161" s="122">
        <f t="shared" si="354"/>
        <v>0</v>
      </c>
      <c r="BJ161" s="122">
        <f t="shared" si="354"/>
        <v>0</v>
      </c>
      <c r="BK161" s="123">
        <f t="shared" si="354"/>
        <v>0</v>
      </c>
      <c r="BL161" s="86">
        <f t="shared" si="354"/>
        <v>1.1368683772161603E-13</v>
      </c>
      <c r="BM161" s="121">
        <f t="shared" si="354"/>
        <v>0</v>
      </c>
      <c r="BN161" s="122">
        <f t="shared" si="354"/>
        <v>0</v>
      </c>
      <c r="BO161" s="122">
        <f t="shared" si="354"/>
        <v>95.983101071313968</v>
      </c>
      <c r="BP161" s="123">
        <f t="shared" si="354"/>
        <v>0</v>
      </c>
      <c r="BQ161" s="86">
        <f t="shared" si="354"/>
        <v>0</v>
      </c>
      <c r="BT161" s="525"/>
      <c r="BU161" s="525"/>
      <c r="BV161" s="525"/>
      <c r="BW161" s="525"/>
      <c r="BX161" s="525"/>
      <c r="BY161" s="525"/>
      <c r="BZ161" s="525"/>
      <c r="CA161" s="525"/>
      <c r="CL161" s="86">
        <f t="shared" ref="CL161:CX161" si="355">CL159+CL158+CL160</f>
        <v>301.31499999999994</v>
      </c>
      <c r="CM161" s="86">
        <f t="shared" si="355"/>
        <v>380.25300000000004</v>
      </c>
      <c r="CN161" s="86">
        <f t="shared" si="355"/>
        <v>90.205999999999705</v>
      </c>
      <c r="CO161" s="86">
        <f t="shared" si="355"/>
        <v>115.64799999999968</v>
      </c>
      <c r="CP161" s="86">
        <f>CP159+CP158+CP160</f>
        <v>115.64799999999974</v>
      </c>
      <c r="CQ161" s="86">
        <f t="shared" si="355"/>
        <v>79.503999999999749</v>
      </c>
      <c r="CR161" s="86">
        <f t="shared" si="355"/>
        <v>65.987999999999772</v>
      </c>
      <c r="CS161" s="86">
        <f t="shared" si="355"/>
        <v>213.45500000000033</v>
      </c>
      <c r="CT161" s="86">
        <f t="shared" si="355"/>
        <v>108.43699999999971</v>
      </c>
      <c r="CU161" s="86">
        <f t="shared" si="355"/>
        <v>108.43699999999973</v>
      </c>
      <c r="CV161" s="86">
        <f t="shared" si="355"/>
        <v>94.337999999999752</v>
      </c>
      <c r="CW161" s="86">
        <f>CW159+CW158+CW160</f>
        <v>101.60299999999965</v>
      </c>
      <c r="CX161" s="86">
        <f t="shared" si="355"/>
        <v>194.15500000000048</v>
      </c>
      <c r="CY161" s="86">
        <f t="shared" ref="CY161:DH161" si="356">CY159+CY158+CY160</f>
        <v>60.683999999999827</v>
      </c>
      <c r="CZ161" s="86">
        <f t="shared" si="356"/>
        <v>60.683999999999656</v>
      </c>
      <c r="DA161" s="86">
        <f t="shared" si="356"/>
        <v>99.741999999999592</v>
      </c>
      <c r="DB161" s="86">
        <f t="shared" si="356"/>
        <v>63.529999999999632</v>
      </c>
      <c r="DC161" s="86">
        <f t="shared" si="356"/>
        <v>747.27299999999923</v>
      </c>
      <c r="DD161" s="86">
        <f t="shared" si="356"/>
        <v>82.322999999999865</v>
      </c>
      <c r="DE161" s="86">
        <f t="shared" si="356"/>
        <v>82.323000000000121</v>
      </c>
      <c r="DF161" s="86">
        <f t="shared" si="356"/>
        <v>112.96000000000008</v>
      </c>
      <c r="DG161" s="86">
        <f t="shared" si="356"/>
        <v>58.821000000000055</v>
      </c>
      <c r="DH161" s="86">
        <f t="shared" si="356"/>
        <v>101.83400000000032</v>
      </c>
      <c r="DI161" s="86">
        <f>DI159+DI158+DI160</f>
        <v>107.14400000000003</v>
      </c>
      <c r="DJ161" s="86">
        <v>107.14400000000001</v>
      </c>
      <c r="DK161" s="86">
        <f t="shared" ref="DK161:DQ161" si="357">DK159+DK158+DK160</f>
        <v>132.31300000000007</v>
      </c>
      <c r="DL161" s="86">
        <f t="shared" si="357"/>
        <v>99.539999999999964</v>
      </c>
      <c r="DM161" s="86">
        <f t="shared" si="357"/>
        <v>137.8679999999996</v>
      </c>
      <c r="DN161" s="86">
        <f t="shared" si="357"/>
        <v>79.607999999999663</v>
      </c>
      <c r="DO161" s="86">
        <f t="shared" si="357"/>
        <v>79.608000000000288</v>
      </c>
      <c r="DP161" s="86">
        <f t="shared" si="357"/>
        <v>133.04400000000004</v>
      </c>
      <c r="DQ161" s="86">
        <f t="shared" si="357"/>
        <v>135.59700000000004</v>
      </c>
      <c r="DR161" s="86">
        <f t="shared" ref="DR161:DW161" si="358">DR159+DR158+DR160</f>
        <v>404.40900000000033</v>
      </c>
      <c r="DS161" s="86">
        <f t="shared" si="358"/>
        <v>84.940000000000396</v>
      </c>
      <c r="DT161" s="86">
        <f t="shared" si="358"/>
        <v>84.940000000000737</v>
      </c>
      <c r="DU161" s="86">
        <f t="shared" si="358"/>
        <v>101.49100000000097</v>
      </c>
      <c r="DV161" s="86">
        <f t="shared" si="358"/>
        <v>76.711000000001093</v>
      </c>
      <c r="DW161" s="86">
        <f t="shared" si="358"/>
        <v>353.3850000000013</v>
      </c>
      <c r="DX161" s="86">
        <f t="shared" ref="DX161:ED161" si="359">DX159+DX158+DX160</f>
        <v>84.476000000001079</v>
      </c>
      <c r="DY161" s="86">
        <f t="shared" si="359"/>
        <v>84.47600000000071</v>
      </c>
      <c r="DZ161" s="86">
        <f t="shared" si="359"/>
        <v>73.985000000000653</v>
      </c>
      <c r="EA161" s="86">
        <f t="shared" si="359"/>
        <v>61.382000000000687</v>
      </c>
      <c r="EB161" s="86">
        <f t="shared" si="359"/>
        <v>167.84100000000029</v>
      </c>
      <c r="EC161" s="86">
        <f t="shared" si="359"/>
        <v>83.000000000000824</v>
      </c>
      <c r="ED161" s="86">
        <f t="shared" si="359"/>
        <v>83.000000000000711</v>
      </c>
    </row>
    <row r="162" spans="2:134" x14ac:dyDescent="0.2">
      <c r="D162" s="42"/>
      <c r="E162" s="120"/>
      <c r="F162" s="139"/>
      <c r="G162" s="139"/>
      <c r="H162" s="119"/>
      <c r="I162" s="42"/>
      <c r="J162" s="120"/>
      <c r="K162" s="139"/>
      <c r="L162" s="139"/>
      <c r="M162" s="119"/>
      <c r="N162" s="42"/>
      <c r="O162" s="120"/>
      <c r="P162" s="139"/>
      <c r="Q162" s="139"/>
      <c r="R162" s="119"/>
      <c r="S162" s="42"/>
      <c r="T162" s="120"/>
      <c r="U162" s="139"/>
      <c r="V162" s="139"/>
      <c r="W162" s="119"/>
      <c r="X162" s="42"/>
      <c r="Y162" s="120"/>
      <c r="Z162" s="139"/>
      <c r="AA162" s="139"/>
      <c r="AB162" s="119"/>
      <c r="AC162" s="42"/>
      <c r="AD162" s="120"/>
      <c r="AE162" s="139"/>
      <c r="AF162" s="139"/>
      <c r="AG162" s="119"/>
      <c r="AH162" s="42"/>
      <c r="AI162" s="120"/>
      <c r="AJ162" s="139"/>
      <c r="AK162" s="139"/>
      <c r="AL162" s="119"/>
      <c r="AM162" s="42"/>
      <c r="AN162" s="120"/>
      <c r="AO162" s="139"/>
      <c r="AP162" s="139"/>
      <c r="AQ162" s="119"/>
      <c r="AR162" s="42"/>
      <c r="AS162" s="120"/>
      <c r="AT162" s="139"/>
      <c r="AU162" s="139"/>
      <c r="AV162" s="119"/>
      <c r="AW162" s="42"/>
      <c r="AX162" s="120"/>
      <c r="AY162" s="139"/>
      <c r="AZ162" s="139"/>
      <c r="BA162" s="119"/>
      <c r="BB162" s="42"/>
      <c r="BC162" s="120"/>
      <c r="BD162" s="139"/>
      <c r="BE162" s="139"/>
      <c r="BF162" s="119"/>
      <c r="BG162" s="42"/>
      <c r="BH162" s="120"/>
      <c r="BI162" s="139"/>
      <c r="BJ162" s="139"/>
      <c r="BK162" s="119"/>
      <c r="BL162" s="42"/>
      <c r="BM162" s="120"/>
      <c r="BN162" s="139"/>
      <c r="BO162" s="139"/>
      <c r="BP162" s="119"/>
      <c r="BQ162" s="42"/>
      <c r="BT162" s="525"/>
      <c r="BU162" s="525"/>
      <c r="BV162" s="525"/>
      <c r="BW162" s="525"/>
      <c r="BX162" s="525"/>
      <c r="BY162" s="525"/>
      <c r="BZ162" s="525"/>
      <c r="CA162" s="525"/>
      <c r="CM162" s="224"/>
      <c r="CN162" s="224"/>
      <c r="CO162" s="224"/>
      <c r="CQ162" s="224"/>
      <c r="CR162" s="224"/>
      <c r="CS162" s="224"/>
      <c r="CT162" s="224"/>
      <c r="CW162" s="224"/>
    </row>
    <row r="163" spans="2:134" x14ac:dyDescent="0.2">
      <c r="D163" s="42"/>
      <c r="E163" s="120"/>
      <c r="F163" s="139"/>
      <c r="G163" s="139"/>
      <c r="H163" s="119"/>
      <c r="I163" s="42"/>
      <c r="J163" s="120"/>
      <c r="K163" s="139"/>
      <c r="L163" s="139"/>
      <c r="M163" s="119"/>
      <c r="N163" s="42"/>
      <c r="O163" s="120"/>
      <c r="P163" s="139"/>
      <c r="Q163" s="639"/>
      <c r="R163" s="119"/>
      <c r="S163" s="42"/>
      <c r="T163" s="710"/>
      <c r="U163" s="139"/>
      <c r="V163" s="139"/>
      <c r="W163" s="119"/>
      <c r="X163" s="42"/>
      <c r="Y163" s="120"/>
      <c r="Z163" s="139"/>
      <c r="AA163" s="139"/>
      <c r="AB163" s="119"/>
      <c r="AC163" s="42"/>
      <c r="AD163" s="120"/>
      <c r="AE163" s="139"/>
      <c r="AF163" s="139"/>
      <c r="AG163" s="119"/>
      <c r="AH163" s="42"/>
      <c r="AI163" s="120"/>
      <c r="AJ163" s="139"/>
      <c r="AK163" s="139"/>
      <c r="AL163" s="119"/>
      <c r="AM163" s="42"/>
      <c r="AN163" s="120"/>
      <c r="AO163" s="139"/>
      <c r="AP163" s="139"/>
      <c r="AQ163" s="119"/>
      <c r="AR163" s="42"/>
      <c r="AS163" s="120"/>
      <c r="AT163" s="139"/>
      <c r="AU163" s="139"/>
      <c r="AV163" s="119"/>
      <c r="AW163" s="42"/>
      <c r="AX163" s="120"/>
      <c r="AY163" s="139"/>
      <c r="AZ163" s="139"/>
      <c r="BA163" s="119"/>
      <c r="BB163" s="42"/>
      <c r="BC163" s="120"/>
      <c r="BD163" s="139"/>
      <c r="BE163" s="139"/>
      <c r="BF163" s="119"/>
      <c r="BG163" s="42"/>
      <c r="BH163" s="120"/>
      <c r="BI163" s="139"/>
      <c r="BJ163" s="139"/>
      <c r="BK163" s="119"/>
      <c r="BL163" s="42"/>
      <c r="BM163" s="120"/>
      <c r="BN163" s="139"/>
      <c r="BO163" s="139"/>
      <c r="BP163" s="119"/>
      <c r="BQ163" s="42"/>
      <c r="BT163" s="525"/>
      <c r="BU163" s="525"/>
      <c r="BV163" s="525"/>
      <c r="BW163" s="525"/>
      <c r="BX163" s="525"/>
      <c r="BY163" s="525"/>
      <c r="BZ163" s="525"/>
      <c r="CA163" s="525"/>
      <c r="CL163" s="224"/>
      <c r="CM163" s="224"/>
      <c r="CN163" s="224"/>
      <c r="CQ163" s="694"/>
      <c r="ED163" s="795"/>
    </row>
    <row r="164" spans="2:134" x14ac:dyDescent="0.2">
      <c r="B164" s="16" t="s">
        <v>196</v>
      </c>
      <c r="C164" s="16"/>
      <c r="D164" s="225"/>
      <c r="E164" s="226"/>
      <c r="F164" s="227"/>
      <c r="G164" s="227"/>
      <c r="H164" s="228"/>
      <c r="I164" s="42"/>
      <c r="J164" s="226"/>
      <c r="K164" s="227"/>
      <c r="L164" s="227"/>
      <c r="M164" s="228"/>
      <c r="N164" s="42"/>
      <c r="O164" s="226"/>
      <c r="P164" s="227"/>
      <c r="Q164" s="227"/>
      <c r="R164" s="228"/>
      <c r="S164" s="42"/>
      <c r="T164" s="226"/>
      <c r="U164" s="227"/>
      <c r="V164" s="227"/>
      <c r="W164" s="228"/>
      <c r="X164" s="42"/>
      <c r="Y164" s="226"/>
      <c r="Z164" s="227"/>
      <c r="AA164" s="227"/>
      <c r="AB164" s="228"/>
      <c r="AC164" s="42"/>
      <c r="AD164" s="226"/>
      <c r="AE164" s="793"/>
      <c r="AF164" s="227"/>
      <c r="AG164" s="228"/>
      <c r="AH164" s="42"/>
      <c r="AI164" s="226"/>
      <c r="AJ164" s="227"/>
      <c r="AK164" s="227"/>
      <c r="AL164" s="228"/>
      <c r="AM164" s="42"/>
      <c r="AN164" s="226"/>
      <c r="AO164" s="227"/>
      <c r="AP164" s="227"/>
      <c r="AQ164" s="228"/>
      <c r="AR164" s="42"/>
      <c r="AS164" s="226"/>
      <c r="AT164" s="227"/>
      <c r="AU164" s="227"/>
      <c r="AV164" s="228"/>
      <c r="AW164" s="42"/>
      <c r="AX164" s="226"/>
      <c r="AY164" s="227"/>
      <c r="AZ164" s="227"/>
      <c r="BA164" s="228"/>
      <c r="BB164" s="42"/>
      <c r="BC164" s="226"/>
      <c r="BD164" s="227"/>
      <c r="BE164" s="227"/>
      <c r="BF164" s="228"/>
      <c r="BG164" s="42"/>
      <c r="BH164" s="226"/>
      <c r="BI164" s="227"/>
      <c r="BJ164" s="227"/>
      <c r="BK164" s="228"/>
      <c r="BL164" s="42"/>
      <c r="BM164" s="226"/>
      <c r="BN164" s="227"/>
      <c r="BO164" s="227"/>
      <c r="BP164" s="228"/>
      <c r="BQ164" s="42"/>
      <c r="BT164" s="525"/>
      <c r="BU164" s="525"/>
      <c r="BV164" s="525"/>
      <c r="BW164" s="525"/>
      <c r="BX164" s="525"/>
      <c r="BY164" s="525"/>
      <c r="BZ164" s="525"/>
      <c r="CA164" s="525"/>
      <c r="CL164" s="224"/>
      <c r="CM164" s="224"/>
      <c r="CN164" s="224"/>
    </row>
    <row r="165" spans="2:134" x14ac:dyDescent="0.2">
      <c r="D165" s="42"/>
      <c r="E165" s="229"/>
      <c r="F165" s="139"/>
      <c r="G165" s="139"/>
      <c r="H165" s="119"/>
      <c r="I165" s="42"/>
      <c r="J165" s="120"/>
      <c r="K165" s="139"/>
      <c r="L165" s="139"/>
      <c r="M165" s="119"/>
      <c r="N165" s="42"/>
      <c r="O165" s="120"/>
      <c r="P165" s="139"/>
      <c r="Q165" s="139"/>
      <c r="R165" s="119"/>
      <c r="S165" s="42"/>
      <c r="T165" s="120"/>
      <c r="U165" s="139"/>
      <c r="V165" s="139"/>
      <c r="W165" s="119"/>
      <c r="X165" s="42"/>
      <c r="Y165" s="120"/>
      <c r="Z165" s="139"/>
      <c r="AA165" s="139"/>
      <c r="AB165" s="119"/>
      <c r="AC165" s="42"/>
      <c r="AD165" s="120"/>
      <c r="AE165" s="139"/>
      <c r="AF165" s="139"/>
      <c r="AG165" s="119"/>
      <c r="AH165" s="42"/>
      <c r="AI165" s="120"/>
      <c r="AJ165" s="139"/>
      <c r="AK165" s="139"/>
      <c r="AL165" s="119"/>
      <c r="AM165" s="42"/>
      <c r="AN165" s="120"/>
      <c r="AO165" s="139"/>
      <c r="AP165" s="139"/>
      <c r="AQ165" s="119"/>
      <c r="AR165" s="42"/>
      <c r="AS165" s="120"/>
      <c r="AT165" s="139"/>
      <c r="AU165" s="139"/>
      <c r="AV165" s="119"/>
      <c r="AW165" s="42"/>
      <c r="AX165" s="120"/>
      <c r="AY165" s="139"/>
      <c r="AZ165" s="139"/>
      <c r="BA165" s="119"/>
      <c r="BB165" s="42"/>
      <c r="BC165" s="120"/>
      <c r="BD165" s="139"/>
      <c r="BE165" s="139"/>
      <c r="BF165" s="119"/>
      <c r="BG165" s="42"/>
      <c r="BH165" s="120"/>
      <c r="BI165" s="139"/>
      <c r="BJ165" s="139"/>
      <c r="BK165" s="119"/>
      <c r="BL165" s="42"/>
      <c r="BM165" s="120"/>
      <c r="BN165" s="139"/>
      <c r="BO165" s="139"/>
      <c r="BP165" s="119"/>
      <c r="BQ165" s="42"/>
      <c r="BT165" s="525"/>
      <c r="BU165" s="525"/>
      <c r="BV165" s="525"/>
      <c r="BW165" s="525"/>
      <c r="BX165" s="525"/>
      <c r="BY165" s="525"/>
      <c r="BZ165" s="525"/>
      <c r="CA165" s="525"/>
      <c r="CL165" s="43"/>
      <c r="CM165" s="43"/>
      <c r="CN165" s="43"/>
      <c r="CP165" s="43"/>
      <c r="CQ165" s="43"/>
      <c r="CR165" s="43"/>
      <c r="CS165" s="43"/>
      <c r="CU165" s="43"/>
      <c r="CV165" s="43"/>
      <c r="CW165" s="43"/>
    </row>
    <row r="166" spans="2:134" x14ac:dyDescent="0.2">
      <c r="C166" s="54" t="s">
        <v>197</v>
      </c>
      <c r="D166" s="42"/>
      <c r="E166" s="114">
        <v>301.315</v>
      </c>
      <c r="F166" s="115">
        <v>380.25299999999999</v>
      </c>
      <c r="G166" s="115">
        <v>90.206000000000003</v>
      </c>
      <c r="H166" s="116">
        <f>I166</f>
        <v>115.648</v>
      </c>
      <c r="I166" s="117">
        <v>115.648</v>
      </c>
      <c r="J166" s="114">
        <v>79.504000000000005</v>
      </c>
      <c r="K166" s="115">
        <v>65.988</v>
      </c>
      <c r="L166" s="115">
        <v>213.45500000000001</v>
      </c>
      <c r="M166" s="116">
        <f>N166</f>
        <v>108.437</v>
      </c>
      <c r="N166" s="117">
        <v>108.437</v>
      </c>
      <c r="O166" s="114">
        <v>94.337999999999994</v>
      </c>
      <c r="P166" s="115">
        <v>101.60299999999999</v>
      </c>
      <c r="Q166" s="115">
        <v>194.155</v>
      </c>
      <c r="R166" s="116">
        <f>S166</f>
        <v>60.683999999999997</v>
      </c>
      <c r="S166" s="117">
        <v>60.683999999999997</v>
      </c>
      <c r="T166" s="114">
        <v>99.742000000000004</v>
      </c>
      <c r="U166" s="115">
        <v>63.53</v>
      </c>
      <c r="V166" s="115">
        <v>747.27300000000002</v>
      </c>
      <c r="W166" s="116">
        <f>X166</f>
        <v>82.322999999999993</v>
      </c>
      <c r="X166" s="117">
        <v>82.322999999999993</v>
      </c>
      <c r="Y166" s="114">
        <v>112.96</v>
      </c>
      <c r="Z166" s="115">
        <v>58.820999999999998</v>
      </c>
      <c r="AA166" s="115">
        <v>101.834</v>
      </c>
      <c r="AB166" s="116">
        <f>AC166</f>
        <v>107.14400000000001</v>
      </c>
      <c r="AC166" s="117">
        <v>107.14400000000001</v>
      </c>
      <c r="AD166" s="114">
        <v>132.31299999999999</v>
      </c>
      <c r="AE166" s="115">
        <v>99.54</v>
      </c>
      <c r="AF166" s="115">
        <v>137.86799999999999</v>
      </c>
      <c r="AG166" s="116">
        <f>AH166</f>
        <v>79.608000000000004</v>
      </c>
      <c r="AH166" s="117">
        <v>79.608000000000004</v>
      </c>
      <c r="AI166" s="114">
        <v>133.04400000000001</v>
      </c>
      <c r="AJ166" s="115">
        <v>135.59700000000001</v>
      </c>
      <c r="AK166" s="115">
        <v>404.40899999999999</v>
      </c>
      <c r="AL166" s="116">
        <f>AM166</f>
        <v>84.94</v>
      </c>
      <c r="AM166" s="117">
        <v>84.94</v>
      </c>
      <c r="AN166" s="114">
        <v>101.491</v>
      </c>
      <c r="AO166" s="115">
        <v>76.710999999999999</v>
      </c>
      <c r="AP166" s="115">
        <v>353.38499999999999</v>
      </c>
      <c r="AQ166" s="116">
        <f>AR166</f>
        <v>84.475999999999999</v>
      </c>
      <c r="AR166" s="117">
        <v>84.475999999999999</v>
      </c>
      <c r="AS166" s="114">
        <v>73.984999999999999</v>
      </c>
      <c r="AT166" s="115">
        <v>61.381999999999998</v>
      </c>
      <c r="AU166" s="115">
        <v>167.84100000000001</v>
      </c>
      <c r="AV166" s="116">
        <f>AW166</f>
        <v>83</v>
      </c>
      <c r="AW166" s="117">
        <v>83</v>
      </c>
      <c r="AX166" s="120">
        <f>+AX161</f>
        <v>0</v>
      </c>
      <c r="AY166" s="118">
        <f>+AY161</f>
        <v>0</v>
      </c>
      <c r="AZ166" s="118">
        <f>+AZ161</f>
        <v>271.05067680861657</v>
      </c>
      <c r="BA166" s="119">
        <f>+BA161</f>
        <v>0</v>
      </c>
      <c r="BB166" s="42">
        <f>+BA166</f>
        <v>0</v>
      </c>
      <c r="BC166" s="120">
        <f>+BC161</f>
        <v>0</v>
      </c>
      <c r="BD166" s="118">
        <f>+BD161</f>
        <v>0</v>
      </c>
      <c r="BE166" s="118">
        <f>+BE161</f>
        <v>0</v>
      </c>
      <c r="BF166" s="119">
        <f>+BF161</f>
        <v>0</v>
      </c>
      <c r="BG166" s="42">
        <f>+BF166</f>
        <v>0</v>
      </c>
      <c r="BH166" s="120">
        <f>+BH161</f>
        <v>0</v>
      </c>
      <c r="BI166" s="118">
        <f>+BI161</f>
        <v>0</v>
      </c>
      <c r="BJ166" s="118">
        <f>+BJ161</f>
        <v>0</v>
      </c>
      <c r="BK166" s="119">
        <f>+BK161</f>
        <v>0</v>
      </c>
      <c r="BL166" s="42">
        <f>+BK166</f>
        <v>0</v>
      </c>
      <c r="BM166" s="120">
        <f>+BM161</f>
        <v>0</v>
      </c>
      <c r="BN166" s="118">
        <f>+BN161</f>
        <v>0</v>
      </c>
      <c r="BO166" s="118">
        <f>+BO161</f>
        <v>95.983101071313968</v>
      </c>
      <c r="BP166" s="119">
        <f>+BP161</f>
        <v>0</v>
      </c>
      <c r="BQ166" s="42">
        <f>+BP166</f>
        <v>0</v>
      </c>
      <c r="BT166" s="525"/>
      <c r="BU166" s="525"/>
      <c r="BV166" s="525"/>
      <c r="BW166" s="575"/>
      <c r="BX166" s="575"/>
      <c r="BY166" s="525"/>
      <c r="BZ166" s="525"/>
      <c r="CA166" s="525"/>
    </row>
    <row r="167" spans="2:134" x14ac:dyDescent="0.2">
      <c r="C167" t="s">
        <v>198</v>
      </c>
      <c r="D167" s="42"/>
      <c r="E167" s="114">
        <v>786.59900000000005</v>
      </c>
      <c r="F167" s="115">
        <v>721.41</v>
      </c>
      <c r="G167" s="115">
        <v>635.56299999999999</v>
      </c>
      <c r="H167" s="116">
        <f>I167</f>
        <v>730.15200000000004</v>
      </c>
      <c r="I167" s="117">
        <v>730.15200000000004</v>
      </c>
      <c r="J167" s="114">
        <v>748.05799999999999</v>
      </c>
      <c r="K167" s="115">
        <v>662.46100000000001</v>
      </c>
      <c r="L167" s="115">
        <v>703.96</v>
      </c>
      <c r="M167" s="116">
        <f>N167</f>
        <v>718.47400000000005</v>
      </c>
      <c r="N167" s="117">
        <v>718.47400000000005</v>
      </c>
      <c r="O167" s="114">
        <v>765.42100000000005</v>
      </c>
      <c r="P167" s="115">
        <v>679.56</v>
      </c>
      <c r="Q167" s="115">
        <v>752.12300000000005</v>
      </c>
      <c r="R167" s="116">
        <f>S167</f>
        <v>753.12</v>
      </c>
      <c r="S167" s="117">
        <v>753.12</v>
      </c>
      <c r="T167" s="114">
        <v>718.14499999999998</v>
      </c>
      <c r="U167" s="115">
        <v>645.26400000000001</v>
      </c>
      <c r="V167" s="115">
        <v>704.58</v>
      </c>
      <c r="W167" s="116">
        <f>X167</f>
        <v>718.04600000000005</v>
      </c>
      <c r="X167" s="117">
        <v>718.04600000000005</v>
      </c>
      <c r="Y167" s="114">
        <v>789.20899999999995</v>
      </c>
      <c r="Z167" s="115">
        <v>719.06899999999996</v>
      </c>
      <c r="AA167" s="115">
        <v>786.87400000000002</v>
      </c>
      <c r="AB167" s="116">
        <f>AC167</f>
        <v>744.16</v>
      </c>
      <c r="AC167" s="117">
        <v>744.16</v>
      </c>
      <c r="AD167" s="114">
        <v>885.09799999999996</v>
      </c>
      <c r="AE167" s="115">
        <v>742.73</v>
      </c>
      <c r="AF167" s="115">
        <v>760.21299999999997</v>
      </c>
      <c r="AG167" s="116">
        <f>AH167</f>
        <v>826.50599999999997</v>
      </c>
      <c r="AH167" s="117">
        <v>826.50599999999997</v>
      </c>
      <c r="AI167" s="114">
        <v>826.79700000000003</v>
      </c>
      <c r="AJ167" s="115">
        <v>676.22299999999996</v>
      </c>
      <c r="AK167" s="115">
        <v>741.23</v>
      </c>
      <c r="AL167" s="116">
        <f>AM167</f>
        <v>724.60599999999999</v>
      </c>
      <c r="AM167" s="117">
        <v>724.60599999999999</v>
      </c>
      <c r="AN167" s="114">
        <v>729.38599999999997</v>
      </c>
      <c r="AO167" s="115">
        <v>689.56399999999996</v>
      </c>
      <c r="AP167" s="115">
        <v>754.24800000000005</v>
      </c>
      <c r="AQ167" s="116">
        <f>AR167</f>
        <v>776.28899999999999</v>
      </c>
      <c r="AR167" s="117">
        <v>776.28899999999999</v>
      </c>
      <c r="AS167" s="114">
        <v>781.24800000000005</v>
      </c>
      <c r="AT167" s="115">
        <v>759.37800000000004</v>
      </c>
      <c r="AU167" s="115">
        <v>807.62099999999998</v>
      </c>
      <c r="AV167" s="116">
        <f>AW167</f>
        <v>797</v>
      </c>
      <c r="AW167" s="117">
        <v>797</v>
      </c>
      <c r="AX167" s="120">
        <f t="shared" ref="AX167:BA169" si="360">+AW167</f>
        <v>797</v>
      </c>
      <c r="AY167" s="118">
        <f t="shared" si="360"/>
        <v>797</v>
      </c>
      <c r="AZ167" s="118">
        <f t="shared" si="360"/>
        <v>797</v>
      </c>
      <c r="BA167" s="119">
        <f t="shared" si="360"/>
        <v>797</v>
      </c>
      <c r="BB167" s="42">
        <f>+BA167</f>
        <v>797</v>
      </c>
      <c r="BC167" s="120">
        <f t="shared" ref="BC167:BF169" si="361">+BB167</f>
        <v>797</v>
      </c>
      <c r="BD167" s="118">
        <f t="shared" si="361"/>
        <v>797</v>
      </c>
      <c r="BE167" s="118">
        <f t="shared" si="361"/>
        <v>797</v>
      </c>
      <c r="BF167" s="119">
        <f t="shared" si="361"/>
        <v>797</v>
      </c>
      <c r="BG167" s="42">
        <f>+BF167</f>
        <v>797</v>
      </c>
      <c r="BH167" s="120">
        <f t="shared" ref="BH167:BK169" si="362">+BG167</f>
        <v>797</v>
      </c>
      <c r="BI167" s="118">
        <f t="shared" si="362"/>
        <v>797</v>
      </c>
      <c r="BJ167" s="118">
        <f t="shared" si="362"/>
        <v>797</v>
      </c>
      <c r="BK167" s="119">
        <f t="shared" si="362"/>
        <v>797</v>
      </c>
      <c r="BL167" s="42">
        <f>+BK167</f>
        <v>797</v>
      </c>
      <c r="BM167" s="120">
        <f t="shared" ref="BM167:BM169" si="363">+BL167</f>
        <v>797</v>
      </c>
      <c r="BN167" s="118">
        <f t="shared" ref="BN167:BN169" si="364">+BM167</f>
        <v>797</v>
      </c>
      <c r="BO167" s="118">
        <f t="shared" ref="BO167:BO169" si="365">+BN167</f>
        <v>797</v>
      </c>
      <c r="BP167" s="119">
        <f t="shared" ref="BP167:BP169" si="366">+BO167</f>
        <v>797</v>
      </c>
      <c r="BQ167" s="42">
        <f>+BP167</f>
        <v>797</v>
      </c>
      <c r="BT167" s="525"/>
      <c r="BU167" s="525"/>
      <c r="BV167" s="525"/>
      <c r="BW167" s="575"/>
      <c r="BX167" s="575"/>
      <c r="BY167" s="525"/>
      <c r="BZ167" s="525"/>
      <c r="CA167" s="525"/>
      <c r="CP167" s="224"/>
    </row>
    <row r="168" spans="2:134" x14ac:dyDescent="0.2">
      <c r="C168" t="s">
        <v>199</v>
      </c>
      <c r="D168" s="42"/>
      <c r="E168" s="114">
        <v>450.80799999999999</v>
      </c>
      <c r="F168" s="115">
        <v>435.52199999999999</v>
      </c>
      <c r="G168" s="115">
        <v>554.92899999999997</v>
      </c>
      <c r="H168" s="116">
        <f>I168</f>
        <v>566.20500000000004</v>
      </c>
      <c r="I168" s="117">
        <v>566.20500000000004</v>
      </c>
      <c r="J168" s="114">
        <v>452.42099999999999</v>
      </c>
      <c r="K168" s="115">
        <v>464.38299999999998</v>
      </c>
      <c r="L168" s="115">
        <v>591.72500000000002</v>
      </c>
      <c r="M168" s="116">
        <f>N168</f>
        <v>560.79999999999995</v>
      </c>
      <c r="N168" s="117">
        <v>560.79999999999995</v>
      </c>
      <c r="O168" s="114">
        <v>442.20499999999998</v>
      </c>
      <c r="P168" s="115">
        <v>484.77199999999999</v>
      </c>
      <c r="Q168" s="115">
        <v>608.00699999999995</v>
      </c>
      <c r="R168" s="116">
        <f>S168</f>
        <v>618.23199999999997</v>
      </c>
      <c r="S168" s="117">
        <v>618.23199999999997</v>
      </c>
      <c r="T168" s="114">
        <v>474.35899999999998</v>
      </c>
      <c r="U168" s="115">
        <v>473.137</v>
      </c>
      <c r="V168" s="115">
        <v>562.721</v>
      </c>
      <c r="W168" s="116">
        <f>X168</f>
        <v>535.57399999999996</v>
      </c>
      <c r="X168" s="117">
        <v>535.57399999999996</v>
      </c>
      <c r="Y168" s="114">
        <v>447.709</v>
      </c>
      <c r="Z168" s="115">
        <v>494.89</v>
      </c>
      <c r="AA168" s="115">
        <v>604.62800000000004</v>
      </c>
      <c r="AB168" s="116">
        <f>AC168</f>
        <v>576.53800000000001</v>
      </c>
      <c r="AC168" s="117">
        <v>576.53800000000001</v>
      </c>
      <c r="AD168" s="114">
        <v>436.23700000000002</v>
      </c>
      <c r="AE168" s="115">
        <v>501.27</v>
      </c>
      <c r="AF168" s="115">
        <v>634.26199999999994</v>
      </c>
      <c r="AG168" s="116">
        <f>AH168</f>
        <v>597.18299999999999</v>
      </c>
      <c r="AH168" s="117">
        <v>597.18299999999999</v>
      </c>
      <c r="AI168" s="114">
        <v>505.21300000000002</v>
      </c>
      <c r="AJ168" s="115">
        <v>532.70299999999997</v>
      </c>
      <c r="AK168" s="115">
        <v>644.96299999999997</v>
      </c>
      <c r="AL168" s="116">
        <f>AM168</f>
        <v>608.58399999999995</v>
      </c>
      <c r="AM168" s="117">
        <v>608.58399999999995</v>
      </c>
      <c r="AN168" s="114">
        <v>520.05399999999997</v>
      </c>
      <c r="AO168" s="115">
        <v>526.78499999999997</v>
      </c>
      <c r="AP168" s="115">
        <v>614.90800000000002</v>
      </c>
      <c r="AQ168" s="116">
        <f>AR168</f>
        <v>604.226</v>
      </c>
      <c r="AR168" s="117">
        <v>604.226</v>
      </c>
      <c r="AS168" s="114">
        <v>519.08100000000002</v>
      </c>
      <c r="AT168" s="115">
        <v>542.04399999999998</v>
      </c>
      <c r="AU168" s="115">
        <v>616.67499999999995</v>
      </c>
      <c r="AV168" s="116">
        <f>AW168</f>
        <v>610</v>
      </c>
      <c r="AW168" s="117">
        <v>610</v>
      </c>
      <c r="AX168" s="120">
        <f t="shared" si="360"/>
        <v>610</v>
      </c>
      <c r="AY168" s="118">
        <f t="shared" si="360"/>
        <v>610</v>
      </c>
      <c r="AZ168" s="118">
        <f t="shared" si="360"/>
        <v>610</v>
      </c>
      <c r="BA168" s="119">
        <f t="shared" si="360"/>
        <v>610</v>
      </c>
      <c r="BB168" s="42">
        <f>+BA168</f>
        <v>610</v>
      </c>
      <c r="BC168" s="120">
        <f t="shared" si="361"/>
        <v>610</v>
      </c>
      <c r="BD168" s="118">
        <f t="shared" si="361"/>
        <v>610</v>
      </c>
      <c r="BE168" s="118">
        <f t="shared" si="361"/>
        <v>610</v>
      </c>
      <c r="BF168" s="119">
        <f t="shared" si="361"/>
        <v>610</v>
      </c>
      <c r="BG168" s="42">
        <f>+BF168</f>
        <v>610</v>
      </c>
      <c r="BH168" s="120">
        <f t="shared" si="362"/>
        <v>610</v>
      </c>
      <c r="BI168" s="118">
        <f t="shared" si="362"/>
        <v>610</v>
      </c>
      <c r="BJ168" s="118">
        <f t="shared" si="362"/>
        <v>610</v>
      </c>
      <c r="BK168" s="119">
        <f t="shared" si="362"/>
        <v>610</v>
      </c>
      <c r="BL168" s="42">
        <f>+BK168</f>
        <v>610</v>
      </c>
      <c r="BM168" s="120">
        <f t="shared" si="363"/>
        <v>610</v>
      </c>
      <c r="BN168" s="118">
        <f t="shared" si="364"/>
        <v>610</v>
      </c>
      <c r="BO168" s="118">
        <f t="shared" si="365"/>
        <v>610</v>
      </c>
      <c r="BP168" s="119">
        <f t="shared" si="366"/>
        <v>610</v>
      </c>
      <c r="BQ168" s="42">
        <f>+BP168</f>
        <v>610</v>
      </c>
      <c r="BT168" s="525"/>
      <c r="BU168" s="525"/>
      <c r="BV168" s="525"/>
      <c r="BW168" s="575"/>
      <c r="BX168" s="575"/>
      <c r="BY168" s="525"/>
      <c r="BZ168" s="525"/>
      <c r="CA168" s="525"/>
    </row>
    <row r="169" spans="2:134" x14ac:dyDescent="0.2">
      <c r="C169" t="s">
        <v>200</v>
      </c>
      <c r="D169" s="42"/>
      <c r="E169" s="114">
        <f>519.573+24.029+67.907+238.368+63.711</f>
        <v>913.58799999999997</v>
      </c>
      <c r="F169" s="115">
        <f>478.906+79.229+118.79+253.188+91.393</f>
        <v>1021.506</v>
      </c>
      <c r="G169" s="115">
        <f>470.905+63.635+136.491+311.028+128.04</f>
        <v>1110.0989999999999</v>
      </c>
      <c r="H169" s="116">
        <f>I169</f>
        <v>1564.6299999999999</v>
      </c>
      <c r="I169" s="117">
        <f>694.049+357.011+97.7+223.079+192.791</f>
        <v>1564.6299999999999</v>
      </c>
      <c r="J169" s="114">
        <f>521.317+64.853+56.984+289.276+131.881</f>
        <v>1064.3110000000001</v>
      </c>
      <c r="K169" s="115">
        <f>554.014+57.93+63.905+305.275+89.991</f>
        <v>1071.115</v>
      </c>
      <c r="L169" s="115">
        <f>534.28+27.974+65.573+296.097+96.449</f>
        <v>1020.3729999999999</v>
      </c>
      <c r="M169" s="116">
        <f>N169</f>
        <v>1344.932</v>
      </c>
      <c r="N169" s="117">
        <f>708.691+388.541+54.079+193.621</f>
        <v>1344.932</v>
      </c>
      <c r="O169" s="114">
        <f>550.695+319.486+55.932+101.261+184.791</f>
        <v>1212.165</v>
      </c>
      <c r="P169" s="115">
        <f>590.855+381.457+53.832+186.884</f>
        <v>1213.028</v>
      </c>
      <c r="Q169" s="115">
        <f>100.007+552.837+412.211+50.281+191.852</f>
        <v>1307.1880000000001</v>
      </c>
      <c r="R169" s="116">
        <f>S169</f>
        <v>1550.528</v>
      </c>
      <c r="S169" s="117">
        <f>95.287+688.74+402.235+64.34+178.446+121.48</f>
        <v>1550.528</v>
      </c>
      <c r="T169" s="114">
        <f>9.055+491.41+333.053+61.971+162.353+192.746</f>
        <v>1250.5880000000002</v>
      </c>
      <c r="U169" s="115">
        <f>0.328+549.728+366.226+88.368+178.47+195.357</f>
        <v>1378.4769999999999</v>
      </c>
      <c r="V169" s="115">
        <f>521.883+353.807+79.988+225.877+174.715</f>
        <v>1356.27</v>
      </c>
      <c r="W169" s="116">
        <f>X169</f>
        <v>1289.1960000000001</v>
      </c>
      <c r="X169" s="117">
        <f>663.363+352.977+69.013+32.528+171.315</f>
        <v>1289.1960000000001</v>
      </c>
      <c r="Y169" s="114">
        <f>586.761+369.206+59.554+93.193+246.079</f>
        <v>1354.7929999999999</v>
      </c>
      <c r="Z169" s="115">
        <f>626.294+396.308+100.215+158.35+264.253</f>
        <v>1545.4199999999998</v>
      </c>
      <c r="AA169" s="115">
        <f>575.711+396.271+92.687+325.972+236.764</f>
        <v>1627.4049999999997</v>
      </c>
      <c r="AB169" s="116">
        <f>AC169</f>
        <v>1790.1979999999999</v>
      </c>
      <c r="AC169" s="117">
        <f>687.23+417.801+91.707+341.202+252.258</f>
        <v>1790.1979999999999</v>
      </c>
      <c r="AD169" s="114">
        <f>575.813+481.473+70.275+252.658+295.479</f>
        <v>1675.6980000000001</v>
      </c>
      <c r="AE169" s="115">
        <f>609.673+462.185+154.94+282.765+270.717</f>
        <v>1780.2800000000002</v>
      </c>
      <c r="AF169" s="115">
        <f>574.824+415.197+120.654+283.047+270.529</f>
        <v>1664.251</v>
      </c>
      <c r="AG169" s="116">
        <f>AH169</f>
        <v>1861.0830000000001</v>
      </c>
      <c r="AH169" s="117">
        <f>728.492+444.058+85.723+246.21+185.488+171.112</f>
        <v>1861.0830000000001</v>
      </c>
      <c r="AI169" s="114">
        <f>544.518+351.78+38.905+383.463+118.291+155.435</f>
        <v>1592.3919999999998</v>
      </c>
      <c r="AJ169" s="115">
        <f>582.711+364.746+63.603+429.86+121.705+141.774</f>
        <v>1704.3989999999999</v>
      </c>
      <c r="AK169" s="115">
        <f>546.067+347.122+48.11+352.712+117.012+142.797</f>
        <v>1553.82</v>
      </c>
      <c r="AL169" s="116">
        <f>AM169</f>
        <v>1492.3149999999998</v>
      </c>
      <c r="AM169" s="117">
        <f>654.867+344.63+33.842+140.219+163.023+155.734</f>
        <v>1492.3149999999998</v>
      </c>
      <c r="AN169" s="114">
        <f>525.423+317.489+23.293+180.513+180.825+154.143</f>
        <v>1381.6860000000001</v>
      </c>
      <c r="AO169" s="115">
        <f>589.708+325.69+46.953+206.644+115.898+126.146</f>
        <v>1411.0389999999998</v>
      </c>
      <c r="AP169" s="115">
        <f>567.852+317.611+42.86+195.303+107.21+122.786</f>
        <v>1353.6220000000001</v>
      </c>
      <c r="AQ169" s="116">
        <f>AR169</f>
        <v>1377.09</v>
      </c>
      <c r="AR169" s="117">
        <f>729.832+363.655+38.224+106.697+138.682</f>
        <v>1377.09</v>
      </c>
      <c r="AS169" s="114">
        <f>555.445+360.309+20.885+176.998+145.203</f>
        <v>1258.8400000000001</v>
      </c>
      <c r="AT169" s="115">
        <f>608.499+375.02+78.487+196.247+135.493</f>
        <v>1393.7460000000001</v>
      </c>
      <c r="AU169" s="115">
        <f>625.657+407.639+74.533+55.788+143.12</f>
        <v>1306.7370000000001</v>
      </c>
      <c r="AV169" s="116">
        <f>AW169</f>
        <v>1483</v>
      </c>
      <c r="AW169" s="117">
        <f>764+424+44+68+183</f>
        <v>1483</v>
      </c>
      <c r="AX169" s="120">
        <f t="shared" si="360"/>
        <v>1483</v>
      </c>
      <c r="AY169" s="118">
        <f t="shared" si="360"/>
        <v>1483</v>
      </c>
      <c r="AZ169" s="118">
        <f t="shared" si="360"/>
        <v>1483</v>
      </c>
      <c r="BA169" s="119">
        <f t="shared" si="360"/>
        <v>1483</v>
      </c>
      <c r="BB169" s="42">
        <f>+BA169</f>
        <v>1483</v>
      </c>
      <c r="BC169" s="120">
        <f t="shared" si="361"/>
        <v>1483</v>
      </c>
      <c r="BD169" s="118">
        <f t="shared" si="361"/>
        <v>1483</v>
      </c>
      <c r="BE169" s="118">
        <f t="shared" si="361"/>
        <v>1483</v>
      </c>
      <c r="BF169" s="119">
        <f t="shared" si="361"/>
        <v>1483</v>
      </c>
      <c r="BG169" s="42">
        <f>+BF169</f>
        <v>1483</v>
      </c>
      <c r="BH169" s="120">
        <f t="shared" si="362"/>
        <v>1483</v>
      </c>
      <c r="BI169" s="118">
        <f t="shared" si="362"/>
        <v>1483</v>
      </c>
      <c r="BJ169" s="118">
        <f t="shared" si="362"/>
        <v>1483</v>
      </c>
      <c r="BK169" s="119">
        <f t="shared" si="362"/>
        <v>1483</v>
      </c>
      <c r="BL169" s="42">
        <f>+BK169</f>
        <v>1483</v>
      </c>
      <c r="BM169" s="120">
        <f t="shared" si="363"/>
        <v>1483</v>
      </c>
      <c r="BN169" s="118">
        <f t="shared" si="364"/>
        <v>1483</v>
      </c>
      <c r="BO169" s="118">
        <f t="shared" si="365"/>
        <v>1483</v>
      </c>
      <c r="BP169" s="119">
        <f t="shared" si="366"/>
        <v>1483</v>
      </c>
      <c r="BQ169" s="42">
        <f>+BP169</f>
        <v>1483</v>
      </c>
      <c r="BT169" s="525"/>
      <c r="BU169" s="525"/>
      <c r="BV169" s="525"/>
      <c r="BW169" s="575"/>
      <c r="BX169" s="575"/>
      <c r="BY169" s="525"/>
      <c r="BZ169" s="525"/>
      <c r="CA169" s="525"/>
    </row>
    <row r="170" spans="2:134" x14ac:dyDescent="0.2">
      <c r="C170" s="26" t="s">
        <v>201</v>
      </c>
      <c r="D170" s="42"/>
      <c r="E170" s="121">
        <f t="shared" ref="E170:AA170" si="367">SUM(E166:E169)</f>
        <v>2452.31</v>
      </c>
      <c r="F170" s="122">
        <f t="shared" si="367"/>
        <v>2558.6909999999998</v>
      </c>
      <c r="G170" s="122">
        <f t="shared" si="367"/>
        <v>2390.7969999999996</v>
      </c>
      <c r="H170" s="123">
        <f t="shared" si="367"/>
        <v>2976.6350000000002</v>
      </c>
      <c r="I170" s="86">
        <f t="shared" si="367"/>
        <v>2976.6350000000002</v>
      </c>
      <c r="J170" s="121">
        <f t="shared" si="367"/>
        <v>2344.2939999999999</v>
      </c>
      <c r="K170" s="122">
        <f t="shared" si="367"/>
        <v>2263.9470000000001</v>
      </c>
      <c r="L170" s="122">
        <f t="shared" si="367"/>
        <v>2529.5129999999999</v>
      </c>
      <c r="M170" s="123">
        <f t="shared" si="367"/>
        <v>2732.643</v>
      </c>
      <c r="N170" s="86">
        <f t="shared" si="367"/>
        <v>2732.643</v>
      </c>
      <c r="O170" s="121">
        <f t="shared" si="367"/>
        <v>2514.1289999999999</v>
      </c>
      <c r="P170" s="122">
        <f t="shared" si="367"/>
        <v>2478.9629999999997</v>
      </c>
      <c r="Q170" s="122">
        <f t="shared" si="367"/>
        <v>2861.473</v>
      </c>
      <c r="R170" s="123">
        <f t="shared" si="367"/>
        <v>2982.5640000000003</v>
      </c>
      <c r="S170" s="86">
        <f t="shared" si="367"/>
        <v>2982.5640000000003</v>
      </c>
      <c r="T170" s="121">
        <f t="shared" si="367"/>
        <v>2542.8339999999998</v>
      </c>
      <c r="U170" s="122">
        <f t="shared" si="367"/>
        <v>2560.4079999999999</v>
      </c>
      <c r="V170" s="122">
        <f t="shared" si="367"/>
        <v>3370.8440000000001</v>
      </c>
      <c r="W170" s="123">
        <f>SUM(W166:W169)</f>
        <v>2625.1390000000001</v>
      </c>
      <c r="X170" s="86">
        <f>SUM(X166:X169)</f>
        <v>2625.1390000000001</v>
      </c>
      <c r="Y170" s="121">
        <f>SUM(Y166:Y169)</f>
        <v>2704.6709999999998</v>
      </c>
      <c r="Z170" s="122">
        <f t="shared" si="367"/>
        <v>2818.2</v>
      </c>
      <c r="AA170" s="122">
        <f t="shared" si="367"/>
        <v>3120.741</v>
      </c>
      <c r="AB170" s="123">
        <f t="shared" ref="AB170:AJ170" si="368">SUM(AB166:AB169)</f>
        <v>3218.04</v>
      </c>
      <c r="AC170" s="86">
        <f t="shared" si="368"/>
        <v>3218.04</v>
      </c>
      <c r="AD170" s="121">
        <f t="shared" si="368"/>
        <v>3129.346</v>
      </c>
      <c r="AE170" s="122">
        <f t="shared" si="368"/>
        <v>3123.82</v>
      </c>
      <c r="AF170" s="122">
        <f t="shared" si="368"/>
        <v>3196.5940000000001</v>
      </c>
      <c r="AG170" s="123">
        <f t="shared" si="368"/>
        <v>3364.38</v>
      </c>
      <c r="AH170" s="86">
        <f t="shared" si="368"/>
        <v>3364.38</v>
      </c>
      <c r="AI170" s="121">
        <f t="shared" si="368"/>
        <v>3057.4459999999999</v>
      </c>
      <c r="AJ170" s="122">
        <f t="shared" si="368"/>
        <v>3048.9219999999996</v>
      </c>
      <c r="AK170" s="122">
        <f t="shared" ref="AK170:AT170" si="369">SUM(AK166:AK169)</f>
        <v>3344.422</v>
      </c>
      <c r="AL170" s="123">
        <f t="shared" si="369"/>
        <v>2910.4449999999997</v>
      </c>
      <c r="AM170" s="86">
        <f t="shared" si="369"/>
        <v>2910.4449999999997</v>
      </c>
      <c r="AN170" s="121">
        <f t="shared" si="369"/>
        <v>2732.6170000000002</v>
      </c>
      <c r="AO170" s="122">
        <f t="shared" si="369"/>
        <v>2704.0989999999997</v>
      </c>
      <c r="AP170" s="122">
        <f t="shared" si="369"/>
        <v>3076.1630000000005</v>
      </c>
      <c r="AQ170" s="123">
        <f t="shared" si="369"/>
        <v>2842.0810000000001</v>
      </c>
      <c r="AR170" s="86">
        <f t="shared" si="369"/>
        <v>2842.0810000000001</v>
      </c>
      <c r="AS170" s="121">
        <f t="shared" si="369"/>
        <v>2633.1540000000005</v>
      </c>
      <c r="AT170" s="122">
        <f t="shared" si="369"/>
        <v>2756.55</v>
      </c>
      <c r="AU170" s="122">
        <f>SUM(AU166:AU169)</f>
        <v>2898.8739999999998</v>
      </c>
      <c r="AV170" s="123">
        <f t="shared" ref="AV170:AW170" si="370">SUM(AV166:AV169)</f>
        <v>2973</v>
      </c>
      <c r="AW170" s="86">
        <f t="shared" si="370"/>
        <v>2973</v>
      </c>
      <c r="AX170" s="121">
        <f t="shared" ref="AX170:BG170" si="371">SUM(AX166:AX169)</f>
        <v>2890</v>
      </c>
      <c r="AY170" s="122">
        <f t="shared" si="371"/>
        <v>2890</v>
      </c>
      <c r="AZ170" s="122">
        <f t="shared" si="371"/>
        <v>3161.0506768086166</v>
      </c>
      <c r="BA170" s="123">
        <f t="shared" si="371"/>
        <v>2890</v>
      </c>
      <c r="BB170" s="86">
        <f t="shared" si="371"/>
        <v>2890</v>
      </c>
      <c r="BC170" s="121">
        <f t="shared" si="371"/>
        <v>2890</v>
      </c>
      <c r="BD170" s="122">
        <f t="shared" si="371"/>
        <v>2890</v>
      </c>
      <c r="BE170" s="122">
        <f t="shared" si="371"/>
        <v>2890</v>
      </c>
      <c r="BF170" s="123">
        <f t="shared" si="371"/>
        <v>2890</v>
      </c>
      <c r="BG170" s="86">
        <f t="shared" si="371"/>
        <v>2890</v>
      </c>
      <c r="BH170" s="121">
        <f t="shared" ref="BH170:BQ170" si="372">SUM(BH166:BH169)</f>
        <v>2890</v>
      </c>
      <c r="BI170" s="122">
        <f t="shared" si="372"/>
        <v>2890</v>
      </c>
      <c r="BJ170" s="122">
        <f t="shared" si="372"/>
        <v>2890</v>
      </c>
      <c r="BK170" s="123">
        <f t="shared" si="372"/>
        <v>2890</v>
      </c>
      <c r="BL170" s="86">
        <f t="shared" si="372"/>
        <v>2890</v>
      </c>
      <c r="BM170" s="121">
        <f t="shared" si="372"/>
        <v>2890</v>
      </c>
      <c r="BN170" s="122">
        <f t="shared" si="372"/>
        <v>2890</v>
      </c>
      <c r="BO170" s="122">
        <f t="shared" si="372"/>
        <v>2985.9831010713142</v>
      </c>
      <c r="BP170" s="123">
        <f t="shared" si="372"/>
        <v>2890</v>
      </c>
      <c r="BQ170" s="86">
        <f t="shared" si="372"/>
        <v>2890</v>
      </c>
      <c r="BT170" s="525"/>
      <c r="BU170" s="525"/>
      <c r="BV170" s="525"/>
      <c r="BW170" s="575"/>
      <c r="BX170" s="575"/>
      <c r="BY170" s="525"/>
      <c r="BZ170" s="525"/>
      <c r="CA170" s="525"/>
    </row>
    <row r="171" spans="2:134" x14ac:dyDescent="0.2">
      <c r="D171" s="42"/>
      <c r="E171" s="120"/>
      <c r="F171" s="139"/>
      <c r="G171" s="139"/>
      <c r="H171" s="119"/>
      <c r="I171" s="42"/>
      <c r="J171" s="120"/>
      <c r="K171" s="139"/>
      <c r="L171" s="139"/>
      <c r="M171" s="119"/>
      <c r="N171" s="42"/>
      <c r="O171" s="120"/>
      <c r="P171" s="139"/>
      <c r="Q171" s="139"/>
      <c r="R171" s="119"/>
      <c r="S171" s="42"/>
      <c r="T171" s="120"/>
      <c r="U171" s="139"/>
      <c r="V171" s="139"/>
      <c r="W171" s="119"/>
      <c r="X171" s="42"/>
      <c r="Y171" s="120"/>
      <c r="Z171" s="139"/>
      <c r="AA171" s="139"/>
      <c r="AB171" s="119"/>
      <c r="AC171" s="42"/>
      <c r="AD171" s="120"/>
      <c r="AE171" s="139"/>
      <c r="AF171" s="139"/>
      <c r="AG171" s="119"/>
      <c r="AH171" s="42"/>
      <c r="AI171" s="120"/>
      <c r="AJ171" s="139"/>
      <c r="AK171" s="139"/>
      <c r="AL171" s="119"/>
      <c r="AM171" s="42"/>
      <c r="AN171" s="120"/>
      <c r="AO171" s="139"/>
      <c r="AP171" s="139"/>
      <c r="AQ171" s="119"/>
      <c r="AR171" s="42"/>
      <c r="AS171" s="120"/>
      <c r="AT171" s="139"/>
      <c r="AU171" s="139"/>
      <c r="AV171" s="119"/>
      <c r="AW171" s="42"/>
      <c r="AX171" s="120"/>
      <c r="AY171" s="139"/>
      <c r="AZ171" s="139"/>
      <c r="BA171" s="119"/>
      <c r="BB171" s="42"/>
      <c r="BC171" s="120"/>
      <c r="BD171" s="139"/>
      <c r="BE171" s="139"/>
      <c r="BF171" s="119"/>
      <c r="BG171" s="42"/>
      <c r="BH171" s="120"/>
      <c r="BI171" s="139"/>
      <c r="BJ171" s="139"/>
      <c r="BK171" s="119"/>
      <c r="BL171" s="42"/>
      <c r="BM171" s="120"/>
      <c r="BN171" s="139"/>
      <c r="BO171" s="139"/>
      <c r="BP171" s="119"/>
      <c r="BQ171" s="42"/>
      <c r="BT171" s="525"/>
      <c r="BU171" s="525"/>
      <c r="BV171" s="525"/>
      <c r="BW171" s="575"/>
      <c r="BX171" s="575"/>
      <c r="BY171" s="525"/>
      <c r="BZ171" s="525"/>
      <c r="CA171" s="525"/>
    </row>
    <row r="172" spans="2:134" x14ac:dyDescent="0.2">
      <c r="B172" s="20"/>
      <c r="C172" s="20" t="s">
        <v>202</v>
      </c>
      <c r="D172" s="42"/>
      <c r="E172" s="114">
        <v>26459.065999999999</v>
      </c>
      <c r="F172" s="115">
        <v>26951.278999999999</v>
      </c>
      <c r="G172" s="115">
        <v>27374.098000000002</v>
      </c>
      <c r="H172" s="116">
        <f>I172</f>
        <v>27213.626</v>
      </c>
      <c r="I172" s="117">
        <v>27213.626</v>
      </c>
      <c r="J172" s="114">
        <v>27537.904999999999</v>
      </c>
      <c r="K172" s="115">
        <v>28614.464</v>
      </c>
      <c r="L172" s="115">
        <v>28803.329000000002</v>
      </c>
      <c r="M172" s="116">
        <f>N172</f>
        <v>30248.817999999999</v>
      </c>
      <c r="N172" s="117">
        <v>30248.817999999999</v>
      </c>
      <c r="O172" s="114">
        <v>30419.579000000002</v>
      </c>
      <c r="P172" s="115">
        <v>31365.404999999999</v>
      </c>
      <c r="Q172" s="115">
        <f>26437.558+3574.976+1536.759+182.487</f>
        <v>31731.78</v>
      </c>
      <c r="R172" s="116">
        <f>S172</f>
        <v>32629.122000000003</v>
      </c>
      <c r="S172" s="117">
        <f>27254.541+3676.754+1546.643+151.184</f>
        <v>32629.122000000003</v>
      </c>
      <c r="T172" s="114">
        <f>27393.092+3700.424+1484.878+115.401</f>
        <v>32693.795000000002</v>
      </c>
      <c r="U172" s="115">
        <f>27717.392+3735.411+1454.246+112.823</f>
        <v>33019.871999999996</v>
      </c>
      <c r="V172" s="115">
        <f>28032.442+3774.764+1476.663+105.573</f>
        <v>33389.441999999995</v>
      </c>
      <c r="W172" s="116">
        <f>X172</f>
        <v>33754.654000000002</v>
      </c>
      <c r="X172" s="117">
        <f>28285.031+3836.335+1480.558+152.73</f>
        <v>33754.654000000002</v>
      </c>
      <c r="Y172" s="114">
        <f>28471.083+3871.653+1478.221+141.038</f>
        <v>33961.994999999995</v>
      </c>
      <c r="Z172" s="115">
        <f>29017.319+3903.127+1475.534+115.466</f>
        <v>34511.445999999996</v>
      </c>
      <c r="AA172" s="115">
        <f>29550.871+3942.182+1467.811+115.753</f>
        <v>35076.616999999998</v>
      </c>
      <c r="AB172" s="116">
        <f>AC172</f>
        <v>36014.787000000004</v>
      </c>
      <c r="AC172" s="117">
        <f>30341.31+4086.651+1485.547+101.279</f>
        <v>36014.787000000004</v>
      </c>
      <c r="AD172" s="114">
        <f>30562.428+4156.606+1477.531+92.05</f>
        <v>36288.615000000005</v>
      </c>
      <c r="AE172" s="115">
        <f>31360.194+4211.851+1467.336+85.808</f>
        <v>37125.188999999998</v>
      </c>
      <c r="AF172" s="115">
        <f>32122.904+4294.667+1483.063+77.922</f>
        <v>37978.555999999997</v>
      </c>
      <c r="AG172" s="116">
        <f>AH172</f>
        <v>39529.610999999997</v>
      </c>
      <c r="AH172" s="117">
        <f>33203.139+4643.452+1611.486+71.534</f>
        <v>39529.610999999997</v>
      </c>
      <c r="AI172" s="114">
        <f>33541.957+4692.601+1619.16+64.13</f>
        <v>39917.848000000005</v>
      </c>
      <c r="AJ172" s="115">
        <f>33996.892+4726.068+1623.828+55.397</f>
        <v>40402.184999999998</v>
      </c>
      <c r="AK172" s="115">
        <f>35022.96+4818.049+1615.29+42.336</f>
        <v>41498.635000000002</v>
      </c>
      <c r="AL172" s="116">
        <f>AM172</f>
        <v>43156.564000000006</v>
      </c>
      <c r="AM172" s="117">
        <f>36464.05+4944.757+1709.508+38.249</f>
        <v>43156.564000000006</v>
      </c>
      <c r="AN172" s="114">
        <f>36604.585+5017.324+1720.351+34.606</f>
        <v>43376.866000000002</v>
      </c>
      <c r="AO172" s="115">
        <f>36990.529+5065.218+1746.789+29.853</f>
        <v>43832.389000000003</v>
      </c>
      <c r="AP172" s="115">
        <f>37335.785+5149.959+1741.615+36.852</f>
        <v>44264.211000000003</v>
      </c>
      <c r="AQ172" s="116">
        <f>AR172</f>
        <v>45458.839</v>
      </c>
      <c r="AR172" s="117">
        <f>38220.765+5317.717+1888.518+31.839</f>
        <v>45458.839</v>
      </c>
      <c r="AS172" s="114">
        <f>38412.137+5365.655+1897.263+22.202</f>
        <v>45697.256999999998</v>
      </c>
      <c r="AT172" s="115">
        <f>38810.158+5465.224+1959.703+17.82</f>
        <v>46252.905000000006</v>
      </c>
      <c r="AU172" s="115">
        <f>5563.536+2028.743+11.412+39067.0979999999</f>
        <v>46670.788999999902</v>
      </c>
      <c r="AV172" s="116">
        <f>AW172</f>
        <v>46840</v>
      </c>
      <c r="AW172" s="117">
        <f>39016+5800+2013+11</f>
        <v>46840</v>
      </c>
      <c r="AX172" s="120">
        <f>+AW172+-AX142+-AX136+-AX143-AX144</f>
        <v>47786.617472878919</v>
      </c>
      <c r="AY172" s="118">
        <f>+AX172+-AY142+-AY136+-AY143-AY144</f>
        <v>48733.234945757838</v>
      </c>
      <c r="AZ172" s="118">
        <f>+AY172+-AZ142+-AZ136+-AZ143-AZ144</f>
        <v>49679.852418636758</v>
      </c>
      <c r="BA172" s="119">
        <f>+AZ172+-BA142+-BA136+-BA143-BA144</f>
        <v>50626.469891515677</v>
      </c>
      <c r="BB172" s="42">
        <f>+BA172</f>
        <v>50626.469891515677</v>
      </c>
      <c r="BC172" s="120">
        <f>+BB172+-BC142+-BC136+-BC143-BC144</f>
        <v>51729.954647634309</v>
      </c>
      <c r="BD172" s="118">
        <f>+BC172+-BD142+-BD136+-BD143-BD144</f>
        <v>52833.439403752942</v>
      </c>
      <c r="BE172" s="118">
        <f>+BD172+-BE142+-BE136+-BE143-BE144</f>
        <v>53936.924159871574</v>
      </c>
      <c r="BF172" s="119">
        <f>+BE172+-BF142+-BF136+-BF143-BF144</f>
        <v>55040.408915990207</v>
      </c>
      <c r="BG172" s="42">
        <f>+BF172</f>
        <v>55040.408915990207</v>
      </c>
      <c r="BH172" s="120">
        <f>+BG172+-BH142+-BH136+-BH143-BH144</f>
        <v>55901.326090806586</v>
      </c>
      <c r="BI172" s="118">
        <f>+BH172+-BI142+-BI136+-BI143-BI144</f>
        <v>56762.243265622965</v>
      </c>
      <c r="BJ172" s="118">
        <f>+BI172+-BJ142+-BJ136+-BJ143-BJ144</f>
        <v>57623.160440439344</v>
      </c>
      <c r="BK172" s="119">
        <f>+BJ172+-BK142+-BK136+-BK143-BK144</f>
        <v>58484.077615255723</v>
      </c>
      <c r="BL172" s="42">
        <f>+BK172</f>
        <v>58484.077615255723</v>
      </c>
      <c r="BM172" s="120">
        <f>+BL172+-BM142+-BM136+-BM143-BM144</f>
        <v>59365.187879507124</v>
      </c>
      <c r="BN172" s="118">
        <f>+BM172+-BN142+-BN136+-BN143-BN144</f>
        <v>60246.298143758526</v>
      </c>
      <c r="BO172" s="118">
        <f>+BN172+-BO142+-BO136+-BO143-BO144</f>
        <v>61127.408408009927</v>
      </c>
      <c r="BP172" s="119">
        <f>+BO172+-BP142+-BP136+-BP143-BP144</f>
        <v>62008.518672261329</v>
      </c>
      <c r="BQ172" s="42">
        <f>+BP172</f>
        <v>62008.518672261329</v>
      </c>
      <c r="BT172" s="525"/>
      <c r="BU172" s="525"/>
      <c r="BV172" s="525"/>
      <c r="BW172" s="575"/>
      <c r="BX172" s="575"/>
      <c r="BY172" s="525"/>
      <c r="BZ172" s="525"/>
      <c r="CA172" s="525"/>
    </row>
    <row r="173" spans="2:134" x14ac:dyDescent="0.2">
      <c r="B173" s="20"/>
      <c r="C173" s="20" t="s">
        <v>203</v>
      </c>
      <c r="D173" s="42"/>
      <c r="E173" s="114">
        <v>10595.601000000001</v>
      </c>
      <c r="F173" s="115">
        <v>10737.081</v>
      </c>
      <c r="G173" s="115">
        <v>10843.82</v>
      </c>
      <c r="H173" s="116">
        <f>I173</f>
        <v>10776.666999999999</v>
      </c>
      <c r="I173" s="117">
        <v>10776.666999999999</v>
      </c>
      <c r="J173" s="114">
        <v>11057.241</v>
      </c>
      <c r="K173" s="115">
        <v>11208.797</v>
      </c>
      <c r="L173" s="115">
        <v>11310.973</v>
      </c>
      <c r="M173" s="116">
        <f>N173</f>
        <v>11068.82</v>
      </c>
      <c r="N173" s="117">
        <v>11068.82</v>
      </c>
      <c r="O173" s="114">
        <v>11223.241</v>
      </c>
      <c r="P173" s="115">
        <v>11378.696</v>
      </c>
      <c r="Q173" s="115">
        <v>11484.611999999999</v>
      </c>
      <c r="R173" s="116">
        <f>S173</f>
        <v>11658.351000000001</v>
      </c>
      <c r="S173" s="117">
        <v>11658.351000000001</v>
      </c>
      <c r="T173" s="114">
        <v>11731.341</v>
      </c>
      <c r="U173" s="115">
        <v>11852.561</v>
      </c>
      <c r="V173" s="115">
        <v>12023.296</v>
      </c>
      <c r="W173" s="116">
        <f>X173</f>
        <v>12048.697</v>
      </c>
      <c r="X173" s="117">
        <v>12048.697</v>
      </c>
      <c r="Y173" s="114">
        <v>12216.164000000001</v>
      </c>
      <c r="Z173" s="115">
        <v>12344.995000000001</v>
      </c>
      <c r="AA173" s="115">
        <v>12462.716</v>
      </c>
      <c r="AB173" s="116">
        <f>AC173</f>
        <v>12608.305</v>
      </c>
      <c r="AC173" s="117">
        <v>12608.305</v>
      </c>
      <c r="AD173" s="114">
        <v>12741.175999999999</v>
      </c>
      <c r="AE173" s="115">
        <v>12854.913</v>
      </c>
      <c r="AF173" s="115">
        <v>13028.218000000001</v>
      </c>
      <c r="AG173" s="116">
        <f>AH173</f>
        <v>13168.418</v>
      </c>
      <c r="AH173" s="117">
        <v>13168.418</v>
      </c>
      <c r="AI173" s="114">
        <v>13373.008</v>
      </c>
      <c r="AJ173" s="115">
        <v>13543.351000000001</v>
      </c>
      <c r="AK173" s="115">
        <v>13724.333000000001</v>
      </c>
      <c r="AL173" s="116">
        <f>AM173</f>
        <v>13591.259</v>
      </c>
      <c r="AM173" s="117">
        <v>13591.259</v>
      </c>
      <c r="AN173" s="114">
        <v>13790.489</v>
      </c>
      <c r="AO173" s="115">
        <v>14035.591</v>
      </c>
      <c r="AP173" s="115">
        <v>14218.683000000001</v>
      </c>
      <c r="AQ173" s="116">
        <f>AR173</f>
        <v>14381.602999999999</v>
      </c>
      <c r="AR173" s="117">
        <v>14381.602999999999</v>
      </c>
      <c r="AS173" s="114">
        <v>14576.32</v>
      </c>
      <c r="AT173" s="115">
        <v>14703.391</v>
      </c>
      <c r="AU173" s="115">
        <v>14982.709000000001</v>
      </c>
      <c r="AV173" s="116">
        <f>AW173</f>
        <v>15000</v>
      </c>
      <c r="AW173" s="117">
        <v>15000</v>
      </c>
      <c r="AX173" s="120">
        <f>+AW173+AX135</f>
        <v>15401.28124896758</v>
      </c>
      <c r="AY173" s="118">
        <f>+AX173+AY135</f>
        <v>15802.653595983951</v>
      </c>
      <c r="AZ173" s="118">
        <f>+AY173+AZ135</f>
        <v>16211.066359441356</v>
      </c>
      <c r="BA173" s="119">
        <f>+AZ173+BA135</f>
        <v>16626.162116798547</v>
      </c>
      <c r="BB173" s="42">
        <f>+BA173</f>
        <v>16626.162116798547</v>
      </c>
      <c r="BC173" s="120">
        <f>+BB173+BC135</f>
        <v>17040.40147989232</v>
      </c>
      <c r="BD173" s="118">
        <f>+BC173+BD135</f>
        <v>17462.670303703813</v>
      </c>
      <c r="BE173" s="118">
        <f>+BD173+BE135</f>
        <v>17893.638940657202</v>
      </c>
      <c r="BF173" s="119">
        <f>+BE173+BF135</f>
        <v>18332.924963119673</v>
      </c>
      <c r="BG173" s="42">
        <f>+BF173</f>
        <v>18332.924963119673</v>
      </c>
      <c r="BH173" s="120">
        <f>+BG173+BH135</f>
        <v>18777.397250333528</v>
      </c>
      <c r="BI173" s="118">
        <f>+BH173+BI135</f>
        <v>19233.692152697975</v>
      </c>
      <c r="BJ173" s="118">
        <f>+BI173+BJ135</f>
        <v>19695.102360883782</v>
      </c>
      <c r="BK173" s="119">
        <f>+BJ173+BK135</f>
        <v>20161.293465321443</v>
      </c>
      <c r="BL173" s="42">
        <f>+BK173</f>
        <v>20161.293465321443</v>
      </c>
      <c r="BM173" s="120">
        <f>+BL173+BM135</f>
        <v>20631.20006830405</v>
      </c>
      <c r="BN173" s="118">
        <f>+BM173+BN135</f>
        <v>21105.197830041616</v>
      </c>
      <c r="BO173" s="118">
        <f>+BN173+BO135</f>
        <v>21584.583311701321</v>
      </c>
      <c r="BP173" s="119">
        <f>+BO173+BP135</f>
        <v>22069.017617242494</v>
      </c>
      <c r="BQ173" s="42">
        <f>+BP173</f>
        <v>22069.017617242494</v>
      </c>
      <c r="BR173" s="31"/>
      <c r="BT173" s="525"/>
      <c r="BU173" s="525"/>
      <c r="BV173" s="525"/>
      <c r="BW173" s="575"/>
      <c r="BX173" s="575"/>
      <c r="BY173" s="525"/>
      <c r="BZ173" s="525"/>
      <c r="CA173" s="525"/>
    </row>
    <row r="174" spans="2:134" x14ac:dyDescent="0.2">
      <c r="B174" s="20"/>
      <c r="C174" s="20" t="s">
        <v>204</v>
      </c>
      <c r="D174" s="42"/>
      <c r="E174" s="114">
        <f>1644.708-1374.863</f>
        <v>269.84500000000003</v>
      </c>
      <c r="F174" s="115">
        <f>1694.008-1393.286</f>
        <v>300.72199999999998</v>
      </c>
      <c r="G174" s="115">
        <f>1711.047-1415.093</f>
        <v>295.95399999999995</v>
      </c>
      <c r="H174" s="116">
        <f>I174</f>
        <v>301.79200000000014</v>
      </c>
      <c r="I174" s="117">
        <f>1737.469-1435.677</f>
        <v>301.79200000000014</v>
      </c>
      <c r="J174" s="114">
        <f>1753.537-1461.657</f>
        <v>291.88000000000011</v>
      </c>
      <c r="K174" s="115">
        <f>1793.249-1485.228</f>
        <v>308.02099999999996</v>
      </c>
      <c r="L174" s="115">
        <f>1798.905-1513.827</f>
        <v>285.07799999999997</v>
      </c>
      <c r="M174" s="116">
        <f>N174</f>
        <v>296.65099999999984</v>
      </c>
      <c r="N174" s="117">
        <f>1837.697-1541.046</f>
        <v>296.65099999999984</v>
      </c>
      <c r="O174" s="114">
        <f>1893.576-1566.597</f>
        <v>326.97900000000004</v>
      </c>
      <c r="P174" s="115">
        <f>1968.017-1584.778</f>
        <v>383.23900000000003</v>
      </c>
      <c r="Q174" s="115">
        <f>1928.912-1616.338</f>
        <v>312.57400000000007</v>
      </c>
      <c r="R174" s="116">
        <f>S174</f>
        <v>297.35099999999989</v>
      </c>
      <c r="S174" s="117">
        <f>1939.299-1641.948</f>
        <v>297.35099999999989</v>
      </c>
      <c r="T174" s="114">
        <f>2062.79-1667.948</f>
        <v>394.84199999999987</v>
      </c>
      <c r="U174" s="115">
        <f>2087.663-1691.713</f>
        <v>395.95000000000005</v>
      </c>
      <c r="V174" s="115">
        <f>2075.442-1721.119</f>
        <v>354.32300000000009</v>
      </c>
      <c r="W174" s="116">
        <f>X174</f>
        <v>346.202</v>
      </c>
      <c r="X174" s="117">
        <f>2090.801-1744.599</f>
        <v>346.202</v>
      </c>
      <c r="Y174" s="114">
        <f>2108.788-1772.121</f>
        <v>336.66699999999992</v>
      </c>
      <c r="Z174" s="115">
        <f>2142.145-1794.084</f>
        <v>348.06099999999992</v>
      </c>
      <c r="AA174" s="115">
        <f>2157.94-1821.046</f>
        <v>336.89400000000001</v>
      </c>
      <c r="AB174" s="116">
        <f>AC174</f>
        <v>344.11099999999988</v>
      </c>
      <c r="AC174" s="117">
        <f>2186.799-1842.688</f>
        <v>344.11099999999988</v>
      </c>
      <c r="AD174" s="114">
        <f>2193.544-1871.55</f>
        <v>321.99399999999991</v>
      </c>
      <c r="AE174" s="115">
        <f>2200.534-1903.154</f>
        <v>297.38000000000011</v>
      </c>
      <c r="AF174" s="115">
        <f>2250.14-1934.966</f>
        <v>315.17399999999998</v>
      </c>
      <c r="AG174" s="116">
        <f>AH174</f>
        <v>390.19200000000001</v>
      </c>
      <c r="AH174" s="117">
        <f>2347.422-1957.23</f>
        <v>390.19200000000001</v>
      </c>
      <c r="AI174" s="114">
        <f>2396.974-1985.695</f>
        <v>411.27900000000022</v>
      </c>
      <c r="AJ174" s="115">
        <f>2405.823-2006.684</f>
        <v>399.1389999999999</v>
      </c>
      <c r="AK174" s="115">
        <f>2414.986-2039.857</f>
        <v>375.12899999999991</v>
      </c>
      <c r="AL174" s="116">
        <f>AM174</f>
        <v>383.59700000000021</v>
      </c>
      <c r="AM174" s="117">
        <f>2447.251-2063.654</f>
        <v>383.59700000000021</v>
      </c>
      <c r="AN174" s="114">
        <f>2450.363-2089.404</f>
        <v>360.95899999999983</v>
      </c>
      <c r="AO174" s="115">
        <f>2461.008-2121.921</f>
        <v>339.08699999999999</v>
      </c>
      <c r="AP174" s="115">
        <f>2469.772-2153.129</f>
        <v>316.64300000000003</v>
      </c>
      <c r="AQ174" s="116">
        <f>AR174</f>
        <v>391.13400000000001</v>
      </c>
      <c r="AR174" s="117">
        <f>2571.77-2180.636</f>
        <v>391.13400000000001</v>
      </c>
      <c r="AS174" s="114">
        <f>2652.026-2211.488</f>
        <v>440.53800000000001</v>
      </c>
      <c r="AT174" s="115">
        <f>2660.606-2237.639</f>
        <v>422.9670000000001</v>
      </c>
      <c r="AU174" s="115">
        <f>2668.586-2268.29</f>
        <v>400.29599999999982</v>
      </c>
      <c r="AV174" s="116">
        <f>AW174</f>
        <v>402</v>
      </c>
      <c r="AW174" s="117">
        <f>2697-2295</f>
        <v>402</v>
      </c>
      <c r="AX174" s="120">
        <f t="shared" ref="AX174:BA175" si="373">+AW174</f>
        <v>402</v>
      </c>
      <c r="AY174" s="118">
        <f t="shared" si="373"/>
        <v>402</v>
      </c>
      <c r="AZ174" s="118">
        <f t="shared" si="373"/>
        <v>402</v>
      </c>
      <c r="BA174" s="119">
        <f t="shared" si="373"/>
        <v>402</v>
      </c>
      <c r="BB174" s="42">
        <f>+BA174</f>
        <v>402</v>
      </c>
      <c r="BC174" s="120">
        <f t="shared" ref="BC174:BF175" si="374">+BB174</f>
        <v>402</v>
      </c>
      <c r="BD174" s="118">
        <f t="shared" si="374"/>
        <v>402</v>
      </c>
      <c r="BE174" s="118">
        <f t="shared" si="374"/>
        <v>402</v>
      </c>
      <c r="BF174" s="119">
        <f t="shared" si="374"/>
        <v>402</v>
      </c>
      <c r="BG174" s="42">
        <f>+BF174</f>
        <v>402</v>
      </c>
      <c r="BH174" s="120">
        <f t="shared" ref="BH174:BK175" si="375">+BG174</f>
        <v>402</v>
      </c>
      <c r="BI174" s="118">
        <f t="shared" si="375"/>
        <v>402</v>
      </c>
      <c r="BJ174" s="118">
        <f t="shared" si="375"/>
        <v>402</v>
      </c>
      <c r="BK174" s="119">
        <f t="shared" si="375"/>
        <v>402</v>
      </c>
      <c r="BL174" s="42">
        <f>+BK174</f>
        <v>402</v>
      </c>
      <c r="BM174" s="120">
        <f t="shared" ref="BM174:BM175" si="376">+BL174</f>
        <v>402</v>
      </c>
      <c r="BN174" s="118">
        <f t="shared" ref="BN174:BN175" si="377">+BM174</f>
        <v>402</v>
      </c>
      <c r="BO174" s="118">
        <f t="shared" ref="BO174:BO175" si="378">+BN174</f>
        <v>402</v>
      </c>
      <c r="BP174" s="119">
        <f t="shared" ref="BP174:BP175" si="379">+BO174</f>
        <v>402</v>
      </c>
      <c r="BQ174" s="42">
        <f>+BP174</f>
        <v>402</v>
      </c>
      <c r="BR174" s="31"/>
      <c r="BS174" s="846"/>
      <c r="BT174" s="525"/>
      <c r="BU174" s="525"/>
      <c r="BV174" s="525"/>
      <c r="BW174" s="575"/>
      <c r="BX174" s="575"/>
      <c r="BY174" s="525"/>
      <c r="BZ174" s="525"/>
      <c r="CA174" s="525"/>
    </row>
    <row r="175" spans="2:134" x14ac:dyDescent="0.2">
      <c r="B175" s="20"/>
      <c r="C175" s="20" t="s">
        <v>205</v>
      </c>
      <c r="D175" s="42"/>
      <c r="E175" s="114">
        <v>1814.1659999999999</v>
      </c>
      <c r="F175" s="115">
        <v>1686.1769999999999</v>
      </c>
      <c r="G175" s="115">
        <v>1688.56</v>
      </c>
      <c r="H175" s="116">
        <v>1769.5450000000001</v>
      </c>
      <c r="I175" s="117">
        <v>1769.5450000000001</v>
      </c>
      <c r="J175" s="114">
        <v>1971.9970000000001</v>
      </c>
      <c r="K175" s="115">
        <v>1360.5060000000001</v>
      </c>
      <c r="L175" s="115">
        <v>1667.4069999999999</v>
      </c>
      <c r="M175" s="116">
        <f>N175</f>
        <v>1186.433</v>
      </c>
      <c r="N175" s="117">
        <v>1186.433</v>
      </c>
      <c r="O175" s="114">
        <v>1385.0160000000001</v>
      </c>
      <c r="P175" s="115">
        <v>1143.5909999999999</v>
      </c>
      <c r="Q175" s="115">
        <v>1169.7460000000001</v>
      </c>
      <c r="R175" s="116">
        <f>S175</f>
        <v>1085.2449999999999</v>
      </c>
      <c r="S175" s="117">
        <v>1085.2449999999999</v>
      </c>
      <c r="T175" s="114">
        <v>1315.39</v>
      </c>
      <c r="U175" s="115">
        <v>1484.5930000000001</v>
      </c>
      <c r="V175" s="115">
        <v>1681.1279999999999</v>
      </c>
      <c r="W175" s="116">
        <f>X175</f>
        <v>1757.1890000000001</v>
      </c>
      <c r="X175" s="117">
        <v>1757.1890000000001</v>
      </c>
      <c r="Y175" s="114">
        <v>2136.7330000000002</v>
      </c>
      <c r="Z175" s="115">
        <v>2298.8989999999999</v>
      </c>
      <c r="AA175" s="115">
        <v>2391.7829999999999</v>
      </c>
      <c r="AB175" s="116">
        <f>AC175</f>
        <v>2371.5659999999998</v>
      </c>
      <c r="AC175" s="117">
        <v>2371.5659999999998</v>
      </c>
      <c r="AD175" s="114">
        <v>2672.049</v>
      </c>
      <c r="AE175" s="115">
        <v>2502.721</v>
      </c>
      <c r="AF175" s="115">
        <v>2364.8510000000001</v>
      </c>
      <c r="AG175" s="116">
        <f>AH175</f>
        <v>2005.5309999999999</v>
      </c>
      <c r="AH175" s="117">
        <v>2005.5309999999999</v>
      </c>
      <c r="AI175" s="114">
        <v>2010.7919999999999</v>
      </c>
      <c r="AJ175" s="115">
        <v>2092.3910000000001</v>
      </c>
      <c r="AK175" s="115">
        <v>1679.1780000000001</v>
      </c>
      <c r="AL175" s="116">
        <f>AM175</f>
        <v>1256.9490000000001</v>
      </c>
      <c r="AM175" s="117">
        <v>1256.9490000000001</v>
      </c>
      <c r="AN175" s="114">
        <v>1486.07</v>
      </c>
      <c r="AO175" s="115">
        <v>1687.3969999999999</v>
      </c>
      <c r="AP175" s="115">
        <v>1844.5250000000001</v>
      </c>
      <c r="AQ175" s="116">
        <f>AR175</f>
        <v>1373.38</v>
      </c>
      <c r="AR175" s="117">
        <v>1373.38</v>
      </c>
      <c r="AS175" s="114">
        <v>1596.9090000000001</v>
      </c>
      <c r="AT175" s="115">
        <v>1571.3620000000001</v>
      </c>
      <c r="AU175" s="115">
        <v>1861.576</v>
      </c>
      <c r="AV175" s="116">
        <f>AW175</f>
        <v>2087</v>
      </c>
      <c r="AW175" s="117">
        <v>2087</v>
      </c>
      <c r="AX175" s="120">
        <f t="shared" si="373"/>
        <v>2087</v>
      </c>
      <c r="AY175" s="118">
        <f t="shared" si="373"/>
        <v>2087</v>
      </c>
      <c r="AZ175" s="118">
        <f t="shared" si="373"/>
        <v>2087</v>
      </c>
      <c r="BA175" s="119">
        <f t="shared" si="373"/>
        <v>2087</v>
      </c>
      <c r="BB175" s="42">
        <f>+BA175</f>
        <v>2087</v>
      </c>
      <c r="BC175" s="120">
        <f t="shared" si="374"/>
        <v>2087</v>
      </c>
      <c r="BD175" s="118">
        <f t="shared" si="374"/>
        <v>2087</v>
      </c>
      <c r="BE175" s="118">
        <f t="shared" si="374"/>
        <v>2087</v>
      </c>
      <c r="BF175" s="119">
        <f t="shared" si="374"/>
        <v>2087</v>
      </c>
      <c r="BG175" s="42">
        <f>+BF175</f>
        <v>2087</v>
      </c>
      <c r="BH175" s="120">
        <f t="shared" si="375"/>
        <v>2087</v>
      </c>
      <c r="BI175" s="118">
        <f t="shared" si="375"/>
        <v>2087</v>
      </c>
      <c r="BJ175" s="118">
        <f t="shared" si="375"/>
        <v>2087</v>
      </c>
      <c r="BK175" s="119">
        <f t="shared" si="375"/>
        <v>2087</v>
      </c>
      <c r="BL175" s="42">
        <f>+BK175</f>
        <v>2087</v>
      </c>
      <c r="BM175" s="120">
        <f t="shared" si="376"/>
        <v>2087</v>
      </c>
      <c r="BN175" s="118">
        <f t="shared" si="377"/>
        <v>2087</v>
      </c>
      <c r="BO175" s="118">
        <f t="shared" si="378"/>
        <v>2087</v>
      </c>
      <c r="BP175" s="119">
        <f t="shared" si="379"/>
        <v>2087</v>
      </c>
      <c r="BQ175" s="42">
        <f>+BP175</f>
        <v>2087</v>
      </c>
      <c r="BS175" s="846"/>
      <c r="BT175" s="525"/>
      <c r="BU175" s="525"/>
      <c r="BV175" s="525"/>
      <c r="BW175" s="575"/>
      <c r="BX175" s="575"/>
      <c r="BY175" s="525"/>
      <c r="BZ175" s="525"/>
      <c r="CA175" s="525"/>
    </row>
    <row r="176" spans="2:134" x14ac:dyDescent="0.2">
      <c r="B176" s="20"/>
      <c r="C176" s="26" t="s">
        <v>206</v>
      </c>
      <c r="D176" s="42"/>
      <c r="E176" s="121">
        <f t="shared" ref="E176:AA176" si="380">E172-E173+E174+E175</f>
        <v>17947.475999999999</v>
      </c>
      <c r="F176" s="122">
        <f t="shared" si="380"/>
        <v>18201.096999999998</v>
      </c>
      <c r="G176" s="122">
        <f t="shared" si="380"/>
        <v>18514.792000000005</v>
      </c>
      <c r="H176" s="123">
        <f t="shared" si="380"/>
        <v>18508.296000000002</v>
      </c>
      <c r="I176" s="86">
        <f t="shared" si="380"/>
        <v>18508.296000000002</v>
      </c>
      <c r="J176" s="121">
        <f t="shared" si="380"/>
        <v>18744.540999999997</v>
      </c>
      <c r="K176" s="122">
        <f t="shared" si="380"/>
        <v>19074.194000000003</v>
      </c>
      <c r="L176" s="122">
        <f t="shared" si="380"/>
        <v>19444.841</v>
      </c>
      <c r="M176" s="123">
        <f t="shared" si="380"/>
        <v>20663.081999999999</v>
      </c>
      <c r="N176" s="86">
        <f t="shared" si="380"/>
        <v>20663.081999999999</v>
      </c>
      <c r="O176" s="121">
        <f t="shared" si="380"/>
        <v>20908.333000000002</v>
      </c>
      <c r="P176" s="122">
        <f t="shared" si="380"/>
        <v>21513.539000000001</v>
      </c>
      <c r="Q176" s="122">
        <f t="shared" si="380"/>
        <v>21729.487999999998</v>
      </c>
      <c r="R176" s="123">
        <f t="shared" si="380"/>
        <v>22353.366999999998</v>
      </c>
      <c r="S176" s="86">
        <f t="shared" si="380"/>
        <v>22353.366999999998</v>
      </c>
      <c r="T176" s="121">
        <f t="shared" si="380"/>
        <v>22672.686000000002</v>
      </c>
      <c r="U176" s="122">
        <f t="shared" si="380"/>
        <v>23047.853999999996</v>
      </c>
      <c r="V176" s="122">
        <f t="shared" si="380"/>
        <v>23401.596999999994</v>
      </c>
      <c r="W176" s="123">
        <f>W172-W173+W174+W175</f>
        <v>23809.348000000002</v>
      </c>
      <c r="X176" s="86">
        <f>X172-X173+X174+X175</f>
        <v>23809.348000000002</v>
      </c>
      <c r="Y176" s="121">
        <f>Y172-Y173+Y174+Y175</f>
        <v>24219.230999999996</v>
      </c>
      <c r="Z176" s="122">
        <f t="shared" si="380"/>
        <v>24813.410999999996</v>
      </c>
      <c r="AA176" s="122">
        <f t="shared" si="380"/>
        <v>25342.577999999998</v>
      </c>
      <c r="AB176" s="123">
        <f t="shared" ref="AB176:AJ176" si="381">AB172-AB173+AB174+AB175</f>
        <v>26122.159000000003</v>
      </c>
      <c r="AC176" s="86">
        <f t="shared" si="381"/>
        <v>26122.159000000003</v>
      </c>
      <c r="AD176" s="121">
        <f t="shared" si="381"/>
        <v>26541.482000000004</v>
      </c>
      <c r="AE176" s="122">
        <f t="shared" si="381"/>
        <v>27070.377</v>
      </c>
      <c r="AF176" s="122">
        <f t="shared" si="381"/>
        <v>27630.362999999994</v>
      </c>
      <c r="AG176" s="123">
        <f t="shared" si="381"/>
        <v>28756.915999999997</v>
      </c>
      <c r="AH176" s="86">
        <f t="shared" si="381"/>
        <v>28756.915999999997</v>
      </c>
      <c r="AI176" s="121">
        <f t="shared" si="381"/>
        <v>28966.911000000004</v>
      </c>
      <c r="AJ176" s="122">
        <f t="shared" si="381"/>
        <v>29350.363999999994</v>
      </c>
      <c r="AK176" s="122">
        <f>AK172-AK173+AK174+AK175</f>
        <v>29828.609000000004</v>
      </c>
      <c r="AL176" s="123">
        <f>AL172-AL173+AL174+AL175</f>
        <v>31205.85100000001</v>
      </c>
      <c r="AM176" s="86">
        <f>AM172-AM173+AM174+AM175</f>
        <v>31205.85100000001</v>
      </c>
      <c r="AN176" s="121">
        <f>AN172-AN173+AN174+AN175</f>
        <v>31433.405999999999</v>
      </c>
      <c r="AO176" s="122">
        <f>AO172-AO173+AO174+AO175</f>
        <v>31823.282000000003</v>
      </c>
      <c r="AP176" s="122">
        <f t="shared" ref="AP176:AU176" si="382">AP172-AP173+AP174+AP175</f>
        <v>32206.696000000004</v>
      </c>
      <c r="AQ176" s="123">
        <f>AQ172-AQ173+AQ174+AQ175</f>
        <v>32841.75</v>
      </c>
      <c r="AR176" s="86">
        <f>AR172-AR173+AR174+AR175</f>
        <v>32841.75</v>
      </c>
      <c r="AS176" s="121">
        <f>AS172-AS173+AS174+AS175</f>
        <v>33158.383999999998</v>
      </c>
      <c r="AT176" s="122">
        <f>AT172-AT173+AT174+AT175</f>
        <v>33543.843000000008</v>
      </c>
      <c r="AU176" s="122">
        <f t="shared" si="382"/>
        <v>33949.951999999896</v>
      </c>
      <c r="AV176" s="123">
        <f>AV172-AV173+AV174+AV175</f>
        <v>34329</v>
      </c>
      <c r="AW176" s="86">
        <f>AW172-AW173+AW174+AW175</f>
        <v>34329</v>
      </c>
      <c r="AX176" s="121">
        <f t="shared" ref="AX176:BG176" si="383">AX172-AX173+AX174+AX175</f>
        <v>34874.336223911341</v>
      </c>
      <c r="AY176" s="122">
        <f t="shared" si="383"/>
        <v>35419.581349773885</v>
      </c>
      <c r="AZ176" s="122">
        <f t="shared" si="383"/>
        <v>35957.786059195401</v>
      </c>
      <c r="BA176" s="123">
        <f t="shared" si="383"/>
        <v>36489.307774717134</v>
      </c>
      <c r="BB176" s="86">
        <f t="shared" si="383"/>
        <v>36489.307774717134</v>
      </c>
      <c r="BC176" s="121">
        <f t="shared" si="383"/>
        <v>37178.553167741993</v>
      </c>
      <c r="BD176" s="122">
        <f t="shared" si="383"/>
        <v>37859.769100049132</v>
      </c>
      <c r="BE176" s="122">
        <f t="shared" si="383"/>
        <v>38532.285219214376</v>
      </c>
      <c r="BF176" s="123">
        <f t="shared" si="383"/>
        <v>39196.483952870534</v>
      </c>
      <c r="BG176" s="86">
        <f t="shared" si="383"/>
        <v>39196.483952870534</v>
      </c>
      <c r="BH176" s="121">
        <f t="shared" ref="BH176:BQ176" si="384">BH172-BH173+BH174+BH175</f>
        <v>39612.928840473061</v>
      </c>
      <c r="BI176" s="122">
        <f t="shared" si="384"/>
        <v>40017.551112924994</v>
      </c>
      <c r="BJ176" s="122">
        <f t="shared" si="384"/>
        <v>40417.058079555558</v>
      </c>
      <c r="BK176" s="123">
        <f t="shared" si="384"/>
        <v>40811.784149934276</v>
      </c>
      <c r="BL176" s="86">
        <f t="shared" si="384"/>
        <v>40811.784149934276</v>
      </c>
      <c r="BM176" s="121">
        <f t="shared" si="384"/>
        <v>41222.987811203071</v>
      </c>
      <c r="BN176" s="122">
        <f t="shared" si="384"/>
        <v>41630.10031371691</v>
      </c>
      <c r="BO176" s="122">
        <f t="shared" si="384"/>
        <v>42031.825096308603</v>
      </c>
      <c r="BP176" s="123">
        <f t="shared" si="384"/>
        <v>42428.501055018831</v>
      </c>
      <c r="BQ176" s="86">
        <f t="shared" si="384"/>
        <v>42428.501055018831</v>
      </c>
      <c r="BS176" s="846"/>
      <c r="BT176" s="525"/>
      <c r="BU176" s="525"/>
      <c r="BV176" s="525"/>
      <c r="BW176" s="575"/>
      <c r="BX176" s="575"/>
      <c r="BY176" s="525"/>
      <c r="BZ176" s="525"/>
      <c r="CA176" s="525"/>
    </row>
    <row r="177" spans="3:79" x14ac:dyDescent="0.2">
      <c r="C177" s="20"/>
      <c r="D177" s="42"/>
      <c r="E177" s="120"/>
      <c r="F177" s="139"/>
      <c r="G177" s="139"/>
      <c r="H177" s="119"/>
      <c r="I177" s="42"/>
      <c r="J177" s="114"/>
      <c r="K177" s="133"/>
      <c r="L177" s="133"/>
      <c r="M177" s="119"/>
      <c r="N177" s="42"/>
      <c r="O177" s="120"/>
      <c r="P177" s="139"/>
      <c r="Q177" s="139"/>
      <c r="R177" s="119"/>
      <c r="S177" s="42"/>
      <c r="T177" s="120"/>
      <c r="U177" s="139"/>
      <c r="V177" s="139"/>
      <c r="W177" s="119"/>
      <c r="X177" s="42"/>
      <c r="Y177" s="120"/>
      <c r="Z177" s="139"/>
      <c r="AA177" s="139"/>
      <c r="AB177" s="119"/>
      <c r="AC177" s="42"/>
      <c r="AD177" s="120"/>
      <c r="AE177" s="139"/>
      <c r="AF177" s="139"/>
      <c r="AG177" s="119"/>
      <c r="AH177" s="42"/>
      <c r="AI177" s="120"/>
      <c r="AJ177" s="139"/>
      <c r="AK177" s="139"/>
      <c r="AL177" s="119"/>
      <c r="AM177" s="42"/>
      <c r="AN177" s="120"/>
      <c r="AO177" s="139"/>
      <c r="AP177" s="139"/>
      <c r="AQ177" s="119"/>
      <c r="AR177" s="42"/>
      <c r="AS177" s="120"/>
      <c r="AT177" s="139"/>
      <c r="AU177" s="139"/>
      <c r="AV177" s="119"/>
      <c r="AW177" s="42"/>
      <c r="AX177" s="120"/>
      <c r="AY177" s="139"/>
      <c r="AZ177" s="139"/>
      <c r="BA177" s="119"/>
      <c r="BB177" s="42"/>
      <c r="BC177" s="120"/>
      <c r="BD177" s="139"/>
      <c r="BE177" s="139"/>
      <c r="BF177" s="119"/>
      <c r="BG177" s="42"/>
      <c r="BH177" s="120"/>
      <c r="BI177" s="139"/>
      <c r="BJ177" s="139"/>
      <c r="BK177" s="119"/>
      <c r="BL177" s="42"/>
      <c r="BM177" s="120"/>
      <c r="BN177" s="139"/>
      <c r="BO177" s="139"/>
      <c r="BP177" s="119"/>
      <c r="BQ177" s="42"/>
      <c r="BS177" s="846"/>
      <c r="BT177" s="525"/>
      <c r="BU177" s="525"/>
      <c r="BV177" s="525"/>
      <c r="BW177" s="575"/>
      <c r="BX177" s="575"/>
      <c r="BY177" s="525"/>
      <c r="BZ177" s="525"/>
      <c r="CA177" s="525"/>
    </row>
    <row r="178" spans="3:79" x14ac:dyDescent="0.2">
      <c r="C178" t="s">
        <v>207</v>
      </c>
      <c r="D178" s="42"/>
      <c r="E178" s="114">
        <v>0</v>
      </c>
      <c r="F178" s="115">
        <v>0</v>
      </c>
      <c r="G178" s="115">
        <v>0</v>
      </c>
      <c r="H178" s="119">
        <f>I178</f>
        <v>0</v>
      </c>
      <c r="I178" s="117">
        <v>0</v>
      </c>
      <c r="J178" s="114">
        <v>0</v>
      </c>
      <c r="K178" s="115">
        <v>0</v>
      </c>
      <c r="L178" s="115">
        <v>0</v>
      </c>
      <c r="M178" s="119">
        <f>N178</f>
        <v>0</v>
      </c>
      <c r="N178" s="117">
        <v>0</v>
      </c>
      <c r="O178" s="114">
        <v>0</v>
      </c>
      <c r="P178" s="115">
        <v>0</v>
      </c>
      <c r="Q178" s="115">
        <v>0</v>
      </c>
      <c r="R178" s="119">
        <f>S178</f>
        <v>0</v>
      </c>
      <c r="S178" s="117">
        <v>0</v>
      </c>
      <c r="T178" s="114">
        <v>0</v>
      </c>
      <c r="U178" s="115">
        <v>0</v>
      </c>
      <c r="V178" s="115">
        <v>0</v>
      </c>
      <c r="W178" s="119">
        <f>X178</f>
        <v>0</v>
      </c>
      <c r="X178" s="117">
        <v>0</v>
      </c>
      <c r="Y178" s="114">
        <v>0</v>
      </c>
      <c r="Z178" s="115">
        <v>0</v>
      </c>
      <c r="AA178" s="115">
        <v>0</v>
      </c>
      <c r="AB178" s="119">
        <f>AC178</f>
        <v>0</v>
      </c>
      <c r="AC178" s="117">
        <v>0</v>
      </c>
      <c r="AD178" s="114">
        <v>0</v>
      </c>
      <c r="AE178" s="115">
        <v>0</v>
      </c>
      <c r="AF178" s="115">
        <v>0</v>
      </c>
      <c r="AG178" s="119">
        <f>AH178</f>
        <v>0</v>
      </c>
      <c r="AH178" s="117">
        <v>0</v>
      </c>
      <c r="AI178" s="114">
        <v>0</v>
      </c>
      <c r="AJ178" s="115">
        <v>0</v>
      </c>
      <c r="AK178" s="115">
        <v>0</v>
      </c>
      <c r="AL178" s="119">
        <f>AM178</f>
        <v>0</v>
      </c>
      <c r="AM178" s="117">
        <v>0</v>
      </c>
      <c r="AN178" s="114">
        <v>0</v>
      </c>
      <c r="AO178" s="115">
        <v>0</v>
      </c>
      <c r="AP178" s="115">
        <v>0</v>
      </c>
      <c r="AQ178" s="119">
        <f>AR178</f>
        <v>0</v>
      </c>
      <c r="AR178" s="117">
        <v>0</v>
      </c>
      <c r="AS178" s="114">
        <v>0</v>
      </c>
      <c r="AT178" s="115">
        <v>0</v>
      </c>
      <c r="AU178" s="115">
        <v>0</v>
      </c>
      <c r="AV178" s="119">
        <f>AW178</f>
        <v>0</v>
      </c>
      <c r="AW178" s="117">
        <v>0</v>
      </c>
      <c r="AX178" s="120">
        <f t="shared" ref="AX178:BB182" si="385">+AW178</f>
        <v>0</v>
      </c>
      <c r="AY178" s="118">
        <f t="shared" si="385"/>
        <v>0</v>
      </c>
      <c r="AZ178" s="118">
        <f t="shared" si="385"/>
        <v>0</v>
      </c>
      <c r="BA178" s="119">
        <f t="shared" si="385"/>
        <v>0</v>
      </c>
      <c r="BB178" s="42">
        <f t="shared" si="385"/>
        <v>0</v>
      </c>
      <c r="BC178" s="120">
        <f t="shared" ref="BC178:BG182" si="386">+BB178</f>
        <v>0</v>
      </c>
      <c r="BD178" s="118">
        <f t="shared" si="386"/>
        <v>0</v>
      </c>
      <c r="BE178" s="118">
        <f t="shared" si="386"/>
        <v>0</v>
      </c>
      <c r="BF178" s="119">
        <f t="shared" si="386"/>
        <v>0</v>
      </c>
      <c r="BG178" s="42">
        <f t="shared" si="386"/>
        <v>0</v>
      </c>
      <c r="BH178" s="120">
        <f t="shared" ref="BH178:BL182" si="387">+BG178</f>
        <v>0</v>
      </c>
      <c r="BI178" s="118">
        <f t="shared" si="387"/>
        <v>0</v>
      </c>
      <c r="BJ178" s="118">
        <f t="shared" si="387"/>
        <v>0</v>
      </c>
      <c r="BK178" s="119">
        <f t="shared" si="387"/>
        <v>0</v>
      </c>
      <c r="BL178" s="42">
        <f t="shared" si="387"/>
        <v>0</v>
      </c>
      <c r="BM178" s="120">
        <f t="shared" ref="BM178:BM182" si="388">+BL178</f>
        <v>0</v>
      </c>
      <c r="BN178" s="118">
        <f t="shared" ref="BN178:BN182" si="389">+BM178</f>
        <v>0</v>
      </c>
      <c r="BO178" s="118">
        <f t="shared" ref="BO178:BO182" si="390">+BN178</f>
        <v>0</v>
      </c>
      <c r="BP178" s="119">
        <f t="shared" ref="BP178:BP182" si="391">+BO178</f>
        <v>0</v>
      </c>
      <c r="BQ178" s="42">
        <f t="shared" ref="BQ178:BQ182" si="392">+BP178</f>
        <v>0</v>
      </c>
      <c r="BS178" s="846"/>
      <c r="BT178" s="525"/>
      <c r="BU178" s="525"/>
      <c r="BV178" s="525"/>
      <c r="BW178" s="575"/>
      <c r="BX178" s="575"/>
      <c r="BY178" s="525"/>
      <c r="BZ178" s="525"/>
      <c r="CA178" s="525"/>
    </row>
    <row r="179" spans="3:79" x14ac:dyDescent="0.2">
      <c r="C179" t="s">
        <v>208</v>
      </c>
      <c r="D179" s="42"/>
      <c r="E179" s="114">
        <v>0</v>
      </c>
      <c r="F179" s="115">
        <v>0</v>
      </c>
      <c r="G179" s="115">
        <v>0</v>
      </c>
      <c r="H179" s="119">
        <f>I179</f>
        <v>0</v>
      </c>
      <c r="I179" s="117">
        <v>0</v>
      </c>
      <c r="J179" s="114">
        <v>0</v>
      </c>
      <c r="K179" s="115">
        <v>0</v>
      </c>
      <c r="L179" s="115">
        <v>0</v>
      </c>
      <c r="M179" s="119">
        <f>N179</f>
        <v>0</v>
      </c>
      <c r="N179" s="117">
        <v>0</v>
      </c>
      <c r="O179" s="114">
        <v>0</v>
      </c>
      <c r="P179" s="115">
        <v>0</v>
      </c>
      <c r="Q179" s="115">
        <v>0</v>
      </c>
      <c r="R179" s="119">
        <f>S179</f>
        <v>0</v>
      </c>
      <c r="S179" s="117">
        <v>0</v>
      </c>
      <c r="T179" s="114">
        <v>0</v>
      </c>
      <c r="U179" s="115">
        <v>0</v>
      </c>
      <c r="V179" s="115">
        <v>0</v>
      </c>
      <c r="W179" s="119">
        <f>X179</f>
        <v>0</v>
      </c>
      <c r="X179" s="117">
        <v>0</v>
      </c>
      <c r="Y179" s="114">
        <v>0</v>
      </c>
      <c r="Z179" s="115">
        <v>0</v>
      </c>
      <c r="AA179" s="115">
        <v>0</v>
      </c>
      <c r="AB179" s="119">
        <f>AC179</f>
        <v>0</v>
      </c>
      <c r="AC179" s="117">
        <v>0</v>
      </c>
      <c r="AD179" s="114">
        <v>0</v>
      </c>
      <c r="AE179" s="115">
        <v>0</v>
      </c>
      <c r="AF179" s="115">
        <v>0</v>
      </c>
      <c r="AG179" s="119">
        <f>AH179</f>
        <v>0</v>
      </c>
      <c r="AH179" s="117">
        <v>0</v>
      </c>
      <c r="AI179" s="114">
        <v>0</v>
      </c>
      <c r="AJ179" s="115">
        <v>0</v>
      </c>
      <c r="AK179" s="115">
        <v>0</v>
      </c>
      <c r="AL179" s="119">
        <f>AM179</f>
        <v>0</v>
      </c>
      <c r="AM179" s="117">
        <v>0</v>
      </c>
      <c r="AN179" s="114">
        <v>0</v>
      </c>
      <c r="AO179" s="115">
        <v>0</v>
      </c>
      <c r="AP179" s="115">
        <v>0</v>
      </c>
      <c r="AQ179" s="119">
        <f>AR179</f>
        <v>0</v>
      </c>
      <c r="AR179" s="117">
        <v>0</v>
      </c>
      <c r="AS179" s="114">
        <v>0</v>
      </c>
      <c r="AT179" s="115">
        <v>0</v>
      </c>
      <c r="AU179" s="115">
        <v>0</v>
      </c>
      <c r="AV179" s="119">
        <f>AW179</f>
        <v>0</v>
      </c>
      <c r="AW179" s="117">
        <v>0</v>
      </c>
      <c r="AX179" s="120">
        <f t="shared" si="385"/>
        <v>0</v>
      </c>
      <c r="AY179" s="118">
        <f t="shared" si="385"/>
        <v>0</v>
      </c>
      <c r="AZ179" s="118">
        <f t="shared" si="385"/>
        <v>0</v>
      </c>
      <c r="BA179" s="119">
        <f t="shared" si="385"/>
        <v>0</v>
      </c>
      <c r="BB179" s="42">
        <f t="shared" si="385"/>
        <v>0</v>
      </c>
      <c r="BC179" s="120">
        <f t="shared" si="386"/>
        <v>0</v>
      </c>
      <c r="BD179" s="118">
        <f t="shared" si="386"/>
        <v>0</v>
      </c>
      <c r="BE179" s="118">
        <f t="shared" si="386"/>
        <v>0</v>
      </c>
      <c r="BF179" s="119">
        <f t="shared" si="386"/>
        <v>0</v>
      </c>
      <c r="BG179" s="42">
        <f t="shared" si="386"/>
        <v>0</v>
      </c>
      <c r="BH179" s="120">
        <f t="shared" si="387"/>
        <v>0</v>
      </c>
      <c r="BI179" s="118">
        <f t="shared" si="387"/>
        <v>0</v>
      </c>
      <c r="BJ179" s="118">
        <f t="shared" si="387"/>
        <v>0</v>
      </c>
      <c r="BK179" s="119">
        <f t="shared" si="387"/>
        <v>0</v>
      </c>
      <c r="BL179" s="42">
        <f t="shared" si="387"/>
        <v>0</v>
      </c>
      <c r="BM179" s="120">
        <f t="shared" si="388"/>
        <v>0</v>
      </c>
      <c r="BN179" s="118">
        <f t="shared" si="389"/>
        <v>0</v>
      </c>
      <c r="BO179" s="118">
        <f t="shared" si="390"/>
        <v>0</v>
      </c>
      <c r="BP179" s="119">
        <f t="shared" si="391"/>
        <v>0</v>
      </c>
      <c r="BQ179" s="42">
        <f t="shared" si="392"/>
        <v>0</v>
      </c>
      <c r="BS179" s="846"/>
      <c r="BT179" s="525"/>
      <c r="BU179" s="525"/>
      <c r="BV179" s="525"/>
      <c r="BW179" s="575"/>
      <c r="BX179" s="575"/>
      <c r="BY179" s="525"/>
      <c r="BZ179" s="525"/>
      <c r="CA179" s="525"/>
    </row>
    <row r="180" spans="3:79" x14ac:dyDescent="0.2">
      <c r="C180" t="s">
        <v>209</v>
      </c>
      <c r="D180" s="42"/>
      <c r="E180" s="114">
        <v>2349.5059999999999</v>
      </c>
      <c r="F180" s="115">
        <v>2307.931</v>
      </c>
      <c r="G180" s="115">
        <v>2216.473</v>
      </c>
      <c r="H180" s="116">
        <f>I180</f>
        <v>1987.3689999999999</v>
      </c>
      <c r="I180" s="117">
        <v>1987.3689999999999</v>
      </c>
      <c r="J180" s="114">
        <v>2259.8440000000001</v>
      </c>
      <c r="K180" s="115">
        <v>2297.4850000000001</v>
      </c>
      <c r="L180" s="115">
        <v>2324.7440000000001</v>
      </c>
      <c r="M180" s="116">
        <f>N180</f>
        <v>2151.46</v>
      </c>
      <c r="N180" s="117">
        <v>2151.46</v>
      </c>
      <c r="O180" s="114">
        <v>2186.9670000000001</v>
      </c>
      <c r="P180" s="115">
        <v>2160.7800000000002</v>
      </c>
      <c r="Q180" s="115">
        <v>2224.509</v>
      </c>
      <c r="R180" s="116">
        <f>S180</f>
        <v>2389.0079999999998</v>
      </c>
      <c r="S180" s="117">
        <v>2389.0079999999998</v>
      </c>
      <c r="T180" s="114">
        <v>2361.6480000000001</v>
      </c>
      <c r="U180" s="115">
        <v>2359.0970000000002</v>
      </c>
      <c r="V180" s="115">
        <v>2367.431</v>
      </c>
      <c r="W180" s="116">
        <f>X180</f>
        <v>2762.029</v>
      </c>
      <c r="X180" s="117">
        <v>2762.029</v>
      </c>
      <c r="Y180" s="114">
        <v>2711.8809999999999</v>
      </c>
      <c r="Z180" s="115">
        <v>2727.21</v>
      </c>
      <c r="AA180" s="115">
        <v>2709.2829999999999</v>
      </c>
      <c r="AB180" s="116">
        <f>AC180</f>
        <v>2509.2179999999998</v>
      </c>
      <c r="AC180" s="117">
        <v>2509.2179999999998</v>
      </c>
      <c r="AD180" s="114">
        <v>2497.2800000000002</v>
      </c>
      <c r="AE180" s="115">
        <v>2451.558</v>
      </c>
      <c r="AF180" s="115">
        <v>2488.58</v>
      </c>
      <c r="AG180" s="116">
        <f>AH180</f>
        <v>2774.2159999999999</v>
      </c>
      <c r="AH180" s="117">
        <v>2774.2159999999999</v>
      </c>
      <c r="AI180" s="114">
        <v>2760.5219999999999</v>
      </c>
      <c r="AJ180" s="115">
        <v>2759.8919999999998</v>
      </c>
      <c r="AK180" s="115">
        <v>2812.172</v>
      </c>
      <c r="AL180" s="116">
        <f>AM180</f>
        <v>2858.741</v>
      </c>
      <c r="AM180" s="117">
        <v>2858.741</v>
      </c>
      <c r="AN180" s="114">
        <v>2897.502</v>
      </c>
      <c r="AO180" s="115">
        <v>2886.25</v>
      </c>
      <c r="AP180" s="115">
        <v>2874.3510000000001</v>
      </c>
      <c r="AQ180" s="116">
        <f>AR180</f>
        <v>3080.8670000000002</v>
      </c>
      <c r="AR180" s="117">
        <v>3080.8670000000002</v>
      </c>
      <c r="AS180" s="114">
        <v>3009.8249999999998</v>
      </c>
      <c r="AT180" s="115">
        <v>3023.1280000000002</v>
      </c>
      <c r="AU180" s="115">
        <v>3011.462</v>
      </c>
      <c r="AV180" s="116">
        <f>AW180</f>
        <v>3005</v>
      </c>
      <c r="AW180" s="117">
        <v>3005</v>
      </c>
      <c r="AX180" s="120">
        <f t="shared" si="385"/>
        <v>3005</v>
      </c>
      <c r="AY180" s="118">
        <f t="shared" si="385"/>
        <v>3005</v>
      </c>
      <c r="AZ180" s="118">
        <f t="shared" si="385"/>
        <v>3005</v>
      </c>
      <c r="BA180" s="119">
        <f t="shared" si="385"/>
        <v>3005</v>
      </c>
      <c r="BB180" s="42">
        <f t="shared" si="385"/>
        <v>3005</v>
      </c>
      <c r="BC180" s="120">
        <f t="shared" si="386"/>
        <v>3005</v>
      </c>
      <c r="BD180" s="118">
        <f t="shared" si="386"/>
        <v>3005</v>
      </c>
      <c r="BE180" s="118">
        <f t="shared" si="386"/>
        <v>3005</v>
      </c>
      <c r="BF180" s="119">
        <f t="shared" si="386"/>
        <v>3005</v>
      </c>
      <c r="BG180" s="42">
        <f t="shared" si="386"/>
        <v>3005</v>
      </c>
      <c r="BH180" s="120">
        <f t="shared" si="387"/>
        <v>3005</v>
      </c>
      <c r="BI180" s="118">
        <f t="shared" si="387"/>
        <v>3005</v>
      </c>
      <c r="BJ180" s="118">
        <f t="shared" si="387"/>
        <v>3005</v>
      </c>
      <c r="BK180" s="119">
        <f t="shared" si="387"/>
        <v>3005</v>
      </c>
      <c r="BL180" s="42">
        <f t="shared" si="387"/>
        <v>3005</v>
      </c>
      <c r="BM180" s="120">
        <f t="shared" si="388"/>
        <v>3005</v>
      </c>
      <c r="BN180" s="118">
        <f t="shared" si="389"/>
        <v>3005</v>
      </c>
      <c r="BO180" s="118">
        <f t="shared" si="390"/>
        <v>3005</v>
      </c>
      <c r="BP180" s="119">
        <f t="shared" si="391"/>
        <v>3005</v>
      </c>
      <c r="BQ180" s="42">
        <f t="shared" si="392"/>
        <v>3005</v>
      </c>
      <c r="BS180" s="846"/>
      <c r="BT180" s="525"/>
      <c r="BU180" s="525"/>
      <c r="BV180" s="525"/>
      <c r="BW180" s="575"/>
      <c r="BX180" s="575"/>
      <c r="BY180" s="525"/>
      <c r="BZ180" s="525"/>
      <c r="CA180" s="525"/>
    </row>
    <row r="181" spans="3:79" x14ac:dyDescent="0.2">
      <c r="C181" t="s">
        <v>210</v>
      </c>
      <c r="D181" s="42"/>
      <c r="E181" s="114">
        <v>0</v>
      </c>
      <c r="F181" s="115">
        <v>0</v>
      </c>
      <c r="G181" s="115">
        <v>0</v>
      </c>
      <c r="H181" s="116">
        <f>I181</f>
        <v>0</v>
      </c>
      <c r="I181" s="117">
        <v>0</v>
      </c>
      <c r="J181" s="114">
        <v>0</v>
      </c>
      <c r="K181" s="115">
        <v>0</v>
      </c>
      <c r="L181" s="115">
        <v>0</v>
      </c>
      <c r="M181" s="116">
        <f>N181</f>
        <v>0</v>
      </c>
      <c r="N181" s="117">
        <v>0</v>
      </c>
      <c r="O181" s="114">
        <v>0</v>
      </c>
      <c r="P181" s="115">
        <v>0</v>
      </c>
      <c r="Q181" s="115">
        <v>0</v>
      </c>
      <c r="R181" s="116">
        <f>S181</f>
        <v>0</v>
      </c>
      <c r="S181" s="117">
        <v>0</v>
      </c>
      <c r="T181" s="114">
        <v>0</v>
      </c>
      <c r="U181" s="115">
        <v>0</v>
      </c>
      <c r="V181" s="115">
        <v>0</v>
      </c>
      <c r="W181" s="116">
        <f>X181</f>
        <v>0</v>
      </c>
      <c r="X181" s="117">
        <v>0</v>
      </c>
      <c r="Y181" s="114">
        <v>0</v>
      </c>
      <c r="Z181" s="115">
        <v>0</v>
      </c>
      <c r="AA181" s="115">
        <v>0</v>
      </c>
      <c r="AB181" s="116">
        <f>AC181</f>
        <v>0</v>
      </c>
      <c r="AC181" s="117">
        <v>0</v>
      </c>
      <c r="AD181" s="114">
        <v>0</v>
      </c>
      <c r="AE181" s="115">
        <v>0</v>
      </c>
      <c r="AF181" s="115">
        <v>0</v>
      </c>
      <c r="AG181" s="116">
        <f>AH181</f>
        <v>0</v>
      </c>
      <c r="AH181" s="117">
        <v>0</v>
      </c>
      <c r="AI181" s="114">
        <v>0</v>
      </c>
      <c r="AJ181" s="115">
        <v>0</v>
      </c>
      <c r="AK181" s="115">
        <v>0</v>
      </c>
      <c r="AL181" s="116">
        <f>AM181</f>
        <v>0</v>
      </c>
      <c r="AM181" s="117">
        <v>0</v>
      </c>
      <c r="AN181" s="114">
        <v>0</v>
      </c>
      <c r="AO181" s="115">
        <v>0</v>
      </c>
      <c r="AP181" s="115">
        <v>0</v>
      </c>
      <c r="AQ181" s="116">
        <f>AR181</f>
        <v>0</v>
      </c>
      <c r="AR181" s="117">
        <v>0</v>
      </c>
      <c r="AS181" s="114">
        <v>0</v>
      </c>
      <c r="AT181" s="115">
        <v>0</v>
      </c>
      <c r="AU181" s="115">
        <v>0</v>
      </c>
      <c r="AV181" s="116">
        <f>AW181</f>
        <v>0</v>
      </c>
      <c r="AW181" s="117">
        <v>0</v>
      </c>
      <c r="AX181" s="120">
        <f t="shared" si="385"/>
        <v>0</v>
      </c>
      <c r="AY181" s="118">
        <f t="shared" si="385"/>
        <v>0</v>
      </c>
      <c r="AZ181" s="118">
        <f t="shared" si="385"/>
        <v>0</v>
      </c>
      <c r="BA181" s="119">
        <f t="shared" si="385"/>
        <v>0</v>
      </c>
      <c r="BB181" s="42">
        <f t="shared" si="385"/>
        <v>0</v>
      </c>
      <c r="BC181" s="120">
        <f t="shared" si="386"/>
        <v>0</v>
      </c>
      <c r="BD181" s="118">
        <f t="shared" si="386"/>
        <v>0</v>
      </c>
      <c r="BE181" s="118">
        <f t="shared" si="386"/>
        <v>0</v>
      </c>
      <c r="BF181" s="119">
        <f t="shared" si="386"/>
        <v>0</v>
      </c>
      <c r="BG181" s="42">
        <f t="shared" si="386"/>
        <v>0</v>
      </c>
      <c r="BH181" s="120">
        <f t="shared" si="387"/>
        <v>0</v>
      </c>
      <c r="BI181" s="118">
        <f t="shared" si="387"/>
        <v>0</v>
      </c>
      <c r="BJ181" s="118">
        <f t="shared" si="387"/>
        <v>0</v>
      </c>
      <c r="BK181" s="119">
        <f t="shared" si="387"/>
        <v>0</v>
      </c>
      <c r="BL181" s="42">
        <f t="shared" si="387"/>
        <v>0</v>
      </c>
      <c r="BM181" s="120">
        <f t="shared" si="388"/>
        <v>0</v>
      </c>
      <c r="BN181" s="118">
        <f t="shared" si="389"/>
        <v>0</v>
      </c>
      <c r="BO181" s="118">
        <f t="shared" si="390"/>
        <v>0</v>
      </c>
      <c r="BP181" s="119">
        <f t="shared" si="391"/>
        <v>0</v>
      </c>
      <c r="BQ181" s="42">
        <f t="shared" si="392"/>
        <v>0</v>
      </c>
      <c r="BS181" s="846"/>
      <c r="BT181" s="525"/>
      <c r="BU181" s="525"/>
      <c r="BV181" s="525"/>
      <c r="BW181" s="575"/>
      <c r="BX181" s="575"/>
      <c r="BY181" s="525"/>
      <c r="BZ181" s="525"/>
      <c r="CA181" s="525"/>
    </row>
    <row r="182" spans="3:79" x14ac:dyDescent="0.2">
      <c r="C182" t="s">
        <v>211</v>
      </c>
      <c r="D182" s="42"/>
      <c r="E182" s="114">
        <f>1179.246+18.154+325.458+154.355+201.756</f>
        <v>1878.9690000000003</v>
      </c>
      <c r="F182" s="115">
        <f>1317.097+310.241+136.817+155.377</f>
        <v>1919.5319999999999</v>
      </c>
      <c r="G182" s="115">
        <f>1365.601+308.768+154.486+130.291</f>
        <v>1959.146</v>
      </c>
      <c r="H182" s="116">
        <f>I182</f>
        <v>1833.6610000000001</v>
      </c>
      <c r="I182" s="117">
        <f>1381.835+289.53+162.296</f>
        <v>1833.6610000000001</v>
      </c>
      <c r="J182" s="114">
        <f>1418.665+275.124+147.531+144.502</f>
        <v>1985.8219999999999</v>
      </c>
      <c r="K182" s="115">
        <f>1376.601+260.094+151.714+139.177</f>
        <v>1927.586</v>
      </c>
      <c r="L182" s="115">
        <f>1443.3+261.748+162.473+134.847</f>
        <v>2002.3679999999999</v>
      </c>
      <c r="M182" s="116">
        <f>N182</f>
        <v>1840.5050000000001</v>
      </c>
      <c r="N182" s="117">
        <f>1476.435+184.026+180.044</f>
        <v>1840.5050000000001</v>
      </c>
      <c r="O182" s="114">
        <f>1511.278+177.469+168.473</f>
        <v>1857.22</v>
      </c>
      <c r="P182" s="115">
        <f>1517.058+169.067+163.817</f>
        <v>1849.942</v>
      </c>
      <c r="Q182" s="115">
        <f>1399.527+158.362+164.495</f>
        <v>1722.384</v>
      </c>
      <c r="R182" s="116">
        <f>S182</f>
        <v>1772.328</v>
      </c>
      <c r="S182" s="117">
        <f>1463.515+152.887+155.926</f>
        <v>1772.328</v>
      </c>
      <c r="T182" s="114">
        <f>1537.49+146.438+192.157</f>
        <v>1876.0849999999998</v>
      </c>
      <c r="U182" s="115">
        <f>1522.203+137.015+193.566</f>
        <v>1852.7839999999999</v>
      </c>
      <c r="V182" s="115">
        <f>1578.381+135.739+203.506</f>
        <v>1917.6260000000002</v>
      </c>
      <c r="W182" s="116">
        <f>X182</f>
        <v>1944.17</v>
      </c>
      <c r="X182" s="117">
        <f>1617.865+126.297+200.008</f>
        <v>1944.17</v>
      </c>
      <c r="Y182" s="114">
        <f>1663.648+111.168+177.076</f>
        <v>1951.8919999999998</v>
      </c>
      <c r="Z182" s="115">
        <f>1622.978+100.313+184.15</f>
        <v>1907.4410000000003</v>
      </c>
      <c r="AA182" s="115">
        <f>1679.987+95.894+178.169</f>
        <v>1954.0500000000002</v>
      </c>
      <c r="AB182" s="116">
        <f>AC182</f>
        <v>2058.0730000000003</v>
      </c>
      <c r="AC182" s="117">
        <f>1755.99+84.842+217.241</f>
        <v>2058.0730000000003</v>
      </c>
      <c r="AD182" s="114">
        <f>1793.067+67.513+170.064</f>
        <v>2030.644</v>
      </c>
      <c r="AE182" s="115">
        <f>1838.648+59.732+173.509</f>
        <v>2071.8889999999997</v>
      </c>
      <c r="AF182" s="115">
        <f>1816.962+53.577+177.365</f>
        <v>2047.904</v>
      </c>
      <c r="AG182" s="116">
        <f>AH182</f>
        <v>2062.3720000000003</v>
      </c>
      <c r="AH182" s="117">
        <f>1832.64+53.775+175.957</f>
        <v>2062.3720000000003</v>
      </c>
      <c r="AI182" s="114">
        <f>1867.425+51.739+174.608</f>
        <v>2093.7719999999999</v>
      </c>
      <c r="AJ182" s="115">
        <f>1880.153+53.306+176.172</f>
        <v>2109.6309999999999</v>
      </c>
      <c r="AK182" s="115">
        <f>1807.692+54.743+182.058</f>
        <v>2044.4929999999999</v>
      </c>
      <c r="AL182" s="116">
        <f>AM182</f>
        <v>2078.498</v>
      </c>
      <c r="AM182" s="117">
        <f>1902.995+51.083+124.42</f>
        <v>2078.498</v>
      </c>
      <c r="AN182" s="114">
        <f>1917.709+55.612+32.998</f>
        <v>2006.3190000000002</v>
      </c>
      <c r="AO182" s="115">
        <f>1987.474+50.644+38.415</f>
        <v>2076.5329999999999</v>
      </c>
      <c r="AP182" s="115">
        <f>2048.455+51.369+67.716</f>
        <v>2167.54</v>
      </c>
      <c r="AQ182" s="116">
        <f>AR182</f>
        <v>2390.5790000000002</v>
      </c>
      <c r="AR182" s="117">
        <f>2091.858+50.189+248.532</f>
        <v>2390.5790000000002</v>
      </c>
      <c r="AS182" s="114">
        <f>2187.946+48.681+247.351</f>
        <v>2483.9780000000001</v>
      </c>
      <c r="AT182" s="115">
        <f>2231.588+50.41+255.47</f>
        <v>2537.4679999999998</v>
      </c>
      <c r="AU182" s="115">
        <f>2300.265+49.124+259.117</f>
        <v>2608.5059999999999</v>
      </c>
      <c r="AV182" s="116">
        <f>AW182</f>
        <v>2723</v>
      </c>
      <c r="AW182" s="117">
        <f>2397+48+278</f>
        <v>2723</v>
      </c>
      <c r="AX182" s="120">
        <f t="shared" si="385"/>
        <v>2723</v>
      </c>
      <c r="AY182" s="118">
        <f t="shared" si="385"/>
        <v>2723</v>
      </c>
      <c r="AZ182" s="118">
        <f t="shared" si="385"/>
        <v>2723</v>
      </c>
      <c r="BA182" s="119">
        <f t="shared" si="385"/>
        <v>2723</v>
      </c>
      <c r="BB182" s="42">
        <f t="shared" si="385"/>
        <v>2723</v>
      </c>
      <c r="BC182" s="120">
        <f t="shared" si="386"/>
        <v>2723</v>
      </c>
      <c r="BD182" s="118">
        <f t="shared" si="386"/>
        <v>2723</v>
      </c>
      <c r="BE182" s="118">
        <f t="shared" si="386"/>
        <v>2723</v>
      </c>
      <c r="BF182" s="119">
        <f t="shared" si="386"/>
        <v>2723</v>
      </c>
      <c r="BG182" s="42">
        <f t="shared" si="386"/>
        <v>2723</v>
      </c>
      <c r="BH182" s="120">
        <f t="shared" si="387"/>
        <v>2723</v>
      </c>
      <c r="BI182" s="118">
        <f t="shared" si="387"/>
        <v>2723</v>
      </c>
      <c r="BJ182" s="118">
        <f t="shared" si="387"/>
        <v>2723</v>
      </c>
      <c r="BK182" s="119">
        <f t="shared" si="387"/>
        <v>2723</v>
      </c>
      <c r="BL182" s="42">
        <f t="shared" si="387"/>
        <v>2723</v>
      </c>
      <c r="BM182" s="120">
        <f t="shared" si="388"/>
        <v>2723</v>
      </c>
      <c r="BN182" s="118">
        <f t="shared" si="389"/>
        <v>2723</v>
      </c>
      <c r="BO182" s="118">
        <f t="shared" si="390"/>
        <v>2723</v>
      </c>
      <c r="BP182" s="119">
        <f t="shared" si="391"/>
        <v>2723</v>
      </c>
      <c r="BQ182" s="42">
        <f t="shared" si="392"/>
        <v>2723</v>
      </c>
      <c r="BS182" s="846"/>
      <c r="BT182" s="525"/>
      <c r="BU182" s="525"/>
      <c r="BV182" s="525"/>
      <c r="BW182" s="575"/>
      <c r="BX182" s="575"/>
      <c r="BY182" s="525"/>
      <c r="BZ182" s="525"/>
      <c r="CA182" s="525"/>
    </row>
    <row r="183" spans="3:79" x14ac:dyDescent="0.2">
      <c r="C183" s="26" t="s">
        <v>212</v>
      </c>
      <c r="D183" s="42"/>
      <c r="E183" s="121">
        <f t="shared" ref="E183:AA183" si="393">SUM(E178:E182)</f>
        <v>4228.4750000000004</v>
      </c>
      <c r="F183" s="122">
        <f t="shared" si="393"/>
        <v>4227.4629999999997</v>
      </c>
      <c r="G183" s="122">
        <f t="shared" si="393"/>
        <v>4175.6189999999997</v>
      </c>
      <c r="H183" s="123">
        <f t="shared" si="393"/>
        <v>3821.0299999999997</v>
      </c>
      <c r="I183" s="86">
        <f t="shared" si="393"/>
        <v>3821.0299999999997</v>
      </c>
      <c r="J183" s="121">
        <f t="shared" si="393"/>
        <v>4245.6660000000002</v>
      </c>
      <c r="K183" s="122">
        <f t="shared" si="393"/>
        <v>4225.0709999999999</v>
      </c>
      <c r="L183" s="122">
        <f t="shared" si="393"/>
        <v>4327.1120000000001</v>
      </c>
      <c r="M183" s="123">
        <f t="shared" si="393"/>
        <v>3991.9650000000001</v>
      </c>
      <c r="N183" s="86">
        <f t="shared" si="393"/>
        <v>3991.9650000000001</v>
      </c>
      <c r="O183" s="121">
        <f t="shared" si="393"/>
        <v>4044.1869999999999</v>
      </c>
      <c r="P183" s="122">
        <f t="shared" si="393"/>
        <v>4010.7220000000002</v>
      </c>
      <c r="Q183" s="122">
        <f t="shared" si="393"/>
        <v>3946.893</v>
      </c>
      <c r="R183" s="123">
        <f t="shared" si="393"/>
        <v>4161.3359999999993</v>
      </c>
      <c r="S183" s="86">
        <f t="shared" si="393"/>
        <v>4161.3359999999993</v>
      </c>
      <c r="T183" s="121">
        <f t="shared" si="393"/>
        <v>4237.7330000000002</v>
      </c>
      <c r="U183" s="122">
        <f t="shared" si="393"/>
        <v>4211.8810000000003</v>
      </c>
      <c r="V183" s="122">
        <f t="shared" si="393"/>
        <v>4285.0570000000007</v>
      </c>
      <c r="W183" s="123">
        <f>SUM(W178:W182)</f>
        <v>4706.1990000000005</v>
      </c>
      <c r="X183" s="86">
        <f>SUM(X178:X182)</f>
        <v>4706.1990000000005</v>
      </c>
      <c r="Y183" s="121">
        <f>SUM(Y178:Y182)</f>
        <v>4663.7729999999992</v>
      </c>
      <c r="Z183" s="122">
        <f t="shared" si="393"/>
        <v>4634.6509999999998</v>
      </c>
      <c r="AA183" s="122">
        <f t="shared" si="393"/>
        <v>4663.3330000000005</v>
      </c>
      <c r="AB183" s="123">
        <f t="shared" ref="AB183:AJ183" si="394">SUM(AB178:AB182)</f>
        <v>4567.2910000000002</v>
      </c>
      <c r="AC183" s="86">
        <f t="shared" si="394"/>
        <v>4567.2910000000002</v>
      </c>
      <c r="AD183" s="121">
        <f t="shared" si="394"/>
        <v>4527.924</v>
      </c>
      <c r="AE183" s="122">
        <f t="shared" si="394"/>
        <v>4523.4470000000001</v>
      </c>
      <c r="AF183" s="122">
        <f t="shared" si="394"/>
        <v>4536.4840000000004</v>
      </c>
      <c r="AG183" s="123">
        <f t="shared" si="394"/>
        <v>4836.5879999999997</v>
      </c>
      <c r="AH183" s="86">
        <f t="shared" si="394"/>
        <v>4836.5879999999997</v>
      </c>
      <c r="AI183" s="121">
        <f t="shared" si="394"/>
        <v>4854.2939999999999</v>
      </c>
      <c r="AJ183" s="122">
        <f t="shared" si="394"/>
        <v>4869.5229999999992</v>
      </c>
      <c r="AK183" s="122">
        <f>SUM(AK178:AK182)</f>
        <v>4856.665</v>
      </c>
      <c r="AL183" s="123">
        <f>SUM(AL178:AL182)</f>
        <v>4937.2389999999996</v>
      </c>
      <c r="AM183" s="86">
        <f>SUM(AM178:AM182)</f>
        <v>4937.2389999999996</v>
      </c>
      <c r="AN183" s="121">
        <f>SUM(AN178:AN182)</f>
        <v>4903.8209999999999</v>
      </c>
      <c r="AO183" s="122">
        <f>SUM(AO178:AO182)</f>
        <v>4962.7829999999994</v>
      </c>
      <c r="AP183" s="122">
        <f t="shared" ref="AP183:AU183" si="395">SUM(AP178:AP182)</f>
        <v>5041.8909999999996</v>
      </c>
      <c r="AQ183" s="123">
        <f>SUM(AQ178:AQ182)</f>
        <v>5471.4459999999999</v>
      </c>
      <c r="AR183" s="86">
        <f>SUM(AR178:AR182)</f>
        <v>5471.4459999999999</v>
      </c>
      <c r="AS183" s="121">
        <f>SUM(AS178:AS182)</f>
        <v>5493.8029999999999</v>
      </c>
      <c r="AT183" s="122">
        <f>SUM(AT178:AT182)</f>
        <v>5560.5959999999995</v>
      </c>
      <c r="AU183" s="122">
        <f t="shared" si="395"/>
        <v>5619.9679999999998</v>
      </c>
      <c r="AV183" s="123">
        <f>SUM(AV178:AV182)</f>
        <v>5728</v>
      </c>
      <c r="AW183" s="86">
        <f>SUM(AW178:AW182)</f>
        <v>5728</v>
      </c>
      <c r="AX183" s="121">
        <f t="shared" ref="AX183:BG183" si="396">SUM(AX178:AX182)</f>
        <v>5728</v>
      </c>
      <c r="AY183" s="122">
        <f t="shared" si="396"/>
        <v>5728</v>
      </c>
      <c r="AZ183" s="122">
        <f t="shared" si="396"/>
        <v>5728</v>
      </c>
      <c r="BA183" s="123">
        <f t="shared" si="396"/>
        <v>5728</v>
      </c>
      <c r="BB183" s="86">
        <f t="shared" si="396"/>
        <v>5728</v>
      </c>
      <c r="BC183" s="121">
        <f t="shared" si="396"/>
        <v>5728</v>
      </c>
      <c r="BD183" s="122">
        <f t="shared" si="396"/>
        <v>5728</v>
      </c>
      <c r="BE183" s="122">
        <f t="shared" si="396"/>
        <v>5728</v>
      </c>
      <c r="BF183" s="123">
        <f t="shared" si="396"/>
        <v>5728</v>
      </c>
      <c r="BG183" s="86">
        <f t="shared" si="396"/>
        <v>5728</v>
      </c>
      <c r="BH183" s="121">
        <f t="shared" ref="BH183:BQ183" si="397">SUM(BH178:BH182)</f>
        <v>5728</v>
      </c>
      <c r="BI183" s="122">
        <f t="shared" si="397"/>
        <v>5728</v>
      </c>
      <c r="BJ183" s="122">
        <f t="shared" si="397"/>
        <v>5728</v>
      </c>
      <c r="BK183" s="123">
        <f t="shared" si="397"/>
        <v>5728</v>
      </c>
      <c r="BL183" s="86">
        <f t="shared" si="397"/>
        <v>5728</v>
      </c>
      <c r="BM183" s="121">
        <f t="shared" si="397"/>
        <v>5728</v>
      </c>
      <c r="BN183" s="122">
        <f t="shared" si="397"/>
        <v>5728</v>
      </c>
      <c r="BO183" s="122">
        <f t="shared" si="397"/>
        <v>5728</v>
      </c>
      <c r="BP183" s="123">
        <f t="shared" si="397"/>
        <v>5728</v>
      </c>
      <c r="BQ183" s="86">
        <f t="shared" si="397"/>
        <v>5728</v>
      </c>
      <c r="BT183" s="525"/>
      <c r="BU183" s="525"/>
      <c r="BV183" s="525"/>
      <c r="BW183" s="575"/>
      <c r="BX183" s="575"/>
      <c r="BY183" s="525"/>
      <c r="BZ183" s="525"/>
      <c r="CA183" s="525"/>
    </row>
    <row r="184" spans="3:79" x14ac:dyDescent="0.2">
      <c r="D184" s="42"/>
      <c r="E184" s="230"/>
      <c r="F184" s="231"/>
      <c r="G184" s="231"/>
      <c r="H184" s="232"/>
      <c r="I184" s="42"/>
      <c r="J184" s="230"/>
      <c r="K184" s="231"/>
      <c r="L184" s="231"/>
      <c r="M184" s="232"/>
      <c r="N184" s="42"/>
      <c r="O184" s="230"/>
      <c r="P184" s="231"/>
      <c r="Q184" s="231"/>
      <c r="R184" s="232"/>
      <c r="S184" s="42"/>
      <c r="T184" s="230"/>
      <c r="U184" s="231"/>
      <c r="V184" s="231"/>
      <c r="W184" s="232"/>
      <c r="X184" s="42"/>
      <c r="Y184" s="230"/>
      <c r="Z184" s="231"/>
      <c r="AA184" s="231"/>
      <c r="AB184" s="232"/>
      <c r="AC184" s="42"/>
      <c r="AD184" s="230"/>
      <c r="AE184" s="231"/>
      <c r="AF184" s="231"/>
      <c r="AG184" s="232"/>
      <c r="AH184" s="42"/>
      <c r="AI184" s="230"/>
      <c r="AJ184" s="231"/>
      <c r="AK184" s="231"/>
      <c r="AL184" s="232"/>
      <c r="AM184" s="42"/>
      <c r="AN184" s="230"/>
      <c r="AO184" s="231"/>
      <c r="AP184" s="231"/>
      <c r="AQ184" s="232"/>
      <c r="AR184" s="42"/>
      <c r="AS184" s="230"/>
      <c r="AT184" s="231"/>
      <c r="AU184" s="231"/>
      <c r="AV184" s="232"/>
      <c r="AW184" s="42"/>
      <c r="AX184" s="230"/>
      <c r="AY184" s="231"/>
      <c r="AZ184" s="231"/>
      <c r="BA184" s="232"/>
      <c r="BB184" s="233"/>
      <c r="BC184" s="230"/>
      <c r="BD184" s="231"/>
      <c r="BE184" s="231"/>
      <c r="BF184" s="232"/>
      <c r="BG184" s="233"/>
      <c r="BH184" s="230"/>
      <c r="BI184" s="231"/>
      <c r="BJ184" s="231"/>
      <c r="BK184" s="232"/>
      <c r="BL184" s="233"/>
      <c r="BM184" s="230"/>
      <c r="BN184" s="231"/>
      <c r="BO184" s="231"/>
      <c r="BP184" s="232"/>
      <c r="BQ184" s="233"/>
      <c r="BT184" s="525"/>
      <c r="BU184" s="525"/>
      <c r="BV184" s="525"/>
      <c r="BW184" s="575"/>
      <c r="BX184" s="575"/>
      <c r="BY184" s="525"/>
      <c r="BZ184" s="525"/>
      <c r="CA184" s="525"/>
    </row>
    <row r="185" spans="3:79" x14ac:dyDescent="0.2">
      <c r="C185" s="26" t="s">
        <v>213</v>
      </c>
      <c r="D185" s="42"/>
      <c r="E185" s="121">
        <f t="shared" ref="E185:L185" si="398">SUM(E183,E176,E170)</f>
        <v>24628.261000000002</v>
      </c>
      <c r="F185" s="122">
        <f t="shared" si="398"/>
        <v>24987.250999999997</v>
      </c>
      <c r="G185" s="122">
        <f t="shared" si="398"/>
        <v>25081.208000000002</v>
      </c>
      <c r="H185" s="123">
        <f t="shared" si="398"/>
        <v>25305.961000000003</v>
      </c>
      <c r="I185" s="86">
        <f t="shared" si="398"/>
        <v>25305.961000000003</v>
      </c>
      <c r="J185" s="121">
        <f t="shared" si="398"/>
        <v>25334.500999999997</v>
      </c>
      <c r="K185" s="122">
        <f t="shared" si="398"/>
        <v>25563.212000000003</v>
      </c>
      <c r="L185" s="122">
        <f t="shared" si="398"/>
        <v>26301.466</v>
      </c>
      <c r="M185" s="123">
        <f>N185</f>
        <v>27387.69</v>
      </c>
      <c r="N185" s="86">
        <f>SUM(N183,N176,N170)</f>
        <v>27387.69</v>
      </c>
      <c r="O185" s="121">
        <f>SUM(O183,O176,O170)</f>
        <v>27466.649000000005</v>
      </c>
      <c r="P185" s="122">
        <f>SUM(P183,P176,P170)</f>
        <v>28003.224000000002</v>
      </c>
      <c r="Q185" s="122">
        <f>SUM(Q183,Q176,Q170)</f>
        <v>28537.853999999999</v>
      </c>
      <c r="R185" s="123">
        <f>S185</f>
        <v>29497.267</v>
      </c>
      <c r="S185" s="86">
        <f>SUM(S183,S176,S170)</f>
        <v>29497.267</v>
      </c>
      <c r="T185" s="121">
        <f>SUM(T183,T176,T170)</f>
        <v>29453.253000000001</v>
      </c>
      <c r="U185" s="122">
        <f>+U183+U176+U170</f>
        <v>29820.142999999996</v>
      </c>
      <c r="V185" s="122">
        <f>+V183+V176+V170</f>
        <v>31057.497999999996</v>
      </c>
      <c r="W185" s="123">
        <f>X185</f>
        <v>31140.686000000002</v>
      </c>
      <c r="X185" s="86">
        <f>SUM(X183,X176,X170)</f>
        <v>31140.686000000002</v>
      </c>
      <c r="Y185" s="121">
        <f>SUM(Y183,Y176,Y170)</f>
        <v>31587.674999999992</v>
      </c>
      <c r="Z185" s="122">
        <f>+Z183+Z176+Z170</f>
        <v>32266.261999999999</v>
      </c>
      <c r="AA185" s="122">
        <f>+AA183+AA176+AA170</f>
        <v>33126.652000000002</v>
      </c>
      <c r="AB185" s="123">
        <f>AC185</f>
        <v>33907.490000000005</v>
      </c>
      <c r="AC185" s="86">
        <f>SUM(AC183,AC176,AC170)</f>
        <v>33907.490000000005</v>
      </c>
      <c r="AD185" s="121">
        <f>SUM(AD183,AD176,AD170)</f>
        <v>34198.752</v>
      </c>
      <c r="AE185" s="122">
        <f>SUM(AE183,AE176,AE170)</f>
        <v>34717.644</v>
      </c>
      <c r="AF185" s="122">
        <f>SUM(AF183,AF176,AF170)</f>
        <v>35363.440999999992</v>
      </c>
      <c r="AG185" s="123">
        <f>AH185</f>
        <v>36957.883999999998</v>
      </c>
      <c r="AH185" s="86">
        <f>SUM(AH183,AH176,AH170)</f>
        <v>36957.883999999998</v>
      </c>
      <c r="AI185" s="121">
        <f>SUM(AI183,AI176,AI170)</f>
        <v>36878.650999999998</v>
      </c>
      <c r="AJ185" s="122">
        <f>SUM(AJ183,AJ176,AJ170)</f>
        <v>37268.808999999994</v>
      </c>
      <c r="AK185" s="122">
        <f>SUM(AK183,AK176,AK170)</f>
        <v>38029.696000000004</v>
      </c>
      <c r="AL185" s="123">
        <f>AM185</f>
        <v>39053.535000000011</v>
      </c>
      <c r="AM185" s="86">
        <f>SUM(AM183,AM176,AM170)</f>
        <v>39053.535000000011</v>
      </c>
      <c r="AN185" s="121">
        <f>SUM(AN183,AN176,AN170)</f>
        <v>39069.843999999997</v>
      </c>
      <c r="AO185" s="122">
        <f>SUM(AO183,AO176,AO170)</f>
        <v>39490.164000000004</v>
      </c>
      <c r="AP185" s="122">
        <f>+AP183+AP176+AP170</f>
        <v>40324.75</v>
      </c>
      <c r="AQ185" s="123">
        <f>AR185</f>
        <v>41155.276999999995</v>
      </c>
      <c r="AR185" s="86">
        <f>SUM(AR183,AR176,AR170)</f>
        <v>41155.276999999995</v>
      </c>
      <c r="AS185" s="121">
        <f>SUM(AS183,AS176,AS170)</f>
        <v>41285.341</v>
      </c>
      <c r="AT185" s="122">
        <f>SUM(AT183,AT176,AT170)</f>
        <v>41860.989000000009</v>
      </c>
      <c r="AU185" s="122">
        <f>+AU183+AU176+AU170</f>
        <v>42468.793999999893</v>
      </c>
      <c r="AV185" s="123">
        <f>AW185</f>
        <v>43030</v>
      </c>
      <c r="AW185" s="86">
        <f>SUM(AW183,AW176,AW170)</f>
        <v>43030</v>
      </c>
      <c r="AX185" s="121">
        <f t="shared" ref="AX185:BG185" si="399">+AX183+AX176+AX170</f>
        <v>43492.336223911341</v>
      </c>
      <c r="AY185" s="122">
        <f t="shared" si="399"/>
        <v>44037.581349773885</v>
      </c>
      <c r="AZ185" s="122">
        <f t="shared" si="399"/>
        <v>44846.836736004021</v>
      </c>
      <c r="BA185" s="123">
        <f t="shared" si="399"/>
        <v>45107.307774717134</v>
      </c>
      <c r="BB185" s="86">
        <f t="shared" si="399"/>
        <v>45107.307774717134</v>
      </c>
      <c r="BC185" s="121">
        <f t="shared" si="399"/>
        <v>45796.553167741993</v>
      </c>
      <c r="BD185" s="122">
        <f t="shared" si="399"/>
        <v>46477.769100049132</v>
      </c>
      <c r="BE185" s="122">
        <f t="shared" si="399"/>
        <v>47150.285219214376</v>
      </c>
      <c r="BF185" s="123">
        <f t="shared" si="399"/>
        <v>47814.483952870534</v>
      </c>
      <c r="BG185" s="86">
        <f t="shared" si="399"/>
        <v>47814.483952870534</v>
      </c>
      <c r="BH185" s="121">
        <f t="shared" ref="BH185:BQ185" si="400">+BH183+BH176+BH170</f>
        <v>48230.928840473061</v>
      </c>
      <c r="BI185" s="122">
        <f t="shared" si="400"/>
        <v>48635.551112924994</v>
      </c>
      <c r="BJ185" s="122">
        <f t="shared" si="400"/>
        <v>49035.058079555558</v>
      </c>
      <c r="BK185" s="123">
        <f t="shared" si="400"/>
        <v>49429.784149934276</v>
      </c>
      <c r="BL185" s="86">
        <f t="shared" si="400"/>
        <v>49429.784149934276</v>
      </c>
      <c r="BM185" s="121">
        <f t="shared" si="400"/>
        <v>49840.987811203071</v>
      </c>
      <c r="BN185" s="122">
        <f t="shared" si="400"/>
        <v>50248.10031371691</v>
      </c>
      <c r="BO185" s="122">
        <f t="shared" si="400"/>
        <v>50745.80819737992</v>
      </c>
      <c r="BP185" s="123">
        <f t="shared" si="400"/>
        <v>51046.501055018831</v>
      </c>
      <c r="BQ185" s="86">
        <f t="shared" si="400"/>
        <v>51046.501055018831</v>
      </c>
      <c r="BT185" s="525"/>
      <c r="BU185" s="525"/>
      <c r="BV185" s="525"/>
      <c r="BW185" s="575"/>
      <c r="BX185" s="575"/>
      <c r="BY185" s="525"/>
      <c r="BZ185" s="525"/>
      <c r="CA185" s="525"/>
    </row>
    <row r="186" spans="3:79" x14ac:dyDescent="0.2">
      <c r="D186" s="42"/>
      <c r="E186" s="120"/>
      <c r="F186" s="139"/>
      <c r="G186" s="139"/>
      <c r="H186" s="119"/>
      <c r="I186" s="42"/>
      <c r="J186" s="120"/>
      <c r="K186" s="139"/>
      <c r="L186" s="139"/>
      <c r="M186" s="119"/>
      <c r="N186" s="42"/>
      <c r="O186" s="120"/>
      <c r="P186" s="139"/>
      <c r="Q186" s="139"/>
      <c r="R186" s="119"/>
      <c r="S186" s="42"/>
      <c r="T186" s="120"/>
      <c r="U186" s="139"/>
      <c r="V186" s="139"/>
      <c r="W186" s="119"/>
      <c r="X186" s="42"/>
      <c r="Y186" s="120"/>
      <c r="Z186" s="139"/>
      <c r="AA186" s="139"/>
      <c r="AB186" s="119"/>
      <c r="AC186" s="42"/>
      <c r="AD186" s="120"/>
      <c r="AE186" s="139"/>
      <c r="AF186" s="139"/>
      <c r="AG186" s="119"/>
      <c r="AH186" s="42"/>
      <c r="AI186" s="120"/>
      <c r="AJ186" s="139"/>
      <c r="AK186" s="139"/>
      <c r="AL186" s="119"/>
      <c r="AM186" s="42"/>
      <c r="AN186" s="120"/>
      <c r="AO186" s="139"/>
      <c r="AP186" s="139"/>
      <c r="AQ186" s="119"/>
      <c r="AR186" s="42"/>
      <c r="AS186" s="120"/>
      <c r="AT186" s="139"/>
      <c r="AU186" s="139"/>
      <c r="AV186" s="119"/>
      <c r="AW186" s="42"/>
      <c r="AX186" s="120"/>
      <c r="AY186" s="139"/>
      <c r="AZ186" s="139"/>
      <c r="BA186" s="119"/>
      <c r="BB186" s="42"/>
      <c r="BC186" s="120"/>
      <c r="BD186" s="139"/>
      <c r="BE186" s="139"/>
      <c r="BF186" s="119"/>
      <c r="BG186" s="42"/>
      <c r="BH186" s="120"/>
      <c r="BI186" s="139"/>
      <c r="BJ186" s="139"/>
      <c r="BK186" s="119"/>
      <c r="BL186" s="42"/>
      <c r="BM186" s="120"/>
      <c r="BN186" s="139"/>
      <c r="BO186" s="139"/>
      <c r="BP186" s="119"/>
      <c r="BQ186" s="42"/>
      <c r="BT186" s="525"/>
      <c r="BU186" s="525"/>
      <c r="BV186" s="525"/>
      <c r="BW186" s="575"/>
      <c r="BX186" s="575"/>
      <c r="BY186" s="525"/>
      <c r="BZ186" s="525"/>
      <c r="CA186" s="525"/>
    </row>
    <row r="187" spans="3:79" x14ac:dyDescent="0.2">
      <c r="C187" t="s">
        <v>46</v>
      </c>
      <c r="D187" s="42"/>
      <c r="E187" s="114">
        <v>438.01499999999999</v>
      </c>
      <c r="F187" s="115">
        <v>370</v>
      </c>
      <c r="G187" s="115">
        <v>494</v>
      </c>
      <c r="H187" s="116">
        <f>I187</f>
        <v>459</v>
      </c>
      <c r="I187" s="117">
        <v>459</v>
      </c>
      <c r="J187" s="114">
        <v>466</v>
      </c>
      <c r="K187" s="115">
        <v>129</v>
      </c>
      <c r="L187" s="115">
        <v>40</v>
      </c>
      <c r="M187" s="116">
        <f>N187</f>
        <v>466.4</v>
      </c>
      <c r="N187" s="117">
        <v>466.4</v>
      </c>
      <c r="O187" s="114">
        <v>531.5</v>
      </c>
      <c r="P187" s="115">
        <v>656</v>
      </c>
      <c r="Q187" s="115">
        <v>50</v>
      </c>
      <c r="R187" s="116">
        <f>S187</f>
        <v>219</v>
      </c>
      <c r="S187" s="117">
        <v>219</v>
      </c>
      <c r="T187" s="114">
        <v>339</v>
      </c>
      <c r="U187" s="115">
        <v>481</v>
      </c>
      <c r="V187" s="115">
        <v>304</v>
      </c>
      <c r="W187" s="116">
        <f>X187</f>
        <v>602</v>
      </c>
      <c r="X187" s="117">
        <v>602</v>
      </c>
      <c r="Y187" s="114">
        <v>425</v>
      </c>
      <c r="Z187" s="115">
        <v>354</v>
      </c>
      <c r="AA187" s="115">
        <v>302</v>
      </c>
      <c r="AB187" s="116">
        <f>AC187</f>
        <v>759</v>
      </c>
      <c r="AC187" s="117">
        <v>759</v>
      </c>
      <c r="AD187" s="114">
        <v>765</v>
      </c>
      <c r="AE187" s="115">
        <v>777.8</v>
      </c>
      <c r="AF187" s="115">
        <v>697</v>
      </c>
      <c r="AG187" s="116">
        <f>AH187</f>
        <v>1019.5</v>
      </c>
      <c r="AH187" s="117">
        <v>1019.5</v>
      </c>
      <c r="AI187" s="114">
        <v>969</v>
      </c>
      <c r="AJ187" s="115">
        <v>451</v>
      </c>
      <c r="AK187" s="115">
        <v>64</v>
      </c>
      <c r="AL187" s="116">
        <f>AM187</f>
        <v>846</v>
      </c>
      <c r="AM187" s="117">
        <v>846</v>
      </c>
      <c r="AN187" s="114">
        <v>183</v>
      </c>
      <c r="AO187" s="115">
        <v>447</v>
      </c>
      <c r="AP187" s="115">
        <v>366</v>
      </c>
      <c r="AQ187" s="116">
        <f>AR187</f>
        <v>392</v>
      </c>
      <c r="AR187" s="117">
        <v>392</v>
      </c>
      <c r="AS187" s="114">
        <v>605</v>
      </c>
      <c r="AT187" s="115">
        <v>784</v>
      </c>
      <c r="AU187" s="115">
        <v>514</v>
      </c>
      <c r="AV187" s="116">
        <f>AW187</f>
        <v>814</v>
      </c>
      <c r="AW187" s="117">
        <v>814</v>
      </c>
      <c r="AX187" s="120">
        <f>+AW187+AX160</f>
        <v>775.49225946574995</v>
      </c>
      <c r="AY187" s="118">
        <f>+AX187+AY160</f>
        <v>1176.2964042255276</v>
      </c>
      <c r="AZ187" s="118">
        <f>+AY187+AZ160</f>
        <v>0</v>
      </c>
      <c r="BA187" s="119">
        <f>+AZ187+BA160</f>
        <v>92.737186938505033</v>
      </c>
      <c r="BB187" s="42">
        <f>+BA187</f>
        <v>92.737186938505033</v>
      </c>
      <c r="BC187" s="120">
        <f>+BB187+BC160</f>
        <v>552.73090147004586</v>
      </c>
      <c r="BD187" s="118">
        <f>+BC187+BD160</f>
        <v>1273.7220829928722</v>
      </c>
      <c r="BE187" s="118">
        <f>+BD187+BE160</f>
        <v>334.85160475423004</v>
      </c>
      <c r="BF187" s="119">
        <f>+BE187+BF160</f>
        <v>866.86815641118415</v>
      </c>
      <c r="BG187" s="42">
        <f>+BF187</f>
        <v>866.86815641118415</v>
      </c>
      <c r="BH187" s="120">
        <f>+BG187+BH160</f>
        <v>1044.4058411087885</v>
      </c>
      <c r="BI187" s="118">
        <f>+BH187+BI160</f>
        <v>1436.0425575816776</v>
      </c>
      <c r="BJ187" s="118">
        <f>+BI187+BJ160</f>
        <v>112.06284407310977</v>
      </c>
      <c r="BK187" s="119">
        <f>+BJ187+BK160</f>
        <v>762.72748872603142</v>
      </c>
      <c r="BL187" s="42">
        <f>+BK187</f>
        <v>762.72748872603142</v>
      </c>
      <c r="BM187" s="120">
        <f>+BL187+BM160</f>
        <v>1319.4201332652904</v>
      </c>
      <c r="BN187" s="118">
        <f>+BM187+BN160</f>
        <v>1148.645463205117</v>
      </c>
      <c r="BO187" s="118">
        <f>+BN187+BO160</f>
        <v>0</v>
      </c>
      <c r="BP187" s="119">
        <f>+BO187+BP160</f>
        <v>157.24680216769622</v>
      </c>
      <c r="BQ187" s="42">
        <f>+BP187</f>
        <v>157.24680216769622</v>
      </c>
      <c r="BT187" s="525"/>
      <c r="BU187" s="525"/>
      <c r="BV187" s="525"/>
      <c r="BW187" s="575"/>
      <c r="BX187" s="575"/>
      <c r="BY187" s="525"/>
      <c r="BZ187" s="525"/>
      <c r="CA187" s="525"/>
    </row>
    <row r="188" spans="3:79" x14ac:dyDescent="0.2">
      <c r="C188" t="s">
        <v>214</v>
      </c>
      <c r="D188" s="42"/>
      <c r="E188" s="114">
        <v>459.25700000000001</v>
      </c>
      <c r="F188" s="115">
        <v>458.75099999999998</v>
      </c>
      <c r="G188" s="115">
        <v>184.53399999999999</v>
      </c>
      <c r="H188" s="116">
        <f>I188</f>
        <v>543.81399999999996</v>
      </c>
      <c r="I188" s="117">
        <v>543.81399999999996</v>
      </c>
      <c r="J188" s="114">
        <v>544.35599999999999</v>
      </c>
      <c r="K188" s="115">
        <v>545.63699999999994</v>
      </c>
      <c r="L188" s="115">
        <v>414.44299999999998</v>
      </c>
      <c r="M188" s="116">
        <f>N188</f>
        <v>55.414999999999999</v>
      </c>
      <c r="N188" s="117">
        <v>55.414999999999999</v>
      </c>
      <c r="O188" s="114">
        <v>54.761000000000003</v>
      </c>
      <c r="P188" s="115">
        <v>53.927</v>
      </c>
      <c r="Q188" s="115">
        <v>462.41399999999999</v>
      </c>
      <c r="R188" s="116">
        <f>S188</f>
        <v>1059.922</v>
      </c>
      <c r="S188" s="117">
        <v>1059.922</v>
      </c>
      <c r="T188" s="114">
        <v>1309.681</v>
      </c>
      <c r="U188" s="115">
        <v>1311.5940000000001</v>
      </c>
      <c r="V188" s="115">
        <v>859.46199999999999</v>
      </c>
      <c r="W188" s="116">
        <f>X188</f>
        <v>258.15499999999997</v>
      </c>
      <c r="X188" s="117">
        <v>258.15499999999997</v>
      </c>
      <c r="Y188" s="114">
        <v>6.9290000000000003</v>
      </c>
      <c r="Z188" s="115">
        <v>282.04199999999997</v>
      </c>
      <c r="AA188" s="115">
        <v>280.53800000000001</v>
      </c>
      <c r="AB188" s="116">
        <f>AC188</f>
        <v>280.76299999999998</v>
      </c>
      <c r="AC188" s="117">
        <v>280.76299999999998</v>
      </c>
      <c r="AD188" s="114">
        <v>282.13299999999998</v>
      </c>
      <c r="AE188" s="115">
        <v>7.5220000000000002</v>
      </c>
      <c r="AF188" s="115">
        <v>257.50599999999997</v>
      </c>
      <c r="AG188" s="116">
        <f>AH188</f>
        <v>257.726</v>
      </c>
      <c r="AH188" s="117">
        <v>257.726</v>
      </c>
      <c r="AI188" s="114">
        <v>257.399</v>
      </c>
      <c r="AJ188" s="115">
        <v>707.35599999999999</v>
      </c>
      <c r="AK188" s="115">
        <v>457.47399999999999</v>
      </c>
      <c r="AL188" s="116">
        <f>AM188</f>
        <v>657.02099999999996</v>
      </c>
      <c r="AM188" s="117">
        <v>657.02099999999996</v>
      </c>
      <c r="AN188" s="114">
        <v>656.51599999999996</v>
      </c>
      <c r="AO188" s="115">
        <v>710.15099999999995</v>
      </c>
      <c r="AP188" s="115">
        <v>709.56700000000001</v>
      </c>
      <c r="AQ188" s="116">
        <f>AR188</f>
        <v>255.529</v>
      </c>
      <c r="AR188" s="117">
        <v>255.529</v>
      </c>
      <c r="AS188" s="114">
        <v>755.44799999999998</v>
      </c>
      <c r="AT188" s="115">
        <v>505.34500000000003</v>
      </c>
      <c r="AU188" s="115">
        <v>305.41500000000002</v>
      </c>
      <c r="AV188" s="116">
        <f>AW188</f>
        <v>457</v>
      </c>
      <c r="AW188" s="117">
        <v>457</v>
      </c>
      <c r="AX188" s="120">
        <f>+-SUM(AY148:BA148,BC148)</f>
        <v>450</v>
      </c>
      <c r="AY188" s="118">
        <f>+-SUM(AZ148:BA148,BC148:BD148)</f>
        <v>850</v>
      </c>
      <c r="AZ188" s="118">
        <f>+-SUM(BA148,BC148:BE148)</f>
        <v>550</v>
      </c>
      <c r="BA188" s="119">
        <f>+-SUM(BC148:BF148)</f>
        <v>400</v>
      </c>
      <c r="BB188" s="42">
        <f>+BA188</f>
        <v>400</v>
      </c>
      <c r="BC188" s="120">
        <f>+-SUM(BD148:BF148,BH148)</f>
        <v>400</v>
      </c>
      <c r="BD188" s="118">
        <f>+-SUM(BE148:BF148,BH148:BI148)</f>
        <v>550</v>
      </c>
      <c r="BE188" s="118">
        <f>+-SUM(BF148,BH148:BJ148)</f>
        <v>850</v>
      </c>
      <c r="BF188" s="119">
        <f>+-SUM(BH148:BK148)</f>
        <v>1250</v>
      </c>
      <c r="BG188" s="42">
        <f>+BF188</f>
        <v>1250</v>
      </c>
      <c r="BH188" s="120">
        <f>+-SUM(BI148:BK148,BM148)</f>
        <v>1650</v>
      </c>
      <c r="BI188" s="118">
        <f>+-SUM(BJ148:BK148,BM148:BN148)</f>
        <v>1100</v>
      </c>
      <c r="BJ188" s="118">
        <f>+-SUM(BK148,BM148:BO148)</f>
        <v>800</v>
      </c>
      <c r="BK188" s="119">
        <f>+-SUM(BM148:BP148)</f>
        <v>418.6</v>
      </c>
      <c r="BL188" s="42">
        <f>+BK188</f>
        <v>418.6</v>
      </c>
      <c r="BM188" s="120">
        <f>+-SUM(BN148:BP148)</f>
        <v>18.600000000000001</v>
      </c>
      <c r="BN188" s="118">
        <f>+-SUM(BO148:BP148)</f>
        <v>18.600000000000001</v>
      </c>
      <c r="BO188" s="118">
        <f>+-SUM(BP148)</f>
        <v>18.600000000000001</v>
      </c>
      <c r="BP188" s="119">
        <v>0</v>
      </c>
      <c r="BQ188" s="42">
        <f>+BP188</f>
        <v>0</v>
      </c>
      <c r="BT188" s="525"/>
      <c r="BU188" s="525"/>
      <c r="BV188" s="525"/>
      <c r="BW188" s="575"/>
      <c r="BX188" s="575"/>
      <c r="BY188" s="525"/>
      <c r="BZ188" s="525"/>
      <c r="CA188" s="525"/>
    </row>
    <row r="189" spans="3:79" x14ac:dyDescent="0.2">
      <c r="C189" t="s">
        <v>215</v>
      </c>
      <c r="D189" s="42"/>
      <c r="E189" s="114">
        <v>857.67100000000005</v>
      </c>
      <c r="F189" s="115">
        <v>793.74599999999998</v>
      </c>
      <c r="G189" s="115">
        <v>811.62400000000002</v>
      </c>
      <c r="H189" s="116">
        <f>I189</f>
        <v>1083.5719999999999</v>
      </c>
      <c r="I189" s="117">
        <v>1083.5719999999999</v>
      </c>
      <c r="J189" s="114">
        <v>842.79399999999998</v>
      </c>
      <c r="K189" s="115">
        <v>842.27700000000004</v>
      </c>
      <c r="L189" s="115">
        <v>794.38099999999997</v>
      </c>
      <c r="M189" s="116">
        <f>N189</f>
        <v>979.75</v>
      </c>
      <c r="N189" s="117">
        <v>979.75</v>
      </c>
      <c r="O189" s="114">
        <v>848.56799999999998</v>
      </c>
      <c r="P189" s="115">
        <v>957.52099999999996</v>
      </c>
      <c r="Q189" s="115">
        <v>837.25900000000001</v>
      </c>
      <c r="R189" s="116">
        <f>S189</f>
        <v>902.07799999999997</v>
      </c>
      <c r="S189" s="117">
        <v>902.07799999999997</v>
      </c>
      <c r="T189" s="114">
        <v>786.18700000000001</v>
      </c>
      <c r="U189" s="115">
        <v>871.06899999999996</v>
      </c>
      <c r="V189" s="115">
        <v>885.09900000000005</v>
      </c>
      <c r="W189" s="116">
        <f>X189</f>
        <v>959.09299999999996</v>
      </c>
      <c r="X189" s="117">
        <v>959.09299999999996</v>
      </c>
      <c r="Y189" s="114">
        <v>932.54700000000003</v>
      </c>
      <c r="Z189" s="115">
        <v>998.60699999999997</v>
      </c>
      <c r="AA189" s="115">
        <v>965.572</v>
      </c>
      <c r="AB189" s="116">
        <f>AC189</f>
        <v>1261.2380000000001</v>
      </c>
      <c r="AC189" s="117">
        <v>1261.2380000000001</v>
      </c>
      <c r="AD189" s="114">
        <v>1061.874</v>
      </c>
      <c r="AE189" s="115">
        <v>967.25099999999998</v>
      </c>
      <c r="AF189" s="115">
        <v>1061.385</v>
      </c>
      <c r="AG189" s="116">
        <f>AH189</f>
        <v>1173.0060000000001</v>
      </c>
      <c r="AH189" s="117">
        <v>1173.0060000000001</v>
      </c>
      <c r="AI189" s="114">
        <v>898.00300000000004</v>
      </c>
      <c r="AJ189" s="115">
        <v>830.27800000000002</v>
      </c>
      <c r="AK189" s="115">
        <v>924.26</v>
      </c>
      <c r="AL189" s="116">
        <f>AM189</f>
        <v>960.98199999999997</v>
      </c>
      <c r="AM189" s="117">
        <v>960.98199999999997</v>
      </c>
      <c r="AN189" s="114">
        <v>809.65599999999995</v>
      </c>
      <c r="AO189" s="115">
        <v>921.97299999999996</v>
      </c>
      <c r="AP189" s="115">
        <v>916.53399999999999</v>
      </c>
      <c r="AQ189" s="116">
        <f>AR189</f>
        <v>1044.9590000000001</v>
      </c>
      <c r="AR189" s="117">
        <v>1044.9590000000001</v>
      </c>
      <c r="AS189" s="114">
        <v>861.50599999999997</v>
      </c>
      <c r="AT189" s="115">
        <v>973.64200000000005</v>
      </c>
      <c r="AU189" s="115">
        <v>992.49800000000005</v>
      </c>
      <c r="AV189" s="116">
        <f>AW189</f>
        <v>1243</v>
      </c>
      <c r="AW189" s="117">
        <v>1243</v>
      </c>
      <c r="AX189" s="120">
        <f t="shared" ref="AX189:BA190" si="401">+AW189</f>
        <v>1243</v>
      </c>
      <c r="AY189" s="118">
        <f t="shared" si="401"/>
        <v>1243</v>
      </c>
      <c r="AZ189" s="118">
        <f t="shared" si="401"/>
        <v>1243</v>
      </c>
      <c r="BA189" s="119">
        <f t="shared" si="401"/>
        <v>1243</v>
      </c>
      <c r="BB189" s="42">
        <f>+BA189</f>
        <v>1243</v>
      </c>
      <c r="BC189" s="120">
        <f t="shared" ref="BC189:BF190" si="402">+BB189</f>
        <v>1243</v>
      </c>
      <c r="BD189" s="118">
        <f t="shared" si="402"/>
        <v>1243</v>
      </c>
      <c r="BE189" s="118">
        <f t="shared" si="402"/>
        <v>1243</v>
      </c>
      <c r="BF189" s="119">
        <f t="shared" si="402"/>
        <v>1243</v>
      </c>
      <c r="BG189" s="42">
        <f>+BF189</f>
        <v>1243</v>
      </c>
      <c r="BH189" s="120">
        <f t="shared" ref="BH189:BK190" si="403">+BG189</f>
        <v>1243</v>
      </c>
      <c r="BI189" s="118">
        <f t="shared" si="403"/>
        <v>1243</v>
      </c>
      <c r="BJ189" s="118">
        <f t="shared" si="403"/>
        <v>1243</v>
      </c>
      <c r="BK189" s="119">
        <f t="shared" si="403"/>
        <v>1243</v>
      </c>
      <c r="BL189" s="42">
        <f>+BK189</f>
        <v>1243</v>
      </c>
      <c r="BM189" s="120">
        <f t="shared" ref="BM189:BM190" si="404">+BL189</f>
        <v>1243</v>
      </c>
      <c r="BN189" s="118">
        <f t="shared" ref="BN189:BN190" si="405">+BM189</f>
        <v>1243</v>
      </c>
      <c r="BO189" s="118">
        <f t="shared" ref="BO189:BO190" si="406">+BN189</f>
        <v>1243</v>
      </c>
      <c r="BP189" s="119">
        <f t="shared" ref="BP189:BP190" si="407">+BO189</f>
        <v>1243</v>
      </c>
      <c r="BQ189" s="42">
        <f>+BP189</f>
        <v>1243</v>
      </c>
      <c r="BT189" s="525"/>
      <c r="BU189" s="525"/>
      <c r="BV189" s="525"/>
      <c r="BW189" s="575"/>
      <c r="BX189" s="575"/>
      <c r="BY189" s="525"/>
      <c r="BZ189" s="525"/>
      <c r="CA189" s="525"/>
    </row>
    <row r="190" spans="3:79" x14ac:dyDescent="0.2">
      <c r="C190" t="s">
        <v>216</v>
      </c>
      <c r="D190" s="42"/>
      <c r="E190" s="114">
        <f>281.028+143.497+109.184+56.593+333.312+3.031</f>
        <v>926.64499999999998</v>
      </c>
      <c r="F190" s="115">
        <f>169.955+170.475+112.71+73.195+371.509+30.956</f>
        <v>928.80000000000007</v>
      </c>
      <c r="G190" s="115">
        <f>223.278+146.107+112.84+59.277+326.78+28.058</f>
        <v>896.34</v>
      </c>
      <c r="H190" s="116">
        <f>I190</f>
        <v>1003.6129999999999</v>
      </c>
      <c r="I190" s="117">
        <f>199.154+257.739+159.686+113.147+46.554+227.333</f>
        <v>1003.6129999999999</v>
      </c>
      <c r="J190" s="114">
        <f>302.256+153.069+113.566+46.972+286.621+4.204</f>
        <v>906.68799999999987</v>
      </c>
      <c r="K190" s="115">
        <f>166.742+161.436+117.115+52.15+322.361+8.949</f>
        <v>828.75299999999993</v>
      </c>
      <c r="L190" s="115">
        <f>224.483+161.553+117.236+80.929+357.274+9.185</f>
        <v>950.66</v>
      </c>
      <c r="M190" s="116">
        <f>N190</f>
        <v>1034.9679999999998</v>
      </c>
      <c r="N190" s="117">
        <f>156.038+254.32+163.907+122.847+61.745+276.111</f>
        <v>1034.9679999999998</v>
      </c>
      <c r="O190" s="114">
        <f>176.511+312.669+158.23+123.31+30.799+248.408</f>
        <v>1049.9269999999999</v>
      </c>
      <c r="P190" s="115">
        <f>170.655+189.564+165.313+127.04+39.99+278.749</f>
        <v>971.31099999999992</v>
      </c>
      <c r="Q190" s="115">
        <f>309.032+250.135+162.374+127.497+125.514+328.958</f>
        <v>1303.51</v>
      </c>
      <c r="R190" s="116">
        <f>S190</f>
        <v>1407.6389999999999</v>
      </c>
      <c r="S190" s="117">
        <f>275.095+289.713+177.111+126.487+157.414+381.819</f>
        <v>1407.6389999999999</v>
      </c>
      <c r="T190" s="114">
        <f>220.526+359.064+161.93+126.601+56.132+348.921</f>
        <v>1273.174</v>
      </c>
      <c r="U190" s="115">
        <f>193.509+215.159+176.855+131.565+111.836+338.635</f>
        <v>1167.559</v>
      </c>
      <c r="V190" s="115">
        <f>219.464+264.792+160.621+131.653+33.126+302.317</f>
        <v>1111.973</v>
      </c>
      <c r="W190" s="116">
        <f>X190</f>
        <v>1117.8249999999998</v>
      </c>
      <c r="X190" s="117">
        <f>168.858+334.441+162.494+131.748+32.482+287.802</f>
        <v>1117.8249999999998</v>
      </c>
      <c r="Y190" s="114">
        <f>193.658+415.081+135.532+133.238+30.762+253.77</f>
        <v>1162.0409999999999</v>
      </c>
      <c r="Z190" s="115">
        <f>205.112+242.339+156.751+139.24+29.897+288.822</f>
        <v>1062.1610000000001</v>
      </c>
      <c r="AA190" s="115">
        <f>208.943+335.846+134.612+139.333+26.729+445.488</f>
        <v>1290.951</v>
      </c>
      <c r="AB190" s="116">
        <f>AC190</f>
        <v>1353.4970000000001</v>
      </c>
      <c r="AC190" s="117">
        <f>274.769+378.766+159.372+139.432+23.382+377.776</f>
        <v>1353.4970000000001</v>
      </c>
      <c r="AD190" s="114">
        <f>258.946+461.52+132.589+150.25+22.358+333.078</f>
        <v>1358.741</v>
      </c>
      <c r="AE190" s="115">
        <f>366.579+269.02+158.663+151.097+20.874+341.123</f>
        <v>1307.356</v>
      </c>
      <c r="AF190" s="115">
        <f>379.824+371.959+132.084+151.623+22.924+396.564</f>
        <v>1454.9780000000001</v>
      </c>
      <c r="AG190" s="116">
        <f>AH190</f>
        <v>1614.3510000000001</v>
      </c>
      <c r="AH190" s="117">
        <f>410.729+396.615+158.536+151.72+21.632+475.119</f>
        <v>1614.3510000000001</v>
      </c>
      <c r="AI190" s="114">
        <f>393.054+480.311+131.579+162.13+19.615+463.437</f>
        <v>1650.1260000000002</v>
      </c>
      <c r="AJ190" s="115">
        <f>418.618+280.838+160.146+162.224+26.845+499.946</f>
        <v>1548.6170000000002</v>
      </c>
      <c r="AK190" s="115">
        <f>365.853+379.103+143.124+162.324+27.303+561.579</f>
        <v>1639.2860000000001</v>
      </c>
      <c r="AL190" s="116">
        <f>AM190</f>
        <v>1594.2939999999999</v>
      </c>
      <c r="AM190" s="117">
        <f>306.83+438.189+166.829+162.41+29.839+490.197</f>
        <v>1594.2939999999999</v>
      </c>
      <c r="AN190" s="114">
        <f>272.647+525.934+148.112+172.704+27.553+392.446</f>
        <v>1539.3960000000002</v>
      </c>
      <c r="AO190" s="115">
        <f>279.755+330.398+169.309+172.704+26.542+448.549</f>
        <v>1427.2570000000001</v>
      </c>
      <c r="AP190" s="115">
        <f>228.721+422.437+155.005+172.704+25.201+457.803</f>
        <v>1461.8710000000001</v>
      </c>
      <c r="AQ190" s="116">
        <f>AR190</f>
        <v>1554.5550000000001</v>
      </c>
      <c r="AR190" s="117">
        <f>220.894+457.392+172.901+172.456+26.959+503.953</f>
        <v>1554.5550000000001</v>
      </c>
      <c r="AS190" s="114">
        <f>186.926+544.177+151.929+182.795+26.706+393.489</f>
        <v>1486.0219999999999</v>
      </c>
      <c r="AT190" s="115">
        <f>261.171+339.966+175.849+182.795+28.019+439.917</f>
        <v>1427.7169999999999</v>
      </c>
      <c r="AU190" s="115">
        <f>256.191+427.275+147.86+182.795+27.659+486.713</f>
        <v>1528.4929999999999</v>
      </c>
      <c r="AV190" s="116">
        <f>AW190</f>
        <v>1574</v>
      </c>
      <c r="AW190" s="117">
        <f>239+448+174+183+29+501</f>
        <v>1574</v>
      </c>
      <c r="AX190" s="120">
        <f t="shared" si="401"/>
        <v>1574</v>
      </c>
      <c r="AY190" s="118">
        <f t="shared" si="401"/>
        <v>1574</v>
      </c>
      <c r="AZ190" s="118">
        <f t="shared" si="401"/>
        <v>1574</v>
      </c>
      <c r="BA190" s="119">
        <f t="shared" si="401"/>
        <v>1574</v>
      </c>
      <c r="BB190" s="42">
        <f>+BA190</f>
        <v>1574</v>
      </c>
      <c r="BC190" s="120">
        <f t="shared" si="402"/>
        <v>1574</v>
      </c>
      <c r="BD190" s="118">
        <f t="shared" si="402"/>
        <v>1574</v>
      </c>
      <c r="BE190" s="118">
        <f t="shared" si="402"/>
        <v>1574</v>
      </c>
      <c r="BF190" s="119">
        <f t="shared" si="402"/>
        <v>1574</v>
      </c>
      <c r="BG190" s="42">
        <f>+BF190</f>
        <v>1574</v>
      </c>
      <c r="BH190" s="120">
        <f t="shared" si="403"/>
        <v>1574</v>
      </c>
      <c r="BI190" s="118">
        <f t="shared" si="403"/>
        <v>1574</v>
      </c>
      <c r="BJ190" s="118">
        <f t="shared" si="403"/>
        <v>1574</v>
      </c>
      <c r="BK190" s="119">
        <f t="shared" si="403"/>
        <v>1574</v>
      </c>
      <c r="BL190" s="42">
        <f>+BK190</f>
        <v>1574</v>
      </c>
      <c r="BM190" s="120">
        <f t="shared" si="404"/>
        <v>1574</v>
      </c>
      <c r="BN190" s="118">
        <f t="shared" si="405"/>
        <v>1574</v>
      </c>
      <c r="BO190" s="118">
        <f t="shared" si="406"/>
        <v>1574</v>
      </c>
      <c r="BP190" s="119">
        <f t="shared" si="407"/>
        <v>1574</v>
      </c>
      <c r="BQ190" s="42">
        <f>+BP190</f>
        <v>1574</v>
      </c>
      <c r="BT190" s="525"/>
      <c r="BU190" s="525"/>
      <c r="BV190" s="525"/>
      <c r="BW190" s="575"/>
      <c r="BX190" s="575"/>
      <c r="BY190" s="525"/>
      <c r="BZ190" s="525"/>
      <c r="CA190" s="525"/>
    </row>
    <row r="191" spans="3:79" x14ac:dyDescent="0.2">
      <c r="C191" s="26" t="s">
        <v>217</v>
      </c>
      <c r="D191" s="42"/>
      <c r="E191" s="121">
        <f t="shared" ref="E191:AA191" si="408">SUM(E187:E190)</f>
        <v>2681.5879999999997</v>
      </c>
      <c r="F191" s="122">
        <f t="shared" si="408"/>
        <v>2551.297</v>
      </c>
      <c r="G191" s="122">
        <f t="shared" si="408"/>
        <v>2386.498</v>
      </c>
      <c r="H191" s="123">
        <f t="shared" si="408"/>
        <v>3089.9989999999998</v>
      </c>
      <c r="I191" s="86">
        <f t="shared" si="408"/>
        <v>3089.9989999999998</v>
      </c>
      <c r="J191" s="121">
        <f t="shared" si="408"/>
        <v>2759.8379999999997</v>
      </c>
      <c r="K191" s="122">
        <f t="shared" si="408"/>
        <v>2345.6669999999999</v>
      </c>
      <c r="L191" s="122">
        <f t="shared" si="408"/>
        <v>2199.4839999999999</v>
      </c>
      <c r="M191" s="123">
        <f t="shared" si="408"/>
        <v>2536.5329999999999</v>
      </c>
      <c r="N191" s="86">
        <f t="shared" si="408"/>
        <v>2536.5329999999999</v>
      </c>
      <c r="O191" s="121">
        <f t="shared" si="408"/>
        <v>2484.7559999999999</v>
      </c>
      <c r="P191" s="122">
        <f t="shared" si="408"/>
        <v>2638.759</v>
      </c>
      <c r="Q191" s="122">
        <f t="shared" si="408"/>
        <v>2653.183</v>
      </c>
      <c r="R191" s="123">
        <f t="shared" si="408"/>
        <v>3588.6390000000001</v>
      </c>
      <c r="S191" s="86">
        <f t="shared" si="408"/>
        <v>3588.6390000000001</v>
      </c>
      <c r="T191" s="121">
        <f t="shared" si="408"/>
        <v>3708.0419999999999</v>
      </c>
      <c r="U191" s="122">
        <f t="shared" si="408"/>
        <v>3831.2219999999998</v>
      </c>
      <c r="V191" s="122">
        <f t="shared" si="408"/>
        <v>3160.5340000000001</v>
      </c>
      <c r="W191" s="123">
        <f>SUM(W187:W190)</f>
        <v>2937.0729999999999</v>
      </c>
      <c r="X191" s="86">
        <f>SUM(X187:X190)</f>
        <v>2937.0729999999999</v>
      </c>
      <c r="Y191" s="121">
        <f>SUM(Y187:Y190)</f>
        <v>2526.5169999999998</v>
      </c>
      <c r="Z191" s="122">
        <f t="shared" si="408"/>
        <v>2696.81</v>
      </c>
      <c r="AA191" s="122">
        <f t="shared" si="408"/>
        <v>2839.0610000000001</v>
      </c>
      <c r="AB191" s="123">
        <f t="shared" ref="AB191:AJ191" si="409">SUM(AB187:AB190)</f>
        <v>3654.4980000000005</v>
      </c>
      <c r="AC191" s="86">
        <f t="shared" si="409"/>
        <v>3654.4980000000005</v>
      </c>
      <c r="AD191" s="121">
        <f t="shared" si="409"/>
        <v>3467.748</v>
      </c>
      <c r="AE191" s="122">
        <f t="shared" si="409"/>
        <v>3059.9290000000001</v>
      </c>
      <c r="AF191" s="122">
        <f t="shared" si="409"/>
        <v>3470.8690000000001</v>
      </c>
      <c r="AG191" s="123">
        <f t="shared" si="409"/>
        <v>4064.5830000000001</v>
      </c>
      <c r="AH191" s="86">
        <f t="shared" si="409"/>
        <v>4064.5830000000001</v>
      </c>
      <c r="AI191" s="121">
        <f t="shared" si="409"/>
        <v>3774.5280000000002</v>
      </c>
      <c r="AJ191" s="122">
        <f t="shared" si="409"/>
        <v>3537.2510000000002</v>
      </c>
      <c r="AK191" s="122">
        <f t="shared" ref="AK191:AR191" si="410">SUM(AK187:AK190)</f>
        <v>3085.02</v>
      </c>
      <c r="AL191" s="123">
        <f t="shared" si="410"/>
        <v>4058.2969999999996</v>
      </c>
      <c r="AM191" s="86">
        <f t="shared" si="410"/>
        <v>4058.2969999999996</v>
      </c>
      <c r="AN191" s="121">
        <f t="shared" si="410"/>
        <v>3188.5680000000002</v>
      </c>
      <c r="AO191" s="122">
        <f t="shared" si="410"/>
        <v>3506.3809999999999</v>
      </c>
      <c r="AP191" s="122">
        <f t="shared" si="410"/>
        <v>3453.9720000000002</v>
      </c>
      <c r="AQ191" s="123">
        <f t="shared" si="410"/>
        <v>3247.0430000000001</v>
      </c>
      <c r="AR191" s="86">
        <f t="shared" si="410"/>
        <v>3247.0430000000001</v>
      </c>
      <c r="AS191" s="121">
        <v>3707.9760000000001</v>
      </c>
      <c r="AT191" s="122">
        <f>SUM(AT187:AT190)</f>
        <v>3690.7039999999997</v>
      </c>
      <c r="AU191" s="122">
        <f>SUM(AU187:AU190)</f>
        <v>3340.4059999999999</v>
      </c>
      <c r="AV191" s="123">
        <f t="shared" ref="AV191:AW191" si="411">SUM(AV187:AV190)</f>
        <v>4088</v>
      </c>
      <c r="AW191" s="86">
        <f t="shared" si="411"/>
        <v>4088</v>
      </c>
      <c r="AX191" s="121">
        <f t="shared" ref="AX191:BG191" si="412">SUM(AX187:AX190)</f>
        <v>4042.4922594657501</v>
      </c>
      <c r="AY191" s="122">
        <f t="shared" si="412"/>
        <v>4843.296404225528</v>
      </c>
      <c r="AZ191" s="122">
        <f t="shared" si="412"/>
        <v>3367</v>
      </c>
      <c r="BA191" s="123">
        <f t="shared" si="412"/>
        <v>3309.7371869385051</v>
      </c>
      <c r="BB191" s="86">
        <f t="shared" si="412"/>
        <v>3309.7371869385051</v>
      </c>
      <c r="BC191" s="121">
        <f t="shared" si="412"/>
        <v>3769.7309014700459</v>
      </c>
      <c r="BD191" s="122">
        <f t="shared" si="412"/>
        <v>4640.7220829928719</v>
      </c>
      <c r="BE191" s="122">
        <f t="shared" si="412"/>
        <v>4001.8516047542298</v>
      </c>
      <c r="BF191" s="123">
        <f t="shared" si="412"/>
        <v>4933.8681564111839</v>
      </c>
      <c r="BG191" s="86">
        <f t="shared" si="412"/>
        <v>4933.8681564111839</v>
      </c>
      <c r="BH191" s="121">
        <f t="shared" ref="BH191:BQ191" si="413">SUM(BH187:BH190)</f>
        <v>5511.4058411087881</v>
      </c>
      <c r="BI191" s="122">
        <f t="shared" si="413"/>
        <v>5353.0425575816771</v>
      </c>
      <c r="BJ191" s="122">
        <f t="shared" si="413"/>
        <v>3729.0628440731098</v>
      </c>
      <c r="BK191" s="123">
        <f t="shared" si="413"/>
        <v>3998.3274887260313</v>
      </c>
      <c r="BL191" s="86">
        <f t="shared" si="413"/>
        <v>3998.3274887260313</v>
      </c>
      <c r="BM191" s="121">
        <f t="shared" si="413"/>
        <v>4155.0201332652905</v>
      </c>
      <c r="BN191" s="122">
        <f t="shared" si="413"/>
        <v>3984.2454632051167</v>
      </c>
      <c r="BO191" s="122">
        <f t="shared" si="413"/>
        <v>2835.6</v>
      </c>
      <c r="BP191" s="123">
        <f t="shared" si="413"/>
        <v>2974.2468021676959</v>
      </c>
      <c r="BQ191" s="86">
        <f t="shared" si="413"/>
        <v>2974.2468021676959</v>
      </c>
      <c r="BT191" s="525"/>
      <c r="BU191" s="525"/>
      <c r="BV191" s="525"/>
      <c r="BW191" s="575"/>
      <c r="BX191" s="575"/>
      <c r="BY191" s="525"/>
      <c r="BZ191" s="525"/>
      <c r="CA191" s="525"/>
    </row>
    <row r="192" spans="3:79" x14ac:dyDescent="0.2">
      <c r="D192" s="42"/>
      <c r="E192" s="120"/>
      <c r="F192" s="139"/>
      <c r="G192" s="139"/>
      <c r="H192" s="119"/>
      <c r="I192" s="42"/>
      <c r="J192" s="120"/>
      <c r="K192" s="139"/>
      <c r="L192" s="139"/>
      <c r="M192" s="119"/>
      <c r="N192" s="42"/>
      <c r="O192" s="120"/>
      <c r="P192" s="139"/>
      <c r="Q192" s="139"/>
      <c r="R192" s="119"/>
      <c r="S192" s="42"/>
      <c r="T192" s="120"/>
      <c r="U192" s="139"/>
      <c r="V192" s="139"/>
      <c r="W192" s="119"/>
      <c r="X192" s="42"/>
      <c r="Y192" s="120"/>
      <c r="Z192" s="139"/>
      <c r="AA192" s="139"/>
      <c r="AB192" s="119"/>
      <c r="AC192" s="42"/>
      <c r="AD192" s="120"/>
      <c r="AE192" s="139"/>
      <c r="AF192" s="139"/>
      <c r="AG192" s="119"/>
      <c r="AH192" s="42"/>
      <c r="AI192" s="120"/>
      <c r="AJ192" s="139"/>
      <c r="AK192" s="139"/>
      <c r="AL192" s="119"/>
      <c r="AM192" s="42"/>
      <c r="AN192" s="120"/>
      <c r="AO192" s="139"/>
      <c r="AP192" s="139"/>
      <c r="AQ192" s="119"/>
      <c r="AR192" s="42"/>
      <c r="AS192" s="120"/>
      <c r="AT192" s="139"/>
      <c r="AU192" s="139"/>
      <c r="AV192" s="119"/>
      <c r="AW192" s="42"/>
      <c r="AX192" s="120"/>
      <c r="AY192" s="139"/>
      <c r="AZ192" s="139"/>
      <c r="BA192" s="119"/>
      <c r="BB192" s="42"/>
      <c r="BC192" s="120"/>
      <c r="BD192" s="139"/>
      <c r="BE192" s="139"/>
      <c r="BF192" s="119"/>
      <c r="BG192" s="42"/>
      <c r="BH192" s="120"/>
      <c r="BI192" s="139"/>
      <c r="BJ192" s="139"/>
      <c r="BK192" s="119"/>
      <c r="BL192" s="42"/>
      <c r="BM192" s="120"/>
      <c r="BN192" s="139"/>
      <c r="BO192" s="139"/>
      <c r="BP192" s="119"/>
      <c r="BQ192" s="42"/>
      <c r="BT192" s="525"/>
      <c r="BU192" s="525"/>
      <c r="BV192" s="525"/>
      <c r="BW192" s="575"/>
      <c r="BX192" s="575"/>
      <c r="BY192" s="525"/>
      <c r="BZ192" s="525"/>
      <c r="CA192" s="525"/>
    </row>
    <row r="193" spans="3:87" x14ac:dyDescent="0.2">
      <c r="C193" s="525" t="s">
        <v>47</v>
      </c>
      <c r="D193" s="42"/>
      <c r="E193" s="114">
        <v>7666.3040000000001</v>
      </c>
      <c r="F193" s="115">
        <v>8055.6379999999999</v>
      </c>
      <c r="G193" s="115">
        <v>7945.4</v>
      </c>
      <c r="H193" s="116">
        <f>I193</f>
        <v>7888.6279999999997</v>
      </c>
      <c r="I193" s="117">
        <v>7888.6279999999997</v>
      </c>
      <c r="J193" s="114">
        <v>7862.8879999999999</v>
      </c>
      <c r="K193" s="115">
        <v>8409.8150000000005</v>
      </c>
      <c r="L193" s="115">
        <v>8864.759</v>
      </c>
      <c r="M193" s="116">
        <f>N193</f>
        <v>9263.1440000000002</v>
      </c>
      <c r="N193" s="117">
        <v>9263.1440000000002</v>
      </c>
      <c r="O193" s="114">
        <v>9264.1229999999996</v>
      </c>
      <c r="P193" s="115">
        <v>9263.5560000000005</v>
      </c>
      <c r="Q193" s="115">
        <v>9450.1569999999992</v>
      </c>
      <c r="R193" s="116">
        <f>S193</f>
        <v>8848.5130000000008</v>
      </c>
      <c r="S193" s="117">
        <v>8848.5130000000008</v>
      </c>
      <c r="T193" s="114">
        <v>8598.3629999999994</v>
      </c>
      <c r="U193" s="115">
        <v>8706.4030000000002</v>
      </c>
      <c r="V193" s="115">
        <v>10105.947</v>
      </c>
      <c r="W193" s="116">
        <f>X193</f>
        <v>10143.905000000001</v>
      </c>
      <c r="X193" s="117">
        <v>10143.905000000001</v>
      </c>
      <c r="Y193" s="114">
        <v>10642.009</v>
      </c>
      <c r="Z193" s="115">
        <v>10816.477000000001</v>
      </c>
      <c r="AA193" s="115">
        <v>10914.272999999999</v>
      </c>
      <c r="AB193" s="116">
        <f>AC193</f>
        <v>10910.754000000001</v>
      </c>
      <c r="AC193" s="117">
        <v>10910.754000000001</v>
      </c>
      <c r="AD193" s="114">
        <v>11205.319</v>
      </c>
      <c r="AE193" s="115">
        <v>11752.778</v>
      </c>
      <c r="AF193" s="115">
        <v>11501.72</v>
      </c>
      <c r="AG193" s="116">
        <f>AH193</f>
        <v>11499.634</v>
      </c>
      <c r="AH193" s="117">
        <v>11499.634</v>
      </c>
      <c r="AI193" s="114">
        <v>11499.47</v>
      </c>
      <c r="AJ193" s="115">
        <v>11896.126</v>
      </c>
      <c r="AK193" s="115">
        <v>12690.751</v>
      </c>
      <c r="AL193" s="116">
        <f>AM193</f>
        <v>12490.718999999999</v>
      </c>
      <c r="AM193" s="117">
        <v>12490.718999999999</v>
      </c>
      <c r="AN193" s="114">
        <v>13148.395</v>
      </c>
      <c r="AO193" s="115">
        <v>13104.77</v>
      </c>
      <c r="AP193" s="115">
        <v>13402.583000000001</v>
      </c>
      <c r="AQ193" s="116">
        <f>AR193</f>
        <v>14194.718000000001</v>
      </c>
      <c r="AR193" s="117">
        <v>14194.718000000001</v>
      </c>
      <c r="AS193" s="114">
        <v>13696.460999999999</v>
      </c>
      <c r="AT193" s="115">
        <v>14091.833000000001</v>
      </c>
      <c r="AU193" s="115">
        <v>14572.967000000001</v>
      </c>
      <c r="AV193" s="116">
        <f>AW193</f>
        <v>14520</v>
      </c>
      <c r="AW193" s="117">
        <v>14520</v>
      </c>
      <c r="AX193" s="120">
        <f>+AX218-AX188</f>
        <v>14827</v>
      </c>
      <c r="AY193" s="118">
        <f>+AY218-AY188</f>
        <v>14427</v>
      </c>
      <c r="AZ193" s="118">
        <f>+AZ218-AZ188</f>
        <v>16277</v>
      </c>
      <c r="BA193" s="119">
        <f>+BA218-BA188</f>
        <v>16477</v>
      </c>
      <c r="BB193" s="42">
        <f>+BA193</f>
        <v>16477</v>
      </c>
      <c r="BC193" s="120">
        <f>+BC218-BC188</f>
        <v>16477</v>
      </c>
      <c r="BD193" s="118">
        <f>+BD218-BD188</f>
        <v>16127</v>
      </c>
      <c r="BE193" s="118">
        <f>+BE218-BE188</f>
        <v>16977</v>
      </c>
      <c r="BF193" s="119">
        <f>+BF218-BF188</f>
        <v>16577</v>
      </c>
      <c r="BG193" s="42">
        <f>+BF193</f>
        <v>16577</v>
      </c>
      <c r="BH193" s="120">
        <f>+BH218-BH188</f>
        <v>16177</v>
      </c>
      <c r="BI193" s="118">
        <f>+BI218-BI188</f>
        <v>16577</v>
      </c>
      <c r="BJ193" s="118">
        <f>+BJ218-BJ188</f>
        <v>18127</v>
      </c>
      <c r="BK193" s="119">
        <f>+BK218-BK188</f>
        <v>18108.400000000001</v>
      </c>
      <c r="BL193" s="42">
        <f>+BK193</f>
        <v>18108.400000000001</v>
      </c>
      <c r="BM193" s="120">
        <f>+BM218-BM188</f>
        <v>18108.400000000001</v>
      </c>
      <c r="BN193" s="118">
        <f>+BN218-BN188</f>
        <v>18508.400000000001</v>
      </c>
      <c r="BO193" s="118">
        <f>+BO218-BO188</f>
        <v>19658.400000000001</v>
      </c>
      <c r="BP193" s="119">
        <f>+BP218-BP188</f>
        <v>19658.400000000001</v>
      </c>
      <c r="BQ193" s="42">
        <f>+BP193</f>
        <v>19658.400000000001</v>
      </c>
      <c r="BT193" s="525"/>
      <c r="BU193" s="525"/>
      <c r="BV193" s="525"/>
      <c r="BW193" s="575"/>
      <c r="BX193" s="575"/>
      <c r="BY193" s="525"/>
      <c r="BZ193" s="525"/>
      <c r="CA193" s="525"/>
    </row>
    <row r="194" spans="3:87" x14ac:dyDescent="0.2">
      <c r="D194" s="42"/>
      <c r="E194" s="114"/>
      <c r="F194" s="133"/>
      <c r="G194" s="133"/>
      <c r="H194" s="116"/>
      <c r="I194" s="117"/>
      <c r="J194" s="114"/>
      <c r="K194" s="133"/>
      <c r="L194" s="133"/>
      <c r="M194" s="116"/>
      <c r="N194" s="117"/>
      <c r="O194" s="114"/>
      <c r="P194" s="115"/>
      <c r="Q194" s="115"/>
      <c r="R194" s="116"/>
      <c r="S194" s="117"/>
      <c r="T194" s="114"/>
      <c r="U194" s="115"/>
      <c r="V194" s="115"/>
      <c r="W194" s="116"/>
      <c r="X194" s="117"/>
      <c r="Y194" s="114"/>
      <c r="Z194" s="115"/>
      <c r="AA194" s="115"/>
      <c r="AB194" s="116"/>
      <c r="AC194" s="117"/>
      <c r="AD194" s="114"/>
      <c r="AE194" s="115"/>
      <c r="AF194" s="115"/>
      <c r="AG194" s="116"/>
      <c r="AH194" s="117"/>
      <c r="AI194" s="114"/>
      <c r="AJ194" s="115"/>
      <c r="AK194" s="115"/>
      <c r="AL194" s="116"/>
      <c r="AM194" s="117"/>
      <c r="AN194" s="114"/>
      <c r="AO194" s="115"/>
      <c r="AP194" s="139"/>
      <c r="AQ194" s="116"/>
      <c r="AR194" s="117"/>
      <c r="AS194" s="114"/>
      <c r="AT194" s="115"/>
      <c r="AU194" s="139"/>
      <c r="AV194" s="116"/>
      <c r="AW194" s="117"/>
      <c r="AX194" s="120"/>
      <c r="AY194" s="139"/>
      <c r="AZ194" s="139"/>
      <c r="BA194" s="119"/>
      <c r="BB194" s="42"/>
      <c r="BC194" s="120"/>
      <c r="BD194" s="139"/>
      <c r="BE194" s="139"/>
      <c r="BF194" s="119"/>
      <c r="BG194" s="42"/>
      <c r="BH194" s="120"/>
      <c r="BI194" s="139"/>
      <c r="BJ194" s="139"/>
      <c r="BK194" s="119"/>
      <c r="BL194" s="42"/>
      <c r="BM194" s="120"/>
      <c r="BN194" s="139"/>
      <c r="BO194" s="139"/>
      <c r="BP194" s="119"/>
      <c r="BQ194" s="42"/>
      <c r="BT194" s="525"/>
      <c r="BU194" s="525"/>
      <c r="BV194" s="525"/>
      <c r="BW194" s="575"/>
      <c r="BX194" s="575"/>
      <c r="BY194" s="525"/>
      <c r="BZ194" s="525"/>
      <c r="CA194" s="525"/>
    </row>
    <row r="195" spans="3:87" x14ac:dyDescent="0.2">
      <c r="C195" t="s">
        <v>218</v>
      </c>
      <c r="D195" s="42"/>
      <c r="E195" s="114">
        <v>2801.8220000000001</v>
      </c>
      <c r="F195" s="115">
        <v>2963.4479999999999</v>
      </c>
      <c r="G195" s="115">
        <v>3177.5949999999998</v>
      </c>
      <c r="H195" s="116">
        <f>I195</f>
        <v>3156.3690000000001</v>
      </c>
      <c r="I195" s="117">
        <v>3156.3690000000001</v>
      </c>
      <c r="J195" s="114">
        <v>3386.1489999999999</v>
      </c>
      <c r="K195" s="115">
        <v>3448.0790000000002</v>
      </c>
      <c r="L195" s="115">
        <v>3616.3780000000002</v>
      </c>
      <c r="M195" s="116">
        <f>N195</f>
        <v>3390.027</v>
      </c>
      <c r="N195" s="117">
        <v>3390.027</v>
      </c>
      <c r="O195" s="114">
        <v>3567.0610000000001</v>
      </c>
      <c r="P195" s="115">
        <v>3665.4180000000001</v>
      </c>
      <c r="Q195" s="115">
        <v>3809.6379999999999</v>
      </c>
      <c r="R195" s="116">
        <f>S195</f>
        <v>4020.377</v>
      </c>
      <c r="S195" s="117">
        <v>4020.377</v>
      </c>
      <c r="T195" s="114">
        <v>4212.924</v>
      </c>
      <c r="U195" s="115">
        <v>4320.32</v>
      </c>
      <c r="V195" s="115">
        <v>4551.0720000000001</v>
      </c>
      <c r="W195" s="116">
        <f>X195</f>
        <v>4434.9089999999997</v>
      </c>
      <c r="X195" s="117">
        <v>4434.9089999999997</v>
      </c>
      <c r="Y195" s="114">
        <v>4643.3779999999997</v>
      </c>
      <c r="Z195" s="115">
        <v>4820.6499999999996</v>
      </c>
      <c r="AA195" s="115">
        <v>5186.9440000000004</v>
      </c>
      <c r="AB195" s="116">
        <f>AC195</f>
        <v>5331.0460000000003</v>
      </c>
      <c r="AC195" s="117">
        <v>5331.0460000000003</v>
      </c>
      <c r="AD195" s="114">
        <v>5412.3810000000003</v>
      </c>
      <c r="AE195" s="115">
        <v>5551.5370000000003</v>
      </c>
      <c r="AF195" s="115">
        <v>5750.9459999999999</v>
      </c>
      <c r="AG195" s="116">
        <f>AH195</f>
        <v>5852.9880000000003</v>
      </c>
      <c r="AH195" s="117">
        <v>5852.9880000000003</v>
      </c>
      <c r="AI195" s="114">
        <v>6085.78</v>
      </c>
      <c r="AJ195" s="115">
        <v>6249.5110000000004</v>
      </c>
      <c r="AK195" s="115">
        <v>6390.1620000000003</v>
      </c>
      <c r="AL195" s="116">
        <f>AM195</f>
        <v>6293.6610000000001</v>
      </c>
      <c r="AM195" s="117">
        <v>6293.6610000000001</v>
      </c>
      <c r="AN195" s="114">
        <v>6493.6440000000002</v>
      </c>
      <c r="AO195" s="115">
        <v>6619.6809999999996</v>
      </c>
      <c r="AP195" s="115">
        <v>6851.8729999999996</v>
      </c>
      <c r="AQ195" s="116">
        <f>AR195</f>
        <v>6784.3190000000004</v>
      </c>
      <c r="AR195" s="117">
        <v>6784.3190000000004</v>
      </c>
      <c r="AS195" s="114">
        <v>6999.5460000000003</v>
      </c>
      <c r="AT195" s="115">
        <v>7130.7150000000001</v>
      </c>
      <c r="AU195" s="115">
        <v>7362.9309999999996</v>
      </c>
      <c r="AV195" s="116">
        <f>AW195</f>
        <v>3845</v>
      </c>
      <c r="AW195" s="117">
        <v>3845</v>
      </c>
      <c r="AX195" s="120">
        <f>+AW195+AX137</f>
        <v>3930.6517555801101</v>
      </c>
      <c r="AY195" s="118">
        <f>+AX195+AY137</f>
        <v>4003.0756180648518</v>
      </c>
      <c r="AZ195" s="118">
        <f>+AY195+AZ137</f>
        <v>4143.2112771856655</v>
      </c>
      <c r="BA195" s="119">
        <f>+AZ195+BA137</f>
        <v>4207.5353465025382</v>
      </c>
      <c r="BB195" s="42">
        <f>+BA195</f>
        <v>4207.5353465025382</v>
      </c>
      <c r="BC195" s="120">
        <f>+BB195+BC137</f>
        <v>4303.5351743983847</v>
      </c>
      <c r="BD195" s="118">
        <f>+BC195+BD137</f>
        <v>4383.3945525072522</v>
      </c>
      <c r="BE195" s="118">
        <f>+BD195+BE137</f>
        <v>4533.6634137751544</v>
      </c>
      <c r="BF195" s="119">
        <f>+BE195+BF137</f>
        <v>4605.1583289220507</v>
      </c>
      <c r="BG195" s="42">
        <f>+BF195</f>
        <v>4605.1583289220507</v>
      </c>
      <c r="BH195" s="120">
        <f>+BG195+BH137</f>
        <v>4708.7730172216507</v>
      </c>
      <c r="BI195" s="118">
        <f>+BH195+BI137</f>
        <v>4793.6833145324917</v>
      </c>
      <c r="BJ195" s="118">
        <f>+BI195+BJ137</f>
        <v>4952.172459656651</v>
      </c>
      <c r="BK195" s="119">
        <f>+BJ195+BK137</f>
        <v>5030.9497993401455</v>
      </c>
      <c r="BL195" s="42">
        <f>+BK195</f>
        <v>5030.9497993401455</v>
      </c>
      <c r="BM195" s="120">
        <f>+BL195+BM137</f>
        <v>5141.3218978698851</v>
      </c>
      <c r="BN195" s="118">
        <f>+BM195+BN137</f>
        <v>5233.2437043291529</v>
      </c>
      <c r="BO195" s="118">
        <f>+BN195+BO137</f>
        <v>5400.8486133458518</v>
      </c>
      <c r="BP195" s="119">
        <f>+BO195+BP137</f>
        <v>5487.1026772012619</v>
      </c>
      <c r="BQ195" s="42">
        <f>+BP195</f>
        <v>5487.1026772012619</v>
      </c>
      <c r="BT195" s="525"/>
      <c r="BU195" s="525"/>
      <c r="BV195" s="525"/>
      <c r="BW195" s="575"/>
      <c r="BX195" s="575"/>
      <c r="BY195" s="525"/>
      <c r="BZ195" s="525"/>
      <c r="CA195" s="525"/>
    </row>
    <row r="196" spans="3:87" x14ac:dyDescent="0.2">
      <c r="C196" t="s">
        <v>219</v>
      </c>
      <c r="D196" s="42"/>
      <c r="E196" s="114">
        <v>103.97799999999999</v>
      </c>
      <c r="F196" s="115">
        <v>102.241</v>
      </c>
      <c r="G196" s="115">
        <v>100.503</v>
      </c>
      <c r="H196" s="116">
        <f>I196</f>
        <v>99.29</v>
      </c>
      <c r="I196" s="117">
        <v>99.29</v>
      </c>
      <c r="J196" s="114">
        <v>97.695999999999998</v>
      </c>
      <c r="K196" s="115">
        <v>96.102000000000004</v>
      </c>
      <c r="L196" s="115">
        <v>94.507999999999996</v>
      </c>
      <c r="M196" s="116">
        <f>N196</f>
        <v>92.936999999999998</v>
      </c>
      <c r="N196" s="117">
        <v>92.936999999999998</v>
      </c>
      <c r="O196" s="114">
        <v>91.356999999999999</v>
      </c>
      <c r="P196" s="115">
        <v>89.777000000000001</v>
      </c>
      <c r="Q196" s="115">
        <v>88.197000000000003</v>
      </c>
      <c r="R196" s="116">
        <f>S196</f>
        <v>86.742999999999995</v>
      </c>
      <c r="S196" s="117">
        <v>86.742999999999995</v>
      </c>
      <c r="T196" s="114">
        <v>85.819000000000003</v>
      </c>
      <c r="U196" s="115">
        <v>84.894999999999996</v>
      </c>
      <c r="V196" s="115">
        <v>83.971000000000004</v>
      </c>
      <c r="W196" s="116">
        <f>X196</f>
        <v>82.760999999999996</v>
      </c>
      <c r="X196" s="117">
        <v>82.760999999999996</v>
      </c>
      <c r="Y196" s="114">
        <v>81.674000000000007</v>
      </c>
      <c r="Z196" s="115">
        <v>80.587000000000003</v>
      </c>
      <c r="AA196" s="115">
        <v>79.608999999999995</v>
      </c>
      <c r="AB196" s="116">
        <f>AC196</f>
        <v>79.239000000000004</v>
      </c>
      <c r="AC196" s="117">
        <v>79.239000000000004</v>
      </c>
      <c r="AD196" s="114">
        <v>77.796000000000006</v>
      </c>
      <c r="AE196" s="115">
        <v>76.352999999999994</v>
      </c>
      <c r="AF196" s="115">
        <v>74.91</v>
      </c>
      <c r="AG196" s="116">
        <f>AH196</f>
        <v>73.695999999999998</v>
      </c>
      <c r="AH196" s="117">
        <v>73.695999999999998</v>
      </c>
      <c r="AI196" s="114">
        <v>72.311999999999998</v>
      </c>
      <c r="AJ196" s="115">
        <v>70.927999999999997</v>
      </c>
      <c r="AK196" s="115">
        <v>69.545000000000002</v>
      </c>
      <c r="AL196" s="116">
        <f>AM196</f>
        <v>68.418999999999997</v>
      </c>
      <c r="AM196" s="117">
        <v>68.418999999999997</v>
      </c>
      <c r="AN196" s="114">
        <v>67.111999999999995</v>
      </c>
      <c r="AO196" s="115">
        <v>65.805999999999997</v>
      </c>
      <c r="AP196" s="115">
        <v>64.498999999999995</v>
      </c>
      <c r="AQ196" s="116">
        <f>AR196</f>
        <v>63.216000000000001</v>
      </c>
      <c r="AR196" s="117">
        <v>63.216000000000001</v>
      </c>
      <c r="AS196" s="114">
        <v>61.936999999999998</v>
      </c>
      <c r="AT196" s="115">
        <v>60.658999999999999</v>
      </c>
      <c r="AU196" s="115">
        <v>59.381</v>
      </c>
      <c r="AV196" s="116">
        <f>AW196</f>
        <v>58</v>
      </c>
      <c r="AW196" s="117">
        <v>58</v>
      </c>
      <c r="AX196" s="120">
        <f t="shared" ref="AX196:BA198" si="414">+AW196</f>
        <v>58</v>
      </c>
      <c r="AY196" s="118">
        <f t="shared" si="414"/>
        <v>58</v>
      </c>
      <c r="AZ196" s="118">
        <f t="shared" si="414"/>
        <v>58</v>
      </c>
      <c r="BA196" s="119">
        <f t="shared" si="414"/>
        <v>58</v>
      </c>
      <c r="BB196" s="42">
        <f>+BA196</f>
        <v>58</v>
      </c>
      <c r="BC196" s="120">
        <f t="shared" ref="BC196:BF198" si="415">+BB196</f>
        <v>58</v>
      </c>
      <c r="BD196" s="118">
        <f t="shared" si="415"/>
        <v>58</v>
      </c>
      <c r="BE196" s="118">
        <f t="shared" si="415"/>
        <v>58</v>
      </c>
      <c r="BF196" s="119">
        <f t="shared" si="415"/>
        <v>58</v>
      </c>
      <c r="BG196" s="42">
        <f>+BF196</f>
        <v>58</v>
      </c>
      <c r="BH196" s="120">
        <f t="shared" ref="BH196:BK198" si="416">+BG196</f>
        <v>58</v>
      </c>
      <c r="BI196" s="118">
        <f t="shared" si="416"/>
        <v>58</v>
      </c>
      <c r="BJ196" s="118">
        <f t="shared" si="416"/>
        <v>58</v>
      </c>
      <c r="BK196" s="119">
        <f t="shared" si="416"/>
        <v>58</v>
      </c>
      <c r="BL196" s="42">
        <f>+BK196</f>
        <v>58</v>
      </c>
      <c r="BM196" s="120">
        <f t="shared" ref="BM196:BM198" si="417">+BL196</f>
        <v>58</v>
      </c>
      <c r="BN196" s="118">
        <f t="shared" ref="BN196:BN198" si="418">+BM196</f>
        <v>58</v>
      </c>
      <c r="BO196" s="118">
        <f t="shared" ref="BO196:BO198" si="419">+BN196</f>
        <v>58</v>
      </c>
      <c r="BP196" s="119">
        <f t="shared" ref="BP196:BP198" si="420">+BO196</f>
        <v>58</v>
      </c>
      <c r="BQ196" s="42">
        <f>+BP196</f>
        <v>58</v>
      </c>
      <c r="BT196" s="525"/>
      <c r="BU196" s="525"/>
      <c r="BV196" s="525"/>
      <c r="BW196" s="575"/>
      <c r="BX196" s="575"/>
      <c r="BY196" s="525"/>
      <c r="BZ196" s="525"/>
      <c r="CA196" s="525"/>
    </row>
    <row r="197" spans="3:87" x14ac:dyDescent="0.2">
      <c r="C197" t="s">
        <v>220</v>
      </c>
      <c r="D197" s="42"/>
      <c r="E197" s="114">
        <v>1184.992</v>
      </c>
      <c r="F197" s="115">
        <v>1221.7170000000001</v>
      </c>
      <c r="G197" s="115">
        <v>1265.5409999999999</v>
      </c>
      <c r="H197" s="116">
        <f>I197</f>
        <v>1148.0139999999999</v>
      </c>
      <c r="I197" s="117">
        <v>1148.0139999999999</v>
      </c>
      <c r="J197" s="114">
        <v>1192.4870000000001</v>
      </c>
      <c r="K197" s="115">
        <v>1196.6279999999999</v>
      </c>
      <c r="L197" s="115">
        <v>1236.097</v>
      </c>
      <c r="M197" s="116">
        <f>N197</f>
        <v>1179.7650000000001</v>
      </c>
      <c r="N197" s="117">
        <v>1179.7650000000001</v>
      </c>
      <c r="O197" s="114">
        <v>1191.463</v>
      </c>
      <c r="P197" s="115">
        <v>1143.4849999999999</v>
      </c>
      <c r="Q197" s="115">
        <v>1133.7470000000001</v>
      </c>
      <c r="R197" s="116">
        <f>S197</f>
        <v>1101.5340000000001</v>
      </c>
      <c r="S197" s="117">
        <v>1101.5340000000001</v>
      </c>
      <c r="T197" s="114">
        <v>1107.818</v>
      </c>
      <c r="U197" s="115">
        <v>1066.4860000000001</v>
      </c>
      <c r="V197" s="115">
        <v>1053.5419999999999</v>
      </c>
      <c r="W197" s="116">
        <f>X197</f>
        <v>1059.9390000000001</v>
      </c>
      <c r="X197" s="117">
        <v>1059.9390000000001</v>
      </c>
      <c r="Y197" s="114">
        <v>1077.606</v>
      </c>
      <c r="Z197" s="115">
        <v>1070.059</v>
      </c>
      <c r="AA197" s="115">
        <v>1052.7260000000001</v>
      </c>
      <c r="AB197" s="116">
        <f>AC197</f>
        <v>1059.395</v>
      </c>
      <c r="AC197" s="117">
        <v>1059.395</v>
      </c>
      <c r="AD197" s="114">
        <v>1090.7329999999999</v>
      </c>
      <c r="AE197" s="115">
        <v>1107.2529999999999</v>
      </c>
      <c r="AF197" s="115">
        <v>1140.6189999999999</v>
      </c>
      <c r="AG197" s="116">
        <f>AH197</f>
        <v>1163.4290000000001</v>
      </c>
      <c r="AH197" s="117">
        <v>1163.4290000000001</v>
      </c>
      <c r="AI197" s="114">
        <v>1185.4770000000001</v>
      </c>
      <c r="AJ197" s="115">
        <v>1176.806</v>
      </c>
      <c r="AK197" s="115">
        <v>1169.2940000000001</v>
      </c>
      <c r="AL197" s="116">
        <f>AM197</f>
        <v>1332.8889999999999</v>
      </c>
      <c r="AM197" s="117">
        <v>1332.8889999999999</v>
      </c>
      <c r="AN197" s="114">
        <v>1373.14</v>
      </c>
      <c r="AO197" s="115">
        <v>1343.8889999999999</v>
      </c>
      <c r="AP197" s="115">
        <v>1367.557</v>
      </c>
      <c r="AQ197" s="116">
        <f>AR197</f>
        <v>1383.212</v>
      </c>
      <c r="AR197" s="117">
        <v>1383.212</v>
      </c>
      <c r="AS197" s="114">
        <v>1400.2339999999999</v>
      </c>
      <c r="AT197" s="115">
        <v>1386.675</v>
      </c>
      <c r="AU197" s="115">
        <v>1358.558</v>
      </c>
      <c r="AV197" s="116">
        <f>AW197</f>
        <v>5083</v>
      </c>
      <c r="AW197" s="117">
        <v>5083</v>
      </c>
      <c r="AX197" s="120">
        <f t="shared" si="414"/>
        <v>5083</v>
      </c>
      <c r="AY197" s="118">
        <f t="shared" si="414"/>
        <v>5083</v>
      </c>
      <c r="AZ197" s="118">
        <f t="shared" si="414"/>
        <v>5083</v>
      </c>
      <c r="BA197" s="119">
        <f t="shared" si="414"/>
        <v>5083</v>
      </c>
      <c r="BB197" s="42">
        <f>+BA197</f>
        <v>5083</v>
      </c>
      <c r="BC197" s="120">
        <f t="shared" si="415"/>
        <v>5083</v>
      </c>
      <c r="BD197" s="118">
        <f t="shared" si="415"/>
        <v>5083</v>
      </c>
      <c r="BE197" s="118">
        <f t="shared" si="415"/>
        <v>5083</v>
      </c>
      <c r="BF197" s="119">
        <f t="shared" si="415"/>
        <v>5083</v>
      </c>
      <c r="BG197" s="42">
        <f>+BF197</f>
        <v>5083</v>
      </c>
      <c r="BH197" s="120">
        <f t="shared" si="416"/>
        <v>5083</v>
      </c>
      <c r="BI197" s="118">
        <f t="shared" si="416"/>
        <v>5083</v>
      </c>
      <c r="BJ197" s="118">
        <f t="shared" si="416"/>
        <v>5083</v>
      </c>
      <c r="BK197" s="119">
        <f t="shared" si="416"/>
        <v>5083</v>
      </c>
      <c r="BL197" s="42">
        <f>+BK197</f>
        <v>5083</v>
      </c>
      <c r="BM197" s="120">
        <f t="shared" si="417"/>
        <v>5083</v>
      </c>
      <c r="BN197" s="118">
        <f t="shared" si="418"/>
        <v>5083</v>
      </c>
      <c r="BO197" s="118">
        <f t="shared" si="419"/>
        <v>5083</v>
      </c>
      <c r="BP197" s="119">
        <f t="shared" si="420"/>
        <v>5083</v>
      </c>
      <c r="BQ197" s="42">
        <f>+BP197</f>
        <v>5083</v>
      </c>
      <c r="BT197" s="525"/>
      <c r="BU197" s="525"/>
      <c r="BV197" s="525"/>
      <c r="BW197" s="575"/>
      <c r="BX197" s="575"/>
      <c r="BY197" s="525"/>
      <c r="BZ197" s="525"/>
      <c r="CA197" s="525"/>
    </row>
    <row r="198" spans="3:87" x14ac:dyDescent="0.2">
      <c r="C198" t="s">
        <v>221</v>
      </c>
      <c r="D198" s="42"/>
      <c r="E198" s="114">
        <v>0</v>
      </c>
      <c r="F198" s="115">
        <v>0</v>
      </c>
      <c r="G198" s="115">
        <v>0</v>
      </c>
      <c r="H198" s="119">
        <f>+I198</f>
        <v>0</v>
      </c>
      <c r="I198" s="117">
        <v>0</v>
      </c>
      <c r="J198" s="114">
        <v>0</v>
      </c>
      <c r="K198" s="115">
        <v>0</v>
      </c>
      <c r="L198" s="115">
        <v>0</v>
      </c>
      <c r="M198" s="119">
        <f>+N198</f>
        <v>0</v>
      </c>
      <c r="N198" s="117">
        <v>0</v>
      </c>
      <c r="O198" s="114">
        <v>0</v>
      </c>
      <c r="P198" s="115">
        <v>0</v>
      </c>
      <c r="Q198" s="115">
        <v>0</v>
      </c>
      <c r="R198" s="119">
        <f>+S198</f>
        <v>0</v>
      </c>
      <c r="S198" s="117">
        <v>0</v>
      </c>
      <c r="T198" s="114">
        <v>0</v>
      </c>
      <c r="U198" s="115">
        <v>0</v>
      </c>
      <c r="V198" s="115">
        <v>0</v>
      </c>
      <c r="W198" s="119">
        <f>+X198</f>
        <v>0</v>
      </c>
      <c r="X198" s="117">
        <v>0</v>
      </c>
      <c r="Y198" s="114">
        <v>0</v>
      </c>
      <c r="Z198" s="115">
        <v>0</v>
      </c>
      <c r="AA198" s="115">
        <v>0</v>
      </c>
      <c r="AB198" s="119">
        <f>+AC198</f>
        <v>0</v>
      </c>
      <c r="AC198" s="117">
        <v>0</v>
      </c>
      <c r="AD198" s="114">
        <v>0</v>
      </c>
      <c r="AE198" s="115">
        <v>0</v>
      </c>
      <c r="AF198" s="115">
        <v>0</v>
      </c>
      <c r="AG198" s="119">
        <f>+AH198</f>
        <v>0</v>
      </c>
      <c r="AH198" s="117">
        <v>0</v>
      </c>
      <c r="AI198" s="114">
        <v>0</v>
      </c>
      <c r="AJ198" s="115">
        <v>0</v>
      </c>
      <c r="AK198" s="115">
        <v>0</v>
      </c>
      <c r="AL198" s="119">
        <f>+AM198</f>
        <v>0</v>
      </c>
      <c r="AM198" s="117">
        <v>0</v>
      </c>
      <c r="AN198" s="114">
        <v>0</v>
      </c>
      <c r="AO198" s="115">
        <v>0</v>
      </c>
      <c r="AP198" s="115">
        <v>0</v>
      </c>
      <c r="AQ198" s="119">
        <f>+AR198</f>
        <v>0</v>
      </c>
      <c r="AR198" s="117">
        <v>0</v>
      </c>
      <c r="AS198" s="114">
        <v>0</v>
      </c>
      <c r="AT198" s="115">
        <v>0</v>
      </c>
      <c r="AU198" s="115">
        <v>0</v>
      </c>
      <c r="AV198" s="119">
        <f>+AW198</f>
        <v>0</v>
      </c>
      <c r="AW198" s="117">
        <v>0</v>
      </c>
      <c r="AX198" s="120">
        <f t="shared" si="414"/>
        <v>0</v>
      </c>
      <c r="AY198" s="118">
        <f t="shared" si="414"/>
        <v>0</v>
      </c>
      <c r="AZ198" s="118">
        <f t="shared" si="414"/>
        <v>0</v>
      </c>
      <c r="BA198" s="119">
        <f t="shared" si="414"/>
        <v>0</v>
      </c>
      <c r="BB198" s="42">
        <f>+BA198</f>
        <v>0</v>
      </c>
      <c r="BC198" s="120">
        <f t="shared" si="415"/>
        <v>0</v>
      </c>
      <c r="BD198" s="118">
        <f t="shared" si="415"/>
        <v>0</v>
      </c>
      <c r="BE198" s="118">
        <f t="shared" si="415"/>
        <v>0</v>
      </c>
      <c r="BF198" s="119">
        <f t="shared" si="415"/>
        <v>0</v>
      </c>
      <c r="BG198" s="42">
        <f>+BF198</f>
        <v>0</v>
      </c>
      <c r="BH198" s="120">
        <f t="shared" si="416"/>
        <v>0</v>
      </c>
      <c r="BI198" s="118">
        <f t="shared" si="416"/>
        <v>0</v>
      </c>
      <c r="BJ198" s="118">
        <f t="shared" si="416"/>
        <v>0</v>
      </c>
      <c r="BK198" s="119">
        <f t="shared" si="416"/>
        <v>0</v>
      </c>
      <c r="BL198" s="42">
        <f>+BK198</f>
        <v>0</v>
      </c>
      <c r="BM198" s="120">
        <f t="shared" si="417"/>
        <v>0</v>
      </c>
      <c r="BN198" s="118">
        <f t="shared" si="418"/>
        <v>0</v>
      </c>
      <c r="BO198" s="118">
        <f t="shared" si="419"/>
        <v>0</v>
      </c>
      <c r="BP198" s="119">
        <f t="shared" si="420"/>
        <v>0</v>
      </c>
      <c r="BQ198" s="42">
        <f>+BP198</f>
        <v>0</v>
      </c>
      <c r="BT198" s="525"/>
      <c r="BU198" s="525"/>
      <c r="BV198" s="525"/>
      <c r="BW198" s="575"/>
      <c r="BX198" s="575"/>
      <c r="BY198" s="525"/>
      <c r="BZ198" s="525"/>
      <c r="CA198" s="525"/>
    </row>
    <row r="199" spans="3:87" x14ac:dyDescent="0.2">
      <c r="C199" t="s">
        <v>222</v>
      </c>
      <c r="D199" s="42"/>
      <c r="E199" s="114">
        <f>1152.096+344.389+318.533+1020.772+178.752+20.973</f>
        <v>3035.5149999999999</v>
      </c>
      <c r="F199" s="115">
        <f>1169.264+328.21+309.37+913.66+190.582+3.121</f>
        <v>2914.2069999999999</v>
      </c>
      <c r="G199" s="115">
        <f>1186.69+327.691+304.752+902.214+184.885+3.279</f>
        <v>2909.511</v>
      </c>
      <c r="H199" s="116">
        <f>I199</f>
        <v>2535.4360000000001</v>
      </c>
      <c r="I199" s="117">
        <f>881.479+307.77+295.47+839.051+211.666</f>
        <v>2535.4360000000001</v>
      </c>
      <c r="J199" s="114">
        <f>895.718+306.028+286.733+832.779+249.698+3.636</f>
        <v>2574.5919999999996</v>
      </c>
      <c r="K199" s="115">
        <f>905.542+293.857+281.302+830.913+254.895+3.61</f>
        <v>2570.1190000000001</v>
      </c>
      <c r="L199" s="115">
        <f>920.129+299.279+274.31+830.286+251.819+3.76</f>
        <v>2579.5830000000001</v>
      </c>
      <c r="M199" s="116">
        <f>N199</f>
        <v>2736.7849999999999</v>
      </c>
      <c r="N199" s="117">
        <f>969.31+285.986+269.087+962.767+249.635</f>
        <v>2736.7849999999999</v>
      </c>
      <c r="O199" s="114">
        <f>985.466+279.464+265.213+824.5+226.783</f>
        <v>2581.4259999999999</v>
      </c>
      <c r="P199" s="115">
        <f>1277.785+272.481+258.161+828.5+225.757</f>
        <v>2862.6840000000002</v>
      </c>
      <c r="Q199" s="115">
        <f>1293.424+265.481+256.764+829.364+221.616</f>
        <v>2866.6489999999999</v>
      </c>
      <c r="R199" s="116">
        <f>S199</f>
        <v>3369.2629999999999</v>
      </c>
      <c r="S199" s="117">
        <f>1651.793+263.906+248.345+1001.906+203.313</f>
        <v>3369.2629999999999</v>
      </c>
      <c r="T199" s="114">
        <f>1662.175+260.152+247.224+813.792+219.273</f>
        <v>3202.616</v>
      </c>
      <c r="U199" s="115">
        <f>1695.56+253.364+244.922+826.413+217.053</f>
        <v>3237.3119999999999</v>
      </c>
      <c r="V199" s="115">
        <f>1716.612+248.321+252.879+810.057+224.4</f>
        <v>3252.2689999999998</v>
      </c>
      <c r="W199" s="116">
        <f>X199</f>
        <v>3608.0220000000004</v>
      </c>
      <c r="X199" s="117">
        <f>1719.796+242.866+252.888+1163.265+229.207</f>
        <v>3608.0220000000004</v>
      </c>
      <c r="Y199" s="114">
        <f>1741.707+230.272+259.2+979.52+250.679</f>
        <v>3461.3780000000002</v>
      </c>
      <c r="Z199" s="115">
        <f>1762.959+222.575+261.684+988.773+245.443</f>
        <v>3481.4340000000007</v>
      </c>
      <c r="AA199" s="115">
        <f>1785.319+217.027+266.676+998.212+239.519</f>
        <v>3506.7529999999997</v>
      </c>
      <c r="AB199" s="116">
        <f>AC199</f>
        <v>3306.6079999999997</v>
      </c>
      <c r="AC199" s="117">
        <f>1815.39+209.224+275.555+769.222+237.217</f>
        <v>3306.6079999999997</v>
      </c>
      <c r="AD199" s="114">
        <f>1838.521+199.578+272.583+642.126+244.543</f>
        <v>3197.3510000000001</v>
      </c>
      <c r="AE199" s="115">
        <f>1897.942+194.553+268.69+650.596+237.241</f>
        <v>3249.0219999999999</v>
      </c>
      <c r="AF199" s="115">
        <f>1922.022+187.445+262.734+653.599+243.917</f>
        <v>3269.7170000000001</v>
      </c>
      <c r="AG199" s="116">
        <f>AH199</f>
        <v>4089.0720000000001</v>
      </c>
      <c r="AH199" s="117">
        <f>2446.631+183.936+256.945+936.907+264.653</f>
        <v>4089.0720000000001</v>
      </c>
      <c r="AI199" s="114">
        <f>2476.049+178.957+253.895+850.826+286.487</f>
        <v>4046.2139999999999</v>
      </c>
      <c r="AJ199" s="115">
        <f>2517.668+171.691+241.546+858.45+279.766</f>
        <v>4069.1209999999996</v>
      </c>
      <c r="AK199" s="115">
        <f>2550.93+173.588+228.479+863.645+263.452</f>
        <v>4080.0940000000001</v>
      </c>
      <c r="AL199" s="116">
        <f>AM199</f>
        <v>4208.63</v>
      </c>
      <c r="AM199" s="117">
        <f>2608.562+168.311+228.999+941.002+261.756</f>
        <v>4208.63</v>
      </c>
      <c r="AN199" s="114">
        <f>2639.628+167.299+221.683+812.998+285.743</f>
        <v>4127.3510000000006</v>
      </c>
      <c r="AO199" s="115">
        <f>2671.32+156.357+212.565+825.614+280.647</f>
        <v>4146.5030000000006</v>
      </c>
      <c r="AP199" s="115">
        <f>2703.396+154.65+216.978+843.739+277.561</f>
        <v>4196.3240000000005</v>
      </c>
      <c r="AQ199" s="116">
        <f>AR199</f>
        <v>4461.92</v>
      </c>
      <c r="AR199" s="117">
        <f>2782.229+148.146+195.214+1112.366+223.965</f>
        <v>4461.92</v>
      </c>
      <c r="AS199" s="114">
        <f>2815.677+143.684+189.984+964.398+235.333</f>
        <v>4349.076</v>
      </c>
      <c r="AT199" s="115">
        <f>2849.532+136.255+190.64+975.606+225.215</f>
        <v>4377.2480000000005</v>
      </c>
      <c r="AU199" s="115">
        <f>2883.799+131.058+190.995+984.794+144.528</f>
        <v>4335.174</v>
      </c>
      <c r="AV199" s="116">
        <f>AW199</f>
        <v>3981</v>
      </c>
      <c r="AW199" s="117">
        <f>2475+126+193+1042+145</f>
        <v>3981</v>
      </c>
      <c r="AX199" s="120">
        <f>+AW199+AX139+AX153+AX138</f>
        <v>3981</v>
      </c>
      <c r="AY199" s="118">
        <f>+AX199+AY139+AY153+AY138</f>
        <v>3981</v>
      </c>
      <c r="AZ199" s="118">
        <f>+AY199+AZ139+AZ153+AZ138</f>
        <v>3981</v>
      </c>
      <c r="BA199" s="119">
        <f>+AZ199+BA139+BA153+BA138</f>
        <v>3981</v>
      </c>
      <c r="BB199" s="42">
        <f>+BA199</f>
        <v>3981</v>
      </c>
      <c r="BC199" s="120">
        <f>+BB199+BC139+BC153+BC138</f>
        <v>3981</v>
      </c>
      <c r="BD199" s="118">
        <f>+BC199+BD139+BD153+BD138</f>
        <v>3981</v>
      </c>
      <c r="BE199" s="118">
        <f>+BD199+BE139+BE153+BE138</f>
        <v>3981</v>
      </c>
      <c r="BF199" s="119">
        <f>+BE199+BF139+BF153+BF138</f>
        <v>3981</v>
      </c>
      <c r="BG199" s="42">
        <f>+BF199</f>
        <v>3981</v>
      </c>
      <c r="BH199" s="120">
        <f>+BG199+BH139+BH153+BH138</f>
        <v>3981</v>
      </c>
      <c r="BI199" s="118">
        <f>+BH199+BI139+BI153+BI138</f>
        <v>3981</v>
      </c>
      <c r="BJ199" s="118">
        <f>+BI199+BJ139+BJ153+BJ138</f>
        <v>3981</v>
      </c>
      <c r="BK199" s="119">
        <f>+BJ199+BK139+BK153+BK138</f>
        <v>3981</v>
      </c>
      <c r="BL199" s="42">
        <f>+BK199</f>
        <v>3981</v>
      </c>
      <c r="BM199" s="120">
        <f>+BL199+BM139+BM153+BM138</f>
        <v>3981</v>
      </c>
      <c r="BN199" s="118">
        <f>+BM199+BN139+BN153+BN138</f>
        <v>3981</v>
      </c>
      <c r="BO199" s="118">
        <f>+BN199+BO139+BO153+BO138</f>
        <v>3981</v>
      </c>
      <c r="BP199" s="119">
        <f>+BO199+BP139+BP153+BP138</f>
        <v>3981</v>
      </c>
      <c r="BQ199" s="42">
        <f>+BP199</f>
        <v>3981</v>
      </c>
      <c r="BT199" s="525"/>
      <c r="BU199" s="525"/>
      <c r="BV199" s="525"/>
      <c r="BW199" s="575"/>
      <c r="BX199" s="575"/>
      <c r="BY199" s="525"/>
      <c r="BZ199" s="525"/>
      <c r="CA199" s="525"/>
    </row>
    <row r="200" spans="3:87" x14ac:dyDescent="0.2">
      <c r="C200" s="26" t="s">
        <v>223</v>
      </c>
      <c r="D200" s="42"/>
      <c r="E200" s="121">
        <f t="shared" ref="E200:AA200" si="421">SUM(E193:E199)</f>
        <v>14792.610999999999</v>
      </c>
      <c r="F200" s="122">
        <f t="shared" si="421"/>
        <v>15257.251</v>
      </c>
      <c r="G200" s="122">
        <f t="shared" si="421"/>
        <v>15398.55</v>
      </c>
      <c r="H200" s="123">
        <f t="shared" si="421"/>
        <v>14827.736999999999</v>
      </c>
      <c r="I200" s="86">
        <f t="shared" si="421"/>
        <v>14827.736999999999</v>
      </c>
      <c r="J200" s="121">
        <f t="shared" si="421"/>
        <v>15113.812000000002</v>
      </c>
      <c r="K200" s="122">
        <f t="shared" si="421"/>
        <v>15720.743000000002</v>
      </c>
      <c r="L200" s="122">
        <f t="shared" si="421"/>
        <v>16391.325000000001</v>
      </c>
      <c r="M200" s="123">
        <f t="shared" si="421"/>
        <v>16662.657999999999</v>
      </c>
      <c r="N200" s="86">
        <f t="shared" si="421"/>
        <v>16662.657999999999</v>
      </c>
      <c r="O200" s="121">
        <f t="shared" si="421"/>
        <v>16695.43</v>
      </c>
      <c r="P200" s="122">
        <f t="shared" si="421"/>
        <v>17024.920000000002</v>
      </c>
      <c r="Q200" s="122">
        <f t="shared" si="421"/>
        <v>17348.387999999999</v>
      </c>
      <c r="R200" s="123">
        <f t="shared" si="421"/>
        <v>17426.43</v>
      </c>
      <c r="S200" s="86">
        <f t="shared" si="421"/>
        <v>17426.43</v>
      </c>
      <c r="T200" s="121">
        <f t="shared" si="421"/>
        <v>17207.54</v>
      </c>
      <c r="U200" s="122">
        <f t="shared" si="421"/>
        <v>17415.416000000001</v>
      </c>
      <c r="V200" s="122">
        <f t="shared" si="421"/>
        <v>19046.800999999999</v>
      </c>
      <c r="W200" s="123">
        <f>SUM(W193:W199)</f>
        <v>19329.536</v>
      </c>
      <c r="X200" s="86">
        <f>SUM(X193:X199)</f>
        <v>19329.536</v>
      </c>
      <c r="Y200" s="121">
        <f>SUM(Y193:Y199)</f>
        <v>19906.045000000002</v>
      </c>
      <c r="Z200" s="122">
        <f t="shared" si="421"/>
        <v>20269.207000000002</v>
      </c>
      <c r="AA200" s="122">
        <f t="shared" si="421"/>
        <v>20740.305</v>
      </c>
      <c r="AB200" s="123">
        <f t="shared" ref="AB200:AJ200" si="422">SUM(AB193:AB199)</f>
        <v>20687.042000000001</v>
      </c>
      <c r="AC200" s="86">
        <f t="shared" si="422"/>
        <v>20687.042000000001</v>
      </c>
      <c r="AD200" s="121">
        <f t="shared" si="422"/>
        <v>20983.579999999998</v>
      </c>
      <c r="AE200" s="122">
        <f t="shared" si="422"/>
        <v>21736.943000000003</v>
      </c>
      <c r="AF200" s="122">
        <f t="shared" si="422"/>
        <v>21737.911999999997</v>
      </c>
      <c r="AG200" s="123">
        <f t="shared" si="422"/>
        <v>22678.819</v>
      </c>
      <c r="AH200" s="86">
        <f t="shared" si="422"/>
        <v>22678.819</v>
      </c>
      <c r="AI200" s="121">
        <f t="shared" si="422"/>
        <v>22889.253000000001</v>
      </c>
      <c r="AJ200" s="122">
        <f t="shared" si="422"/>
        <v>23462.492000000002</v>
      </c>
      <c r="AK200" s="122">
        <f>SUM(AK193:AK199)</f>
        <v>24399.846000000001</v>
      </c>
      <c r="AL200" s="123">
        <f>SUM(AL193:AL199)</f>
        <v>24394.317999999999</v>
      </c>
      <c r="AM200" s="86">
        <f>SUM(AM193:AM199)</f>
        <v>24394.317999999999</v>
      </c>
      <c r="AN200" s="121">
        <f>SUM(AN193:AN199)</f>
        <v>25209.642</v>
      </c>
      <c r="AO200" s="122">
        <f>SUM(AO193:AO199)</f>
        <v>25280.649000000001</v>
      </c>
      <c r="AP200" s="122">
        <f t="shared" ref="AP200:AU200" si="423">SUM(AP193:AP199)</f>
        <v>25882.835999999999</v>
      </c>
      <c r="AQ200" s="123">
        <f>SUM(AQ193:AQ199)</f>
        <v>26887.385000000002</v>
      </c>
      <c r="AR200" s="86">
        <f>SUM(AR193:AR199)</f>
        <v>26887.385000000002</v>
      </c>
      <c r="AS200" s="121">
        <f>SUM(AS193:AS199)</f>
        <v>26507.254000000001</v>
      </c>
      <c r="AT200" s="122">
        <f>SUM(AT193:AT199)</f>
        <v>27047.13</v>
      </c>
      <c r="AU200" s="122">
        <f t="shared" si="423"/>
        <v>27689.011000000002</v>
      </c>
      <c r="AV200" s="123">
        <f>SUM(AV193:AV199)</f>
        <v>27487</v>
      </c>
      <c r="AW200" s="86">
        <f>SUM(AW193:AW199)</f>
        <v>27487</v>
      </c>
      <c r="AX200" s="121">
        <f t="shared" ref="AX200:BG200" si="424">SUM(AX193:AX199)</f>
        <v>27879.651755580111</v>
      </c>
      <c r="AY200" s="122">
        <f t="shared" si="424"/>
        <v>27552.075618064853</v>
      </c>
      <c r="AZ200" s="122">
        <f t="shared" si="424"/>
        <v>29542.211277185666</v>
      </c>
      <c r="BA200" s="123">
        <f t="shared" si="424"/>
        <v>29806.53534650254</v>
      </c>
      <c r="BB200" s="86">
        <f t="shared" si="424"/>
        <v>29806.53534650254</v>
      </c>
      <c r="BC200" s="121">
        <f t="shared" si="424"/>
        <v>29902.535174398385</v>
      </c>
      <c r="BD200" s="122">
        <f t="shared" si="424"/>
        <v>29632.394552507252</v>
      </c>
      <c r="BE200" s="122">
        <f t="shared" si="424"/>
        <v>30632.663413775153</v>
      </c>
      <c r="BF200" s="123">
        <f t="shared" si="424"/>
        <v>30304.158328922051</v>
      </c>
      <c r="BG200" s="86">
        <f t="shared" si="424"/>
        <v>30304.158328922051</v>
      </c>
      <c r="BH200" s="121">
        <f t="shared" ref="BH200:BQ200" si="425">SUM(BH193:BH199)</f>
        <v>30007.773017221651</v>
      </c>
      <c r="BI200" s="122">
        <f t="shared" si="425"/>
        <v>30492.683314532493</v>
      </c>
      <c r="BJ200" s="122">
        <f t="shared" si="425"/>
        <v>32201.172459656649</v>
      </c>
      <c r="BK200" s="123">
        <f t="shared" si="425"/>
        <v>32261.349799340147</v>
      </c>
      <c r="BL200" s="86">
        <f t="shared" si="425"/>
        <v>32261.349799340147</v>
      </c>
      <c r="BM200" s="121">
        <f t="shared" si="425"/>
        <v>32371.721897869887</v>
      </c>
      <c r="BN200" s="122">
        <f t="shared" si="425"/>
        <v>32863.643704329152</v>
      </c>
      <c r="BO200" s="122">
        <f t="shared" si="425"/>
        <v>34181.248613345851</v>
      </c>
      <c r="BP200" s="123">
        <f t="shared" si="425"/>
        <v>34267.502677201264</v>
      </c>
      <c r="BQ200" s="86">
        <f t="shared" si="425"/>
        <v>34267.502677201264</v>
      </c>
      <c r="BT200" s="525"/>
      <c r="BU200" s="525"/>
      <c r="BV200" s="525"/>
      <c r="BW200" s="575"/>
      <c r="BX200" s="575"/>
      <c r="BY200" s="525"/>
      <c r="BZ200" s="525"/>
      <c r="CA200" s="525"/>
    </row>
    <row r="201" spans="3:87" x14ac:dyDescent="0.2">
      <c r="C201" s="26"/>
      <c r="D201" s="42"/>
      <c r="E201" s="120"/>
      <c r="F201" s="139"/>
      <c r="G201" s="139"/>
      <c r="H201" s="119"/>
      <c r="I201" s="42"/>
      <c r="J201" s="120"/>
      <c r="K201" s="118"/>
      <c r="L201" s="234"/>
      <c r="M201" s="119"/>
      <c r="N201" s="42"/>
      <c r="O201" s="120"/>
      <c r="P201" s="139"/>
      <c r="Q201" s="139"/>
      <c r="R201" s="119"/>
      <c r="S201" s="42"/>
      <c r="T201" s="120"/>
      <c r="U201" s="139"/>
      <c r="V201" s="139"/>
      <c r="W201" s="119"/>
      <c r="X201" s="42"/>
      <c r="Y201" s="120"/>
      <c r="Z201" s="139"/>
      <c r="AA201" s="139"/>
      <c r="AB201" s="119"/>
      <c r="AC201" s="42"/>
      <c r="AD201" s="120"/>
      <c r="AE201" s="139"/>
      <c r="AF201" s="139"/>
      <c r="AG201" s="119"/>
      <c r="AH201" s="42"/>
      <c r="AI201" s="120"/>
      <c r="AJ201" s="139"/>
      <c r="AK201" s="139"/>
      <c r="AL201" s="119"/>
      <c r="AM201" s="42"/>
      <c r="AN201" s="120"/>
      <c r="AO201" s="139"/>
      <c r="AP201" s="139"/>
      <c r="AQ201" s="119"/>
      <c r="AR201" s="42"/>
      <c r="AS201" s="120"/>
      <c r="AT201" s="139"/>
      <c r="AU201" s="139"/>
      <c r="AV201" s="119"/>
      <c r="AW201" s="42"/>
      <c r="AX201" s="120"/>
      <c r="AY201" s="139"/>
      <c r="AZ201" s="139"/>
      <c r="BA201" s="119"/>
      <c r="BB201" s="42"/>
      <c r="BC201" s="120"/>
      <c r="BD201" s="139"/>
      <c r="BE201" s="139"/>
      <c r="BF201" s="119"/>
      <c r="BG201" s="42"/>
      <c r="BH201" s="120"/>
      <c r="BI201" s="139"/>
      <c r="BJ201" s="139"/>
      <c r="BK201" s="119"/>
      <c r="BL201" s="42"/>
      <c r="BM201" s="120"/>
      <c r="BN201" s="139"/>
      <c r="BO201" s="139"/>
      <c r="BP201" s="119"/>
      <c r="BQ201" s="42"/>
      <c r="BT201" s="525"/>
      <c r="BU201" s="525"/>
      <c r="BV201" s="525"/>
      <c r="BW201" s="575"/>
      <c r="BX201" s="575"/>
      <c r="BY201" s="525"/>
      <c r="BZ201" s="525"/>
      <c r="CA201" s="525"/>
    </row>
    <row r="202" spans="3:87" s="20" customFormat="1" x14ac:dyDescent="0.2">
      <c r="C202" s="20" t="s">
        <v>224</v>
      </c>
      <c r="D202" s="82"/>
      <c r="E202" s="114">
        <v>104.98</v>
      </c>
      <c r="F202" s="115">
        <v>104.98</v>
      </c>
      <c r="G202" s="115">
        <v>104.98</v>
      </c>
      <c r="H202" s="116">
        <f>I202</f>
        <v>104.98</v>
      </c>
      <c r="I202" s="117">
        <v>104.98</v>
      </c>
      <c r="J202" s="114">
        <v>104.98</v>
      </c>
      <c r="K202" s="115">
        <v>104.98</v>
      </c>
      <c r="L202" s="115">
        <v>104.98</v>
      </c>
      <c r="M202" s="116">
        <f>N202</f>
        <v>104.98</v>
      </c>
      <c r="N202" s="117">
        <v>104.98</v>
      </c>
      <c r="O202" s="114">
        <v>104.98</v>
      </c>
      <c r="P202" s="115">
        <v>104.98</v>
      </c>
      <c r="Q202" s="115">
        <v>104.98</v>
      </c>
      <c r="R202" s="116">
        <f>S202</f>
        <v>0</v>
      </c>
      <c r="S202" s="117">
        <v>0</v>
      </c>
      <c r="T202" s="114">
        <v>0</v>
      </c>
      <c r="U202" s="115">
        <v>0</v>
      </c>
      <c r="V202" s="115">
        <v>0</v>
      </c>
      <c r="W202" s="116">
        <f>X202</f>
        <v>0</v>
      </c>
      <c r="X202" s="117">
        <v>0</v>
      </c>
      <c r="Y202" s="114">
        <v>0</v>
      </c>
      <c r="Z202" s="115">
        <v>0</v>
      </c>
      <c r="AA202" s="115">
        <v>0</v>
      </c>
      <c r="AB202" s="116">
        <f>AC202</f>
        <v>0</v>
      </c>
      <c r="AC202" s="117">
        <v>0</v>
      </c>
      <c r="AD202" s="114">
        <v>0</v>
      </c>
      <c r="AE202" s="115">
        <v>0</v>
      </c>
      <c r="AF202" s="115">
        <v>0</v>
      </c>
      <c r="AG202" s="116">
        <f>AH202</f>
        <v>0</v>
      </c>
      <c r="AH202" s="117">
        <v>0</v>
      </c>
      <c r="AI202" s="114">
        <v>0</v>
      </c>
      <c r="AJ202" s="115">
        <v>0</v>
      </c>
      <c r="AK202" s="115">
        <v>0</v>
      </c>
      <c r="AL202" s="116">
        <f>AM202</f>
        <v>0</v>
      </c>
      <c r="AM202" s="117">
        <v>0</v>
      </c>
      <c r="AN202" s="114">
        <v>0</v>
      </c>
      <c r="AO202" s="115">
        <v>0</v>
      </c>
      <c r="AP202" s="115">
        <v>0</v>
      </c>
      <c r="AQ202" s="116">
        <f>AR202</f>
        <v>0</v>
      </c>
      <c r="AR202" s="117">
        <v>0</v>
      </c>
      <c r="AS202" s="114">
        <v>0</v>
      </c>
      <c r="AT202" s="115">
        <v>0</v>
      </c>
      <c r="AU202" s="115">
        <v>0</v>
      </c>
      <c r="AV202" s="116">
        <f>AW202</f>
        <v>0</v>
      </c>
      <c r="AW202" s="117">
        <v>0</v>
      </c>
      <c r="AX202" s="136">
        <f>+AW202+AX150</f>
        <v>0</v>
      </c>
      <c r="AY202" s="135">
        <f>+AX202+AY150</f>
        <v>0</v>
      </c>
      <c r="AZ202" s="135">
        <f>+AY202+AZ150</f>
        <v>0</v>
      </c>
      <c r="BA202" s="116">
        <f>+AZ202+BA150</f>
        <v>0</v>
      </c>
      <c r="BB202" s="82">
        <f>+BA202</f>
        <v>0</v>
      </c>
      <c r="BC202" s="136">
        <f>+BB202+BC150</f>
        <v>0</v>
      </c>
      <c r="BD202" s="135">
        <f>+BC202+BD150</f>
        <v>0</v>
      </c>
      <c r="BE202" s="135">
        <f>+BD202+BE150</f>
        <v>0</v>
      </c>
      <c r="BF202" s="116">
        <f>+BE202+BF150</f>
        <v>0</v>
      </c>
      <c r="BG202" s="82">
        <f>+BF202</f>
        <v>0</v>
      </c>
      <c r="BH202" s="136">
        <f>+BG202+BH150</f>
        <v>0</v>
      </c>
      <c r="BI202" s="135">
        <f>+BH202+BI150</f>
        <v>0</v>
      </c>
      <c r="BJ202" s="135">
        <f>+BI202+BJ150</f>
        <v>0</v>
      </c>
      <c r="BK202" s="116">
        <f>+BJ202+BK150</f>
        <v>0</v>
      </c>
      <c r="BL202" s="82">
        <f>+BK202</f>
        <v>0</v>
      </c>
      <c r="BM202" s="136">
        <f>+BL202+BM150</f>
        <v>0</v>
      </c>
      <c r="BN202" s="135">
        <f>+BM202+BN150</f>
        <v>0</v>
      </c>
      <c r="BO202" s="135">
        <f>+BN202+BO150</f>
        <v>0</v>
      </c>
      <c r="BP202" s="116">
        <f>+BO202+BP150</f>
        <v>0</v>
      </c>
      <c r="BQ202" s="82">
        <f>+BP202</f>
        <v>0</v>
      </c>
      <c r="BT202" s="573"/>
      <c r="BU202" s="573"/>
      <c r="BV202" s="573"/>
      <c r="BW202" s="576"/>
      <c r="BX202" s="576"/>
      <c r="BY202" s="573"/>
      <c r="BZ202" s="573"/>
      <c r="CA202" s="573"/>
      <c r="CD202"/>
      <c r="CE202"/>
      <c r="CF202"/>
      <c r="CG202"/>
      <c r="CH202"/>
      <c r="CI202"/>
    </row>
    <row r="203" spans="3:87" x14ac:dyDescent="0.2">
      <c r="C203" s="20"/>
      <c r="D203" s="42"/>
      <c r="E203" s="114"/>
      <c r="F203" s="133"/>
      <c r="G203" s="133"/>
      <c r="H203" s="119"/>
      <c r="I203" s="117"/>
      <c r="J203" s="114"/>
      <c r="K203" s="133"/>
      <c r="L203" s="133"/>
      <c r="M203" s="119"/>
      <c r="N203" s="117"/>
      <c r="O203" s="114"/>
      <c r="P203" s="115"/>
      <c r="Q203" s="115"/>
      <c r="R203" s="119"/>
      <c r="S203" s="117"/>
      <c r="T203" s="114"/>
      <c r="U203" s="115"/>
      <c r="V203" s="115"/>
      <c r="W203" s="119"/>
      <c r="X203" s="117"/>
      <c r="Y203" s="114"/>
      <c r="Z203" s="115"/>
      <c r="AA203" s="115"/>
      <c r="AB203" s="119"/>
      <c r="AC203" s="117"/>
      <c r="AD203" s="114"/>
      <c r="AE203" s="115"/>
      <c r="AF203" s="115"/>
      <c r="AG203" s="119"/>
      <c r="AH203" s="117"/>
      <c r="AI203" s="114"/>
      <c r="AJ203" s="115"/>
      <c r="AK203" s="115"/>
      <c r="AL203" s="119"/>
      <c r="AM203" s="117"/>
      <c r="AN203" s="114"/>
      <c r="AO203" s="115"/>
      <c r="AP203" s="139"/>
      <c r="AQ203" s="119"/>
      <c r="AR203" s="117"/>
      <c r="AS203" s="114"/>
      <c r="AT203" s="115"/>
      <c r="AU203" s="139"/>
      <c r="AV203" s="119"/>
      <c r="AW203" s="117"/>
      <c r="AX203" s="120"/>
      <c r="AY203" s="139"/>
      <c r="AZ203" s="139"/>
      <c r="BA203" s="119"/>
      <c r="BB203" s="42"/>
      <c r="BC203" s="120"/>
      <c r="BD203" s="139"/>
      <c r="BE203" s="139"/>
      <c r="BF203" s="119"/>
      <c r="BG203" s="42"/>
      <c r="BH203" s="120"/>
      <c r="BI203" s="139"/>
      <c r="BJ203" s="139"/>
      <c r="BK203" s="119"/>
      <c r="BL203" s="42"/>
      <c r="BM203" s="120"/>
      <c r="BN203" s="139"/>
      <c r="BO203" s="139"/>
      <c r="BP203" s="119"/>
      <c r="BQ203" s="42"/>
      <c r="BT203" s="525"/>
      <c r="BU203" s="525"/>
      <c r="BV203" s="525"/>
      <c r="BW203" s="575"/>
      <c r="BX203" s="575"/>
      <c r="BY203" s="525"/>
      <c r="BZ203" s="525"/>
      <c r="CA203" s="525"/>
    </row>
    <row r="204" spans="3:87" x14ac:dyDescent="0.2">
      <c r="C204" s="20" t="s">
        <v>225</v>
      </c>
      <c r="D204" s="42"/>
      <c r="E204" s="114">
        <v>1252.471</v>
      </c>
      <c r="F204" s="115">
        <v>1256.405</v>
      </c>
      <c r="G204" s="115">
        <v>1363.9179999999999</v>
      </c>
      <c r="H204" s="116">
        <f>I204</f>
        <v>1419.201</v>
      </c>
      <c r="I204" s="117">
        <v>1419.201</v>
      </c>
      <c r="J204" s="114">
        <v>1472.308</v>
      </c>
      <c r="K204" s="115">
        <v>1493.9970000000001</v>
      </c>
      <c r="L204" s="115">
        <v>1688.489</v>
      </c>
      <c r="M204" s="116">
        <f>N204</f>
        <v>1701.703</v>
      </c>
      <c r="N204" s="117">
        <v>1701.703</v>
      </c>
      <c r="O204" s="114">
        <v>1781.386</v>
      </c>
      <c r="P204" s="115">
        <v>1812.5050000000001</v>
      </c>
      <c r="Q204" s="115">
        <v>2019.44</v>
      </c>
      <c r="R204" s="116">
        <f>S204</f>
        <v>2032.556</v>
      </c>
      <c r="S204" s="117">
        <v>2032.556</v>
      </c>
      <c r="T204" s="114">
        <v>2089.2750000000001</v>
      </c>
      <c r="U204" s="115">
        <v>2140.6390000000001</v>
      </c>
      <c r="V204" s="115">
        <v>2406.0160000000001</v>
      </c>
      <c r="W204" s="116">
        <f>X204</f>
        <v>2413.8159999999998</v>
      </c>
      <c r="X204" s="117">
        <v>2413.8159999999998</v>
      </c>
      <c r="Y204" s="114">
        <v>2516.3319999999999</v>
      </c>
      <c r="Z204" s="115">
        <v>2572.9349999999999</v>
      </c>
      <c r="AA204" s="115">
        <v>2797.4859999999999</v>
      </c>
      <c r="AB204" s="116">
        <f>AC204</f>
        <v>2807.9830000000002</v>
      </c>
      <c r="AC204" s="117">
        <v>2807.9830000000002</v>
      </c>
      <c r="AD204" s="114">
        <v>2918.2150000000001</v>
      </c>
      <c r="AE204" s="115">
        <v>2961.4059999999999</v>
      </c>
      <c r="AF204" s="115">
        <v>3177.3870000000002</v>
      </c>
      <c r="AG204" s="116">
        <f>AH204</f>
        <v>3220.9580000000001</v>
      </c>
      <c r="AH204" s="117">
        <v>3220.9580000000001</v>
      </c>
      <c r="AI204" s="114">
        <v>3209.904</v>
      </c>
      <c r="AJ204" s="115">
        <v>3243.645</v>
      </c>
      <c r="AK204" s="115">
        <v>3506.8609999999999</v>
      </c>
      <c r="AL204" s="116">
        <f>AM204</f>
        <v>3552.7280000000001</v>
      </c>
      <c r="AM204" s="117">
        <v>3552.7280000000001</v>
      </c>
      <c r="AN204" s="114">
        <v>3620.4209999999998</v>
      </c>
      <c r="AO204" s="115">
        <v>3643.6529999999998</v>
      </c>
      <c r="AP204" s="115">
        <v>3924.125</v>
      </c>
      <c r="AQ204" s="116">
        <f>AR204</f>
        <v>3981.652</v>
      </c>
      <c r="AR204" s="117">
        <v>3981.652</v>
      </c>
      <c r="AS204" s="114">
        <v>4036.3519999999999</v>
      </c>
      <c r="AT204" s="115">
        <v>4079.0680000000002</v>
      </c>
      <c r="AU204" s="115">
        <v>4386.05</v>
      </c>
      <c r="AV204" s="116">
        <f>AW204</f>
        <v>4413</v>
      </c>
      <c r="AW204" s="117">
        <v>4413</v>
      </c>
      <c r="AX204" s="120">
        <f>+AW204+AX54+AX151</f>
        <v>4508.9422088654774</v>
      </c>
      <c r="AY204" s="118">
        <f>+AX204+AY54+AY151</f>
        <v>4561.7093274835042</v>
      </c>
      <c r="AZ204" s="118">
        <f>+AY204+AZ54+AZ151</f>
        <v>4837.8754588183465</v>
      </c>
      <c r="BA204" s="119">
        <f>+AZ204+BA54+BA151</f>
        <v>4872.0352412760785</v>
      </c>
      <c r="BB204" s="42">
        <f>+BA204</f>
        <v>4872.0352412760785</v>
      </c>
      <c r="BC204" s="120">
        <f>+BB204+BC54+BC151</f>
        <v>4986.0370918735507</v>
      </c>
      <c r="BD204" s="118">
        <f>+BC204+BD54+BD151</f>
        <v>5047.1524645489962</v>
      </c>
      <c r="BE204" s="118">
        <f>+BD204+BE54+BE151</f>
        <v>5339.0202006849831</v>
      </c>
      <c r="BF204" s="119">
        <f>+BE204+BF54+BF151</f>
        <v>5380.4574675372951</v>
      </c>
      <c r="BG204" s="42">
        <f>+BF204</f>
        <v>5380.4574675372951</v>
      </c>
      <c r="BH204" s="120">
        <f>+BG204+BH54+BH151</f>
        <v>5496.49998214261</v>
      </c>
      <c r="BI204" s="118">
        <f>+BH204+BI54+BI151</f>
        <v>5555.3252408108083</v>
      </c>
      <c r="BJ204" s="118">
        <f>+BI204+BJ54+BJ151</f>
        <v>5851.0727758257826</v>
      </c>
      <c r="BK204" s="119">
        <f>+BJ204+BK54+BK151</f>
        <v>5897.1068618680802</v>
      </c>
      <c r="BL204" s="42">
        <f>+BK204</f>
        <v>5897.1068618680802</v>
      </c>
      <c r="BM204" s="120">
        <f>+BL204+BM54+BM151</f>
        <v>6021.9957800678758</v>
      </c>
      <c r="BN204" s="118">
        <f>+BM204+BN54+BN151</f>
        <v>6088.7111461826162</v>
      </c>
      <c r="BO204" s="118">
        <f>+BN204+BO54+BO151</f>
        <v>6398.2095840340462</v>
      </c>
      <c r="BP204" s="119">
        <f>+BO204+BP54+BP151</f>
        <v>6454.7515756498533</v>
      </c>
      <c r="BQ204" s="42">
        <f>+BP204</f>
        <v>6454.7515756498533</v>
      </c>
      <c r="BT204" s="525"/>
      <c r="BU204" s="525"/>
      <c r="BV204" s="525"/>
      <c r="BW204" s="575"/>
      <c r="BX204" s="575"/>
      <c r="BY204" s="525"/>
      <c r="BZ204" s="525"/>
      <c r="CA204" s="525"/>
    </row>
    <row r="205" spans="3:87" x14ac:dyDescent="0.2">
      <c r="C205" s="20" t="s">
        <v>226</v>
      </c>
      <c r="D205" s="42"/>
      <c r="E205" s="114">
        <f>1138.141+4710.666</f>
        <v>5848.8070000000007</v>
      </c>
      <c r="F205" s="115">
        <f>1139.292+4727.38</f>
        <v>5866.6720000000005</v>
      </c>
      <c r="G205" s="115">
        <f>1140.629+4741.089</f>
        <v>5881.7179999999998</v>
      </c>
      <c r="H205" s="116">
        <f>I205</f>
        <v>5913.7529999999997</v>
      </c>
      <c r="I205" s="117">
        <f>1143.773+4769.98</f>
        <v>5913.7529999999997</v>
      </c>
      <c r="J205" s="114">
        <f>1148.038+4784.152</f>
        <v>5932.1900000000005</v>
      </c>
      <c r="K205" s="115">
        <f>1149.069+4800.841</f>
        <v>5949.91</v>
      </c>
      <c r="L205" s="115">
        <f>1150.261+4817.664</f>
        <v>5967.9249999999993</v>
      </c>
      <c r="M205" s="116">
        <f>N205</f>
        <v>6434.9089999999997</v>
      </c>
      <c r="N205" s="117">
        <f>1205.834+5229.075</f>
        <v>6434.9089999999997</v>
      </c>
      <c r="O205" s="114">
        <f>1210.411+5241.533</f>
        <v>6451.9440000000004</v>
      </c>
      <c r="P205" s="115">
        <f>1211.356+5261.687</f>
        <v>6473.0429999999997</v>
      </c>
      <c r="Q205" s="115">
        <v>5280.4629999999997</v>
      </c>
      <c r="R205" s="116">
        <f>S205</f>
        <v>6543.6769999999997</v>
      </c>
      <c r="S205" s="117">
        <f>1216.234+5327.443</f>
        <v>6543.6769999999997</v>
      </c>
      <c r="T205" s="114">
        <f>1217.339+5298.572</f>
        <v>6515.9110000000001</v>
      </c>
      <c r="U205" s="115">
        <f>1218.214+5316.658</f>
        <v>6534.8720000000003</v>
      </c>
      <c r="V205" s="115">
        <f>1219.032+5334.715</f>
        <v>6553.7470000000003</v>
      </c>
      <c r="W205" s="116">
        <f>X205</f>
        <v>6572.9140000000007</v>
      </c>
      <c r="X205" s="117">
        <f>1219.899+5353.015</f>
        <v>6572.9140000000007</v>
      </c>
      <c r="Y205" s="114">
        <f>1236.888+5515.513</f>
        <v>6752.4009999999998</v>
      </c>
      <c r="Z205" s="115">
        <f>1243.239+5595.906</f>
        <v>6839.1450000000004</v>
      </c>
      <c r="AA205" s="115">
        <f>1244.064+5615.716</f>
        <v>6859.7800000000007</v>
      </c>
      <c r="AB205" s="116">
        <f>AC205</f>
        <v>6864.2420000000002</v>
      </c>
      <c r="AC205" s="117">
        <f>1244.929+5619.313</f>
        <v>6864.2420000000002</v>
      </c>
      <c r="AD205" s="114">
        <f>1252.879+5681.15</f>
        <v>6934.0289999999995</v>
      </c>
      <c r="AE205" s="115">
        <f>1262.764+5799.968</f>
        <v>7062.732</v>
      </c>
      <c r="AF205" s="115">
        <f>1263.56+5815.714</f>
        <v>7079.2739999999994</v>
      </c>
      <c r="AG205" s="116">
        <f>AH205</f>
        <v>7101.6630000000005</v>
      </c>
      <c r="AH205" s="117">
        <f>1264.333+5837.33</f>
        <v>7101.6630000000005</v>
      </c>
      <c r="AI205" s="114">
        <f>1266.659+5844.995</f>
        <v>7111.6540000000005</v>
      </c>
      <c r="AJ205" s="115">
        <f>1267.398+5863.209</f>
        <v>7130.607</v>
      </c>
      <c r="AK205" s="115">
        <f>1268.168+5873.44</f>
        <v>7141.6079999999993</v>
      </c>
      <c r="AL205" s="116">
        <f>AM205</f>
        <v>7157.9449999999997</v>
      </c>
      <c r="AM205" s="117">
        <f>1268.839+5889.106</f>
        <v>7157.9449999999997</v>
      </c>
      <c r="AN205" s="114">
        <f>1269.882+5889.939</f>
        <v>7159.8209999999999</v>
      </c>
      <c r="AO205" s="115">
        <f>1269.882+5896.394</f>
        <v>7166.2759999999998</v>
      </c>
      <c r="AP205" s="115">
        <f>1269.882+5898.896</f>
        <v>7168.7780000000002</v>
      </c>
      <c r="AQ205" s="116">
        <f>AR205</f>
        <v>7149.5509999999995</v>
      </c>
      <c r="AR205" s="117">
        <f>1268.057+5881.494</f>
        <v>7149.5509999999995</v>
      </c>
      <c r="AS205" s="114">
        <f>1269.407+5872.933</f>
        <v>7142.34</v>
      </c>
      <c r="AT205" s="115">
        <f>1269.407+5881.475</f>
        <v>7150.8820000000005</v>
      </c>
      <c r="AU205" s="115">
        <f>1269.407+5888.729</f>
        <v>7158.1360000000004</v>
      </c>
      <c r="AV205" s="116">
        <f>AW205</f>
        <v>7167</v>
      </c>
      <c r="AW205" s="117">
        <f>1269+5898</f>
        <v>7167</v>
      </c>
      <c r="AX205" s="120">
        <f>+AW205+AX152</f>
        <v>7186.25</v>
      </c>
      <c r="AY205" s="118">
        <f>+AX205+AY152</f>
        <v>7205.5</v>
      </c>
      <c r="AZ205" s="118">
        <f>+AY205+AZ152</f>
        <v>7224.75</v>
      </c>
      <c r="BA205" s="119">
        <f>+AZ205+BA152</f>
        <v>7244</v>
      </c>
      <c r="BB205" s="42">
        <f>+BA205</f>
        <v>7244</v>
      </c>
      <c r="BC205" s="120">
        <f>+BB205+BC152</f>
        <v>7263.25</v>
      </c>
      <c r="BD205" s="118">
        <f>+BC205+BD152</f>
        <v>7282.5</v>
      </c>
      <c r="BE205" s="118">
        <f>+BD205+BE152</f>
        <v>7301.75</v>
      </c>
      <c r="BF205" s="119">
        <f>+BE205+BF152</f>
        <v>7321</v>
      </c>
      <c r="BG205" s="42">
        <f>+BF205</f>
        <v>7321</v>
      </c>
      <c r="BH205" s="120">
        <f>+BG205+BH152</f>
        <v>7340.25</v>
      </c>
      <c r="BI205" s="118">
        <f>+BH205+BI152</f>
        <v>7359.5</v>
      </c>
      <c r="BJ205" s="118">
        <f>+BI205+BJ152</f>
        <v>7378.75</v>
      </c>
      <c r="BK205" s="119">
        <f>+BJ205+BK152</f>
        <v>7398</v>
      </c>
      <c r="BL205" s="42">
        <f>+BK205</f>
        <v>7398</v>
      </c>
      <c r="BM205" s="120">
        <f>+BL205+BM152</f>
        <v>7417.25</v>
      </c>
      <c r="BN205" s="118">
        <f>+BM205+BN152</f>
        <v>7436.5</v>
      </c>
      <c r="BO205" s="118">
        <f>+BN205+BO152</f>
        <v>7455.75</v>
      </c>
      <c r="BP205" s="119">
        <f>+BO205+BP152</f>
        <v>7475</v>
      </c>
      <c r="BQ205" s="42">
        <f>+BP205</f>
        <v>7475</v>
      </c>
      <c r="BT205" s="525"/>
      <c r="BU205" s="525"/>
      <c r="BV205" s="525"/>
      <c r="BW205" s="575"/>
      <c r="BX205" s="575"/>
      <c r="BY205" s="525"/>
      <c r="BZ205" s="525"/>
      <c r="CA205" s="525"/>
    </row>
    <row r="206" spans="3:87" x14ac:dyDescent="0.2">
      <c r="C206" s="573" t="s">
        <v>97</v>
      </c>
      <c r="D206" s="42"/>
      <c r="E206" s="114">
        <v>-52.195999999999998</v>
      </c>
      <c r="F206" s="115">
        <v>-49.353999999999999</v>
      </c>
      <c r="G206" s="115">
        <v>-54.456000000000003</v>
      </c>
      <c r="H206" s="116">
        <f>I206</f>
        <v>-49.709000000000003</v>
      </c>
      <c r="I206" s="117">
        <v>-49.709000000000003</v>
      </c>
      <c r="J206" s="114">
        <v>-48.627000000000002</v>
      </c>
      <c r="K206" s="115">
        <v>-52.085000000000001</v>
      </c>
      <c r="L206" s="115">
        <v>-50.737000000000002</v>
      </c>
      <c r="M206" s="116">
        <f>N206</f>
        <v>-53.093000000000004</v>
      </c>
      <c r="N206" s="117">
        <v>-53.093000000000004</v>
      </c>
      <c r="O206" s="114">
        <v>-51.847000000000001</v>
      </c>
      <c r="P206" s="115">
        <f>-50.983</f>
        <v>-50.982999999999997</v>
      </c>
      <c r="Q206" s="115">
        <f>-80.969+1212.369</f>
        <v>1131.3999999999999</v>
      </c>
      <c r="R206" s="116">
        <f>S206</f>
        <v>-94.034999999999997</v>
      </c>
      <c r="S206" s="117">
        <v>-94.034999999999997</v>
      </c>
      <c r="T206" s="114">
        <v>-67.515000000000001</v>
      </c>
      <c r="U206" s="115">
        <v>-102.006</v>
      </c>
      <c r="V206" s="115">
        <v>-109.6</v>
      </c>
      <c r="W206" s="116">
        <f>X206</f>
        <v>-112.65300000000001</v>
      </c>
      <c r="X206" s="117">
        <v>-112.65300000000001</v>
      </c>
      <c r="Y206" s="114">
        <v>-113.62</v>
      </c>
      <c r="Z206" s="115">
        <v>-111.83499999999999</v>
      </c>
      <c r="AA206" s="115">
        <v>-109.98</v>
      </c>
      <c r="AB206" s="116">
        <f>AC206</f>
        <v>-106.27500000000001</v>
      </c>
      <c r="AC206" s="117">
        <v>-106.27500000000001</v>
      </c>
      <c r="AD206" s="114">
        <v>-104.82</v>
      </c>
      <c r="AE206" s="115">
        <v>-103.366</v>
      </c>
      <c r="AF206" s="115">
        <v>-102.001</v>
      </c>
      <c r="AG206" s="116">
        <f>AH206</f>
        <v>-108.139</v>
      </c>
      <c r="AH206" s="117">
        <v>-108.139</v>
      </c>
      <c r="AI206" s="114">
        <v>-106.688</v>
      </c>
      <c r="AJ206" s="115">
        <v>-105.18600000000001</v>
      </c>
      <c r="AK206" s="115">
        <v>-103.639</v>
      </c>
      <c r="AL206" s="116">
        <f>AM206</f>
        <v>-109.753</v>
      </c>
      <c r="AM206" s="117">
        <v>-109.753</v>
      </c>
      <c r="AN206" s="114">
        <v>-108.608</v>
      </c>
      <c r="AO206" s="115">
        <v>-106.795</v>
      </c>
      <c r="AP206" s="115">
        <v>-104.961</v>
      </c>
      <c r="AQ206" s="116">
        <f>AR206</f>
        <v>-110.354</v>
      </c>
      <c r="AR206" s="117">
        <v>-110.354</v>
      </c>
      <c r="AS206" s="114">
        <v>-108.581</v>
      </c>
      <c r="AT206" s="115">
        <v>-106.795</v>
      </c>
      <c r="AU206" s="115">
        <v>-104.809</v>
      </c>
      <c r="AV206" s="116">
        <f>AW206</f>
        <v>-125</v>
      </c>
      <c r="AW206" s="117">
        <v>-125</v>
      </c>
      <c r="AX206" s="120">
        <f>+AW206</f>
        <v>-125</v>
      </c>
      <c r="AY206" s="118">
        <f>+AX206</f>
        <v>-125</v>
      </c>
      <c r="AZ206" s="118">
        <f>+AY206</f>
        <v>-125</v>
      </c>
      <c r="BA206" s="119">
        <f>+AZ206</f>
        <v>-125</v>
      </c>
      <c r="BB206" s="42">
        <f>+BA206</f>
        <v>-125</v>
      </c>
      <c r="BC206" s="120">
        <f>+BB206</f>
        <v>-125</v>
      </c>
      <c r="BD206" s="118">
        <f>+BC206</f>
        <v>-125</v>
      </c>
      <c r="BE206" s="118">
        <f>+BD206</f>
        <v>-125</v>
      </c>
      <c r="BF206" s="119">
        <f>+BE206</f>
        <v>-125</v>
      </c>
      <c r="BG206" s="42">
        <f>+BF206</f>
        <v>-125</v>
      </c>
      <c r="BH206" s="120">
        <f>+BG206</f>
        <v>-125</v>
      </c>
      <c r="BI206" s="118">
        <f>+BH206</f>
        <v>-125</v>
      </c>
      <c r="BJ206" s="118">
        <f>+BI206</f>
        <v>-125</v>
      </c>
      <c r="BK206" s="119">
        <f>+BJ206</f>
        <v>-125</v>
      </c>
      <c r="BL206" s="42">
        <f>+BK206</f>
        <v>-125</v>
      </c>
      <c r="BM206" s="120">
        <f>+BL206</f>
        <v>-125</v>
      </c>
      <c r="BN206" s="118">
        <f>+BM206</f>
        <v>-125</v>
      </c>
      <c r="BO206" s="118">
        <f>+BN206</f>
        <v>-125</v>
      </c>
      <c r="BP206" s="119">
        <f>+BO206</f>
        <v>-125</v>
      </c>
      <c r="BQ206" s="42">
        <f>+BP206</f>
        <v>-125</v>
      </c>
      <c r="BT206" s="525"/>
      <c r="BU206" s="525"/>
      <c r="BV206" s="525"/>
      <c r="BW206" s="575"/>
      <c r="BX206" s="575"/>
      <c r="BY206" s="525"/>
      <c r="BZ206" s="525"/>
      <c r="CA206" s="525"/>
    </row>
    <row r="207" spans="3:87" x14ac:dyDescent="0.2">
      <c r="C207" s="26" t="s">
        <v>227</v>
      </c>
      <c r="D207" s="42"/>
      <c r="E207" s="121">
        <f t="shared" ref="E207:AA207" si="426">SUM(E204:E206)</f>
        <v>7049.0820000000003</v>
      </c>
      <c r="F207" s="122">
        <f t="shared" si="426"/>
        <v>7073.723</v>
      </c>
      <c r="G207" s="122">
        <f t="shared" si="426"/>
        <v>7191.1799999999994</v>
      </c>
      <c r="H207" s="123">
        <f t="shared" si="426"/>
        <v>7283.2449999999999</v>
      </c>
      <c r="I207" s="86">
        <f t="shared" si="426"/>
        <v>7283.2449999999999</v>
      </c>
      <c r="J207" s="121">
        <f t="shared" si="426"/>
        <v>7355.8710000000001</v>
      </c>
      <c r="K207" s="122">
        <f t="shared" si="426"/>
        <v>7391.8220000000001</v>
      </c>
      <c r="L207" s="122">
        <f t="shared" si="426"/>
        <v>7605.6769999999988</v>
      </c>
      <c r="M207" s="123">
        <f t="shared" si="426"/>
        <v>8083.5189999999993</v>
      </c>
      <c r="N207" s="86">
        <f t="shared" si="426"/>
        <v>8083.5189999999993</v>
      </c>
      <c r="O207" s="121">
        <f t="shared" si="426"/>
        <v>8181.4830000000002</v>
      </c>
      <c r="P207" s="122">
        <f t="shared" si="426"/>
        <v>8234.5649999999987</v>
      </c>
      <c r="Q207" s="122">
        <f t="shared" si="426"/>
        <v>8431.3029999999999</v>
      </c>
      <c r="R207" s="123">
        <f t="shared" si="426"/>
        <v>8482.1980000000003</v>
      </c>
      <c r="S207" s="86">
        <f t="shared" si="426"/>
        <v>8482.1980000000003</v>
      </c>
      <c r="T207" s="121">
        <f t="shared" si="426"/>
        <v>8537.6710000000003</v>
      </c>
      <c r="U207" s="122">
        <f t="shared" si="426"/>
        <v>8573.505000000001</v>
      </c>
      <c r="V207" s="122">
        <f t="shared" si="426"/>
        <v>8850.1630000000005</v>
      </c>
      <c r="W207" s="123">
        <f>SUM(W204:W206)</f>
        <v>8874.0769999999993</v>
      </c>
      <c r="X207" s="86">
        <f>SUM(X204:X206)</f>
        <v>8874.0769999999993</v>
      </c>
      <c r="Y207" s="121">
        <f>SUM(Y204:Y206)</f>
        <v>9155.1129999999994</v>
      </c>
      <c r="Z207" s="122">
        <f t="shared" si="426"/>
        <v>9300.2450000000008</v>
      </c>
      <c r="AA207" s="122">
        <f t="shared" si="426"/>
        <v>9547.2860000000001</v>
      </c>
      <c r="AB207" s="123">
        <f t="shared" ref="AB207:AJ207" si="427">SUM(AB204:AB206)</f>
        <v>9565.9500000000007</v>
      </c>
      <c r="AC207" s="86">
        <f t="shared" si="427"/>
        <v>9565.9500000000007</v>
      </c>
      <c r="AD207" s="121">
        <f t="shared" si="427"/>
        <v>9747.4239999999991</v>
      </c>
      <c r="AE207" s="122">
        <f t="shared" si="427"/>
        <v>9920.771999999999</v>
      </c>
      <c r="AF207" s="122">
        <f t="shared" si="427"/>
        <v>10154.66</v>
      </c>
      <c r="AG207" s="123">
        <f t="shared" si="427"/>
        <v>10214.482000000002</v>
      </c>
      <c r="AH207" s="86">
        <f t="shared" si="427"/>
        <v>10214.482000000002</v>
      </c>
      <c r="AI207" s="121">
        <f t="shared" si="427"/>
        <v>10214.870000000001</v>
      </c>
      <c r="AJ207" s="122">
        <f t="shared" si="427"/>
        <v>10269.066000000001</v>
      </c>
      <c r="AK207" s="122">
        <f t="shared" ref="AK207:AU207" si="428">SUM(AK204:AK206)</f>
        <v>10544.83</v>
      </c>
      <c r="AL207" s="123">
        <f t="shared" si="428"/>
        <v>10600.919999999998</v>
      </c>
      <c r="AM207" s="86">
        <f t="shared" si="428"/>
        <v>10600.919999999998</v>
      </c>
      <c r="AN207" s="121">
        <f t="shared" si="428"/>
        <v>10671.634</v>
      </c>
      <c r="AO207" s="122">
        <f t="shared" si="428"/>
        <v>10703.134</v>
      </c>
      <c r="AP207" s="122">
        <f t="shared" si="428"/>
        <v>10987.942000000001</v>
      </c>
      <c r="AQ207" s="123">
        <f t="shared" si="428"/>
        <v>11020.849</v>
      </c>
      <c r="AR207" s="86">
        <f t="shared" si="428"/>
        <v>11020.849</v>
      </c>
      <c r="AS207" s="121">
        <f t="shared" si="428"/>
        <v>11070.110999999999</v>
      </c>
      <c r="AT207" s="122">
        <f t="shared" si="428"/>
        <v>11123.155000000001</v>
      </c>
      <c r="AU207" s="122">
        <f t="shared" si="428"/>
        <v>11439.377000000002</v>
      </c>
      <c r="AV207" s="123">
        <f t="shared" ref="AV207:AW207" si="429">SUM(AV204:AV206)</f>
        <v>11455</v>
      </c>
      <c r="AW207" s="86">
        <f t="shared" si="429"/>
        <v>11455</v>
      </c>
      <c r="AX207" s="121">
        <f t="shared" ref="AX207:BG207" si="430">SUM(AX204:AX206)</f>
        <v>11570.192208865477</v>
      </c>
      <c r="AY207" s="122">
        <f t="shared" si="430"/>
        <v>11642.209327483504</v>
      </c>
      <c r="AZ207" s="122">
        <f t="shared" si="430"/>
        <v>11937.625458818347</v>
      </c>
      <c r="BA207" s="123">
        <f t="shared" si="430"/>
        <v>11991.035241276079</v>
      </c>
      <c r="BB207" s="86">
        <f t="shared" si="430"/>
        <v>11991.035241276079</v>
      </c>
      <c r="BC207" s="121">
        <f t="shared" si="430"/>
        <v>12124.28709187355</v>
      </c>
      <c r="BD207" s="122">
        <f t="shared" si="430"/>
        <v>12204.652464548995</v>
      </c>
      <c r="BE207" s="122">
        <f t="shared" si="430"/>
        <v>12515.770200684983</v>
      </c>
      <c r="BF207" s="123">
        <f t="shared" si="430"/>
        <v>12576.457467537295</v>
      </c>
      <c r="BG207" s="86">
        <f t="shared" si="430"/>
        <v>12576.457467537295</v>
      </c>
      <c r="BH207" s="121">
        <f t="shared" ref="BH207:BQ207" si="431">SUM(BH204:BH206)</f>
        <v>12711.74998214261</v>
      </c>
      <c r="BI207" s="122">
        <f t="shared" si="431"/>
        <v>12789.825240810809</v>
      </c>
      <c r="BJ207" s="122">
        <f t="shared" si="431"/>
        <v>13104.822775825782</v>
      </c>
      <c r="BK207" s="123">
        <f t="shared" si="431"/>
        <v>13170.10686186808</v>
      </c>
      <c r="BL207" s="86">
        <f t="shared" si="431"/>
        <v>13170.10686186808</v>
      </c>
      <c r="BM207" s="121">
        <f t="shared" si="431"/>
        <v>13314.245780067875</v>
      </c>
      <c r="BN207" s="122">
        <f t="shared" si="431"/>
        <v>13400.211146182617</v>
      </c>
      <c r="BO207" s="122">
        <f t="shared" si="431"/>
        <v>13728.959584034046</v>
      </c>
      <c r="BP207" s="123">
        <f t="shared" si="431"/>
        <v>13804.751575649854</v>
      </c>
      <c r="BQ207" s="86">
        <f t="shared" si="431"/>
        <v>13804.751575649854</v>
      </c>
      <c r="BT207" s="525"/>
      <c r="BU207" s="525"/>
      <c r="BV207" s="525"/>
      <c r="BW207" s="575"/>
      <c r="BX207" s="575"/>
      <c r="BY207" s="525"/>
      <c r="BZ207" s="525"/>
      <c r="CA207" s="525"/>
    </row>
    <row r="208" spans="3:87" x14ac:dyDescent="0.2">
      <c r="C208" s="20"/>
      <c r="D208" s="42"/>
      <c r="E208" s="120"/>
      <c r="F208" s="139"/>
      <c r="G208" s="139"/>
      <c r="H208" s="119"/>
      <c r="I208" s="42"/>
      <c r="J208" s="120"/>
      <c r="K208" s="139"/>
      <c r="L208" s="139"/>
      <c r="M208" s="119"/>
      <c r="N208" s="42"/>
      <c r="O208" s="120"/>
      <c r="P208" s="139"/>
      <c r="Q208" s="139"/>
      <c r="R208" s="119"/>
      <c r="S208" s="42"/>
      <c r="T208" s="120"/>
      <c r="U208" s="139"/>
      <c r="V208" s="139"/>
      <c r="W208" s="119"/>
      <c r="X208" s="42"/>
      <c r="Y208" s="120"/>
      <c r="Z208" s="139"/>
      <c r="AA208" s="139"/>
      <c r="AB208" s="119"/>
      <c r="AC208" s="42"/>
      <c r="AD208" s="120"/>
      <c r="AE208" s="139"/>
      <c r="AF208" s="139"/>
      <c r="AG208" s="119"/>
      <c r="AH208" s="42"/>
      <c r="AI208" s="120"/>
      <c r="AJ208" s="139"/>
      <c r="AK208" s="139"/>
      <c r="AL208" s="119"/>
      <c r="AM208" s="42"/>
      <c r="AN208" s="120"/>
      <c r="AO208" s="139"/>
      <c r="AP208" s="139"/>
      <c r="AQ208" s="119"/>
      <c r="AR208" s="42"/>
      <c r="AS208" s="120"/>
      <c r="AT208" s="139"/>
      <c r="AU208" s="139"/>
      <c r="AV208" s="119"/>
      <c r="AW208" s="42"/>
      <c r="AX208" s="120"/>
      <c r="AY208" s="139"/>
      <c r="AZ208" s="139"/>
      <c r="BA208" s="119"/>
      <c r="BB208" s="42"/>
      <c r="BC208" s="120"/>
      <c r="BD208" s="139"/>
      <c r="BE208" s="139"/>
      <c r="BF208" s="119"/>
      <c r="BG208" s="42"/>
      <c r="BH208" s="120"/>
      <c r="BI208" s="139"/>
      <c r="BJ208" s="139"/>
      <c r="BK208" s="119"/>
      <c r="BL208" s="42"/>
      <c r="BM208" s="120"/>
      <c r="BN208" s="139"/>
      <c r="BO208" s="139"/>
      <c r="BP208" s="119"/>
      <c r="BQ208" s="42"/>
      <c r="BT208" s="525"/>
      <c r="BU208" s="525"/>
      <c r="BV208" s="525"/>
      <c r="BW208" s="575"/>
      <c r="BX208" s="575"/>
      <c r="BY208" s="525"/>
      <c r="BZ208" s="525"/>
      <c r="CA208" s="525"/>
    </row>
    <row r="209" spans="1:79" x14ac:dyDescent="0.2">
      <c r="C209" s="26" t="s">
        <v>228</v>
      </c>
      <c r="D209" s="42"/>
      <c r="E209" s="121">
        <f t="shared" ref="E209:AA209" si="432">+E207+E202+E200+E191</f>
        <v>24628.260999999999</v>
      </c>
      <c r="F209" s="122">
        <f t="shared" si="432"/>
        <v>24987.250999999997</v>
      </c>
      <c r="G209" s="122">
        <f t="shared" si="432"/>
        <v>25081.207999999999</v>
      </c>
      <c r="H209" s="123">
        <f t="shared" si="432"/>
        <v>25305.960999999999</v>
      </c>
      <c r="I209" s="86">
        <f t="shared" si="432"/>
        <v>25305.960999999999</v>
      </c>
      <c r="J209" s="121">
        <f t="shared" si="432"/>
        <v>25334.501</v>
      </c>
      <c r="K209" s="122">
        <f t="shared" si="432"/>
        <v>25563.212000000003</v>
      </c>
      <c r="L209" s="122">
        <f t="shared" si="432"/>
        <v>26301.466</v>
      </c>
      <c r="M209" s="123">
        <f t="shared" si="432"/>
        <v>27387.69</v>
      </c>
      <c r="N209" s="86">
        <f t="shared" si="432"/>
        <v>27387.69</v>
      </c>
      <c r="O209" s="121">
        <f t="shared" si="432"/>
        <v>27466.649000000001</v>
      </c>
      <c r="P209" s="122">
        <f t="shared" si="432"/>
        <v>28003.224000000002</v>
      </c>
      <c r="Q209" s="122">
        <f>+Q207+Q202+Q200+Q191</f>
        <v>28537.853999999999</v>
      </c>
      <c r="R209" s="123">
        <f>+R207+R202+R200+R191</f>
        <v>29497.267</v>
      </c>
      <c r="S209" s="86">
        <f>+S207+S202+S200+S191</f>
        <v>29497.267</v>
      </c>
      <c r="T209" s="121">
        <f>+T207+T202+T200+T191</f>
        <v>29453.253000000004</v>
      </c>
      <c r="U209" s="122">
        <f t="shared" si="432"/>
        <v>29820.143000000004</v>
      </c>
      <c r="V209" s="122">
        <f t="shared" si="432"/>
        <v>31057.498</v>
      </c>
      <c r="W209" s="123">
        <f>+W207+W202+W200+W191</f>
        <v>31140.685999999998</v>
      </c>
      <c r="X209" s="86">
        <f>+X207+X202+X200+X191</f>
        <v>31140.685999999998</v>
      </c>
      <c r="Y209" s="121">
        <f>+Y207+Y202+Y200+Y191</f>
        <v>31587.675000000003</v>
      </c>
      <c r="Z209" s="122">
        <f t="shared" si="432"/>
        <v>32266.262000000006</v>
      </c>
      <c r="AA209" s="122">
        <f t="shared" si="432"/>
        <v>33126.652000000002</v>
      </c>
      <c r="AB209" s="123">
        <f t="shared" ref="AB209:AI209" si="433">+AB207+AB202+AB200+AB191</f>
        <v>33907.490000000005</v>
      </c>
      <c r="AC209" s="86">
        <f t="shared" si="433"/>
        <v>33907.490000000005</v>
      </c>
      <c r="AD209" s="121">
        <f t="shared" si="433"/>
        <v>34198.752</v>
      </c>
      <c r="AE209" s="122">
        <f t="shared" si="433"/>
        <v>34717.644</v>
      </c>
      <c r="AF209" s="122">
        <f t="shared" si="433"/>
        <v>35363.440999999999</v>
      </c>
      <c r="AG209" s="123">
        <f t="shared" si="433"/>
        <v>36957.883999999998</v>
      </c>
      <c r="AH209" s="86">
        <f t="shared" si="433"/>
        <v>36957.883999999998</v>
      </c>
      <c r="AI209" s="121">
        <f t="shared" si="433"/>
        <v>36878.650999999998</v>
      </c>
      <c r="AJ209" s="122">
        <f t="shared" ref="AJ209:AO209" si="434">+AJ207+AJ202+AJ200+AJ191</f>
        <v>37268.809000000008</v>
      </c>
      <c r="AK209" s="122">
        <f t="shared" si="434"/>
        <v>38029.695999999996</v>
      </c>
      <c r="AL209" s="123">
        <f t="shared" si="434"/>
        <v>39053.534999999996</v>
      </c>
      <c r="AM209" s="86">
        <f t="shared" si="434"/>
        <v>39053.534999999996</v>
      </c>
      <c r="AN209" s="121">
        <f t="shared" si="434"/>
        <v>39069.843999999997</v>
      </c>
      <c r="AO209" s="122">
        <f t="shared" si="434"/>
        <v>39490.164000000004</v>
      </c>
      <c r="AP209" s="122">
        <f t="shared" ref="AP209:AU209" si="435">+AP207+AP202+AP200+AP191</f>
        <v>40324.75</v>
      </c>
      <c r="AQ209" s="123">
        <f t="shared" si="435"/>
        <v>41155.277000000002</v>
      </c>
      <c r="AR209" s="86">
        <f t="shared" si="435"/>
        <v>41155.277000000002</v>
      </c>
      <c r="AS209" s="121">
        <f>+AS207+AS202+AS200+AS191</f>
        <v>41285.341</v>
      </c>
      <c r="AT209" s="122">
        <f>+AT207+AT202+AT200+AT191</f>
        <v>41860.989000000001</v>
      </c>
      <c r="AU209" s="122">
        <f t="shared" si="435"/>
        <v>42468.794000000009</v>
      </c>
      <c r="AV209" s="123">
        <f t="shared" ref="AV209:AW209" si="436">+AV207+AV202+AV200+AV191</f>
        <v>43030</v>
      </c>
      <c r="AW209" s="86">
        <f t="shared" si="436"/>
        <v>43030</v>
      </c>
      <c r="AX209" s="121">
        <f t="shared" ref="AX209:BG209" si="437">+AX207+AX202+AX200+AX191</f>
        <v>43492.336223911334</v>
      </c>
      <c r="AY209" s="122">
        <f t="shared" si="437"/>
        <v>44037.581349773885</v>
      </c>
      <c r="AZ209" s="122">
        <f t="shared" si="437"/>
        <v>44846.836736004014</v>
      </c>
      <c r="BA209" s="123">
        <f t="shared" si="437"/>
        <v>45107.307774717119</v>
      </c>
      <c r="BB209" s="86">
        <f t="shared" si="437"/>
        <v>45107.307774717119</v>
      </c>
      <c r="BC209" s="121">
        <f t="shared" si="437"/>
        <v>45796.553167741979</v>
      </c>
      <c r="BD209" s="122">
        <f t="shared" si="437"/>
        <v>46477.769100049118</v>
      </c>
      <c r="BE209" s="122">
        <f t="shared" si="437"/>
        <v>47150.285219214369</v>
      </c>
      <c r="BF209" s="123">
        <f t="shared" si="437"/>
        <v>47814.483952870527</v>
      </c>
      <c r="BG209" s="86">
        <f t="shared" si="437"/>
        <v>47814.483952870527</v>
      </c>
      <c r="BH209" s="121">
        <f t="shared" ref="BH209:BQ209" si="438">+BH207+BH202+BH200+BH191</f>
        <v>48230.928840473047</v>
      </c>
      <c r="BI209" s="122">
        <f t="shared" si="438"/>
        <v>48635.551112924979</v>
      </c>
      <c r="BJ209" s="122">
        <f t="shared" si="438"/>
        <v>49035.058079555543</v>
      </c>
      <c r="BK209" s="123">
        <f t="shared" si="438"/>
        <v>49429.784149934261</v>
      </c>
      <c r="BL209" s="86">
        <f t="shared" si="438"/>
        <v>49429.784149934261</v>
      </c>
      <c r="BM209" s="121">
        <f t="shared" si="438"/>
        <v>49840.987811203056</v>
      </c>
      <c r="BN209" s="122">
        <f t="shared" si="438"/>
        <v>50248.100313716881</v>
      </c>
      <c r="BO209" s="122">
        <f t="shared" si="438"/>
        <v>50745.808197379898</v>
      </c>
      <c r="BP209" s="123">
        <f t="shared" si="438"/>
        <v>51046.501055018816</v>
      </c>
      <c r="BQ209" s="86">
        <f t="shared" si="438"/>
        <v>51046.501055018816</v>
      </c>
      <c r="BT209" s="525"/>
      <c r="BU209" s="525"/>
      <c r="BV209" s="525"/>
      <c r="BW209" s="525"/>
      <c r="BX209" s="525"/>
      <c r="BY209" s="525"/>
      <c r="BZ209" s="525"/>
      <c r="CA209" s="525"/>
    </row>
    <row r="210" spans="1:79" x14ac:dyDescent="0.2">
      <c r="D210" s="42"/>
      <c r="E210" s="120"/>
      <c r="F210" s="139"/>
      <c r="G210" s="139"/>
      <c r="H210" s="119"/>
      <c r="I210" s="42"/>
      <c r="J210" s="120"/>
      <c r="K210" s="139"/>
      <c r="L210" s="139"/>
      <c r="M210" s="119"/>
      <c r="N210" s="42"/>
      <c r="O210" s="120"/>
      <c r="P210" s="139"/>
      <c r="Q210" s="139"/>
      <c r="R210" s="119"/>
      <c r="S210" s="42"/>
      <c r="T210" s="120"/>
      <c r="U210" s="139"/>
      <c r="V210" s="139"/>
      <c r="W210" s="119"/>
      <c r="X210" s="42"/>
      <c r="Y210" s="120"/>
      <c r="Z210" s="139"/>
      <c r="AA210" s="139"/>
      <c r="AB210" s="119"/>
      <c r="AC210" s="42"/>
      <c r="AD210" s="120"/>
      <c r="AE210" s="139"/>
      <c r="AF210" s="139"/>
      <c r="AG210" s="119"/>
      <c r="AH210" s="42"/>
      <c r="AI210" s="120"/>
      <c r="AJ210" s="139"/>
      <c r="AK210" s="139"/>
      <c r="AL210" s="119"/>
      <c r="AM210" s="42"/>
      <c r="AN210" s="120"/>
      <c r="AO210" s="139"/>
      <c r="AP210" s="139"/>
      <c r="AQ210" s="119"/>
      <c r="AR210" s="42"/>
      <c r="AS210" s="120"/>
      <c r="AT210" s="139"/>
      <c r="AU210" s="139"/>
      <c r="AV210" s="119"/>
      <c r="AW210" s="42"/>
      <c r="AX210" s="120"/>
      <c r="AY210" s="139"/>
      <c r="AZ210" s="139"/>
      <c r="BA210" s="119"/>
      <c r="BB210" s="42"/>
      <c r="BC210" s="120"/>
      <c r="BD210" s="139"/>
      <c r="BE210" s="139"/>
      <c r="BF210" s="119"/>
      <c r="BG210" s="42"/>
      <c r="BH210" s="120"/>
      <c r="BI210" s="139"/>
      <c r="BJ210" s="139"/>
      <c r="BK210" s="119"/>
      <c r="BL210" s="42"/>
      <c r="BM210" s="120"/>
      <c r="BN210" s="139"/>
      <c r="BO210" s="139"/>
      <c r="BP210" s="119"/>
      <c r="BQ210" s="42"/>
      <c r="BT210" s="525"/>
      <c r="BU210" s="525"/>
      <c r="BV210" s="525"/>
      <c r="BW210" s="525"/>
      <c r="BX210" s="525"/>
      <c r="BY210" s="525"/>
      <c r="BZ210" s="525"/>
      <c r="CA210" s="525"/>
    </row>
    <row r="211" spans="1:79" x14ac:dyDescent="0.2">
      <c r="C211" t="s">
        <v>229</v>
      </c>
      <c r="D211" s="42"/>
      <c r="E211" s="120">
        <f t="shared" ref="E211:AA211" si="439">E185-E209</f>
        <v>0</v>
      </c>
      <c r="F211" s="118">
        <f t="shared" si="439"/>
        <v>0</v>
      </c>
      <c r="G211" s="118">
        <f t="shared" si="439"/>
        <v>0</v>
      </c>
      <c r="H211" s="119">
        <f t="shared" si="439"/>
        <v>0</v>
      </c>
      <c r="I211" s="42">
        <f t="shared" si="439"/>
        <v>0</v>
      </c>
      <c r="J211" s="120">
        <f t="shared" si="439"/>
        <v>0</v>
      </c>
      <c r="K211" s="118">
        <f t="shared" si="439"/>
        <v>0</v>
      </c>
      <c r="L211" s="118">
        <f t="shared" si="439"/>
        <v>0</v>
      </c>
      <c r="M211" s="119">
        <f t="shared" si="439"/>
        <v>0</v>
      </c>
      <c r="N211" s="42">
        <f t="shared" si="439"/>
        <v>0</v>
      </c>
      <c r="O211" s="120">
        <f t="shared" si="439"/>
        <v>0</v>
      </c>
      <c r="P211" s="118">
        <f t="shared" si="439"/>
        <v>0</v>
      </c>
      <c r="Q211" s="118">
        <f>Q185-Q209</f>
        <v>0</v>
      </c>
      <c r="R211" s="119">
        <f>R185-R209</f>
        <v>0</v>
      </c>
      <c r="S211" s="42">
        <f t="shared" si="439"/>
        <v>0</v>
      </c>
      <c r="T211" s="120">
        <f>T185-T209</f>
        <v>0</v>
      </c>
      <c r="U211" s="118">
        <f t="shared" si="439"/>
        <v>0</v>
      </c>
      <c r="V211" s="118">
        <f t="shared" si="439"/>
        <v>0</v>
      </c>
      <c r="W211" s="119">
        <f t="shared" si="439"/>
        <v>0</v>
      </c>
      <c r="X211" s="42">
        <f t="shared" si="439"/>
        <v>0</v>
      </c>
      <c r="Y211" s="120">
        <f t="shared" si="439"/>
        <v>0</v>
      </c>
      <c r="Z211" s="118">
        <f t="shared" si="439"/>
        <v>0</v>
      </c>
      <c r="AA211" s="118">
        <f t="shared" si="439"/>
        <v>0</v>
      </c>
      <c r="AB211" s="119">
        <f t="shared" ref="AB211:AI211" si="440">AB185-AB209</f>
        <v>0</v>
      </c>
      <c r="AC211" s="42">
        <f t="shared" si="440"/>
        <v>0</v>
      </c>
      <c r="AD211" s="120">
        <f t="shared" si="440"/>
        <v>0</v>
      </c>
      <c r="AE211" s="118">
        <f t="shared" si="440"/>
        <v>0</v>
      </c>
      <c r="AF211" s="118">
        <f t="shared" si="440"/>
        <v>0</v>
      </c>
      <c r="AG211" s="119">
        <f t="shared" si="440"/>
        <v>0</v>
      </c>
      <c r="AH211" s="42">
        <f t="shared" si="440"/>
        <v>0</v>
      </c>
      <c r="AI211" s="120">
        <f t="shared" si="440"/>
        <v>0</v>
      </c>
      <c r="AJ211" s="118">
        <f t="shared" ref="AJ211:AO211" si="441">AJ185-AJ209</f>
        <v>0</v>
      </c>
      <c r="AK211" s="118">
        <f t="shared" si="441"/>
        <v>0</v>
      </c>
      <c r="AL211" s="119">
        <f t="shared" si="441"/>
        <v>0</v>
      </c>
      <c r="AM211" s="42">
        <f t="shared" si="441"/>
        <v>0</v>
      </c>
      <c r="AN211" s="120">
        <f t="shared" si="441"/>
        <v>0</v>
      </c>
      <c r="AO211" s="118">
        <f t="shared" si="441"/>
        <v>0</v>
      </c>
      <c r="AP211" s="118">
        <f t="shared" ref="AP211:AU211" si="442">AP185-AP209</f>
        <v>0</v>
      </c>
      <c r="AQ211" s="119">
        <f t="shared" si="442"/>
        <v>0</v>
      </c>
      <c r="AR211" s="42">
        <f t="shared" si="442"/>
        <v>0</v>
      </c>
      <c r="AS211" s="120">
        <f>AS185-AS209</f>
        <v>0</v>
      </c>
      <c r="AT211" s="118">
        <f t="shared" si="442"/>
        <v>0</v>
      </c>
      <c r="AU211" s="118">
        <f t="shared" si="442"/>
        <v>-1.1641532182693481E-10</v>
      </c>
      <c r="AV211" s="119">
        <f t="shared" ref="AV211:AW211" si="443">AV185-AV209</f>
        <v>0</v>
      </c>
      <c r="AW211" s="42">
        <f t="shared" si="443"/>
        <v>0</v>
      </c>
      <c r="AX211" s="120">
        <f t="shared" ref="AX211:BF211" si="444">AX185-AX209</f>
        <v>0</v>
      </c>
      <c r="AY211" s="118">
        <f t="shared" si="444"/>
        <v>0</v>
      </c>
      <c r="AZ211" s="118">
        <f t="shared" si="444"/>
        <v>0</v>
      </c>
      <c r="BA211" s="119">
        <f t="shared" si="444"/>
        <v>0</v>
      </c>
      <c r="BB211" s="42">
        <f t="shared" si="444"/>
        <v>0</v>
      </c>
      <c r="BC211" s="120">
        <f t="shared" si="444"/>
        <v>0</v>
      </c>
      <c r="BD211" s="118">
        <f t="shared" si="444"/>
        <v>0</v>
      </c>
      <c r="BE211" s="118">
        <f t="shared" si="444"/>
        <v>0</v>
      </c>
      <c r="BF211" s="119">
        <f t="shared" si="444"/>
        <v>0</v>
      </c>
      <c r="BG211" s="42">
        <f t="shared" ref="BG211:BL211" si="445">BG185-BG209</f>
        <v>0</v>
      </c>
      <c r="BH211" s="120">
        <f t="shared" si="445"/>
        <v>0</v>
      </c>
      <c r="BI211" s="118">
        <f t="shared" si="445"/>
        <v>0</v>
      </c>
      <c r="BJ211" s="118">
        <f t="shared" si="445"/>
        <v>0</v>
      </c>
      <c r="BK211" s="119">
        <f t="shared" si="445"/>
        <v>0</v>
      </c>
      <c r="BL211" s="42">
        <f t="shared" si="445"/>
        <v>0</v>
      </c>
      <c r="BM211" s="120">
        <f t="shared" ref="BM211:BQ211" si="446">BM185-BM209</f>
        <v>0</v>
      </c>
      <c r="BN211" s="118">
        <f t="shared" si="446"/>
        <v>0</v>
      </c>
      <c r="BO211" s="118">
        <f t="shared" si="446"/>
        <v>0</v>
      </c>
      <c r="BP211" s="119">
        <f t="shared" si="446"/>
        <v>0</v>
      </c>
      <c r="BQ211" s="42">
        <f t="shared" si="446"/>
        <v>0</v>
      </c>
      <c r="BT211" s="525"/>
      <c r="BU211" s="525"/>
      <c r="BV211" s="525"/>
      <c r="BW211" s="525"/>
      <c r="BX211" s="525"/>
      <c r="BY211" s="525"/>
      <c r="BZ211" s="525"/>
      <c r="CA211" s="525"/>
    </row>
    <row r="212" spans="1:79" x14ac:dyDescent="0.2">
      <c r="C212" s="26"/>
      <c r="E212" s="238"/>
      <c r="F212" s="239"/>
      <c r="G212" s="167"/>
      <c r="H212" s="168"/>
      <c r="J212" s="166"/>
      <c r="K212" s="167"/>
      <c r="L212" s="167"/>
      <c r="M212" s="168"/>
      <c r="O212" s="166"/>
      <c r="P212" s="109"/>
      <c r="Q212" s="109"/>
      <c r="R212" s="110"/>
      <c r="T212" s="108"/>
      <c r="U212" s="109"/>
      <c r="V212" s="109"/>
      <c r="W212" s="110"/>
      <c r="Y212" s="108"/>
      <c r="Z212" s="109"/>
      <c r="AA212" s="109"/>
      <c r="AB212" s="110"/>
      <c r="AD212" s="108"/>
      <c r="AE212" s="109"/>
      <c r="AF212" s="109"/>
      <c r="AG212" s="110"/>
      <c r="AI212" s="108"/>
      <c r="AJ212" s="109"/>
      <c r="AK212" s="109"/>
      <c r="AL212" s="110"/>
      <c r="AN212" s="108"/>
      <c r="AO212" s="109"/>
      <c r="AP212" s="109"/>
      <c r="AQ212" s="110"/>
      <c r="AS212" s="108"/>
      <c r="AT212" s="109"/>
      <c r="AU212" s="109"/>
      <c r="AV212" s="110"/>
      <c r="AX212" s="108"/>
      <c r="AY212" s="109"/>
      <c r="AZ212" s="109"/>
      <c r="BA212" s="110"/>
      <c r="BC212" s="108"/>
      <c r="BD212" s="109"/>
      <c r="BE212" s="109"/>
      <c r="BF212" s="110"/>
      <c r="BH212" s="108"/>
      <c r="BI212" s="109"/>
      <c r="BJ212" s="109"/>
      <c r="BK212" s="110"/>
      <c r="BM212" s="108"/>
      <c r="BN212" s="109"/>
      <c r="BO212" s="109"/>
      <c r="BP212" s="110"/>
      <c r="BT212" s="525"/>
      <c r="BU212" s="525"/>
      <c r="BV212" s="525"/>
      <c r="BW212" s="525"/>
      <c r="BX212" s="525"/>
      <c r="BY212" s="525"/>
      <c r="BZ212" s="525"/>
      <c r="CA212" s="525"/>
    </row>
    <row r="213" spans="1:79" x14ac:dyDescent="0.2">
      <c r="C213" s="26"/>
      <c r="E213" s="238"/>
      <c r="F213" s="239"/>
      <c r="G213" s="167"/>
      <c r="H213" s="168"/>
      <c r="J213" s="166"/>
      <c r="K213" s="167"/>
      <c r="L213" s="167"/>
      <c r="M213" s="168"/>
      <c r="O213" s="166"/>
      <c r="P213" s="109"/>
      <c r="Q213" s="109"/>
      <c r="R213" s="110"/>
      <c r="T213" s="108"/>
      <c r="U213" s="109"/>
      <c r="V213" s="109"/>
      <c r="W213" s="110"/>
      <c r="Y213" s="108"/>
      <c r="Z213" s="109"/>
      <c r="AA213" s="109"/>
      <c r="AB213" s="110"/>
      <c r="AD213" s="108"/>
      <c r="AE213" s="109"/>
      <c r="AF213" s="109"/>
      <c r="AG213" s="110"/>
      <c r="AH213" s="224"/>
      <c r="AI213" s="108"/>
      <c r="AJ213" s="109"/>
      <c r="AK213" s="109"/>
      <c r="AL213" s="110"/>
      <c r="AN213" s="108"/>
      <c r="AO213" s="109"/>
      <c r="AP213" s="109"/>
      <c r="AQ213" s="110"/>
      <c r="AS213" s="108"/>
      <c r="AT213" s="109"/>
      <c r="AU213" s="109"/>
      <c r="AV213" s="110"/>
      <c r="AX213" s="108"/>
      <c r="AY213" s="109"/>
      <c r="AZ213" s="109"/>
      <c r="BA213" s="110"/>
      <c r="BC213" s="108"/>
      <c r="BD213" s="109"/>
      <c r="BE213" s="109"/>
      <c r="BF213" s="110"/>
      <c r="BH213" s="108"/>
      <c r="BI213" s="109"/>
      <c r="BJ213" s="109"/>
      <c r="BK213" s="110"/>
      <c r="BM213" s="108"/>
      <c r="BN213" s="109"/>
      <c r="BO213" s="109"/>
      <c r="BP213" s="110"/>
      <c r="BT213" s="525"/>
      <c r="BU213" s="525"/>
      <c r="BV213" s="525"/>
      <c r="BW213" s="525"/>
      <c r="BX213" s="525"/>
      <c r="BY213" s="525"/>
      <c r="BZ213" s="525"/>
      <c r="CA213" s="525"/>
    </row>
    <row r="214" spans="1:79" x14ac:dyDescent="0.2">
      <c r="A214" s="20"/>
      <c r="B214" s="16" t="s">
        <v>230</v>
      </c>
      <c r="C214" s="16"/>
      <c r="D214" s="17"/>
      <c r="E214" s="203"/>
      <c r="F214" s="204"/>
      <c r="G214" s="204"/>
      <c r="H214" s="205"/>
      <c r="I214" s="206"/>
      <c r="J214" s="203"/>
      <c r="K214" s="204"/>
      <c r="L214" s="204"/>
      <c r="M214" s="205"/>
      <c r="N214" s="206"/>
      <c r="O214" s="203"/>
      <c r="P214" s="204"/>
      <c r="Q214" s="204"/>
      <c r="R214" s="205"/>
      <c r="S214" s="206"/>
      <c r="T214" s="203"/>
      <c r="U214" s="204"/>
      <c r="V214" s="204"/>
      <c r="W214" s="205"/>
      <c r="X214" s="206"/>
      <c r="Y214" s="203"/>
      <c r="Z214" s="204"/>
      <c r="AA214" s="204"/>
      <c r="AB214" s="205"/>
      <c r="AC214" s="206"/>
      <c r="AD214" s="203"/>
      <c r="AE214" s="204"/>
      <c r="AF214" s="204"/>
      <c r="AG214" s="205"/>
      <c r="AH214" s="206"/>
      <c r="AI214" s="203"/>
      <c r="AJ214" s="204"/>
      <c r="AK214" s="204"/>
      <c r="AL214" s="205"/>
      <c r="AM214" s="206"/>
      <c r="AN214" s="203"/>
      <c r="AO214" s="204"/>
      <c r="AP214" s="204"/>
      <c r="AQ214" s="205"/>
      <c r="AR214" s="206"/>
      <c r="AS214" s="203"/>
      <c r="AT214" s="204"/>
      <c r="AU214" s="204"/>
      <c r="AV214" s="205"/>
      <c r="AW214" s="206"/>
      <c r="AX214" s="203"/>
      <c r="AY214" s="204"/>
      <c r="AZ214" s="204"/>
      <c r="BA214" s="205"/>
      <c r="BB214" s="206"/>
      <c r="BC214" s="203"/>
      <c r="BD214" s="204"/>
      <c r="BE214" s="204"/>
      <c r="BF214" s="205"/>
      <c r="BG214" s="206"/>
      <c r="BH214" s="203"/>
      <c r="BI214" s="204"/>
      <c r="BJ214" s="204"/>
      <c r="BK214" s="205"/>
      <c r="BL214" s="206"/>
      <c r="BM214" s="203"/>
      <c r="BN214" s="204"/>
      <c r="BO214" s="204"/>
      <c r="BP214" s="205"/>
      <c r="BQ214" s="206"/>
      <c r="BT214" s="525"/>
      <c r="BU214" s="525"/>
      <c r="BV214" s="525"/>
      <c r="BW214" s="525"/>
      <c r="BX214" s="525"/>
      <c r="BY214" s="525"/>
      <c r="BZ214" s="525"/>
      <c r="CA214" s="525"/>
    </row>
    <row r="215" spans="1:79" x14ac:dyDescent="0.2">
      <c r="A215" s="20"/>
      <c r="B215" s="20"/>
      <c r="C215" s="70" t="s">
        <v>231</v>
      </c>
      <c r="D215" s="20"/>
      <c r="E215" s="136">
        <f t="shared" ref="E215:Q215" si="447">+E166</f>
        <v>301.315</v>
      </c>
      <c r="F215" s="135">
        <f t="shared" si="447"/>
        <v>380.25299999999999</v>
      </c>
      <c r="G215" s="135">
        <f t="shared" si="447"/>
        <v>90.206000000000003</v>
      </c>
      <c r="H215" s="116">
        <f t="shared" si="447"/>
        <v>115.648</v>
      </c>
      <c r="I215" s="82">
        <f t="shared" si="447"/>
        <v>115.648</v>
      </c>
      <c r="J215" s="136">
        <f t="shared" si="447"/>
        <v>79.504000000000005</v>
      </c>
      <c r="K215" s="135">
        <f t="shared" si="447"/>
        <v>65.988</v>
      </c>
      <c r="L215" s="135">
        <f t="shared" si="447"/>
        <v>213.45500000000001</v>
      </c>
      <c r="M215" s="116">
        <f t="shared" si="447"/>
        <v>108.437</v>
      </c>
      <c r="N215" s="82">
        <f t="shared" si="447"/>
        <v>108.437</v>
      </c>
      <c r="O215" s="136">
        <f t="shared" si="447"/>
        <v>94.337999999999994</v>
      </c>
      <c r="P215" s="135">
        <f t="shared" si="447"/>
        <v>101.60299999999999</v>
      </c>
      <c r="Q215" s="135">
        <f t="shared" si="447"/>
        <v>194.155</v>
      </c>
      <c r="R215" s="116">
        <f t="shared" ref="R215:Y215" si="448">+R166</f>
        <v>60.683999999999997</v>
      </c>
      <c r="S215" s="82">
        <f t="shared" si="448"/>
        <v>60.683999999999997</v>
      </c>
      <c r="T215" s="136">
        <f t="shared" si="448"/>
        <v>99.742000000000004</v>
      </c>
      <c r="U215" s="135">
        <f t="shared" si="448"/>
        <v>63.53</v>
      </c>
      <c r="V215" s="135">
        <f t="shared" si="448"/>
        <v>747.27300000000002</v>
      </c>
      <c r="W215" s="116">
        <f t="shared" si="448"/>
        <v>82.322999999999993</v>
      </c>
      <c r="X215" s="82">
        <f t="shared" si="448"/>
        <v>82.322999999999993</v>
      </c>
      <c r="Y215" s="136">
        <f t="shared" si="448"/>
        <v>112.96</v>
      </c>
      <c r="Z215" s="135">
        <f t="shared" ref="Z215:AF215" si="449">+Z166</f>
        <v>58.820999999999998</v>
      </c>
      <c r="AA215" s="135">
        <f t="shared" si="449"/>
        <v>101.834</v>
      </c>
      <c r="AB215" s="116">
        <f t="shared" si="449"/>
        <v>107.14400000000001</v>
      </c>
      <c r="AC215" s="82">
        <f t="shared" si="449"/>
        <v>107.14400000000001</v>
      </c>
      <c r="AD215" s="136">
        <f t="shared" si="449"/>
        <v>132.31299999999999</v>
      </c>
      <c r="AE215" s="135">
        <f t="shared" si="449"/>
        <v>99.54</v>
      </c>
      <c r="AF215" s="135">
        <f t="shared" si="449"/>
        <v>137.86799999999999</v>
      </c>
      <c r="AG215" s="116">
        <f t="shared" ref="AG215:AM215" si="450">+AG166</f>
        <v>79.608000000000004</v>
      </c>
      <c r="AH215" s="82">
        <f t="shared" si="450"/>
        <v>79.608000000000004</v>
      </c>
      <c r="AI215" s="136">
        <f t="shared" si="450"/>
        <v>133.04400000000001</v>
      </c>
      <c r="AJ215" s="135">
        <f t="shared" si="450"/>
        <v>135.59700000000001</v>
      </c>
      <c r="AK215" s="135">
        <f t="shared" si="450"/>
        <v>404.40899999999999</v>
      </c>
      <c r="AL215" s="116">
        <f t="shared" si="450"/>
        <v>84.94</v>
      </c>
      <c r="AM215" s="82">
        <f t="shared" si="450"/>
        <v>84.94</v>
      </c>
      <c r="AN215" s="136">
        <f t="shared" ref="AN215:AR215" si="451">+AN166</f>
        <v>101.491</v>
      </c>
      <c r="AO215" s="135">
        <f t="shared" si="451"/>
        <v>76.710999999999999</v>
      </c>
      <c r="AP215" s="135">
        <f t="shared" si="451"/>
        <v>353.38499999999999</v>
      </c>
      <c r="AQ215" s="116">
        <f t="shared" si="451"/>
        <v>84.475999999999999</v>
      </c>
      <c r="AR215" s="82">
        <f t="shared" si="451"/>
        <v>84.475999999999999</v>
      </c>
      <c r="AS215" s="136">
        <f t="shared" ref="AS215:AW215" si="452">+AS166</f>
        <v>73.984999999999999</v>
      </c>
      <c r="AT215" s="135">
        <f t="shared" si="452"/>
        <v>61.381999999999998</v>
      </c>
      <c r="AU215" s="135">
        <f t="shared" si="452"/>
        <v>167.84100000000001</v>
      </c>
      <c r="AV215" s="116">
        <f t="shared" si="452"/>
        <v>83</v>
      </c>
      <c r="AW215" s="82">
        <f t="shared" si="452"/>
        <v>83</v>
      </c>
      <c r="AX215" s="136">
        <f t="shared" ref="AX215:BG215" si="453">+AX161</f>
        <v>0</v>
      </c>
      <c r="AY215" s="135">
        <f t="shared" si="453"/>
        <v>0</v>
      </c>
      <c r="AZ215" s="135">
        <f t="shared" si="453"/>
        <v>271.05067680861657</v>
      </c>
      <c r="BA215" s="116">
        <f t="shared" si="453"/>
        <v>0</v>
      </c>
      <c r="BB215" s="82">
        <f t="shared" si="453"/>
        <v>0</v>
      </c>
      <c r="BC215" s="136">
        <f t="shared" si="453"/>
        <v>0</v>
      </c>
      <c r="BD215" s="135">
        <f t="shared" si="453"/>
        <v>0</v>
      </c>
      <c r="BE215" s="135">
        <f t="shared" si="453"/>
        <v>0</v>
      </c>
      <c r="BF215" s="116">
        <f t="shared" si="453"/>
        <v>0</v>
      </c>
      <c r="BG215" s="82">
        <f t="shared" si="453"/>
        <v>0</v>
      </c>
      <c r="BH215" s="136">
        <f t="shared" ref="BH215:BQ215" si="454">+BH161</f>
        <v>0</v>
      </c>
      <c r="BI215" s="135">
        <f t="shared" si="454"/>
        <v>0</v>
      </c>
      <c r="BJ215" s="135">
        <f t="shared" si="454"/>
        <v>0</v>
      </c>
      <c r="BK215" s="116">
        <f t="shared" si="454"/>
        <v>0</v>
      </c>
      <c r="BL215" s="82">
        <f t="shared" si="454"/>
        <v>1.1368683772161603E-13</v>
      </c>
      <c r="BM215" s="136">
        <f t="shared" si="454"/>
        <v>0</v>
      </c>
      <c r="BN215" s="135">
        <f t="shared" si="454"/>
        <v>0</v>
      </c>
      <c r="BO215" s="135">
        <f t="shared" si="454"/>
        <v>95.983101071313968</v>
      </c>
      <c r="BP215" s="116">
        <f t="shared" si="454"/>
        <v>0</v>
      </c>
      <c r="BQ215" s="82">
        <f t="shared" si="454"/>
        <v>0</v>
      </c>
      <c r="BT215" s="525"/>
      <c r="BU215" s="525"/>
      <c r="BV215" s="525"/>
      <c r="BW215" s="525"/>
      <c r="BX215" s="525"/>
      <c r="BY215" s="525"/>
      <c r="BZ215" s="525"/>
      <c r="CA215" s="525"/>
    </row>
    <row r="216" spans="1:79" x14ac:dyDescent="0.2">
      <c r="A216" s="20"/>
      <c r="B216" s="20"/>
      <c r="C216" s="241"/>
      <c r="D216" s="20"/>
      <c r="E216" s="242"/>
      <c r="F216" s="243"/>
      <c r="G216" s="243"/>
      <c r="H216" s="244"/>
      <c r="I216" s="245"/>
      <c r="J216" s="242"/>
      <c r="K216" s="243"/>
      <c r="L216" s="243"/>
      <c r="M216" s="244"/>
      <c r="N216" s="245"/>
      <c r="O216" s="136"/>
      <c r="P216" s="137"/>
      <c r="Q216" s="137"/>
      <c r="R216" s="244"/>
      <c r="S216" s="245"/>
      <c r="T216" s="136"/>
      <c r="U216" s="137"/>
      <c r="V216" s="137"/>
      <c r="W216" s="244"/>
      <c r="X216" s="245"/>
      <c r="Y216" s="136"/>
      <c r="Z216" s="137"/>
      <c r="AA216" s="137"/>
      <c r="AB216" s="244"/>
      <c r="AC216" s="245"/>
      <c r="AD216" s="136"/>
      <c r="AE216" s="137"/>
      <c r="AF216" s="137"/>
      <c r="AG216" s="244"/>
      <c r="AH216" s="245"/>
      <c r="AI216" s="136"/>
      <c r="AJ216" s="137"/>
      <c r="AK216" s="137"/>
      <c r="AL216" s="244"/>
      <c r="AM216" s="245"/>
      <c r="AN216" s="136"/>
      <c r="AO216" s="137"/>
      <c r="AP216" s="137"/>
      <c r="AQ216" s="244"/>
      <c r="AR216" s="245"/>
      <c r="AS216" s="136"/>
      <c r="AT216" s="137"/>
      <c r="AU216" s="137"/>
      <c r="AV216" s="244"/>
      <c r="AW216" s="245"/>
      <c r="AX216" s="136"/>
      <c r="AY216" s="137"/>
      <c r="AZ216" s="137"/>
      <c r="BA216" s="116"/>
      <c r="BB216" s="206"/>
      <c r="BC216" s="136"/>
      <c r="BD216" s="137"/>
      <c r="BE216" s="137"/>
      <c r="BF216" s="116"/>
      <c r="BG216" s="206"/>
      <c r="BH216" s="136"/>
      <c r="BI216" s="137"/>
      <c r="BJ216" s="137"/>
      <c r="BK216" s="116"/>
      <c r="BL216" s="206"/>
      <c r="BM216" s="136"/>
      <c r="BN216" s="137"/>
      <c r="BO216" s="137"/>
      <c r="BP216" s="116"/>
      <c r="BQ216" s="206"/>
      <c r="BT216" s="525"/>
      <c r="BU216" s="525"/>
      <c r="BV216" s="525"/>
      <c r="BW216" s="525"/>
      <c r="BX216" s="525"/>
      <c r="BY216" s="525"/>
      <c r="BZ216" s="525"/>
      <c r="CA216" s="525"/>
    </row>
    <row r="217" spans="1:79" x14ac:dyDescent="0.2">
      <c r="A217" s="20"/>
      <c r="B217" s="20"/>
      <c r="C217" s="70" t="s">
        <v>232</v>
      </c>
      <c r="D217" s="20"/>
      <c r="E217" s="136">
        <f t="shared" ref="E217:Q217" si="455">+E187</f>
        <v>438.01499999999999</v>
      </c>
      <c r="F217" s="135">
        <f t="shared" si="455"/>
        <v>370</v>
      </c>
      <c r="G217" s="135">
        <f t="shared" si="455"/>
        <v>494</v>
      </c>
      <c r="H217" s="116">
        <f t="shared" si="455"/>
        <v>459</v>
      </c>
      <c r="I217" s="82">
        <f t="shared" si="455"/>
        <v>459</v>
      </c>
      <c r="J217" s="136">
        <f t="shared" si="455"/>
        <v>466</v>
      </c>
      <c r="K217" s="135">
        <f t="shared" si="455"/>
        <v>129</v>
      </c>
      <c r="L217" s="135">
        <f t="shared" si="455"/>
        <v>40</v>
      </c>
      <c r="M217" s="116">
        <f t="shared" si="455"/>
        <v>466.4</v>
      </c>
      <c r="N217" s="82">
        <f t="shared" si="455"/>
        <v>466.4</v>
      </c>
      <c r="O217" s="136">
        <f t="shared" si="455"/>
        <v>531.5</v>
      </c>
      <c r="P217" s="135">
        <f t="shared" si="455"/>
        <v>656</v>
      </c>
      <c r="Q217" s="135">
        <f t="shared" si="455"/>
        <v>50</v>
      </c>
      <c r="R217" s="116">
        <f t="shared" ref="R217:Y217" si="456">+R187</f>
        <v>219</v>
      </c>
      <c r="S217" s="82">
        <f t="shared" si="456"/>
        <v>219</v>
      </c>
      <c r="T217" s="136">
        <f t="shared" si="456"/>
        <v>339</v>
      </c>
      <c r="U217" s="135">
        <f t="shared" si="456"/>
        <v>481</v>
      </c>
      <c r="V217" s="135">
        <f t="shared" si="456"/>
        <v>304</v>
      </c>
      <c r="W217" s="116">
        <f t="shared" si="456"/>
        <v>602</v>
      </c>
      <c r="X217" s="82">
        <f t="shared" si="456"/>
        <v>602</v>
      </c>
      <c r="Y217" s="136">
        <f t="shared" si="456"/>
        <v>425</v>
      </c>
      <c r="Z217" s="135">
        <f t="shared" ref="Z217:AF217" si="457">+Z187</f>
        <v>354</v>
      </c>
      <c r="AA217" s="135">
        <f t="shared" si="457"/>
        <v>302</v>
      </c>
      <c r="AB217" s="116">
        <f t="shared" si="457"/>
        <v>759</v>
      </c>
      <c r="AC217" s="82">
        <f t="shared" si="457"/>
        <v>759</v>
      </c>
      <c r="AD217" s="136">
        <f t="shared" si="457"/>
        <v>765</v>
      </c>
      <c r="AE217" s="135">
        <f t="shared" si="457"/>
        <v>777.8</v>
      </c>
      <c r="AF217" s="135">
        <f t="shared" si="457"/>
        <v>697</v>
      </c>
      <c r="AG217" s="116">
        <f t="shared" ref="AG217:AM217" si="458">+AG187</f>
        <v>1019.5</v>
      </c>
      <c r="AH217" s="82">
        <f t="shared" si="458"/>
        <v>1019.5</v>
      </c>
      <c r="AI217" s="136">
        <f t="shared" si="458"/>
        <v>969</v>
      </c>
      <c r="AJ217" s="135">
        <f t="shared" si="458"/>
        <v>451</v>
      </c>
      <c r="AK217" s="135">
        <f t="shared" si="458"/>
        <v>64</v>
      </c>
      <c r="AL217" s="116">
        <f t="shared" si="458"/>
        <v>846</v>
      </c>
      <c r="AM217" s="82">
        <f t="shared" si="458"/>
        <v>846</v>
      </c>
      <c r="AN217" s="136">
        <f t="shared" ref="AN217:AR217" si="459">+AN187</f>
        <v>183</v>
      </c>
      <c r="AO217" s="135">
        <f t="shared" si="459"/>
        <v>447</v>
      </c>
      <c r="AP217" s="135">
        <f t="shared" si="459"/>
        <v>366</v>
      </c>
      <c r="AQ217" s="116">
        <f t="shared" si="459"/>
        <v>392</v>
      </c>
      <c r="AR217" s="82">
        <f t="shared" si="459"/>
        <v>392</v>
      </c>
      <c r="AS217" s="136">
        <f t="shared" ref="AS217:AW217" si="460">+AS187</f>
        <v>605</v>
      </c>
      <c r="AT217" s="135">
        <f t="shared" si="460"/>
        <v>784</v>
      </c>
      <c r="AU217" s="135">
        <f t="shared" si="460"/>
        <v>514</v>
      </c>
      <c r="AV217" s="116">
        <f t="shared" si="460"/>
        <v>814</v>
      </c>
      <c r="AW217" s="82">
        <f t="shared" si="460"/>
        <v>814</v>
      </c>
      <c r="AX217" s="136">
        <f>+AW217+AX160</f>
        <v>775.49225946574995</v>
      </c>
      <c r="AY217" s="135">
        <f>+AX217+AY160</f>
        <v>1176.2964042255276</v>
      </c>
      <c r="AZ217" s="135">
        <f>+AY217+AZ160</f>
        <v>0</v>
      </c>
      <c r="BA217" s="116">
        <f>+AZ217+BA160</f>
        <v>92.737186938505033</v>
      </c>
      <c r="BB217" s="82">
        <f>+BA217</f>
        <v>92.737186938505033</v>
      </c>
      <c r="BC217" s="136">
        <f>+BB217+BC160</f>
        <v>552.73090147004586</v>
      </c>
      <c r="BD217" s="135">
        <f>+BC217+BD160</f>
        <v>1273.7220829928722</v>
      </c>
      <c r="BE217" s="135">
        <f>+BD217+BE160</f>
        <v>334.85160475423004</v>
      </c>
      <c r="BF217" s="116">
        <f>+BE217+BF160</f>
        <v>866.86815641118415</v>
      </c>
      <c r="BG217" s="82">
        <f>+BF217</f>
        <v>866.86815641118415</v>
      </c>
      <c r="BH217" s="136">
        <f>+BG217+BH160</f>
        <v>1044.4058411087885</v>
      </c>
      <c r="BI217" s="135">
        <f>+BH217+BI160</f>
        <v>1436.0425575816776</v>
      </c>
      <c r="BJ217" s="135">
        <f>+BI217+BJ160</f>
        <v>112.06284407310977</v>
      </c>
      <c r="BK217" s="116">
        <f>+BJ217+BK160</f>
        <v>762.72748872603142</v>
      </c>
      <c r="BL217" s="82">
        <f>+BK217</f>
        <v>762.72748872603142</v>
      </c>
      <c r="BM217" s="136">
        <f>+BL217+BM160</f>
        <v>1319.4201332652904</v>
      </c>
      <c r="BN217" s="135">
        <f>+BM217+BN160</f>
        <v>1148.645463205117</v>
      </c>
      <c r="BO217" s="135">
        <f>+BN217+BO160</f>
        <v>0</v>
      </c>
      <c r="BP217" s="116">
        <f>+BO217+BP160</f>
        <v>157.24680216769622</v>
      </c>
      <c r="BQ217" s="82">
        <f>+BP217</f>
        <v>157.24680216769622</v>
      </c>
      <c r="BT217" s="525"/>
      <c r="BU217" s="525"/>
      <c r="BV217" s="525"/>
      <c r="BW217" s="525"/>
      <c r="BX217" s="525"/>
      <c r="BY217" s="525"/>
      <c r="BZ217" s="525"/>
      <c r="CA217" s="525"/>
    </row>
    <row r="218" spans="1:79" x14ac:dyDescent="0.2">
      <c r="A218" s="20"/>
      <c r="B218" s="20"/>
      <c r="C218" s="246" t="s">
        <v>233</v>
      </c>
      <c r="D218" s="20"/>
      <c r="E218" s="136">
        <f t="shared" ref="E218:Q218" si="461">+E188+E193</f>
        <v>8125.5609999999997</v>
      </c>
      <c r="F218" s="135">
        <f t="shared" si="461"/>
        <v>8514.3889999999992</v>
      </c>
      <c r="G218" s="135">
        <f t="shared" si="461"/>
        <v>8129.9339999999993</v>
      </c>
      <c r="H218" s="116">
        <f t="shared" si="461"/>
        <v>8432.4419999999991</v>
      </c>
      <c r="I218" s="82">
        <f t="shared" si="461"/>
        <v>8432.4419999999991</v>
      </c>
      <c r="J218" s="136">
        <f t="shared" si="461"/>
        <v>8407.2440000000006</v>
      </c>
      <c r="K218" s="135">
        <f t="shared" si="461"/>
        <v>8955.4520000000011</v>
      </c>
      <c r="L218" s="135">
        <f t="shared" si="461"/>
        <v>9279.2019999999993</v>
      </c>
      <c r="M218" s="116">
        <f t="shared" si="461"/>
        <v>9318.5590000000011</v>
      </c>
      <c r="N218" s="82">
        <f t="shared" si="461"/>
        <v>9318.5590000000011</v>
      </c>
      <c r="O218" s="136">
        <f t="shared" si="461"/>
        <v>9318.884</v>
      </c>
      <c r="P218" s="135">
        <f t="shared" si="461"/>
        <v>9317.4830000000002</v>
      </c>
      <c r="Q218" s="135">
        <f t="shared" si="461"/>
        <v>9912.5709999999999</v>
      </c>
      <c r="R218" s="116">
        <f t="shared" ref="R218:Y218" si="462">+R188+R193</f>
        <v>9908.4350000000013</v>
      </c>
      <c r="S218" s="82">
        <f t="shared" si="462"/>
        <v>9908.4350000000013</v>
      </c>
      <c r="T218" s="136">
        <f t="shared" si="462"/>
        <v>9908.0439999999999</v>
      </c>
      <c r="U218" s="135">
        <f t="shared" si="462"/>
        <v>10017.996999999999</v>
      </c>
      <c r="V218" s="135">
        <f t="shared" si="462"/>
        <v>10965.409</v>
      </c>
      <c r="W218" s="116">
        <f t="shared" si="462"/>
        <v>10402.060000000001</v>
      </c>
      <c r="X218" s="82">
        <f t="shared" si="462"/>
        <v>10402.060000000001</v>
      </c>
      <c r="Y218" s="136">
        <f t="shared" si="462"/>
        <v>10648.938</v>
      </c>
      <c r="Z218" s="135">
        <f t="shared" ref="Z218:AF218" si="463">+Z188+Z193</f>
        <v>11098.519</v>
      </c>
      <c r="AA218" s="135">
        <f t="shared" si="463"/>
        <v>11194.811</v>
      </c>
      <c r="AB218" s="116">
        <f t="shared" si="463"/>
        <v>11191.517000000002</v>
      </c>
      <c r="AC218" s="82">
        <f t="shared" si="463"/>
        <v>11191.517000000002</v>
      </c>
      <c r="AD218" s="136">
        <f t="shared" si="463"/>
        <v>11487.451999999999</v>
      </c>
      <c r="AE218" s="135">
        <f t="shared" si="463"/>
        <v>11760.300000000001</v>
      </c>
      <c r="AF218" s="135">
        <f t="shared" si="463"/>
        <v>11759.225999999999</v>
      </c>
      <c r="AG218" s="116">
        <f t="shared" ref="AG218:AM218" si="464">+AG188+AG193</f>
        <v>11757.36</v>
      </c>
      <c r="AH218" s="82">
        <f t="shared" si="464"/>
        <v>11757.36</v>
      </c>
      <c r="AI218" s="136">
        <f t="shared" si="464"/>
        <v>11756.868999999999</v>
      </c>
      <c r="AJ218" s="135">
        <f t="shared" si="464"/>
        <v>12603.482</v>
      </c>
      <c r="AK218" s="135">
        <f t="shared" si="464"/>
        <v>13148.225</v>
      </c>
      <c r="AL218" s="116">
        <f t="shared" si="464"/>
        <v>13147.74</v>
      </c>
      <c r="AM218" s="82">
        <f t="shared" si="464"/>
        <v>13147.74</v>
      </c>
      <c r="AN218" s="136">
        <f t="shared" ref="AN218:AR218" si="465">+AN188+AN193</f>
        <v>13804.911</v>
      </c>
      <c r="AO218" s="135">
        <f t="shared" si="465"/>
        <v>13814.921</v>
      </c>
      <c r="AP218" s="135">
        <f t="shared" si="465"/>
        <v>14112.150000000001</v>
      </c>
      <c r="AQ218" s="116">
        <f t="shared" si="465"/>
        <v>14450.247000000001</v>
      </c>
      <c r="AR218" s="82">
        <f t="shared" si="465"/>
        <v>14450.247000000001</v>
      </c>
      <c r="AS218" s="136">
        <f t="shared" ref="AS218:AW218" si="466">+AS188+AS193</f>
        <v>14451.909</v>
      </c>
      <c r="AT218" s="135">
        <f t="shared" si="466"/>
        <v>14597.178</v>
      </c>
      <c r="AU218" s="135">
        <f t="shared" si="466"/>
        <v>14878.382000000001</v>
      </c>
      <c r="AV218" s="116">
        <f t="shared" si="466"/>
        <v>14977</v>
      </c>
      <c r="AW218" s="82">
        <f t="shared" si="466"/>
        <v>14977</v>
      </c>
      <c r="AX218" s="136">
        <f>+AW218+AX147+AX148</f>
        <v>15277</v>
      </c>
      <c r="AY218" s="135">
        <f>+AX218+AY147+AY148</f>
        <v>15277</v>
      </c>
      <c r="AZ218" s="135">
        <f>+AY218+AZ147+AZ148</f>
        <v>16827</v>
      </c>
      <c r="BA218" s="116">
        <f>+AZ218+BA147+BA148</f>
        <v>16877</v>
      </c>
      <c r="BB218" s="82">
        <f>+BA218</f>
        <v>16877</v>
      </c>
      <c r="BC218" s="136">
        <f>+BB218+BC147+BC148</f>
        <v>16877</v>
      </c>
      <c r="BD218" s="135">
        <f>+BC218+BD147+BD148</f>
        <v>16677</v>
      </c>
      <c r="BE218" s="135">
        <f>+BD218+BE147+BE148</f>
        <v>17827</v>
      </c>
      <c r="BF218" s="116">
        <f>+BE218+BF147+BF148</f>
        <v>17827</v>
      </c>
      <c r="BG218" s="82">
        <f>+BF218</f>
        <v>17827</v>
      </c>
      <c r="BH218" s="136">
        <f>+BG218+BH147+BH148</f>
        <v>17827</v>
      </c>
      <c r="BI218" s="135">
        <f>+BH218+BI147+BI148</f>
        <v>17677</v>
      </c>
      <c r="BJ218" s="135">
        <f>+BI218+BJ147+BJ148</f>
        <v>18927</v>
      </c>
      <c r="BK218" s="116">
        <f>+BJ218+BK147+BK148</f>
        <v>18527</v>
      </c>
      <c r="BL218" s="82">
        <f>+BK218</f>
        <v>18527</v>
      </c>
      <c r="BM218" s="136">
        <f>+BL218+BM147+BM148</f>
        <v>18127</v>
      </c>
      <c r="BN218" s="135">
        <f>+BM218+BN147+BN148</f>
        <v>18527</v>
      </c>
      <c r="BO218" s="135">
        <f>+BN218+BO147+BO148</f>
        <v>19677</v>
      </c>
      <c r="BP218" s="116">
        <f>+BO218+BP147+BP148</f>
        <v>19658.400000000001</v>
      </c>
      <c r="BQ218" s="82">
        <f>+BP218</f>
        <v>19658.400000000001</v>
      </c>
      <c r="BT218" s="525"/>
      <c r="BU218" s="525"/>
      <c r="BV218" s="525"/>
      <c r="BW218" s="525"/>
      <c r="BX218" s="525"/>
      <c r="BY218" s="525"/>
      <c r="BZ218" s="525"/>
      <c r="CA218" s="525"/>
    </row>
    <row r="219" spans="1:79" x14ac:dyDescent="0.2">
      <c r="A219" s="20"/>
      <c r="B219" s="20"/>
      <c r="C219" s="247" t="s">
        <v>48</v>
      </c>
      <c r="D219" s="20"/>
      <c r="E219" s="121">
        <f t="shared" ref="E219:Q219" si="467">SUM(E217:E218)</f>
        <v>8563.5759999999991</v>
      </c>
      <c r="F219" s="122">
        <f t="shared" si="467"/>
        <v>8884.3889999999992</v>
      </c>
      <c r="G219" s="122">
        <f t="shared" si="467"/>
        <v>8623.9339999999993</v>
      </c>
      <c r="H219" s="123">
        <f t="shared" si="467"/>
        <v>8891.4419999999991</v>
      </c>
      <c r="I219" s="86">
        <f t="shared" si="467"/>
        <v>8891.4419999999991</v>
      </c>
      <c r="J219" s="121">
        <f t="shared" si="467"/>
        <v>8873.2440000000006</v>
      </c>
      <c r="K219" s="122">
        <f t="shared" si="467"/>
        <v>9084.4520000000011</v>
      </c>
      <c r="L219" s="122">
        <f t="shared" si="467"/>
        <v>9319.2019999999993</v>
      </c>
      <c r="M219" s="123">
        <f t="shared" si="467"/>
        <v>9784.9590000000007</v>
      </c>
      <c r="N219" s="86">
        <f t="shared" si="467"/>
        <v>9784.9590000000007</v>
      </c>
      <c r="O219" s="121">
        <f t="shared" si="467"/>
        <v>9850.384</v>
      </c>
      <c r="P219" s="122">
        <f t="shared" si="467"/>
        <v>9973.4830000000002</v>
      </c>
      <c r="Q219" s="122">
        <f t="shared" si="467"/>
        <v>9962.5709999999999</v>
      </c>
      <c r="R219" s="123">
        <f t="shared" ref="R219:AA219" si="468">SUM(R217:R218)</f>
        <v>10127.435000000001</v>
      </c>
      <c r="S219" s="86">
        <f t="shared" si="468"/>
        <v>10127.435000000001</v>
      </c>
      <c r="T219" s="121">
        <f t="shared" si="468"/>
        <v>10247.044</v>
      </c>
      <c r="U219" s="122">
        <f t="shared" si="468"/>
        <v>10498.996999999999</v>
      </c>
      <c r="V219" s="122">
        <f t="shared" si="468"/>
        <v>11269.409</v>
      </c>
      <c r="W219" s="123">
        <f>SUM(W217:W218)</f>
        <v>11004.060000000001</v>
      </c>
      <c r="X219" s="86">
        <f>SUM(X217:X218)</f>
        <v>11004.060000000001</v>
      </c>
      <c r="Y219" s="121">
        <f t="shared" si="468"/>
        <v>11073.938</v>
      </c>
      <c r="Z219" s="122">
        <f t="shared" si="468"/>
        <v>11452.519</v>
      </c>
      <c r="AA219" s="122">
        <f t="shared" si="468"/>
        <v>11496.811</v>
      </c>
      <c r="AB219" s="123">
        <f t="shared" ref="AB219:AJ219" si="469">SUM(AB217:AB218)</f>
        <v>11950.517000000002</v>
      </c>
      <c r="AC219" s="86">
        <f t="shared" si="469"/>
        <v>11950.517000000002</v>
      </c>
      <c r="AD219" s="121">
        <f t="shared" si="469"/>
        <v>12252.451999999999</v>
      </c>
      <c r="AE219" s="122">
        <f t="shared" si="469"/>
        <v>12538.1</v>
      </c>
      <c r="AF219" s="122">
        <f t="shared" si="469"/>
        <v>12456.225999999999</v>
      </c>
      <c r="AG219" s="123">
        <f t="shared" si="469"/>
        <v>12776.86</v>
      </c>
      <c r="AH219" s="86">
        <f t="shared" si="469"/>
        <v>12776.86</v>
      </c>
      <c r="AI219" s="121">
        <f t="shared" si="469"/>
        <v>12725.868999999999</v>
      </c>
      <c r="AJ219" s="122">
        <f t="shared" si="469"/>
        <v>13054.482</v>
      </c>
      <c r="AK219" s="122">
        <f>SUM(AK217:AK218)</f>
        <v>13212.225</v>
      </c>
      <c r="AL219" s="123">
        <f>SUM(AL217:AL218)</f>
        <v>13993.74</v>
      </c>
      <c r="AM219" s="86">
        <f>SUM(AM217:AM218)</f>
        <v>13993.74</v>
      </c>
      <c r="AN219" s="121">
        <f>SUM(AN217:AN218)</f>
        <v>13987.911</v>
      </c>
      <c r="AO219" s="122">
        <f>SUM(AO217:AO218)</f>
        <v>14261.921</v>
      </c>
      <c r="AP219" s="122">
        <f t="shared" ref="AP219:AR219" si="470">SUM(AP217:AP218)</f>
        <v>14478.150000000001</v>
      </c>
      <c r="AQ219" s="123">
        <f t="shared" si="470"/>
        <v>14842.247000000001</v>
      </c>
      <c r="AR219" s="86">
        <f t="shared" si="470"/>
        <v>14842.247000000001</v>
      </c>
      <c r="AS219" s="121">
        <f>SUM(AS217:AS218)</f>
        <v>15056.909</v>
      </c>
      <c r="AT219" s="122">
        <f>SUM(AT217:AT218)</f>
        <v>15381.178</v>
      </c>
      <c r="AU219" s="122">
        <f t="shared" ref="AU219:AW219" si="471">SUM(AU217:AU218)</f>
        <v>15392.382000000001</v>
      </c>
      <c r="AV219" s="123">
        <f t="shared" si="471"/>
        <v>15791</v>
      </c>
      <c r="AW219" s="86">
        <f t="shared" si="471"/>
        <v>15791</v>
      </c>
      <c r="AX219" s="121">
        <f>SUM(AX217:AX218)</f>
        <v>16052.492259465749</v>
      </c>
      <c r="AY219" s="122">
        <f>SUM(AY217:AY218)</f>
        <v>16453.296404225526</v>
      </c>
      <c r="AZ219" s="122">
        <f>SUM(AZ217:AZ218)</f>
        <v>16827</v>
      </c>
      <c r="BA219" s="123">
        <f>SUM(BA217:BA218)</f>
        <v>16969.737186938506</v>
      </c>
      <c r="BB219" s="86">
        <f>+BA219</f>
        <v>16969.737186938506</v>
      </c>
      <c r="BC219" s="121">
        <f>SUM(BC217:BC218)</f>
        <v>17429.730901470044</v>
      </c>
      <c r="BD219" s="122">
        <f>SUM(BD217:BD218)</f>
        <v>17950.722082992874</v>
      </c>
      <c r="BE219" s="122">
        <f>SUM(BE217:BE218)</f>
        <v>18161.851604754229</v>
      </c>
      <c r="BF219" s="123">
        <f>SUM(BF217:BF218)</f>
        <v>18693.868156411183</v>
      </c>
      <c r="BG219" s="86">
        <f>+BF219</f>
        <v>18693.868156411183</v>
      </c>
      <c r="BH219" s="121">
        <f>SUM(BH217:BH218)</f>
        <v>18871.40584110879</v>
      </c>
      <c r="BI219" s="122">
        <f>SUM(BI217:BI218)</f>
        <v>19113.042557581677</v>
      </c>
      <c r="BJ219" s="122">
        <f>SUM(BJ217:BJ218)</f>
        <v>19039.062844073109</v>
      </c>
      <c r="BK219" s="123">
        <f>SUM(BK217:BK218)</f>
        <v>19289.727488726032</v>
      </c>
      <c r="BL219" s="86">
        <f>+BK219</f>
        <v>19289.727488726032</v>
      </c>
      <c r="BM219" s="121">
        <f>SUM(BM217:BM218)</f>
        <v>19446.420133265292</v>
      </c>
      <c r="BN219" s="122">
        <f>SUM(BN217:BN218)</f>
        <v>19675.645463205117</v>
      </c>
      <c r="BO219" s="122">
        <f>SUM(BO217:BO218)</f>
        <v>19677</v>
      </c>
      <c r="BP219" s="123">
        <f>SUM(BP217:BP218)</f>
        <v>19815.646802167699</v>
      </c>
      <c r="BQ219" s="86">
        <f>+BP219</f>
        <v>19815.646802167699</v>
      </c>
      <c r="BS219" s="224"/>
      <c r="BT219" s="640"/>
      <c r="BU219" s="525"/>
      <c r="BV219" s="525"/>
      <c r="BW219" s="525"/>
      <c r="BX219" s="525"/>
      <c r="BY219" s="525"/>
      <c r="BZ219" s="525"/>
      <c r="CA219" s="525"/>
    </row>
    <row r="220" spans="1:79" x14ac:dyDescent="0.2">
      <c r="A220" s="45"/>
      <c r="B220" s="45"/>
      <c r="C220" s="248" t="s">
        <v>234</v>
      </c>
      <c r="D220" s="45"/>
      <c r="E220" s="249">
        <f t="shared" ref="E220:AD220" si="472">+E219/E228</f>
        <v>0.54483860742943691</v>
      </c>
      <c r="F220" s="250">
        <f t="shared" si="472"/>
        <v>0.55309332723737126</v>
      </c>
      <c r="G220" s="250">
        <f t="shared" si="472"/>
        <v>0.54170119849794862</v>
      </c>
      <c r="H220" s="251">
        <f t="shared" si="472"/>
        <v>0.54616854263665227</v>
      </c>
      <c r="I220" s="252">
        <f t="shared" si="472"/>
        <v>0.54616854263665227</v>
      </c>
      <c r="J220" s="249">
        <f t="shared" si="472"/>
        <v>0.54323450426852549</v>
      </c>
      <c r="K220" s="250">
        <f t="shared" si="472"/>
        <v>0.54787484710143153</v>
      </c>
      <c r="L220" s="250">
        <f t="shared" si="472"/>
        <v>0.54722719665500463</v>
      </c>
      <c r="M220" s="251">
        <f t="shared" si="472"/>
        <v>0.54441159848038156</v>
      </c>
      <c r="N220" s="252">
        <f t="shared" si="472"/>
        <v>0.54441159848038156</v>
      </c>
      <c r="O220" s="249">
        <f t="shared" si="472"/>
        <v>0.54311446747055869</v>
      </c>
      <c r="P220" s="250">
        <f t="shared" si="472"/>
        <v>0.54461135536952165</v>
      </c>
      <c r="Q220" s="250">
        <f t="shared" si="472"/>
        <v>0.53855071238466989</v>
      </c>
      <c r="R220" s="251">
        <f>+R219/R228</f>
        <v>0.54420390772886285</v>
      </c>
      <c r="S220" s="252">
        <f>+S219/S228</f>
        <v>0.54420390772886285</v>
      </c>
      <c r="T220" s="249">
        <f t="shared" si="472"/>
        <v>0.54549904004399319</v>
      </c>
      <c r="U220" s="250">
        <f t="shared" si="472"/>
        <v>0.55047822252161771</v>
      </c>
      <c r="V220" s="250">
        <f t="shared" si="472"/>
        <v>0.56012170636631831</v>
      </c>
      <c r="W220" s="251">
        <f>+W219/W228</f>
        <v>0.55357602173684584</v>
      </c>
      <c r="X220" s="252">
        <f>+X219/X228</f>
        <v>0.55357602173684584</v>
      </c>
      <c r="Y220" s="249">
        <f t="shared" si="472"/>
        <v>0.54742745964701955</v>
      </c>
      <c r="Z220" s="250">
        <f t="shared" si="472"/>
        <v>0.55185511674493093</v>
      </c>
      <c r="AA220" s="250">
        <f t="shared" si="472"/>
        <v>0.54631999652919294</v>
      </c>
      <c r="AB220" s="251">
        <f>+AB219/AB228</f>
        <v>0.5554126056103913</v>
      </c>
      <c r="AC220" s="252">
        <f>+AC219/AC228</f>
        <v>0.5554126056103913</v>
      </c>
      <c r="AD220" s="249">
        <f t="shared" si="472"/>
        <v>0.55693277543927977</v>
      </c>
      <c r="AE220" s="250">
        <f t="shared" ref="AE220:AJ220" si="473">+AE219/AE228</f>
        <v>0.55826935564706903</v>
      </c>
      <c r="AF220" s="250">
        <f t="shared" si="473"/>
        <v>0.55089508655255703</v>
      </c>
      <c r="AG220" s="251">
        <f t="shared" si="473"/>
        <v>0.55572484633563357</v>
      </c>
      <c r="AH220" s="252">
        <f t="shared" si="473"/>
        <v>0.55572484633563357</v>
      </c>
      <c r="AI220" s="249">
        <f t="shared" si="473"/>
        <v>0.55472794490186206</v>
      </c>
      <c r="AJ220" s="250">
        <f t="shared" si="473"/>
        <v>0.55971252744222266</v>
      </c>
      <c r="AK220" s="250">
        <f t="shared" ref="AK220:AP220" si="474">+AK219/AK228</f>
        <v>0.55613900797047444</v>
      </c>
      <c r="AL220" s="251">
        <f t="shared" si="474"/>
        <v>0.56897472866061172</v>
      </c>
      <c r="AM220" s="252">
        <f t="shared" si="474"/>
        <v>0.56897472866061172</v>
      </c>
      <c r="AN220" s="249">
        <f t="shared" si="474"/>
        <v>0.56724124471882997</v>
      </c>
      <c r="AO220" s="250">
        <f t="shared" si="474"/>
        <v>0.57127536871038342</v>
      </c>
      <c r="AP220" s="250">
        <f t="shared" si="474"/>
        <v>0.56852657251061522</v>
      </c>
      <c r="AQ220" s="251">
        <f t="shared" ref="AQ220:AU220" si="475">+AQ219/AQ228</f>
        <v>0.57387742751293191</v>
      </c>
      <c r="AR220" s="252">
        <f t="shared" si="475"/>
        <v>0.57387742751293191</v>
      </c>
      <c r="AS220" s="249">
        <f t="shared" si="475"/>
        <v>0.57629645478129543</v>
      </c>
      <c r="AT220" s="250">
        <f t="shared" si="475"/>
        <v>0.58032692239416106</v>
      </c>
      <c r="AU220" s="250">
        <f t="shared" si="475"/>
        <v>0.57366280011683168</v>
      </c>
      <c r="AV220" s="251">
        <f t="shared" ref="AV220:AW220" si="476">+AV219/AV228</f>
        <v>0.57957131322028921</v>
      </c>
      <c r="AW220" s="252">
        <f t="shared" si="476"/>
        <v>0.57957131322028921</v>
      </c>
      <c r="AX220" s="249">
        <f t="shared" ref="AX220:BG220" si="477">+AX219/AX228</f>
        <v>0.58113440342373546</v>
      </c>
      <c r="AY220" s="250">
        <f t="shared" si="477"/>
        <v>0.58562022557423044</v>
      </c>
      <c r="AZ220" s="250">
        <f t="shared" si="477"/>
        <v>0.58498936563908432</v>
      </c>
      <c r="BA220" s="251">
        <f t="shared" si="477"/>
        <v>0.58595595918588139</v>
      </c>
      <c r="BB220" s="252">
        <f t="shared" si="477"/>
        <v>0.58595595918588139</v>
      </c>
      <c r="BC220" s="249">
        <f t="shared" si="477"/>
        <v>0.58975841814117169</v>
      </c>
      <c r="BD220" s="250">
        <f t="shared" si="477"/>
        <v>0.59527438648432029</v>
      </c>
      <c r="BE220" s="250">
        <f t="shared" si="477"/>
        <v>0.59202280150458375</v>
      </c>
      <c r="BF220" s="251">
        <f t="shared" si="477"/>
        <v>0.59781495022534803</v>
      </c>
      <c r="BG220" s="252">
        <f t="shared" si="477"/>
        <v>0.59781495022534803</v>
      </c>
      <c r="BH220" s="249">
        <f t="shared" ref="BH220:BQ220" si="478">+BH219/BH228</f>
        <v>0.59751488884513981</v>
      </c>
      <c r="BI220" s="250">
        <f t="shared" si="478"/>
        <v>0.59910108014003494</v>
      </c>
      <c r="BJ220" s="250">
        <f t="shared" si="478"/>
        <v>0.59230744749436404</v>
      </c>
      <c r="BK220" s="251">
        <f t="shared" si="478"/>
        <v>0.59426450795713848</v>
      </c>
      <c r="BL220" s="252">
        <f t="shared" si="478"/>
        <v>0.59426450795713848</v>
      </c>
      <c r="BM220" s="249">
        <f t="shared" si="478"/>
        <v>0.59359050224161802</v>
      </c>
      <c r="BN220" s="250">
        <f t="shared" si="478"/>
        <v>0.59486427503802553</v>
      </c>
      <c r="BO220" s="250">
        <f t="shared" si="478"/>
        <v>0.58902663611568196</v>
      </c>
      <c r="BP220" s="251">
        <f t="shared" si="478"/>
        <v>0.58939357527785541</v>
      </c>
      <c r="BQ220" s="252">
        <f t="shared" si="478"/>
        <v>0.58939357527785541</v>
      </c>
      <c r="BT220" s="525"/>
      <c r="BU220" s="525"/>
      <c r="BV220" s="525"/>
      <c r="BW220" s="525"/>
      <c r="BX220" s="525"/>
      <c r="BY220" s="525"/>
      <c r="BZ220" s="525"/>
      <c r="CA220" s="525"/>
    </row>
    <row r="221" spans="1:79" x14ac:dyDescent="0.2">
      <c r="A221" s="20"/>
      <c r="B221" s="20"/>
      <c r="C221" s="70"/>
      <c r="D221" s="20"/>
      <c r="E221" s="203"/>
      <c r="F221" s="204"/>
      <c r="G221" s="204"/>
      <c r="H221" s="205"/>
      <c r="I221" s="206"/>
      <c r="J221" s="203"/>
      <c r="K221" s="204"/>
      <c r="L221" s="204"/>
      <c r="M221" s="205"/>
      <c r="N221" s="206"/>
      <c r="O221" s="203"/>
      <c r="P221" s="204"/>
      <c r="Q221" s="204"/>
      <c r="R221" s="205"/>
      <c r="S221" s="206"/>
      <c r="T221" s="203"/>
      <c r="U221" s="204"/>
      <c r="V221" s="204"/>
      <c r="W221" s="205"/>
      <c r="X221" s="206"/>
      <c r="Y221" s="203"/>
      <c r="Z221" s="204"/>
      <c r="AA221" s="204"/>
      <c r="AB221" s="205"/>
      <c r="AC221" s="206"/>
      <c r="AD221" s="203"/>
      <c r="AE221" s="204"/>
      <c r="AF221" s="204"/>
      <c r="AG221" s="205"/>
      <c r="AH221" s="206"/>
      <c r="AI221" s="203"/>
      <c r="AJ221" s="204"/>
      <c r="AK221" s="204"/>
      <c r="AL221" s="205"/>
      <c r="AM221" s="206"/>
      <c r="AN221" s="203"/>
      <c r="AO221" s="204"/>
      <c r="AP221" s="204"/>
      <c r="AQ221" s="205"/>
      <c r="AR221" s="206"/>
      <c r="AS221" s="203"/>
      <c r="AT221" s="204"/>
      <c r="AU221" s="204"/>
      <c r="AV221" s="205"/>
      <c r="AW221" s="206"/>
      <c r="AX221" s="203"/>
      <c r="AY221" s="204"/>
      <c r="AZ221" s="204"/>
      <c r="BA221" s="205"/>
      <c r="BB221" s="206"/>
      <c r="BC221" s="203"/>
      <c r="BD221" s="204"/>
      <c r="BE221" s="204"/>
      <c r="BF221" s="205"/>
      <c r="BG221" s="206"/>
      <c r="BH221" s="203"/>
      <c r="BI221" s="204"/>
      <c r="BJ221" s="204"/>
      <c r="BK221" s="205"/>
      <c r="BL221" s="206"/>
      <c r="BM221" s="203"/>
      <c r="BN221" s="204"/>
      <c r="BO221" s="204"/>
      <c r="BP221" s="205"/>
      <c r="BQ221" s="206"/>
      <c r="BT221" s="525"/>
      <c r="BU221" s="525"/>
      <c r="BV221" s="525"/>
      <c r="BW221" s="525"/>
      <c r="BX221" s="525"/>
      <c r="BY221" s="525"/>
      <c r="BZ221" s="525"/>
      <c r="CA221" s="525"/>
    </row>
    <row r="222" spans="1:79" x14ac:dyDescent="0.2">
      <c r="A222" s="20"/>
      <c r="B222" s="20"/>
      <c r="C222" s="141" t="s">
        <v>235</v>
      </c>
      <c r="D222" s="20"/>
      <c r="E222" s="121">
        <f t="shared" ref="E222:Q222" si="479">+E202</f>
        <v>104.98</v>
      </c>
      <c r="F222" s="122">
        <f t="shared" si="479"/>
        <v>104.98</v>
      </c>
      <c r="G222" s="122">
        <f t="shared" si="479"/>
        <v>104.98</v>
      </c>
      <c r="H222" s="123">
        <f t="shared" si="479"/>
        <v>104.98</v>
      </c>
      <c r="I222" s="86">
        <f t="shared" si="479"/>
        <v>104.98</v>
      </c>
      <c r="J222" s="121">
        <f t="shared" si="479"/>
        <v>104.98</v>
      </c>
      <c r="K222" s="122">
        <f t="shared" si="479"/>
        <v>104.98</v>
      </c>
      <c r="L222" s="122">
        <f t="shared" si="479"/>
        <v>104.98</v>
      </c>
      <c r="M222" s="123">
        <f t="shared" si="479"/>
        <v>104.98</v>
      </c>
      <c r="N222" s="86">
        <f t="shared" si="479"/>
        <v>104.98</v>
      </c>
      <c r="O222" s="121">
        <f t="shared" si="479"/>
        <v>104.98</v>
      </c>
      <c r="P222" s="122">
        <f t="shared" si="479"/>
        <v>104.98</v>
      </c>
      <c r="Q222" s="122">
        <f t="shared" si="479"/>
        <v>104.98</v>
      </c>
      <c r="R222" s="123">
        <f t="shared" ref="R222:Y222" si="480">+R202</f>
        <v>0</v>
      </c>
      <c r="S222" s="86">
        <f t="shared" si="480"/>
        <v>0</v>
      </c>
      <c r="T222" s="121">
        <f t="shared" si="480"/>
        <v>0</v>
      </c>
      <c r="U222" s="122">
        <f t="shared" si="480"/>
        <v>0</v>
      </c>
      <c r="V222" s="122">
        <f t="shared" si="480"/>
        <v>0</v>
      </c>
      <c r="W222" s="123">
        <f t="shared" si="480"/>
        <v>0</v>
      </c>
      <c r="X222" s="86">
        <f t="shared" si="480"/>
        <v>0</v>
      </c>
      <c r="Y222" s="121">
        <f t="shared" si="480"/>
        <v>0</v>
      </c>
      <c r="Z222" s="122">
        <f t="shared" ref="Z222:AF222" si="481">+Z202</f>
        <v>0</v>
      </c>
      <c r="AA222" s="122">
        <f t="shared" si="481"/>
        <v>0</v>
      </c>
      <c r="AB222" s="123">
        <f t="shared" si="481"/>
        <v>0</v>
      </c>
      <c r="AC222" s="86">
        <f t="shared" si="481"/>
        <v>0</v>
      </c>
      <c r="AD222" s="121">
        <f t="shared" si="481"/>
        <v>0</v>
      </c>
      <c r="AE222" s="122">
        <f t="shared" si="481"/>
        <v>0</v>
      </c>
      <c r="AF222" s="122">
        <f t="shared" si="481"/>
        <v>0</v>
      </c>
      <c r="AG222" s="123">
        <f t="shared" ref="AG222:AM222" si="482">+AG202</f>
        <v>0</v>
      </c>
      <c r="AH222" s="86">
        <f t="shared" si="482"/>
        <v>0</v>
      </c>
      <c r="AI222" s="121">
        <f t="shared" si="482"/>
        <v>0</v>
      </c>
      <c r="AJ222" s="122">
        <f t="shared" si="482"/>
        <v>0</v>
      </c>
      <c r="AK222" s="122">
        <f t="shared" si="482"/>
        <v>0</v>
      </c>
      <c r="AL222" s="123">
        <f t="shared" si="482"/>
        <v>0</v>
      </c>
      <c r="AM222" s="86">
        <f t="shared" si="482"/>
        <v>0</v>
      </c>
      <c r="AN222" s="121">
        <f t="shared" ref="AN222:AR222" si="483">+AN202</f>
        <v>0</v>
      </c>
      <c r="AO222" s="122">
        <f t="shared" si="483"/>
        <v>0</v>
      </c>
      <c r="AP222" s="122">
        <f t="shared" si="483"/>
        <v>0</v>
      </c>
      <c r="AQ222" s="123">
        <f t="shared" si="483"/>
        <v>0</v>
      </c>
      <c r="AR222" s="86">
        <f t="shared" si="483"/>
        <v>0</v>
      </c>
      <c r="AS222" s="121">
        <f t="shared" ref="AS222:AW222" si="484">+AS202</f>
        <v>0</v>
      </c>
      <c r="AT222" s="122">
        <f t="shared" si="484"/>
        <v>0</v>
      </c>
      <c r="AU222" s="122">
        <f t="shared" si="484"/>
        <v>0</v>
      </c>
      <c r="AV222" s="123">
        <f t="shared" si="484"/>
        <v>0</v>
      </c>
      <c r="AW222" s="86">
        <f t="shared" si="484"/>
        <v>0</v>
      </c>
      <c r="AX222" s="121">
        <f t="shared" ref="AX222:BG222" si="485">+AX202</f>
        <v>0</v>
      </c>
      <c r="AY222" s="122">
        <f t="shared" si="485"/>
        <v>0</v>
      </c>
      <c r="AZ222" s="122">
        <f t="shared" si="485"/>
        <v>0</v>
      </c>
      <c r="BA222" s="123">
        <f t="shared" si="485"/>
        <v>0</v>
      </c>
      <c r="BB222" s="86">
        <f t="shared" si="485"/>
        <v>0</v>
      </c>
      <c r="BC222" s="121">
        <f t="shared" si="485"/>
        <v>0</v>
      </c>
      <c r="BD222" s="122">
        <f t="shared" si="485"/>
        <v>0</v>
      </c>
      <c r="BE222" s="122">
        <f t="shared" si="485"/>
        <v>0</v>
      </c>
      <c r="BF222" s="123">
        <f t="shared" si="485"/>
        <v>0</v>
      </c>
      <c r="BG222" s="86">
        <f t="shared" si="485"/>
        <v>0</v>
      </c>
      <c r="BH222" s="121">
        <f t="shared" ref="BH222:BQ222" si="486">+BH202</f>
        <v>0</v>
      </c>
      <c r="BI222" s="122">
        <f t="shared" si="486"/>
        <v>0</v>
      </c>
      <c r="BJ222" s="122">
        <f t="shared" si="486"/>
        <v>0</v>
      </c>
      <c r="BK222" s="123">
        <f t="shared" si="486"/>
        <v>0</v>
      </c>
      <c r="BL222" s="86">
        <f t="shared" si="486"/>
        <v>0</v>
      </c>
      <c r="BM222" s="121">
        <f t="shared" si="486"/>
        <v>0</v>
      </c>
      <c r="BN222" s="122">
        <f t="shared" si="486"/>
        <v>0</v>
      </c>
      <c r="BO222" s="122">
        <f t="shared" si="486"/>
        <v>0</v>
      </c>
      <c r="BP222" s="123">
        <f t="shared" si="486"/>
        <v>0</v>
      </c>
      <c r="BQ222" s="86">
        <f t="shared" si="486"/>
        <v>0</v>
      </c>
      <c r="BT222" s="525"/>
      <c r="BU222" s="525"/>
      <c r="BV222" s="525"/>
      <c r="BW222" s="525"/>
      <c r="BX222" s="525"/>
      <c r="BY222" s="525"/>
      <c r="BZ222" s="525"/>
      <c r="CA222" s="525"/>
    </row>
    <row r="223" spans="1:79" x14ac:dyDescent="0.2">
      <c r="A223" s="45"/>
      <c r="B223" s="45"/>
      <c r="C223" s="248" t="s">
        <v>234</v>
      </c>
      <c r="D223" s="45"/>
      <c r="E223" s="249">
        <f t="shared" ref="E223:AD223" si="487">+E222/E228</f>
        <v>6.6791206159602361E-3</v>
      </c>
      <c r="F223" s="250">
        <f t="shared" si="487"/>
        <v>6.5354789725415264E-3</v>
      </c>
      <c r="G223" s="250">
        <f t="shared" si="487"/>
        <v>6.5941821700299021E-3</v>
      </c>
      <c r="H223" s="251">
        <f t="shared" si="487"/>
        <v>6.4485348502521592E-3</v>
      </c>
      <c r="I223" s="252">
        <f t="shared" si="487"/>
        <v>6.4485348502521592E-3</v>
      </c>
      <c r="J223" s="249">
        <f t="shared" si="487"/>
        <v>6.4270472285118943E-3</v>
      </c>
      <c r="K223" s="250">
        <f t="shared" si="487"/>
        <v>6.3312461168497872E-3</v>
      </c>
      <c r="L223" s="250">
        <f t="shared" si="487"/>
        <v>6.1644667756791185E-3</v>
      </c>
      <c r="M223" s="251">
        <f t="shared" si="487"/>
        <v>5.8408348577107432E-3</v>
      </c>
      <c r="N223" s="252">
        <f t="shared" si="487"/>
        <v>5.8408348577107432E-3</v>
      </c>
      <c r="O223" s="249">
        <f t="shared" si="487"/>
        <v>5.7882166619148299E-3</v>
      </c>
      <c r="P223" s="250">
        <f t="shared" si="487"/>
        <v>5.7325309610185716E-3</v>
      </c>
      <c r="Q223" s="250">
        <f t="shared" si="487"/>
        <v>5.6749461345010892E-3</v>
      </c>
      <c r="R223" s="251">
        <f>+R222/R228</f>
        <v>0</v>
      </c>
      <c r="S223" s="252">
        <f>+S222/S228</f>
        <v>0</v>
      </c>
      <c r="T223" s="249">
        <f t="shared" si="487"/>
        <v>0</v>
      </c>
      <c r="U223" s="250">
        <f t="shared" si="487"/>
        <v>0</v>
      </c>
      <c r="V223" s="250">
        <f t="shared" si="487"/>
        <v>0</v>
      </c>
      <c r="W223" s="251">
        <f>+W222/W228</f>
        <v>0</v>
      </c>
      <c r="X223" s="252">
        <f>+X222/X228</f>
        <v>0</v>
      </c>
      <c r="Y223" s="249">
        <f t="shared" si="487"/>
        <v>0</v>
      </c>
      <c r="Z223" s="250">
        <f t="shared" si="487"/>
        <v>0</v>
      </c>
      <c r="AA223" s="250">
        <f t="shared" si="487"/>
        <v>0</v>
      </c>
      <c r="AB223" s="251">
        <f>+AB222/AB228</f>
        <v>0</v>
      </c>
      <c r="AC223" s="252">
        <f>+AC222/AC228</f>
        <v>0</v>
      </c>
      <c r="AD223" s="249">
        <f t="shared" si="487"/>
        <v>0</v>
      </c>
      <c r="AE223" s="250">
        <f t="shared" ref="AE223:AJ223" si="488">+AE222/AE228</f>
        <v>0</v>
      </c>
      <c r="AF223" s="250">
        <f t="shared" si="488"/>
        <v>0</v>
      </c>
      <c r="AG223" s="251">
        <f t="shared" si="488"/>
        <v>0</v>
      </c>
      <c r="AH223" s="252">
        <f t="shared" si="488"/>
        <v>0</v>
      </c>
      <c r="AI223" s="249">
        <f t="shared" si="488"/>
        <v>0</v>
      </c>
      <c r="AJ223" s="250">
        <f t="shared" si="488"/>
        <v>0</v>
      </c>
      <c r="AK223" s="250">
        <f t="shared" ref="AK223:AP223" si="489">+AK222/AK228</f>
        <v>0</v>
      </c>
      <c r="AL223" s="251">
        <f t="shared" si="489"/>
        <v>0</v>
      </c>
      <c r="AM223" s="252">
        <f t="shared" si="489"/>
        <v>0</v>
      </c>
      <c r="AN223" s="249">
        <f t="shared" si="489"/>
        <v>0</v>
      </c>
      <c r="AO223" s="250">
        <f t="shared" si="489"/>
        <v>0</v>
      </c>
      <c r="AP223" s="250">
        <f t="shared" si="489"/>
        <v>0</v>
      </c>
      <c r="AQ223" s="251">
        <f t="shared" ref="AQ223:AU223" si="490">+AQ222/AQ228</f>
        <v>0</v>
      </c>
      <c r="AR223" s="252">
        <f t="shared" si="490"/>
        <v>0</v>
      </c>
      <c r="AS223" s="249">
        <f t="shared" si="490"/>
        <v>0</v>
      </c>
      <c r="AT223" s="250">
        <f t="shared" si="490"/>
        <v>0</v>
      </c>
      <c r="AU223" s="250">
        <f t="shared" si="490"/>
        <v>0</v>
      </c>
      <c r="AV223" s="251">
        <f t="shared" ref="AV223:AW223" si="491">+AV222/AV228</f>
        <v>0</v>
      </c>
      <c r="AW223" s="252">
        <f t="shared" si="491"/>
        <v>0</v>
      </c>
      <c r="AX223" s="249">
        <f t="shared" ref="AX223:BG223" si="492">+AX222/AX228</f>
        <v>0</v>
      </c>
      <c r="AY223" s="250">
        <f t="shared" si="492"/>
        <v>0</v>
      </c>
      <c r="AZ223" s="250">
        <f t="shared" si="492"/>
        <v>0</v>
      </c>
      <c r="BA223" s="251">
        <f t="shared" si="492"/>
        <v>0</v>
      </c>
      <c r="BB223" s="252">
        <f t="shared" si="492"/>
        <v>0</v>
      </c>
      <c r="BC223" s="249">
        <f t="shared" si="492"/>
        <v>0</v>
      </c>
      <c r="BD223" s="250">
        <f t="shared" si="492"/>
        <v>0</v>
      </c>
      <c r="BE223" s="250">
        <f t="shared" si="492"/>
        <v>0</v>
      </c>
      <c r="BF223" s="251">
        <f t="shared" si="492"/>
        <v>0</v>
      </c>
      <c r="BG223" s="252">
        <f t="shared" si="492"/>
        <v>0</v>
      </c>
      <c r="BH223" s="249">
        <f t="shared" ref="BH223:BQ223" si="493">+BH222/BH228</f>
        <v>0</v>
      </c>
      <c r="BI223" s="250">
        <f t="shared" si="493"/>
        <v>0</v>
      </c>
      <c r="BJ223" s="250">
        <f t="shared" si="493"/>
        <v>0</v>
      </c>
      <c r="BK223" s="251">
        <f t="shared" si="493"/>
        <v>0</v>
      </c>
      <c r="BL223" s="252">
        <f t="shared" si="493"/>
        <v>0</v>
      </c>
      <c r="BM223" s="249">
        <f t="shared" si="493"/>
        <v>0</v>
      </c>
      <c r="BN223" s="250">
        <f t="shared" si="493"/>
        <v>0</v>
      </c>
      <c r="BO223" s="250">
        <f t="shared" si="493"/>
        <v>0</v>
      </c>
      <c r="BP223" s="251">
        <f t="shared" si="493"/>
        <v>0</v>
      </c>
      <c r="BQ223" s="252">
        <f t="shared" si="493"/>
        <v>0</v>
      </c>
      <c r="BT223" s="525"/>
      <c r="BU223" s="525"/>
      <c r="BV223" s="525"/>
      <c r="BW223" s="525"/>
      <c r="BX223" s="525"/>
      <c r="BY223" s="525"/>
      <c r="BZ223" s="525"/>
      <c r="CA223" s="525"/>
    </row>
    <row r="224" spans="1:79" x14ac:dyDescent="0.2">
      <c r="A224" s="20"/>
      <c r="B224" s="20"/>
      <c r="C224" s="70"/>
      <c r="D224" s="20"/>
      <c r="E224" s="203"/>
      <c r="F224" s="204"/>
      <c r="G224" s="204"/>
      <c r="H224" s="205"/>
      <c r="I224" s="206"/>
      <c r="J224" s="203"/>
      <c r="K224" s="204"/>
      <c r="L224" s="204"/>
      <c r="M224" s="205"/>
      <c r="N224" s="206"/>
      <c r="O224" s="203"/>
      <c r="P224" s="204"/>
      <c r="Q224" s="204"/>
      <c r="R224" s="205"/>
      <c r="S224" s="206"/>
      <c r="T224" s="203"/>
      <c r="U224" s="204"/>
      <c r="V224" s="204"/>
      <c r="W224" s="205"/>
      <c r="X224" s="206"/>
      <c r="Y224" s="203"/>
      <c r="Z224" s="204"/>
      <c r="AA224" s="204"/>
      <c r="AB224" s="205"/>
      <c r="AC224" s="206"/>
      <c r="AD224" s="203"/>
      <c r="AE224" s="204"/>
      <c r="AF224" s="204"/>
      <c r="AG224" s="205"/>
      <c r="AH224" s="206"/>
      <c r="AI224" s="203"/>
      <c r="AJ224" s="204"/>
      <c r="AK224" s="204"/>
      <c r="AL224" s="205"/>
      <c r="AM224" s="206"/>
      <c r="AN224" s="203"/>
      <c r="AO224" s="204"/>
      <c r="AP224" s="204"/>
      <c r="AQ224" s="205"/>
      <c r="AR224" s="206"/>
      <c r="AS224" s="203"/>
      <c r="AT224" s="204"/>
      <c r="AU224" s="204"/>
      <c r="AV224" s="205"/>
      <c r="AW224" s="206"/>
      <c r="AX224" s="203"/>
      <c r="AY224" s="204"/>
      <c r="AZ224" s="204"/>
      <c r="BA224" s="205"/>
      <c r="BB224" s="206"/>
      <c r="BC224" s="203"/>
      <c r="BD224" s="204"/>
      <c r="BE224" s="204"/>
      <c r="BF224" s="205"/>
      <c r="BG224" s="206"/>
      <c r="BH224" s="203"/>
      <c r="BI224" s="204"/>
      <c r="BJ224" s="204"/>
      <c r="BK224" s="205"/>
      <c r="BL224" s="206"/>
      <c r="BM224" s="203"/>
      <c r="BN224" s="204"/>
      <c r="BO224" s="204"/>
      <c r="BP224" s="205"/>
      <c r="BQ224" s="206"/>
      <c r="BS224" s="37"/>
      <c r="BT224" s="525"/>
      <c r="BU224" s="525"/>
      <c r="BV224" s="525"/>
      <c r="BW224" s="525"/>
      <c r="BX224" s="525"/>
      <c r="BY224" s="525"/>
      <c r="BZ224" s="525"/>
      <c r="CA224" s="525"/>
    </row>
    <row r="225" spans="1:79" x14ac:dyDescent="0.2">
      <c r="A225" s="20"/>
      <c r="B225" s="20"/>
      <c r="C225" s="141" t="s">
        <v>51</v>
      </c>
      <c r="D225" s="173"/>
      <c r="E225" s="121">
        <f t="shared" ref="E225:O225" si="494">+E207</f>
        <v>7049.0820000000003</v>
      </c>
      <c r="F225" s="122">
        <f t="shared" si="494"/>
        <v>7073.723</v>
      </c>
      <c r="G225" s="122">
        <f t="shared" si="494"/>
        <v>7191.1799999999994</v>
      </c>
      <c r="H225" s="123">
        <f t="shared" si="494"/>
        <v>7283.2449999999999</v>
      </c>
      <c r="I225" s="86">
        <f t="shared" si="494"/>
        <v>7283.2449999999999</v>
      </c>
      <c r="J225" s="121">
        <f t="shared" si="494"/>
        <v>7355.8710000000001</v>
      </c>
      <c r="K225" s="122">
        <f t="shared" si="494"/>
        <v>7391.8220000000001</v>
      </c>
      <c r="L225" s="122">
        <f t="shared" si="494"/>
        <v>7605.6769999999988</v>
      </c>
      <c r="M225" s="123">
        <f t="shared" si="494"/>
        <v>8083.5189999999993</v>
      </c>
      <c r="N225" s="86">
        <f t="shared" si="494"/>
        <v>8083.5189999999993</v>
      </c>
      <c r="O225" s="121">
        <f t="shared" si="494"/>
        <v>8181.4830000000002</v>
      </c>
      <c r="P225" s="122">
        <f t="shared" ref="P225:V225" si="495">+P207</f>
        <v>8234.5649999999987</v>
      </c>
      <c r="Q225" s="122">
        <f t="shared" si="495"/>
        <v>8431.3029999999999</v>
      </c>
      <c r="R225" s="123">
        <f t="shared" si="495"/>
        <v>8482.1980000000003</v>
      </c>
      <c r="S225" s="86">
        <f t="shared" si="495"/>
        <v>8482.1980000000003</v>
      </c>
      <c r="T225" s="121">
        <f t="shared" si="495"/>
        <v>8537.6710000000003</v>
      </c>
      <c r="U225" s="122">
        <f t="shared" si="495"/>
        <v>8573.505000000001</v>
      </c>
      <c r="V225" s="122">
        <f t="shared" si="495"/>
        <v>8850.1630000000005</v>
      </c>
      <c r="W225" s="123">
        <f t="shared" ref="W225:AD225" si="496">+W207</f>
        <v>8874.0769999999993</v>
      </c>
      <c r="X225" s="86">
        <f t="shared" si="496"/>
        <v>8874.0769999999993</v>
      </c>
      <c r="Y225" s="121">
        <f t="shared" si="496"/>
        <v>9155.1129999999994</v>
      </c>
      <c r="Z225" s="122">
        <f t="shared" si="496"/>
        <v>9300.2450000000008</v>
      </c>
      <c r="AA225" s="122">
        <f t="shared" si="496"/>
        <v>9547.2860000000001</v>
      </c>
      <c r="AB225" s="123">
        <f t="shared" si="496"/>
        <v>9565.9500000000007</v>
      </c>
      <c r="AC225" s="86">
        <f t="shared" si="496"/>
        <v>9565.9500000000007</v>
      </c>
      <c r="AD225" s="121">
        <f t="shared" si="496"/>
        <v>9747.4239999999991</v>
      </c>
      <c r="AE225" s="122">
        <f t="shared" ref="AE225:AJ225" si="497">+AE207</f>
        <v>9920.771999999999</v>
      </c>
      <c r="AF225" s="122">
        <f t="shared" si="497"/>
        <v>10154.66</v>
      </c>
      <c r="AG225" s="123">
        <f t="shared" si="497"/>
        <v>10214.482000000002</v>
      </c>
      <c r="AH225" s="86">
        <f t="shared" si="497"/>
        <v>10214.482000000002</v>
      </c>
      <c r="AI225" s="121">
        <f t="shared" si="497"/>
        <v>10214.870000000001</v>
      </c>
      <c r="AJ225" s="122">
        <f t="shared" si="497"/>
        <v>10269.066000000001</v>
      </c>
      <c r="AK225" s="122">
        <f t="shared" ref="AK225:AP225" si="498">+AK207</f>
        <v>10544.83</v>
      </c>
      <c r="AL225" s="123">
        <f t="shared" si="498"/>
        <v>10600.919999999998</v>
      </c>
      <c r="AM225" s="86">
        <f t="shared" si="498"/>
        <v>10600.919999999998</v>
      </c>
      <c r="AN225" s="121">
        <f t="shared" si="498"/>
        <v>10671.634</v>
      </c>
      <c r="AO225" s="122">
        <f t="shared" si="498"/>
        <v>10703.134</v>
      </c>
      <c r="AP225" s="122">
        <f t="shared" si="498"/>
        <v>10987.942000000001</v>
      </c>
      <c r="AQ225" s="123">
        <f>+AQ207</f>
        <v>11020.849</v>
      </c>
      <c r="AR225" s="86">
        <f>+AR207</f>
        <v>11020.849</v>
      </c>
      <c r="AS225" s="121">
        <f t="shared" ref="AS225:AU225" si="499">+AS207</f>
        <v>11070.110999999999</v>
      </c>
      <c r="AT225" s="122">
        <f t="shared" si="499"/>
        <v>11123.155000000001</v>
      </c>
      <c r="AU225" s="122">
        <f t="shared" si="499"/>
        <v>11439.377000000002</v>
      </c>
      <c r="AV225" s="123">
        <f>+AV207</f>
        <v>11455</v>
      </c>
      <c r="AW225" s="86">
        <f>+AW207</f>
        <v>11455</v>
      </c>
      <c r="AX225" s="121">
        <f>+AW225+AX134+AX151+AX152</f>
        <v>11570.192208865477</v>
      </c>
      <c r="AY225" s="122">
        <f>+AX225+AY134+AY151+AY152</f>
        <v>11642.209327483504</v>
      </c>
      <c r="AZ225" s="122">
        <f>+AY225+AZ134+AZ151+AZ152</f>
        <v>11937.625458818347</v>
      </c>
      <c r="BA225" s="123">
        <f>+AZ225+BA134+BA151+BA152</f>
        <v>11991.035241276079</v>
      </c>
      <c r="BB225" s="86">
        <f>+BB207</f>
        <v>11991.035241276079</v>
      </c>
      <c r="BC225" s="121">
        <f>+BB225+BC134+BC151+BC152</f>
        <v>12124.287091873552</v>
      </c>
      <c r="BD225" s="122">
        <f>+BC225+BD134+BD151+BD152</f>
        <v>12204.652464548997</v>
      </c>
      <c r="BE225" s="122">
        <f>+BD225+BE134+BE151+BE152</f>
        <v>12515.770200684983</v>
      </c>
      <c r="BF225" s="123">
        <f>+BE225+BF134+BF151+BF152</f>
        <v>12576.457467537295</v>
      </c>
      <c r="BG225" s="86">
        <f>+BG207</f>
        <v>12576.457467537295</v>
      </c>
      <c r="BH225" s="121">
        <f>+BG225+BH134+BH151+BH152</f>
        <v>12711.74998214261</v>
      </c>
      <c r="BI225" s="122">
        <f>+BH225+BI134+BI151+BI152</f>
        <v>12789.825240810809</v>
      </c>
      <c r="BJ225" s="122">
        <f>+BI225+BJ134+BJ151+BJ152</f>
        <v>13104.822775825784</v>
      </c>
      <c r="BK225" s="123">
        <f>+BJ225+BK134+BK151+BK152</f>
        <v>13170.10686186808</v>
      </c>
      <c r="BL225" s="86">
        <f>+BL207</f>
        <v>13170.10686186808</v>
      </c>
      <c r="BM225" s="121">
        <f>+BL225+BM134+BM151+BM152</f>
        <v>13314.245780067877</v>
      </c>
      <c r="BN225" s="122">
        <f>+BM225+BN134+BN151+BN152</f>
        <v>13400.211146182617</v>
      </c>
      <c r="BO225" s="122">
        <f>+BN225+BO134+BO151+BO152</f>
        <v>13728.959584034048</v>
      </c>
      <c r="BP225" s="123">
        <f>+BO225+BP134+BP151+BP152</f>
        <v>13804.751575649854</v>
      </c>
      <c r="BQ225" s="86">
        <f>+BQ207</f>
        <v>13804.751575649854</v>
      </c>
      <c r="BS225" s="224"/>
      <c r="BT225" s="525"/>
      <c r="BU225" s="525"/>
      <c r="BV225" s="525"/>
      <c r="BW225" s="525"/>
      <c r="BX225" s="525"/>
      <c r="BY225" s="525"/>
      <c r="BZ225" s="525"/>
      <c r="CA225" s="525"/>
    </row>
    <row r="226" spans="1:79" x14ac:dyDescent="0.2">
      <c r="A226" s="45"/>
      <c r="B226" s="45"/>
      <c r="C226" s="248" t="s">
        <v>234</v>
      </c>
      <c r="D226" s="45"/>
      <c r="E226" s="249">
        <f t="shared" ref="E226:AD226" si="500">+E225/E228</f>
        <v>0.44848227195460288</v>
      </c>
      <c r="F226" s="250">
        <f t="shared" si="500"/>
        <v>0.44037119379008727</v>
      </c>
      <c r="G226" s="250">
        <f t="shared" si="500"/>
        <v>0.45170461933202155</v>
      </c>
      <c r="H226" s="251">
        <f t="shared" si="500"/>
        <v>0.44738292251309569</v>
      </c>
      <c r="I226" s="252">
        <f t="shared" si="500"/>
        <v>0.44738292251309569</v>
      </c>
      <c r="J226" s="249">
        <f t="shared" si="500"/>
        <v>0.45033844850296262</v>
      </c>
      <c r="K226" s="250">
        <f t="shared" si="500"/>
        <v>0.44579390678171865</v>
      </c>
      <c r="L226" s="250">
        <f t="shared" si="500"/>
        <v>0.44660833656931631</v>
      </c>
      <c r="M226" s="251">
        <f t="shared" si="500"/>
        <v>0.44974756666190779</v>
      </c>
      <c r="N226" s="252">
        <f t="shared" si="500"/>
        <v>0.44974756666190779</v>
      </c>
      <c r="O226" s="249">
        <f t="shared" si="500"/>
        <v>0.45109731586752644</v>
      </c>
      <c r="P226" s="250">
        <f t="shared" si="500"/>
        <v>0.44965611366945979</v>
      </c>
      <c r="Q226" s="250">
        <f t="shared" si="500"/>
        <v>0.45577434148082901</v>
      </c>
      <c r="R226" s="251">
        <f t="shared" si="500"/>
        <v>0.45579609227113721</v>
      </c>
      <c r="S226" s="252">
        <f t="shared" si="500"/>
        <v>0.45579609227113721</v>
      </c>
      <c r="T226" s="249">
        <f t="shared" si="500"/>
        <v>0.45450095995600681</v>
      </c>
      <c r="U226" s="250">
        <f t="shared" si="500"/>
        <v>0.44952177747838229</v>
      </c>
      <c r="V226" s="250">
        <f t="shared" si="500"/>
        <v>0.43987829363368169</v>
      </c>
      <c r="W226" s="251">
        <f t="shared" si="500"/>
        <v>0.44642397826315405</v>
      </c>
      <c r="X226" s="252">
        <f t="shared" si="500"/>
        <v>0.44642397826315405</v>
      </c>
      <c r="Y226" s="249">
        <f t="shared" si="500"/>
        <v>0.45257254035298045</v>
      </c>
      <c r="Z226" s="250">
        <f t="shared" si="500"/>
        <v>0.44814488325506902</v>
      </c>
      <c r="AA226" s="250">
        <f t="shared" si="500"/>
        <v>0.453680003470807</v>
      </c>
      <c r="AB226" s="251">
        <f t="shared" si="500"/>
        <v>0.44458739438960859</v>
      </c>
      <c r="AC226" s="252">
        <f t="shared" si="500"/>
        <v>0.44458739438960859</v>
      </c>
      <c r="AD226" s="249">
        <f t="shared" si="500"/>
        <v>0.44306722456072029</v>
      </c>
      <c r="AE226" s="250">
        <f t="shared" ref="AE226:AJ226" si="501">+AE225/AE228</f>
        <v>0.44173064435293097</v>
      </c>
      <c r="AF226" s="250">
        <f t="shared" si="501"/>
        <v>0.44910491344744297</v>
      </c>
      <c r="AG226" s="251">
        <f t="shared" si="501"/>
        <v>0.44427515366436637</v>
      </c>
      <c r="AH226" s="252">
        <f t="shared" si="501"/>
        <v>0.44427515366436637</v>
      </c>
      <c r="AI226" s="249">
        <f t="shared" si="501"/>
        <v>0.44527205509813789</v>
      </c>
      <c r="AJ226" s="250">
        <f t="shared" si="501"/>
        <v>0.44028747255777723</v>
      </c>
      <c r="AK226" s="250">
        <f t="shared" ref="AK226:AP226" si="502">+AK225/AK228</f>
        <v>0.44386099202952556</v>
      </c>
      <c r="AL226" s="251">
        <f t="shared" si="502"/>
        <v>0.43102527133938828</v>
      </c>
      <c r="AM226" s="252">
        <f t="shared" si="502"/>
        <v>0.43102527133938828</v>
      </c>
      <c r="AN226" s="249">
        <f t="shared" si="502"/>
        <v>0.43275875528117008</v>
      </c>
      <c r="AO226" s="250">
        <f t="shared" si="502"/>
        <v>0.42872463128961663</v>
      </c>
      <c r="AP226" s="250">
        <f t="shared" si="502"/>
        <v>0.43147342748938466</v>
      </c>
      <c r="AQ226" s="251">
        <f t="shared" ref="AQ226:AU226" si="503">+AQ225/AQ228</f>
        <v>0.42612257248706803</v>
      </c>
      <c r="AR226" s="252">
        <f t="shared" si="503"/>
        <v>0.42612257248706803</v>
      </c>
      <c r="AS226" s="249">
        <f t="shared" si="503"/>
        <v>0.42370354521870462</v>
      </c>
      <c r="AT226" s="250">
        <f t="shared" si="503"/>
        <v>0.41967307760583905</v>
      </c>
      <c r="AU226" s="250">
        <f t="shared" si="503"/>
        <v>0.42633719988316832</v>
      </c>
      <c r="AV226" s="251">
        <f t="shared" ref="AV226:AW226" si="504">+AV225/AV228</f>
        <v>0.42042868677971079</v>
      </c>
      <c r="AW226" s="252">
        <f t="shared" si="504"/>
        <v>0.42042868677971079</v>
      </c>
      <c r="AX226" s="249">
        <f t="shared" ref="AX226:BG226" si="505">+AX225/AX228</f>
        <v>0.4188655965762646</v>
      </c>
      <c r="AY226" s="250">
        <f t="shared" si="505"/>
        <v>0.41437977442576956</v>
      </c>
      <c r="AZ226" s="250">
        <f t="shared" si="505"/>
        <v>0.41501063436091568</v>
      </c>
      <c r="BA226" s="251">
        <f t="shared" si="505"/>
        <v>0.4140440408141185</v>
      </c>
      <c r="BB226" s="252">
        <f t="shared" si="505"/>
        <v>0.4140440408141185</v>
      </c>
      <c r="BC226" s="249">
        <f t="shared" si="505"/>
        <v>0.41024158185882836</v>
      </c>
      <c r="BD226" s="250">
        <f t="shared" si="505"/>
        <v>0.40472561351567976</v>
      </c>
      <c r="BE226" s="250">
        <f t="shared" si="505"/>
        <v>0.40797719849541625</v>
      </c>
      <c r="BF226" s="251">
        <f t="shared" si="505"/>
        <v>0.40218504977465203</v>
      </c>
      <c r="BG226" s="252">
        <f t="shared" si="505"/>
        <v>0.40218504977465203</v>
      </c>
      <c r="BH226" s="249">
        <f t="shared" ref="BH226:BQ226" si="506">+BH225/BH228</f>
        <v>0.40248511115486019</v>
      </c>
      <c r="BI226" s="250">
        <f t="shared" si="506"/>
        <v>0.40089891985996506</v>
      </c>
      <c r="BJ226" s="250">
        <f t="shared" si="506"/>
        <v>0.40769255250563585</v>
      </c>
      <c r="BK226" s="251">
        <f t="shared" si="506"/>
        <v>0.40573549204286152</v>
      </c>
      <c r="BL226" s="252">
        <f t="shared" si="506"/>
        <v>0.40573549204286152</v>
      </c>
      <c r="BM226" s="249">
        <f t="shared" si="506"/>
        <v>0.40640949775838192</v>
      </c>
      <c r="BN226" s="250">
        <f t="shared" si="506"/>
        <v>0.40513572496197459</v>
      </c>
      <c r="BO226" s="250">
        <f t="shared" si="506"/>
        <v>0.4109733638843181</v>
      </c>
      <c r="BP226" s="251">
        <f t="shared" si="506"/>
        <v>0.41060642472214454</v>
      </c>
      <c r="BQ226" s="252">
        <f t="shared" si="506"/>
        <v>0.41060642472214454</v>
      </c>
      <c r="BT226" s="525"/>
      <c r="BU226" s="525"/>
      <c r="BV226" s="525"/>
      <c r="BW226" s="525"/>
      <c r="BX226" s="525"/>
      <c r="BY226" s="525"/>
      <c r="BZ226" s="525"/>
      <c r="CA226" s="525"/>
    </row>
    <row r="227" spans="1:79" x14ac:dyDescent="0.2">
      <c r="A227" s="20"/>
      <c r="B227" s="20"/>
      <c r="C227" s="70"/>
      <c r="D227" s="20"/>
      <c r="E227" s="203"/>
      <c r="F227" s="204"/>
      <c r="G227" s="204"/>
      <c r="H227" s="205"/>
      <c r="I227" s="206"/>
      <c r="J227" s="203"/>
      <c r="K227" s="204"/>
      <c r="L227" s="204"/>
      <c r="M227" s="205"/>
      <c r="N227" s="206"/>
      <c r="O227" s="203"/>
      <c r="P227" s="204"/>
      <c r="Q227" s="204"/>
      <c r="R227" s="205"/>
      <c r="S227" s="206"/>
      <c r="T227" s="203"/>
      <c r="U227" s="204"/>
      <c r="V227" s="204"/>
      <c r="W227" s="205"/>
      <c r="X227" s="206"/>
      <c r="Y227" s="203"/>
      <c r="Z227" s="204"/>
      <c r="AA227" s="204"/>
      <c r="AB227" s="205"/>
      <c r="AC227" s="206"/>
      <c r="AD227" s="203"/>
      <c r="AE227" s="204"/>
      <c r="AF227" s="204"/>
      <c r="AG227" s="205"/>
      <c r="AH227" s="206"/>
      <c r="AI227" s="203"/>
      <c r="AJ227" s="204"/>
      <c r="AK227" s="204"/>
      <c r="AL227" s="205"/>
      <c r="AM227" s="206"/>
      <c r="AN227" s="203"/>
      <c r="AO227" s="204"/>
      <c r="AP227" s="204"/>
      <c r="AQ227" s="205"/>
      <c r="AR227" s="206"/>
      <c r="AS227" s="203"/>
      <c r="AT227" s="204"/>
      <c r="AU227" s="204"/>
      <c r="AV227" s="205"/>
      <c r="AW227" s="206"/>
      <c r="AX227" s="203"/>
      <c r="AY227" s="204"/>
      <c r="AZ227" s="204"/>
      <c r="BA227" s="205"/>
      <c r="BB227" s="206"/>
      <c r="BC227" s="203"/>
      <c r="BD227" s="204"/>
      <c r="BE227" s="204"/>
      <c r="BF227" s="205"/>
      <c r="BG227" s="206"/>
      <c r="BH227" s="203"/>
      <c r="BI227" s="204"/>
      <c r="BJ227" s="204"/>
      <c r="BK227" s="205"/>
      <c r="BL227" s="206"/>
      <c r="BM227" s="203"/>
      <c r="BN227" s="204"/>
      <c r="BO227" s="204"/>
      <c r="BP227" s="205"/>
      <c r="BQ227" s="206"/>
      <c r="BT227" s="525"/>
      <c r="BU227" s="525"/>
      <c r="BV227" s="525"/>
      <c r="BW227" s="525"/>
      <c r="BX227" s="525"/>
      <c r="BY227" s="525"/>
      <c r="BZ227" s="525"/>
      <c r="CA227" s="525"/>
    </row>
    <row r="228" spans="1:79" x14ac:dyDescent="0.2">
      <c r="A228" s="20"/>
      <c r="B228" s="20"/>
      <c r="C228" s="247" t="s">
        <v>54</v>
      </c>
      <c r="D228" s="20"/>
      <c r="E228" s="121">
        <f t="shared" ref="E228:Q228" si="507">+E225+E222+E219</f>
        <v>15717.637999999999</v>
      </c>
      <c r="F228" s="122">
        <f t="shared" si="507"/>
        <v>16063.091999999999</v>
      </c>
      <c r="G228" s="122">
        <f t="shared" si="507"/>
        <v>15920.093999999997</v>
      </c>
      <c r="H228" s="123">
        <f t="shared" si="507"/>
        <v>16279.666999999998</v>
      </c>
      <c r="I228" s="86">
        <f t="shared" si="507"/>
        <v>16279.666999999998</v>
      </c>
      <c r="J228" s="121">
        <f t="shared" si="507"/>
        <v>16334.095000000001</v>
      </c>
      <c r="K228" s="122">
        <f t="shared" si="507"/>
        <v>16581.254000000001</v>
      </c>
      <c r="L228" s="122">
        <f t="shared" si="507"/>
        <v>17029.858999999997</v>
      </c>
      <c r="M228" s="123">
        <f t="shared" si="507"/>
        <v>17973.457999999999</v>
      </c>
      <c r="N228" s="86">
        <f t="shared" si="507"/>
        <v>17973.457999999999</v>
      </c>
      <c r="O228" s="121">
        <f t="shared" si="507"/>
        <v>18136.847000000002</v>
      </c>
      <c r="P228" s="122">
        <f t="shared" si="507"/>
        <v>18313.027999999998</v>
      </c>
      <c r="Q228" s="122">
        <f t="shared" si="507"/>
        <v>18498.853999999999</v>
      </c>
      <c r="R228" s="123">
        <f t="shared" ref="R228:Y228" si="508">+R225+R222+R219</f>
        <v>18609.633000000002</v>
      </c>
      <c r="S228" s="86">
        <f t="shared" si="508"/>
        <v>18609.633000000002</v>
      </c>
      <c r="T228" s="121">
        <f t="shared" si="508"/>
        <v>18784.715</v>
      </c>
      <c r="U228" s="122">
        <f t="shared" si="508"/>
        <v>19072.502</v>
      </c>
      <c r="V228" s="122">
        <f t="shared" si="508"/>
        <v>20119.572</v>
      </c>
      <c r="W228" s="123">
        <f t="shared" si="508"/>
        <v>19878.137000000002</v>
      </c>
      <c r="X228" s="86">
        <f t="shared" si="508"/>
        <v>19878.137000000002</v>
      </c>
      <c r="Y228" s="121">
        <f t="shared" si="508"/>
        <v>20229.050999999999</v>
      </c>
      <c r="Z228" s="122">
        <f t="shared" ref="Z228:AF228" si="509">+Z225+Z222+Z219</f>
        <v>20752.764000000003</v>
      </c>
      <c r="AA228" s="122">
        <f t="shared" si="509"/>
        <v>21044.097000000002</v>
      </c>
      <c r="AB228" s="123">
        <f t="shared" si="509"/>
        <v>21516.467000000004</v>
      </c>
      <c r="AC228" s="86">
        <f t="shared" si="509"/>
        <v>21516.467000000004</v>
      </c>
      <c r="AD228" s="121">
        <f t="shared" si="509"/>
        <v>21999.875999999997</v>
      </c>
      <c r="AE228" s="122">
        <f t="shared" si="509"/>
        <v>22458.871999999999</v>
      </c>
      <c r="AF228" s="122">
        <f t="shared" si="509"/>
        <v>22610.885999999999</v>
      </c>
      <c r="AG228" s="123">
        <f t="shared" ref="AG228:AM228" si="510">+AG225+AG222+AG219</f>
        <v>22991.342000000004</v>
      </c>
      <c r="AH228" s="86">
        <f t="shared" si="510"/>
        <v>22991.342000000004</v>
      </c>
      <c r="AI228" s="121">
        <f t="shared" si="510"/>
        <v>22940.739000000001</v>
      </c>
      <c r="AJ228" s="122">
        <f t="shared" si="510"/>
        <v>23323.548000000003</v>
      </c>
      <c r="AK228" s="122">
        <f t="shared" si="510"/>
        <v>23757.055</v>
      </c>
      <c r="AL228" s="123">
        <f t="shared" si="510"/>
        <v>24594.659999999996</v>
      </c>
      <c r="AM228" s="86">
        <f t="shared" si="510"/>
        <v>24594.659999999996</v>
      </c>
      <c r="AN228" s="121">
        <f t="shared" ref="AN228:AR228" si="511">+AN225+AN222+AN219</f>
        <v>24659.544999999998</v>
      </c>
      <c r="AO228" s="122">
        <f t="shared" si="511"/>
        <v>24965.055</v>
      </c>
      <c r="AP228" s="122">
        <f t="shared" si="511"/>
        <v>25466.092000000004</v>
      </c>
      <c r="AQ228" s="123">
        <f t="shared" si="511"/>
        <v>25863.096000000001</v>
      </c>
      <c r="AR228" s="86">
        <f t="shared" si="511"/>
        <v>25863.096000000001</v>
      </c>
      <c r="AS228" s="121">
        <f t="shared" ref="AS228:AW228" si="512">+AS225+AS222+AS219</f>
        <v>26127.019999999997</v>
      </c>
      <c r="AT228" s="122">
        <f t="shared" si="512"/>
        <v>26504.332999999999</v>
      </c>
      <c r="AU228" s="122">
        <f t="shared" si="512"/>
        <v>26831.759000000005</v>
      </c>
      <c r="AV228" s="123">
        <f t="shared" si="512"/>
        <v>27246</v>
      </c>
      <c r="AW228" s="86">
        <f t="shared" si="512"/>
        <v>27246</v>
      </c>
      <c r="AX228" s="121">
        <f t="shared" ref="AX228:BG228" si="513">+AX225+AX222+AX219</f>
        <v>27622.684468331227</v>
      </c>
      <c r="AY228" s="122">
        <f t="shared" si="513"/>
        <v>28095.505731709032</v>
      </c>
      <c r="AZ228" s="122">
        <f t="shared" si="513"/>
        <v>28764.625458818347</v>
      </c>
      <c r="BA228" s="123">
        <f t="shared" si="513"/>
        <v>28960.772428214586</v>
      </c>
      <c r="BB228" s="86">
        <f t="shared" si="513"/>
        <v>28960.772428214586</v>
      </c>
      <c r="BC228" s="121">
        <f t="shared" si="513"/>
        <v>29554.017993343594</v>
      </c>
      <c r="BD228" s="122">
        <f t="shared" si="513"/>
        <v>30155.374547541869</v>
      </c>
      <c r="BE228" s="122">
        <f t="shared" si="513"/>
        <v>30677.621805439212</v>
      </c>
      <c r="BF228" s="123">
        <f t="shared" si="513"/>
        <v>31270.325623948476</v>
      </c>
      <c r="BG228" s="86">
        <f t="shared" si="513"/>
        <v>31270.325623948476</v>
      </c>
      <c r="BH228" s="121">
        <f t="shared" ref="BH228:BQ228" si="514">+BH225+BH222+BH219</f>
        <v>31583.1558232514</v>
      </c>
      <c r="BI228" s="122">
        <f t="shared" si="514"/>
        <v>31902.867798392486</v>
      </c>
      <c r="BJ228" s="122">
        <f t="shared" si="514"/>
        <v>32143.885619898894</v>
      </c>
      <c r="BK228" s="123">
        <f t="shared" si="514"/>
        <v>32459.834350594112</v>
      </c>
      <c r="BL228" s="86">
        <f t="shared" si="514"/>
        <v>32459.834350594112</v>
      </c>
      <c r="BM228" s="121">
        <f t="shared" si="514"/>
        <v>32760.66591333317</v>
      </c>
      <c r="BN228" s="122">
        <f t="shared" si="514"/>
        <v>33075.856609387731</v>
      </c>
      <c r="BO228" s="122">
        <f t="shared" si="514"/>
        <v>33405.959584034048</v>
      </c>
      <c r="BP228" s="123">
        <f t="shared" si="514"/>
        <v>33620.398377817553</v>
      </c>
      <c r="BQ228" s="86">
        <f t="shared" si="514"/>
        <v>33620.398377817553</v>
      </c>
      <c r="BS228" s="31"/>
      <c r="BT228" s="525"/>
      <c r="BU228" s="525"/>
      <c r="BV228" s="525"/>
      <c r="BW228" s="525"/>
      <c r="BX228" s="525"/>
      <c r="BY228" s="525"/>
      <c r="BZ228" s="525"/>
      <c r="CA228" s="525"/>
    </row>
    <row r="229" spans="1:79" x14ac:dyDescent="0.2">
      <c r="A229" s="45"/>
      <c r="B229" s="45"/>
      <c r="C229" s="248" t="s">
        <v>234</v>
      </c>
      <c r="D229" s="45"/>
      <c r="E229" s="249">
        <f t="shared" ref="E229:AD229" si="515">(E219+E222+E225)/E228</f>
        <v>1</v>
      </c>
      <c r="F229" s="250">
        <f t="shared" si="515"/>
        <v>1</v>
      </c>
      <c r="G229" s="250">
        <f t="shared" si="515"/>
        <v>1</v>
      </c>
      <c r="H229" s="251">
        <f t="shared" si="515"/>
        <v>1</v>
      </c>
      <c r="I229" s="252">
        <f t="shared" si="515"/>
        <v>1</v>
      </c>
      <c r="J229" s="249">
        <f t="shared" si="515"/>
        <v>1</v>
      </c>
      <c r="K229" s="250">
        <f t="shared" si="515"/>
        <v>1</v>
      </c>
      <c r="L229" s="250">
        <f t="shared" si="515"/>
        <v>1</v>
      </c>
      <c r="M229" s="251">
        <f t="shared" si="515"/>
        <v>1</v>
      </c>
      <c r="N229" s="252">
        <f t="shared" si="515"/>
        <v>1</v>
      </c>
      <c r="O229" s="249">
        <f t="shared" si="515"/>
        <v>1</v>
      </c>
      <c r="P229" s="250">
        <f t="shared" si="515"/>
        <v>1</v>
      </c>
      <c r="Q229" s="250">
        <f t="shared" si="515"/>
        <v>1</v>
      </c>
      <c r="R229" s="251">
        <f>(R219+R222+R225)/R228</f>
        <v>1</v>
      </c>
      <c r="S229" s="252">
        <f>(S219+S222+S225)/S228</f>
        <v>1</v>
      </c>
      <c r="T229" s="249">
        <f t="shared" si="515"/>
        <v>1</v>
      </c>
      <c r="U229" s="250">
        <f t="shared" si="515"/>
        <v>1</v>
      </c>
      <c r="V229" s="250">
        <f t="shared" si="515"/>
        <v>1</v>
      </c>
      <c r="W229" s="251">
        <f>(W219+W222+W225)/W228</f>
        <v>1</v>
      </c>
      <c r="X229" s="252">
        <f>(X219+X222+X225)/X228</f>
        <v>1</v>
      </c>
      <c r="Y229" s="249">
        <f t="shared" si="515"/>
        <v>1</v>
      </c>
      <c r="Z229" s="250">
        <f t="shared" si="515"/>
        <v>1</v>
      </c>
      <c r="AA229" s="250">
        <f t="shared" si="515"/>
        <v>1</v>
      </c>
      <c r="AB229" s="251">
        <f>(AB219+AB222+AB225)/AB228</f>
        <v>1</v>
      </c>
      <c r="AC229" s="252">
        <f>(AC219+AC222+AC225)/AC228</f>
        <v>1</v>
      </c>
      <c r="AD229" s="249">
        <f t="shared" si="515"/>
        <v>1</v>
      </c>
      <c r="AE229" s="250">
        <f t="shared" ref="AE229:AJ229" si="516">(AE219+AE222+AE225)/AE228</f>
        <v>1</v>
      </c>
      <c r="AF229" s="250">
        <f t="shared" si="516"/>
        <v>1</v>
      </c>
      <c r="AG229" s="251">
        <f t="shared" si="516"/>
        <v>1</v>
      </c>
      <c r="AH229" s="252">
        <f t="shared" si="516"/>
        <v>1</v>
      </c>
      <c r="AI229" s="249">
        <f t="shared" si="516"/>
        <v>1</v>
      </c>
      <c r="AJ229" s="250">
        <f t="shared" si="516"/>
        <v>1</v>
      </c>
      <c r="AK229" s="250">
        <f t="shared" ref="AK229:AP229" si="517">(AK219+AK222+AK225)/AK228</f>
        <v>1</v>
      </c>
      <c r="AL229" s="251">
        <f t="shared" si="517"/>
        <v>1</v>
      </c>
      <c r="AM229" s="252">
        <f t="shared" si="517"/>
        <v>1</v>
      </c>
      <c r="AN229" s="249">
        <f t="shared" si="517"/>
        <v>1</v>
      </c>
      <c r="AO229" s="250">
        <f t="shared" si="517"/>
        <v>1</v>
      </c>
      <c r="AP229" s="250">
        <f t="shared" si="517"/>
        <v>1</v>
      </c>
      <c r="AQ229" s="251">
        <f t="shared" ref="AQ229:AU229" si="518">(AQ219+AQ222+AQ225)/AQ228</f>
        <v>1</v>
      </c>
      <c r="AR229" s="252">
        <f t="shared" si="518"/>
        <v>1</v>
      </c>
      <c r="AS229" s="249">
        <f t="shared" si="518"/>
        <v>1</v>
      </c>
      <c r="AT229" s="250">
        <f t="shared" si="518"/>
        <v>1</v>
      </c>
      <c r="AU229" s="250">
        <f t="shared" si="518"/>
        <v>1</v>
      </c>
      <c r="AV229" s="251">
        <f t="shared" ref="AV229:AW229" si="519">(AV219+AV222+AV225)/AV228</f>
        <v>1</v>
      </c>
      <c r="AW229" s="252">
        <f t="shared" si="519"/>
        <v>1</v>
      </c>
      <c r="AX229" s="249">
        <f t="shared" ref="AX229:BG229" si="520">(AX219+AX222+AX225)/AX228</f>
        <v>1</v>
      </c>
      <c r="AY229" s="250">
        <f t="shared" si="520"/>
        <v>1</v>
      </c>
      <c r="AZ229" s="250">
        <f t="shared" si="520"/>
        <v>1</v>
      </c>
      <c r="BA229" s="251">
        <f t="shared" si="520"/>
        <v>1</v>
      </c>
      <c r="BB229" s="252">
        <f t="shared" si="520"/>
        <v>1</v>
      </c>
      <c r="BC229" s="249">
        <f t="shared" si="520"/>
        <v>1</v>
      </c>
      <c r="BD229" s="250">
        <f t="shared" si="520"/>
        <v>1</v>
      </c>
      <c r="BE229" s="250">
        <f t="shared" si="520"/>
        <v>1</v>
      </c>
      <c r="BF229" s="251">
        <f t="shared" si="520"/>
        <v>1</v>
      </c>
      <c r="BG229" s="252">
        <f t="shared" si="520"/>
        <v>1</v>
      </c>
      <c r="BH229" s="249">
        <f t="shared" ref="BH229:BQ229" si="521">(BH219+BH222+BH225)/BH228</f>
        <v>1</v>
      </c>
      <c r="BI229" s="250">
        <f t="shared" si="521"/>
        <v>1</v>
      </c>
      <c r="BJ229" s="250">
        <f t="shared" si="521"/>
        <v>1</v>
      </c>
      <c r="BK229" s="251">
        <f t="shared" si="521"/>
        <v>1</v>
      </c>
      <c r="BL229" s="252">
        <f t="shared" si="521"/>
        <v>1</v>
      </c>
      <c r="BM229" s="249">
        <f t="shared" si="521"/>
        <v>1</v>
      </c>
      <c r="BN229" s="250">
        <f t="shared" si="521"/>
        <v>1</v>
      </c>
      <c r="BO229" s="250">
        <f t="shared" si="521"/>
        <v>1</v>
      </c>
      <c r="BP229" s="251">
        <f t="shared" si="521"/>
        <v>1</v>
      </c>
      <c r="BQ229" s="252">
        <f t="shared" si="521"/>
        <v>1</v>
      </c>
      <c r="BS229" s="253"/>
      <c r="BT229" s="525"/>
      <c r="BU229" s="525"/>
      <c r="BV229" s="525"/>
      <c r="BW229" s="525"/>
      <c r="BX229" s="525"/>
      <c r="BY229" s="525"/>
      <c r="BZ229" s="525"/>
      <c r="CA229" s="525"/>
    </row>
    <row r="230" spans="1:79" x14ac:dyDescent="0.2">
      <c r="A230" s="20"/>
      <c r="B230" s="20"/>
      <c r="C230" s="20"/>
      <c r="D230" s="20"/>
      <c r="E230" s="203"/>
      <c r="F230" s="204"/>
      <c r="G230" s="204"/>
      <c r="H230" s="205"/>
      <c r="I230" s="206"/>
      <c r="J230" s="203"/>
      <c r="K230" s="204"/>
      <c r="L230" s="204"/>
      <c r="M230" s="205"/>
      <c r="N230" s="206"/>
      <c r="O230" s="203"/>
      <c r="P230" s="204"/>
      <c r="Q230" s="204"/>
      <c r="R230" s="205"/>
      <c r="S230" s="206"/>
      <c r="T230" s="203"/>
      <c r="U230" s="204"/>
      <c r="V230" s="204"/>
      <c r="W230" s="205"/>
      <c r="X230" s="206"/>
      <c r="Y230" s="203"/>
      <c r="Z230" s="204"/>
      <c r="AA230" s="204"/>
      <c r="AB230" s="205"/>
      <c r="AC230" s="206"/>
      <c r="AD230" s="203"/>
      <c r="AE230" s="204"/>
      <c r="AF230" s="204"/>
      <c r="AG230" s="205"/>
      <c r="AH230" s="206"/>
      <c r="AI230" s="203"/>
      <c r="AJ230" s="204"/>
      <c r="AK230" s="204"/>
      <c r="AL230" s="205"/>
      <c r="AM230" s="206"/>
      <c r="AN230" s="203"/>
      <c r="AO230" s="204"/>
      <c r="AP230" s="204"/>
      <c r="AQ230" s="205"/>
      <c r="AR230" s="206"/>
      <c r="AS230" s="203"/>
      <c r="AT230" s="204"/>
      <c r="AU230" s="204"/>
      <c r="AV230" s="205"/>
      <c r="AW230" s="206"/>
      <c r="AX230" s="203"/>
      <c r="AY230" s="204"/>
      <c r="AZ230" s="204"/>
      <c r="BA230" s="205"/>
      <c r="BB230" s="206"/>
      <c r="BC230" s="203"/>
      <c r="BD230" s="204"/>
      <c r="BE230" s="204"/>
      <c r="BF230" s="205"/>
      <c r="BG230" s="206"/>
      <c r="BH230" s="203"/>
      <c r="BI230" s="204"/>
      <c r="BJ230" s="204"/>
      <c r="BK230" s="205"/>
      <c r="BL230" s="206"/>
      <c r="BM230" s="203"/>
      <c r="BN230" s="204"/>
      <c r="BO230" s="204"/>
      <c r="BP230" s="205"/>
      <c r="BQ230" s="206"/>
      <c r="BT230" s="525"/>
      <c r="BU230" s="525"/>
      <c r="BV230" s="525"/>
      <c r="BW230" s="525"/>
      <c r="BX230" s="525"/>
      <c r="BY230" s="525"/>
      <c r="BZ230" s="525"/>
      <c r="CA230" s="525"/>
    </row>
    <row r="231" spans="1:79" x14ac:dyDescent="0.2">
      <c r="A231" s="20"/>
      <c r="B231" s="20"/>
      <c r="C231" s="20"/>
      <c r="D231" s="20"/>
      <c r="E231" s="203"/>
      <c r="F231" s="204"/>
      <c r="G231" s="204"/>
      <c r="H231" s="205"/>
      <c r="I231" s="206"/>
      <c r="J231" s="203"/>
      <c r="K231" s="204"/>
      <c r="L231" s="204"/>
      <c r="M231" s="205"/>
      <c r="N231" s="206"/>
      <c r="O231" s="203"/>
      <c r="P231" s="204"/>
      <c r="Q231" s="204"/>
      <c r="R231" s="205"/>
      <c r="S231" s="206"/>
      <c r="T231" s="203"/>
      <c r="U231" s="204"/>
      <c r="V231" s="204"/>
      <c r="W231" s="205"/>
      <c r="X231" s="206"/>
      <c r="Y231" s="203"/>
      <c r="Z231" s="204"/>
      <c r="AA231" s="204"/>
      <c r="AB231" s="205"/>
      <c r="AC231" s="206"/>
      <c r="AD231" s="203"/>
      <c r="AE231" s="204"/>
      <c r="AF231" s="204"/>
      <c r="AG231" s="205"/>
      <c r="AH231" s="206"/>
      <c r="AI231" s="203"/>
      <c r="AJ231" s="204"/>
      <c r="AK231" s="204"/>
      <c r="AL231" s="205"/>
      <c r="AM231" s="206"/>
      <c r="AN231" s="203"/>
      <c r="AO231" s="204"/>
      <c r="AP231" s="204"/>
      <c r="AQ231" s="205"/>
      <c r="AR231" s="206"/>
      <c r="AS231" s="203"/>
      <c r="AT231" s="204"/>
      <c r="AU231" s="204"/>
      <c r="AV231" s="205"/>
      <c r="AW231" s="206"/>
      <c r="AX231" s="203"/>
      <c r="AY231" s="204"/>
      <c r="AZ231" s="204"/>
      <c r="BA231" s="205"/>
      <c r="BB231" s="206"/>
      <c r="BC231" s="203"/>
      <c r="BD231" s="204"/>
      <c r="BE231" s="204"/>
      <c r="BF231" s="205"/>
      <c r="BG231" s="206"/>
      <c r="BH231" s="203"/>
      <c r="BI231" s="204"/>
      <c r="BJ231" s="204"/>
      <c r="BK231" s="205"/>
      <c r="BL231" s="206"/>
      <c r="BM231" s="203"/>
      <c r="BN231" s="204"/>
      <c r="BO231" s="204"/>
      <c r="BP231" s="205"/>
      <c r="BQ231" s="206"/>
      <c r="BT231" s="525"/>
      <c r="BU231" s="525"/>
      <c r="BV231" s="525"/>
      <c r="BW231" s="525"/>
      <c r="BX231" s="525"/>
      <c r="BY231" s="525"/>
      <c r="BZ231" s="525"/>
      <c r="CA231" s="525"/>
    </row>
    <row r="232" spans="1:79" x14ac:dyDescent="0.2">
      <c r="A232" s="20"/>
      <c r="B232" s="16" t="s">
        <v>236</v>
      </c>
      <c r="C232" s="16"/>
      <c r="D232" s="17"/>
      <c r="E232" s="203"/>
      <c r="F232" s="204"/>
      <c r="G232" s="204"/>
      <c r="H232" s="205"/>
      <c r="I232" s="206"/>
      <c r="J232" s="203"/>
      <c r="K232" s="204"/>
      <c r="L232" s="204"/>
      <c r="M232" s="205"/>
      <c r="N232" s="206"/>
      <c r="O232" s="203"/>
      <c r="P232" s="204"/>
      <c r="Q232" s="204"/>
      <c r="R232" s="205"/>
      <c r="S232" s="206"/>
      <c r="T232" s="203"/>
      <c r="U232" s="204"/>
      <c r="V232" s="204"/>
      <c r="W232" s="205"/>
      <c r="X232" s="206"/>
      <c r="Y232" s="203"/>
      <c r="Z232" s="204"/>
      <c r="AA232" s="204"/>
      <c r="AB232" s="205"/>
      <c r="AC232" s="206"/>
      <c r="AD232" s="203"/>
      <c r="AE232" s="204"/>
      <c r="AF232" s="204"/>
      <c r="AG232" s="205"/>
      <c r="AH232" s="206"/>
      <c r="AI232" s="203"/>
      <c r="AJ232" s="204"/>
      <c r="AK232" s="204"/>
      <c r="AL232" s="205"/>
      <c r="AM232" s="206"/>
      <c r="AN232" s="203"/>
      <c r="AO232" s="204"/>
      <c r="AP232" s="204"/>
      <c r="AQ232" s="205"/>
      <c r="AR232" s="206"/>
      <c r="AS232" s="203"/>
      <c r="AT232" s="204"/>
      <c r="AU232" s="204"/>
      <c r="AV232" s="205"/>
      <c r="AW232" s="206"/>
      <c r="AX232" s="203"/>
      <c r="AY232" s="204"/>
      <c r="AZ232" s="204"/>
      <c r="BA232" s="205"/>
      <c r="BB232" s="206"/>
      <c r="BC232" s="203"/>
      <c r="BD232" s="204"/>
      <c r="BE232" s="204"/>
      <c r="BF232" s="205"/>
      <c r="BG232" s="206"/>
      <c r="BH232" s="203"/>
      <c r="BI232" s="204"/>
      <c r="BJ232" s="204"/>
      <c r="BK232" s="205"/>
      <c r="BL232" s="206"/>
      <c r="BM232" s="203"/>
      <c r="BN232" s="204"/>
      <c r="BO232" s="204"/>
      <c r="BP232" s="205"/>
      <c r="BQ232" s="206"/>
      <c r="BT232" s="525"/>
      <c r="BU232" s="525"/>
      <c r="BV232" s="525"/>
      <c r="BW232" s="525"/>
      <c r="BX232" s="525"/>
      <c r="BY232" s="525"/>
      <c r="BZ232" s="525"/>
      <c r="CA232" s="525"/>
    </row>
    <row r="233" spans="1:79" x14ac:dyDescent="0.2">
      <c r="A233" s="20"/>
      <c r="B233" s="20"/>
      <c r="C233" s="20" t="s">
        <v>237</v>
      </c>
      <c r="D233" s="20"/>
      <c r="E233" s="203"/>
      <c r="F233" s="204"/>
      <c r="G233" s="122"/>
      <c r="H233" s="116">
        <f>SUM(E56:H56)+SUM(E21:H21)</f>
        <v>1499.335</v>
      </c>
      <c r="I233" s="82">
        <f>I56+I21</f>
        <v>1499.335</v>
      </c>
      <c r="J233" s="136">
        <f>SUM(J56,F56:H56)+SUM(J21,F21:H21)</f>
        <v>1488.2679999999996</v>
      </c>
      <c r="K233" s="135">
        <f>SUM(J56:K56,G56:H56)+SUM(J21:K21,G21:H21)</f>
        <v>1515.9870000000001</v>
      </c>
      <c r="L233" s="135">
        <f>SUM(J56:L56,H56)+SUM(J21:L21,H21)</f>
        <v>1630.1310000000003</v>
      </c>
      <c r="M233" s="116">
        <f>SUM(J56:M56)+SUM(J21:M21)</f>
        <v>1606.5970000000002</v>
      </c>
      <c r="N233" s="82">
        <f>N56+N21</f>
        <v>1606.5970000000007</v>
      </c>
      <c r="O233" s="136">
        <f>SUM(O56,K56:M56)+SUM(O21,K21:M21)</f>
        <v>1661.3210000000001</v>
      </c>
      <c r="P233" s="135">
        <f>SUM(O56:P56,L56:M56)+SUM(O21:P21,L21:M21)</f>
        <v>1702.1249999999995</v>
      </c>
      <c r="Q233" s="135">
        <f>SUM(O56:Q56,M56)+SUM(O21:Q21,M21)</f>
        <v>1748.2359999999994</v>
      </c>
      <c r="R233" s="116">
        <f>SUM(O56:R56)+SUM(O21:R21)</f>
        <v>1725.1990000000001</v>
      </c>
      <c r="S233" s="82">
        <f>S56+S21</f>
        <v>1725.1989999999992</v>
      </c>
      <c r="T233" s="136">
        <f>SUM(T56,P56:R56)+SUM(T21,P21:R21)</f>
        <v>1710.634</v>
      </c>
      <c r="U233" s="135">
        <f>SUM(T56:U56,Q56:R56)+SUM(T21:U21,Q21:R21)</f>
        <v>1733.4750000000004</v>
      </c>
      <c r="V233" s="135">
        <f>SUM(T56:V56,R56)+SUM(T21:V21,R21)</f>
        <v>1774.5190000000002</v>
      </c>
      <c r="W233" s="116">
        <f>SUM(T56:W56)+SUM(T21:W21)</f>
        <v>1814.3080000000014</v>
      </c>
      <c r="X233" s="82">
        <f>X56+X21</f>
        <v>1814.3080000000009</v>
      </c>
      <c r="Y233" s="136">
        <f>SUM(Y56,U56:W56)+SUM(Y21,U21:W21)</f>
        <v>1887.0370000000003</v>
      </c>
      <c r="Z233" s="135">
        <f>SUM(Y56:Z56,V56:W56)+SUM(Y21:Z21,V21:W21)</f>
        <v>1918.1370000000006</v>
      </c>
      <c r="AA233" s="135">
        <f>SUM(Y56:AA56,W56)+SUM(Y21:AA21,W21)</f>
        <v>1910.4300000000007</v>
      </c>
      <c r="AB233" s="116">
        <f>SUM(Y56:AB56)+SUM(Y21:AB21)</f>
        <v>1946.2879999999986</v>
      </c>
      <c r="AC233" s="82">
        <f>AC56+AC21</f>
        <v>1946.2880000000005</v>
      </c>
      <c r="AD233" s="136">
        <f>SUM(AD56,Z56:AB56)+SUM(AD21,Z21:AB21)</f>
        <v>1968.1579999999994</v>
      </c>
      <c r="AE233" s="135">
        <f>SUM(AD56:AE56,AA56:AB56)+SUM(AD21:AE21,AA21:AB21)</f>
        <v>1977.8129999999996</v>
      </c>
      <c r="AF233" s="135">
        <f>SUM(AD56:AF56,AB56)+SUM(AD21:AF21,AB21)</f>
        <v>1989.2429999999995</v>
      </c>
      <c r="AG233" s="116">
        <f>SUM(AD56:AG56)+SUM(AD21:AG21)</f>
        <v>2040.3509999999992</v>
      </c>
      <c r="AH233" s="82">
        <f>AH56+AH21</f>
        <v>2040.3509999999974</v>
      </c>
      <c r="AI233" s="136">
        <f>SUM(AI56,AE56:AG56)+SUM(AI21,AE21:AG21)</f>
        <v>2037.5019999999988</v>
      </c>
      <c r="AJ233" s="135">
        <f>SUM(AI56:AJ56,AF56:AG56)+SUM(AI21:AJ21,AF21:AG21)</f>
        <v>2058.5639999999994</v>
      </c>
      <c r="AK233" s="135">
        <f>SUM(AI56:AK56,AG56)+SUM(AI21:AK21,AG21)</f>
        <v>2141.1709999999994</v>
      </c>
      <c r="AL233" s="116">
        <f>SUM(AI56:AL56)+SUM(AI21:AL21)</f>
        <v>2188.1590000000015</v>
      </c>
      <c r="AM233" s="82">
        <f>AM56+AM21</f>
        <v>2188.1590000000001</v>
      </c>
      <c r="AN233" s="136">
        <f>SUM(AN56,AJ56:AL56)+SUM(AN21,AJ21:AL21)</f>
        <v>2245.1760000000017</v>
      </c>
      <c r="AO233" s="135">
        <f>SUM(AN56:AO56,AK56:AL56)+SUM(AN21:AO21,AK21:AL21)</f>
        <v>2292.9720000000007</v>
      </c>
      <c r="AP233" s="135">
        <f>SUM(AN56:AP56,AL56)+SUM(AN21:AP21,AL21)</f>
        <v>2372.6860000000011</v>
      </c>
      <c r="AQ233" s="116">
        <f>SUM(AN56:AQ56)+SUM(AN21:AQ21)</f>
        <v>2426.5820000000003</v>
      </c>
      <c r="AR233" s="82">
        <f>AR56+AR21</f>
        <v>2426.5820000000031</v>
      </c>
      <c r="AS233" s="136">
        <f>SUM(AS56,AO56:AQ56)+SUM(AS21,AO21:AQ21)</f>
        <v>2469.7309999999998</v>
      </c>
      <c r="AT233" s="135">
        <f>SUM(AS56:AT56,AP56:AQ56)+SUM(AS21:AT21,AP21:AQ21)</f>
        <v>2543.3780000000006</v>
      </c>
      <c r="AU233" s="135">
        <f>SUM(AS56:AU56,AQ56)+SUM(AS21:AU21,AQ21)</f>
        <v>2620.3120000000004</v>
      </c>
      <c r="AV233" s="116">
        <f>SUM(AS56:AV56)+SUM(AS21:AV21)</f>
        <v>2650.0000000000009</v>
      </c>
      <c r="AW233" s="82">
        <f>AW56+AW21</f>
        <v>2650</v>
      </c>
      <c r="AX233" s="136">
        <f>SUM(AX56,AT56:AV56)+SUM(AX21,AT21:AV21)</f>
        <v>2733.0274924199152</v>
      </c>
      <c r="AY233" s="135">
        <f>SUM(AX56:AY56,AU56:AV56)+SUM(AX21:AY21,AU21:AV21)</f>
        <v>2784.6388667892852</v>
      </c>
      <c r="AZ233" s="135">
        <f>SUM(AX56:AZ56,AV56)+SUM(AX21:AZ21,AV21)</f>
        <v>2796.2335444646196</v>
      </c>
      <c r="BA233" s="116">
        <f>SUM(AX56:BA56)+SUM(AX21:BA21)</f>
        <v>2846.0427413107432</v>
      </c>
      <c r="BB233" s="82">
        <f>BB56+BB21</f>
        <v>2846.0427413107427</v>
      </c>
      <c r="BC233" s="136">
        <f>SUM(BC56,AY56:BA56)+SUM(BC21,AY21:BA21)</f>
        <v>2889.4057056321499</v>
      </c>
      <c r="BD233" s="135">
        <f>SUM(BC56:BD56,AZ56:BA56)+SUM(BC21:BD21,AZ21:BA21)</f>
        <v>2931.0056573967963</v>
      </c>
      <c r="BE233" s="135">
        <f>SUM(BC56:BE56,BA56)+SUM(BC21:BE21,BA21)</f>
        <v>2981.6283690549126</v>
      </c>
      <c r="BF233" s="116">
        <f>SUM(BC56:BF56)+SUM(BC21:BF21)</f>
        <v>3025.4713643646505</v>
      </c>
      <c r="BG233" s="82">
        <f>BG56+BG21</f>
        <v>3025.4713643646496</v>
      </c>
      <c r="BH233" s="136">
        <f>SUM(BH56,BD56:BF56)+SUM(BH21,BD21:BF21)</f>
        <v>3070.8733262468641</v>
      </c>
      <c r="BI233" s="135">
        <f>SUM(BH56:BI56,BE56:BF56)+SUM(BH21:BI21,BE21:BF21)</f>
        <v>3115.7482777426794</v>
      </c>
      <c r="BJ233" s="135">
        <f>SUM(BH56:BJ56,BF56)+SUM(BH21:BJ21,BF21)</f>
        <v>3163.2192480000185</v>
      </c>
      <c r="BK233" s="116">
        <f>SUM(BH56:BK56)+SUM(BH21:BK21)</f>
        <v>3207.8813625069438</v>
      </c>
      <c r="BL233" s="82">
        <f>BL56+BL21</f>
        <v>3207.8813625069442</v>
      </c>
      <c r="BM233" s="136">
        <f>SUM(BM56,BI56:BK56)+SUM(BM21,BI21:BK21)</f>
        <v>3256.1231580000008</v>
      </c>
      <c r="BN233" s="135">
        <f>SUM(BM56:BN56,BJ56:BK56)+SUM(BM21:BN21,BJ21:BK21)</f>
        <v>3295.6884509370566</v>
      </c>
      <c r="BO233" s="135">
        <f>SUM(BM56:BO56,BK56)+SUM(BM21:BO21,BK21)</f>
        <v>3341.3982033523703</v>
      </c>
      <c r="BP233" s="116">
        <f>SUM(BM56:BP56)+SUM(BM21:BP21)</f>
        <v>3384.1441361219258</v>
      </c>
      <c r="BQ233" s="82">
        <f>BQ56+BQ21</f>
        <v>3384.1441361219277</v>
      </c>
      <c r="BT233" s="525"/>
      <c r="BU233" s="525"/>
      <c r="BV233" s="525"/>
      <c r="BW233" s="525"/>
      <c r="BX233" s="525"/>
      <c r="BY233" s="525"/>
      <c r="BZ233" s="525"/>
      <c r="CA233" s="525"/>
    </row>
    <row r="234" spans="1:79" x14ac:dyDescent="0.2">
      <c r="A234" s="20"/>
      <c r="B234" s="20"/>
      <c r="C234" s="20" t="s">
        <v>238</v>
      </c>
      <c r="D234" s="20"/>
      <c r="E234" s="203"/>
      <c r="F234" s="204"/>
      <c r="G234" s="122"/>
      <c r="H234" s="116">
        <f>SUM(E39:H39)</f>
        <v>1578.6930000000002</v>
      </c>
      <c r="I234" s="82">
        <f>+I39</f>
        <v>1578.6930000000002</v>
      </c>
      <c r="J234" s="136">
        <f>SUM(J39,F39:H39)</f>
        <v>1609.5059999999999</v>
      </c>
      <c r="K234" s="135">
        <f>SUM(J39:K39,G39:H39)</f>
        <v>1652.5149999999999</v>
      </c>
      <c r="L234" s="135">
        <f>SUM(J39:L39,H39)</f>
        <v>1782.5770000000002</v>
      </c>
      <c r="M234" s="116">
        <f>SUM(J39:M39)</f>
        <v>1737.212</v>
      </c>
      <c r="N234" s="82">
        <f>+N39</f>
        <v>1737.2120000000009</v>
      </c>
      <c r="O234" s="136">
        <f>SUM(O39,K39:M39)</f>
        <v>1764.2670000000001</v>
      </c>
      <c r="P234" s="135">
        <f>SUM(O39:P39,L39:M39)</f>
        <v>1798.5999999999995</v>
      </c>
      <c r="Q234" s="135">
        <f>SUM(O39:Q39,M39)</f>
        <v>1854.6949999999995</v>
      </c>
      <c r="R234" s="116">
        <f>SUM(O39:R39)</f>
        <v>1872.607</v>
      </c>
      <c r="S234" s="82">
        <f>+S39</f>
        <v>1872.6069999999991</v>
      </c>
      <c r="T234" s="136">
        <f>SUM(T39,P39:R39)</f>
        <v>1824.7280000000001</v>
      </c>
      <c r="U234" s="135">
        <f>SUM(T39:U39,Q39:R39)</f>
        <v>1872.1379999999999</v>
      </c>
      <c r="V234" s="135">
        <f>SUM(T39:V39,R39)</f>
        <v>1943.1010000000001</v>
      </c>
      <c r="W234" s="116">
        <f>SUM(T39:W39)</f>
        <v>1921.6690000000012</v>
      </c>
      <c r="X234" s="82">
        <f>+X39</f>
        <v>1921.669000000001</v>
      </c>
      <c r="Y234" s="136">
        <f>SUM(Y39,U39:W39)</f>
        <v>2003.0390000000002</v>
      </c>
      <c r="Z234" s="135">
        <f>SUM(Y39:Z39,V39:W39)</f>
        <v>2006.2120000000004</v>
      </c>
      <c r="AA234" s="135">
        <f>SUM(Y39:AA39,W39)</f>
        <v>1955.2060000000006</v>
      </c>
      <c r="AB234" s="116">
        <f>SUM(Y39:AB39)</f>
        <v>1968.2299999999984</v>
      </c>
      <c r="AC234" s="82">
        <f>+AC39</f>
        <v>1968.2300000000002</v>
      </c>
      <c r="AD234" s="136">
        <f>SUM(AD39,Z39:AB39)</f>
        <v>2008.8909999999994</v>
      </c>
      <c r="AE234" s="135">
        <f>SUM(AD39:AE39,AA39:AB39)</f>
        <v>2005.3129999999996</v>
      </c>
      <c r="AF234" s="135">
        <f>SUM(AD39:AF39,AB39)</f>
        <v>2009.8689999999992</v>
      </c>
      <c r="AG234" s="116">
        <f>SUM(AD39:AG39)</f>
        <v>2073.3269999999993</v>
      </c>
      <c r="AH234" s="82">
        <f>+AH39</f>
        <v>2073.3269999999975</v>
      </c>
      <c r="AI234" s="136">
        <f>SUM(AI39,AE39:AG39)</f>
        <v>1921.2309999999991</v>
      </c>
      <c r="AJ234" s="135">
        <f>SUM(AI39:AJ39,AF39:AG39)</f>
        <v>1937.3909999999994</v>
      </c>
      <c r="AK234" s="135">
        <f>SUM(AI39:AK39,AG39)</f>
        <v>2050.5959999999991</v>
      </c>
      <c r="AL234" s="116">
        <f>SUM(AI39:AL39)</f>
        <v>2096.2380000000012</v>
      </c>
      <c r="AM234" s="82">
        <f>+AM39</f>
        <v>2096.2380000000003</v>
      </c>
      <c r="AN234" s="136">
        <f>SUM(AN39,AJ39:AL39)</f>
        <v>2242.2110000000016</v>
      </c>
      <c r="AO234" s="135">
        <f>SUM(AN39:AO39,AK39:AL39)</f>
        <v>2254.8300000000008</v>
      </c>
      <c r="AP234" s="135">
        <f>SUM(AN39:AP39,AL39)</f>
        <v>2298.3350000000009</v>
      </c>
      <c r="AQ234" s="116">
        <f>SUM(AN39:AQ39)</f>
        <v>2324.4750000000004</v>
      </c>
      <c r="AR234" s="82">
        <f>+AR39</f>
        <v>2324.4750000000031</v>
      </c>
      <c r="AS234" s="136">
        <f>SUM(AS39,AO39:AQ39)</f>
        <v>2318.913</v>
      </c>
      <c r="AT234" s="135">
        <f>SUM(AS39:AT39,AP39:AQ39)</f>
        <v>2347.6520000000005</v>
      </c>
      <c r="AU234" s="135">
        <f>SUM(AS39:AU39,AQ39)</f>
        <v>2347.1310000000003</v>
      </c>
      <c r="AV234" s="116">
        <f>SUM(AS39:AV39)</f>
        <v>2318.0000000000009</v>
      </c>
      <c r="AW234" s="82">
        <f>+AW39</f>
        <v>2318</v>
      </c>
      <c r="AX234" s="136">
        <f>SUM(AX39,AT39:AV39)</f>
        <v>2325.4604799142935</v>
      </c>
      <c r="AY234" s="135">
        <f>SUM(AX39:AY39,AU39:AV39)</f>
        <v>2302.7410083703562</v>
      </c>
      <c r="AZ234" s="135">
        <f>SUM(AX39:AZ39,AV39)</f>
        <v>2221.9755950261592</v>
      </c>
      <c r="BA234" s="116">
        <f>SUM(AX39:BA39)</f>
        <v>2210.1300085085609</v>
      </c>
      <c r="BB234" s="82">
        <f>+BB39</f>
        <v>2210.13000850856</v>
      </c>
      <c r="BC234" s="136">
        <f>SUM(BC39,AY39:BA39)</f>
        <v>2261.1279383763813</v>
      </c>
      <c r="BD234" s="135">
        <f>SUM(BC39:BD39,AZ39:BA39)</f>
        <v>2300.5258222139705</v>
      </c>
      <c r="BE234" s="135">
        <f>SUM(BC39:BE39,BA39)</f>
        <v>2352.5113132269553</v>
      </c>
      <c r="BF234" s="116">
        <f>SUM(BC39:BF39)</f>
        <v>2389.2925713275745</v>
      </c>
      <c r="BG234" s="82">
        <f>+BG39</f>
        <v>2389.2925713275736</v>
      </c>
      <c r="BH234" s="136">
        <f>SUM(BH39,BD39:BF39)</f>
        <v>2424.7983409640133</v>
      </c>
      <c r="BI234" s="135">
        <f>SUM(BH39:BI39,BE39:BF39)</f>
        <v>2451.6981702711073</v>
      </c>
      <c r="BJ234" s="135">
        <f>SUM(BH39:BJ39,BF39)</f>
        <v>2497.8367869390086</v>
      </c>
      <c r="BK234" s="116">
        <f>SUM(BH39:BK39)</f>
        <v>2532.9449524180291</v>
      </c>
      <c r="BL234" s="82">
        <f>+BL39</f>
        <v>2532.9449524180295</v>
      </c>
      <c r="BM234" s="136">
        <f>SUM(BM39,BI39:BK39)</f>
        <v>2569.8339119331076</v>
      </c>
      <c r="BN234" s="135">
        <f>SUM(BM39:BN39,BJ39:BK39)</f>
        <v>2609.0448867803525</v>
      </c>
      <c r="BO234" s="135">
        <f>SUM(BM39:BO39,BK39)</f>
        <v>2660.3043168159711</v>
      </c>
      <c r="BP234" s="116">
        <f>SUM(BM39:BP39)</f>
        <v>2700.6813061552912</v>
      </c>
      <c r="BQ234" s="82">
        <f>+BQ39</f>
        <v>2700.681306155293</v>
      </c>
      <c r="BT234" s="525"/>
      <c r="BU234" s="525"/>
      <c r="BV234" s="525"/>
      <c r="BW234" s="525"/>
      <c r="BX234" s="525"/>
      <c r="BY234" s="525"/>
      <c r="BZ234" s="525"/>
      <c r="CA234" s="525"/>
    </row>
    <row r="235" spans="1:79" x14ac:dyDescent="0.2">
      <c r="A235" s="20"/>
      <c r="B235" s="20"/>
      <c r="C235" s="20" t="s">
        <v>239</v>
      </c>
      <c r="D235" s="20"/>
      <c r="E235" s="203"/>
      <c r="F235" s="204"/>
      <c r="G235" s="122"/>
      <c r="H235" s="116">
        <f>SUM(E40:H40)</f>
        <v>2396.7449999999999</v>
      </c>
      <c r="I235" s="82">
        <f>+I40</f>
        <v>2396.7450000000003</v>
      </c>
      <c r="J235" s="136">
        <f>SUM(J40,F40:H40)</f>
        <v>2424.9690000000001</v>
      </c>
      <c r="K235" s="135">
        <f>SUM(J40:K40,G40:H40)</f>
        <v>2477.1360000000004</v>
      </c>
      <c r="L235" s="135">
        <f>SUM(J40:L40,H40)</f>
        <v>2630.6470000000004</v>
      </c>
      <c r="M235" s="116">
        <f>SUM(J40:M40)</f>
        <v>2596.0940000000001</v>
      </c>
      <c r="N235" s="82">
        <f>+N40</f>
        <v>2596.094000000001</v>
      </c>
      <c r="O235" s="136">
        <f>SUM(O40,K40:M40)</f>
        <v>2641.7460000000001</v>
      </c>
      <c r="P235" s="135">
        <f>SUM(O40:P40,L40:M40)</f>
        <v>2693.8369999999995</v>
      </c>
      <c r="Q235" s="135">
        <f>SUM(O40:Q40,M40)</f>
        <v>2770.59</v>
      </c>
      <c r="R235" s="116">
        <f>SUM(O40:R40)</f>
        <v>2763.2260000000006</v>
      </c>
      <c r="S235" s="82">
        <f>+S40</f>
        <v>2763.2259999999992</v>
      </c>
      <c r="T235" s="136">
        <f>SUM(T40,P40:R40)</f>
        <v>2719.2960000000003</v>
      </c>
      <c r="U235" s="135">
        <f>SUM(T40:U40,Q40:R40)</f>
        <v>2764.0830000000005</v>
      </c>
      <c r="V235" s="135">
        <f>SUM(T40:V40,R40)</f>
        <v>2831.768</v>
      </c>
      <c r="W235" s="116">
        <f>SUM(T40:W40)</f>
        <v>2847.7220000000007</v>
      </c>
      <c r="X235" s="82">
        <f>+X40</f>
        <v>2847.7220000000011</v>
      </c>
      <c r="Y235" s="136">
        <f>SUM(Y40,U40:W40)</f>
        <v>2949.1260000000002</v>
      </c>
      <c r="Z235" s="135">
        <f>SUM(Y40:Z40,V40:W40)</f>
        <v>2969.5920000000006</v>
      </c>
      <c r="AA235" s="135">
        <f>SUM(Y40:AA40,W40)</f>
        <v>2908.0260000000007</v>
      </c>
      <c r="AB235" s="116">
        <f>SUM(Y40:AB40)</f>
        <v>2946.0929999999989</v>
      </c>
      <c r="AC235" s="82">
        <f>+AC40</f>
        <v>2946.0930000000003</v>
      </c>
      <c r="AD235" s="136">
        <f>SUM(AD40,Z40:AB40)</f>
        <v>2983.991</v>
      </c>
      <c r="AE235" s="135">
        <f>SUM(AD40:AE40,AA40:AB40)</f>
        <v>2991.7860000000001</v>
      </c>
      <c r="AF235" s="135">
        <f>SUM(AD40:AF40,AB40)</f>
        <v>3023.2459999999992</v>
      </c>
      <c r="AG235" s="116">
        <f>SUM(AD40:AG40)</f>
        <v>3092.3719999999989</v>
      </c>
      <c r="AH235" s="82">
        <f>+AH40</f>
        <v>3092.3719999999976</v>
      </c>
      <c r="AI235" s="136">
        <f>SUM(AI40,AE40:AG40)</f>
        <v>2967.4309999999991</v>
      </c>
      <c r="AJ235" s="135">
        <f>SUM(AI40:AJ40,AF40:AG40)</f>
        <v>3002.8859999999991</v>
      </c>
      <c r="AK235" s="135">
        <f>SUM(AI40:AK40,AG40)</f>
        <v>3140.8169999999991</v>
      </c>
      <c r="AL235" s="116">
        <f>SUM(AI40:AL40)</f>
        <v>3220.7620000000011</v>
      </c>
      <c r="AM235" s="82">
        <f>+AM40</f>
        <v>3220.7620000000002</v>
      </c>
      <c r="AN235" s="136">
        <f>SUM(AN40,AJ40:AL40)</f>
        <v>3413.6570000000011</v>
      </c>
      <c r="AO235" s="135">
        <f>SUM(AN40:AO40,AK40:AL40)</f>
        <v>3474.2080000000005</v>
      </c>
      <c r="AP235" s="135">
        <f>SUM(AN40:AP40,AL40)</f>
        <v>3566.0950000000012</v>
      </c>
      <c r="AQ235" s="116">
        <f>SUM(AN40:AQ40)</f>
        <v>3627.6780000000008</v>
      </c>
      <c r="AR235" s="82">
        <f>+AR40</f>
        <v>3627.6780000000031</v>
      </c>
      <c r="AS235" s="136">
        <f>SUM(AS40,AO40:AQ40)</f>
        <v>3667.3</v>
      </c>
      <c r="AT235" s="135">
        <f>SUM(AS40:AT40,AP40:AQ40)</f>
        <v>3739.2250000000004</v>
      </c>
      <c r="AU235" s="135">
        <f>SUM(AS40:AU40,AQ40)</f>
        <v>3781.2920000000004</v>
      </c>
      <c r="AV235" s="116">
        <f>SUM(AS40:AV40)</f>
        <v>3797.0000000000009</v>
      </c>
      <c r="AW235" s="82">
        <f>+AW40</f>
        <v>3797</v>
      </c>
      <c r="AX235" s="136">
        <f>SUM(AX40,AT40:AV40)</f>
        <v>3836.8617288818732</v>
      </c>
      <c r="AY235" s="135">
        <f>SUM(AX40:AY40,AU40:AV40)</f>
        <v>3846.1146043543067</v>
      </c>
      <c r="AZ235" s="135">
        <f>SUM(AX40:AZ40,AV40)</f>
        <v>3798.6239544675159</v>
      </c>
      <c r="BA235" s="116">
        <f>SUM(AX40:BA40)</f>
        <v>3820.292125307109</v>
      </c>
      <c r="BB235" s="82">
        <f>+BB40</f>
        <v>3820.2921253071081</v>
      </c>
      <c r="BC235" s="136">
        <f>SUM(BC40,AY40:BA40)</f>
        <v>3884.2481693011241</v>
      </c>
      <c r="BD235" s="135">
        <f>SUM(BC40:BD40,AZ40:BA40)</f>
        <v>3944.5425299338385</v>
      </c>
      <c r="BE235" s="135">
        <f>SUM(BC40:BE40,BA40)</f>
        <v>4019.0838944428051</v>
      </c>
      <c r="BF235" s="116">
        <f>SUM(BC40:BF40)</f>
        <v>4080.0554176487044</v>
      </c>
      <c r="BG235" s="82">
        <f>+BG40</f>
        <v>4080.055417648703</v>
      </c>
      <c r="BH235" s="136">
        <f>SUM(BH40,BD40:BF40)</f>
        <v>4145.7941114052228</v>
      </c>
      <c r="BI235" s="135">
        <f>SUM(BH40:BI40,BE40:BF40)</f>
        <v>4206.720019265269</v>
      </c>
      <c r="BJ235" s="135">
        <f>SUM(BH40:BJ40,BF40)</f>
        <v>4283.300207165591</v>
      </c>
      <c r="BK235" s="116">
        <f>SUM(BH40:BK40)</f>
        <v>4345.3134546197998</v>
      </c>
      <c r="BL235" s="82">
        <f>+BL40</f>
        <v>4345.3134546198007</v>
      </c>
      <c r="BM235" s="136">
        <f>SUM(BM40,BI40:BK40)</f>
        <v>4407.6367299036301</v>
      </c>
      <c r="BN235" s="135">
        <f>SUM(BM40:BN40,BJ40:BK40)</f>
        <v>4464.5505641239952</v>
      </c>
      <c r="BO235" s="135">
        <f>SUM(BM40:BO40,BK40)</f>
        <v>4533.7852676335087</v>
      </c>
      <c r="BP235" s="116">
        <f>SUM(BM40:BP40)</f>
        <v>4592.4054580763423</v>
      </c>
      <c r="BQ235" s="82">
        <f>+BQ40</f>
        <v>4592.4054580763441</v>
      </c>
      <c r="BT235" s="525"/>
      <c r="BU235" s="525"/>
      <c r="BV235" s="525"/>
      <c r="BW235" s="525"/>
      <c r="BX235" s="525"/>
      <c r="BY235" s="525"/>
      <c r="BZ235" s="525"/>
      <c r="CA235" s="525"/>
    </row>
    <row r="236" spans="1:79" x14ac:dyDescent="0.2">
      <c r="A236" s="20"/>
      <c r="B236" s="20"/>
      <c r="C236" s="20" t="s">
        <v>240</v>
      </c>
      <c r="D236" s="20"/>
      <c r="E236" s="203"/>
      <c r="F236" s="204"/>
      <c r="G236" s="122"/>
      <c r="H236" s="116">
        <f>SUM(E42:H42)</f>
        <v>561.654</v>
      </c>
      <c r="I236" s="82">
        <f>I42</f>
        <v>561.654</v>
      </c>
      <c r="J236" s="136">
        <f>SUM(J42,F42:H42)</f>
        <v>563.68100000000004</v>
      </c>
      <c r="K236" s="135">
        <f>SUM(J42:K42,G42:H42)</f>
        <v>565.83900000000006</v>
      </c>
      <c r="L236" s="135">
        <f>SUM(J42:L42,H42)</f>
        <v>571.34100000000001</v>
      </c>
      <c r="M236" s="116">
        <f>SUM(J42:M42)</f>
        <v>577.29100000000005</v>
      </c>
      <c r="N236" s="82">
        <f>N42</f>
        <v>577.29100000000005</v>
      </c>
      <c r="O236" s="136">
        <f>SUM(O42,K42:M42)</f>
        <v>577.81500000000005</v>
      </c>
      <c r="P236" s="135">
        <f>SUM(O42:P42,L42:M42)</f>
        <v>582.69800000000009</v>
      </c>
      <c r="Q236" s="135">
        <f>SUM(O42:Q42,M42)</f>
        <v>585.86</v>
      </c>
      <c r="R236" s="116">
        <f>SUM(O42:R42)</f>
        <v>591.09799999999996</v>
      </c>
      <c r="S236" s="82">
        <f>S42</f>
        <v>591.09799999999996</v>
      </c>
      <c r="T236" s="136">
        <f>SUM(T42,P42:R42)</f>
        <v>598.57399999999996</v>
      </c>
      <c r="U236" s="135">
        <f>SUM(T42:U42,Q42:R42)</f>
        <v>604.15699999999993</v>
      </c>
      <c r="V236" s="135">
        <f>SUM(T42:V42,R42)</f>
        <v>609.86500000000001</v>
      </c>
      <c r="W236" s="116">
        <f>SUM(T42:W42)</f>
        <v>601.58199999999999</v>
      </c>
      <c r="X236" s="82">
        <f>X42</f>
        <v>601.58199999999999</v>
      </c>
      <c r="Y236" s="136">
        <f>SUM(Y42,U42:W42)</f>
        <v>589.36500000000001</v>
      </c>
      <c r="Z236" s="135">
        <f>SUM(Y42:Z42,V42:W42)</f>
        <v>584.27200000000005</v>
      </c>
      <c r="AA236" s="135">
        <f>SUM(Y42:AA42,W42)</f>
        <v>575.31100000000015</v>
      </c>
      <c r="AB236" s="116">
        <f>SUM(Y42:AB42)</f>
        <v>575.19899999999996</v>
      </c>
      <c r="AC236" s="82">
        <f>AC42</f>
        <v>575.19899999999996</v>
      </c>
      <c r="AD236" s="136">
        <f>SUM(AD42,Z42:AB42)</f>
        <v>574.67999999999995</v>
      </c>
      <c r="AE236" s="135">
        <f>SUM(AD42:AE42,AA42:AB42)</f>
        <v>567.25199999999995</v>
      </c>
      <c r="AF236" s="135">
        <f>SUM(AD42:AF42,AB42)</f>
        <v>565.71299999999997</v>
      </c>
      <c r="AG236" s="116">
        <f>SUM(AD42:AG42)</f>
        <v>566.60799999999995</v>
      </c>
      <c r="AH236" s="82">
        <f>AH42</f>
        <v>566.60799999999995</v>
      </c>
      <c r="AI236" s="136">
        <f>SUM(AI42,AE42:AG42)</f>
        <v>572.45399999999995</v>
      </c>
      <c r="AJ236" s="135">
        <f>SUM(AI42:AJ42,AF42:AG42)</f>
        <v>577.27599999999995</v>
      </c>
      <c r="AK236" s="135">
        <f>SUM(AI42:AK42,AG42)</f>
        <v>586.62300000000005</v>
      </c>
      <c r="AL236" s="116">
        <f>SUM(AI42:AL42)</f>
        <v>595.28200000000004</v>
      </c>
      <c r="AM236" s="82">
        <f>AM42</f>
        <v>595.28200000000004</v>
      </c>
      <c r="AN236" s="136">
        <f>SUM(AN42,AJ42:AL42)</f>
        <v>606.78499999999997</v>
      </c>
      <c r="AO236" s="135">
        <f>SUM(AN42:AO42,AK42:AL42)</f>
        <v>625.54300000000001</v>
      </c>
      <c r="AP236" s="135">
        <f>SUM(AN42:AP42,AL42)</f>
        <v>638.83399999999995</v>
      </c>
      <c r="AQ236" s="116">
        <f>SUM(AN42:AQ42)</f>
        <v>646.90700000000004</v>
      </c>
      <c r="AR236" s="82">
        <f>AR42</f>
        <v>646.90700000000004</v>
      </c>
      <c r="AS236" s="136">
        <f>SUM(AS42,AO42:AQ42)</f>
        <v>656.39800000000002</v>
      </c>
      <c r="AT236" s="135">
        <f>SUM(AS42:AT42,AP42:AQ42)</f>
        <v>657.61300000000006</v>
      </c>
      <c r="AU236" s="135">
        <f>SUM(AS42:AU42,AQ42)</f>
        <v>659.55900000000008</v>
      </c>
      <c r="AV236" s="116">
        <f>SUM(AS42:AV42)</f>
        <v>663</v>
      </c>
      <c r="AW236" s="82">
        <f>AW42</f>
        <v>663</v>
      </c>
      <c r="AX236" s="136">
        <f>SUM(AX42,AT42:AV42)</f>
        <v>668.39627440217396</v>
      </c>
      <c r="AY236" s="135">
        <f>SUM(AX42:AY42,AU42:AV42)</f>
        <v>671.86433593500988</v>
      </c>
      <c r="AZ236" s="135">
        <f>SUM(AX42:AZ42,AV42)</f>
        <v>694.83952378947083</v>
      </c>
      <c r="BA236" s="116">
        <f>SUM(AX42:BA42)</f>
        <v>708.41814709744926</v>
      </c>
      <c r="BB236" s="82">
        <f>BB42</f>
        <v>708.41814709744926</v>
      </c>
      <c r="BC236" s="136">
        <f>SUM(BC42,AY42:BA42)</f>
        <v>720.12312173481303</v>
      </c>
      <c r="BD236" s="135">
        <f>SUM(BC42:BD42,AZ42:BA42)</f>
        <v>732.66571088770229</v>
      </c>
      <c r="BE236" s="135">
        <f>SUM(BC42:BE42,BA42)</f>
        <v>748.35569799468817</v>
      </c>
      <c r="BF236" s="116">
        <f>SUM(BC42:BF42)</f>
        <v>759.62877008376677</v>
      </c>
      <c r="BG236" s="82">
        <f>BG42</f>
        <v>759.62877008376677</v>
      </c>
      <c r="BH236" s="136">
        <f>SUM(BH42,BD42:BF42)</f>
        <v>771.26195635847262</v>
      </c>
      <c r="BI236" s="135">
        <f>SUM(BH42:BI42,BE42:BF42)</f>
        <v>779.82787514905203</v>
      </c>
      <c r="BJ236" s="135">
        <f>SUM(BH42:BJ42,BF42)</f>
        <v>799.70882991318945</v>
      </c>
      <c r="BK236" s="116">
        <f>SUM(BH42:BK42)</f>
        <v>807.62647001816572</v>
      </c>
      <c r="BL236" s="82">
        <f>BL42</f>
        <v>807.62647001816572</v>
      </c>
      <c r="BM236" s="136">
        <f>SUM(BM42,BI42:BK42)</f>
        <v>816.04307825625199</v>
      </c>
      <c r="BN236" s="135">
        <f>SUM(BM42:BN42,BJ42:BK42)</f>
        <v>827.99329946800333</v>
      </c>
      <c r="BO236" s="135">
        <f>SUM(BM42:BO42,BK42)</f>
        <v>844.46371256366331</v>
      </c>
      <c r="BP236" s="116">
        <f>SUM(BM42:BP42)</f>
        <v>854.1949507006882</v>
      </c>
      <c r="BQ236" s="82">
        <f>BQ42</f>
        <v>854.1949507006882</v>
      </c>
      <c r="BT236" s="525"/>
      <c r="BU236" s="525"/>
      <c r="BV236" s="525"/>
      <c r="BW236" s="525"/>
      <c r="BX236" s="525"/>
      <c r="BY236" s="525"/>
      <c r="BZ236" s="525"/>
      <c r="CA236" s="525"/>
    </row>
    <row r="237" spans="1:79" x14ac:dyDescent="0.2">
      <c r="A237" s="20"/>
      <c r="B237" s="20"/>
      <c r="C237" s="20" t="s">
        <v>241</v>
      </c>
      <c r="D237" s="20"/>
      <c r="E237" s="203"/>
      <c r="F237" s="204"/>
      <c r="G237" s="122"/>
      <c r="H237" s="116">
        <f>SUM(E56:H56)</f>
        <v>681.28300000000013</v>
      </c>
      <c r="I237" s="82">
        <f>I56</f>
        <v>681.28300000000013</v>
      </c>
      <c r="J237" s="136">
        <f>SUM(J56,F56:H56)</f>
        <v>672.80499999999961</v>
      </c>
      <c r="K237" s="135">
        <f>SUM(J56:K56,G56:H56)</f>
        <v>691.36599999999999</v>
      </c>
      <c r="L237" s="135">
        <f>SUM(J56:L56,H56)</f>
        <v>782.06100000000026</v>
      </c>
      <c r="M237" s="116">
        <f>SUM(J56:M56)</f>
        <v>747.71500000000015</v>
      </c>
      <c r="N237" s="82">
        <f>N56</f>
        <v>747.71500000000083</v>
      </c>
      <c r="O237" s="136">
        <f>SUM(O56,K56:M56)</f>
        <v>783.8420000000001</v>
      </c>
      <c r="P237" s="135">
        <f>SUM(O56:P56,L56:M56)</f>
        <v>806.88799999999969</v>
      </c>
      <c r="Q237" s="135">
        <f>SUM(O56:Q56,M56)</f>
        <v>832.34099999999944</v>
      </c>
      <c r="R237" s="116">
        <f>SUM(O56:R56)</f>
        <v>834.57999999999993</v>
      </c>
      <c r="S237" s="82">
        <f>S56</f>
        <v>834.57999999999913</v>
      </c>
      <c r="T237" s="136">
        <f>SUM(T56,P56:R56)</f>
        <v>816.06600000000003</v>
      </c>
      <c r="U237" s="135">
        <f>SUM(T56:U56,Q56:R56)</f>
        <v>841.5300000000002</v>
      </c>
      <c r="V237" s="135">
        <f>SUM(T56:V56,R56)</f>
        <v>885.85200000000032</v>
      </c>
      <c r="W237" s="116">
        <f>SUM(T56:W56)</f>
        <v>888.25500000000136</v>
      </c>
      <c r="X237" s="82">
        <f>X56</f>
        <v>888.2550000000009</v>
      </c>
      <c r="Y237" s="136">
        <f>SUM(Y56,U56:W56)</f>
        <v>940.95000000000039</v>
      </c>
      <c r="Z237" s="135">
        <f>SUM(Y56:Z56,V56:W56)</f>
        <v>954.75700000000063</v>
      </c>
      <c r="AA237" s="135">
        <f>SUM(Y56:AA56,W56)</f>
        <v>957.61000000000092</v>
      </c>
      <c r="AB237" s="116">
        <f>SUM(Y56:AB56)</f>
        <v>968.4249999999987</v>
      </c>
      <c r="AC237" s="82">
        <f>AC56</f>
        <v>968.4250000000003</v>
      </c>
      <c r="AD237" s="136">
        <f>SUM(AD56,Z56:AB56)</f>
        <v>993.05799999999942</v>
      </c>
      <c r="AE237" s="135">
        <f>SUM(AD56:AE56,AA56:AB56)</f>
        <v>991.33999999999969</v>
      </c>
      <c r="AF237" s="135">
        <f>SUM(AD56:AF56,AB56)</f>
        <v>975.8659999999993</v>
      </c>
      <c r="AG237" s="116">
        <f>SUM(AD56:AG56)</f>
        <v>1021.3059999999994</v>
      </c>
      <c r="AH237" s="82">
        <f>AH56</f>
        <v>1021.3059999999975</v>
      </c>
      <c r="AI237" s="136">
        <f>SUM(AI56,AE56:AG56)</f>
        <v>991.301999999999</v>
      </c>
      <c r="AJ237" s="135">
        <f>SUM(AI56:AJ56,AF56:AG56)</f>
        <v>993.06899999999928</v>
      </c>
      <c r="AK237" s="135">
        <f>SUM(AI56:AK56,AG56)</f>
        <v>1050.9499999999994</v>
      </c>
      <c r="AL237" s="116">
        <f>SUM(AI56:AL56)</f>
        <v>1063.6350000000014</v>
      </c>
      <c r="AM237" s="82">
        <f>AM56</f>
        <v>1063.6350000000002</v>
      </c>
      <c r="AN237" s="136">
        <f>SUM(AN56,AJ56:AL56)</f>
        <v>1073.7300000000018</v>
      </c>
      <c r="AO237" s="135">
        <f>SUM(AN56:AO56,AK56:AL56)</f>
        <v>1073.594000000001</v>
      </c>
      <c r="AP237" s="135">
        <f>SUM(AN56:AP56,AL56)</f>
        <v>1104.9260000000013</v>
      </c>
      <c r="AQ237" s="116">
        <f>SUM(AN56:AQ56)</f>
        <v>1123.3790000000004</v>
      </c>
      <c r="AR237" s="82">
        <f>AR56</f>
        <v>1123.3790000000031</v>
      </c>
      <c r="AS237" s="136">
        <f>SUM(AS56,AO56:AQ56)</f>
        <v>1121.3440000000001</v>
      </c>
      <c r="AT237" s="135">
        <f>SUM(AS56:AT56,AP56:AQ56)</f>
        <v>1151.8050000000005</v>
      </c>
      <c r="AU237" s="135">
        <f>SUM(AS56:AU56,AQ56)</f>
        <v>1186.1510000000005</v>
      </c>
      <c r="AV237" s="116">
        <f>SUM(AS56:AV56)</f>
        <v>1171.0000000000009</v>
      </c>
      <c r="AW237" s="82">
        <f>AW56</f>
        <v>1171</v>
      </c>
      <c r="AX237" s="136">
        <f>SUM(AX56,AT56:AV56)</f>
        <v>1221.6262434523355</v>
      </c>
      <c r="AY237" s="135">
        <f>SUM(AX56:AY56,AU56:AV56)</f>
        <v>1241.2652708053345</v>
      </c>
      <c r="AZ237" s="135">
        <f>SUM(AX56:AZ56,AV56)</f>
        <v>1219.5851850232634</v>
      </c>
      <c r="BA237" s="116">
        <f>SUM(AX56:BA56)</f>
        <v>1235.880624512195</v>
      </c>
      <c r="BB237" s="82">
        <f>BB56</f>
        <v>1235.8806245121946</v>
      </c>
      <c r="BC237" s="136">
        <f>SUM(BC56,AY56:BA56)</f>
        <v>1266.2854747074068</v>
      </c>
      <c r="BD237" s="135">
        <f>SUM(BC56:BD56,AZ56:BA56)</f>
        <v>1286.9889496769288</v>
      </c>
      <c r="BE237" s="135">
        <f>SUM(BC56:BE56,BA56)</f>
        <v>1315.0557878390634</v>
      </c>
      <c r="BF237" s="116">
        <f>SUM(BC56:BF56)</f>
        <v>1334.7085180435208</v>
      </c>
      <c r="BG237" s="82">
        <f>BG56</f>
        <v>1334.7085180435199</v>
      </c>
      <c r="BH237" s="136">
        <f>SUM(BH56,BD56:BF56)</f>
        <v>1349.8775558056545</v>
      </c>
      <c r="BI237" s="135">
        <f>SUM(BH56:BI56,BE56:BF56)</f>
        <v>1360.7264287485177</v>
      </c>
      <c r="BJ237" s="135">
        <f>SUM(BH56:BJ56,BF56)</f>
        <v>1377.7558277734361</v>
      </c>
      <c r="BK237" s="116">
        <f>SUM(BH56:BK56)</f>
        <v>1395.5128603051726</v>
      </c>
      <c r="BL237" s="82">
        <f>BL56</f>
        <v>1395.512860305173</v>
      </c>
      <c r="BM237" s="136">
        <f>SUM(BM56,BI56:BK56)</f>
        <v>1418.3203400294774</v>
      </c>
      <c r="BN237" s="135">
        <f>SUM(BM56:BN56,BJ56:BK56)</f>
        <v>1440.1827735934139</v>
      </c>
      <c r="BO237" s="135">
        <f>SUM(BM56:BO56,BK56)</f>
        <v>1467.9172525348326</v>
      </c>
      <c r="BP237" s="116">
        <f>SUM(BM56:BP56)</f>
        <v>1492.4199842008743</v>
      </c>
      <c r="BQ237" s="82">
        <f>BQ56</f>
        <v>1492.4199842008761</v>
      </c>
      <c r="BT237" s="525"/>
      <c r="BU237" s="525"/>
      <c r="BV237" s="525"/>
      <c r="BW237" s="525"/>
      <c r="BX237" s="525"/>
      <c r="BY237" s="525"/>
      <c r="BZ237" s="525"/>
      <c r="CA237" s="525"/>
    </row>
    <row r="238" spans="1:79" x14ac:dyDescent="0.2">
      <c r="A238" s="20"/>
      <c r="B238" s="20"/>
      <c r="C238" s="20"/>
      <c r="D238" s="20"/>
      <c r="E238" s="203"/>
      <c r="F238" s="204"/>
      <c r="G238" s="204"/>
      <c r="H238" s="205"/>
      <c r="I238" s="206"/>
      <c r="J238" s="203"/>
      <c r="K238" s="204"/>
      <c r="L238" s="204"/>
      <c r="M238" s="205"/>
      <c r="N238" s="206"/>
      <c r="O238" s="203"/>
      <c r="P238" s="204"/>
      <c r="Q238" s="204"/>
      <c r="R238" s="205"/>
      <c r="S238" s="206"/>
      <c r="T238" s="203"/>
      <c r="U238" s="204"/>
      <c r="V238" s="204"/>
      <c r="W238" s="205"/>
      <c r="X238" s="206"/>
      <c r="Y238" s="203"/>
      <c r="Z238" s="204"/>
      <c r="AA238" s="204"/>
      <c r="AB238" s="205"/>
      <c r="AC238" s="206"/>
      <c r="AD238" s="203"/>
      <c r="AE238" s="204"/>
      <c r="AF238" s="204"/>
      <c r="AG238" s="205"/>
      <c r="AH238" s="206"/>
      <c r="AI238" s="203"/>
      <c r="AJ238" s="204"/>
      <c r="AK238" s="204"/>
      <c r="AL238" s="205"/>
      <c r="AM238" s="206"/>
      <c r="AN238" s="203"/>
      <c r="AO238" s="204"/>
      <c r="AP238" s="204"/>
      <c r="AQ238" s="205"/>
      <c r="AR238" s="206"/>
      <c r="AS238" s="203"/>
      <c r="AT238" s="204"/>
      <c r="AU238" s="204"/>
      <c r="AV238" s="205"/>
      <c r="AW238" s="206"/>
      <c r="AX238" s="203"/>
      <c r="AY238" s="204"/>
      <c r="AZ238" s="204"/>
      <c r="BA238" s="205"/>
      <c r="BB238" s="206"/>
      <c r="BC238" s="203"/>
      <c r="BD238" s="204"/>
      <c r="BE238" s="204"/>
      <c r="BF238" s="205"/>
      <c r="BG238" s="206"/>
      <c r="BH238" s="203"/>
      <c r="BI238" s="204"/>
      <c r="BJ238" s="204"/>
      <c r="BK238" s="205"/>
      <c r="BL238" s="206"/>
      <c r="BM238" s="203"/>
      <c r="BN238" s="204"/>
      <c r="BO238" s="204"/>
      <c r="BP238" s="205"/>
      <c r="BQ238" s="206"/>
      <c r="BT238" s="525"/>
      <c r="BU238" s="525"/>
      <c r="BV238" s="525"/>
      <c r="BW238" s="525"/>
      <c r="BX238" s="525"/>
      <c r="BY238" s="525"/>
      <c r="BZ238" s="525"/>
      <c r="CA238" s="525"/>
    </row>
    <row r="239" spans="1:79" x14ac:dyDescent="0.2">
      <c r="A239" s="20"/>
      <c r="B239" s="20"/>
      <c r="C239" s="26" t="s">
        <v>57</v>
      </c>
      <c r="D239" s="20"/>
      <c r="E239" s="203"/>
      <c r="F239" s="204"/>
      <c r="G239" s="204"/>
      <c r="H239" s="205"/>
      <c r="I239" s="206"/>
      <c r="J239" s="203"/>
      <c r="K239" s="204"/>
      <c r="L239" s="204"/>
      <c r="M239" s="205"/>
      <c r="N239" s="206"/>
      <c r="O239" s="203"/>
      <c r="P239" s="204"/>
      <c r="Q239" s="204"/>
      <c r="R239" s="205"/>
      <c r="S239" s="206"/>
      <c r="T239" s="203"/>
      <c r="U239" s="204"/>
      <c r="V239" s="204"/>
      <c r="W239" s="205"/>
      <c r="X239" s="206"/>
      <c r="Y239" s="203"/>
      <c r="Z239" s="204"/>
      <c r="AA239" s="204"/>
      <c r="AB239" s="205"/>
      <c r="AC239" s="206"/>
      <c r="AD239" s="203"/>
      <c r="AE239" s="204"/>
      <c r="AF239" s="204"/>
      <c r="AG239" s="205"/>
      <c r="AH239" s="206"/>
      <c r="AI239" s="203"/>
      <c r="AJ239" s="204"/>
      <c r="AK239" s="204"/>
      <c r="AL239" s="205"/>
      <c r="AM239" s="206"/>
      <c r="AN239" s="203"/>
      <c r="AO239" s="204"/>
      <c r="AP239" s="204"/>
      <c r="AQ239" s="205"/>
      <c r="AR239" s="206"/>
      <c r="AS239" s="203"/>
      <c r="AT239" s="204"/>
      <c r="AU239" s="204"/>
      <c r="AV239" s="205"/>
      <c r="AW239" s="206"/>
      <c r="AX239" s="203"/>
      <c r="AY239" s="204"/>
      <c r="AZ239" s="204"/>
      <c r="BA239" s="205"/>
      <c r="BB239" s="206"/>
      <c r="BC239" s="203"/>
      <c r="BD239" s="204"/>
      <c r="BE239" s="204"/>
      <c r="BF239" s="205"/>
      <c r="BG239" s="206"/>
      <c r="BH239" s="203"/>
      <c r="BI239" s="204"/>
      <c r="BJ239" s="204"/>
      <c r="BK239" s="205"/>
      <c r="BL239" s="206"/>
      <c r="BM239" s="203"/>
      <c r="BN239" s="204"/>
      <c r="BO239" s="204"/>
      <c r="BP239" s="205"/>
      <c r="BQ239" s="206"/>
      <c r="BT239" s="525"/>
      <c r="BU239" s="525"/>
      <c r="BV239" s="525"/>
      <c r="BW239" s="525"/>
      <c r="BX239" s="525"/>
      <c r="BY239" s="525"/>
      <c r="BZ239" s="525"/>
      <c r="CA239" s="525"/>
    </row>
    <row r="240" spans="1:79" x14ac:dyDescent="0.2">
      <c r="A240" s="20"/>
      <c r="B240" s="20"/>
      <c r="C240" s="20" t="s">
        <v>242</v>
      </c>
      <c r="D240" s="20"/>
      <c r="E240" s="254">
        <f t="shared" ref="E240:AN240" si="522">E218/E228</f>
        <v>0.51697087055955859</v>
      </c>
      <c r="F240" s="255">
        <f t="shared" si="522"/>
        <v>0.53005915673022352</v>
      </c>
      <c r="G240" s="255">
        <f t="shared" si="522"/>
        <v>0.51067123096132472</v>
      </c>
      <c r="H240" s="256">
        <f t="shared" si="522"/>
        <v>0.51797386273318735</v>
      </c>
      <c r="I240" s="79">
        <f t="shared" si="522"/>
        <v>0.51797386273318735</v>
      </c>
      <c r="J240" s="254">
        <f t="shared" si="522"/>
        <v>0.51470522241973005</v>
      </c>
      <c r="K240" s="255">
        <f t="shared" si="522"/>
        <v>0.54009497713502252</v>
      </c>
      <c r="L240" s="255">
        <f t="shared" si="522"/>
        <v>0.54487838096604324</v>
      </c>
      <c r="M240" s="256">
        <f t="shared" si="522"/>
        <v>0.51846222357433958</v>
      </c>
      <c r="N240" s="79">
        <f t="shared" si="522"/>
        <v>0.51846222357433958</v>
      </c>
      <c r="O240" s="254">
        <f t="shared" si="522"/>
        <v>0.51380948408507821</v>
      </c>
      <c r="P240" s="255">
        <f t="shared" si="522"/>
        <v>0.50878986260491721</v>
      </c>
      <c r="Q240" s="255">
        <f t="shared" si="522"/>
        <v>0.53584784225011994</v>
      </c>
      <c r="R240" s="256">
        <f t="shared" si="522"/>
        <v>0.53243580891681208</v>
      </c>
      <c r="S240" s="79">
        <f t="shared" si="522"/>
        <v>0.53243580891681208</v>
      </c>
      <c r="T240" s="254">
        <f t="shared" si="522"/>
        <v>0.52745245269890972</v>
      </c>
      <c r="U240" s="255">
        <f>U218/U228</f>
        <v>0.52525866821248723</v>
      </c>
      <c r="V240" s="255">
        <f>V218/V228</f>
        <v>0.54501204101160794</v>
      </c>
      <c r="W240" s="256">
        <f t="shared" si="522"/>
        <v>0.5232914935640095</v>
      </c>
      <c r="X240" s="79">
        <f t="shared" si="522"/>
        <v>0.5232914935640095</v>
      </c>
      <c r="Y240" s="254">
        <f>Y218/Y228</f>
        <v>0.52641807072412838</v>
      </c>
      <c r="Z240" s="255">
        <f t="shared" si="522"/>
        <v>0.53479714798472144</v>
      </c>
      <c r="AA240" s="255">
        <f t="shared" si="522"/>
        <v>0.5319691788153228</v>
      </c>
      <c r="AB240" s="256">
        <f t="shared" si="522"/>
        <v>0.52013729763348227</v>
      </c>
      <c r="AC240" s="79">
        <f t="shared" si="522"/>
        <v>0.52013729763348227</v>
      </c>
      <c r="AD240" s="254">
        <f t="shared" ref="AD240:AJ240" si="523">AD218/AD228</f>
        <v>0.5221598521737123</v>
      </c>
      <c r="AE240" s="255">
        <f t="shared" si="523"/>
        <v>0.52363716218695233</v>
      </c>
      <c r="AF240" s="255">
        <f t="shared" si="523"/>
        <v>0.52006922683171286</v>
      </c>
      <c r="AG240" s="256">
        <f t="shared" si="523"/>
        <v>0.51138206721469315</v>
      </c>
      <c r="AH240" s="79">
        <f t="shared" si="523"/>
        <v>0.51138206721469315</v>
      </c>
      <c r="AI240" s="254">
        <f t="shared" si="523"/>
        <v>0.5124886778930704</v>
      </c>
      <c r="AJ240" s="255">
        <f t="shared" si="523"/>
        <v>0.5403758467622507</v>
      </c>
      <c r="AK240" s="255">
        <f t="shared" si="522"/>
        <v>0.55344507136932586</v>
      </c>
      <c r="AL240" s="256">
        <f t="shared" si="522"/>
        <v>0.53457701793804024</v>
      </c>
      <c r="AM240" s="79">
        <f t="shared" si="522"/>
        <v>0.53457701793804024</v>
      </c>
      <c r="AN240" s="254">
        <f t="shared" si="522"/>
        <v>0.55982018321911464</v>
      </c>
      <c r="AO240" s="255">
        <f t="shared" ref="AO240:AS240" si="524">AO218/AO228</f>
        <v>0.55337034106273753</v>
      </c>
      <c r="AP240" s="255">
        <f t="shared" si="524"/>
        <v>0.55415452045017344</v>
      </c>
      <c r="AQ240" s="256">
        <f t="shared" si="524"/>
        <v>0.55872069608371711</v>
      </c>
      <c r="AR240" s="79">
        <f t="shared" si="524"/>
        <v>0.55872069608371711</v>
      </c>
      <c r="AS240" s="254">
        <f t="shared" si="524"/>
        <v>0.55314035048773269</v>
      </c>
      <c r="AT240" s="255">
        <f t="shared" ref="AT240:AW240" si="525">AT218/AT228</f>
        <v>0.55074685335412898</v>
      </c>
      <c r="AU240" s="255">
        <f t="shared" si="525"/>
        <v>0.55450639669206925</v>
      </c>
      <c r="AV240" s="256">
        <f t="shared" si="525"/>
        <v>0.54969536812743158</v>
      </c>
      <c r="AW240" s="79">
        <f t="shared" si="525"/>
        <v>0.54969536812743158</v>
      </c>
      <c r="AX240" s="254">
        <f t="shared" ref="AX240:BG240" si="526">AX218/AX228</f>
        <v>0.55305993222761274</v>
      </c>
      <c r="AY240" s="255">
        <f t="shared" si="526"/>
        <v>0.54375244730897065</v>
      </c>
      <c r="AZ240" s="255">
        <f t="shared" si="526"/>
        <v>0.58498936563908432</v>
      </c>
      <c r="BA240" s="256">
        <f t="shared" si="526"/>
        <v>0.58275379366462765</v>
      </c>
      <c r="BB240" s="79">
        <f t="shared" si="526"/>
        <v>0.58275379366462765</v>
      </c>
      <c r="BC240" s="254">
        <f t="shared" si="526"/>
        <v>0.57105602371228104</v>
      </c>
      <c r="BD240" s="255">
        <f t="shared" si="526"/>
        <v>0.55303574404979272</v>
      </c>
      <c r="BE240" s="255">
        <f t="shared" si="526"/>
        <v>0.58110762669481875</v>
      </c>
      <c r="BF240" s="256">
        <f t="shared" si="526"/>
        <v>0.57009320000003894</v>
      </c>
      <c r="BG240" s="79">
        <f t="shared" si="526"/>
        <v>0.57009320000003894</v>
      </c>
      <c r="BH240" s="254">
        <f t="shared" ref="BH240:BQ240" si="527">BH218/BH228</f>
        <v>0.56444644416679313</v>
      </c>
      <c r="BI240" s="255">
        <f t="shared" si="527"/>
        <v>0.55408811871422747</v>
      </c>
      <c r="BJ240" s="255">
        <f t="shared" si="527"/>
        <v>0.58882115945195845</v>
      </c>
      <c r="BK240" s="256">
        <f t="shared" si="527"/>
        <v>0.57076692998160361</v>
      </c>
      <c r="BL240" s="79">
        <f t="shared" si="527"/>
        <v>0.57076692998160361</v>
      </c>
      <c r="BM240" s="254">
        <f t="shared" si="527"/>
        <v>0.55331598105954694</v>
      </c>
      <c r="BN240" s="255">
        <f t="shared" si="527"/>
        <v>0.56013666460089773</v>
      </c>
      <c r="BO240" s="255">
        <f t="shared" si="527"/>
        <v>0.58902663611568196</v>
      </c>
      <c r="BP240" s="256">
        <f t="shared" si="527"/>
        <v>0.58471645038478914</v>
      </c>
      <c r="BQ240" s="79">
        <f t="shared" si="527"/>
        <v>0.58471645038478914</v>
      </c>
      <c r="BT240" s="525"/>
      <c r="BU240" s="525"/>
      <c r="BV240" s="525"/>
      <c r="BW240" s="525"/>
      <c r="BX240" s="525"/>
      <c r="BY240" s="525"/>
      <c r="BZ240" s="525"/>
      <c r="CA240" s="525"/>
    </row>
    <row r="241" spans="1:88" x14ac:dyDescent="0.2">
      <c r="A241" s="20"/>
      <c r="B241" s="20"/>
      <c r="C241" s="20" t="s">
        <v>243</v>
      </c>
      <c r="D241" s="20"/>
      <c r="E241" s="254">
        <f t="shared" ref="E241:AN241" si="528">+E219/E228</f>
        <v>0.54483860742943691</v>
      </c>
      <c r="F241" s="255">
        <f t="shared" si="528"/>
        <v>0.55309332723737126</v>
      </c>
      <c r="G241" s="255">
        <f t="shared" si="528"/>
        <v>0.54170119849794862</v>
      </c>
      <c r="H241" s="256">
        <f t="shared" si="528"/>
        <v>0.54616854263665227</v>
      </c>
      <c r="I241" s="79">
        <f t="shared" si="528"/>
        <v>0.54616854263665227</v>
      </c>
      <c r="J241" s="254">
        <f t="shared" si="528"/>
        <v>0.54323450426852549</v>
      </c>
      <c r="K241" s="255">
        <f t="shared" si="528"/>
        <v>0.54787484710143153</v>
      </c>
      <c r="L241" s="255">
        <f t="shared" si="528"/>
        <v>0.54722719665500463</v>
      </c>
      <c r="M241" s="256">
        <f t="shared" si="528"/>
        <v>0.54441159848038156</v>
      </c>
      <c r="N241" s="79">
        <f t="shared" si="528"/>
        <v>0.54441159848038156</v>
      </c>
      <c r="O241" s="254">
        <f t="shared" si="528"/>
        <v>0.54311446747055869</v>
      </c>
      <c r="P241" s="255">
        <f t="shared" si="528"/>
        <v>0.54461135536952165</v>
      </c>
      <c r="Q241" s="255">
        <f t="shared" si="528"/>
        <v>0.53855071238466989</v>
      </c>
      <c r="R241" s="256">
        <f t="shared" si="528"/>
        <v>0.54420390772886285</v>
      </c>
      <c r="S241" s="79">
        <f t="shared" si="528"/>
        <v>0.54420390772886285</v>
      </c>
      <c r="T241" s="254">
        <f t="shared" si="528"/>
        <v>0.54549904004399319</v>
      </c>
      <c r="U241" s="255">
        <f>+U219/U228</f>
        <v>0.55047822252161771</v>
      </c>
      <c r="V241" s="255">
        <f>+V219/V228</f>
        <v>0.56012170636631831</v>
      </c>
      <c r="W241" s="256">
        <f t="shared" si="528"/>
        <v>0.55357602173684584</v>
      </c>
      <c r="X241" s="79">
        <f t="shared" si="528"/>
        <v>0.55357602173684584</v>
      </c>
      <c r="Y241" s="254">
        <f>+Y219/Y228</f>
        <v>0.54742745964701955</v>
      </c>
      <c r="Z241" s="255">
        <f t="shared" si="528"/>
        <v>0.55185511674493093</v>
      </c>
      <c r="AA241" s="255">
        <f t="shared" si="528"/>
        <v>0.54631999652919294</v>
      </c>
      <c r="AB241" s="256">
        <f t="shared" si="528"/>
        <v>0.5554126056103913</v>
      </c>
      <c r="AC241" s="79">
        <f t="shared" si="528"/>
        <v>0.5554126056103913</v>
      </c>
      <c r="AD241" s="254">
        <f t="shared" ref="AD241:AJ241" si="529">+AD219/AD228</f>
        <v>0.55693277543927977</v>
      </c>
      <c r="AE241" s="255">
        <f t="shared" si="529"/>
        <v>0.55826935564706903</v>
      </c>
      <c r="AF241" s="255">
        <f t="shared" si="529"/>
        <v>0.55089508655255703</v>
      </c>
      <c r="AG241" s="256">
        <f t="shared" si="529"/>
        <v>0.55572484633563357</v>
      </c>
      <c r="AH241" s="79">
        <f t="shared" si="529"/>
        <v>0.55572484633563357</v>
      </c>
      <c r="AI241" s="254">
        <f t="shared" si="529"/>
        <v>0.55472794490186206</v>
      </c>
      <c r="AJ241" s="255">
        <f t="shared" si="529"/>
        <v>0.55971252744222266</v>
      </c>
      <c r="AK241" s="255">
        <f t="shared" si="528"/>
        <v>0.55613900797047444</v>
      </c>
      <c r="AL241" s="256">
        <f t="shared" si="528"/>
        <v>0.56897472866061172</v>
      </c>
      <c r="AM241" s="79">
        <f t="shared" si="528"/>
        <v>0.56897472866061172</v>
      </c>
      <c r="AN241" s="254">
        <f t="shared" si="528"/>
        <v>0.56724124471882997</v>
      </c>
      <c r="AO241" s="255">
        <f t="shared" ref="AO241:AS241" si="530">+AO219/AO228</f>
        <v>0.57127536871038342</v>
      </c>
      <c r="AP241" s="255">
        <f t="shared" si="530"/>
        <v>0.56852657251061522</v>
      </c>
      <c r="AQ241" s="256">
        <f t="shared" si="530"/>
        <v>0.57387742751293191</v>
      </c>
      <c r="AR241" s="79">
        <f t="shared" si="530"/>
        <v>0.57387742751293191</v>
      </c>
      <c r="AS241" s="254">
        <f t="shared" si="530"/>
        <v>0.57629645478129543</v>
      </c>
      <c r="AT241" s="255">
        <f t="shared" ref="AT241:AW241" si="531">+AT219/AT228</f>
        <v>0.58032692239416106</v>
      </c>
      <c r="AU241" s="255">
        <f t="shared" si="531"/>
        <v>0.57366280011683168</v>
      </c>
      <c r="AV241" s="256">
        <f t="shared" si="531"/>
        <v>0.57957131322028921</v>
      </c>
      <c r="AW241" s="79">
        <f t="shared" si="531"/>
        <v>0.57957131322028921</v>
      </c>
      <c r="AX241" s="254">
        <f t="shared" ref="AX241:BG241" si="532">+AX219/AX228</f>
        <v>0.58113440342373546</v>
      </c>
      <c r="AY241" s="255">
        <f t="shared" si="532"/>
        <v>0.58562022557423044</v>
      </c>
      <c r="AZ241" s="255">
        <f t="shared" si="532"/>
        <v>0.58498936563908432</v>
      </c>
      <c r="BA241" s="256">
        <f t="shared" si="532"/>
        <v>0.58595595918588139</v>
      </c>
      <c r="BB241" s="79">
        <f t="shared" si="532"/>
        <v>0.58595595918588139</v>
      </c>
      <c r="BC241" s="254">
        <f t="shared" si="532"/>
        <v>0.58975841814117169</v>
      </c>
      <c r="BD241" s="255">
        <f t="shared" si="532"/>
        <v>0.59527438648432029</v>
      </c>
      <c r="BE241" s="255">
        <f t="shared" si="532"/>
        <v>0.59202280150458375</v>
      </c>
      <c r="BF241" s="256">
        <f t="shared" si="532"/>
        <v>0.59781495022534803</v>
      </c>
      <c r="BG241" s="79">
        <f t="shared" si="532"/>
        <v>0.59781495022534803</v>
      </c>
      <c r="BH241" s="254">
        <f t="shared" ref="BH241:BQ241" si="533">+BH219/BH228</f>
        <v>0.59751488884513981</v>
      </c>
      <c r="BI241" s="255">
        <f t="shared" si="533"/>
        <v>0.59910108014003494</v>
      </c>
      <c r="BJ241" s="255">
        <f t="shared" si="533"/>
        <v>0.59230744749436404</v>
      </c>
      <c r="BK241" s="256">
        <f t="shared" si="533"/>
        <v>0.59426450795713848</v>
      </c>
      <c r="BL241" s="79">
        <f t="shared" si="533"/>
        <v>0.59426450795713848</v>
      </c>
      <c r="BM241" s="254">
        <f t="shared" si="533"/>
        <v>0.59359050224161802</v>
      </c>
      <c r="BN241" s="255">
        <f t="shared" si="533"/>
        <v>0.59486427503802553</v>
      </c>
      <c r="BO241" s="255">
        <f t="shared" si="533"/>
        <v>0.58902663611568196</v>
      </c>
      <c r="BP241" s="256">
        <f t="shared" si="533"/>
        <v>0.58939357527785541</v>
      </c>
      <c r="BQ241" s="79">
        <f t="shared" si="533"/>
        <v>0.58939357527785541</v>
      </c>
      <c r="BT241" s="525"/>
      <c r="BU241" s="525"/>
      <c r="BV241" s="525"/>
      <c r="BW241" s="525"/>
      <c r="BX241" s="525"/>
      <c r="BY241" s="525"/>
      <c r="BZ241" s="525"/>
      <c r="CA241" s="525"/>
    </row>
    <row r="242" spans="1:88" x14ac:dyDescent="0.2">
      <c r="A242" s="20"/>
      <c r="B242" s="20"/>
      <c r="C242" s="20" t="s">
        <v>61</v>
      </c>
      <c r="D242" s="20"/>
      <c r="E242" s="203"/>
      <c r="F242" s="204"/>
      <c r="G242" s="204"/>
      <c r="H242" s="257">
        <f>(H219-H215)/H235</f>
        <v>3.6615468061892278</v>
      </c>
      <c r="I242" s="81">
        <f>(I219-I215)/I31</f>
        <v>5.9757328888198868</v>
      </c>
      <c r="J242" s="258">
        <f t="shared" ref="J242:AN242" si="534">(J219-J215)/J235</f>
        <v>3.626330893302141</v>
      </c>
      <c r="K242" s="259">
        <f t="shared" si="534"/>
        <v>3.6406818196497892</v>
      </c>
      <c r="L242" s="259">
        <f t="shared" si="534"/>
        <v>3.4614096836253583</v>
      </c>
      <c r="M242" s="257">
        <f t="shared" si="534"/>
        <v>3.7273388405812735</v>
      </c>
      <c r="N242" s="81">
        <f t="shared" si="534"/>
        <v>3.7273388405812722</v>
      </c>
      <c r="O242" s="258">
        <f t="shared" si="534"/>
        <v>3.6930295342549964</v>
      </c>
      <c r="P242" s="259">
        <f t="shared" si="534"/>
        <v>3.6646166787374304</v>
      </c>
      <c r="Q242" s="259">
        <f t="shared" si="534"/>
        <v>3.5257529984588114</v>
      </c>
      <c r="R242" s="257">
        <f t="shared" si="534"/>
        <v>3.643115329690731</v>
      </c>
      <c r="S242" s="81">
        <f t="shared" si="534"/>
        <v>3.6431153296907328</v>
      </c>
      <c r="T242" s="258">
        <f t="shared" si="534"/>
        <v>3.7315915589917386</v>
      </c>
      <c r="U242" s="259">
        <f>(U219-U215)/U235</f>
        <v>3.7753812023734441</v>
      </c>
      <c r="V242" s="259">
        <f>(V219-V215)/V235</f>
        <v>3.7157479002517158</v>
      </c>
      <c r="W242" s="257">
        <f t="shared" si="534"/>
        <v>3.8352539327925963</v>
      </c>
      <c r="X242" s="81">
        <f t="shared" si="534"/>
        <v>3.8352539327925959</v>
      </c>
      <c r="Y242" s="258">
        <f>(Y219-Y215)/Y235</f>
        <v>3.7166869099523048</v>
      </c>
      <c r="Z242" s="259">
        <f t="shared" si="534"/>
        <v>3.8367890269100933</v>
      </c>
      <c r="AA242" s="259">
        <f t="shared" si="534"/>
        <v>3.9184577441879807</v>
      </c>
      <c r="AB242" s="257">
        <f t="shared" si="534"/>
        <v>4.020026862695782</v>
      </c>
      <c r="AC242" s="81">
        <f t="shared" si="534"/>
        <v>4.0200268626957802</v>
      </c>
      <c r="AD242" s="258">
        <f t="shared" ref="AD242:AJ242" si="535">(AD219-AD215)/AD235</f>
        <v>4.0617210306599452</v>
      </c>
      <c r="AE242" s="259">
        <f t="shared" si="535"/>
        <v>4.1575700935828968</v>
      </c>
      <c r="AF242" s="259">
        <f t="shared" si="535"/>
        <v>4.0745470266065027</v>
      </c>
      <c r="AG242" s="257">
        <f t="shared" si="535"/>
        <v>4.1059911291397038</v>
      </c>
      <c r="AH242" s="81">
        <f t="shared" si="535"/>
        <v>4.1059911291397055</v>
      </c>
      <c r="AI242" s="258">
        <f t="shared" si="535"/>
        <v>4.2436791285121718</v>
      </c>
      <c r="AJ242" s="259">
        <f t="shared" si="535"/>
        <v>4.3021563256147601</v>
      </c>
      <c r="AK242" s="259">
        <f t="shared" si="534"/>
        <v>4.07786126985431</v>
      </c>
      <c r="AL242" s="257">
        <f t="shared" si="534"/>
        <v>4.318481154459719</v>
      </c>
      <c r="AM242" s="81">
        <f t="shared" si="534"/>
        <v>4.3184811544597208</v>
      </c>
      <c r="AN242" s="258">
        <f t="shared" si="534"/>
        <v>4.0679013738052756</v>
      </c>
      <c r="AO242" s="259">
        <f t="shared" ref="AO242:AS242" si="536">(AO219-AO215)/AO235</f>
        <v>4.0830053928837877</v>
      </c>
      <c r="AP242" s="259">
        <f t="shared" si="536"/>
        <v>3.960849332392995</v>
      </c>
      <c r="AQ242" s="257">
        <f t="shared" si="536"/>
        <v>4.0681038945573444</v>
      </c>
      <c r="AR242" s="81">
        <f t="shared" si="536"/>
        <v>4.0681038945573418</v>
      </c>
      <c r="AS242" s="258">
        <f t="shared" si="536"/>
        <v>4.0855463147274556</v>
      </c>
      <c r="AT242" s="259">
        <f t="shared" ref="AT242:AW242" si="537">(AT219-AT215)/AT235</f>
        <v>4.0970511269046392</v>
      </c>
      <c r="AU242" s="259">
        <f t="shared" si="537"/>
        <v>4.0262801709045482</v>
      </c>
      <c r="AV242" s="257">
        <f t="shared" si="537"/>
        <v>4.1369502238609419</v>
      </c>
      <c r="AW242" s="81">
        <f t="shared" si="537"/>
        <v>4.1369502238609428</v>
      </c>
      <c r="AX242" s="258">
        <f t="shared" ref="AX242:BG242" si="538">(AX219-AX215)/AX235</f>
        <v>4.1837557341801102</v>
      </c>
      <c r="AY242" s="259">
        <f t="shared" si="538"/>
        <v>4.2779007119544055</v>
      </c>
      <c r="AZ242" s="259">
        <f t="shared" si="538"/>
        <v>4.3584070236065697</v>
      </c>
      <c r="BA242" s="257">
        <f t="shared" si="538"/>
        <v>4.4419998864810184</v>
      </c>
      <c r="BB242" s="81">
        <f t="shared" si="538"/>
        <v>4.4419998864810193</v>
      </c>
      <c r="BC242" s="258">
        <f t="shared" si="538"/>
        <v>4.4872856063175028</v>
      </c>
      <c r="BD242" s="259">
        <f t="shared" si="538"/>
        <v>4.5507741257118504</v>
      </c>
      <c r="BE242" s="259">
        <f t="shared" si="538"/>
        <v>4.5189033326392254</v>
      </c>
      <c r="BF242" s="257">
        <f t="shared" si="538"/>
        <v>4.581768197448719</v>
      </c>
      <c r="BG242" s="81">
        <f t="shared" si="538"/>
        <v>4.5817681974487199</v>
      </c>
      <c r="BH242" s="258">
        <f t="shared" ref="BH242:BQ242" si="539">(BH219-BH215)/BH235</f>
        <v>4.5519399502239875</v>
      </c>
      <c r="BI242" s="259">
        <f t="shared" si="539"/>
        <v>4.5434548698393993</v>
      </c>
      <c r="BJ242" s="259">
        <f t="shared" si="539"/>
        <v>4.4449517715854707</v>
      </c>
      <c r="BK242" s="257">
        <f t="shared" si="539"/>
        <v>4.4392027618209688</v>
      </c>
      <c r="BL242" s="81">
        <f t="shared" si="539"/>
        <v>4.439202761820968</v>
      </c>
      <c r="BM242" s="258">
        <f t="shared" si="539"/>
        <v>4.4119834108221694</v>
      </c>
      <c r="BN242" s="259">
        <f t="shared" si="539"/>
        <v>4.4070831275411351</v>
      </c>
      <c r="BO242" s="259">
        <f t="shared" si="539"/>
        <v>4.3189114047188548</v>
      </c>
      <c r="BP242" s="257">
        <f t="shared" si="539"/>
        <v>4.3148731058402756</v>
      </c>
      <c r="BQ242" s="81">
        <f t="shared" si="539"/>
        <v>4.3148731058402738</v>
      </c>
      <c r="BT242" s="525"/>
      <c r="BU242" s="525"/>
      <c r="BV242" s="525"/>
      <c r="BW242" s="525"/>
      <c r="BX242" s="525"/>
      <c r="BY242" s="525"/>
      <c r="BZ242" s="525"/>
      <c r="CA242" s="525"/>
    </row>
    <row r="243" spans="1:88" x14ac:dyDescent="0.2">
      <c r="A243" s="20"/>
      <c r="B243" s="20"/>
      <c r="C243" s="20" t="s">
        <v>62</v>
      </c>
      <c r="D243" s="20"/>
      <c r="E243" s="203"/>
      <c r="F243" s="204"/>
      <c r="G243" s="204"/>
      <c r="H243" s="256">
        <f t="shared" ref="H243:AN243" si="540">H233/H219</f>
        <v>0.16862675368067409</v>
      </c>
      <c r="I243" s="79">
        <f t="shared" si="540"/>
        <v>0.16862675368067409</v>
      </c>
      <c r="J243" s="254">
        <f t="shared" si="540"/>
        <v>0.16772535501108721</v>
      </c>
      <c r="K243" s="255">
        <f t="shared" si="540"/>
        <v>0.16687709946620885</v>
      </c>
      <c r="L243" s="255">
        <f t="shared" si="540"/>
        <v>0.17492173686116047</v>
      </c>
      <c r="M243" s="256">
        <f t="shared" si="540"/>
        <v>0.16419046824825737</v>
      </c>
      <c r="N243" s="79">
        <f t="shared" si="540"/>
        <v>0.16419046824825739</v>
      </c>
      <c r="O243" s="254">
        <f t="shared" si="540"/>
        <v>0.16865545546244695</v>
      </c>
      <c r="P243" s="255">
        <f t="shared" si="540"/>
        <v>0.17066505251976663</v>
      </c>
      <c r="Q243" s="255">
        <f t="shared" si="540"/>
        <v>0.17548040561015821</v>
      </c>
      <c r="R243" s="256">
        <f t="shared" si="540"/>
        <v>0.17034905679473628</v>
      </c>
      <c r="S243" s="79">
        <f t="shared" si="540"/>
        <v>0.17034905679473616</v>
      </c>
      <c r="T243" s="254">
        <f t="shared" si="540"/>
        <v>0.16693926560674474</v>
      </c>
      <c r="U243" s="255">
        <f>U233/U219</f>
        <v>0.16510862894807957</v>
      </c>
      <c r="V243" s="255">
        <f>V233/V219</f>
        <v>0.15746335943615147</v>
      </c>
      <c r="W243" s="256">
        <f t="shared" si="540"/>
        <v>0.16487623658904088</v>
      </c>
      <c r="X243" s="79">
        <f t="shared" si="540"/>
        <v>0.16487623658904083</v>
      </c>
      <c r="Y243" s="254">
        <f>Y233/Y219</f>
        <v>0.17040342830165747</v>
      </c>
      <c r="Z243" s="255">
        <f t="shared" si="540"/>
        <v>0.16748603516833288</v>
      </c>
      <c r="AA243" s="255">
        <f t="shared" si="540"/>
        <v>0.16617042760814288</v>
      </c>
      <c r="AB243" s="256">
        <f t="shared" si="540"/>
        <v>0.16286224269627819</v>
      </c>
      <c r="AC243" s="79">
        <f t="shared" si="540"/>
        <v>0.16286224269627836</v>
      </c>
      <c r="AD243" s="254">
        <f t="shared" ref="AD243:AJ243" si="541">AD233/AD219</f>
        <v>0.16063380619650658</v>
      </c>
      <c r="AE243" s="255">
        <f t="shared" si="541"/>
        <v>0.15774423556998265</v>
      </c>
      <c r="AF243" s="255">
        <f t="shared" si="541"/>
        <v>0.15969869204364145</v>
      </c>
      <c r="AG243" s="256">
        <f t="shared" si="541"/>
        <v>0.1596911134660628</v>
      </c>
      <c r="AH243" s="79">
        <f t="shared" si="541"/>
        <v>0.15969111346606266</v>
      </c>
      <c r="AI243" s="254">
        <f t="shared" si="541"/>
        <v>0.16010710152681903</v>
      </c>
      <c r="AJ243" s="255">
        <f t="shared" si="541"/>
        <v>0.15769020938555811</v>
      </c>
      <c r="AK243" s="255">
        <f t="shared" si="540"/>
        <v>0.16205983473638991</v>
      </c>
      <c r="AL243" s="256">
        <f t="shared" si="540"/>
        <v>0.15636698981115851</v>
      </c>
      <c r="AM243" s="79">
        <f t="shared" si="540"/>
        <v>0.15636698981115843</v>
      </c>
      <c r="AN243" s="254">
        <f t="shared" si="540"/>
        <v>0.16050831321417486</v>
      </c>
      <c r="AO243" s="255">
        <f t="shared" ref="AO243:AS243" si="542">AO233/AO219</f>
        <v>0.16077581694639878</v>
      </c>
      <c r="AP243" s="255">
        <f t="shared" si="542"/>
        <v>0.16388046815373516</v>
      </c>
      <c r="AQ243" s="256">
        <f t="shared" si="542"/>
        <v>0.16349155218882963</v>
      </c>
      <c r="AR243" s="79">
        <f t="shared" si="542"/>
        <v>0.16349155218882983</v>
      </c>
      <c r="AS243" s="254">
        <f t="shared" si="542"/>
        <v>0.16402642800059428</v>
      </c>
      <c r="AT243" s="255">
        <f t="shared" ref="AT243:AW243" si="543">AT233/AT219</f>
        <v>0.16535651560628195</v>
      </c>
      <c r="AU243" s="255">
        <f t="shared" si="543"/>
        <v>0.17023434059783601</v>
      </c>
      <c r="AV243" s="256">
        <f t="shared" si="543"/>
        <v>0.16781711101260216</v>
      </c>
      <c r="AW243" s="79">
        <f t="shared" si="543"/>
        <v>0.1678171110126021</v>
      </c>
      <c r="AX243" s="254">
        <f t="shared" ref="AX243:BG243" si="544">AX233/AX219</f>
        <v>0.17025564929385453</v>
      </c>
      <c r="AY243" s="255">
        <f t="shared" si="544"/>
        <v>0.16924504356914982</v>
      </c>
      <c r="AZ243" s="255">
        <f t="shared" si="544"/>
        <v>0.16617540526918759</v>
      </c>
      <c r="BA243" s="256">
        <f t="shared" si="544"/>
        <v>0.1677128354999701</v>
      </c>
      <c r="BB243" s="79">
        <f t="shared" si="544"/>
        <v>0.16771283549997007</v>
      </c>
      <c r="BC243" s="254">
        <f t="shared" si="544"/>
        <v>0.1657745447687006</v>
      </c>
      <c r="BD243" s="255">
        <f t="shared" si="544"/>
        <v>0.16328065488650906</v>
      </c>
      <c r="BE243" s="255">
        <f t="shared" si="544"/>
        <v>0.16416984534079176</v>
      </c>
      <c r="BF243" s="256">
        <f t="shared" si="544"/>
        <v>0.16184298182968865</v>
      </c>
      <c r="BG243" s="79">
        <f t="shared" si="544"/>
        <v>0.16184298182968862</v>
      </c>
      <c r="BH243" s="254">
        <f t="shared" ref="BH243:BQ243" si="545">BH233/BH219</f>
        <v>0.16272626173707655</v>
      </c>
      <c r="BI243" s="255">
        <f t="shared" si="545"/>
        <v>0.16301686496830084</v>
      </c>
      <c r="BJ243" s="255">
        <f t="shared" si="545"/>
        <v>0.16614364235814968</v>
      </c>
      <c r="BK243" s="256">
        <f t="shared" si="545"/>
        <v>0.16629998346953342</v>
      </c>
      <c r="BL243" s="79">
        <f t="shared" si="545"/>
        <v>0.16629998346953345</v>
      </c>
      <c r="BM243" s="254">
        <f t="shared" si="545"/>
        <v>0.16744074928372216</v>
      </c>
      <c r="BN243" s="255">
        <f t="shared" si="545"/>
        <v>0.16750090649377844</v>
      </c>
      <c r="BO243" s="255">
        <f t="shared" si="545"/>
        <v>0.16981238010633584</v>
      </c>
      <c r="BP243" s="256">
        <f t="shared" si="545"/>
        <v>0.17078141177565412</v>
      </c>
      <c r="BQ243" s="79">
        <f t="shared" si="545"/>
        <v>0.17078141177565423</v>
      </c>
      <c r="BT243" s="525"/>
      <c r="BU243" s="525"/>
      <c r="BV243" s="525"/>
      <c r="BW243" s="525"/>
      <c r="BX243" s="525"/>
      <c r="BY243" s="525"/>
      <c r="BZ243" s="525"/>
      <c r="CA243" s="525"/>
    </row>
    <row r="244" spans="1:88" x14ac:dyDescent="0.2">
      <c r="A244" s="20"/>
      <c r="B244" s="20"/>
      <c r="C244" s="20"/>
      <c r="D244" s="20"/>
      <c r="E244" s="203"/>
      <c r="F244" s="204"/>
      <c r="G244" s="204"/>
      <c r="H244" s="205"/>
      <c r="I244" s="206"/>
      <c r="J244" s="203"/>
      <c r="K244" s="204"/>
      <c r="L244" s="204"/>
      <c r="M244" s="205"/>
      <c r="N244" s="206"/>
      <c r="O244" s="203"/>
      <c r="P244" s="204"/>
      <c r="Q244" s="204"/>
      <c r="R244" s="205"/>
      <c r="S244" s="206"/>
      <c r="T244" s="203"/>
      <c r="U244" s="204"/>
      <c r="V244" s="204"/>
      <c r="W244" s="205"/>
      <c r="X244" s="206"/>
      <c r="Y244" s="203"/>
      <c r="Z244" s="204"/>
      <c r="AA244" s="204"/>
      <c r="AB244" s="205"/>
      <c r="AC244" s="206"/>
      <c r="AD244" s="203"/>
      <c r="AE244" s="204"/>
      <c r="AF244" s="204"/>
      <c r="AG244" s="205"/>
      <c r="AH244" s="206"/>
      <c r="AI244" s="203"/>
      <c r="AJ244" s="204"/>
      <c r="AK244" s="204"/>
      <c r="AL244" s="205"/>
      <c r="AM244" s="206"/>
      <c r="AN244" s="203"/>
      <c r="AO244" s="204"/>
      <c r="AP244" s="204"/>
      <c r="AQ244" s="205"/>
      <c r="AR244" s="206"/>
      <c r="AS244" s="203"/>
      <c r="AT244" s="204"/>
      <c r="AU244" s="204"/>
      <c r="AV244" s="205"/>
      <c r="AW244" s="206"/>
      <c r="AX244" s="203"/>
      <c r="AY244" s="204"/>
      <c r="AZ244" s="204"/>
      <c r="BA244" s="205"/>
      <c r="BB244" s="206"/>
      <c r="BC244" s="203"/>
      <c r="BD244" s="204"/>
      <c r="BE244" s="204"/>
      <c r="BF244" s="205"/>
      <c r="BG244" s="206"/>
      <c r="BH244" s="203"/>
      <c r="BI244" s="204"/>
      <c r="BJ244" s="204"/>
      <c r="BK244" s="205"/>
      <c r="BL244" s="206"/>
      <c r="BM244" s="203"/>
      <c r="BN244" s="204"/>
      <c r="BO244" s="204"/>
      <c r="BP244" s="205"/>
      <c r="BQ244" s="206"/>
      <c r="BT244" s="525"/>
      <c r="BU244" s="525"/>
      <c r="BV244" s="525"/>
      <c r="BW244" s="525"/>
      <c r="BX244" s="525"/>
      <c r="BY244" s="525"/>
      <c r="BZ244" s="525"/>
      <c r="CA244" s="525"/>
    </row>
    <row r="245" spans="1:88" x14ac:dyDescent="0.2">
      <c r="A245" s="20"/>
      <c r="B245" s="20"/>
      <c r="C245" s="26" t="s">
        <v>63</v>
      </c>
      <c r="D245" s="20"/>
      <c r="E245" s="203"/>
      <c r="F245" s="204"/>
      <c r="G245" s="204"/>
      <c r="H245" s="205"/>
      <c r="I245" s="206"/>
      <c r="J245" s="203"/>
      <c r="K245" s="204"/>
      <c r="L245" s="204"/>
      <c r="M245" s="205"/>
      <c r="N245" s="206"/>
      <c r="O245" s="203"/>
      <c r="P245" s="204"/>
      <c r="Q245" s="204"/>
      <c r="R245" s="205"/>
      <c r="S245" s="206"/>
      <c r="T245" s="203"/>
      <c r="U245" s="204"/>
      <c r="V245" s="204"/>
      <c r="W245" s="205"/>
      <c r="X245" s="206"/>
      <c r="Y245" s="203"/>
      <c r="Z245" s="204"/>
      <c r="AA245" s="204"/>
      <c r="AB245" s="205"/>
      <c r="AC245" s="206"/>
      <c r="AD245" s="203"/>
      <c r="AE245" s="204"/>
      <c r="AF245" s="204"/>
      <c r="AG245" s="205"/>
      <c r="AH245" s="206"/>
      <c r="AI245" s="203"/>
      <c r="AJ245" s="204"/>
      <c r="AK245" s="204"/>
      <c r="AL245" s="205"/>
      <c r="AM245" s="206"/>
      <c r="AN245" s="203"/>
      <c r="AO245" s="204"/>
      <c r="AP245" s="204"/>
      <c r="AQ245" s="205"/>
      <c r="AR245" s="206"/>
      <c r="AS245" s="203"/>
      <c r="AT245" s="204"/>
      <c r="AU245" s="204"/>
      <c r="AV245" s="205"/>
      <c r="AW245" s="206"/>
      <c r="AX245" s="203"/>
      <c r="AY245" s="204"/>
      <c r="AZ245" s="204"/>
      <c r="BA245" s="205"/>
      <c r="BB245" s="206"/>
      <c r="BC245" s="203"/>
      <c r="BD245" s="204"/>
      <c r="BE245" s="204"/>
      <c r="BF245" s="205"/>
      <c r="BG245" s="206"/>
      <c r="BH245" s="203"/>
      <c r="BI245" s="204"/>
      <c r="BJ245" s="204"/>
      <c r="BK245" s="205"/>
      <c r="BL245" s="206"/>
      <c r="BM245" s="203"/>
      <c r="BN245" s="204"/>
      <c r="BO245" s="204"/>
      <c r="BP245" s="205"/>
      <c r="BQ245" s="206"/>
      <c r="BT245" s="525"/>
      <c r="BU245" s="525"/>
      <c r="BV245" s="525"/>
      <c r="BW245" s="525"/>
      <c r="BX245" s="525"/>
      <c r="BY245" s="525"/>
      <c r="BZ245" s="525"/>
      <c r="CA245" s="525"/>
    </row>
    <row r="246" spans="1:88" x14ac:dyDescent="0.2">
      <c r="A246" s="20"/>
      <c r="B246" s="20"/>
      <c r="C246" s="20" t="s">
        <v>65</v>
      </c>
      <c r="D246" s="20"/>
      <c r="E246" s="258"/>
      <c r="F246" s="259"/>
      <c r="G246" s="259"/>
      <c r="H246" s="257">
        <f t="shared" ref="H246:AN246" si="546">(H233+H236)/H236</f>
        <v>3.6694993714991795</v>
      </c>
      <c r="I246" s="81">
        <f t="shared" si="546"/>
        <v>3.6694993714991795</v>
      </c>
      <c r="J246" s="258">
        <f t="shared" si="546"/>
        <v>3.6402663918067124</v>
      </c>
      <c r="K246" s="259">
        <f t="shared" si="546"/>
        <v>3.6791843616293676</v>
      </c>
      <c r="L246" s="259">
        <f t="shared" si="546"/>
        <v>3.8531664977657831</v>
      </c>
      <c r="M246" s="257">
        <f t="shared" si="546"/>
        <v>3.7829933257230759</v>
      </c>
      <c r="N246" s="81">
        <f t="shared" si="546"/>
        <v>3.7829933257230768</v>
      </c>
      <c r="O246" s="258">
        <f t="shared" si="546"/>
        <v>3.8751780414146402</v>
      </c>
      <c r="P246" s="259">
        <f t="shared" si="546"/>
        <v>3.9211100776045207</v>
      </c>
      <c r="Q246" s="259">
        <f t="shared" si="546"/>
        <v>3.9840507971187646</v>
      </c>
      <c r="R246" s="257">
        <f t="shared" si="546"/>
        <v>3.9186344734714043</v>
      </c>
      <c r="S246" s="81">
        <f t="shared" si="546"/>
        <v>3.9186344734714029</v>
      </c>
      <c r="T246" s="258">
        <f t="shared" si="546"/>
        <v>3.8578488206971908</v>
      </c>
      <c r="U246" s="259">
        <f>(U233+U236)/U236</f>
        <v>3.8692459079345283</v>
      </c>
      <c r="V246" s="259">
        <f>(V233+V236)/V236</f>
        <v>3.9096914891000467</v>
      </c>
      <c r="W246" s="257">
        <f t="shared" si="546"/>
        <v>4.0158947574894217</v>
      </c>
      <c r="X246" s="81">
        <f t="shared" si="546"/>
        <v>4.0158947574894208</v>
      </c>
      <c r="Y246" s="258">
        <f>(Y233+Y236)/Y236</f>
        <v>4.2018138165652861</v>
      </c>
      <c r="Z246" s="259">
        <f t="shared" si="546"/>
        <v>4.2829521181915275</v>
      </c>
      <c r="AA246" s="259">
        <f t="shared" si="546"/>
        <v>4.3206908958806629</v>
      </c>
      <c r="AB246" s="257">
        <f t="shared" si="546"/>
        <v>4.3836776489527951</v>
      </c>
      <c r="AC246" s="81">
        <f t="shared" si="546"/>
        <v>4.3836776489527987</v>
      </c>
      <c r="AD246" s="258">
        <f t="shared" ref="AD246:AJ246" si="547">(AD233+AD236)/AD236</f>
        <v>4.4247894480406478</v>
      </c>
      <c r="AE246" s="259">
        <f t="shared" si="547"/>
        <v>4.4866567239956838</v>
      </c>
      <c r="AF246" s="259">
        <f t="shared" si="547"/>
        <v>4.5163466280605169</v>
      </c>
      <c r="AG246" s="257">
        <f t="shared" si="547"/>
        <v>4.6009922203710483</v>
      </c>
      <c r="AH246" s="81">
        <f t="shared" si="547"/>
        <v>4.6009922203710456</v>
      </c>
      <c r="AI246" s="258">
        <f t="shared" si="547"/>
        <v>4.5592414412337048</v>
      </c>
      <c r="AJ246" s="259">
        <f t="shared" si="547"/>
        <v>4.5659961612816042</v>
      </c>
      <c r="AK246" s="259">
        <f t="shared" si="546"/>
        <v>4.6499949712166062</v>
      </c>
      <c r="AL246" s="257">
        <f t="shared" si="546"/>
        <v>4.6758359903373554</v>
      </c>
      <c r="AM246" s="81">
        <f t="shared" si="546"/>
        <v>4.6758359903373528</v>
      </c>
      <c r="AN246" s="258">
        <f t="shared" si="546"/>
        <v>4.7001178341587249</v>
      </c>
      <c r="AO246" s="259">
        <f t="shared" ref="AO246:AS246" si="548">(AO233+AO236)/AO236</f>
        <v>4.6655705523041595</v>
      </c>
      <c r="AP246" s="259">
        <f t="shared" si="548"/>
        <v>4.7140884799494094</v>
      </c>
      <c r="AQ246" s="257">
        <f t="shared" si="548"/>
        <v>4.7510523150932054</v>
      </c>
      <c r="AR246" s="81">
        <f t="shared" si="548"/>
        <v>4.7510523150932098</v>
      </c>
      <c r="AS246" s="258">
        <f t="shared" si="548"/>
        <v>4.7625510741958381</v>
      </c>
      <c r="AT246" s="259">
        <f t="shared" ref="AT246:AW246" si="549">(AT233+AT236)/AT236</f>
        <v>4.8675908170915125</v>
      </c>
      <c r="AU246" s="259">
        <f t="shared" si="549"/>
        <v>4.9728242659110107</v>
      </c>
      <c r="AV246" s="257">
        <f t="shared" si="549"/>
        <v>4.9969834087481164</v>
      </c>
      <c r="AW246" s="81">
        <f t="shared" si="549"/>
        <v>4.9969834087481146</v>
      </c>
      <c r="AX246" s="258">
        <f t="shared" ref="AX246:BG246" si="550">(AX233+AX236)/AX236</f>
        <v>5.088932863763171</v>
      </c>
      <c r="AY246" s="259">
        <f t="shared" si="550"/>
        <v>5.1446445626764836</v>
      </c>
      <c r="AZ246" s="259">
        <f t="shared" si="550"/>
        <v>5.02428682987793</v>
      </c>
      <c r="BA246" s="257">
        <f t="shared" si="550"/>
        <v>5.01746165449266</v>
      </c>
      <c r="BB246" s="81">
        <f t="shared" si="550"/>
        <v>5.0174616544926591</v>
      </c>
      <c r="BC246" s="258">
        <f t="shared" si="550"/>
        <v>5.0123773538494714</v>
      </c>
      <c r="BD246" s="259">
        <f t="shared" si="550"/>
        <v>5.0004678993992657</v>
      </c>
      <c r="BE246" s="259">
        <f t="shared" si="550"/>
        <v>4.9842395495144292</v>
      </c>
      <c r="BF246" s="257">
        <f t="shared" si="550"/>
        <v>4.9828288283907707</v>
      </c>
      <c r="BG246" s="81">
        <f t="shared" si="550"/>
        <v>4.9828288283907689</v>
      </c>
      <c r="BH246" s="258">
        <f t="shared" ref="BH246:BQ246" si="551">(BH233+BH236)/BH236</f>
        <v>4.9816216798064934</v>
      </c>
      <c r="BI246" s="259">
        <f t="shared" si="551"/>
        <v>4.995430757264419</v>
      </c>
      <c r="BJ246" s="259">
        <f t="shared" si="551"/>
        <v>4.9554637008864768</v>
      </c>
      <c r="BK246" s="257">
        <f t="shared" si="551"/>
        <v>4.9719864090571351</v>
      </c>
      <c r="BL246" s="81">
        <f t="shared" si="551"/>
        <v>4.9719864090571351</v>
      </c>
      <c r="BM246" s="258">
        <f t="shared" si="551"/>
        <v>4.9901363601512232</v>
      </c>
      <c r="BN246" s="259">
        <f t="shared" si="551"/>
        <v>4.9803322720782637</v>
      </c>
      <c r="BO246" s="259">
        <f t="shared" si="551"/>
        <v>4.9568286400470587</v>
      </c>
      <c r="BP246" s="257">
        <f t="shared" si="551"/>
        <v>4.9617936553546054</v>
      </c>
      <c r="BQ246" s="81">
        <f t="shared" si="551"/>
        <v>4.9617936553546071</v>
      </c>
      <c r="BT246" s="525"/>
      <c r="BU246" s="525"/>
      <c r="BV246" s="525"/>
      <c r="BW246" s="525"/>
      <c r="BX246" s="525"/>
      <c r="BY246" s="525"/>
      <c r="BZ246" s="525"/>
      <c r="CA246" s="525"/>
    </row>
    <row r="247" spans="1:88" x14ac:dyDescent="0.2">
      <c r="A247" s="20"/>
      <c r="B247" s="20"/>
      <c r="C247" s="20" t="s">
        <v>66</v>
      </c>
      <c r="D247" s="20"/>
      <c r="E247" s="258"/>
      <c r="F247" s="259"/>
      <c r="G247" s="259"/>
      <c r="H247" s="257">
        <f t="shared" ref="H247:AN247" si="552">H234/H236</f>
        <v>2.8107927656528755</v>
      </c>
      <c r="I247" s="81">
        <f t="shared" si="552"/>
        <v>2.8107927656528755</v>
      </c>
      <c r="J247" s="258">
        <f t="shared" si="552"/>
        <v>2.8553490360682723</v>
      </c>
      <c r="K247" s="259">
        <f t="shared" si="552"/>
        <v>2.920468543172174</v>
      </c>
      <c r="L247" s="259">
        <f t="shared" si="552"/>
        <v>3.1199878881438585</v>
      </c>
      <c r="M247" s="257">
        <f t="shared" si="552"/>
        <v>3.0092483686736844</v>
      </c>
      <c r="N247" s="81">
        <f t="shared" si="552"/>
        <v>3.0092483686736857</v>
      </c>
      <c r="O247" s="258">
        <f t="shared" si="552"/>
        <v>3.0533423327535627</v>
      </c>
      <c r="P247" s="259">
        <f t="shared" si="552"/>
        <v>3.0866761169593842</v>
      </c>
      <c r="Q247" s="259">
        <f t="shared" si="552"/>
        <v>3.1657648584986164</v>
      </c>
      <c r="R247" s="257">
        <f t="shared" si="552"/>
        <v>3.1680144409218101</v>
      </c>
      <c r="S247" s="81">
        <f t="shared" si="552"/>
        <v>3.1680144409218087</v>
      </c>
      <c r="T247" s="258">
        <f t="shared" si="552"/>
        <v>3.0484585030422306</v>
      </c>
      <c r="U247" s="259">
        <f>U234/U236</f>
        <v>3.0987607525858349</v>
      </c>
      <c r="V247" s="259">
        <f>V234/V236</f>
        <v>3.1861165995753158</v>
      </c>
      <c r="W247" s="257">
        <f t="shared" si="552"/>
        <v>3.194359206226252</v>
      </c>
      <c r="X247" s="81">
        <f t="shared" si="552"/>
        <v>3.194359206226252</v>
      </c>
      <c r="Y247" s="258">
        <f>Y234/Y236</f>
        <v>3.3986392133906835</v>
      </c>
      <c r="Z247" s="259">
        <f t="shared" si="552"/>
        <v>3.4336952652189394</v>
      </c>
      <c r="AA247" s="259">
        <f t="shared" si="552"/>
        <v>3.3985201047781115</v>
      </c>
      <c r="AB247" s="257">
        <f t="shared" si="552"/>
        <v>3.4218244468436119</v>
      </c>
      <c r="AC247" s="81">
        <f t="shared" si="552"/>
        <v>3.421824446843615</v>
      </c>
      <c r="AD247" s="258">
        <f t="shared" ref="AD247:AJ247" si="553">AD234/AD236</f>
        <v>3.4956688939931779</v>
      </c>
      <c r="AE247" s="259">
        <f t="shared" si="553"/>
        <v>3.5351360594585826</v>
      </c>
      <c r="AF247" s="259">
        <f t="shared" si="553"/>
        <v>3.5528068119346723</v>
      </c>
      <c r="AG247" s="257">
        <f t="shared" si="553"/>
        <v>3.6591911868522851</v>
      </c>
      <c r="AH247" s="81">
        <f t="shared" si="553"/>
        <v>3.659191186852282</v>
      </c>
      <c r="AI247" s="258">
        <f t="shared" si="553"/>
        <v>3.3561316717151057</v>
      </c>
      <c r="AJ247" s="259">
        <f t="shared" si="553"/>
        <v>3.3560913670410679</v>
      </c>
      <c r="AK247" s="259">
        <f t="shared" si="552"/>
        <v>3.4955942743465545</v>
      </c>
      <c r="AL247" s="257">
        <f t="shared" si="552"/>
        <v>3.521420100053422</v>
      </c>
      <c r="AM247" s="81">
        <f t="shared" si="552"/>
        <v>3.5214201000534202</v>
      </c>
      <c r="AN247" s="258">
        <f t="shared" si="552"/>
        <v>3.6952314246397022</v>
      </c>
      <c r="AO247" s="259">
        <f t="shared" ref="AO247:AS247" si="554">AO234/AO236</f>
        <v>3.6045963267113543</v>
      </c>
      <c r="AP247" s="259">
        <f t="shared" si="554"/>
        <v>3.5977030026579691</v>
      </c>
      <c r="AQ247" s="257">
        <f t="shared" si="554"/>
        <v>3.5932135531073248</v>
      </c>
      <c r="AR247" s="81">
        <f t="shared" si="554"/>
        <v>3.5932135531073293</v>
      </c>
      <c r="AS247" s="258">
        <f t="shared" si="554"/>
        <v>3.5327849871571821</v>
      </c>
      <c r="AT247" s="259">
        <f t="shared" ref="AT247:AW247" si="555">AT234/AT236</f>
        <v>3.5699598396017116</v>
      </c>
      <c r="AU247" s="259">
        <f t="shared" si="555"/>
        <v>3.5586369073881183</v>
      </c>
      <c r="AV247" s="257">
        <f t="shared" si="555"/>
        <v>3.4962292609351446</v>
      </c>
      <c r="AW247" s="81">
        <f t="shared" si="555"/>
        <v>3.4962292609351433</v>
      </c>
      <c r="AX247" s="258">
        <f t="shared" ref="AX247:BG247" si="556">AX234/AX236</f>
        <v>3.4791643355496387</v>
      </c>
      <c r="AY247" s="259">
        <f t="shared" si="556"/>
        <v>3.427389854181965</v>
      </c>
      <c r="AZ247" s="259">
        <f t="shared" si="556"/>
        <v>3.1978255682809933</v>
      </c>
      <c r="BA247" s="257">
        <f t="shared" si="556"/>
        <v>3.1198099844900469</v>
      </c>
      <c r="BB247" s="81">
        <f t="shared" si="556"/>
        <v>3.1198099844900455</v>
      </c>
      <c r="BC247" s="258">
        <f t="shared" si="556"/>
        <v>3.1399185363319675</v>
      </c>
      <c r="BD247" s="259">
        <f t="shared" si="556"/>
        <v>3.1399392492745966</v>
      </c>
      <c r="BE247" s="259">
        <f t="shared" si="556"/>
        <v>3.1435737304209761</v>
      </c>
      <c r="BF247" s="257">
        <f t="shared" si="556"/>
        <v>3.1453423901573649</v>
      </c>
      <c r="BG247" s="81">
        <f t="shared" si="556"/>
        <v>3.1453423901573641</v>
      </c>
      <c r="BH247" s="258">
        <f t="shared" ref="BH247:BQ247" si="557">BH234/BH236</f>
        <v>3.1439361438398219</v>
      </c>
      <c r="BI247" s="259">
        <f t="shared" si="557"/>
        <v>3.143896555124428</v>
      </c>
      <c r="BJ247" s="259">
        <f t="shared" si="557"/>
        <v>3.123432796421862</v>
      </c>
      <c r="BK247" s="257">
        <f t="shared" si="557"/>
        <v>3.1362827327354146</v>
      </c>
      <c r="BL247" s="81">
        <f t="shared" si="557"/>
        <v>3.136282732735415</v>
      </c>
      <c r="BM247" s="258">
        <f t="shared" si="557"/>
        <v>3.1491400152849947</v>
      </c>
      <c r="BN247" s="259">
        <f t="shared" si="557"/>
        <v>3.1510458942804229</v>
      </c>
      <c r="BO247" s="259">
        <f t="shared" si="557"/>
        <v>3.150288493438862</v>
      </c>
      <c r="BP247" s="257">
        <f t="shared" si="557"/>
        <v>3.1616685440951708</v>
      </c>
      <c r="BQ247" s="81">
        <f t="shared" si="557"/>
        <v>3.1616685440951731</v>
      </c>
      <c r="BT247" s="525"/>
      <c r="BU247" s="525"/>
      <c r="BV247" s="525"/>
      <c r="BW247" s="525"/>
      <c r="BX247" s="525"/>
      <c r="BY247" s="525"/>
      <c r="BZ247" s="525"/>
      <c r="CA247" s="525"/>
    </row>
    <row r="248" spans="1:88" x14ac:dyDescent="0.2">
      <c r="A248" s="20"/>
      <c r="B248" s="20"/>
      <c r="C248" s="20"/>
      <c r="D248" s="20"/>
      <c r="E248" s="203"/>
      <c r="F248" s="204"/>
      <c r="G248" s="204"/>
      <c r="H248" s="205"/>
      <c r="I248" s="206"/>
      <c r="J248" s="203"/>
      <c r="K248" s="204"/>
      <c r="L248" s="204"/>
      <c r="M248" s="205"/>
      <c r="N248" s="206"/>
      <c r="O248" s="203"/>
      <c r="P248" s="204"/>
      <c r="Q248" s="204"/>
      <c r="R248" s="205"/>
      <c r="S248" s="206"/>
      <c r="T248" s="203"/>
      <c r="U248" s="204"/>
      <c r="V248" s="204"/>
      <c r="W248" s="205"/>
      <c r="X248" s="206"/>
      <c r="Y248" s="203"/>
      <c r="Z248" s="204"/>
      <c r="AA248" s="204"/>
      <c r="AB248" s="205"/>
      <c r="AC248" s="206"/>
      <c r="AD248" s="203"/>
      <c r="AE248" s="204"/>
      <c r="AF248" s="204"/>
      <c r="AG248" s="205"/>
      <c r="AH248" s="206"/>
      <c r="AI248" s="203"/>
      <c r="AJ248" s="204"/>
      <c r="AK248" s="204"/>
      <c r="AL248" s="205"/>
      <c r="AM248" s="206"/>
      <c r="AN248" s="203"/>
      <c r="AO248" s="204"/>
      <c r="AP248" s="204"/>
      <c r="AQ248" s="205"/>
      <c r="AR248" s="206"/>
      <c r="AS248" s="203"/>
      <c r="AT248" s="204"/>
      <c r="AU248" s="204"/>
      <c r="AV248" s="205"/>
      <c r="AW248" s="206"/>
      <c r="AX248" s="203"/>
      <c r="AY248" s="204"/>
      <c r="AZ248" s="204"/>
      <c r="BA248" s="205"/>
      <c r="BB248" s="206"/>
      <c r="BC248" s="203"/>
      <c r="BD248" s="204"/>
      <c r="BE248" s="204"/>
      <c r="BF248" s="205"/>
      <c r="BG248" s="206"/>
      <c r="BH248" s="203"/>
      <c r="BI248" s="204"/>
      <c r="BJ248" s="204"/>
      <c r="BK248" s="205"/>
      <c r="BL248" s="206"/>
      <c r="BM248" s="203"/>
      <c r="BN248" s="204"/>
      <c r="BO248" s="204"/>
      <c r="BP248" s="205"/>
      <c r="BQ248" s="206"/>
      <c r="BT248" s="525"/>
      <c r="BU248" s="525"/>
      <c r="BV248" s="525"/>
      <c r="BW248" s="525"/>
      <c r="BX248" s="525"/>
      <c r="BY248" s="525"/>
      <c r="BZ248" s="525"/>
      <c r="CA248" s="525"/>
    </row>
    <row r="249" spans="1:88" x14ac:dyDescent="0.2">
      <c r="A249" s="20"/>
      <c r="B249" s="20"/>
      <c r="C249" s="20"/>
      <c r="D249" s="20"/>
      <c r="E249" s="260"/>
      <c r="F249" s="261"/>
      <c r="G249" s="261"/>
      <c r="H249" s="262"/>
      <c r="I249" s="206"/>
      <c r="J249" s="260"/>
      <c r="K249" s="261"/>
      <c r="L249" s="261"/>
      <c r="M249" s="262"/>
      <c r="N249" s="206"/>
      <c r="O249" s="260"/>
      <c r="P249" s="261"/>
      <c r="Q249" s="261"/>
      <c r="R249" s="262"/>
      <c r="S249" s="206"/>
      <c r="T249" s="260"/>
      <c r="U249" s="261"/>
      <c r="V249" s="261"/>
      <c r="W249" s="262"/>
      <c r="X249" s="206"/>
      <c r="Y249" s="260"/>
      <c r="Z249" s="261"/>
      <c r="AA249" s="261"/>
      <c r="AB249" s="262"/>
      <c r="AC249" s="206"/>
      <c r="AD249" s="260"/>
      <c r="AE249" s="261"/>
      <c r="AF249" s="261"/>
      <c r="AG249" s="262"/>
      <c r="AH249" s="206"/>
      <c r="AI249" s="260"/>
      <c r="AJ249" s="261"/>
      <c r="AK249" s="261"/>
      <c r="AL249" s="262"/>
      <c r="AM249" s="206"/>
      <c r="AN249" s="260"/>
      <c r="AO249" s="261"/>
      <c r="AP249" s="261"/>
      <c r="AQ249" s="262"/>
      <c r="AR249" s="206"/>
      <c r="AS249" s="260"/>
      <c r="AT249" s="261"/>
      <c r="AU249" s="261"/>
      <c r="AV249" s="262"/>
      <c r="AW249" s="206"/>
      <c r="AX249" s="260"/>
      <c r="AY249" s="261"/>
      <c r="AZ249" s="261"/>
      <c r="BA249" s="262"/>
      <c r="BB249" s="206"/>
      <c r="BC249" s="260"/>
      <c r="BD249" s="261"/>
      <c r="BE249" s="261"/>
      <c r="BF249" s="262"/>
      <c r="BG249" s="206"/>
      <c r="BH249" s="260"/>
      <c r="BI249" s="261"/>
      <c r="BJ249" s="261"/>
      <c r="BK249" s="262"/>
      <c r="BL249" s="206"/>
      <c r="BM249" s="260"/>
      <c r="BN249" s="261"/>
      <c r="BO249" s="261"/>
      <c r="BP249" s="262"/>
      <c r="BQ249" s="206"/>
      <c r="BT249" s="525"/>
      <c r="BU249" s="525"/>
      <c r="BV249" s="525"/>
      <c r="BW249" s="525"/>
      <c r="BX249" s="525"/>
      <c r="BY249" s="525"/>
      <c r="BZ249" s="525"/>
      <c r="CA249" s="525"/>
    </row>
    <row r="250" spans="1:88" x14ac:dyDescent="0.2">
      <c r="BT250" s="525"/>
      <c r="BU250" s="525"/>
      <c r="BV250" s="525"/>
      <c r="BW250" s="525"/>
      <c r="BX250" s="525"/>
      <c r="BY250" s="525"/>
      <c r="BZ250" s="525"/>
      <c r="CA250" s="525"/>
    </row>
    <row r="251" spans="1:88" s="688" customFormat="1" x14ac:dyDescent="0.2">
      <c r="C251" s="689" t="s">
        <v>499</v>
      </c>
      <c r="E251" s="688">
        <f t="shared" ref="E251:M251" si="558">E54+E52</f>
        <v>174.06700000000049</v>
      </c>
      <c r="F251" s="688">
        <f t="shared" si="558"/>
        <v>117.10699999999974</v>
      </c>
      <c r="G251" s="688">
        <f t="shared" si="558"/>
        <v>220.82799999999989</v>
      </c>
      <c r="H251" s="688">
        <f t="shared" si="558"/>
        <v>168.88500000000005</v>
      </c>
      <c r="I251" s="688">
        <f t="shared" si="558"/>
        <v>680.88700000000017</v>
      </c>
      <c r="J251" s="688">
        <f t="shared" si="558"/>
        <v>167.11799999999994</v>
      </c>
      <c r="K251" s="688">
        <f t="shared" si="558"/>
        <v>139.77600000000007</v>
      </c>
      <c r="L251" s="688">
        <f t="shared" si="558"/>
        <v>312.30600000000021</v>
      </c>
      <c r="M251" s="688">
        <f t="shared" si="558"/>
        <v>136.63399999999984</v>
      </c>
      <c r="N251" s="688">
        <f>N54+N52</f>
        <v>755.83400000000086</v>
      </c>
      <c r="O251" s="688">
        <f t="shared" ref="O251:AM251" si="559">O54+O52</f>
        <v>203.56900000000002</v>
      </c>
      <c r="P251" s="688">
        <f t="shared" si="559"/>
        <v>158.76199999999955</v>
      </c>
      <c r="Q251" s="688">
        <f>Q54+Q52</f>
        <v>335.07200000000006</v>
      </c>
      <c r="R251" s="688">
        <f t="shared" si="559"/>
        <v>143.7690000000002</v>
      </c>
      <c r="S251" s="688">
        <f t="shared" si="559"/>
        <v>841.17199999999912</v>
      </c>
      <c r="T251" s="688">
        <f t="shared" si="559"/>
        <v>183.89300000000028</v>
      </c>
      <c r="U251" s="688">
        <f>U54+U52</f>
        <v>183.0599999999996</v>
      </c>
      <c r="V251" s="688">
        <f>V54+V52</f>
        <v>398.10600000000017</v>
      </c>
      <c r="W251" s="688">
        <f t="shared" si="559"/>
        <v>140.17000000000132</v>
      </c>
      <c r="X251" s="688">
        <f t="shared" si="559"/>
        <v>905.22900000000095</v>
      </c>
      <c r="Y251" s="688">
        <f t="shared" si="559"/>
        <v>236.56999999999937</v>
      </c>
      <c r="Z251" s="688">
        <f t="shared" si="559"/>
        <v>196.85699999999986</v>
      </c>
      <c r="AA251" s="688">
        <f t="shared" si="559"/>
        <v>364.75200000000035</v>
      </c>
      <c r="AB251" s="688">
        <f t="shared" si="559"/>
        <v>150.0549999999991</v>
      </c>
      <c r="AC251" s="688">
        <f t="shared" si="559"/>
        <v>948.23400000000026</v>
      </c>
      <c r="AD251" s="688">
        <f t="shared" si="559"/>
        <v>261.22100000000023</v>
      </c>
      <c r="AE251" s="688">
        <f t="shared" si="559"/>
        <v>195.16400000000004</v>
      </c>
      <c r="AF251" s="688">
        <f t="shared" si="559"/>
        <v>368.58199999999994</v>
      </c>
      <c r="AG251" s="688">
        <f>AG54+AG52</f>
        <v>196.33899999999909</v>
      </c>
      <c r="AH251" s="688">
        <f>AH54+AH52</f>
        <v>1021.3059999999975</v>
      </c>
      <c r="AI251" s="688">
        <f>AI54+AI52</f>
        <v>152.06600000000003</v>
      </c>
      <c r="AJ251" s="688">
        <f>AJ54+AJ52</f>
        <v>196.93100000000024</v>
      </c>
      <c r="AK251" s="688">
        <f t="shared" si="559"/>
        <v>426.46299999999997</v>
      </c>
      <c r="AL251" s="688">
        <f t="shared" si="559"/>
        <v>209.02500000000111</v>
      </c>
      <c r="AM251" s="688">
        <f t="shared" si="559"/>
        <v>984.48500000000013</v>
      </c>
      <c r="AN251" s="688">
        <f>AN54+AN52</f>
        <v>241.31200000000032</v>
      </c>
      <c r="AO251" s="688">
        <f t="shared" ref="AO251:AR251" si="560">AO54+AO52</f>
        <v>196.79499999999967</v>
      </c>
      <c r="AP251" s="688">
        <f t="shared" si="560"/>
        <v>457.79500000000007</v>
      </c>
      <c r="AQ251" s="688">
        <f t="shared" si="560"/>
        <v>227.47700000000037</v>
      </c>
      <c r="AR251" s="688">
        <f t="shared" si="560"/>
        <v>1123.3790000000031</v>
      </c>
      <c r="AS251" s="688">
        <f>AS54+AS52</f>
        <v>239.27700000000004</v>
      </c>
      <c r="AT251" s="688">
        <f t="shared" ref="AT251:AW251" si="561">AT54+AT52</f>
        <v>227.25600000000003</v>
      </c>
      <c r="AU251" s="688">
        <f t="shared" si="561"/>
        <v>492.14100000000002</v>
      </c>
      <c r="AV251" s="688">
        <f t="shared" si="561"/>
        <v>189.32600000000087</v>
      </c>
      <c r="AW251" s="688">
        <f t="shared" si="561"/>
        <v>1148</v>
      </c>
      <c r="AX251" s="688">
        <f t="shared" ref="AX251:BG251" si="562">AX54+AX52</f>
        <v>289.90324345233449</v>
      </c>
      <c r="AY251" s="688">
        <f t="shared" si="562"/>
        <v>246.89502735299899</v>
      </c>
      <c r="AZ251" s="688">
        <f t="shared" si="562"/>
        <v>470.46091421792903</v>
      </c>
      <c r="BA251" s="688">
        <f t="shared" si="562"/>
        <v>228.62143948893262</v>
      </c>
      <c r="BB251" s="688">
        <f t="shared" si="562"/>
        <v>1235.8806245121946</v>
      </c>
      <c r="BC251" s="688">
        <f t="shared" si="562"/>
        <v>320.30809364754623</v>
      </c>
      <c r="BD251" s="688">
        <f t="shared" si="562"/>
        <v>267.59850232252086</v>
      </c>
      <c r="BE251" s="688">
        <f t="shared" si="562"/>
        <v>498.52775238006382</v>
      </c>
      <c r="BF251" s="688">
        <f t="shared" si="562"/>
        <v>248.27416969338992</v>
      </c>
      <c r="BG251" s="688">
        <f t="shared" si="562"/>
        <v>1334.7085180435199</v>
      </c>
      <c r="BH251" s="688">
        <f t="shared" ref="BH251:BQ251" si="563">BH54+BH52</f>
        <v>335.47713140968006</v>
      </c>
      <c r="BI251" s="688">
        <f t="shared" si="563"/>
        <v>278.44737526538404</v>
      </c>
      <c r="BJ251" s="688">
        <f t="shared" si="563"/>
        <v>515.55715140498194</v>
      </c>
      <c r="BK251" s="688">
        <f t="shared" si="563"/>
        <v>266.03120222512632</v>
      </c>
      <c r="BL251" s="688">
        <f t="shared" si="563"/>
        <v>1395.512860305173</v>
      </c>
      <c r="BM251" s="688">
        <f t="shared" si="563"/>
        <v>358.28461113398521</v>
      </c>
      <c r="BN251" s="688">
        <f t="shared" si="563"/>
        <v>300.30980882932045</v>
      </c>
      <c r="BO251" s="688">
        <f t="shared" si="563"/>
        <v>543.29163034640078</v>
      </c>
      <c r="BP251" s="688">
        <f t="shared" si="563"/>
        <v>290.53393389116775</v>
      </c>
      <c r="BQ251" s="688">
        <f t="shared" si="563"/>
        <v>1492.4199842008761</v>
      </c>
      <c r="BT251" s="690"/>
      <c r="BU251" s="690"/>
      <c r="BV251" s="690"/>
      <c r="BW251" s="690"/>
      <c r="BX251" s="690"/>
      <c r="BY251" s="690"/>
      <c r="BZ251" s="690"/>
      <c r="CA251" s="690"/>
      <c r="CD251"/>
      <c r="CE251"/>
      <c r="CF251"/>
      <c r="CG251"/>
      <c r="CH251"/>
      <c r="CI251"/>
      <c r="CJ251" s="691"/>
    </row>
    <row r="252" spans="1:88" s="688" customFormat="1" x14ac:dyDescent="0.2">
      <c r="C252" s="689" t="s">
        <v>500</v>
      </c>
      <c r="E252" s="692">
        <f>E152</f>
        <v>1.27</v>
      </c>
      <c r="F252" s="688">
        <f t="shared" ref="F252:AM252" si="564">F152</f>
        <v>1.395</v>
      </c>
      <c r="G252" s="688">
        <f t="shared" si="564"/>
        <v>1.5090000000000003</v>
      </c>
      <c r="H252" s="688">
        <f t="shared" si="564"/>
        <v>15.959</v>
      </c>
      <c r="I252" s="688">
        <f t="shared" si="564"/>
        <v>20.132999999999999</v>
      </c>
      <c r="J252" s="688">
        <f t="shared" si="564"/>
        <v>2.589</v>
      </c>
      <c r="K252" s="688">
        <f t="shared" si="564"/>
        <v>1.7049999999999996</v>
      </c>
      <c r="L252" s="688">
        <f t="shared" si="564"/>
        <v>1.5750000000000002</v>
      </c>
      <c r="M252" s="688">
        <f t="shared" si="564"/>
        <v>451.38900000000001</v>
      </c>
      <c r="N252" s="688">
        <f t="shared" si="564"/>
        <v>457.25799999999998</v>
      </c>
      <c r="O252" s="688">
        <f t="shared" si="564"/>
        <v>1.8779999999999999</v>
      </c>
      <c r="P252" s="688">
        <f t="shared" si="564"/>
        <v>1.9110000000000003</v>
      </c>
      <c r="Q252" s="688">
        <f t="shared" si="564"/>
        <v>2.3749999999999996</v>
      </c>
      <c r="R252" s="688">
        <f t="shared" si="564"/>
        <v>32.527000000000001</v>
      </c>
      <c r="S252" s="688">
        <f t="shared" si="564"/>
        <v>38.691000000000003</v>
      </c>
      <c r="T252" s="688">
        <f t="shared" si="564"/>
        <v>-40.238</v>
      </c>
      <c r="U252" s="688">
        <f>U152</f>
        <v>2.1000000000000014</v>
      </c>
      <c r="V252" s="688">
        <f>V152</f>
        <v>2.1799999999999997</v>
      </c>
      <c r="W252" s="688">
        <f t="shared" si="564"/>
        <v>2.171999999999997</v>
      </c>
      <c r="X252" s="688">
        <f t="shared" si="564"/>
        <v>-33.786000000000001</v>
      </c>
      <c r="Y252" s="688">
        <f t="shared" si="564"/>
        <v>160.084</v>
      </c>
      <c r="Z252" s="688">
        <f t="shared" si="564"/>
        <v>67.028999999999996</v>
      </c>
      <c r="AA252" s="688">
        <f t="shared" si="564"/>
        <v>2.3069999999999879</v>
      </c>
      <c r="AB252" s="688">
        <f t="shared" si="564"/>
        <v>2.3470000000000084</v>
      </c>
      <c r="AC252" s="688">
        <f t="shared" si="564"/>
        <v>231.767</v>
      </c>
      <c r="AD252" s="688">
        <f t="shared" si="564"/>
        <v>63.548000000000002</v>
      </c>
      <c r="AE252" s="688">
        <f t="shared" si="564"/>
        <v>113.02500000000001</v>
      </c>
      <c r="AF252" s="688">
        <f t="shared" si="564"/>
        <v>2.0660000000000025</v>
      </c>
      <c r="AG252" s="688">
        <f>AG152</f>
        <v>2.1589999999999918</v>
      </c>
      <c r="AH252" s="688">
        <f>AH152</f>
        <v>180.798</v>
      </c>
      <c r="AI252" s="688">
        <f>AI152</f>
        <v>1.411</v>
      </c>
      <c r="AJ252" s="688">
        <f>AJ152</f>
        <v>1.9979999999999998</v>
      </c>
      <c r="AK252" s="688">
        <f t="shared" si="564"/>
        <v>1.8890000000000002</v>
      </c>
      <c r="AL252" s="688">
        <f t="shared" si="564"/>
        <v>1.7130000000000001</v>
      </c>
      <c r="AM252" s="688">
        <f t="shared" si="564"/>
        <v>7.0110000000000001</v>
      </c>
      <c r="AN252" s="688">
        <f>AN152</f>
        <v>0</v>
      </c>
      <c r="AO252" s="688">
        <f t="shared" ref="AO252:AR252" si="565">AO152</f>
        <v>0</v>
      </c>
      <c r="AP252" s="688">
        <f t="shared" si="565"/>
        <v>0</v>
      </c>
      <c r="AQ252" s="688">
        <f t="shared" si="565"/>
        <v>-32.209000000000003</v>
      </c>
      <c r="AR252" s="688">
        <f t="shared" si="565"/>
        <v>-32.209000000000003</v>
      </c>
      <c r="AS252" s="688">
        <f>AS152</f>
        <v>-2.9430000000000001</v>
      </c>
      <c r="AT252" s="688">
        <f t="shared" ref="AT252:AW252" si="566">AT152</f>
        <v>0</v>
      </c>
      <c r="AU252" s="688">
        <f t="shared" si="566"/>
        <v>0</v>
      </c>
      <c r="AV252" s="688">
        <f t="shared" si="566"/>
        <v>-5.699999999999994E-2</v>
      </c>
      <c r="AW252" s="688">
        <f t="shared" si="566"/>
        <v>-3</v>
      </c>
      <c r="AX252" s="688">
        <f t="shared" ref="AX252:BG252" si="567">AX152</f>
        <v>19.25</v>
      </c>
      <c r="AY252" s="688">
        <f t="shared" si="567"/>
        <v>19.25</v>
      </c>
      <c r="AZ252" s="688">
        <f t="shared" si="567"/>
        <v>19.25</v>
      </c>
      <c r="BA252" s="688">
        <f t="shared" si="567"/>
        <v>19.25</v>
      </c>
      <c r="BB252" s="688">
        <f t="shared" si="567"/>
        <v>77</v>
      </c>
      <c r="BC252" s="688">
        <f t="shared" si="567"/>
        <v>19.25</v>
      </c>
      <c r="BD252" s="688">
        <f t="shared" si="567"/>
        <v>19.25</v>
      </c>
      <c r="BE252" s="688">
        <f t="shared" si="567"/>
        <v>19.25</v>
      </c>
      <c r="BF252" s="688">
        <f t="shared" si="567"/>
        <v>19.25</v>
      </c>
      <c r="BG252" s="688">
        <f t="shared" si="567"/>
        <v>77</v>
      </c>
      <c r="BH252" s="688">
        <f t="shared" ref="BH252:BQ252" si="568">BH152</f>
        <v>19.25</v>
      </c>
      <c r="BI252" s="688">
        <f t="shared" si="568"/>
        <v>19.25</v>
      </c>
      <c r="BJ252" s="688">
        <f t="shared" si="568"/>
        <v>19.25</v>
      </c>
      <c r="BK252" s="688">
        <f t="shared" si="568"/>
        <v>19.25</v>
      </c>
      <c r="BL252" s="688">
        <f t="shared" si="568"/>
        <v>77</v>
      </c>
      <c r="BM252" s="688">
        <f t="shared" si="568"/>
        <v>19.25</v>
      </c>
      <c r="BN252" s="688">
        <f t="shared" si="568"/>
        <v>19.25</v>
      </c>
      <c r="BO252" s="688">
        <f t="shared" si="568"/>
        <v>19.25</v>
      </c>
      <c r="BP252" s="688">
        <f t="shared" si="568"/>
        <v>19.25</v>
      </c>
      <c r="BQ252" s="688">
        <f t="shared" si="568"/>
        <v>77</v>
      </c>
      <c r="BT252" s="690"/>
      <c r="BU252" s="690"/>
      <c r="BV252" s="690"/>
      <c r="BW252" s="690"/>
      <c r="BX252" s="690"/>
      <c r="BY252" s="690"/>
      <c r="BZ252" s="690"/>
      <c r="CA252" s="690"/>
      <c r="CD252"/>
      <c r="CE252"/>
      <c r="CF252"/>
      <c r="CG252"/>
      <c r="CH252"/>
      <c r="CI252"/>
      <c r="CJ252" s="691"/>
    </row>
    <row r="253" spans="1:88" s="688" customFormat="1" x14ac:dyDescent="0.2">
      <c r="C253" s="689" t="s">
        <v>83</v>
      </c>
      <c r="E253" s="692">
        <f>-E151</f>
        <v>101.744</v>
      </c>
      <c r="F253" s="688">
        <f t="shared" ref="F253:AM253" si="569">-F151</f>
        <v>102.11500000000001</v>
      </c>
      <c r="G253" s="688">
        <f t="shared" si="569"/>
        <v>105.46099999999998</v>
      </c>
      <c r="H253" s="688">
        <f t="shared" si="569"/>
        <v>105.60200000000003</v>
      </c>
      <c r="I253" s="688">
        <f t="shared" si="569"/>
        <v>414.92200000000003</v>
      </c>
      <c r="J253" s="688">
        <f t="shared" si="569"/>
        <v>105.965</v>
      </c>
      <c r="K253" s="688">
        <f t="shared" si="569"/>
        <v>106.422</v>
      </c>
      <c r="L253" s="688">
        <f t="shared" si="569"/>
        <v>109.80000000000001</v>
      </c>
      <c r="M253" s="688">
        <f t="shared" si="569"/>
        <v>109.923</v>
      </c>
      <c r="N253" s="688">
        <f t="shared" si="569"/>
        <v>432.11</v>
      </c>
      <c r="O253" s="688">
        <f t="shared" si="569"/>
        <v>115.621</v>
      </c>
      <c r="P253" s="688">
        <f t="shared" si="569"/>
        <v>116.09400000000001</v>
      </c>
      <c r="Q253" s="688">
        <f t="shared" si="569"/>
        <v>119.655</v>
      </c>
      <c r="R253" s="688">
        <f t="shared" si="569"/>
        <v>123.38999999999999</v>
      </c>
      <c r="S253" s="688">
        <f t="shared" si="569"/>
        <v>474.76</v>
      </c>
      <c r="T253" s="688">
        <f t="shared" si="569"/>
        <v>119.16200000000001</v>
      </c>
      <c r="U253" s="688">
        <f>-U151</f>
        <v>119.34799999999998</v>
      </c>
      <c r="V253" s="688">
        <f>-V151</f>
        <v>124.05799999999999</v>
      </c>
      <c r="W253" s="688">
        <f t="shared" si="569"/>
        <v>124.18900000000002</v>
      </c>
      <c r="X253" s="688">
        <f t="shared" si="569"/>
        <v>486.75700000000001</v>
      </c>
      <c r="Y253" s="688">
        <f t="shared" si="569"/>
        <v>124.426</v>
      </c>
      <c r="Z253" s="688">
        <f t="shared" si="569"/>
        <v>125.96599999999999</v>
      </c>
      <c r="AA253" s="688">
        <f t="shared" si="569"/>
        <v>131.75600000000003</v>
      </c>
      <c r="AB253" s="688">
        <f t="shared" si="569"/>
        <v>131.89400000000001</v>
      </c>
      <c r="AC253" s="688">
        <f t="shared" si="569"/>
        <v>514.04200000000003</v>
      </c>
      <c r="AD253" s="688">
        <f t="shared" si="569"/>
        <v>132.03299999999999</v>
      </c>
      <c r="AE253" s="688">
        <f t="shared" si="569"/>
        <v>142.328</v>
      </c>
      <c r="AF253" s="688">
        <f t="shared" si="569"/>
        <v>143.22500000000002</v>
      </c>
      <c r="AG253" s="688">
        <f>-AG151</f>
        <v>143.82499999999993</v>
      </c>
      <c r="AH253" s="688">
        <f>-AH151</f>
        <v>561.41099999999994</v>
      </c>
      <c r="AI253" s="688">
        <f>-AI151</f>
        <v>144.02500000000001</v>
      </c>
      <c r="AJ253" s="688">
        <f>-AJ151</f>
        <v>153.99699999999999</v>
      </c>
      <c r="AK253" s="688">
        <f t="shared" si="569"/>
        <v>154.19499999999999</v>
      </c>
      <c r="AL253" s="688">
        <f t="shared" si="569"/>
        <v>154.35699999999997</v>
      </c>
      <c r="AM253" s="688">
        <f t="shared" si="569"/>
        <v>606.57399999999996</v>
      </c>
      <c r="AN253" s="688">
        <f>-AN151</f>
        <v>162.41</v>
      </c>
      <c r="AO253" s="688">
        <f t="shared" ref="AO253:AR253" si="570">-AO151</f>
        <v>173.49199999999999</v>
      </c>
      <c r="AP253" s="688">
        <f t="shared" si="570"/>
        <v>174.72500000000002</v>
      </c>
      <c r="AQ253" s="688">
        <f t="shared" si="570"/>
        <v>169.89399999999995</v>
      </c>
      <c r="AR253" s="688">
        <f t="shared" si="570"/>
        <v>680.52099999999996</v>
      </c>
      <c r="AS253" s="688">
        <f>-AS151</f>
        <v>172.45599999999999</v>
      </c>
      <c r="AT253" s="688">
        <f t="shared" ref="AT253:AW253" si="571">-AT151</f>
        <v>182.79400000000001</v>
      </c>
      <c r="AU253" s="688">
        <f t="shared" si="571"/>
        <v>182.79499999999996</v>
      </c>
      <c r="AV253" s="688">
        <f t="shared" si="571"/>
        <v>182.95500000000004</v>
      </c>
      <c r="AW253" s="688">
        <f t="shared" si="571"/>
        <v>721</v>
      </c>
      <c r="AX253" s="688">
        <f t="shared" ref="AX253:BG253" si="572">-AX151</f>
        <v>193.96103458685724</v>
      </c>
      <c r="AY253" s="688">
        <f t="shared" si="572"/>
        <v>194.12790873497173</v>
      </c>
      <c r="AZ253" s="688">
        <f t="shared" si="572"/>
        <v>194.29478288308624</v>
      </c>
      <c r="BA253" s="688">
        <f t="shared" si="572"/>
        <v>194.46165703120073</v>
      </c>
      <c r="BB253" s="688">
        <f t="shared" si="572"/>
        <v>776.84538323611594</v>
      </c>
      <c r="BC253" s="688">
        <f t="shared" si="572"/>
        <v>206.30624305007416</v>
      </c>
      <c r="BD253" s="688">
        <f t="shared" si="572"/>
        <v>206.48312964707551</v>
      </c>
      <c r="BE253" s="688">
        <f t="shared" si="572"/>
        <v>206.66001624407687</v>
      </c>
      <c r="BF253" s="688">
        <f t="shared" si="572"/>
        <v>206.83690284107826</v>
      </c>
      <c r="BG253" s="688">
        <f t="shared" si="572"/>
        <v>826.28629178230472</v>
      </c>
      <c r="BH253" s="688">
        <f t="shared" ref="BH253:BQ253" si="573">-BH151</f>
        <v>219.4346168043644</v>
      </c>
      <c r="BI253" s="688">
        <f t="shared" si="573"/>
        <v>219.62211659718585</v>
      </c>
      <c r="BJ253" s="688">
        <f t="shared" si="573"/>
        <v>219.80961639000731</v>
      </c>
      <c r="BK253" s="688">
        <f t="shared" si="573"/>
        <v>219.99711618282873</v>
      </c>
      <c r="BL253" s="688">
        <f t="shared" si="573"/>
        <v>878.86346597438614</v>
      </c>
      <c r="BM253" s="688">
        <f t="shared" si="573"/>
        <v>233.39569293418921</v>
      </c>
      <c r="BN253" s="688">
        <f t="shared" si="573"/>
        <v>233.59444271457994</v>
      </c>
      <c r="BO253" s="688">
        <f t="shared" si="573"/>
        <v>233.79319249497067</v>
      </c>
      <c r="BP253" s="688">
        <f t="shared" si="573"/>
        <v>233.99194227536142</v>
      </c>
      <c r="BQ253" s="688">
        <f t="shared" si="573"/>
        <v>934.77527041910128</v>
      </c>
      <c r="BT253" s="690"/>
      <c r="BU253" s="690"/>
      <c r="BV253" s="690"/>
      <c r="BW253" s="690"/>
      <c r="BX253" s="690"/>
      <c r="BY253" s="690"/>
      <c r="BZ253" s="690"/>
      <c r="CA253" s="690"/>
      <c r="CD253"/>
      <c r="CE253"/>
      <c r="CF253"/>
      <c r="CG253"/>
      <c r="CH253"/>
      <c r="CI253"/>
      <c r="CJ253" s="691"/>
    </row>
    <row r="254" spans="1:88" s="688" customFormat="1" hidden="1" x14ac:dyDescent="0.2">
      <c r="C254" s="689" t="s">
        <v>502</v>
      </c>
      <c r="E254" s="692">
        <f>E56-E51</f>
        <v>176.5090000000005</v>
      </c>
      <c r="F254" s="688">
        <f t="shared" ref="F254:AM254" si="574">F56-F51</f>
        <v>115.96099999999973</v>
      </c>
      <c r="G254" s="688">
        <f t="shared" si="574"/>
        <v>221.69799999999989</v>
      </c>
      <c r="H254" s="688">
        <f t="shared" si="574"/>
        <v>171.75200000000004</v>
      </c>
      <c r="I254" s="688">
        <f t="shared" si="574"/>
        <v>685.92000000000007</v>
      </c>
      <c r="J254" s="688">
        <f t="shared" si="574"/>
        <v>166.50199999999995</v>
      </c>
      <c r="K254" s="688">
        <f t="shared" si="574"/>
        <v>130.41400000000004</v>
      </c>
      <c r="L254" s="688">
        <f t="shared" si="574"/>
        <v>311.61000000000024</v>
      </c>
      <c r="M254" s="688">
        <f t="shared" si="574"/>
        <v>135.31099999999984</v>
      </c>
      <c r="N254" s="688">
        <f t="shared" si="574"/>
        <v>743.83700000000078</v>
      </c>
      <c r="O254" s="688">
        <f t="shared" si="574"/>
        <v>202.30500000000001</v>
      </c>
      <c r="P254" s="688">
        <f t="shared" si="574"/>
        <v>157.51999999999953</v>
      </c>
      <c r="Q254" s="688">
        <f t="shared" si="574"/>
        <v>340.1040000000001</v>
      </c>
      <c r="R254" s="688">
        <f t="shared" si="574"/>
        <v>134.85300000000021</v>
      </c>
      <c r="S254" s="688">
        <f t="shared" si="574"/>
        <v>834.78199999999913</v>
      </c>
      <c r="T254" s="688">
        <f t="shared" si="574"/>
        <v>183.76900000000029</v>
      </c>
      <c r="U254" s="688">
        <f>U56-U51</f>
        <v>183.08999999999958</v>
      </c>
      <c r="V254" s="688">
        <f>V56-V51</f>
        <v>381.24400000000014</v>
      </c>
      <c r="W254" s="688">
        <f t="shared" si="574"/>
        <v>140.12200000000132</v>
      </c>
      <c r="X254" s="688">
        <f t="shared" si="574"/>
        <v>888.22500000000093</v>
      </c>
      <c r="Y254" s="688">
        <f t="shared" si="574"/>
        <v>236.60599999999937</v>
      </c>
      <c r="Z254" s="688">
        <f t="shared" si="574"/>
        <v>196.90699999999987</v>
      </c>
      <c r="AA254" s="688">
        <f t="shared" si="574"/>
        <v>383.84000000000032</v>
      </c>
      <c r="AB254" s="688">
        <f t="shared" si="574"/>
        <v>151.07199999999909</v>
      </c>
      <c r="AC254" s="688">
        <f t="shared" si="574"/>
        <v>968.4250000000003</v>
      </c>
      <c r="AD254" s="688">
        <f t="shared" si="574"/>
        <v>261.22100000000023</v>
      </c>
      <c r="AE254" s="688">
        <f t="shared" si="574"/>
        <v>195.16400000000004</v>
      </c>
      <c r="AF254" s="688">
        <f t="shared" si="574"/>
        <v>368.58199999999994</v>
      </c>
      <c r="AG254" s="688">
        <f>AG56-AG51</f>
        <v>196.33899999999909</v>
      </c>
      <c r="AH254" s="688">
        <f>AH56-AH51</f>
        <v>1021.3059999999975</v>
      </c>
      <c r="AI254" s="688">
        <f>AI56-AI51</f>
        <v>231.21700000000004</v>
      </c>
      <c r="AJ254" s="688">
        <f>AJ56-AJ51</f>
        <v>196.93100000000024</v>
      </c>
      <c r="AK254" s="688">
        <f t="shared" si="574"/>
        <v>426.46299999999997</v>
      </c>
      <c r="AL254" s="688">
        <f t="shared" si="574"/>
        <v>209.02400000000114</v>
      </c>
      <c r="AM254" s="688">
        <f t="shared" si="574"/>
        <v>1063.6350000000002</v>
      </c>
      <c r="AN254" s="688">
        <f>AN56-AN51</f>
        <v>241.31200000000032</v>
      </c>
      <c r="AO254" s="688">
        <f t="shared" ref="AO254:AR254" si="575">AO56-AO51</f>
        <v>196.79499999999967</v>
      </c>
      <c r="AP254" s="688">
        <f t="shared" si="575"/>
        <v>457.79500000000007</v>
      </c>
      <c r="AQ254" s="688">
        <f t="shared" si="575"/>
        <v>227.47700000000037</v>
      </c>
      <c r="AR254" s="688">
        <f t="shared" si="575"/>
        <v>1123.3790000000031</v>
      </c>
      <c r="AS254" s="688">
        <f>AS56-AS51</f>
        <v>239.27700000000004</v>
      </c>
      <c r="AT254" s="688">
        <f t="shared" ref="AT254:AW254" si="576">AT56-AT51</f>
        <v>227.25600000000003</v>
      </c>
      <c r="AU254" s="688">
        <f t="shared" si="576"/>
        <v>492.14100000000002</v>
      </c>
      <c r="AV254" s="688">
        <f t="shared" si="576"/>
        <v>212.32600000000087</v>
      </c>
      <c r="AW254" s="688">
        <f t="shared" si="576"/>
        <v>1171</v>
      </c>
      <c r="AX254" s="688">
        <f t="shared" ref="AX254:BG254" si="577">AX56-AX51</f>
        <v>289.90324345233449</v>
      </c>
      <c r="AY254" s="688">
        <f t="shared" si="577"/>
        <v>246.89502735299899</v>
      </c>
      <c r="AZ254" s="688">
        <f t="shared" si="577"/>
        <v>470.46091421792903</v>
      </c>
      <c r="BA254" s="688">
        <f t="shared" si="577"/>
        <v>228.62143948893262</v>
      </c>
      <c r="BB254" s="688">
        <f t="shared" si="577"/>
        <v>1235.8806245121946</v>
      </c>
      <c r="BC254" s="688">
        <f t="shared" si="577"/>
        <v>320.30809364754623</v>
      </c>
      <c r="BD254" s="688">
        <f t="shared" si="577"/>
        <v>267.59850232252086</v>
      </c>
      <c r="BE254" s="688">
        <f t="shared" si="577"/>
        <v>498.52775238006382</v>
      </c>
      <c r="BF254" s="688">
        <f t="shared" si="577"/>
        <v>248.27416969338992</v>
      </c>
      <c r="BG254" s="688">
        <f t="shared" si="577"/>
        <v>1334.7085180435199</v>
      </c>
      <c r="BH254" s="688">
        <f t="shared" ref="BH254:BQ254" si="578">BH56-BH51</f>
        <v>335.47713140968006</v>
      </c>
      <c r="BI254" s="688">
        <f t="shared" si="578"/>
        <v>278.44737526538404</v>
      </c>
      <c r="BJ254" s="688">
        <f t="shared" si="578"/>
        <v>515.55715140498194</v>
      </c>
      <c r="BK254" s="688">
        <f t="shared" si="578"/>
        <v>266.03120222512632</v>
      </c>
      <c r="BL254" s="688">
        <f t="shared" si="578"/>
        <v>1395.512860305173</v>
      </c>
      <c r="BM254" s="688">
        <f t="shared" si="578"/>
        <v>358.28461113398521</v>
      </c>
      <c r="BN254" s="688">
        <f t="shared" si="578"/>
        <v>300.30980882932045</v>
      </c>
      <c r="BO254" s="688">
        <f t="shared" si="578"/>
        <v>543.29163034640078</v>
      </c>
      <c r="BP254" s="688">
        <f t="shared" si="578"/>
        <v>290.53393389116775</v>
      </c>
      <c r="BQ254" s="688">
        <f t="shared" si="578"/>
        <v>1492.4199842008761</v>
      </c>
      <c r="BT254" s="690"/>
      <c r="BU254" s="690"/>
      <c r="BV254" s="690"/>
      <c r="BW254" s="690"/>
      <c r="BX254" s="690"/>
      <c r="BY254" s="690"/>
      <c r="BZ254" s="690"/>
      <c r="CA254" s="690"/>
      <c r="CD254"/>
      <c r="CE254"/>
      <c r="CF254"/>
      <c r="CG254"/>
      <c r="CH254"/>
      <c r="CI254"/>
      <c r="CJ254" s="691"/>
    </row>
    <row r="255" spans="1:88" s="56" customFormat="1" hidden="1" x14ac:dyDescent="0.2">
      <c r="C255" s="695" t="s">
        <v>501</v>
      </c>
      <c r="E255" s="696">
        <f t="shared" ref="E255:AF255" si="579">E254/E60</f>
        <v>0.38712189002351233</v>
      </c>
      <c r="F255" s="56">
        <f t="shared" si="579"/>
        <v>0.25387397485802299</v>
      </c>
      <c r="G255" s="56">
        <f t="shared" si="579"/>
        <v>0.48463558004866053</v>
      </c>
      <c r="H255" s="56">
        <f t="shared" si="579"/>
        <v>0.37471228758369574</v>
      </c>
      <c r="I255" s="56">
        <f t="shared" si="579"/>
        <v>1.5004626601536952</v>
      </c>
      <c r="J255" s="56">
        <f t="shared" si="579"/>
        <v>0.36219944876734012</v>
      </c>
      <c r="K255" s="56">
        <f t="shared" si="579"/>
        <v>0.28324269381797973</v>
      </c>
      <c r="L255" s="56">
        <f t="shared" si="579"/>
        <v>0.67445278224488658</v>
      </c>
      <c r="M255" s="56">
        <f t="shared" si="579"/>
        <v>0.28708640534662883</v>
      </c>
      <c r="N255" s="56">
        <f t="shared" si="579"/>
        <v>1.6052038127628736</v>
      </c>
      <c r="O255" s="56">
        <f t="shared" si="579"/>
        <v>0.41772575319894034</v>
      </c>
      <c r="P255" s="56">
        <f t="shared" si="579"/>
        <v>0.32462219804179682</v>
      </c>
      <c r="Q255" s="56">
        <f t="shared" si="579"/>
        <v>0.69995513424738753</v>
      </c>
      <c r="R255" s="56">
        <f t="shared" si="579"/>
        <v>0.27691066159333583</v>
      </c>
      <c r="S255" s="56">
        <f t="shared" si="579"/>
        <v>1.7190202114844046</v>
      </c>
      <c r="T255" s="56">
        <f t="shared" si="579"/>
        <v>0.3765796780704726</v>
      </c>
      <c r="U255" s="56">
        <f t="shared" si="579"/>
        <v>0.37517135673552271</v>
      </c>
      <c r="V255" s="56">
        <f t="shared" si="579"/>
        <v>0.78031348116370403</v>
      </c>
      <c r="W255" s="56">
        <f t="shared" si="579"/>
        <v>0.28646838507082145</v>
      </c>
      <c r="X255" s="56">
        <f t="shared" si="579"/>
        <v>1.818515910030835</v>
      </c>
      <c r="Y255" s="56">
        <f t="shared" si="579"/>
        <v>0.48234668145336251</v>
      </c>
      <c r="Z255" s="56">
        <f t="shared" si="579"/>
        <v>0.39536700158221466</v>
      </c>
      <c r="AA255" s="56">
        <f t="shared" si="579"/>
        <v>0.76977224095090513</v>
      </c>
      <c r="AB255" s="56">
        <f t="shared" si="579"/>
        <v>0.30885479702986302</v>
      </c>
      <c r="AC255" s="56">
        <f t="shared" si="579"/>
        <v>1.9503778205634286</v>
      </c>
      <c r="AD255" s="56">
        <f t="shared" si="579"/>
        <v>0.52270753542799786</v>
      </c>
      <c r="AE255" s="56">
        <f t="shared" si="579"/>
        <v>0.38764857306298872</v>
      </c>
      <c r="AF255" s="56">
        <f t="shared" si="579"/>
        <v>0.72789786023915537</v>
      </c>
      <c r="AG255" s="56">
        <f>AG254/AG60</f>
        <v>0.38740999883582861</v>
      </c>
      <c r="AH255" s="56">
        <f>AH254/AH60</f>
        <v>2.0259304883588483</v>
      </c>
      <c r="AI255" s="56">
        <f>AI254/AI60</f>
        <v>0.45569607779374183</v>
      </c>
      <c r="AJ255" s="56">
        <f>AJ254/AJ60</f>
        <v>0.387602986966466</v>
      </c>
      <c r="AK255" s="56">
        <f t="shared" ref="AK255:BB255" si="580">AK254/AK60</f>
        <v>0.8387890493620519</v>
      </c>
      <c r="AL255" s="56">
        <f t="shared" si="580"/>
        <v>0.41086767648573752</v>
      </c>
      <c r="AM255" s="56">
        <f t="shared" si="580"/>
        <v>2.0930774861856714</v>
      </c>
      <c r="AN255" s="56">
        <f>AN254/AN60</f>
        <v>0.47395070215064389</v>
      </c>
      <c r="AO255" s="56">
        <f t="shared" si="580"/>
        <v>0.38625880782743466</v>
      </c>
      <c r="AP255" s="56">
        <f>AP254/AP60</f>
        <v>0.8984017771986359</v>
      </c>
      <c r="AQ255" s="56">
        <f>AQ254/AQ60</f>
        <v>0.44654028789547423</v>
      </c>
      <c r="AR255" s="56">
        <f>AR254/AR60</f>
        <v>2.2050170276662837</v>
      </c>
      <c r="AS255" s="56">
        <f>AS254/AS60</f>
        <v>0.4703011553263336</v>
      </c>
      <c r="AT255" s="56">
        <f t="shared" ref="AT255" si="581">AT254/AT60</f>
        <v>0.44635705657635016</v>
      </c>
      <c r="AU255" s="56">
        <f>AU254/AU60</f>
        <v>0.96641871644522648</v>
      </c>
      <c r="AV255" s="56">
        <f>AV254/AV60</f>
        <v>0.41714341846758524</v>
      </c>
      <c r="AW255" s="56">
        <f>AW254/AW60</f>
        <v>2.300589390962672</v>
      </c>
      <c r="AX255" s="56">
        <f t="shared" si="580"/>
        <v>0.57035722632151242</v>
      </c>
      <c r="AY255" s="56">
        <f t="shared" si="580"/>
        <v>0.48532507794399249</v>
      </c>
      <c r="AZ255" s="56">
        <f t="shared" si="580"/>
        <v>0.92399745480345574</v>
      </c>
      <c r="BA255" s="56">
        <f t="shared" si="580"/>
        <v>0.44863312717210369</v>
      </c>
      <c r="BB255" s="56">
        <f t="shared" si="580"/>
        <v>2.4283444633435414</v>
      </c>
      <c r="BC255" s="56">
        <f t="shared" ref="BC255:BL255" si="582">BC254/BC60</f>
        <v>0.6280146481878911</v>
      </c>
      <c r="BD255" s="56">
        <f t="shared" si="582"/>
        <v>0.52421969765985421</v>
      </c>
      <c r="BE255" s="56">
        <f t="shared" si="582"/>
        <v>0.97576921453719234</v>
      </c>
      <c r="BF255" s="56">
        <f t="shared" si="582"/>
        <v>0.48553187156094207</v>
      </c>
      <c r="BG255" s="56">
        <f t="shared" si="582"/>
        <v>2.6135457508317019</v>
      </c>
      <c r="BH255" s="56">
        <f t="shared" si="582"/>
        <v>0.65550781962415716</v>
      </c>
      <c r="BI255" s="56">
        <f t="shared" si="582"/>
        <v>0.54360964335227335</v>
      </c>
      <c r="BJ255" s="56">
        <f t="shared" si="582"/>
        <v>1.0056577936671265</v>
      </c>
      <c r="BK255" s="56">
        <f t="shared" si="582"/>
        <v>0.51848439009071434</v>
      </c>
      <c r="BL255" s="56">
        <f t="shared" si="582"/>
        <v>2.7232813983234103</v>
      </c>
      <c r="BM255" s="56">
        <f t="shared" ref="BM255:BQ255" si="583">BM254/BM60</f>
        <v>0.69768804195728285</v>
      </c>
      <c r="BN255" s="56">
        <f t="shared" si="583"/>
        <v>0.584296080151263</v>
      </c>
      <c r="BO255" s="56">
        <f t="shared" si="583"/>
        <v>1.0561536761582662</v>
      </c>
      <c r="BP255" s="56">
        <f t="shared" si="583"/>
        <v>0.56431542840686288</v>
      </c>
      <c r="BQ255" s="56">
        <f t="shared" si="583"/>
        <v>2.9024837329591429</v>
      </c>
      <c r="BT255" s="658"/>
      <c r="BU255" s="658"/>
      <c r="BV255" s="658"/>
      <c r="BW255" s="658"/>
      <c r="BX255" s="658"/>
      <c r="BY255" s="658"/>
      <c r="BZ255" s="658"/>
      <c r="CA255" s="658"/>
      <c r="CD255"/>
      <c r="CE255"/>
      <c r="CF255"/>
      <c r="CG255"/>
      <c r="CH255"/>
      <c r="CI255"/>
      <c r="CJ255" s="154"/>
    </row>
    <row r="256" spans="1:88" s="56" customFormat="1" x14ac:dyDescent="0.2">
      <c r="C256" s="695" t="s">
        <v>503</v>
      </c>
      <c r="E256" s="35">
        <f>$I$256</f>
        <v>0.38999999999999996</v>
      </c>
      <c r="F256" s="35">
        <f>$I$256</f>
        <v>0.38999999999999996</v>
      </c>
      <c r="G256" s="35">
        <f>$I$256</f>
        <v>0.38999999999999996</v>
      </c>
      <c r="H256" s="35">
        <f>$I$256</f>
        <v>0.38999999999999996</v>
      </c>
      <c r="I256" s="698">
        <f>(35%+4%)</f>
        <v>0.38999999999999996</v>
      </c>
      <c r="J256" s="35">
        <f>$N$256</f>
        <v>0.38899999999999996</v>
      </c>
      <c r="K256" s="35">
        <f>$N$256</f>
        <v>0.38899999999999996</v>
      </c>
      <c r="L256" s="35">
        <f>$N$256</f>
        <v>0.38899999999999996</v>
      </c>
      <c r="M256" s="35">
        <f>$N$256</f>
        <v>0.38899999999999996</v>
      </c>
      <c r="N256" s="698">
        <f>(35%+3.9%)</f>
        <v>0.38899999999999996</v>
      </c>
      <c r="O256" s="35">
        <f>N256</f>
        <v>0.38899999999999996</v>
      </c>
      <c r="P256" s="35">
        <f>N256</f>
        <v>0.38899999999999996</v>
      </c>
      <c r="Q256" s="35">
        <f>N256</f>
        <v>0.38899999999999996</v>
      </c>
      <c r="R256" s="35">
        <f>R116</f>
        <v>0.37932967914696952</v>
      </c>
      <c r="S256" s="35">
        <f t="shared" ref="S256:AM256" si="584">S116</f>
        <v>0.37213212583246147</v>
      </c>
      <c r="T256" s="35">
        <f t="shared" si="584"/>
        <v>0.30717882798961865</v>
      </c>
      <c r="U256" s="35">
        <f>S256</f>
        <v>0.37213212583246147</v>
      </c>
      <c r="V256" s="35">
        <f>S256</f>
        <v>0.37213212583246147</v>
      </c>
      <c r="W256" s="35">
        <f t="shared" si="584"/>
        <v>0.36496555748928949</v>
      </c>
      <c r="X256" s="35">
        <f t="shared" si="584"/>
        <v>0.34830282802681778</v>
      </c>
      <c r="Y256" s="35">
        <f t="shared" si="584"/>
        <v>0.35325172697662832</v>
      </c>
      <c r="Z256" s="35">
        <f t="shared" si="584"/>
        <v>0.36136385228709467</v>
      </c>
      <c r="AA256" s="35">
        <f t="shared" si="584"/>
        <v>0.36032172880781038</v>
      </c>
      <c r="AB256" s="35">
        <f t="shared" si="584"/>
        <v>0.36835651684490001</v>
      </c>
      <c r="AC256" s="35">
        <f t="shared" si="584"/>
        <v>0.35996004542861532</v>
      </c>
      <c r="AD256" s="35">
        <f t="shared" si="584"/>
        <v>0.36197395257075032</v>
      </c>
      <c r="AE256" s="35">
        <f t="shared" si="584"/>
        <v>0.37800111669458397</v>
      </c>
      <c r="AF256" s="35">
        <f t="shared" si="584"/>
        <v>0.362091520175014</v>
      </c>
      <c r="AG256" s="35">
        <f>AG116</f>
        <v>0.33357770704024325</v>
      </c>
      <c r="AH256" s="35">
        <f>AH116</f>
        <v>0.3599185362357783</v>
      </c>
      <c r="AI256" s="35">
        <f>AI116</f>
        <v>0.37482173768756777</v>
      </c>
      <c r="AJ256" s="35">
        <f>AJ116</f>
        <v>0.37352764208572536</v>
      </c>
      <c r="AK256" s="35">
        <f t="shared" si="584"/>
        <v>0.36770015306161696</v>
      </c>
      <c r="AL256" s="35">
        <f t="shared" si="584"/>
        <v>0.36254053662932456</v>
      </c>
      <c r="AM256" s="35">
        <f t="shared" si="584"/>
        <v>0.36887840964392615</v>
      </c>
      <c r="AN256" s="35">
        <f>AN116</f>
        <v>0.36051663308570259</v>
      </c>
      <c r="AO256" s="35">
        <f t="shared" ref="AO256:AR256" si="585">AO116</f>
        <v>0.36443577158576052</v>
      </c>
      <c r="AP256" s="35">
        <f t="shared" si="585"/>
        <v>0.35111810170130536</v>
      </c>
      <c r="AQ256" s="35">
        <f t="shared" si="585"/>
        <v>0.34114941099679802</v>
      </c>
      <c r="AR256" s="35">
        <f t="shared" si="585"/>
        <v>0.35352778414755209</v>
      </c>
      <c r="AS256" s="35">
        <f>AS116</f>
        <v>0.34149425691102597</v>
      </c>
      <c r="AT256" s="35">
        <f t="shared" ref="AT256:AW256" si="586">AT116</f>
        <v>0.32685094442617768</v>
      </c>
      <c r="AU256" s="35">
        <f t="shared" si="586"/>
        <v>0.30409281177936259</v>
      </c>
      <c r="AV256" s="35">
        <f t="shared" si="586"/>
        <v>0.41217592721792634</v>
      </c>
      <c r="AW256" s="35">
        <f t="shared" si="586"/>
        <v>0.33560371517027865</v>
      </c>
      <c r="AX256" s="35">
        <f t="shared" ref="AX256:BG256" si="587">AX116</f>
        <v>0.22</v>
      </c>
      <c r="AY256" s="35">
        <f t="shared" si="587"/>
        <v>0.22</v>
      </c>
      <c r="AZ256" s="35">
        <f t="shared" si="587"/>
        <v>0.22</v>
      </c>
      <c r="BA256" s="35">
        <f t="shared" si="587"/>
        <v>0.22</v>
      </c>
      <c r="BB256" s="35">
        <f t="shared" si="587"/>
        <v>0.22</v>
      </c>
      <c r="BC256" s="35">
        <f t="shared" si="587"/>
        <v>0.22</v>
      </c>
      <c r="BD256" s="35">
        <f t="shared" si="587"/>
        <v>0.22</v>
      </c>
      <c r="BE256" s="35">
        <f t="shared" si="587"/>
        <v>0.22</v>
      </c>
      <c r="BF256" s="35">
        <f t="shared" si="587"/>
        <v>0.22</v>
      </c>
      <c r="BG256" s="35">
        <f t="shared" si="587"/>
        <v>0.22</v>
      </c>
      <c r="BH256" s="35">
        <f t="shared" ref="BH256:BQ256" si="588">BH116</f>
        <v>0.22</v>
      </c>
      <c r="BI256" s="35">
        <f t="shared" si="588"/>
        <v>0.22</v>
      </c>
      <c r="BJ256" s="35">
        <f t="shared" si="588"/>
        <v>0.22</v>
      </c>
      <c r="BK256" s="35">
        <f t="shared" si="588"/>
        <v>0.22</v>
      </c>
      <c r="BL256" s="35">
        <f t="shared" si="588"/>
        <v>0.22</v>
      </c>
      <c r="BM256" s="35">
        <f t="shared" si="588"/>
        <v>0.22</v>
      </c>
      <c r="BN256" s="35">
        <f t="shared" si="588"/>
        <v>0.22</v>
      </c>
      <c r="BO256" s="35">
        <f t="shared" si="588"/>
        <v>0.22</v>
      </c>
      <c r="BP256" s="35">
        <f t="shared" si="588"/>
        <v>0.22</v>
      </c>
      <c r="BQ256" s="35">
        <f t="shared" si="588"/>
        <v>0.22</v>
      </c>
      <c r="BT256" s="658"/>
      <c r="BU256" s="658"/>
      <c r="BV256" s="658"/>
      <c r="BW256" s="658"/>
      <c r="BX256" s="658"/>
      <c r="BY256" s="658"/>
      <c r="BZ256" s="658"/>
      <c r="CA256" s="658"/>
      <c r="CD256"/>
      <c r="CE256"/>
      <c r="CF256"/>
      <c r="CG256"/>
      <c r="CH256"/>
      <c r="CI256"/>
      <c r="CJ256" s="154"/>
    </row>
    <row r="257" spans="3:88" s="688" customFormat="1" x14ac:dyDescent="0.2">
      <c r="C257" s="689" t="s">
        <v>504</v>
      </c>
      <c r="E257" s="692">
        <f>E55+E51</f>
        <v>0</v>
      </c>
      <c r="F257" s="688">
        <f t="shared" ref="F257:AM257" si="589">F55+F51</f>
        <v>0</v>
      </c>
      <c r="G257" s="688">
        <f t="shared" si="589"/>
        <v>0</v>
      </c>
      <c r="H257" s="688">
        <f t="shared" si="589"/>
        <v>0</v>
      </c>
      <c r="I257" s="699">
        <f t="shared" si="589"/>
        <v>0</v>
      </c>
      <c r="J257" s="688">
        <f t="shared" si="589"/>
        <v>0</v>
      </c>
      <c r="K257" s="688">
        <f t="shared" si="589"/>
        <v>0</v>
      </c>
      <c r="L257" s="688">
        <f t="shared" si="589"/>
        <v>0</v>
      </c>
      <c r="M257" s="688">
        <f t="shared" si="589"/>
        <v>0</v>
      </c>
      <c r="N257" s="699">
        <f t="shared" si="589"/>
        <v>0</v>
      </c>
      <c r="O257" s="688">
        <f t="shared" si="589"/>
        <v>0</v>
      </c>
      <c r="P257" s="688">
        <f t="shared" si="589"/>
        <v>0</v>
      </c>
      <c r="Q257" s="688">
        <f t="shared" si="589"/>
        <v>0</v>
      </c>
      <c r="R257" s="688">
        <f t="shared" si="589"/>
        <v>0</v>
      </c>
      <c r="S257" s="688">
        <f t="shared" si="589"/>
        <v>0</v>
      </c>
      <c r="T257" s="688">
        <f t="shared" si="589"/>
        <v>0.124</v>
      </c>
      <c r="U257" s="688">
        <f>U55+U51</f>
        <v>0</v>
      </c>
      <c r="V257" s="688">
        <f>V55+V51</f>
        <v>-16.943999999999999</v>
      </c>
      <c r="W257" s="688">
        <f t="shared" si="589"/>
        <v>-0.12400000000000208</v>
      </c>
      <c r="X257" s="688">
        <f t="shared" si="589"/>
        <v>-16.943999999999999</v>
      </c>
      <c r="Y257" s="688">
        <f t="shared" si="589"/>
        <v>0</v>
      </c>
      <c r="Z257" s="688">
        <f t="shared" si="589"/>
        <v>0</v>
      </c>
      <c r="AA257" s="688">
        <f t="shared" si="589"/>
        <v>19.52</v>
      </c>
      <c r="AB257" s="688">
        <f t="shared" si="589"/>
        <v>0.67100000000000115</v>
      </c>
      <c r="AC257" s="688">
        <f t="shared" si="589"/>
        <v>20.190999999999999</v>
      </c>
      <c r="AD257" s="688">
        <f t="shared" si="589"/>
        <v>0</v>
      </c>
      <c r="AE257" s="688">
        <f t="shared" si="589"/>
        <v>0</v>
      </c>
      <c r="AF257" s="688">
        <f t="shared" si="589"/>
        <v>0</v>
      </c>
      <c r="AG257" s="688">
        <f>AG55+AG51</f>
        <v>0</v>
      </c>
      <c r="AH257" s="688">
        <f>AH55+AH51</f>
        <v>0</v>
      </c>
      <c r="AI257" s="688">
        <f>AI55+AI51</f>
        <v>79.150999999999996</v>
      </c>
      <c r="AJ257" s="688">
        <f>AJ55+AJ51</f>
        <v>0</v>
      </c>
      <c r="AK257" s="688">
        <f t="shared" si="589"/>
        <v>0</v>
      </c>
      <c r="AL257" s="688">
        <f t="shared" si="589"/>
        <v>-9.9999999999056399E-4</v>
      </c>
      <c r="AM257" s="688">
        <f t="shared" si="589"/>
        <v>79.150000000000006</v>
      </c>
      <c r="AN257" s="688">
        <f>AN55+AN51</f>
        <v>0</v>
      </c>
      <c r="AO257" s="688">
        <f t="shared" ref="AO257:AR257" si="590">AO55+AO51</f>
        <v>0</v>
      </c>
      <c r="AP257" s="688">
        <f t="shared" si="590"/>
        <v>0</v>
      </c>
      <c r="AQ257" s="688">
        <f t="shared" si="590"/>
        <v>0</v>
      </c>
      <c r="AR257" s="688">
        <f t="shared" si="590"/>
        <v>0</v>
      </c>
      <c r="AS257" s="688">
        <f>AS55+AS51</f>
        <v>0</v>
      </c>
      <c r="AT257" s="688">
        <f t="shared" ref="AT257:AW257" si="591">AT55+AT51</f>
        <v>0</v>
      </c>
      <c r="AU257" s="688">
        <f t="shared" si="591"/>
        <v>0</v>
      </c>
      <c r="AV257" s="688">
        <f t="shared" si="591"/>
        <v>23</v>
      </c>
      <c r="AW257" s="688">
        <f t="shared" si="591"/>
        <v>23</v>
      </c>
      <c r="AX257" s="688">
        <f t="shared" ref="AX257:BG257" si="592">AX55+AX51</f>
        <v>0</v>
      </c>
      <c r="AY257" s="688">
        <f t="shared" si="592"/>
        <v>0</v>
      </c>
      <c r="AZ257" s="688">
        <f t="shared" si="592"/>
        <v>0</v>
      </c>
      <c r="BA257" s="688">
        <f t="shared" si="592"/>
        <v>0</v>
      </c>
      <c r="BB257" s="688">
        <f t="shared" si="592"/>
        <v>0</v>
      </c>
      <c r="BC257" s="688">
        <f t="shared" si="592"/>
        <v>0</v>
      </c>
      <c r="BD257" s="688">
        <f t="shared" si="592"/>
        <v>0</v>
      </c>
      <c r="BE257" s="688">
        <f t="shared" si="592"/>
        <v>0</v>
      </c>
      <c r="BF257" s="688">
        <f t="shared" si="592"/>
        <v>0</v>
      </c>
      <c r="BG257" s="688">
        <f t="shared" si="592"/>
        <v>0</v>
      </c>
      <c r="BH257" s="688">
        <f t="shared" ref="BH257:BQ257" si="593">BH55+BH51</f>
        <v>0</v>
      </c>
      <c r="BI257" s="688">
        <f t="shared" si="593"/>
        <v>0</v>
      </c>
      <c r="BJ257" s="688">
        <f t="shared" si="593"/>
        <v>0</v>
      </c>
      <c r="BK257" s="688">
        <f t="shared" si="593"/>
        <v>0</v>
      </c>
      <c r="BL257" s="688">
        <f t="shared" si="593"/>
        <v>0</v>
      </c>
      <c r="BM257" s="688">
        <f t="shared" si="593"/>
        <v>0</v>
      </c>
      <c r="BN257" s="688">
        <f t="shared" si="593"/>
        <v>0</v>
      </c>
      <c r="BO257" s="688">
        <f t="shared" si="593"/>
        <v>0</v>
      </c>
      <c r="BP257" s="688">
        <f t="shared" si="593"/>
        <v>0</v>
      </c>
      <c r="BQ257" s="688">
        <f t="shared" si="593"/>
        <v>0</v>
      </c>
      <c r="BT257" s="690"/>
      <c r="BU257" s="690"/>
      <c r="BV257" s="690"/>
      <c r="BW257" s="690"/>
      <c r="BX257" s="690"/>
      <c r="BY257" s="690"/>
      <c r="BZ257" s="690"/>
      <c r="CA257" s="690"/>
      <c r="CD257"/>
      <c r="CE257"/>
      <c r="CF257"/>
      <c r="CG257"/>
      <c r="CH257"/>
      <c r="CI257"/>
      <c r="CJ257" s="691"/>
    </row>
    <row r="258" spans="3:88" x14ac:dyDescent="0.2">
      <c r="CJ258"/>
    </row>
  </sheetData>
  <phoneticPr fontId="45" type="noConversion"/>
  <conditionalFormatting sqref="C166">
    <cfRule type="cellIs" dxfId="0" priority="1" stopIfTrue="1" operator="equal">
      <formula>0</formula>
    </cfRule>
  </conditionalFormatting>
  <printOptions horizontalCentered="1"/>
  <pageMargins left="0.25" right="0.17" top="0.5" bottom="0.5" header="0" footer="0"/>
  <pageSetup fitToHeight="4" orientation="landscape" r:id="rId1"/>
  <headerFooter alignWithMargins="0"/>
  <rowBreaks count="4" manualBreakCount="4">
    <brk id="68" max="39" man="1"/>
    <brk id="119" max="39" man="1"/>
    <brk id="163" max="39" man="1"/>
    <brk id="213" max="39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autoPageBreaks="0" fitToPage="1"/>
  </sheetPr>
  <dimension ref="A1:ED297"/>
  <sheetViews>
    <sheetView zoomScale="80" zoomScaleNormal="80" workbookViewId="0">
      <pane xSplit="4" ySplit="5" topLeftCell="I6" activePane="bottomRight" state="frozen"/>
      <selection activeCell="E6" sqref="E6"/>
      <selection pane="topRight" activeCell="E6" sqref="E6"/>
      <selection pane="bottomLeft" activeCell="E6" sqref="E6"/>
      <selection pane="bottomRight" activeCell="I6" sqref="I6"/>
    </sheetView>
  </sheetViews>
  <sheetFormatPr defaultRowHeight="12.75" outlineLevelCol="1" x14ac:dyDescent="0.2"/>
  <cols>
    <col min="1" max="2" width="2.7109375" customWidth="1"/>
    <col min="3" max="3" width="41.42578125" customWidth="1"/>
    <col min="4" max="4" width="3.5703125" customWidth="1"/>
    <col min="5" max="8" width="9" hidden="1" customWidth="1" outlineLevel="1"/>
    <col min="9" max="9" width="9" customWidth="1" collapsed="1"/>
    <col min="10" max="13" width="9" hidden="1" customWidth="1" outlineLevel="1"/>
    <col min="14" max="14" width="9" customWidth="1" collapsed="1"/>
    <col min="15" max="18" width="9" hidden="1" customWidth="1" outlineLevel="1"/>
    <col min="19" max="19" width="9" customWidth="1" collapsed="1"/>
    <col min="20" max="23" width="9" hidden="1" customWidth="1" outlineLevel="1"/>
    <col min="24" max="24" width="9" customWidth="1" collapsed="1"/>
    <col min="25" max="28" width="9" hidden="1" customWidth="1" outlineLevel="1"/>
    <col min="29" max="29" width="9" customWidth="1" collapsed="1"/>
    <col min="30" max="33" width="9" hidden="1" customWidth="1" outlineLevel="1"/>
    <col min="34" max="34" width="9.42578125" customWidth="1" collapsed="1"/>
    <col min="35" max="38" width="9" hidden="1" customWidth="1" outlineLevel="1"/>
    <col min="39" max="39" width="9" customWidth="1" collapsed="1"/>
    <col min="40" max="43" width="9" hidden="1" customWidth="1" outlineLevel="1"/>
    <col min="44" max="44" width="9" customWidth="1" collapsed="1"/>
    <col min="45" max="48" width="9" hidden="1" customWidth="1" outlineLevel="1"/>
    <col min="49" max="49" width="9" customWidth="1" collapsed="1"/>
    <col min="50" max="53" width="9" hidden="1" customWidth="1" outlineLevel="1"/>
    <col min="54" max="54" width="9" customWidth="1" collapsed="1"/>
    <col min="55" max="58" width="9" hidden="1" customWidth="1" outlineLevel="1"/>
    <col min="59" max="59" width="9" customWidth="1" collapsed="1"/>
    <col min="60" max="63" width="9" hidden="1" customWidth="1" outlineLevel="1"/>
    <col min="64" max="64" width="9" customWidth="1" collapsed="1"/>
    <col min="65" max="68" width="9" hidden="1" customWidth="1" outlineLevel="1"/>
    <col min="69" max="69" width="9" customWidth="1" collapsed="1"/>
    <col min="70" max="70" width="6.28515625" bestFit="1" customWidth="1"/>
    <col min="72" max="72" width="22.42578125" bestFit="1" customWidth="1"/>
    <col min="74" max="74" width="12.42578125" bestFit="1" customWidth="1"/>
    <col min="75" max="76" width="9.28515625" bestFit="1" customWidth="1"/>
    <col min="77" max="77" width="10.85546875" bestFit="1" customWidth="1"/>
    <col min="78" max="78" width="9.28515625" bestFit="1" customWidth="1"/>
    <col min="79" max="79" width="11.7109375" bestFit="1" customWidth="1"/>
    <col min="80" max="80" width="9.28515625" bestFit="1" customWidth="1"/>
    <col min="90" max="92" width="11.42578125" customWidth="1"/>
    <col min="93" max="93" width="9.7109375" customWidth="1"/>
    <col min="94" max="94" width="11.42578125" customWidth="1"/>
    <col min="95" max="96" width="12.42578125" customWidth="1"/>
    <col min="97" max="97" width="11.5703125" customWidth="1"/>
    <col min="98" max="98" width="11.28515625" customWidth="1"/>
    <col min="99" max="99" width="11.5703125" customWidth="1"/>
    <col min="100" max="101" width="11.42578125" customWidth="1"/>
    <col min="102" max="104" width="9.7109375" customWidth="1"/>
    <col min="119" max="119" width="10.28515625" bestFit="1" customWidth="1"/>
    <col min="128" max="131" width="9.140625" customWidth="1"/>
  </cols>
  <sheetData>
    <row r="1" spans="1:104" ht="15" customHeight="1" x14ac:dyDescent="0.25">
      <c r="A1" s="2"/>
      <c r="B1" s="2"/>
      <c r="C1" s="2"/>
      <c r="D1" s="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</row>
    <row r="2" spans="1:104" ht="15" customHeight="1" x14ac:dyDescent="0.25">
      <c r="A2" s="2"/>
      <c r="B2" s="2" t="str">
        <f>Cover!$B$2</f>
        <v>Xcel Energy</v>
      </c>
      <c r="C2" s="2"/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  <c r="CJ2" s="94"/>
      <c r="CK2" s="94"/>
      <c r="CL2" s="94"/>
      <c r="CM2" s="94"/>
      <c r="CN2" s="94"/>
      <c r="CO2" s="94"/>
      <c r="CP2" s="94"/>
      <c r="CQ2" s="94"/>
      <c r="CR2" s="94"/>
      <c r="CS2" s="94"/>
      <c r="CT2" s="94"/>
      <c r="CU2" s="94"/>
      <c r="CV2" s="94"/>
      <c r="CW2" s="94"/>
      <c r="CX2" s="94"/>
      <c r="CY2" s="94"/>
      <c r="CZ2" s="94"/>
    </row>
    <row r="3" spans="1:104" ht="15" customHeight="1" x14ac:dyDescent="0.25">
      <c r="A3" s="5"/>
      <c r="B3" s="6" t="s">
        <v>244</v>
      </c>
      <c r="C3" s="6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94"/>
      <c r="BS3" s="94"/>
      <c r="BT3" s="94"/>
      <c r="BU3" s="94"/>
      <c r="BV3" s="94"/>
      <c r="BW3" s="94"/>
      <c r="BX3" s="94"/>
      <c r="BY3" s="94"/>
      <c r="BZ3" s="94"/>
      <c r="CA3" s="94"/>
      <c r="CB3" s="94"/>
      <c r="CC3" s="94"/>
      <c r="CD3" s="94"/>
      <c r="CE3" s="94"/>
      <c r="CF3" s="94"/>
      <c r="CG3" s="94"/>
      <c r="CH3" s="94"/>
      <c r="CI3" s="94"/>
      <c r="CJ3" s="94"/>
      <c r="CK3" s="94"/>
      <c r="CL3" s="94"/>
      <c r="CM3" s="94"/>
      <c r="CN3" s="94"/>
      <c r="CO3" s="94"/>
      <c r="CP3" s="94"/>
      <c r="CQ3" s="94"/>
      <c r="CR3" s="94"/>
      <c r="CS3" s="94"/>
      <c r="CT3" s="94"/>
      <c r="CU3" s="94"/>
      <c r="CV3" s="94"/>
      <c r="CW3" s="94"/>
      <c r="CX3" s="94"/>
      <c r="CY3" s="94"/>
      <c r="CZ3" s="94"/>
    </row>
    <row r="4" spans="1:104" x14ac:dyDescent="0.2">
      <c r="A4" s="8"/>
      <c r="B4" s="9" t="s">
        <v>1</v>
      </c>
      <c r="C4" s="9"/>
      <c r="D4" s="263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95"/>
      <c r="BS4" s="95"/>
      <c r="BT4" s="95"/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H4" s="95"/>
      <c r="CI4" s="95"/>
      <c r="CJ4" s="95"/>
      <c r="CK4" s="95"/>
      <c r="CL4" s="95"/>
      <c r="CM4" s="95"/>
      <c r="CN4" s="95"/>
      <c r="CO4" s="95"/>
      <c r="CP4" s="95"/>
      <c r="CQ4" s="95"/>
      <c r="CR4" s="95"/>
      <c r="CS4" s="95"/>
      <c r="CT4" s="95"/>
      <c r="CU4" s="95"/>
      <c r="CV4" s="95"/>
      <c r="CW4" s="95"/>
      <c r="CX4" s="95"/>
      <c r="CY4" s="95"/>
      <c r="CZ4" s="95"/>
    </row>
    <row r="5" spans="1:104" x14ac:dyDescent="0.2">
      <c r="B5" s="264" t="s">
        <v>41</v>
      </c>
      <c r="C5" s="264"/>
      <c r="D5" s="265"/>
      <c r="E5" s="104" t="s">
        <v>101</v>
      </c>
      <c r="F5" s="105" t="s">
        <v>102</v>
      </c>
      <c r="G5" s="105" t="s">
        <v>103</v>
      </c>
      <c r="H5" s="106" t="s">
        <v>104</v>
      </c>
      <c r="I5" s="266">
        <v>2009</v>
      </c>
      <c r="J5" s="104" t="s">
        <v>105</v>
      </c>
      <c r="K5" s="105" t="s">
        <v>106</v>
      </c>
      <c r="L5" s="105" t="s">
        <v>107</v>
      </c>
      <c r="M5" s="106" t="s">
        <v>108</v>
      </c>
      <c r="N5" s="266" t="s">
        <v>3</v>
      </c>
      <c r="O5" s="104" t="s">
        <v>109</v>
      </c>
      <c r="P5" s="105" t="s">
        <v>110</v>
      </c>
      <c r="Q5" s="105" t="s">
        <v>479</v>
      </c>
      <c r="R5" s="106" t="s">
        <v>175</v>
      </c>
      <c r="S5" s="266">
        <v>2011</v>
      </c>
      <c r="T5" s="104" t="s">
        <v>508</v>
      </c>
      <c r="U5" s="105" t="s">
        <v>509</v>
      </c>
      <c r="V5" s="105" t="s">
        <v>510</v>
      </c>
      <c r="W5" s="106" t="s">
        <v>522</v>
      </c>
      <c r="X5" s="103" t="s">
        <v>523</v>
      </c>
      <c r="Y5" s="99" t="s">
        <v>524</v>
      </c>
      <c r="Z5" s="100" t="s">
        <v>527</v>
      </c>
      <c r="AA5" s="100" t="s">
        <v>528</v>
      </c>
      <c r="AB5" s="101" t="s">
        <v>537</v>
      </c>
      <c r="AC5" s="103" t="s">
        <v>538</v>
      </c>
      <c r="AD5" s="99" t="s">
        <v>539</v>
      </c>
      <c r="AE5" s="100" t="s">
        <v>543</v>
      </c>
      <c r="AF5" s="100" t="s">
        <v>544</v>
      </c>
      <c r="AG5" s="106" t="s">
        <v>550</v>
      </c>
      <c r="AH5" s="267" t="s">
        <v>551</v>
      </c>
      <c r="AI5" s="104" t="s">
        <v>553</v>
      </c>
      <c r="AJ5" s="105" t="s">
        <v>554</v>
      </c>
      <c r="AK5" s="105" t="s">
        <v>569</v>
      </c>
      <c r="AL5" s="106" t="s">
        <v>570</v>
      </c>
      <c r="AM5" s="267" t="s">
        <v>571</v>
      </c>
      <c r="AN5" s="372" t="s">
        <v>574</v>
      </c>
      <c r="AO5" s="373" t="s">
        <v>589</v>
      </c>
      <c r="AP5" s="373" t="s">
        <v>597</v>
      </c>
      <c r="AQ5" s="374" t="s">
        <v>605</v>
      </c>
      <c r="AR5" s="103" t="s">
        <v>604</v>
      </c>
      <c r="AS5" s="372" t="s">
        <v>630</v>
      </c>
      <c r="AT5" s="373" t="s">
        <v>638</v>
      </c>
      <c r="AU5" s="373" t="s">
        <v>640</v>
      </c>
      <c r="AV5" s="374" t="s">
        <v>664</v>
      </c>
      <c r="AW5" s="103" t="s">
        <v>665</v>
      </c>
      <c r="AX5" s="372" t="s">
        <v>529</v>
      </c>
      <c r="AY5" s="373" t="s">
        <v>530</v>
      </c>
      <c r="AZ5" s="373" t="s">
        <v>531</v>
      </c>
      <c r="BA5" s="374" t="s">
        <v>532</v>
      </c>
      <c r="BB5" s="375">
        <v>2018</v>
      </c>
      <c r="BC5" s="372" t="s">
        <v>555</v>
      </c>
      <c r="BD5" s="373" t="s">
        <v>556</v>
      </c>
      <c r="BE5" s="373" t="s">
        <v>557</v>
      </c>
      <c r="BF5" s="374" t="s">
        <v>558</v>
      </c>
      <c r="BG5" s="375">
        <v>2019</v>
      </c>
      <c r="BH5" s="372" t="s">
        <v>599</v>
      </c>
      <c r="BI5" s="373" t="s">
        <v>600</v>
      </c>
      <c r="BJ5" s="373" t="s">
        <v>601</v>
      </c>
      <c r="BK5" s="374" t="s">
        <v>602</v>
      </c>
      <c r="BL5" s="375">
        <v>2020</v>
      </c>
      <c r="BM5" s="372" t="s">
        <v>670</v>
      </c>
      <c r="BN5" s="373" t="s">
        <v>671</v>
      </c>
      <c r="BO5" s="373" t="s">
        <v>672</v>
      </c>
      <c r="BP5" s="374" t="s">
        <v>673</v>
      </c>
      <c r="BQ5" s="375">
        <v>2021</v>
      </c>
      <c r="BR5" s="268"/>
      <c r="BS5" s="268"/>
      <c r="BT5" s="268"/>
      <c r="BU5" s="268"/>
      <c r="BV5" s="268"/>
      <c r="BW5" s="268"/>
      <c r="BX5" s="268"/>
      <c r="BY5" s="268"/>
      <c r="BZ5" s="268"/>
      <c r="CA5" s="268"/>
      <c r="CB5" s="268"/>
      <c r="CC5" s="268"/>
      <c r="CD5" s="268"/>
      <c r="CE5" s="268"/>
      <c r="CF5" s="268"/>
      <c r="CG5" s="268"/>
      <c r="CH5" s="268"/>
      <c r="CI5" s="268"/>
      <c r="CJ5" s="268"/>
      <c r="CK5" s="268"/>
      <c r="CL5" s="268"/>
      <c r="CM5" s="268"/>
      <c r="CN5" s="268"/>
      <c r="CO5" s="268"/>
      <c r="CP5" s="268"/>
      <c r="CQ5" s="268"/>
      <c r="CR5" s="268"/>
      <c r="CS5" s="268"/>
      <c r="CT5" s="268"/>
      <c r="CU5" s="268"/>
      <c r="CV5" s="268"/>
      <c r="CW5" s="268"/>
      <c r="CX5" s="268"/>
      <c r="CY5" s="268"/>
      <c r="CZ5" s="268"/>
    </row>
    <row r="6" spans="1:104" x14ac:dyDescent="0.2">
      <c r="E6" s="120"/>
      <c r="F6" s="139"/>
      <c r="G6" s="139"/>
      <c r="H6" s="119"/>
      <c r="I6" s="42"/>
      <c r="J6" s="120"/>
      <c r="K6" s="139"/>
      <c r="L6" s="139"/>
      <c r="M6" s="119"/>
      <c r="N6" s="42"/>
      <c r="O6" s="120"/>
      <c r="P6" s="139"/>
      <c r="Q6" s="139"/>
      <c r="R6" s="119"/>
      <c r="S6" s="42"/>
      <c r="T6" s="120"/>
      <c r="U6" s="139"/>
      <c r="V6" s="139"/>
      <c r="W6" s="119"/>
      <c r="X6" s="42"/>
      <c r="Y6" s="120"/>
      <c r="Z6" s="139"/>
      <c r="AA6" s="139"/>
      <c r="AB6" s="119"/>
      <c r="AC6" s="42"/>
      <c r="AD6" s="120"/>
      <c r="AE6" s="139"/>
      <c r="AF6" s="139"/>
      <c r="AG6" s="119"/>
      <c r="AH6" s="42"/>
      <c r="AI6" s="120"/>
      <c r="AJ6" s="139"/>
      <c r="AK6" s="139"/>
      <c r="AL6" s="119"/>
      <c r="AM6" s="42"/>
      <c r="AN6" s="120"/>
      <c r="AO6" s="139"/>
      <c r="AP6" s="139"/>
      <c r="AQ6" s="119"/>
      <c r="AR6" s="42"/>
      <c r="AS6" s="120"/>
      <c r="AT6" s="139"/>
      <c r="AU6" s="139"/>
      <c r="AV6" s="119"/>
      <c r="AW6" s="42"/>
      <c r="AX6" s="120"/>
      <c r="AY6" s="139"/>
      <c r="AZ6" s="139"/>
      <c r="BA6" s="119"/>
      <c r="BB6" s="42"/>
      <c r="BC6" s="120"/>
      <c r="BD6" s="139"/>
      <c r="BE6" s="139"/>
      <c r="BF6" s="119"/>
      <c r="BG6" s="42"/>
      <c r="BH6" s="120"/>
      <c r="BI6" s="139"/>
      <c r="BJ6" s="139"/>
      <c r="BK6" s="119"/>
      <c r="BL6" s="42"/>
      <c r="BM6" s="120"/>
      <c r="BN6" s="139"/>
      <c r="BO6" s="139"/>
      <c r="BP6" s="119"/>
      <c r="BQ6" s="42"/>
    </row>
    <row r="7" spans="1:104" x14ac:dyDescent="0.2">
      <c r="B7" s="16" t="s">
        <v>111</v>
      </c>
      <c r="C7" s="16"/>
      <c r="D7" s="17"/>
      <c r="E7" s="120"/>
      <c r="F7" s="139"/>
      <c r="G7" s="139"/>
      <c r="H7" s="119"/>
      <c r="I7" s="42"/>
      <c r="J7" s="120"/>
      <c r="K7" s="139"/>
      <c r="L7" s="139"/>
      <c r="M7" s="119"/>
      <c r="N7" s="42"/>
      <c r="O7" s="120"/>
      <c r="P7" s="139"/>
      <c r="Q7" s="139"/>
      <c r="R7" s="119"/>
      <c r="S7" s="42"/>
      <c r="T7" s="120"/>
      <c r="U7" s="139"/>
      <c r="V7" s="139"/>
      <c r="W7" s="119"/>
      <c r="X7" s="42"/>
      <c r="Y7" s="120"/>
      <c r="Z7" s="139"/>
      <c r="AA7" s="139"/>
      <c r="AB7" s="119"/>
      <c r="AC7" s="42"/>
      <c r="AD7" s="120"/>
      <c r="AE7" s="139"/>
      <c r="AF7" s="139"/>
      <c r="AG7" s="119"/>
      <c r="AH7" s="42"/>
      <c r="AI7" s="120"/>
      <c r="AJ7" s="139"/>
      <c r="AK7" s="139"/>
      <c r="AL7" s="119"/>
      <c r="AM7" s="42"/>
      <c r="AN7" s="120"/>
      <c r="AO7" s="139"/>
      <c r="AP7" s="139"/>
      <c r="AQ7" s="119"/>
      <c r="AR7" s="42"/>
      <c r="AS7" s="120"/>
      <c r="AT7" s="139"/>
      <c r="AU7" s="139"/>
      <c r="AV7" s="119"/>
      <c r="AW7" s="42"/>
      <c r="AX7" s="120"/>
      <c r="AY7" s="139"/>
      <c r="AZ7" s="139"/>
      <c r="BA7" s="119"/>
      <c r="BB7" s="42"/>
      <c r="BC7" s="120"/>
      <c r="BD7" s="139"/>
      <c r="BE7" s="139"/>
      <c r="BF7" s="119"/>
      <c r="BG7" s="42"/>
      <c r="BH7" s="120"/>
      <c r="BI7" s="139"/>
      <c r="BJ7" s="139"/>
      <c r="BK7" s="119"/>
      <c r="BL7" s="42"/>
      <c r="BM7" s="120"/>
      <c r="BN7" s="139"/>
      <c r="BO7" s="139"/>
      <c r="BP7" s="119"/>
      <c r="BQ7" s="42"/>
    </row>
    <row r="8" spans="1:104" x14ac:dyDescent="0.2">
      <c r="A8" s="220"/>
      <c r="B8" s="220"/>
      <c r="C8" s="20" t="s">
        <v>112</v>
      </c>
      <c r="D8" s="42"/>
      <c r="E8" s="114">
        <v>869.08199999999999</v>
      </c>
      <c r="F8" s="115">
        <v>787.58399999999995</v>
      </c>
      <c r="G8" s="115">
        <v>916.33799999999997</v>
      </c>
      <c r="H8" s="131">
        <f>I8-SUM(E8:G8)</f>
        <v>834.26900000000023</v>
      </c>
      <c r="I8" s="117">
        <v>3407.2730000000001</v>
      </c>
      <c r="J8" s="114">
        <v>850.23199999999997</v>
      </c>
      <c r="K8" s="115">
        <v>842.62</v>
      </c>
      <c r="L8" s="115">
        <v>1068.4159999999999</v>
      </c>
      <c r="M8" s="131">
        <f>N8-SUM(J8:L8)</f>
        <v>863.44700000000012</v>
      </c>
      <c r="N8" s="117">
        <v>3624.7150000000001</v>
      </c>
      <c r="O8" s="114">
        <v>904.13699999999994</v>
      </c>
      <c r="P8" s="115">
        <v>908.07</v>
      </c>
      <c r="Q8" s="115">
        <v>1103.875</v>
      </c>
      <c r="R8" s="131">
        <f>S8-SUM(O8:Q8)</f>
        <v>856.54600000000028</v>
      </c>
      <c r="S8" s="117">
        <v>3772.6280000000002</v>
      </c>
      <c r="T8" s="114">
        <v>874.38400000000001</v>
      </c>
      <c r="U8" s="115">
        <v>908.05</v>
      </c>
      <c r="V8" s="115">
        <v>1130.2070000000001</v>
      </c>
      <c r="W8" s="131">
        <f>X8-SUM(T8:V8)</f>
        <v>929.88799999999992</v>
      </c>
      <c r="X8" s="117">
        <f>3392.571+449.958</f>
        <v>3842.529</v>
      </c>
      <c r="Y8" s="114">
        <f>841.176+110.138</f>
        <v>951.31400000000008</v>
      </c>
      <c r="Z8" s="115">
        <f>860.234+110.997</f>
        <v>971.23099999999999</v>
      </c>
      <c r="AA8" s="115">
        <f>1077.545+79.589</f>
        <v>1157.134</v>
      </c>
      <c r="AB8" s="131">
        <f>AC8-SUM(Y8:AA8)</f>
        <v>982.76099999999951</v>
      </c>
      <c r="AC8" s="117">
        <f>3603.807+458.633</f>
        <v>4062.4399999999996</v>
      </c>
      <c r="AD8" s="114">
        <f>946.535+121.805</f>
        <v>1068.3399999999999</v>
      </c>
      <c r="AE8" s="115">
        <f>884.339+116.518</f>
        <v>1000.8570000000001</v>
      </c>
      <c r="AF8" s="115">
        <f>1004.863+116.192</f>
        <v>1121.0550000000001</v>
      </c>
      <c r="AG8" s="131">
        <f>AH8-SUM(AD8:AF8)</f>
        <v>1012.1049999999996</v>
      </c>
      <c r="AH8" s="117">
        <f>3727.815+474.542</f>
        <v>4202.357</v>
      </c>
      <c r="AI8" s="114">
        <f>881.279+124.875</f>
        <v>1006.154</v>
      </c>
      <c r="AJ8" s="115">
        <f>882.042+117.83</f>
        <v>999.87200000000007</v>
      </c>
      <c r="AK8" s="115">
        <f>1072.207+116.136</f>
        <v>1188.3430000000001</v>
      </c>
      <c r="AL8" s="131">
        <f>AM8-SUM(AI8:AK8)</f>
        <v>989.346</v>
      </c>
      <c r="AM8" s="117">
        <f>3710.616+473.099</f>
        <v>4183.7150000000001</v>
      </c>
      <c r="AN8" s="114">
        <f>908.747+124.896</f>
        <v>1033.643</v>
      </c>
      <c r="AO8" s="115">
        <f>903.344+113.127</f>
        <v>1016.471</v>
      </c>
      <c r="AP8" s="115">
        <f>1161.259+121.315</f>
        <v>1282.5740000000001</v>
      </c>
      <c r="AQ8" s="131">
        <f>AR8-SUM(AN8:AP8)</f>
        <v>1071.8969999999999</v>
      </c>
      <c r="AR8" s="117">
        <f>3929.051+475.534</f>
        <v>4404.585</v>
      </c>
      <c r="AS8" s="114">
        <f>955.341+123.689</f>
        <v>1079.03</v>
      </c>
      <c r="AT8" s="115">
        <f>960.394+119.385</f>
        <v>1079.779</v>
      </c>
      <c r="AU8" s="115">
        <f>1167.447+123.524</f>
        <v>1290.971</v>
      </c>
      <c r="AV8" s="131">
        <f>AW8-SUM(AS8:AU8)</f>
        <v>1091.9730000000004</v>
      </c>
      <c r="AW8" s="117">
        <f>4051.532+490.221</f>
        <v>4541.7530000000006</v>
      </c>
      <c r="AX8" s="136">
        <f>+AX89</f>
        <v>1094.042931418946</v>
      </c>
      <c r="AY8" s="135">
        <f>+AY89</f>
        <v>1082.606780750205</v>
      </c>
      <c r="AZ8" s="135">
        <f>+AZ89</f>
        <v>1279.1915767177561</v>
      </c>
      <c r="BA8" s="116">
        <f>+BA89</f>
        <v>1097.5093971509464</v>
      </c>
      <c r="BB8" s="82">
        <f>SUM(AX8:BA8)</f>
        <v>4553.3506860378529</v>
      </c>
      <c r="BC8" s="136">
        <f>+BC89</f>
        <v>1123.3479443252543</v>
      </c>
      <c r="BD8" s="135">
        <f>+BD89</f>
        <v>1113.1993081962655</v>
      </c>
      <c r="BE8" s="135">
        <f>+BE89</f>
        <v>1317.2454369122818</v>
      </c>
      <c r="BF8" s="116">
        <f>+BF89</f>
        <v>1126.9726374615846</v>
      </c>
      <c r="BG8" s="82">
        <f>SUM(BC8:BF8)</f>
        <v>4680.7653268953864</v>
      </c>
      <c r="BH8" s="136">
        <f>+BH89</f>
        <v>1154.6982777046844</v>
      </c>
      <c r="BI8" s="135">
        <f>+BI89</f>
        <v>1145.9261165513999</v>
      </c>
      <c r="BJ8" s="135">
        <f>+BJ89</f>
        <v>1357.9666812453672</v>
      </c>
      <c r="BK8" s="116">
        <f>+BK89</f>
        <v>1158.4815938138556</v>
      </c>
      <c r="BL8" s="82">
        <f>SUM(BH8:BK8)</f>
        <v>4817.0726693153065</v>
      </c>
      <c r="BM8" s="136">
        <f>+BM89</f>
        <v>1179.5620827828429</v>
      </c>
      <c r="BN8" s="135">
        <f>+BN89</f>
        <v>1171.8844071781491</v>
      </c>
      <c r="BO8" s="135">
        <f>+BO89</f>
        <v>1390.2268102526939</v>
      </c>
      <c r="BP8" s="116">
        <f>+BP89</f>
        <v>1183.504418422287</v>
      </c>
      <c r="BQ8" s="82">
        <f>SUM(BM8:BP8)</f>
        <v>4925.1777186359732</v>
      </c>
      <c r="BR8" s="220"/>
      <c r="BS8" s="220"/>
      <c r="BT8" s="220"/>
      <c r="BU8" s="963"/>
      <c r="BV8" s="963"/>
      <c r="BW8" s="220"/>
      <c r="BX8" s="220"/>
      <c r="BY8" s="220"/>
      <c r="BZ8" s="220"/>
      <c r="CA8" s="220"/>
      <c r="CB8" s="220"/>
      <c r="CC8" s="220"/>
      <c r="CD8" s="220"/>
      <c r="CE8" s="220"/>
      <c r="CF8" s="220"/>
      <c r="CG8" s="220"/>
      <c r="CH8" s="220"/>
      <c r="CI8" s="220"/>
      <c r="CJ8" s="220"/>
      <c r="CK8" s="220"/>
      <c r="CL8" s="220"/>
      <c r="CM8" s="220"/>
      <c r="CN8" s="220"/>
      <c r="CO8" s="220"/>
      <c r="CP8" s="220"/>
      <c r="CQ8" s="220"/>
      <c r="CR8" s="220"/>
      <c r="CS8" s="220"/>
      <c r="CT8" s="220"/>
      <c r="CU8" s="220"/>
      <c r="CV8" s="220"/>
      <c r="CW8" s="220"/>
      <c r="CX8" s="220"/>
      <c r="CY8" s="220"/>
      <c r="CZ8" s="220"/>
    </row>
    <row r="9" spans="1:104" x14ac:dyDescent="0.2">
      <c r="A9" s="220"/>
      <c r="B9" s="220"/>
      <c r="C9" s="20" t="s">
        <v>113</v>
      </c>
      <c r="D9" s="42"/>
      <c r="E9" s="114">
        <v>329.267</v>
      </c>
      <c r="F9" s="115">
        <v>74.516000000000005</v>
      </c>
      <c r="G9" s="115">
        <v>48.271000000000001</v>
      </c>
      <c r="H9" s="131">
        <f>I9-SUM(E9:G9)</f>
        <v>188.26899999999995</v>
      </c>
      <c r="I9" s="117">
        <v>640.32299999999998</v>
      </c>
      <c r="J9" s="114">
        <v>272.39299999999997</v>
      </c>
      <c r="K9" s="115">
        <v>68.227000000000004</v>
      </c>
      <c r="L9" s="115">
        <v>57.210999999999999</v>
      </c>
      <c r="M9" s="131">
        <f>N9-SUM(J9:L9)</f>
        <v>191.21299999999997</v>
      </c>
      <c r="N9" s="117">
        <v>589.04399999999998</v>
      </c>
      <c r="O9" s="114">
        <v>283.726</v>
      </c>
      <c r="P9" s="115">
        <v>96.921999999999997</v>
      </c>
      <c r="Q9" s="115">
        <v>58.914000000000001</v>
      </c>
      <c r="R9" s="131">
        <f>S9-SUM(O9:Q9)</f>
        <v>165.16099999999994</v>
      </c>
      <c r="S9" s="117">
        <v>604.72299999999996</v>
      </c>
      <c r="T9" s="114">
        <v>196.51400000000001</v>
      </c>
      <c r="U9" s="115">
        <v>59.069000000000003</v>
      </c>
      <c r="V9" s="115">
        <v>49.521999999999998</v>
      </c>
      <c r="W9" s="131">
        <f>X9-SUM(T9:V9)</f>
        <v>166.65999999999997</v>
      </c>
      <c r="X9" s="117">
        <v>471.76499999999999</v>
      </c>
      <c r="Y9" s="114">
        <v>235.286</v>
      </c>
      <c r="Z9" s="115">
        <v>107.45099999999999</v>
      </c>
      <c r="AA9" s="115">
        <v>53.723999999999997</v>
      </c>
      <c r="AB9" s="131">
        <f>AC9-SUM(Y9:AA9)</f>
        <v>194.5560000000001</v>
      </c>
      <c r="AC9" s="117">
        <v>591.01700000000005</v>
      </c>
      <c r="AD9" s="114">
        <v>349.53199999999998</v>
      </c>
      <c r="AE9" s="115">
        <v>116.381</v>
      </c>
      <c r="AF9" s="115">
        <v>62.338999999999999</v>
      </c>
      <c r="AG9" s="131">
        <f>AH9-SUM(AD9:AF9)</f>
        <v>229.4430000000001</v>
      </c>
      <c r="AH9" s="117">
        <v>757.69500000000005</v>
      </c>
      <c r="AI9" s="114">
        <v>279.46699999999998</v>
      </c>
      <c r="AJ9" s="115">
        <v>75.239000000000004</v>
      </c>
      <c r="AK9" s="115">
        <v>53.353999999999999</v>
      </c>
      <c r="AL9" s="131">
        <f>AM9-SUM(AI9:AK9)</f>
        <v>137.07499999999999</v>
      </c>
      <c r="AM9" s="117">
        <v>545.13499999999999</v>
      </c>
      <c r="AN9" s="114">
        <v>194.13</v>
      </c>
      <c r="AO9" s="115">
        <v>64.370999999999995</v>
      </c>
      <c r="AP9" s="115">
        <v>55.518999999999998</v>
      </c>
      <c r="AQ9" s="131">
        <f>AR9-SUM(AN9:AP9)</f>
        <v>153.37299999999999</v>
      </c>
      <c r="AR9" s="117">
        <v>467.39299999999997</v>
      </c>
      <c r="AS9" s="114">
        <v>221.18299999999999</v>
      </c>
      <c r="AT9" s="115">
        <v>78.006</v>
      </c>
      <c r="AU9" s="115">
        <v>57.442</v>
      </c>
      <c r="AV9" s="131">
        <f>AW9-SUM(AS9:AU9)</f>
        <v>175.28899999999999</v>
      </c>
      <c r="AW9" s="117">
        <v>531.91999999999996</v>
      </c>
      <c r="AX9" s="136">
        <f>+AX120</f>
        <v>231.91037549999999</v>
      </c>
      <c r="AY9" s="135">
        <f>+AY120</f>
        <v>78.201014999999998</v>
      </c>
      <c r="AZ9" s="135">
        <f>+AZ120</f>
        <v>57.298395000000006</v>
      </c>
      <c r="BA9" s="116">
        <f>+BA120</f>
        <v>176.60366750000003</v>
      </c>
      <c r="BB9" s="82">
        <f>SUM(AX9:BA9)</f>
        <v>544.01345300000003</v>
      </c>
      <c r="BC9" s="136">
        <f>+BC120</f>
        <v>231.33059956124995</v>
      </c>
      <c r="BD9" s="135">
        <f>+BD120</f>
        <v>78.005512462500008</v>
      </c>
      <c r="BE9" s="135">
        <f>+BE120</f>
        <v>57.155149012500004</v>
      </c>
      <c r="BF9" s="116">
        <f>+BF120</f>
        <v>176.16215833125</v>
      </c>
      <c r="BG9" s="82">
        <f>SUM(BC9:BF9)</f>
        <v>542.65341936749996</v>
      </c>
      <c r="BH9" s="136">
        <f>+BH120</f>
        <v>230.75227306234686</v>
      </c>
      <c r="BI9" s="135">
        <f>+BI120</f>
        <v>77.810498681343759</v>
      </c>
      <c r="BJ9" s="135">
        <f>+BJ120</f>
        <v>57.012261139968764</v>
      </c>
      <c r="BK9" s="116">
        <f>+BK120</f>
        <v>175.7217529354219</v>
      </c>
      <c r="BL9" s="82">
        <f>SUM(BH9:BK9)</f>
        <v>541.29678581908126</v>
      </c>
      <c r="BM9" s="136">
        <f>+BM120</f>
        <v>230.17539237969098</v>
      </c>
      <c r="BN9" s="135">
        <f>+BN120</f>
        <v>77.615972434640412</v>
      </c>
      <c r="BO9" s="135">
        <f>+BO120</f>
        <v>56.869730487118836</v>
      </c>
      <c r="BP9" s="116">
        <f>+BP120</f>
        <v>175.28244855308338</v>
      </c>
      <c r="BQ9" s="82">
        <f>SUM(BM9:BP9)</f>
        <v>539.94354385453357</v>
      </c>
      <c r="BR9" s="220"/>
      <c r="BS9" s="220"/>
      <c r="BT9" s="220"/>
      <c r="BU9" s="963"/>
      <c r="BV9" s="963"/>
      <c r="BW9" s="220"/>
      <c r="BX9" s="220"/>
      <c r="BY9" s="220"/>
      <c r="BZ9" s="220"/>
      <c r="CA9" s="220"/>
      <c r="CB9" s="220"/>
      <c r="CC9" s="220"/>
      <c r="CD9" s="220"/>
      <c r="CE9" s="220"/>
      <c r="CF9" s="220"/>
      <c r="CG9" s="220"/>
      <c r="CH9" s="220"/>
      <c r="CI9" s="220"/>
      <c r="CJ9" s="220"/>
      <c r="CK9" s="220"/>
      <c r="CL9" s="220"/>
      <c r="CM9" s="220"/>
      <c r="CN9" s="220"/>
      <c r="CO9" s="220"/>
      <c r="CP9" s="220"/>
      <c r="CQ9" s="220"/>
      <c r="CR9" s="220"/>
      <c r="CS9" s="220"/>
      <c r="CT9" s="220"/>
      <c r="CU9" s="220"/>
      <c r="CV9" s="220"/>
      <c r="CW9" s="220"/>
      <c r="CX9" s="220"/>
      <c r="CY9" s="220"/>
      <c r="CZ9" s="220"/>
    </row>
    <row r="10" spans="1:104" x14ac:dyDescent="0.2">
      <c r="A10" s="220"/>
      <c r="B10" s="220"/>
      <c r="C10" s="20" t="s">
        <v>97</v>
      </c>
      <c r="D10" s="42"/>
      <c r="E10" s="114">
        <v>5.0339999999999998</v>
      </c>
      <c r="F10" s="115">
        <v>4.3040000000000003</v>
      </c>
      <c r="G10" s="115">
        <v>4.75</v>
      </c>
      <c r="H10" s="131">
        <f>I10-SUM(E10:G10)</f>
        <v>5.004999999999999</v>
      </c>
      <c r="I10" s="117">
        <v>19.093</v>
      </c>
      <c r="J10" s="114">
        <v>4.4820000000000002</v>
      </c>
      <c r="K10" s="115">
        <v>5.4429999999999996</v>
      </c>
      <c r="L10" s="115">
        <v>5.2859999999999996</v>
      </c>
      <c r="M10" s="131">
        <f>N10-SUM(J10:L10)</f>
        <v>5.3459999999999983</v>
      </c>
      <c r="N10" s="117">
        <v>20.556999999999999</v>
      </c>
      <c r="O10" s="114">
        <v>5.0289999999999999</v>
      </c>
      <c r="P10" s="115">
        <v>5.5339999999999998</v>
      </c>
      <c r="Q10" s="115">
        <v>5.3490000000000002</v>
      </c>
      <c r="R10" s="131">
        <f>S10-SUM(O10:Q10)</f>
        <v>5.2580000000000027</v>
      </c>
      <c r="S10" s="117">
        <v>21.17</v>
      </c>
      <c r="T10" s="114">
        <v>5.875</v>
      </c>
      <c r="U10" s="115">
        <v>5.4169999999999998</v>
      </c>
      <c r="V10" s="115">
        <v>5.6710000000000003</v>
      </c>
      <c r="W10" s="131">
        <f>X10-SUM(T10:V10)</f>
        <v>6.0820000000000007</v>
      </c>
      <c r="X10" s="117">
        <v>23.045000000000002</v>
      </c>
      <c r="Y10" s="114">
        <v>6.6349999999999998</v>
      </c>
      <c r="Z10" s="115">
        <v>6.1630000000000003</v>
      </c>
      <c r="AA10" s="115">
        <v>6.6180000000000003</v>
      </c>
      <c r="AB10" s="131">
        <f>AC10-SUM(Y10:AA10)</f>
        <v>6.7369999999999983</v>
      </c>
      <c r="AC10" s="117">
        <v>26.152999999999999</v>
      </c>
      <c r="AD10" s="114">
        <v>6.4539999999999997</v>
      </c>
      <c r="AE10" s="115">
        <v>7.5209999999999999</v>
      </c>
      <c r="AF10" s="115">
        <v>6.819</v>
      </c>
      <c r="AG10" s="131">
        <f>AH10-SUM(AD10:AF10)</f>
        <v>7.6789999999999985</v>
      </c>
      <c r="AH10" s="117">
        <v>28.472999999999999</v>
      </c>
      <c r="AI10" s="114">
        <v>6.8609999999999998</v>
      </c>
      <c r="AJ10" s="115">
        <v>6.8630000000000004</v>
      </c>
      <c r="AK10" s="115">
        <v>7.1429999999999998</v>
      </c>
      <c r="AL10" s="131">
        <f>AM10-SUM(AI10:AK10)</f>
        <v>7.0889999999999986</v>
      </c>
      <c r="AM10" s="117">
        <v>27.956</v>
      </c>
      <c r="AN10" s="114">
        <v>6.86</v>
      </c>
      <c r="AO10" s="115">
        <v>7.258</v>
      </c>
      <c r="AP10" s="115">
        <v>7.2859999999999996</v>
      </c>
      <c r="AQ10" s="131">
        <f>AR10-SUM(AN10:AP10)</f>
        <v>6.9050000000000011</v>
      </c>
      <c r="AR10" s="117">
        <v>28.309000000000001</v>
      </c>
      <c r="AS10" s="114">
        <v>6.9269999999999996</v>
      </c>
      <c r="AT10" s="115">
        <v>7.1550000000000002</v>
      </c>
      <c r="AU10" s="115">
        <v>7.3659999999999997</v>
      </c>
      <c r="AV10" s="131">
        <f>AW10-SUM(AS10:AU10)</f>
        <v>6.9059999999999988</v>
      </c>
      <c r="AW10" s="117">
        <v>28.353999999999999</v>
      </c>
      <c r="AX10" s="136">
        <f>+AS10</f>
        <v>6.9269999999999996</v>
      </c>
      <c r="AY10" s="135">
        <f>+AT10</f>
        <v>7.1550000000000002</v>
      </c>
      <c r="AZ10" s="135">
        <f>+AU10</f>
        <v>7.3659999999999997</v>
      </c>
      <c r="BA10" s="116">
        <f>+AV10</f>
        <v>6.9059999999999988</v>
      </c>
      <c r="BB10" s="82">
        <f>SUM(AX10:BA10)</f>
        <v>28.353999999999999</v>
      </c>
      <c r="BC10" s="136">
        <f>+AX10</f>
        <v>6.9269999999999996</v>
      </c>
      <c r="BD10" s="135">
        <f>+AY10</f>
        <v>7.1550000000000002</v>
      </c>
      <c r="BE10" s="135">
        <f>+AZ10</f>
        <v>7.3659999999999997</v>
      </c>
      <c r="BF10" s="116">
        <f>+BA10</f>
        <v>6.9059999999999988</v>
      </c>
      <c r="BG10" s="82">
        <f>SUM(BC10:BF10)</f>
        <v>28.353999999999999</v>
      </c>
      <c r="BH10" s="136">
        <f>+BC10</f>
        <v>6.9269999999999996</v>
      </c>
      <c r="BI10" s="135">
        <f>+BD10</f>
        <v>7.1550000000000002</v>
      </c>
      <c r="BJ10" s="135">
        <f>+BE10</f>
        <v>7.3659999999999997</v>
      </c>
      <c r="BK10" s="116">
        <f>+BF10</f>
        <v>6.9059999999999988</v>
      </c>
      <c r="BL10" s="82">
        <f>SUM(BH10:BK10)</f>
        <v>28.353999999999999</v>
      </c>
      <c r="BM10" s="136">
        <f>+BH10</f>
        <v>6.9269999999999996</v>
      </c>
      <c r="BN10" s="135">
        <f>+BI10</f>
        <v>7.1550000000000002</v>
      </c>
      <c r="BO10" s="135">
        <f>+BJ10</f>
        <v>7.3659999999999997</v>
      </c>
      <c r="BP10" s="116">
        <f>+BK10</f>
        <v>6.9059999999999988</v>
      </c>
      <c r="BQ10" s="82">
        <f>SUM(BM10:BP10)</f>
        <v>28.353999999999999</v>
      </c>
      <c r="BR10" s="220"/>
      <c r="BS10" s="220"/>
      <c r="BT10" s="220"/>
      <c r="BU10" s="963"/>
      <c r="BV10" s="963"/>
      <c r="BW10" s="220"/>
      <c r="BX10" s="220"/>
      <c r="BY10" s="220"/>
      <c r="BZ10" s="220"/>
      <c r="CA10" s="220"/>
      <c r="CB10" s="220"/>
      <c r="CC10" s="220"/>
      <c r="CD10" s="220"/>
      <c r="CE10" s="220"/>
      <c r="CF10" s="220"/>
      <c r="CG10" s="220"/>
      <c r="CH10" s="220"/>
      <c r="CI10" s="220"/>
      <c r="CJ10" s="220"/>
      <c r="CK10" s="220"/>
      <c r="CL10" s="220"/>
      <c r="CM10" s="220"/>
      <c r="CN10" s="220"/>
      <c r="CO10" s="220"/>
      <c r="CP10" s="220"/>
      <c r="CQ10" s="220"/>
      <c r="CR10" s="220"/>
      <c r="CS10" s="220"/>
      <c r="CT10" s="220"/>
      <c r="CU10" s="220"/>
      <c r="CV10" s="220"/>
      <c r="CW10" s="220"/>
      <c r="CX10" s="220"/>
      <c r="CY10" s="220"/>
      <c r="CZ10" s="220"/>
    </row>
    <row r="11" spans="1:104" x14ac:dyDescent="0.2">
      <c r="A11" s="85"/>
      <c r="B11" s="85"/>
      <c r="C11" s="26" t="s">
        <v>114</v>
      </c>
      <c r="D11" s="86"/>
      <c r="E11" s="121">
        <f t="shared" ref="E11:AD11" si="0">SUM(E8:E10)</f>
        <v>1203.383</v>
      </c>
      <c r="F11" s="122">
        <f t="shared" si="0"/>
        <v>866.40399999999988</v>
      </c>
      <c r="G11" s="122">
        <f t="shared" si="0"/>
        <v>969.35899999999992</v>
      </c>
      <c r="H11" s="123">
        <f t="shared" si="0"/>
        <v>1027.5430000000003</v>
      </c>
      <c r="I11" s="86">
        <f t="shared" si="0"/>
        <v>4066.6889999999999</v>
      </c>
      <c r="J11" s="121">
        <f t="shared" si="0"/>
        <v>1127.107</v>
      </c>
      <c r="K11" s="122">
        <f t="shared" si="0"/>
        <v>916.29</v>
      </c>
      <c r="L11" s="122">
        <f t="shared" si="0"/>
        <v>1130.913</v>
      </c>
      <c r="M11" s="123">
        <f t="shared" si="0"/>
        <v>1060.0060000000001</v>
      </c>
      <c r="N11" s="86">
        <f t="shared" si="0"/>
        <v>4234.3159999999998</v>
      </c>
      <c r="O11" s="121">
        <f t="shared" si="0"/>
        <v>1192.8919999999998</v>
      </c>
      <c r="P11" s="122">
        <f t="shared" si="0"/>
        <v>1010.5260000000001</v>
      </c>
      <c r="Q11" s="122">
        <f t="shared" si="0"/>
        <v>1168.1379999999999</v>
      </c>
      <c r="R11" s="123">
        <f>SUM(R8:R10)</f>
        <v>1026.9650000000001</v>
      </c>
      <c r="S11" s="86">
        <f>SUM(S8:S10)</f>
        <v>4398.5210000000006</v>
      </c>
      <c r="T11" s="121">
        <f t="shared" si="0"/>
        <v>1076.7730000000001</v>
      </c>
      <c r="U11" s="122">
        <f t="shared" si="0"/>
        <v>972.53599999999994</v>
      </c>
      <c r="V11" s="122">
        <f t="shared" si="0"/>
        <v>1185.4000000000001</v>
      </c>
      <c r="W11" s="123">
        <f>SUM(W8:W10)</f>
        <v>1102.6299999999999</v>
      </c>
      <c r="X11" s="86">
        <f>SUM(X8:X10)</f>
        <v>4337.3389999999999</v>
      </c>
      <c r="Y11" s="121">
        <f t="shared" si="0"/>
        <v>1193.2350000000001</v>
      </c>
      <c r="Z11" s="122">
        <f>SUM(Z8:Z10)</f>
        <v>1084.845</v>
      </c>
      <c r="AA11" s="122">
        <f>SUM(AA8:AA10)</f>
        <v>1217.4759999999999</v>
      </c>
      <c r="AB11" s="123">
        <f>SUM(AB8:AB10)</f>
        <v>1184.0539999999996</v>
      </c>
      <c r="AC11" s="86">
        <f>SUM(AC8:AC10)</f>
        <v>4679.6099999999997</v>
      </c>
      <c r="AD11" s="121">
        <f t="shared" si="0"/>
        <v>1424.3259999999998</v>
      </c>
      <c r="AE11" s="122">
        <f t="shared" ref="AE11:AJ11" si="1">SUM(AE8:AE10)</f>
        <v>1124.759</v>
      </c>
      <c r="AF11" s="122">
        <f t="shared" si="1"/>
        <v>1190.213</v>
      </c>
      <c r="AG11" s="123">
        <f t="shared" si="1"/>
        <v>1249.2269999999999</v>
      </c>
      <c r="AH11" s="86">
        <f t="shared" si="1"/>
        <v>4988.5249999999996</v>
      </c>
      <c r="AI11" s="121">
        <f t="shared" si="1"/>
        <v>1292.4820000000002</v>
      </c>
      <c r="AJ11" s="122">
        <f t="shared" si="1"/>
        <v>1081.9740000000002</v>
      </c>
      <c r="AK11" s="122">
        <f t="shared" ref="AK11:AP11" si="2">SUM(AK8:AK10)</f>
        <v>1248.8400000000001</v>
      </c>
      <c r="AL11" s="123">
        <f t="shared" si="2"/>
        <v>1133.51</v>
      </c>
      <c r="AM11" s="86">
        <f t="shared" si="2"/>
        <v>4756.8060000000005</v>
      </c>
      <c r="AN11" s="121">
        <f t="shared" si="2"/>
        <v>1234.633</v>
      </c>
      <c r="AO11" s="122">
        <f t="shared" si="2"/>
        <v>1088.1000000000001</v>
      </c>
      <c r="AP11" s="122">
        <f t="shared" si="2"/>
        <v>1345.3790000000001</v>
      </c>
      <c r="AQ11" s="123">
        <f t="shared" ref="AQ11:AW11" si="3">SUM(AQ8:AQ10)</f>
        <v>1232.175</v>
      </c>
      <c r="AR11" s="86">
        <f t="shared" si="3"/>
        <v>4900.2870000000003</v>
      </c>
      <c r="AS11" s="121">
        <f t="shared" si="3"/>
        <v>1307.1399999999999</v>
      </c>
      <c r="AT11" s="122">
        <f t="shared" si="3"/>
        <v>1164.94</v>
      </c>
      <c r="AU11" s="122">
        <f t="shared" si="3"/>
        <v>1355.779</v>
      </c>
      <c r="AV11" s="123">
        <f t="shared" si="3"/>
        <v>1274.1680000000003</v>
      </c>
      <c r="AW11" s="86">
        <f t="shared" si="3"/>
        <v>5102.027000000001</v>
      </c>
      <c r="AX11" s="121">
        <f t="shared" ref="AX11:BB11" si="4">SUM(AX8:AX10)</f>
        <v>1332.880306918946</v>
      </c>
      <c r="AY11" s="122">
        <f t="shared" si="4"/>
        <v>1167.962795750205</v>
      </c>
      <c r="AZ11" s="122">
        <f t="shared" si="4"/>
        <v>1343.8559717177561</v>
      </c>
      <c r="BA11" s="123">
        <f t="shared" si="4"/>
        <v>1281.0190646509463</v>
      </c>
      <c r="BB11" s="86">
        <f t="shared" si="4"/>
        <v>5125.7181390378528</v>
      </c>
      <c r="BC11" s="121">
        <f t="shared" ref="BC11:BL11" si="5">SUM(BC8:BC10)</f>
        <v>1361.6055438865042</v>
      </c>
      <c r="BD11" s="122">
        <f t="shared" si="5"/>
        <v>1198.3598206587656</v>
      </c>
      <c r="BE11" s="122">
        <f t="shared" si="5"/>
        <v>1381.7665859247818</v>
      </c>
      <c r="BF11" s="123">
        <f t="shared" si="5"/>
        <v>1310.0407957928346</v>
      </c>
      <c r="BG11" s="86">
        <f t="shared" si="5"/>
        <v>5251.7727462628864</v>
      </c>
      <c r="BH11" s="121">
        <f t="shared" si="5"/>
        <v>1392.3775507670312</v>
      </c>
      <c r="BI11" s="122">
        <f t="shared" si="5"/>
        <v>1230.8916152327436</v>
      </c>
      <c r="BJ11" s="122">
        <f t="shared" si="5"/>
        <v>1422.344942385336</v>
      </c>
      <c r="BK11" s="123">
        <f t="shared" si="5"/>
        <v>1341.1093467492774</v>
      </c>
      <c r="BL11" s="86">
        <f t="shared" si="5"/>
        <v>5386.7234551343881</v>
      </c>
      <c r="BM11" s="121">
        <f t="shared" ref="BM11:BQ11" si="6">SUM(BM8:BM10)</f>
        <v>1416.6644751625338</v>
      </c>
      <c r="BN11" s="122">
        <f t="shared" si="6"/>
        <v>1256.6553796127894</v>
      </c>
      <c r="BO11" s="122">
        <f t="shared" si="6"/>
        <v>1454.4625407398128</v>
      </c>
      <c r="BP11" s="123">
        <f t="shared" si="6"/>
        <v>1365.6928669753704</v>
      </c>
      <c r="BQ11" s="86">
        <f t="shared" si="6"/>
        <v>5493.4752624905068</v>
      </c>
      <c r="BR11" s="85"/>
      <c r="BS11" s="85"/>
      <c r="BT11" s="85"/>
      <c r="BU11" s="964"/>
      <c r="BV11" s="964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</row>
    <row r="12" spans="1:104" x14ac:dyDescent="0.2">
      <c r="A12" s="220"/>
      <c r="B12" s="220"/>
      <c r="C12" s="20"/>
      <c r="D12" s="82"/>
      <c r="E12" s="114"/>
      <c r="F12" s="133"/>
      <c r="G12" s="133"/>
      <c r="H12" s="131"/>
      <c r="I12" s="117"/>
      <c r="J12" s="114"/>
      <c r="K12" s="133"/>
      <c r="L12" s="133"/>
      <c r="M12" s="131"/>
      <c r="N12" s="117"/>
      <c r="O12" s="114"/>
      <c r="P12" s="115"/>
      <c r="Q12" s="115"/>
      <c r="R12" s="131"/>
      <c r="S12" s="117"/>
      <c r="T12" s="114"/>
      <c r="U12" s="115"/>
      <c r="V12" s="115"/>
      <c r="W12" s="131"/>
      <c r="X12" s="117"/>
      <c r="Y12" s="114"/>
      <c r="Z12" s="115"/>
      <c r="AA12" s="115"/>
      <c r="AB12" s="131"/>
      <c r="AC12" s="117"/>
      <c r="AD12" s="114"/>
      <c r="AE12" s="115"/>
      <c r="AF12" s="115"/>
      <c r="AG12" s="131"/>
      <c r="AH12" s="117"/>
      <c r="AI12" s="114"/>
      <c r="AJ12" s="115"/>
      <c r="AK12" s="115"/>
      <c r="AL12" s="131"/>
      <c r="AM12" s="117"/>
      <c r="AN12" s="114"/>
      <c r="AO12" s="115"/>
      <c r="AP12" s="137"/>
      <c r="AQ12" s="131"/>
      <c r="AR12" s="117"/>
      <c r="AS12" s="114"/>
      <c r="AT12" s="115"/>
      <c r="AU12" s="115"/>
      <c r="AV12" s="131"/>
      <c r="AW12" s="117"/>
      <c r="AX12" s="136"/>
      <c r="AY12" s="137"/>
      <c r="AZ12" s="137"/>
      <c r="BA12" s="116"/>
      <c r="BB12" s="220"/>
      <c r="BC12" s="136"/>
      <c r="BD12" s="137"/>
      <c r="BE12" s="137"/>
      <c r="BF12" s="116"/>
      <c r="BG12" s="220"/>
      <c r="BH12" s="136"/>
      <c r="BI12" s="137"/>
      <c r="BJ12" s="137"/>
      <c r="BK12" s="116"/>
      <c r="BL12" s="220"/>
      <c r="BM12" s="136"/>
      <c r="BN12" s="137"/>
      <c r="BO12" s="137"/>
      <c r="BP12" s="116"/>
      <c r="BQ12" s="220"/>
      <c r="BR12" s="220"/>
      <c r="BS12" s="220"/>
      <c r="BT12" s="220"/>
      <c r="BU12" s="963"/>
      <c r="BV12" s="963"/>
      <c r="BW12" s="220"/>
      <c r="BX12" s="220"/>
      <c r="BY12" s="220"/>
      <c r="BZ12" s="220"/>
      <c r="CA12" s="220"/>
      <c r="CB12" s="220"/>
      <c r="CC12" s="220"/>
      <c r="CD12" s="220"/>
      <c r="CE12" s="220"/>
      <c r="CF12" s="220"/>
      <c r="CG12" s="220"/>
      <c r="CH12" s="220"/>
      <c r="CI12" s="220"/>
      <c r="CJ12" s="220"/>
      <c r="CK12" s="220"/>
      <c r="CL12" s="220"/>
      <c r="CM12" s="220"/>
      <c r="CN12" s="220"/>
      <c r="CO12" s="220"/>
      <c r="CP12" s="220"/>
      <c r="CQ12" s="220"/>
      <c r="CR12" s="220"/>
      <c r="CS12" s="220"/>
      <c r="CT12" s="220"/>
      <c r="CU12" s="220"/>
      <c r="CV12" s="220"/>
      <c r="CW12" s="220"/>
      <c r="CX12" s="220"/>
      <c r="CY12" s="220"/>
      <c r="CZ12" s="220"/>
    </row>
    <row r="13" spans="1:104" x14ac:dyDescent="0.2">
      <c r="A13" s="220"/>
      <c r="B13" s="220"/>
      <c r="C13" s="20" t="s">
        <v>115</v>
      </c>
      <c r="D13" s="82"/>
      <c r="E13" s="114">
        <v>382.14600000000002</v>
      </c>
      <c r="F13" s="115">
        <v>314.16300000000001</v>
      </c>
      <c r="G13" s="115">
        <v>369.34899999999999</v>
      </c>
      <c r="H13" s="131">
        <f>I13-SUM(E13:G13)</f>
        <v>346.21900000000005</v>
      </c>
      <c r="I13" s="117">
        <v>1411.877</v>
      </c>
      <c r="J13" s="114">
        <v>373.08</v>
      </c>
      <c r="K13" s="115">
        <v>351.65300000000002</v>
      </c>
      <c r="L13" s="115">
        <v>457.80500000000001</v>
      </c>
      <c r="M13" s="131">
        <f>N13-SUM(J13:L13)</f>
        <v>353.53800000000001</v>
      </c>
      <c r="N13" s="117">
        <v>1536.076</v>
      </c>
      <c r="O13" s="114">
        <v>374.077</v>
      </c>
      <c r="P13" s="115">
        <v>378.59699999999998</v>
      </c>
      <c r="Q13" s="115">
        <v>428.33300000000003</v>
      </c>
      <c r="R13" s="131">
        <f>S13-SUM(O13:Q13)</f>
        <v>361.75299999999993</v>
      </c>
      <c r="S13" s="117">
        <v>1542.76</v>
      </c>
      <c r="T13" s="114">
        <v>365.32799999999997</v>
      </c>
      <c r="U13" s="115">
        <v>362.14600000000002</v>
      </c>
      <c r="V13" s="115">
        <v>448.68099999999998</v>
      </c>
      <c r="W13" s="131">
        <f>X13-SUM(T13:V13)</f>
        <v>386.13100000000009</v>
      </c>
      <c r="X13" s="117">
        <v>1562.2860000000001</v>
      </c>
      <c r="Y13" s="114">
        <v>388.90100000000001</v>
      </c>
      <c r="Z13" s="115">
        <v>416.178</v>
      </c>
      <c r="AA13" s="115">
        <v>465.10599999999999</v>
      </c>
      <c r="AB13" s="131">
        <f>AC13-SUM(Y13:AA13)</f>
        <v>413.79200000000014</v>
      </c>
      <c r="AC13" s="117">
        <v>1683.9770000000001</v>
      </c>
      <c r="AD13" s="114">
        <v>458.08300000000003</v>
      </c>
      <c r="AE13" s="115">
        <v>395.13</v>
      </c>
      <c r="AF13" s="115">
        <v>411.62099999999998</v>
      </c>
      <c r="AG13" s="131">
        <f>AH13-SUM(AD13:AF13)</f>
        <v>411.6400000000001</v>
      </c>
      <c r="AH13" s="117">
        <v>1676.4739999999999</v>
      </c>
      <c r="AI13" s="114">
        <v>398.72</v>
      </c>
      <c r="AJ13" s="115">
        <v>384.47899999999998</v>
      </c>
      <c r="AK13" s="115">
        <v>433.99299999999999</v>
      </c>
      <c r="AL13" s="131">
        <f>AM13-SUM(AI13:AK13)</f>
        <v>366.42799999999988</v>
      </c>
      <c r="AM13" s="117">
        <v>1583.62</v>
      </c>
      <c r="AN13" s="114">
        <v>366.166</v>
      </c>
      <c r="AO13" s="115">
        <v>347.09199999999998</v>
      </c>
      <c r="AP13" s="115">
        <v>435.56</v>
      </c>
      <c r="AQ13" s="131">
        <f>AR13-SUM(AN13:AP13)</f>
        <v>393.80099999999993</v>
      </c>
      <c r="AR13" s="117">
        <v>1542.6189999999999</v>
      </c>
      <c r="AS13" s="114">
        <v>396.12099999999998</v>
      </c>
      <c r="AT13" s="115">
        <v>383.947</v>
      </c>
      <c r="AU13" s="115">
        <v>435.00299999999999</v>
      </c>
      <c r="AV13" s="131">
        <f>AW13-SUM(AS13:AU13)</f>
        <v>411.80799999999999</v>
      </c>
      <c r="AW13" s="117">
        <v>1626.8789999999999</v>
      </c>
      <c r="AX13" s="136">
        <f>+AX107</f>
        <v>401.3314521982943</v>
      </c>
      <c r="AY13" s="135">
        <f>+AY107</f>
        <v>382.18591118308808</v>
      </c>
      <c r="AZ13" s="135">
        <f>+AZ107</f>
        <v>437.8789560227786</v>
      </c>
      <c r="BA13" s="116">
        <f>+BA107</f>
        <v>413.44224306814459</v>
      </c>
      <c r="BB13" s="82">
        <f>SUM(AX13:BA13)</f>
        <v>1634.8385624723055</v>
      </c>
      <c r="BC13" s="136">
        <f>+BC107</f>
        <v>402.13394078307704</v>
      </c>
      <c r="BD13" s="135">
        <f>+BD107</f>
        <v>383.01221073317402</v>
      </c>
      <c r="BE13" s="135">
        <f>+BE107</f>
        <v>438.84479792042839</v>
      </c>
      <c r="BF13" s="116">
        <f>+BF107</f>
        <v>414.35424149145092</v>
      </c>
      <c r="BG13" s="82">
        <f>SUM(BC13:BF13)</f>
        <v>1638.3451909281303</v>
      </c>
      <c r="BH13" s="136">
        <f>+BH107</f>
        <v>402.93843558932178</v>
      </c>
      <c r="BI13" s="135">
        <f>+BI107</f>
        <v>383.84057603213523</v>
      </c>
      <c r="BJ13" s="135">
        <f>+BJ107</f>
        <v>439.81305442282218</v>
      </c>
      <c r="BK13" s="116">
        <f>+BK107</f>
        <v>415.26851991081554</v>
      </c>
      <c r="BL13" s="82">
        <f>SUM(BH13:BK13)</f>
        <v>1641.8605859550946</v>
      </c>
      <c r="BM13" s="136">
        <f>+BM107</f>
        <v>403.74494163258197</v>
      </c>
      <c r="BN13" s="135">
        <f>+BN107</f>
        <v>384.67101224434384</v>
      </c>
      <c r="BO13" s="135">
        <f>+BO107</f>
        <v>440.78373156647211</v>
      </c>
      <c r="BP13" s="116">
        <f>+BP107</f>
        <v>416.18508402622854</v>
      </c>
      <c r="BQ13" s="82">
        <f>SUM(BM13:BP13)</f>
        <v>1645.3847694696265</v>
      </c>
      <c r="BR13" s="220"/>
      <c r="BS13" s="220"/>
      <c r="BT13" s="220"/>
      <c r="BU13" s="963"/>
      <c r="BV13" s="963"/>
      <c r="BW13" s="220"/>
      <c r="BX13" s="220"/>
      <c r="BY13" s="220"/>
      <c r="BZ13" s="220"/>
      <c r="CA13" s="220"/>
      <c r="CB13" s="220"/>
      <c r="CC13" s="220"/>
      <c r="CD13" s="220"/>
      <c r="CE13" s="220"/>
      <c r="CF13" s="220"/>
      <c r="CG13" s="220"/>
      <c r="CH13" s="220"/>
      <c r="CI13" s="220"/>
      <c r="CJ13" s="220"/>
      <c r="CK13" s="220"/>
      <c r="CL13" s="220"/>
      <c r="CM13" s="220"/>
      <c r="CN13" s="220"/>
      <c r="CO13" s="220"/>
      <c r="CP13" s="220"/>
      <c r="CQ13" s="220"/>
      <c r="CR13" s="220"/>
      <c r="CS13" s="220"/>
      <c r="CT13" s="220"/>
      <c r="CU13" s="220"/>
      <c r="CV13" s="220"/>
      <c r="CW13" s="220"/>
      <c r="CX13" s="220"/>
      <c r="CY13" s="220"/>
      <c r="CZ13" s="220"/>
    </row>
    <row r="14" spans="1:104" x14ac:dyDescent="0.2">
      <c r="A14" s="220"/>
      <c r="B14" s="220"/>
      <c r="C14" s="20" t="s">
        <v>116</v>
      </c>
      <c r="D14" s="42"/>
      <c r="E14" s="114">
        <v>261.197</v>
      </c>
      <c r="F14" s="115">
        <v>43.53</v>
      </c>
      <c r="G14" s="115">
        <v>24.643000000000001</v>
      </c>
      <c r="H14" s="131">
        <f>I14-SUM(E14:G14)</f>
        <v>134.673</v>
      </c>
      <c r="I14" s="117">
        <v>464.04300000000001</v>
      </c>
      <c r="J14" s="114">
        <v>204.32599999999999</v>
      </c>
      <c r="K14" s="115">
        <v>36.22</v>
      </c>
      <c r="L14" s="115">
        <v>28.81</v>
      </c>
      <c r="M14" s="131">
        <f>N14-SUM(J14:L14)</f>
        <v>130.16800000000001</v>
      </c>
      <c r="N14" s="117">
        <v>399.524</v>
      </c>
      <c r="O14" s="114">
        <v>201.24199999999999</v>
      </c>
      <c r="P14" s="115">
        <v>56.97</v>
      </c>
      <c r="Q14" s="115">
        <v>28.532</v>
      </c>
      <c r="R14" s="131">
        <f>S14-SUM(O14:Q14)</f>
        <v>106.92800000000005</v>
      </c>
      <c r="S14" s="117">
        <v>393.67200000000003</v>
      </c>
      <c r="T14" s="114">
        <v>134.19</v>
      </c>
      <c r="U14" s="115">
        <v>25.545000000000002</v>
      </c>
      <c r="V14" s="115">
        <v>19.420000000000002</v>
      </c>
      <c r="W14" s="131">
        <f>X14-SUM(T14:V14)</f>
        <v>107.99699999999996</v>
      </c>
      <c r="X14" s="117">
        <v>287.15199999999999</v>
      </c>
      <c r="Y14" s="114">
        <v>158.77000000000001</v>
      </c>
      <c r="Z14" s="115">
        <v>64.766999999999996</v>
      </c>
      <c r="AA14" s="115">
        <v>23.481000000000002</v>
      </c>
      <c r="AB14" s="131">
        <f>AC14-SUM(Y14:AA14)</f>
        <v>133.04</v>
      </c>
      <c r="AC14" s="117">
        <v>380.05799999999999</v>
      </c>
      <c r="AD14" s="114">
        <v>262.88099999999997</v>
      </c>
      <c r="AE14" s="115">
        <v>74.427000000000007</v>
      </c>
      <c r="AF14" s="115">
        <v>31.416</v>
      </c>
      <c r="AG14" s="131">
        <f>AH14-SUM(AD14:AF14)</f>
        <v>163.75100000000003</v>
      </c>
      <c r="AH14" s="117">
        <v>532.47500000000002</v>
      </c>
      <c r="AI14" s="114">
        <v>201.18899999999999</v>
      </c>
      <c r="AJ14" s="115">
        <v>37.418999999999997</v>
      </c>
      <c r="AK14" s="115">
        <v>16.742000000000001</v>
      </c>
      <c r="AL14" s="131">
        <f>AM14-SUM(AI14:AK14)</f>
        <v>76.632000000000033</v>
      </c>
      <c r="AM14" s="117">
        <v>331.98200000000003</v>
      </c>
      <c r="AN14" s="114">
        <v>120.223</v>
      </c>
      <c r="AO14" s="115">
        <v>24.28</v>
      </c>
      <c r="AP14" s="115">
        <v>19.105</v>
      </c>
      <c r="AQ14" s="131">
        <f>AR14-SUM(AN14:AP14)</f>
        <v>89.234000000000037</v>
      </c>
      <c r="AR14" s="117">
        <v>252.84200000000001</v>
      </c>
      <c r="AS14" s="114">
        <v>142.745</v>
      </c>
      <c r="AT14" s="115">
        <v>35.5</v>
      </c>
      <c r="AU14" s="115">
        <v>20.722999999999999</v>
      </c>
      <c r="AV14" s="131">
        <f>AW14-SUM(AS14:AU14)</f>
        <v>102.81599999999997</v>
      </c>
      <c r="AW14" s="117">
        <v>301.78399999999999</v>
      </c>
      <c r="AX14" s="136">
        <f>+AX138</f>
        <v>149.66813250000001</v>
      </c>
      <c r="AY14" s="135">
        <f>+AY138</f>
        <v>35.588749999999997</v>
      </c>
      <c r="AZ14" s="135">
        <f>+AZ138</f>
        <v>20.671192500000004</v>
      </c>
      <c r="BA14" s="116">
        <f>+BA138</f>
        <v>103.58712</v>
      </c>
      <c r="BB14" s="82">
        <f>SUM(AX14:BA14)</f>
        <v>309.51519500000006</v>
      </c>
      <c r="BC14" s="136">
        <f>+BC138</f>
        <v>149.29396216875</v>
      </c>
      <c r="BD14" s="135">
        <f>+BD138</f>
        <v>35.499778124999999</v>
      </c>
      <c r="BE14" s="135">
        <f>+BE138</f>
        <v>20.619514518750005</v>
      </c>
      <c r="BF14" s="116">
        <f>+BF138</f>
        <v>103.32815219999996</v>
      </c>
      <c r="BG14" s="82">
        <f>SUM(BC14:BF14)</f>
        <v>308.74140701249996</v>
      </c>
      <c r="BH14" s="136">
        <f>+BH138</f>
        <v>148.92072726332813</v>
      </c>
      <c r="BI14" s="135">
        <f>+BI138</f>
        <v>35.411028679687497</v>
      </c>
      <c r="BJ14" s="135">
        <f>+BJ138</f>
        <v>20.567965732453132</v>
      </c>
      <c r="BK14" s="116">
        <f>+BK138</f>
        <v>103.06983181950001</v>
      </c>
      <c r="BL14" s="82">
        <f>SUM(BH14:BK14)</f>
        <v>307.96955349496875</v>
      </c>
      <c r="BM14" s="136">
        <f>+BM138</f>
        <v>148.54842544516981</v>
      </c>
      <c r="BN14" s="135">
        <f>+BN138</f>
        <v>35.32250110798828</v>
      </c>
      <c r="BO14" s="135">
        <f>+BO138</f>
        <v>20.516545818121998</v>
      </c>
      <c r="BP14" s="116">
        <f>+BP138</f>
        <v>102.81215723995125</v>
      </c>
      <c r="BQ14" s="82">
        <f>SUM(BM14:BP14)</f>
        <v>307.19962961123133</v>
      </c>
      <c r="BR14" s="220"/>
      <c r="BS14" s="220"/>
      <c r="BT14" s="220"/>
      <c r="BU14" s="963"/>
      <c r="BV14" s="963"/>
      <c r="BW14" s="220"/>
      <c r="BX14" s="220"/>
      <c r="BY14" s="220"/>
      <c r="BZ14" s="220"/>
      <c r="CA14" s="220"/>
      <c r="CB14" s="220"/>
      <c r="CC14" s="220"/>
      <c r="CD14" s="220"/>
      <c r="CE14" s="220"/>
      <c r="CF14" s="220"/>
      <c r="CG14" s="220"/>
      <c r="CH14" s="220"/>
      <c r="CI14" s="220"/>
      <c r="CJ14" s="220"/>
      <c r="CK14" s="220"/>
      <c r="CL14" s="220"/>
      <c r="CM14" s="220"/>
      <c r="CN14" s="220"/>
      <c r="CO14" s="220"/>
      <c r="CP14" s="220"/>
      <c r="CQ14" s="220"/>
      <c r="CR14" s="220"/>
      <c r="CS14" s="220"/>
      <c r="CT14" s="220"/>
      <c r="CU14" s="220"/>
      <c r="CV14" s="220"/>
      <c r="CW14" s="220"/>
      <c r="CX14" s="220"/>
      <c r="CY14" s="220"/>
      <c r="CZ14" s="220"/>
    </row>
    <row r="15" spans="1:104" x14ac:dyDescent="0.2">
      <c r="A15" s="220"/>
      <c r="B15" s="220"/>
      <c r="C15" s="20" t="s">
        <v>117</v>
      </c>
      <c r="D15" s="42"/>
      <c r="E15" s="114">
        <v>2.468</v>
      </c>
      <c r="F15" s="115">
        <v>2.5470000000000002</v>
      </c>
      <c r="G15" s="115">
        <v>2.8490000000000002</v>
      </c>
      <c r="H15" s="131">
        <f>I15-SUM(E15:G15)</f>
        <v>3.2119999999999997</v>
      </c>
      <c r="I15" s="117">
        <v>11.076000000000001</v>
      </c>
      <c r="J15" s="114">
        <v>2.7010000000000001</v>
      </c>
      <c r="K15" s="115">
        <v>2.8690000000000002</v>
      </c>
      <c r="L15" s="115">
        <v>3.1589999999999998</v>
      </c>
      <c r="M15" s="131">
        <f>N15-SUM(J15:L15)</f>
        <v>3.6760000000000002</v>
      </c>
      <c r="N15" s="117">
        <v>12.404999999999999</v>
      </c>
      <c r="O15" s="114">
        <v>2.9260000000000002</v>
      </c>
      <c r="P15" s="115">
        <v>2.8650000000000002</v>
      </c>
      <c r="Q15" s="115">
        <v>3.3410000000000002</v>
      </c>
      <c r="R15" s="131">
        <f>S15-SUM(O15:Q15)</f>
        <v>3.6049999999999986</v>
      </c>
      <c r="S15" s="117">
        <v>12.737</v>
      </c>
      <c r="T15" s="114">
        <v>3.117</v>
      </c>
      <c r="U15" s="115">
        <v>2.972</v>
      </c>
      <c r="V15" s="115">
        <v>3.581</v>
      </c>
      <c r="W15" s="131">
        <f>X15-SUM(T15:V15)</f>
        <v>3.8350000000000009</v>
      </c>
      <c r="X15" s="117">
        <v>13.505000000000001</v>
      </c>
      <c r="Y15" s="114">
        <v>3.5750000000000002</v>
      </c>
      <c r="Z15" s="115">
        <v>3.839</v>
      </c>
      <c r="AA15" s="115">
        <v>4.1219999999999999</v>
      </c>
      <c r="AB15" s="131">
        <f>AC15-SUM(Y15:AA15)</f>
        <v>4.6180000000000003</v>
      </c>
      <c r="AC15" s="117">
        <v>16.154</v>
      </c>
      <c r="AD15" s="114">
        <v>4.1269999999999998</v>
      </c>
      <c r="AE15" s="115">
        <v>4.1740000000000004</v>
      </c>
      <c r="AF15" s="115">
        <v>4.4349999999999996</v>
      </c>
      <c r="AG15" s="131">
        <f>AH15-SUM(AD15:AF15)</f>
        <v>4.634999999999998</v>
      </c>
      <c r="AH15" s="117">
        <v>17.370999999999999</v>
      </c>
      <c r="AI15" s="114">
        <v>4.327</v>
      </c>
      <c r="AJ15" s="115">
        <v>4.4669999999999996</v>
      </c>
      <c r="AK15" s="115">
        <v>4.5629999999999997</v>
      </c>
      <c r="AL15" s="131">
        <f>AM15-SUM(AI15:AK15)</f>
        <v>4.8859999999999992</v>
      </c>
      <c r="AM15" s="117">
        <v>18.242999999999999</v>
      </c>
      <c r="AN15" s="114">
        <v>4.4320000000000004</v>
      </c>
      <c r="AO15" s="115">
        <v>4.8550000000000004</v>
      </c>
      <c r="AP15" s="115">
        <v>4.8979999999999997</v>
      </c>
      <c r="AQ15" s="131">
        <f>AR15-SUM(AN15:AP15)</f>
        <v>5.766</v>
      </c>
      <c r="AR15" s="117">
        <v>19.951000000000001</v>
      </c>
      <c r="AS15" s="114">
        <v>4.1779999999999999</v>
      </c>
      <c r="AT15" s="115">
        <v>4.5940000000000003</v>
      </c>
      <c r="AU15" s="115">
        <v>4.3129999999999997</v>
      </c>
      <c r="AV15" s="131">
        <f>AW15-SUM(AS15:AU15)</f>
        <v>4.9989999999999988</v>
      </c>
      <c r="AW15" s="117">
        <v>18.084</v>
      </c>
      <c r="AX15" s="136">
        <f>+AS15</f>
        <v>4.1779999999999999</v>
      </c>
      <c r="AY15" s="135">
        <f>+AT15</f>
        <v>4.5940000000000003</v>
      </c>
      <c r="AZ15" s="135">
        <f>+AU15</f>
        <v>4.3129999999999997</v>
      </c>
      <c r="BA15" s="116">
        <f>+AV15</f>
        <v>4.9989999999999988</v>
      </c>
      <c r="BB15" s="82">
        <f>SUM(AX15:BA15)</f>
        <v>18.084</v>
      </c>
      <c r="BC15" s="136">
        <f>+AX15</f>
        <v>4.1779999999999999</v>
      </c>
      <c r="BD15" s="135">
        <f>+AY15</f>
        <v>4.5940000000000003</v>
      </c>
      <c r="BE15" s="135">
        <f>+AZ15</f>
        <v>4.3129999999999997</v>
      </c>
      <c r="BF15" s="116">
        <f>+BA15</f>
        <v>4.9989999999999988</v>
      </c>
      <c r="BG15" s="82">
        <f>SUM(BC15:BF15)</f>
        <v>18.084</v>
      </c>
      <c r="BH15" s="136">
        <f>+BC15</f>
        <v>4.1779999999999999</v>
      </c>
      <c r="BI15" s="135">
        <f>+BD15</f>
        <v>4.5940000000000003</v>
      </c>
      <c r="BJ15" s="135">
        <f>+BE15</f>
        <v>4.3129999999999997</v>
      </c>
      <c r="BK15" s="116">
        <f>+BF15</f>
        <v>4.9989999999999988</v>
      </c>
      <c r="BL15" s="82">
        <f>SUM(BH15:BK15)</f>
        <v>18.084</v>
      </c>
      <c r="BM15" s="136">
        <f>+BH15</f>
        <v>4.1779999999999999</v>
      </c>
      <c r="BN15" s="135">
        <f>+BI15</f>
        <v>4.5940000000000003</v>
      </c>
      <c r="BO15" s="135">
        <f>+BJ15</f>
        <v>4.3129999999999997</v>
      </c>
      <c r="BP15" s="116">
        <f>+BK15</f>
        <v>4.9989999999999988</v>
      </c>
      <c r="BQ15" s="82">
        <f>SUM(BM15:BP15)</f>
        <v>18.084</v>
      </c>
      <c r="BR15" s="220"/>
      <c r="BS15" s="220"/>
      <c r="BT15" s="220"/>
      <c r="BU15" s="963"/>
      <c r="BV15" s="963"/>
      <c r="BW15" s="220"/>
      <c r="BX15" s="220"/>
      <c r="BY15" s="220"/>
      <c r="BZ15" s="220"/>
      <c r="CA15" s="220"/>
      <c r="CB15" s="220"/>
      <c r="CC15" s="220"/>
      <c r="CD15" s="220"/>
      <c r="CE15" s="220"/>
      <c r="CF15" s="220"/>
      <c r="CG15" s="220"/>
      <c r="CH15" s="220"/>
      <c r="CI15" s="220"/>
      <c r="CJ15" s="220"/>
      <c r="CK15" s="220"/>
      <c r="CL15" s="220"/>
      <c r="CM15" s="220"/>
      <c r="CN15" s="220"/>
      <c r="CO15" s="220"/>
      <c r="CP15" s="220"/>
      <c r="CQ15" s="220"/>
      <c r="CR15" s="220"/>
      <c r="CS15" s="220"/>
      <c r="CT15" s="220"/>
      <c r="CU15" s="220"/>
      <c r="CV15" s="220"/>
      <c r="CW15" s="220"/>
      <c r="CX15" s="220"/>
      <c r="CY15" s="220"/>
      <c r="CZ15" s="220"/>
    </row>
    <row r="16" spans="1:104" x14ac:dyDescent="0.2">
      <c r="A16" s="85"/>
      <c r="B16" s="85"/>
      <c r="C16" s="26" t="s">
        <v>118</v>
      </c>
      <c r="D16" s="86"/>
      <c r="E16" s="121">
        <f t="shared" ref="E16:AD16" si="7">SUM(E13:E15)</f>
        <v>645.81100000000004</v>
      </c>
      <c r="F16" s="122">
        <f t="shared" si="7"/>
        <v>360.24</v>
      </c>
      <c r="G16" s="122">
        <f t="shared" si="7"/>
        <v>396.84099999999995</v>
      </c>
      <c r="H16" s="123">
        <f t="shared" si="7"/>
        <v>484.10400000000004</v>
      </c>
      <c r="I16" s="86">
        <f t="shared" si="7"/>
        <v>1886.9960000000001</v>
      </c>
      <c r="J16" s="121">
        <f t="shared" si="7"/>
        <v>580.10699999999997</v>
      </c>
      <c r="K16" s="122">
        <f t="shared" si="7"/>
        <v>390.74200000000008</v>
      </c>
      <c r="L16" s="122">
        <f t="shared" si="7"/>
        <v>489.774</v>
      </c>
      <c r="M16" s="123">
        <f t="shared" si="7"/>
        <v>487.38200000000001</v>
      </c>
      <c r="N16" s="86">
        <f t="shared" si="7"/>
        <v>1948.0049999999999</v>
      </c>
      <c r="O16" s="121">
        <f t="shared" si="7"/>
        <v>578.245</v>
      </c>
      <c r="P16" s="122">
        <f t="shared" si="7"/>
        <v>438.43200000000002</v>
      </c>
      <c r="Q16" s="122">
        <f t="shared" si="7"/>
        <v>460.20600000000002</v>
      </c>
      <c r="R16" s="123">
        <f>SUM(R13:R15)</f>
        <v>472.286</v>
      </c>
      <c r="S16" s="86">
        <f>SUM(S13:S15)</f>
        <v>1949.1690000000001</v>
      </c>
      <c r="T16" s="121">
        <f t="shared" si="7"/>
        <v>502.63499999999999</v>
      </c>
      <c r="U16" s="122">
        <f t="shared" si="7"/>
        <v>390.66300000000001</v>
      </c>
      <c r="V16" s="122">
        <f t="shared" si="7"/>
        <v>471.68200000000002</v>
      </c>
      <c r="W16" s="123">
        <f>SUM(W13:W15)</f>
        <v>497.96300000000002</v>
      </c>
      <c r="X16" s="86">
        <f>SUM(X13:X15)</f>
        <v>1862.9430000000002</v>
      </c>
      <c r="Y16" s="121">
        <f t="shared" si="7"/>
        <v>551.24600000000009</v>
      </c>
      <c r="Z16" s="122">
        <f>SUM(Z13:Z15)</f>
        <v>484.78399999999999</v>
      </c>
      <c r="AA16" s="122">
        <f>SUM(AA13:AA15)</f>
        <v>492.709</v>
      </c>
      <c r="AB16" s="123">
        <f>SUM(AB13:AB15)</f>
        <v>551.45000000000016</v>
      </c>
      <c r="AC16" s="86">
        <f>SUM(AC13:AC15)</f>
        <v>2080.1889999999999</v>
      </c>
      <c r="AD16" s="121">
        <f t="shared" si="7"/>
        <v>725.09099999999989</v>
      </c>
      <c r="AE16" s="122">
        <f t="shared" ref="AE16:AJ16" si="8">SUM(AE13:AE15)</f>
        <v>473.73099999999999</v>
      </c>
      <c r="AF16" s="122">
        <f t="shared" si="8"/>
        <v>447.47199999999998</v>
      </c>
      <c r="AG16" s="123">
        <f t="shared" si="8"/>
        <v>580.02600000000007</v>
      </c>
      <c r="AH16" s="86">
        <f t="shared" si="8"/>
        <v>2226.3200000000002</v>
      </c>
      <c r="AI16" s="121">
        <f t="shared" si="8"/>
        <v>604.23599999999999</v>
      </c>
      <c r="AJ16" s="122">
        <f t="shared" si="8"/>
        <v>426.36499999999995</v>
      </c>
      <c r="AK16" s="122">
        <f t="shared" ref="AK16:AP16" si="9">SUM(AK13:AK15)</f>
        <v>455.298</v>
      </c>
      <c r="AL16" s="123">
        <f t="shared" si="9"/>
        <v>447.94599999999997</v>
      </c>
      <c r="AM16" s="86">
        <f t="shared" si="9"/>
        <v>1933.8449999999998</v>
      </c>
      <c r="AN16" s="121">
        <f t="shared" si="9"/>
        <v>490.82100000000003</v>
      </c>
      <c r="AO16" s="122">
        <f t="shared" si="9"/>
        <v>376.22699999999998</v>
      </c>
      <c r="AP16" s="122">
        <f t="shared" si="9"/>
        <v>459.56300000000005</v>
      </c>
      <c r="AQ16" s="123">
        <f t="shared" ref="AQ16:AT16" si="10">SUM(AQ13:AQ15)</f>
        <v>488.80099999999999</v>
      </c>
      <c r="AR16" s="86">
        <f t="shared" si="10"/>
        <v>1815.412</v>
      </c>
      <c r="AS16" s="121">
        <f t="shared" si="10"/>
        <v>543.04399999999998</v>
      </c>
      <c r="AT16" s="122">
        <f t="shared" si="10"/>
        <v>424.041</v>
      </c>
      <c r="AU16" s="122">
        <f>SUM(AU13:AU15)</f>
        <v>460.03899999999999</v>
      </c>
      <c r="AV16" s="123">
        <f t="shared" ref="AV16:AW16" si="11">SUM(AV13:AV15)</f>
        <v>519.62300000000005</v>
      </c>
      <c r="AW16" s="86">
        <f t="shared" si="11"/>
        <v>1946.7470000000001</v>
      </c>
      <c r="AX16" s="121">
        <f t="shared" ref="AX16:BG16" si="12">SUM(AX13:AX15)</f>
        <v>555.17758469829425</v>
      </c>
      <c r="AY16" s="122">
        <f t="shared" si="12"/>
        <v>422.36866118308808</v>
      </c>
      <c r="AZ16" s="122">
        <f t="shared" si="12"/>
        <v>462.8631485227786</v>
      </c>
      <c r="BA16" s="123">
        <f t="shared" si="12"/>
        <v>522.02836306814459</v>
      </c>
      <c r="BB16" s="86">
        <f t="shared" si="12"/>
        <v>1962.4377574723055</v>
      </c>
      <c r="BC16" s="121">
        <f t="shared" si="12"/>
        <v>555.60590295182703</v>
      </c>
      <c r="BD16" s="122">
        <f t="shared" si="12"/>
        <v>423.10598885817399</v>
      </c>
      <c r="BE16" s="122">
        <f t="shared" si="12"/>
        <v>463.77731243917839</v>
      </c>
      <c r="BF16" s="123">
        <f t="shared" si="12"/>
        <v>522.68139369145092</v>
      </c>
      <c r="BG16" s="86">
        <f t="shared" si="12"/>
        <v>1965.1705979406304</v>
      </c>
      <c r="BH16" s="121">
        <f t="shared" ref="BH16:BQ16" si="13">SUM(BH13:BH15)</f>
        <v>556.03716285264989</v>
      </c>
      <c r="BI16" s="122">
        <f t="shared" si="13"/>
        <v>423.84560471182272</v>
      </c>
      <c r="BJ16" s="122">
        <f t="shared" si="13"/>
        <v>464.69402015527533</v>
      </c>
      <c r="BK16" s="123">
        <f t="shared" si="13"/>
        <v>523.33735173031562</v>
      </c>
      <c r="BL16" s="86">
        <f t="shared" si="13"/>
        <v>1967.9141394500634</v>
      </c>
      <c r="BM16" s="121">
        <f t="shared" si="13"/>
        <v>556.47136707775178</v>
      </c>
      <c r="BN16" s="122">
        <f t="shared" si="13"/>
        <v>424.58751335233211</v>
      </c>
      <c r="BO16" s="122">
        <f t="shared" si="13"/>
        <v>465.61327738459408</v>
      </c>
      <c r="BP16" s="123">
        <f t="shared" si="13"/>
        <v>523.99624126617982</v>
      </c>
      <c r="BQ16" s="86">
        <f t="shared" si="13"/>
        <v>1970.6683990808579</v>
      </c>
      <c r="BR16" s="85"/>
      <c r="BS16" s="85"/>
      <c r="BT16" s="85"/>
      <c r="BU16" s="964"/>
      <c r="BV16" s="964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</row>
    <row r="17" spans="1:104" x14ac:dyDescent="0.2">
      <c r="A17" s="220"/>
      <c r="B17" s="220"/>
      <c r="C17" s="20"/>
      <c r="D17" s="82"/>
      <c r="E17" s="114"/>
      <c r="F17" s="133"/>
      <c r="G17" s="133"/>
      <c r="H17" s="131"/>
      <c r="I17" s="117"/>
      <c r="J17" s="114"/>
      <c r="K17" s="133"/>
      <c r="L17" s="133"/>
      <c r="M17" s="131"/>
      <c r="N17" s="117"/>
      <c r="O17" s="114"/>
      <c r="P17" s="115"/>
      <c r="Q17" s="115"/>
      <c r="R17" s="131"/>
      <c r="S17" s="117"/>
      <c r="T17" s="114"/>
      <c r="U17" s="115"/>
      <c r="V17" s="115"/>
      <c r="W17" s="131"/>
      <c r="X17" s="117"/>
      <c r="Y17" s="114"/>
      <c r="Z17" s="115"/>
      <c r="AA17" s="115"/>
      <c r="AB17" s="131"/>
      <c r="AC17" s="117"/>
      <c r="AD17" s="114"/>
      <c r="AE17" s="115"/>
      <c r="AF17" s="115"/>
      <c r="AG17" s="131"/>
      <c r="AH17" s="117"/>
      <c r="AI17" s="114"/>
      <c r="AJ17" s="115"/>
      <c r="AK17" s="115"/>
      <c r="AL17" s="131"/>
      <c r="AM17" s="117"/>
      <c r="AN17" s="114"/>
      <c r="AO17" s="115"/>
      <c r="AP17" s="115"/>
      <c r="AQ17" s="131"/>
      <c r="AR17" s="117"/>
      <c r="AS17" s="114"/>
      <c r="AT17" s="115"/>
      <c r="AU17" s="115"/>
      <c r="AV17" s="131"/>
      <c r="AW17" s="117"/>
      <c r="AX17" s="136"/>
      <c r="AY17" s="137"/>
      <c r="AZ17" s="137"/>
      <c r="BA17" s="116"/>
      <c r="BB17" s="220"/>
      <c r="BC17" s="136"/>
      <c r="BD17" s="137"/>
      <c r="BE17" s="137"/>
      <c r="BF17" s="116"/>
      <c r="BG17" s="220"/>
      <c r="BH17" s="136"/>
      <c r="BI17" s="137"/>
      <c r="BJ17" s="137"/>
      <c r="BK17" s="116"/>
      <c r="BL17" s="220"/>
      <c r="BM17" s="136"/>
      <c r="BN17" s="137"/>
      <c r="BO17" s="137"/>
      <c r="BP17" s="116"/>
      <c r="BQ17" s="220"/>
      <c r="BR17" s="220"/>
      <c r="BS17" s="220"/>
      <c r="BT17" s="220"/>
      <c r="BU17" s="963"/>
      <c r="BV17" s="963"/>
      <c r="BW17" s="220"/>
      <c r="BX17" s="220"/>
      <c r="BY17" s="220"/>
      <c r="BZ17" s="220"/>
      <c r="CA17" s="220"/>
      <c r="CB17" s="220"/>
      <c r="CC17" s="220"/>
      <c r="CD17" s="220"/>
      <c r="CE17" s="220"/>
      <c r="CF17" s="220"/>
      <c r="CG17" s="220"/>
      <c r="CH17" s="220"/>
      <c r="CI17" s="220"/>
      <c r="CJ17" s="220"/>
      <c r="CK17" s="220"/>
      <c r="CL17" s="220"/>
      <c r="CM17" s="220"/>
      <c r="CN17" s="220"/>
      <c r="CO17" s="220"/>
      <c r="CP17" s="220"/>
      <c r="CQ17" s="220"/>
      <c r="CR17" s="220"/>
      <c r="CS17" s="220"/>
      <c r="CT17" s="220"/>
      <c r="CU17" s="220"/>
      <c r="CV17" s="220"/>
      <c r="CW17" s="220"/>
      <c r="CX17" s="220"/>
      <c r="CY17" s="220"/>
      <c r="CZ17" s="220"/>
    </row>
    <row r="18" spans="1:104" x14ac:dyDescent="0.2">
      <c r="A18" s="85"/>
      <c r="B18" s="85"/>
      <c r="C18" s="26" t="s">
        <v>119</v>
      </c>
      <c r="D18" s="86"/>
      <c r="E18" s="121">
        <f t="shared" ref="E18:Q18" si="14">+E11-E16</f>
        <v>557.572</v>
      </c>
      <c r="F18" s="122">
        <f t="shared" si="14"/>
        <v>506.16399999999987</v>
      </c>
      <c r="G18" s="122">
        <f t="shared" si="14"/>
        <v>572.51800000000003</v>
      </c>
      <c r="H18" s="123">
        <f t="shared" si="14"/>
        <v>543.43900000000031</v>
      </c>
      <c r="I18" s="86">
        <f t="shared" si="14"/>
        <v>2179.6929999999998</v>
      </c>
      <c r="J18" s="121">
        <f t="shared" si="14"/>
        <v>547</v>
      </c>
      <c r="K18" s="122">
        <f t="shared" si="14"/>
        <v>525.54799999999989</v>
      </c>
      <c r="L18" s="122">
        <f t="shared" si="14"/>
        <v>641.13900000000001</v>
      </c>
      <c r="M18" s="123">
        <f t="shared" si="14"/>
        <v>572.62400000000002</v>
      </c>
      <c r="N18" s="86">
        <f t="shared" si="14"/>
        <v>2286.3109999999997</v>
      </c>
      <c r="O18" s="121">
        <f t="shared" si="14"/>
        <v>614.64699999999982</v>
      </c>
      <c r="P18" s="122">
        <f t="shared" si="14"/>
        <v>572.09400000000005</v>
      </c>
      <c r="Q18" s="122">
        <f t="shared" si="14"/>
        <v>707.9319999999999</v>
      </c>
      <c r="R18" s="123">
        <f t="shared" ref="R18:Y18" si="15">+R11-R16</f>
        <v>554.67900000000009</v>
      </c>
      <c r="S18" s="86">
        <f t="shared" si="15"/>
        <v>2449.3520000000008</v>
      </c>
      <c r="T18" s="121">
        <f t="shared" si="15"/>
        <v>574.13800000000015</v>
      </c>
      <c r="U18" s="122">
        <f t="shared" si="15"/>
        <v>581.87299999999993</v>
      </c>
      <c r="V18" s="122">
        <f t="shared" si="15"/>
        <v>713.71800000000007</v>
      </c>
      <c r="W18" s="123">
        <f t="shared" si="15"/>
        <v>604.66699999999992</v>
      </c>
      <c r="X18" s="86">
        <f t="shared" si="15"/>
        <v>2474.3959999999997</v>
      </c>
      <c r="Y18" s="121">
        <f t="shared" si="15"/>
        <v>641.98900000000003</v>
      </c>
      <c r="Z18" s="122">
        <f t="shared" ref="Z18:AF18" si="16">+Z11-Z16</f>
        <v>600.06100000000004</v>
      </c>
      <c r="AA18" s="122">
        <f t="shared" si="16"/>
        <v>724.76699999999983</v>
      </c>
      <c r="AB18" s="123">
        <f t="shared" si="16"/>
        <v>632.60399999999947</v>
      </c>
      <c r="AC18" s="86">
        <f t="shared" si="16"/>
        <v>2599.4209999999998</v>
      </c>
      <c r="AD18" s="121">
        <f t="shared" si="16"/>
        <v>699.2349999999999</v>
      </c>
      <c r="AE18" s="122">
        <f t="shared" si="16"/>
        <v>651.02800000000002</v>
      </c>
      <c r="AF18" s="122">
        <f t="shared" si="16"/>
        <v>742.74099999999999</v>
      </c>
      <c r="AG18" s="123">
        <f t="shared" ref="AG18:AM18" si="17">+AG11-AG16</f>
        <v>669.20099999999979</v>
      </c>
      <c r="AH18" s="86">
        <f t="shared" si="17"/>
        <v>2762.2049999999995</v>
      </c>
      <c r="AI18" s="121">
        <f t="shared" si="17"/>
        <v>688.24600000000021</v>
      </c>
      <c r="AJ18" s="122">
        <f t="shared" si="17"/>
        <v>655.60900000000015</v>
      </c>
      <c r="AK18" s="122">
        <f t="shared" si="17"/>
        <v>793.54200000000014</v>
      </c>
      <c r="AL18" s="123">
        <f t="shared" si="17"/>
        <v>685.56400000000008</v>
      </c>
      <c r="AM18" s="86">
        <f t="shared" si="17"/>
        <v>2822.9610000000007</v>
      </c>
      <c r="AN18" s="121">
        <f>+AN11-AN16</f>
        <v>743.81200000000001</v>
      </c>
      <c r="AO18" s="122">
        <f>+AO11-AO16</f>
        <v>711.87300000000016</v>
      </c>
      <c r="AP18" s="122">
        <f t="shared" ref="AP18:AR18" si="18">+AP11-AP16</f>
        <v>885.81600000000003</v>
      </c>
      <c r="AQ18" s="123">
        <f t="shared" si="18"/>
        <v>743.37400000000002</v>
      </c>
      <c r="AR18" s="86">
        <f t="shared" si="18"/>
        <v>3084.875</v>
      </c>
      <c r="AS18" s="121">
        <f>+AS11-AS16</f>
        <v>764.09599999999989</v>
      </c>
      <c r="AT18" s="122">
        <f>+AT11-AT16</f>
        <v>740.89900000000011</v>
      </c>
      <c r="AU18" s="122">
        <f>+AU11-AU16</f>
        <v>895.74</v>
      </c>
      <c r="AV18" s="123">
        <f t="shared" ref="AV18:AW18" si="19">+AV11-AV16</f>
        <v>754.5450000000003</v>
      </c>
      <c r="AW18" s="86">
        <f t="shared" si="19"/>
        <v>3155.2800000000007</v>
      </c>
      <c r="AX18" s="121">
        <f t="shared" ref="AX18:BG18" si="20">+AX11-AX16</f>
        <v>777.70272222065171</v>
      </c>
      <c r="AY18" s="122">
        <f t="shared" si="20"/>
        <v>745.59413456711695</v>
      </c>
      <c r="AZ18" s="122">
        <f t="shared" si="20"/>
        <v>880.99282319497752</v>
      </c>
      <c r="BA18" s="123">
        <f t="shared" si="20"/>
        <v>758.99070158280176</v>
      </c>
      <c r="BB18" s="86">
        <f t="shared" si="20"/>
        <v>3163.280381565547</v>
      </c>
      <c r="BC18" s="121">
        <f t="shared" si="20"/>
        <v>805.99964093467713</v>
      </c>
      <c r="BD18" s="122">
        <f t="shared" si="20"/>
        <v>775.25383180059157</v>
      </c>
      <c r="BE18" s="122">
        <f t="shared" si="20"/>
        <v>917.98927348560346</v>
      </c>
      <c r="BF18" s="123">
        <f t="shared" si="20"/>
        <v>787.35940210138369</v>
      </c>
      <c r="BG18" s="86">
        <f t="shared" si="20"/>
        <v>3286.6021483222557</v>
      </c>
      <c r="BH18" s="121">
        <f t="shared" ref="BH18:BQ18" si="21">+BH11-BH16</f>
        <v>836.34038791438127</v>
      </c>
      <c r="BI18" s="122">
        <f t="shared" si="21"/>
        <v>807.04601052092085</v>
      </c>
      <c r="BJ18" s="122">
        <f t="shared" si="21"/>
        <v>957.6509222300607</v>
      </c>
      <c r="BK18" s="123">
        <f t="shared" si="21"/>
        <v>817.77199501896177</v>
      </c>
      <c r="BL18" s="86">
        <f t="shared" si="21"/>
        <v>3418.8093156843247</v>
      </c>
      <c r="BM18" s="121">
        <f t="shared" si="21"/>
        <v>860.19310808478201</v>
      </c>
      <c r="BN18" s="122">
        <f t="shared" si="21"/>
        <v>832.06786626045732</v>
      </c>
      <c r="BO18" s="122">
        <f t="shared" si="21"/>
        <v>988.84926335521868</v>
      </c>
      <c r="BP18" s="123">
        <f t="shared" si="21"/>
        <v>841.69662570919058</v>
      </c>
      <c r="BQ18" s="86">
        <f t="shared" si="21"/>
        <v>3522.8068634096489</v>
      </c>
      <c r="BR18" s="85"/>
      <c r="BS18" s="85"/>
      <c r="BT18" s="85"/>
      <c r="BU18" s="964"/>
      <c r="BV18" s="964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</row>
    <row r="19" spans="1:104" x14ac:dyDescent="0.2">
      <c r="A19" s="44"/>
      <c r="B19" s="44"/>
      <c r="C19" s="20"/>
      <c r="D19" s="42"/>
      <c r="E19" s="120"/>
      <c r="F19" s="139"/>
      <c r="G19" s="139"/>
      <c r="H19" s="119"/>
      <c r="I19" s="42"/>
      <c r="J19" s="120"/>
      <c r="K19" s="139"/>
      <c r="L19" s="139"/>
      <c r="M19" s="119"/>
      <c r="N19" s="42"/>
      <c r="O19" s="120"/>
      <c r="P19" s="139"/>
      <c r="Q19" s="139"/>
      <c r="R19" s="119"/>
      <c r="S19" s="42"/>
      <c r="T19" s="120"/>
      <c r="U19" s="139"/>
      <c r="V19" s="139"/>
      <c r="W19" s="119"/>
      <c r="X19" s="42"/>
      <c r="Y19" s="120"/>
      <c r="Z19" s="139"/>
      <c r="AA19" s="139"/>
      <c r="AB19" s="119"/>
      <c r="AC19" s="42"/>
      <c r="AD19" s="120"/>
      <c r="AE19" s="139"/>
      <c r="AF19" s="139"/>
      <c r="AG19" s="119"/>
      <c r="AH19" s="42"/>
      <c r="AI19" s="120"/>
      <c r="AJ19" s="139"/>
      <c r="AK19" s="139"/>
      <c r="AL19" s="119"/>
      <c r="AM19" s="42"/>
      <c r="AN19" s="120"/>
      <c r="AO19" s="139"/>
      <c r="AP19" s="139"/>
      <c r="AQ19" s="119"/>
      <c r="AR19" s="42"/>
      <c r="AS19" s="120"/>
      <c r="AT19" s="139"/>
      <c r="AU19" s="139"/>
      <c r="AV19" s="119"/>
      <c r="AW19" s="42"/>
      <c r="AX19" s="120"/>
      <c r="AY19" s="139"/>
      <c r="AZ19" s="139"/>
      <c r="BA19" s="119"/>
      <c r="BB19" s="44"/>
      <c r="BC19" s="120"/>
      <c r="BD19" s="139"/>
      <c r="BE19" s="139"/>
      <c r="BF19" s="119"/>
      <c r="BG19" s="44"/>
      <c r="BH19" s="120"/>
      <c r="BI19" s="139"/>
      <c r="BJ19" s="139"/>
      <c r="BK19" s="119"/>
      <c r="BL19" s="44"/>
      <c r="BM19" s="120"/>
      <c r="BN19" s="139"/>
      <c r="BO19" s="139"/>
      <c r="BP19" s="119"/>
      <c r="BQ19" s="44"/>
      <c r="BR19" s="44"/>
      <c r="BS19" s="44"/>
      <c r="BT19" s="44"/>
      <c r="BU19" s="963"/>
      <c r="BV19" s="963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  <c r="CX19" s="44"/>
      <c r="CY19" s="44"/>
      <c r="CZ19" s="44"/>
    </row>
    <row r="20" spans="1:104" x14ac:dyDescent="0.2">
      <c r="A20" s="44"/>
      <c r="B20" s="44"/>
      <c r="C20" s="20" t="s">
        <v>120</v>
      </c>
      <c r="D20" s="42"/>
      <c r="E20" s="114">
        <v>243.096</v>
      </c>
      <c r="F20" s="115">
        <v>245.63399999999999</v>
      </c>
      <c r="G20" s="115">
        <v>233.232</v>
      </c>
      <c r="H20" s="131">
        <f>I20-SUM(E20:G20)</f>
        <v>246.40800000000002</v>
      </c>
      <c r="I20" s="117">
        <v>968.37</v>
      </c>
      <c r="J20" s="114">
        <v>249.012</v>
      </c>
      <c r="K20" s="115">
        <v>263.57600000000002</v>
      </c>
      <c r="L20" s="115">
        <v>258.01499999999999</v>
      </c>
      <c r="M20" s="131">
        <f>N20-SUM(J20:L20)</f>
        <v>267.149</v>
      </c>
      <c r="N20" s="117">
        <v>1037.752</v>
      </c>
      <c r="O20" s="114">
        <v>255.214</v>
      </c>
      <c r="P20" s="115">
        <v>261.62599999999998</v>
      </c>
      <c r="Q20" s="115">
        <v>266.45100000000002</v>
      </c>
      <c r="R20" s="131">
        <f>S20-SUM(O20:Q20)</f>
        <v>281.37400000000002</v>
      </c>
      <c r="S20" s="117">
        <v>1064.665</v>
      </c>
      <c r="T20" s="114">
        <v>261.02999999999997</v>
      </c>
      <c r="U20" s="115">
        <v>271.61099999999999</v>
      </c>
      <c r="V20" s="115">
        <v>270.40300000000002</v>
      </c>
      <c r="W20" s="131">
        <f>X20-SUM(T20:V20)</f>
        <v>299.25799999999992</v>
      </c>
      <c r="X20" s="117">
        <v>1102.3019999999999</v>
      </c>
      <c r="Y20" s="114">
        <v>273.27999999999997</v>
      </c>
      <c r="Z20" s="115">
        <v>286.42200000000003</v>
      </c>
      <c r="AA20" s="115">
        <v>294.83100000000002</v>
      </c>
      <c r="AB20" s="131">
        <f>AC20-SUM(Y20:AA20)</f>
        <v>317.322</v>
      </c>
      <c r="AC20" s="117">
        <v>1171.855</v>
      </c>
      <c r="AD20" s="114">
        <v>297.58100000000002</v>
      </c>
      <c r="AE20" s="115">
        <v>308.52</v>
      </c>
      <c r="AF20" s="115">
        <v>296.70699999999999</v>
      </c>
      <c r="AG20" s="131">
        <f>AH20-SUM(AD20:AF20)</f>
        <v>321.02099999999996</v>
      </c>
      <c r="AH20" s="117">
        <v>1223.829</v>
      </c>
      <c r="AI20" s="114">
        <v>314.05</v>
      </c>
      <c r="AJ20" s="115">
        <v>311.512</v>
      </c>
      <c r="AK20" s="115">
        <v>290.86500000000001</v>
      </c>
      <c r="AL20" s="131">
        <f>AM20-SUM(AI20:AK20)</f>
        <v>296.08000000000004</v>
      </c>
      <c r="AM20" s="117">
        <v>1212.5070000000001</v>
      </c>
      <c r="AN20" s="114">
        <v>320.49599999999998</v>
      </c>
      <c r="AO20" s="115">
        <v>318.54000000000002</v>
      </c>
      <c r="AP20" s="115">
        <v>315.298</v>
      </c>
      <c r="AQ20" s="131">
        <f>AR20-SUM(AN20:AP20)</f>
        <v>291.45399999999995</v>
      </c>
      <c r="AR20" s="117">
        <v>1245.788</v>
      </c>
      <c r="AS20" s="114">
        <v>312.024</v>
      </c>
      <c r="AT20" s="115">
        <v>308.58699999999999</v>
      </c>
      <c r="AU20" s="115">
        <v>288.77</v>
      </c>
      <c r="AV20" s="131">
        <f>AW20-SUM(AS20:AU20)</f>
        <v>303.70999999999992</v>
      </c>
      <c r="AW20" s="117">
        <v>1213.0909999999999</v>
      </c>
      <c r="AX20" s="120">
        <f>+AX149</f>
        <v>312.024</v>
      </c>
      <c r="AY20" s="118">
        <f>+AY149</f>
        <v>308.58699999999999</v>
      </c>
      <c r="AZ20" s="118">
        <f>+AZ149</f>
        <v>288.77</v>
      </c>
      <c r="BA20" s="119">
        <f>+BA149</f>
        <v>303.70999999999992</v>
      </c>
      <c r="BB20" s="42">
        <f>SUM(AX20:BA20)</f>
        <v>1213.0909999999999</v>
      </c>
      <c r="BC20" s="120">
        <f>+BC149</f>
        <v>315.14424000000002</v>
      </c>
      <c r="BD20" s="118">
        <f>+BD149</f>
        <v>311.67286999999999</v>
      </c>
      <c r="BE20" s="118">
        <f>+BE149</f>
        <v>291.65769999999998</v>
      </c>
      <c r="BF20" s="119">
        <f>+BF149</f>
        <v>306.74709999999993</v>
      </c>
      <c r="BG20" s="42">
        <f>SUM(BC20:BF20)</f>
        <v>1225.2219099999998</v>
      </c>
      <c r="BH20" s="120">
        <f>+BH149</f>
        <v>318.29568240000003</v>
      </c>
      <c r="BI20" s="118">
        <f>+BI149</f>
        <v>314.7895987</v>
      </c>
      <c r="BJ20" s="118">
        <f>+BJ149</f>
        <v>294.574277</v>
      </c>
      <c r="BK20" s="119">
        <f>+BK149</f>
        <v>309.81457099999994</v>
      </c>
      <c r="BL20" s="42">
        <f>SUM(BH20:BK20)</f>
        <v>1237.4741290999998</v>
      </c>
      <c r="BM20" s="120">
        <f>+BM149</f>
        <v>321.47863922400006</v>
      </c>
      <c r="BN20" s="118">
        <f>+BN149</f>
        <v>317.93749468700003</v>
      </c>
      <c r="BO20" s="118">
        <f>+BO149</f>
        <v>297.52001976999998</v>
      </c>
      <c r="BP20" s="119">
        <f>+BP149</f>
        <v>312.91271670999993</v>
      </c>
      <c r="BQ20" s="42">
        <f>SUM(BM20:BP20)</f>
        <v>1249.848870391</v>
      </c>
      <c r="BR20" s="44"/>
      <c r="BS20" s="44"/>
      <c r="BT20" s="44"/>
      <c r="BU20" s="963"/>
      <c r="BV20" s="963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</row>
    <row r="21" spans="1:104" x14ac:dyDescent="0.2">
      <c r="A21" s="44"/>
      <c r="B21" s="44"/>
      <c r="C21" s="20" t="s">
        <v>121</v>
      </c>
      <c r="D21" s="42"/>
      <c r="E21" s="114">
        <v>104.009</v>
      </c>
      <c r="F21" s="115">
        <v>97.108000000000004</v>
      </c>
      <c r="G21" s="115">
        <v>90.775999999999996</v>
      </c>
      <c r="H21" s="131">
        <f>I21-SUM(E21:G21)</f>
        <v>97.47399999999999</v>
      </c>
      <c r="I21" s="117">
        <v>389.36700000000002</v>
      </c>
      <c r="J21" s="114">
        <v>96.281999999999996</v>
      </c>
      <c r="K21" s="115">
        <v>99.257999999999996</v>
      </c>
      <c r="L21" s="115">
        <v>105.67</v>
      </c>
      <c r="M21" s="131">
        <f>N21-SUM(J21:L21)</f>
        <v>99.926000000000045</v>
      </c>
      <c r="N21" s="117">
        <v>401.13600000000002</v>
      </c>
      <c r="O21" s="114">
        <v>100.473</v>
      </c>
      <c r="P21" s="115">
        <v>104.355</v>
      </c>
      <c r="Q21" s="115">
        <v>111.43600000000001</v>
      </c>
      <c r="R21" s="131">
        <f>S21-SUM(O21:Q21)</f>
        <v>64.760999999999967</v>
      </c>
      <c r="S21" s="117">
        <v>381.02499999999998</v>
      </c>
      <c r="T21" s="114">
        <v>98.98</v>
      </c>
      <c r="U21" s="115">
        <v>99.923000000000002</v>
      </c>
      <c r="V21" s="115">
        <v>105.89100000000001</v>
      </c>
      <c r="W21" s="131">
        <f>X21-SUM(T21:V21)</f>
        <v>94.637999999999977</v>
      </c>
      <c r="X21" s="117">
        <v>399.43200000000002</v>
      </c>
      <c r="Y21" s="114">
        <v>109.08499999999999</v>
      </c>
      <c r="Z21" s="115">
        <v>103.735</v>
      </c>
      <c r="AA21" s="115">
        <v>89.227999999999994</v>
      </c>
      <c r="AB21" s="131">
        <f>AC21-SUM(Y21:AA21)</f>
        <v>112.54000000000002</v>
      </c>
      <c r="AC21" s="117">
        <v>414.58800000000002</v>
      </c>
      <c r="AD21" s="114">
        <v>99.185000000000002</v>
      </c>
      <c r="AE21" s="115">
        <v>101.90600000000001</v>
      </c>
      <c r="AF21" s="115">
        <v>102.84099999999999</v>
      </c>
      <c r="AG21" s="131">
        <f>AH21-SUM(AD21:AF21)</f>
        <v>106.90799999999996</v>
      </c>
      <c r="AH21" s="117">
        <v>410.84</v>
      </c>
      <c r="AI21" s="114">
        <v>118.075</v>
      </c>
      <c r="AJ21" s="115">
        <v>116.245</v>
      </c>
      <c r="AK21" s="115">
        <v>119.63</v>
      </c>
      <c r="AL21" s="131">
        <f>AM21-SUM(AI21:AK21)</f>
        <v>125.392</v>
      </c>
      <c r="AM21" s="117">
        <v>479.34199999999998</v>
      </c>
      <c r="AN21" s="114">
        <v>145.797</v>
      </c>
      <c r="AO21" s="115">
        <v>147.44399999999999</v>
      </c>
      <c r="AP21" s="115">
        <v>149.40799999999999</v>
      </c>
      <c r="AQ21" s="131">
        <f>AR21-SUM(AN21:AP21)</f>
        <v>154.00900000000001</v>
      </c>
      <c r="AR21" s="117">
        <v>596.65800000000002</v>
      </c>
      <c r="AS21" s="114">
        <v>172.179</v>
      </c>
      <c r="AT21" s="115">
        <v>173.15199999999999</v>
      </c>
      <c r="AU21" s="115">
        <v>176.739</v>
      </c>
      <c r="AV21" s="131">
        <f>AW21-SUM(AS21:AU21)</f>
        <v>178.56699999999989</v>
      </c>
      <c r="AW21" s="117">
        <v>700.63699999999994</v>
      </c>
      <c r="AX21" s="120">
        <f>AX167</f>
        <v>184.54134799999994</v>
      </c>
      <c r="AY21" s="118">
        <f>AY167</f>
        <v>185.00623894299997</v>
      </c>
      <c r="AZ21" s="118">
        <f>AZ167</f>
        <v>187.40801879911922</v>
      </c>
      <c r="BA21" s="119">
        <f>BA167</f>
        <v>189.77317151243267</v>
      </c>
      <c r="BB21" s="42">
        <f>SUM(AX21:BA21)</f>
        <v>746.7287772545518</v>
      </c>
      <c r="BC21" s="120">
        <f>BC167</f>
        <v>190.429733942224</v>
      </c>
      <c r="BD21" s="118">
        <f>BD167</f>
        <v>190.85105508610775</v>
      </c>
      <c r="BE21" s="118">
        <f>BE167</f>
        <v>195.18439231058321</v>
      </c>
      <c r="BF21" s="119">
        <f>BF167</f>
        <v>199.45222149173873</v>
      </c>
      <c r="BG21" s="42">
        <f>SUM(BC21:BF21)</f>
        <v>775.9174028306536</v>
      </c>
      <c r="BH21" s="120">
        <f>BH167</f>
        <v>200.48944412099056</v>
      </c>
      <c r="BI21" s="118">
        <f>BI167</f>
        <v>206.18651133079277</v>
      </c>
      <c r="BJ21" s="118">
        <f>BJ167</f>
        <v>208.51280154685617</v>
      </c>
      <c r="BK21" s="119">
        <f>BK167</f>
        <v>210.80447142263145</v>
      </c>
      <c r="BL21" s="42">
        <f>SUM(BH21:BK21)</f>
        <v>825.99322842127094</v>
      </c>
      <c r="BM21" s="120">
        <f>BM167</f>
        <v>212.77616875215239</v>
      </c>
      <c r="BN21" s="118">
        <f>BN167</f>
        <v>214.5228364579549</v>
      </c>
      <c r="BO21" s="118">
        <f>BO167</f>
        <v>217.24228747537646</v>
      </c>
      <c r="BP21" s="119">
        <f>BP167</f>
        <v>219.92132135170243</v>
      </c>
      <c r="BQ21" s="42">
        <f>SUM(BM21:BP21)</f>
        <v>864.4626140371862</v>
      </c>
      <c r="BR21" s="44"/>
      <c r="BS21" s="44"/>
      <c r="BT21" s="44"/>
      <c r="BU21" s="963"/>
      <c r="BV21" s="963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  <c r="CX21" s="44"/>
      <c r="CY21" s="44"/>
      <c r="CZ21" s="44"/>
    </row>
    <row r="22" spans="1:104" x14ac:dyDescent="0.2">
      <c r="A22" s="44"/>
      <c r="B22" s="44"/>
      <c r="C22" t="s">
        <v>122</v>
      </c>
      <c r="D22" s="42"/>
      <c r="E22" s="114">
        <v>36.822000000000003</v>
      </c>
      <c r="F22" s="115">
        <v>35.39</v>
      </c>
      <c r="G22" s="115">
        <v>37.680999999999997</v>
      </c>
      <c r="H22" s="131">
        <f>I22-SUM(E22:G22)</f>
        <v>37.300000000000011</v>
      </c>
      <c r="I22" s="117">
        <v>147.19300000000001</v>
      </c>
      <c r="J22" s="114">
        <v>40.22</v>
      </c>
      <c r="K22" s="115">
        <v>39.387</v>
      </c>
      <c r="L22" s="115">
        <v>38.268999999999998</v>
      </c>
      <c r="M22" s="131">
        <f>N22-SUM(J22:L22)</f>
        <v>45.025000000000006</v>
      </c>
      <c r="N22" s="117">
        <v>162.90100000000001</v>
      </c>
      <c r="O22" s="114">
        <v>45.652999999999999</v>
      </c>
      <c r="P22" s="115">
        <v>40.334000000000003</v>
      </c>
      <c r="Q22" s="115">
        <v>40.58</v>
      </c>
      <c r="R22" s="131">
        <f>S22-SUM(O22:Q22)</f>
        <v>46.159000000000006</v>
      </c>
      <c r="S22" s="117">
        <v>172.726</v>
      </c>
      <c r="T22" s="114">
        <v>53.768000000000001</v>
      </c>
      <c r="U22" s="115">
        <v>48.374000000000002</v>
      </c>
      <c r="V22" s="115">
        <v>49.268999999999998</v>
      </c>
      <c r="W22" s="131">
        <f>X22-SUM(T22:V22)</f>
        <v>52.975999999999999</v>
      </c>
      <c r="X22" s="117">
        <v>204.387</v>
      </c>
      <c r="Y22" s="114">
        <v>59.454999999999998</v>
      </c>
      <c r="Z22" s="115">
        <v>46.68</v>
      </c>
      <c r="AA22" s="115">
        <v>52.488999999999997</v>
      </c>
      <c r="AB22" s="131">
        <f>AC22-SUM(Y22:AA22)</f>
        <v>48.117000000000019</v>
      </c>
      <c r="AC22" s="117">
        <v>206.74100000000001</v>
      </c>
      <c r="AD22" s="114">
        <v>62.16</v>
      </c>
      <c r="AE22" s="115">
        <v>55.015000000000001</v>
      </c>
      <c r="AF22" s="115">
        <v>57.859000000000002</v>
      </c>
      <c r="AG22" s="131">
        <f>AH22-SUM(AD22:AF22)</f>
        <v>46.804000000000002</v>
      </c>
      <c r="AH22" s="117">
        <v>221.83799999999999</v>
      </c>
      <c r="AI22" s="114">
        <v>63.832000000000001</v>
      </c>
      <c r="AJ22" s="115">
        <v>58.487000000000002</v>
      </c>
      <c r="AK22" s="115">
        <v>54.783999999999999</v>
      </c>
      <c r="AL22" s="131">
        <f>AM22-SUM(AI22:AK22)</f>
        <v>52.498999999999995</v>
      </c>
      <c r="AM22" s="117">
        <v>229.602</v>
      </c>
      <c r="AN22" s="114">
        <v>70.352000000000004</v>
      </c>
      <c r="AO22" s="115">
        <v>65.984999999999999</v>
      </c>
      <c r="AP22" s="115">
        <v>49.762999999999998</v>
      </c>
      <c r="AQ22" s="131">
        <f>AR22-SUM(AN22:AP22)</f>
        <v>59.918000000000006</v>
      </c>
      <c r="AR22" s="117">
        <v>246.018</v>
      </c>
      <c r="AS22" s="114">
        <v>68.323999999999998</v>
      </c>
      <c r="AT22" s="115">
        <v>61.445</v>
      </c>
      <c r="AU22" s="115">
        <v>62.22</v>
      </c>
      <c r="AV22" s="131">
        <f>AW22-SUM(AS22:AU22)</f>
        <v>61.525000000000006</v>
      </c>
      <c r="AW22" s="117">
        <v>253.51400000000001</v>
      </c>
      <c r="AX22" s="120">
        <f>AX152</f>
        <v>72.765059999999991</v>
      </c>
      <c r="AY22" s="118">
        <f>AY152</f>
        <v>65.438924999999998</v>
      </c>
      <c r="AZ22" s="118">
        <f>AZ152</f>
        <v>66.264299999999992</v>
      </c>
      <c r="BA22" s="119">
        <f>BA152</f>
        <v>65.524124999999998</v>
      </c>
      <c r="BB22" s="42">
        <f>SUM(AX22:BA22)</f>
        <v>269.99240999999995</v>
      </c>
      <c r="BC22" s="120">
        <f>BC152</f>
        <v>74.584186499999987</v>
      </c>
      <c r="BD22" s="118">
        <f>BD152</f>
        <v>67.07489812499999</v>
      </c>
      <c r="BE22" s="118">
        <f>BE152</f>
        <v>67.920907499999984</v>
      </c>
      <c r="BF22" s="119">
        <f>BF152</f>
        <v>67.162228124999999</v>
      </c>
      <c r="BG22" s="42">
        <f>SUM(BC22:BF22)</f>
        <v>276.74222025</v>
      </c>
      <c r="BH22" s="120">
        <f>BH152</f>
        <v>76.448791162499987</v>
      </c>
      <c r="BI22" s="118">
        <f>BI152</f>
        <v>68.75177057812499</v>
      </c>
      <c r="BJ22" s="118">
        <f>BJ152</f>
        <v>69.618930187499984</v>
      </c>
      <c r="BK22" s="119">
        <f>BK152</f>
        <v>68.841283828124986</v>
      </c>
      <c r="BL22" s="42">
        <f>SUM(BH22:BK22)</f>
        <v>283.66077575624996</v>
      </c>
      <c r="BM22" s="120">
        <f>BM152</f>
        <v>78.360010941562479</v>
      </c>
      <c r="BN22" s="118">
        <f>BN152</f>
        <v>70.470564842578113</v>
      </c>
      <c r="BO22" s="118">
        <f>BO152</f>
        <v>71.359403442187471</v>
      </c>
      <c r="BP22" s="119">
        <f>BP152</f>
        <v>70.562315923828109</v>
      </c>
      <c r="BQ22" s="42">
        <f>SUM(BM22:BP22)</f>
        <v>290.75229515015616</v>
      </c>
      <c r="BR22" s="44"/>
      <c r="BS22" s="44"/>
      <c r="BT22" s="44"/>
      <c r="BU22" s="963"/>
      <c r="BV22" s="963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</row>
    <row r="23" spans="1:104" x14ac:dyDescent="0.2">
      <c r="A23" s="44"/>
      <c r="B23" s="44"/>
      <c r="C23" t="s">
        <v>442</v>
      </c>
      <c r="D23" s="42"/>
      <c r="E23" s="114">
        <v>14.661</v>
      </c>
      <c r="F23" s="115">
        <v>12.742000000000001</v>
      </c>
      <c r="G23" s="115">
        <v>14.381</v>
      </c>
      <c r="H23" s="131">
        <f>I23-SUM(E23:G23)</f>
        <v>17.46</v>
      </c>
      <c r="I23" s="117">
        <v>59.244</v>
      </c>
      <c r="J23" s="114">
        <v>19.486000000000001</v>
      </c>
      <c r="K23" s="115">
        <v>15.965</v>
      </c>
      <c r="L23" s="115">
        <v>21.510999999999999</v>
      </c>
      <c r="M23" s="131">
        <f>N23-SUM(J23:L23)</f>
        <v>29.335999999999999</v>
      </c>
      <c r="N23" s="117">
        <v>86.298000000000002</v>
      </c>
      <c r="O23" s="114">
        <v>38.485999999999997</v>
      </c>
      <c r="P23" s="115">
        <v>29.925999999999998</v>
      </c>
      <c r="Q23" s="115">
        <v>33.594000000000001</v>
      </c>
      <c r="R23" s="131">
        <f>S23-SUM(O23:Q23)</f>
        <v>35.995000000000005</v>
      </c>
      <c r="S23" s="117">
        <v>138.001</v>
      </c>
      <c r="T23" s="114">
        <v>27.684000000000001</v>
      </c>
      <c r="U23" s="115">
        <v>22.486999999999998</v>
      </c>
      <c r="V23" s="115">
        <v>28.408000000000001</v>
      </c>
      <c r="W23" s="131">
        <f>X23-SUM(T23:V23)</f>
        <v>31.409999999999997</v>
      </c>
      <c r="X23" s="117">
        <v>109.989</v>
      </c>
      <c r="Y23" s="114">
        <v>24.879000000000001</v>
      </c>
      <c r="Z23" s="115">
        <v>21.178000000000001</v>
      </c>
      <c r="AA23" s="115">
        <v>23.699000000000002</v>
      </c>
      <c r="AB23" s="131">
        <f>AC23-SUM(Y23:AA23)</f>
        <v>26.879000000000005</v>
      </c>
      <c r="AC23" s="117">
        <v>96.635000000000005</v>
      </c>
      <c r="AD23" s="114">
        <v>36.616999999999997</v>
      </c>
      <c r="AE23" s="115">
        <v>30.291</v>
      </c>
      <c r="AF23" s="115">
        <v>32.588999999999999</v>
      </c>
      <c r="AG23" s="131">
        <f>AH23-SUM(AD23:AF23)</f>
        <v>38.60799999999999</v>
      </c>
      <c r="AH23" s="117">
        <v>138.10499999999999</v>
      </c>
      <c r="AI23" s="114">
        <f>17.212</f>
        <v>17.212</v>
      </c>
      <c r="AJ23" s="115">
        <v>14.877000000000001</v>
      </c>
      <c r="AK23" s="115">
        <v>17.573</v>
      </c>
      <c r="AL23" s="131">
        <f>AM23-SUM(AI23:AK23)</f>
        <v>21.276000000000003</v>
      </c>
      <c r="AM23" s="117">
        <v>70.938000000000002</v>
      </c>
      <c r="AN23" s="114">
        <v>23.268999999999998</v>
      </c>
      <c r="AO23" s="115">
        <v>20.228999999999999</v>
      </c>
      <c r="AP23" s="115">
        <v>23.925999999999998</v>
      </c>
      <c r="AQ23" s="131">
        <f>AR23-SUM(AN23:AP23)</f>
        <v>30.512000000000015</v>
      </c>
      <c r="AR23" s="117">
        <v>97.936000000000007</v>
      </c>
      <c r="AS23" s="114">
        <v>32.499000000000002</v>
      </c>
      <c r="AT23" s="115">
        <v>28.065000000000001</v>
      </c>
      <c r="AU23" s="115">
        <v>31.673999999999999</v>
      </c>
      <c r="AV23" s="131">
        <f>AW23-SUM(AS23:AU23)</f>
        <v>27.83</v>
      </c>
      <c r="AW23" s="117">
        <v>120.068</v>
      </c>
      <c r="AX23" s="120">
        <f>AX155</f>
        <v>32.499000000000002</v>
      </c>
      <c r="AY23" s="139">
        <f>AY155</f>
        <v>28.065000000000001</v>
      </c>
      <c r="AZ23" s="139">
        <f>AZ155</f>
        <v>31.673999999999999</v>
      </c>
      <c r="BA23" s="119">
        <f>BA155</f>
        <v>27.83</v>
      </c>
      <c r="BB23" s="42">
        <f>SUM(AX23:BA23)</f>
        <v>120.068</v>
      </c>
      <c r="BC23" s="120">
        <f>BC155</f>
        <v>32.499000000000002</v>
      </c>
      <c r="BD23" s="139">
        <f>BD155</f>
        <v>28.065000000000001</v>
      </c>
      <c r="BE23" s="139">
        <f>BE155</f>
        <v>31.673999999999999</v>
      </c>
      <c r="BF23" s="119">
        <f>BF155</f>
        <v>27.83</v>
      </c>
      <c r="BG23" s="42">
        <f>SUM(BC23:BF23)</f>
        <v>120.068</v>
      </c>
      <c r="BH23" s="120">
        <f>BH155</f>
        <v>32.499000000000002</v>
      </c>
      <c r="BI23" s="139">
        <f>BI155</f>
        <v>28.065000000000001</v>
      </c>
      <c r="BJ23" s="139">
        <f>BJ155</f>
        <v>31.673999999999999</v>
      </c>
      <c r="BK23" s="119">
        <f>BK155</f>
        <v>27.83</v>
      </c>
      <c r="BL23" s="42">
        <f>SUM(BH23:BK23)</f>
        <v>120.068</v>
      </c>
      <c r="BM23" s="120">
        <f>BM155</f>
        <v>32.499000000000002</v>
      </c>
      <c r="BN23" s="139">
        <f>BN155</f>
        <v>28.065000000000001</v>
      </c>
      <c r="BO23" s="139">
        <f>BO155</f>
        <v>31.673999999999999</v>
      </c>
      <c r="BP23" s="119">
        <f>BP155</f>
        <v>27.83</v>
      </c>
      <c r="BQ23" s="42">
        <f>SUM(BM23:BP23)</f>
        <v>120.068</v>
      </c>
      <c r="BR23" s="44"/>
      <c r="BS23" s="44"/>
      <c r="BT23" s="44"/>
      <c r="BU23" s="963"/>
      <c r="BV23" s="963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</row>
    <row r="24" spans="1:104" x14ac:dyDescent="0.2">
      <c r="A24" s="44"/>
      <c r="B24" s="44"/>
      <c r="C24" s="26" t="s">
        <v>123</v>
      </c>
      <c r="D24" s="42"/>
      <c r="E24" s="121">
        <f t="shared" ref="E24:AD24" si="22">SUM(E20:E23,E16)</f>
        <v>1044.3990000000001</v>
      </c>
      <c r="F24" s="122">
        <f t="shared" si="22"/>
        <v>751.11400000000003</v>
      </c>
      <c r="G24" s="122">
        <f t="shared" si="22"/>
        <v>772.91099999999983</v>
      </c>
      <c r="H24" s="123">
        <f t="shared" si="22"/>
        <v>882.74600000000009</v>
      </c>
      <c r="I24" s="86">
        <f t="shared" si="22"/>
        <v>3451.17</v>
      </c>
      <c r="J24" s="121">
        <f t="shared" si="22"/>
        <v>985.10699999999997</v>
      </c>
      <c r="K24" s="122">
        <f t="shared" si="22"/>
        <v>808.92800000000011</v>
      </c>
      <c r="L24" s="122">
        <f t="shared" si="22"/>
        <v>913.23900000000003</v>
      </c>
      <c r="M24" s="123">
        <f t="shared" si="22"/>
        <v>928.81799999999998</v>
      </c>
      <c r="N24" s="86">
        <f t="shared" si="22"/>
        <v>3636.0919999999996</v>
      </c>
      <c r="O24" s="121">
        <f t="shared" si="22"/>
        <v>1018.071</v>
      </c>
      <c r="P24" s="122">
        <f t="shared" si="22"/>
        <v>874.673</v>
      </c>
      <c r="Q24" s="122">
        <f t="shared" si="22"/>
        <v>912.26700000000005</v>
      </c>
      <c r="R24" s="123">
        <f t="shared" si="22"/>
        <v>900.57500000000005</v>
      </c>
      <c r="S24" s="86">
        <f t="shared" si="22"/>
        <v>3705.5860000000002</v>
      </c>
      <c r="T24" s="121">
        <f t="shared" si="22"/>
        <v>944.09699999999998</v>
      </c>
      <c r="U24" s="122">
        <f t="shared" si="22"/>
        <v>833.05799999999999</v>
      </c>
      <c r="V24" s="122">
        <f t="shared" si="22"/>
        <v>925.65300000000002</v>
      </c>
      <c r="W24" s="123">
        <f t="shared" si="22"/>
        <v>976.24499999999989</v>
      </c>
      <c r="X24" s="86">
        <f t="shared" si="22"/>
        <v>3679.0529999999999</v>
      </c>
      <c r="Y24" s="121">
        <f t="shared" si="22"/>
        <v>1017.9450000000001</v>
      </c>
      <c r="Z24" s="122">
        <f t="shared" si="22"/>
        <v>942.79899999999998</v>
      </c>
      <c r="AA24" s="122">
        <f t="shared" si="22"/>
        <v>952.95600000000002</v>
      </c>
      <c r="AB24" s="123">
        <f t="shared" si="22"/>
        <v>1056.3080000000002</v>
      </c>
      <c r="AC24" s="86">
        <f t="shared" si="22"/>
        <v>3970.0079999999998</v>
      </c>
      <c r="AD24" s="121">
        <f t="shared" si="22"/>
        <v>1220.634</v>
      </c>
      <c r="AE24" s="122">
        <f t="shared" ref="AE24:AJ24" si="23">SUM(AE20:AE23,AE16)</f>
        <v>969.46299999999997</v>
      </c>
      <c r="AF24" s="122">
        <f t="shared" si="23"/>
        <v>937.46799999999996</v>
      </c>
      <c r="AG24" s="123">
        <f t="shared" si="23"/>
        <v>1093.367</v>
      </c>
      <c r="AH24" s="86">
        <f t="shared" si="23"/>
        <v>4220.9319999999998</v>
      </c>
      <c r="AI24" s="121">
        <f t="shared" si="23"/>
        <v>1117.405</v>
      </c>
      <c r="AJ24" s="122">
        <f t="shared" si="23"/>
        <v>927.48599999999999</v>
      </c>
      <c r="AK24" s="122">
        <f t="shared" ref="AK24:AP24" si="24">SUM(AK20:AK23,AK16)</f>
        <v>938.15</v>
      </c>
      <c r="AL24" s="123">
        <f t="shared" si="24"/>
        <v>943.19299999999998</v>
      </c>
      <c r="AM24" s="86">
        <f t="shared" si="24"/>
        <v>3926.2340000000004</v>
      </c>
      <c r="AN24" s="121">
        <f t="shared" si="24"/>
        <v>1050.7350000000001</v>
      </c>
      <c r="AO24" s="122">
        <f t="shared" si="24"/>
        <v>928.42500000000007</v>
      </c>
      <c r="AP24" s="122">
        <f t="shared" si="24"/>
        <v>997.95800000000008</v>
      </c>
      <c r="AQ24" s="123">
        <f t="shared" ref="AQ24:AT24" si="25">SUM(AQ20:AQ23,AQ16)</f>
        <v>1024.694</v>
      </c>
      <c r="AR24" s="86">
        <f t="shared" si="25"/>
        <v>4001.8119999999999</v>
      </c>
      <c r="AS24" s="121">
        <f t="shared" si="25"/>
        <v>1128.07</v>
      </c>
      <c r="AT24" s="122">
        <f t="shared" si="25"/>
        <v>995.29</v>
      </c>
      <c r="AU24" s="122">
        <f>SUM(AU20:AU23,AU16)</f>
        <v>1019.442</v>
      </c>
      <c r="AV24" s="123">
        <f t="shared" ref="AV24:AW24" si="26">SUM(AV20:AV23,AV16)</f>
        <v>1091.2549999999999</v>
      </c>
      <c r="AW24" s="86">
        <f t="shared" si="26"/>
        <v>4234.0569999999998</v>
      </c>
      <c r="AX24" s="121">
        <f t="shared" ref="AX24:BG24" si="27">SUM(AX20:AX23,AX16)</f>
        <v>1157.0069926982942</v>
      </c>
      <c r="AY24" s="122">
        <f t="shared" si="27"/>
        <v>1009.4658251260881</v>
      </c>
      <c r="AZ24" s="122">
        <f t="shared" si="27"/>
        <v>1036.9794673218978</v>
      </c>
      <c r="BA24" s="123">
        <f t="shared" si="27"/>
        <v>1108.8656595805774</v>
      </c>
      <c r="BB24" s="86">
        <f t="shared" si="27"/>
        <v>4312.3179447268576</v>
      </c>
      <c r="BC24" s="121">
        <f t="shared" si="27"/>
        <v>1168.2630633940512</v>
      </c>
      <c r="BD24" s="122">
        <f t="shared" si="27"/>
        <v>1020.7698120692818</v>
      </c>
      <c r="BE24" s="122">
        <f t="shared" si="27"/>
        <v>1050.2143122497616</v>
      </c>
      <c r="BF24" s="123">
        <f t="shared" si="27"/>
        <v>1123.8729433081896</v>
      </c>
      <c r="BG24" s="86">
        <f t="shared" si="27"/>
        <v>4363.1201310212837</v>
      </c>
      <c r="BH24" s="121">
        <f t="shared" ref="BH24:BQ24" si="28">SUM(BH20:BH23,BH16)</f>
        <v>1183.7700805361405</v>
      </c>
      <c r="BI24" s="122">
        <f t="shared" si="28"/>
        <v>1041.6384853207405</v>
      </c>
      <c r="BJ24" s="122">
        <f t="shared" si="28"/>
        <v>1069.0740288896313</v>
      </c>
      <c r="BK24" s="123">
        <f t="shared" si="28"/>
        <v>1140.6276779810721</v>
      </c>
      <c r="BL24" s="86">
        <f t="shared" si="28"/>
        <v>4435.1102727275847</v>
      </c>
      <c r="BM24" s="121">
        <f t="shared" si="28"/>
        <v>1201.5851859954669</v>
      </c>
      <c r="BN24" s="122">
        <f t="shared" si="28"/>
        <v>1055.5834093398653</v>
      </c>
      <c r="BO24" s="122">
        <f t="shared" si="28"/>
        <v>1083.4089880721581</v>
      </c>
      <c r="BP24" s="123">
        <f t="shared" si="28"/>
        <v>1155.2225952517103</v>
      </c>
      <c r="BQ24" s="86">
        <f t="shared" si="28"/>
        <v>4495.8001786592004</v>
      </c>
      <c r="BR24" s="44"/>
      <c r="BS24" s="44"/>
      <c r="BT24" s="44"/>
      <c r="BU24" s="964"/>
      <c r="BV24" s="96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</row>
    <row r="25" spans="1:104" x14ac:dyDescent="0.2">
      <c r="A25" s="44"/>
      <c r="B25" s="44"/>
      <c r="C25" s="20"/>
      <c r="D25" s="42"/>
      <c r="E25" s="114"/>
      <c r="F25" s="133"/>
      <c r="G25" s="133"/>
      <c r="H25" s="116"/>
      <c r="I25" s="117"/>
      <c r="J25" s="114"/>
      <c r="K25" s="133"/>
      <c r="L25" s="133"/>
      <c r="M25" s="116"/>
      <c r="N25" s="117"/>
      <c r="O25" s="120"/>
      <c r="P25" s="139"/>
      <c r="Q25" s="139"/>
      <c r="R25" s="116"/>
      <c r="S25" s="117"/>
      <c r="T25" s="120"/>
      <c r="U25" s="139"/>
      <c r="V25" s="139"/>
      <c r="W25" s="116"/>
      <c r="X25" s="117"/>
      <c r="Y25" s="120"/>
      <c r="Z25" s="139"/>
      <c r="AA25" s="139"/>
      <c r="AB25" s="116"/>
      <c r="AC25" s="117"/>
      <c r="AD25" s="120"/>
      <c r="AE25" s="139"/>
      <c r="AF25" s="139"/>
      <c r="AG25" s="116"/>
      <c r="AH25" s="117"/>
      <c r="AI25" s="120"/>
      <c r="AJ25" s="139"/>
      <c r="AK25" s="139"/>
      <c r="AL25" s="116"/>
      <c r="AM25" s="117"/>
      <c r="AN25" s="120"/>
      <c r="AO25" s="139"/>
      <c r="AP25" s="139"/>
      <c r="AQ25" s="116"/>
      <c r="AR25" s="117"/>
      <c r="AS25" s="120"/>
      <c r="AT25" s="139"/>
      <c r="AU25" s="139"/>
      <c r="AV25" s="116"/>
      <c r="AW25" s="117"/>
      <c r="AX25" s="120"/>
      <c r="AY25" s="139"/>
      <c r="AZ25" s="139"/>
      <c r="BA25" s="119"/>
      <c r="BB25" s="44"/>
      <c r="BC25" s="120"/>
      <c r="BD25" s="139"/>
      <c r="BE25" s="139"/>
      <c r="BF25" s="119"/>
      <c r="BG25" s="44"/>
      <c r="BH25" s="120"/>
      <c r="BI25" s="139"/>
      <c r="BJ25" s="139"/>
      <c r="BK25" s="119"/>
      <c r="BL25" s="44"/>
      <c r="BM25" s="120"/>
      <c r="BN25" s="139"/>
      <c r="BO25" s="139"/>
      <c r="BP25" s="119"/>
      <c r="BQ25" s="44"/>
      <c r="BR25" s="44"/>
      <c r="BS25" s="44"/>
      <c r="BT25" s="44"/>
      <c r="BU25" s="963"/>
      <c r="BV25" s="963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  <c r="CX25" s="44"/>
      <c r="CY25" s="44"/>
      <c r="CZ25" s="44"/>
    </row>
    <row r="26" spans="1:104" x14ac:dyDescent="0.2">
      <c r="A26" s="44"/>
      <c r="B26" s="44"/>
      <c r="C26" s="26" t="s">
        <v>245</v>
      </c>
      <c r="D26" s="42"/>
      <c r="E26" s="121">
        <f t="shared" ref="E26:N26" si="29">+E11-E24</f>
        <v>158.98399999999992</v>
      </c>
      <c r="F26" s="122">
        <f t="shared" si="29"/>
        <v>115.28999999999985</v>
      </c>
      <c r="G26" s="122">
        <f t="shared" si="29"/>
        <v>196.44800000000009</v>
      </c>
      <c r="H26" s="123">
        <f t="shared" si="29"/>
        <v>144.79700000000025</v>
      </c>
      <c r="I26" s="86">
        <f t="shared" si="29"/>
        <v>615.51899999999978</v>
      </c>
      <c r="J26" s="121">
        <f t="shared" si="29"/>
        <v>142</v>
      </c>
      <c r="K26" s="122">
        <f t="shared" si="29"/>
        <v>107.36199999999985</v>
      </c>
      <c r="L26" s="122">
        <f t="shared" si="29"/>
        <v>217.67399999999998</v>
      </c>
      <c r="M26" s="123">
        <f t="shared" si="29"/>
        <v>131.1880000000001</v>
      </c>
      <c r="N26" s="86">
        <f t="shared" si="29"/>
        <v>598.22400000000016</v>
      </c>
      <c r="O26" s="121">
        <f>O11-O24</f>
        <v>174.8209999999998</v>
      </c>
      <c r="P26" s="122">
        <f>+P11-P24</f>
        <v>135.85300000000007</v>
      </c>
      <c r="Q26" s="122">
        <f>+Q11-Q24</f>
        <v>255.87099999999987</v>
      </c>
      <c r="R26" s="123">
        <f>+R11-R24</f>
        <v>126.3900000000001</v>
      </c>
      <c r="S26" s="86">
        <f>+S11-S24</f>
        <v>692.9350000000004</v>
      </c>
      <c r="T26" s="121">
        <f>T11-T24</f>
        <v>132.67600000000016</v>
      </c>
      <c r="U26" s="122">
        <f>+U11-U24</f>
        <v>139.47799999999995</v>
      </c>
      <c r="V26" s="122">
        <f>+V11-V24</f>
        <v>259.74700000000007</v>
      </c>
      <c r="W26" s="123">
        <f>+W11-W24</f>
        <v>126.38499999999999</v>
      </c>
      <c r="X26" s="86">
        <f>+X11-X24</f>
        <v>658.28600000000006</v>
      </c>
      <c r="Y26" s="121">
        <f>Y11-Y24</f>
        <v>175.29000000000008</v>
      </c>
      <c r="Z26" s="122">
        <f>+Z11-Z24</f>
        <v>142.04600000000005</v>
      </c>
      <c r="AA26" s="122">
        <f>+AA11-AA24</f>
        <v>264.51999999999987</v>
      </c>
      <c r="AB26" s="123">
        <f>+AB11-AB24</f>
        <v>127.74599999999941</v>
      </c>
      <c r="AC26" s="86">
        <f>+AC11-AC24</f>
        <v>709.60199999999986</v>
      </c>
      <c r="AD26" s="121">
        <f>AD11-AD24</f>
        <v>203.69199999999978</v>
      </c>
      <c r="AE26" s="122">
        <f>+AE11-AE24</f>
        <v>155.29600000000005</v>
      </c>
      <c r="AF26" s="122">
        <f>+AF11-AF24</f>
        <v>252.745</v>
      </c>
      <c r="AG26" s="123">
        <f>+AG11-AG24</f>
        <v>155.8599999999999</v>
      </c>
      <c r="AH26" s="86">
        <f>+AH11-AH24</f>
        <v>767.59299999999985</v>
      </c>
      <c r="AI26" s="121">
        <f>AI11-AI24</f>
        <v>175.07700000000023</v>
      </c>
      <c r="AJ26" s="122">
        <f>+AJ11-AJ24</f>
        <v>154.48800000000017</v>
      </c>
      <c r="AK26" s="122">
        <f>+AK11-AK24</f>
        <v>310.69000000000017</v>
      </c>
      <c r="AL26" s="123">
        <f>+AL11-AL24</f>
        <v>190.31700000000001</v>
      </c>
      <c r="AM26" s="86">
        <f>+AM11-AM24</f>
        <v>830.57200000000012</v>
      </c>
      <c r="AN26" s="121">
        <f>AN11-AN24</f>
        <v>183.89799999999991</v>
      </c>
      <c r="AO26" s="122">
        <f t="shared" ref="AO26:AU26" si="30">+AO11-AO24</f>
        <v>159.67500000000007</v>
      </c>
      <c r="AP26" s="122">
        <f t="shared" si="30"/>
        <v>347.42100000000005</v>
      </c>
      <c r="AQ26" s="123">
        <f t="shared" si="30"/>
        <v>207.48099999999999</v>
      </c>
      <c r="AR26" s="86">
        <f t="shared" si="30"/>
        <v>898.47500000000036</v>
      </c>
      <c r="AS26" s="121">
        <f>AS11-AS24</f>
        <v>179.06999999999994</v>
      </c>
      <c r="AT26" s="122">
        <f>+AT11-AT24</f>
        <v>169.65000000000009</v>
      </c>
      <c r="AU26" s="122">
        <f t="shared" si="30"/>
        <v>336.33699999999999</v>
      </c>
      <c r="AV26" s="123">
        <f t="shared" ref="AV26:AW26" si="31">+AV11-AV24</f>
        <v>182.91300000000047</v>
      </c>
      <c r="AW26" s="86">
        <f t="shared" si="31"/>
        <v>867.97000000000116</v>
      </c>
      <c r="AX26" s="121">
        <f t="shared" ref="AX26:BG26" si="32">+AX11-AX24</f>
        <v>175.87331422065176</v>
      </c>
      <c r="AY26" s="122">
        <f t="shared" si="32"/>
        <v>158.4969706241169</v>
      </c>
      <c r="AZ26" s="122">
        <f t="shared" si="32"/>
        <v>306.87650439585832</v>
      </c>
      <c r="BA26" s="123">
        <f t="shared" si="32"/>
        <v>172.15340507036899</v>
      </c>
      <c r="BB26" s="86">
        <f t="shared" si="32"/>
        <v>813.40019431099518</v>
      </c>
      <c r="BC26" s="121">
        <f t="shared" si="32"/>
        <v>193.34248049245298</v>
      </c>
      <c r="BD26" s="122">
        <f t="shared" si="32"/>
        <v>177.59000858948377</v>
      </c>
      <c r="BE26" s="122">
        <f t="shared" si="32"/>
        <v>331.55227367502016</v>
      </c>
      <c r="BF26" s="123">
        <f t="shared" si="32"/>
        <v>186.16785248464498</v>
      </c>
      <c r="BG26" s="86">
        <f t="shared" si="32"/>
        <v>888.65261524160269</v>
      </c>
      <c r="BH26" s="121">
        <f t="shared" ref="BH26:BQ26" si="33">+BH11-BH24</f>
        <v>208.60747023089061</v>
      </c>
      <c r="BI26" s="122">
        <f t="shared" si="33"/>
        <v>189.25312991200303</v>
      </c>
      <c r="BJ26" s="122">
        <f t="shared" si="33"/>
        <v>353.27091349570469</v>
      </c>
      <c r="BK26" s="123">
        <f t="shared" si="33"/>
        <v>200.48166876820528</v>
      </c>
      <c r="BL26" s="86">
        <f t="shared" si="33"/>
        <v>951.61318240680339</v>
      </c>
      <c r="BM26" s="121">
        <f t="shared" si="33"/>
        <v>215.07928916706692</v>
      </c>
      <c r="BN26" s="122">
        <f t="shared" si="33"/>
        <v>201.07197027292409</v>
      </c>
      <c r="BO26" s="122">
        <f t="shared" si="33"/>
        <v>371.05355266765469</v>
      </c>
      <c r="BP26" s="123">
        <f t="shared" si="33"/>
        <v>210.47027172366006</v>
      </c>
      <c r="BQ26" s="86">
        <f t="shared" si="33"/>
        <v>997.67508383130644</v>
      </c>
      <c r="BR26" s="44"/>
      <c r="BS26" s="44"/>
      <c r="BT26" s="44"/>
      <c r="BU26" s="964"/>
      <c r="BV26" s="96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</row>
    <row r="27" spans="1:104" x14ac:dyDescent="0.2">
      <c r="A27" s="44"/>
      <c r="B27" s="44"/>
      <c r="C27" s="20"/>
      <c r="D27" s="42"/>
      <c r="E27" s="120"/>
      <c r="F27" s="139"/>
      <c r="G27" s="139"/>
      <c r="H27" s="119"/>
      <c r="I27" s="42"/>
      <c r="J27" s="120"/>
      <c r="K27" s="139"/>
      <c r="L27" s="139"/>
      <c r="M27" s="119"/>
      <c r="N27" s="42"/>
      <c r="O27" s="120"/>
      <c r="P27" s="118"/>
      <c r="Q27" s="118"/>
      <c r="R27" s="119"/>
      <c r="S27" s="42"/>
      <c r="T27" s="120"/>
      <c r="U27" s="118"/>
      <c r="V27" s="118"/>
      <c r="W27" s="119"/>
      <c r="X27" s="42"/>
      <c r="Y27" s="120"/>
      <c r="Z27" s="118"/>
      <c r="AA27" s="118"/>
      <c r="AB27" s="119"/>
      <c r="AC27" s="42"/>
      <c r="AD27" s="120"/>
      <c r="AE27" s="118"/>
      <c r="AF27" s="118"/>
      <c r="AG27" s="119"/>
      <c r="AH27" s="42"/>
      <c r="AI27" s="120"/>
      <c r="AJ27" s="118"/>
      <c r="AK27" s="118"/>
      <c r="AL27" s="119"/>
      <c r="AM27" s="42"/>
      <c r="AN27" s="120"/>
      <c r="AO27" s="118"/>
      <c r="AP27" s="139"/>
      <c r="AQ27" s="119"/>
      <c r="AR27" s="42"/>
      <c r="AS27" s="120"/>
      <c r="AT27" s="118"/>
      <c r="AU27" s="139"/>
      <c r="AV27" s="119"/>
      <c r="AW27" s="42"/>
      <c r="AX27" s="120"/>
      <c r="AY27" s="139"/>
      <c r="AZ27" s="139"/>
      <c r="BA27" s="119"/>
      <c r="BB27" s="44"/>
      <c r="BC27" s="120"/>
      <c r="BD27" s="139"/>
      <c r="BE27" s="139"/>
      <c r="BF27" s="119"/>
      <c r="BG27" s="44"/>
      <c r="BH27" s="120"/>
      <c r="BI27" s="139"/>
      <c r="BJ27" s="139"/>
      <c r="BK27" s="119"/>
      <c r="BL27" s="44"/>
      <c r="BM27" s="120"/>
      <c r="BN27" s="139"/>
      <c r="BO27" s="139"/>
      <c r="BP27" s="119"/>
      <c r="BQ27" s="44"/>
      <c r="BR27" s="44"/>
      <c r="BS27" s="44"/>
      <c r="BT27" s="44"/>
      <c r="BU27" s="963"/>
      <c r="BV27" s="963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</row>
    <row r="28" spans="1:104" x14ac:dyDescent="0.2">
      <c r="A28" s="44"/>
      <c r="B28" s="44"/>
      <c r="C28" s="20" t="s">
        <v>126</v>
      </c>
      <c r="D28" s="42"/>
      <c r="E28" s="114">
        <v>6.7060000000000004</v>
      </c>
      <c r="F28" s="115">
        <v>7.665</v>
      </c>
      <c r="G28" s="115">
        <v>6.8760000000000003</v>
      </c>
      <c r="H28" s="119">
        <f>+I28-SUM(E28:G28)</f>
        <v>7.6009999999999991</v>
      </c>
      <c r="I28" s="117">
        <v>28.847999999999999</v>
      </c>
      <c r="J28" s="114">
        <v>9.4450000000000003</v>
      </c>
      <c r="K28" s="115">
        <v>8.0559999999999992</v>
      </c>
      <c r="L28" s="115">
        <v>9.1969999999999992</v>
      </c>
      <c r="M28" s="119">
        <f>+N28-SUM(J28:L28)</f>
        <v>11.643000000000004</v>
      </c>
      <c r="N28" s="117">
        <v>38.341000000000001</v>
      </c>
      <c r="O28" s="114">
        <v>9.593</v>
      </c>
      <c r="P28" s="115">
        <v>10.146000000000001</v>
      </c>
      <c r="Q28" s="115">
        <v>8.6999999999999993</v>
      </c>
      <c r="R28" s="119">
        <f>+S28-SUM(O28:Q28)</f>
        <v>8.7250000000000014</v>
      </c>
      <c r="S28" s="117">
        <v>37.164000000000001</v>
      </c>
      <c r="T28" s="114">
        <v>8.0350000000000001</v>
      </c>
      <c r="U28" s="115">
        <v>9.1790000000000003</v>
      </c>
      <c r="V28" s="115">
        <v>9.8859999999999992</v>
      </c>
      <c r="W28" s="119">
        <f>+X28-SUM(T28:V28)</f>
        <v>10.009000000000004</v>
      </c>
      <c r="X28" s="117">
        <v>37.109000000000002</v>
      </c>
      <c r="Y28" s="114">
        <v>10.262</v>
      </c>
      <c r="Z28" s="115">
        <v>12.339</v>
      </c>
      <c r="AA28" s="115">
        <v>9.2910000000000004</v>
      </c>
      <c r="AB28" s="119">
        <f>+AC28-SUM(Y28:AA28)</f>
        <v>8.1720000000000006</v>
      </c>
      <c r="AC28" s="117">
        <v>40.064</v>
      </c>
      <c r="AD28" s="114">
        <v>5.2640000000000002</v>
      </c>
      <c r="AE28" s="115">
        <v>5.9950000000000001</v>
      </c>
      <c r="AF28" s="115">
        <v>6.2960000000000003</v>
      </c>
      <c r="AG28" s="119">
        <f>+AH28-SUM(AD28:AF28)</f>
        <v>6.2330000000000005</v>
      </c>
      <c r="AH28" s="117">
        <v>23.788</v>
      </c>
      <c r="AI28" s="114">
        <v>5.93</v>
      </c>
      <c r="AJ28" s="115">
        <v>5.6840000000000002</v>
      </c>
      <c r="AK28" s="115">
        <v>7.4560000000000004</v>
      </c>
      <c r="AL28" s="119">
        <f>+AM28-SUM(AI28:AK28)</f>
        <v>7.7489999999999988</v>
      </c>
      <c r="AM28" s="117">
        <v>26.818999999999999</v>
      </c>
      <c r="AN28" s="114">
        <v>5.6479999999999997</v>
      </c>
      <c r="AO28" s="115">
        <v>7.38</v>
      </c>
      <c r="AP28" s="115">
        <v>7.9829999999999997</v>
      </c>
      <c r="AQ28" s="119">
        <f>+AR28-SUM(AN28:AP28)</f>
        <v>6.7210000000000001</v>
      </c>
      <c r="AR28" s="117">
        <v>27.731999999999999</v>
      </c>
      <c r="AS28" s="114">
        <v>6.2830000000000004</v>
      </c>
      <c r="AT28" s="115">
        <v>6.4249999999999998</v>
      </c>
      <c r="AU28" s="115">
        <v>10.683</v>
      </c>
      <c r="AV28" s="119">
        <f>+AW28-SUM(AS28:AU28)</f>
        <v>6.1230000000000011</v>
      </c>
      <c r="AW28" s="117">
        <v>29.513999999999999</v>
      </c>
      <c r="AX28" s="120">
        <f>+AX183</f>
        <v>9.0419999999999998</v>
      </c>
      <c r="AY28" s="118">
        <f>+AY183</f>
        <v>9.0419999999999998</v>
      </c>
      <c r="AZ28" s="118">
        <f>+AZ183</f>
        <v>9.0419999999999998</v>
      </c>
      <c r="BA28" s="119">
        <f>+BA183</f>
        <v>9.0419999999999998</v>
      </c>
      <c r="BB28" s="42">
        <f>SUM(AX28:BA28)</f>
        <v>36.167999999999999</v>
      </c>
      <c r="BC28" s="120">
        <f>+BC183</f>
        <v>12.606</v>
      </c>
      <c r="BD28" s="118">
        <f>+BD183</f>
        <v>12.606</v>
      </c>
      <c r="BE28" s="118">
        <f>+BE183</f>
        <v>12.606</v>
      </c>
      <c r="BF28" s="119">
        <f>+BF183</f>
        <v>12.606</v>
      </c>
      <c r="BG28" s="42">
        <f>SUM(BC28:BF28)</f>
        <v>50.423999999999999</v>
      </c>
      <c r="BH28" s="120">
        <f>+BH183</f>
        <v>9.57</v>
      </c>
      <c r="BI28" s="118">
        <f>+BI183</f>
        <v>9.57</v>
      </c>
      <c r="BJ28" s="118">
        <f>+BJ183</f>
        <v>9.57</v>
      </c>
      <c r="BK28" s="119">
        <f>+BK183</f>
        <v>9.57</v>
      </c>
      <c r="BL28" s="42">
        <f>SUM(BH28:BK28)</f>
        <v>38.28</v>
      </c>
      <c r="BM28" s="120">
        <f>+BM183</f>
        <v>10.494</v>
      </c>
      <c r="BN28" s="118">
        <f>+BN183</f>
        <v>10.494</v>
      </c>
      <c r="BO28" s="118">
        <f>+BO183</f>
        <v>10.494</v>
      </c>
      <c r="BP28" s="119">
        <f>+BP183</f>
        <v>10.494</v>
      </c>
      <c r="BQ28" s="42">
        <f>SUM(BM28:BP28)</f>
        <v>41.975999999999999</v>
      </c>
      <c r="BR28" s="44"/>
      <c r="BS28" s="44"/>
      <c r="BT28" s="44"/>
      <c r="BU28" s="963"/>
      <c r="BV28" s="963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</row>
    <row r="29" spans="1:104" x14ac:dyDescent="0.2">
      <c r="A29" s="44"/>
      <c r="B29" s="44"/>
      <c r="C29" s="20" t="s">
        <v>128</v>
      </c>
      <c r="D29" s="42"/>
      <c r="E29" s="114">
        <v>-1.7999999999999999E-2</v>
      </c>
      <c r="F29" s="115">
        <v>-0.124</v>
      </c>
      <c r="G29" s="115">
        <v>-1.026</v>
      </c>
      <c r="H29" s="116">
        <f>+I29-SUM(E29:G29)</f>
        <v>2.74</v>
      </c>
      <c r="I29" s="117">
        <v>1.5720000000000001</v>
      </c>
      <c r="J29" s="114">
        <v>-0.378</v>
      </c>
      <c r="K29" s="115">
        <v>2.1000000000000001E-2</v>
      </c>
      <c r="L29" s="115">
        <v>1.766</v>
      </c>
      <c r="M29" s="116">
        <f>+N29-SUM(J29:L29)</f>
        <v>-0.25800000000000001</v>
      </c>
      <c r="N29" s="117">
        <v>1.151</v>
      </c>
      <c r="O29" s="114">
        <v>2.8839999999999999</v>
      </c>
      <c r="P29" s="115">
        <v>-1.2050000000000001</v>
      </c>
      <c r="Q29" s="115">
        <v>0.10199999999999999</v>
      </c>
      <c r="R29" s="116">
        <f>+S29-SUM(O29:Q29)</f>
        <v>-6.3999999999999835E-2</v>
      </c>
      <c r="S29" s="117">
        <v>1.7170000000000001</v>
      </c>
      <c r="T29" s="114">
        <v>2.4049999999999998</v>
      </c>
      <c r="U29" s="115">
        <v>-0.88200000000000001</v>
      </c>
      <c r="V29" s="115">
        <v>-0.32800000000000001</v>
      </c>
      <c r="W29" s="116">
        <f>+X29-SUM(T29:V29)</f>
        <v>-0.21599999999999964</v>
      </c>
      <c r="X29" s="117">
        <v>0.97899999999999998</v>
      </c>
      <c r="Y29" s="114">
        <v>2.153</v>
      </c>
      <c r="Z29" s="115">
        <v>-1.0029999999999999</v>
      </c>
      <c r="AA29" s="115">
        <v>-1.147</v>
      </c>
      <c r="AB29" s="116">
        <f>+AC29-SUM(Y29:AA29)</f>
        <v>-0.65600000000000014</v>
      </c>
      <c r="AC29" s="117">
        <v>-0.65300000000000002</v>
      </c>
      <c r="AD29" s="114">
        <v>2.004</v>
      </c>
      <c r="AE29" s="115">
        <v>-0.47099999999999997</v>
      </c>
      <c r="AF29" s="115">
        <v>-0.48399999999999999</v>
      </c>
      <c r="AG29" s="116">
        <f>+AH29-SUM(AD29:AF29)</f>
        <v>-0.46899999999999997</v>
      </c>
      <c r="AH29" s="117">
        <v>0.57999999999999996</v>
      </c>
      <c r="AI29" s="114">
        <f>1.962-124.226</f>
        <v>-122.264</v>
      </c>
      <c r="AJ29" s="115">
        <v>-0.27600000000000002</v>
      </c>
      <c r="AK29" s="115">
        <v>-0.29599999999999999</v>
      </c>
      <c r="AL29" s="116">
        <f>+AM29-SUM(AI29:AK29)</f>
        <v>-0.94400000000000261</v>
      </c>
      <c r="AM29" s="117">
        <f>-124.226+0.446</f>
        <v>-123.78</v>
      </c>
      <c r="AN29" s="114">
        <v>2.86</v>
      </c>
      <c r="AO29" s="115">
        <v>-0.58699999999999997</v>
      </c>
      <c r="AP29" s="115">
        <v>-0.439</v>
      </c>
      <c r="AQ29" s="116">
        <f>+AR29-SUM(AN29:AP29)</f>
        <v>-0.8019999999999996</v>
      </c>
      <c r="AR29" s="117">
        <v>1.032</v>
      </c>
      <c r="AS29" s="114">
        <v>1.8640000000000001</v>
      </c>
      <c r="AT29" s="115">
        <v>-0.23400000000000001</v>
      </c>
      <c r="AU29" s="115">
        <v>2.12</v>
      </c>
      <c r="AV29" s="116">
        <f>+AW29-SUM(AS29:AU29)</f>
        <v>1.9130000000000003</v>
      </c>
      <c r="AW29" s="117">
        <v>5.6630000000000003</v>
      </c>
      <c r="AX29" s="120">
        <f>+AS29</f>
        <v>1.8640000000000001</v>
      </c>
      <c r="AY29" s="118">
        <f>+AT29</f>
        <v>-0.23400000000000001</v>
      </c>
      <c r="AZ29" s="118">
        <f>+AU29</f>
        <v>2.12</v>
      </c>
      <c r="BA29" s="116">
        <f>+AV29</f>
        <v>1.9130000000000003</v>
      </c>
      <c r="BB29" s="42">
        <f>SUM(AX29:BA29)</f>
        <v>5.6630000000000003</v>
      </c>
      <c r="BC29" s="120">
        <f>+AX29</f>
        <v>1.8640000000000001</v>
      </c>
      <c r="BD29" s="118">
        <f>+AY29</f>
        <v>-0.23400000000000001</v>
      </c>
      <c r="BE29" s="118">
        <f>+AZ29</f>
        <v>2.12</v>
      </c>
      <c r="BF29" s="116">
        <f>+BA29</f>
        <v>1.9130000000000003</v>
      </c>
      <c r="BG29" s="42">
        <f>SUM(BC29:BF29)</f>
        <v>5.6630000000000003</v>
      </c>
      <c r="BH29" s="120">
        <f>+BC29</f>
        <v>1.8640000000000001</v>
      </c>
      <c r="BI29" s="118">
        <f>+BD29</f>
        <v>-0.23400000000000001</v>
      </c>
      <c r="BJ29" s="118">
        <f>+BE29</f>
        <v>2.12</v>
      </c>
      <c r="BK29" s="116">
        <f>+BF29</f>
        <v>1.9130000000000003</v>
      </c>
      <c r="BL29" s="42">
        <f>SUM(BH29:BK29)</f>
        <v>5.6630000000000003</v>
      </c>
      <c r="BM29" s="120">
        <f>+BH29</f>
        <v>1.8640000000000001</v>
      </c>
      <c r="BN29" s="118">
        <f>+BI29</f>
        <v>-0.23400000000000001</v>
      </c>
      <c r="BO29" s="118">
        <f>+BJ29</f>
        <v>2.12</v>
      </c>
      <c r="BP29" s="116">
        <f>+BK29</f>
        <v>1.9130000000000003</v>
      </c>
      <c r="BQ29" s="42">
        <f>SUM(BM29:BP29)</f>
        <v>5.6630000000000003</v>
      </c>
      <c r="BR29" s="44"/>
      <c r="BS29" s="44"/>
      <c r="BT29" s="44"/>
      <c r="BU29" s="963"/>
      <c r="BV29" s="963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44"/>
      <c r="CY29" s="44"/>
      <c r="CZ29" s="44"/>
    </row>
    <row r="30" spans="1:104" x14ac:dyDescent="0.2">
      <c r="A30" s="44"/>
      <c r="B30" s="44"/>
      <c r="C30" s="26" t="s">
        <v>129</v>
      </c>
      <c r="D30" s="82"/>
      <c r="E30" s="124">
        <f t="shared" ref="E30:AD30" si="34">SUM(E28:E29)</f>
        <v>6.6880000000000006</v>
      </c>
      <c r="F30" s="129">
        <f t="shared" si="34"/>
        <v>7.5410000000000004</v>
      </c>
      <c r="G30" s="129">
        <f t="shared" si="34"/>
        <v>5.8500000000000005</v>
      </c>
      <c r="H30" s="126">
        <f t="shared" si="34"/>
        <v>10.340999999999999</v>
      </c>
      <c r="I30" s="127">
        <f t="shared" si="34"/>
        <v>30.419999999999998</v>
      </c>
      <c r="J30" s="124">
        <f t="shared" si="34"/>
        <v>9.0670000000000002</v>
      </c>
      <c r="K30" s="129">
        <f t="shared" si="34"/>
        <v>8.077</v>
      </c>
      <c r="L30" s="129">
        <f t="shared" si="34"/>
        <v>10.962999999999999</v>
      </c>
      <c r="M30" s="126">
        <f t="shared" si="34"/>
        <v>11.385000000000005</v>
      </c>
      <c r="N30" s="127">
        <f t="shared" si="34"/>
        <v>39.492000000000004</v>
      </c>
      <c r="O30" s="124">
        <f t="shared" si="34"/>
        <v>12.477</v>
      </c>
      <c r="P30" s="129">
        <f t="shared" si="34"/>
        <v>8.9410000000000007</v>
      </c>
      <c r="Q30" s="129">
        <f t="shared" si="34"/>
        <v>8.8019999999999996</v>
      </c>
      <c r="R30" s="126">
        <f>SUM(R28:R29)</f>
        <v>8.6610000000000014</v>
      </c>
      <c r="S30" s="127">
        <f>SUM(S28:S29)</f>
        <v>38.881</v>
      </c>
      <c r="T30" s="124">
        <f t="shared" si="34"/>
        <v>10.44</v>
      </c>
      <c r="U30" s="129">
        <f t="shared" si="34"/>
        <v>8.2970000000000006</v>
      </c>
      <c r="V30" s="129">
        <f t="shared" si="34"/>
        <v>9.5579999999999998</v>
      </c>
      <c r="W30" s="126">
        <f>SUM(W28:W29)</f>
        <v>9.7930000000000046</v>
      </c>
      <c r="X30" s="127">
        <f>SUM(X28:X29)</f>
        <v>38.088000000000001</v>
      </c>
      <c r="Y30" s="124">
        <f t="shared" si="34"/>
        <v>12.415000000000001</v>
      </c>
      <c r="Z30" s="129">
        <f>SUM(Z28:Z29)</f>
        <v>11.336</v>
      </c>
      <c r="AA30" s="129">
        <f>SUM(AA28:AA29)</f>
        <v>8.1440000000000001</v>
      </c>
      <c r="AB30" s="126">
        <f>SUM(AB28:AB29)</f>
        <v>7.516</v>
      </c>
      <c r="AC30" s="127">
        <f>SUM(AC28:AC29)</f>
        <v>39.411000000000001</v>
      </c>
      <c r="AD30" s="124">
        <f t="shared" si="34"/>
        <v>7.2680000000000007</v>
      </c>
      <c r="AE30" s="129">
        <f t="shared" ref="AE30:AJ30" si="35">SUM(AE28:AE29)</f>
        <v>5.524</v>
      </c>
      <c r="AF30" s="129">
        <f t="shared" si="35"/>
        <v>5.8120000000000003</v>
      </c>
      <c r="AG30" s="126">
        <f t="shared" si="35"/>
        <v>5.7640000000000002</v>
      </c>
      <c r="AH30" s="127">
        <f t="shared" si="35"/>
        <v>24.367999999999999</v>
      </c>
      <c r="AI30" s="124">
        <f t="shared" si="35"/>
        <v>-116.334</v>
      </c>
      <c r="AJ30" s="129">
        <f t="shared" si="35"/>
        <v>5.4080000000000004</v>
      </c>
      <c r="AK30" s="129">
        <f t="shared" ref="AK30:AP30" si="36">SUM(AK28:AK29)</f>
        <v>7.16</v>
      </c>
      <c r="AL30" s="126">
        <f t="shared" si="36"/>
        <v>6.8049999999999962</v>
      </c>
      <c r="AM30" s="127">
        <f t="shared" si="36"/>
        <v>-96.960999999999999</v>
      </c>
      <c r="AN30" s="124">
        <f t="shared" si="36"/>
        <v>8.5079999999999991</v>
      </c>
      <c r="AO30" s="129">
        <f t="shared" si="36"/>
        <v>6.7930000000000001</v>
      </c>
      <c r="AP30" s="129">
        <f t="shared" si="36"/>
        <v>7.5439999999999996</v>
      </c>
      <c r="AQ30" s="126">
        <f t="shared" ref="AQ30:AU30" si="37">SUM(AQ28:AQ29)</f>
        <v>5.9190000000000005</v>
      </c>
      <c r="AR30" s="127">
        <f t="shared" si="37"/>
        <v>28.763999999999999</v>
      </c>
      <c r="AS30" s="124">
        <f t="shared" si="37"/>
        <v>8.1470000000000002</v>
      </c>
      <c r="AT30" s="129">
        <f t="shared" si="37"/>
        <v>6.1909999999999998</v>
      </c>
      <c r="AU30" s="129">
        <f t="shared" si="37"/>
        <v>12.803000000000001</v>
      </c>
      <c r="AV30" s="126">
        <f t="shared" ref="AV30:AW30" si="38">SUM(AV28:AV29)</f>
        <v>8.0360000000000014</v>
      </c>
      <c r="AW30" s="127">
        <f t="shared" si="38"/>
        <v>35.177</v>
      </c>
      <c r="AX30" s="121">
        <f t="shared" ref="AX30:BG30" si="39">SUM(AX28:AX29)</f>
        <v>10.906000000000001</v>
      </c>
      <c r="AY30" s="122">
        <f t="shared" si="39"/>
        <v>8.8079999999999998</v>
      </c>
      <c r="AZ30" s="122">
        <f t="shared" si="39"/>
        <v>11.161999999999999</v>
      </c>
      <c r="BA30" s="123">
        <f t="shared" si="39"/>
        <v>10.955</v>
      </c>
      <c r="BB30" s="86">
        <f t="shared" si="39"/>
        <v>41.831000000000003</v>
      </c>
      <c r="BC30" s="121">
        <f t="shared" si="39"/>
        <v>14.47</v>
      </c>
      <c r="BD30" s="122">
        <f t="shared" si="39"/>
        <v>12.372</v>
      </c>
      <c r="BE30" s="122">
        <f t="shared" si="39"/>
        <v>14.725999999999999</v>
      </c>
      <c r="BF30" s="123">
        <f t="shared" si="39"/>
        <v>14.519</v>
      </c>
      <c r="BG30" s="86">
        <f t="shared" si="39"/>
        <v>56.087000000000003</v>
      </c>
      <c r="BH30" s="121">
        <f t="shared" ref="BH30:BQ30" si="40">SUM(BH28:BH29)</f>
        <v>11.434000000000001</v>
      </c>
      <c r="BI30" s="122">
        <f t="shared" si="40"/>
        <v>9.3360000000000003</v>
      </c>
      <c r="BJ30" s="122">
        <f t="shared" si="40"/>
        <v>11.690000000000001</v>
      </c>
      <c r="BK30" s="123">
        <f t="shared" si="40"/>
        <v>11.483000000000001</v>
      </c>
      <c r="BL30" s="86">
        <f t="shared" si="40"/>
        <v>43.942999999999998</v>
      </c>
      <c r="BM30" s="121">
        <f t="shared" si="40"/>
        <v>12.358000000000001</v>
      </c>
      <c r="BN30" s="122">
        <f t="shared" si="40"/>
        <v>10.26</v>
      </c>
      <c r="BO30" s="122">
        <f t="shared" si="40"/>
        <v>12.614000000000001</v>
      </c>
      <c r="BP30" s="123">
        <f t="shared" si="40"/>
        <v>12.407</v>
      </c>
      <c r="BQ30" s="86">
        <f t="shared" si="40"/>
        <v>47.638999999999996</v>
      </c>
      <c r="BR30" s="220"/>
      <c r="BS30" s="220"/>
      <c r="BT30" s="220"/>
      <c r="BU30" s="964"/>
      <c r="BV30" s="964"/>
      <c r="BW30" s="220"/>
      <c r="BX30" s="220"/>
      <c r="BY30" s="220"/>
      <c r="BZ30" s="220"/>
      <c r="CA30" s="220"/>
      <c r="CB30" s="220"/>
      <c r="CC30" s="220"/>
      <c r="CD30" s="220"/>
      <c r="CE30" s="220"/>
      <c r="CF30" s="220"/>
      <c r="CG30" s="220"/>
      <c r="CH30" s="220"/>
      <c r="CI30" s="220"/>
      <c r="CJ30" s="220"/>
      <c r="CK30" s="220"/>
      <c r="CL30" s="220"/>
      <c r="CM30" s="220"/>
      <c r="CN30" s="220"/>
      <c r="CO30" s="220"/>
      <c r="CP30" s="220"/>
      <c r="CQ30" s="220"/>
      <c r="CR30" s="220"/>
      <c r="CS30" s="220"/>
      <c r="CT30" s="220"/>
      <c r="CU30" s="220"/>
      <c r="CV30" s="220"/>
      <c r="CW30" s="220"/>
      <c r="CX30" s="220"/>
      <c r="CY30" s="220"/>
      <c r="CZ30" s="220"/>
    </row>
    <row r="31" spans="1:104" x14ac:dyDescent="0.2">
      <c r="A31" s="44"/>
      <c r="B31" s="44"/>
      <c r="C31" s="20"/>
      <c r="D31" s="42"/>
      <c r="E31" s="148"/>
      <c r="F31" s="149"/>
      <c r="G31" s="149"/>
      <c r="H31" s="150"/>
      <c r="I31" s="34"/>
      <c r="J31" s="148"/>
      <c r="K31" s="149"/>
      <c r="L31" s="149"/>
      <c r="M31" s="150"/>
      <c r="N31" s="34"/>
      <c r="O31" s="148"/>
      <c r="P31" s="139"/>
      <c r="Q31" s="139"/>
      <c r="R31" s="150"/>
      <c r="S31" s="34"/>
      <c r="T31" s="148"/>
      <c r="U31" s="139"/>
      <c r="V31" s="139"/>
      <c r="W31" s="150"/>
      <c r="X31" s="34"/>
      <c r="Y31" s="148"/>
      <c r="Z31" s="139"/>
      <c r="AA31" s="139"/>
      <c r="AB31" s="150"/>
      <c r="AC31" s="34"/>
      <c r="AD31" s="148"/>
      <c r="AE31" s="139"/>
      <c r="AF31" s="139"/>
      <c r="AG31" s="150"/>
      <c r="AH31" s="34"/>
      <c r="AI31" s="148"/>
      <c r="AJ31" s="139"/>
      <c r="AK31" s="139"/>
      <c r="AL31" s="150"/>
      <c r="AM31" s="34"/>
      <c r="AN31" s="148"/>
      <c r="AO31" s="139"/>
      <c r="AP31" s="139"/>
      <c r="AQ31" s="150"/>
      <c r="AR31" s="34"/>
      <c r="AS31" s="148"/>
      <c r="AT31" s="139"/>
      <c r="AU31" s="139"/>
      <c r="AV31" s="150"/>
      <c r="AW31" s="34"/>
      <c r="AX31" s="120"/>
      <c r="AY31" s="139"/>
      <c r="AZ31" s="139"/>
      <c r="BA31" s="119"/>
      <c r="BB31" s="44"/>
      <c r="BC31" s="120"/>
      <c r="BD31" s="139"/>
      <c r="BE31" s="139"/>
      <c r="BF31" s="119"/>
      <c r="BG31" s="44"/>
      <c r="BH31" s="120"/>
      <c r="BI31" s="139"/>
      <c r="BJ31" s="139"/>
      <c r="BK31" s="119"/>
      <c r="BL31" s="44"/>
      <c r="BM31" s="120"/>
      <c r="BN31" s="139"/>
      <c r="BO31" s="139"/>
      <c r="BP31" s="119"/>
      <c r="BQ31" s="44"/>
      <c r="BR31" s="44"/>
      <c r="BS31" s="44"/>
      <c r="BT31" s="44"/>
      <c r="BU31" s="963"/>
      <c r="BV31" s="963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44"/>
      <c r="CY31" s="44"/>
      <c r="CZ31" s="44"/>
    </row>
    <row r="32" spans="1:104" x14ac:dyDescent="0.2">
      <c r="A32" s="44"/>
      <c r="B32" s="44"/>
      <c r="C32" s="26" t="s">
        <v>130</v>
      </c>
      <c r="D32" s="42"/>
      <c r="E32" s="121">
        <f t="shared" ref="E32:Q32" si="41">E26+E30</f>
        <v>165.67199999999991</v>
      </c>
      <c r="F32" s="122">
        <f t="shared" si="41"/>
        <v>122.83099999999985</v>
      </c>
      <c r="G32" s="122">
        <f t="shared" si="41"/>
        <v>202.29800000000009</v>
      </c>
      <c r="H32" s="123">
        <f t="shared" si="41"/>
        <v>155.13800000000026</v>
      </c>
      <c r="I32" s="86">
        <f t="shared" si="41"/>
        <v>645.93899999999974</v>
      </c>
      <c r="J32" s="121">
        <f t="shared" si="41"/>
        <v>151.06700000000001</v>
      </c>
      <c r="K32" s="122">
        <f t="shared" si="41"/>
        <v>115.43899999999985</v>
      </c>
      <c r="L32" s="122">
        <f t="shared" si="41"/>
        <v>228.63699999999997</v>
      </c>
      <c r="M32" s="123">
        <f t="shared" si="41"/>
        <v>142.57300000000009</v>
      </c>
      <c r="N32" s="86">
        <f t="shared" si="41"/>
        <v>637.71600000000012</v>
      </c>
      <c r="O32" s="121">
        <f t="shared" si="41"/>
        <v>187.2979999999998</v>
      </c>
      <c r="P32" s="122">
        <f t="shared" si="41"/>
        <v>144.79400000000007</v>
      </c>
      <c r="Q32" s="122">
        <f t="shared" si="41"/>
        <v>264.67299999999989</v>
      </c>
      <c r="R32" s="123">
        <f t="shared" ref="R32:Y32" si="42">R26+R30</f>
        <v>135.0510000000001</v>
      </c>
      <c r="S32" s="86">
        <f t="shared" si="42"/>
        <v>731.81600000000037</v>
      </c>
      <c r="T32" s="121">
        <f t="shared" si="42"/>
        <v>143.11600000000016</v>
      </c>
      <c r="U32" s="122">
        <f t="shared" si="42"/>
        <v>147.77499999999995</v>
      </c>
      <c r="V32" s="122">
        <f t="shared" si="42"/>
        <v>269.30500000000006</v>
      </c>
      <c r="W32" s="123">
        <f t="shared" si="42"/>
        <v>136.178</v>
      </c>
      <c r="X32" s="86">
        <f t="shared" si="42"/>
        <v>696.37400000000002</v>
      </c>
      <c r="Y32" s="121">
        <f t="shared" si="42"/>
        <v>187.70500000000007</v>
      </c>
      <c r="Z32" s="122">
        <f t="shared" ref="Z32:AF32" si="43">Z26+Z30</f>
        <v>153.38200000000006</v>
      </c>
      <c r="AA32" s="122">
        <f t="shared" si="43"/>
        <v>272.66399999999987</v>
      </c>
      <c r="AB32" s="123">
        <f t="shared" si="43"/>
        <v>135.2619999999994</v>
      </c>
      <c r="AC32" s="86">
        <f t="shared" si="43"/>
        <v>749.01299999999992</v>
      </c>
      <c r="AD32" s="121">
        <f t="shared" si="43"/>
        <v>210.95999999999978</v>
      </c>
      <c r="AE32" s="122">
        <f t="shared" si="43"/>
        <v>160.82000000000005</v>
      </c>
      <c r="AF32" s="122">
        <f t="shared" si="43"/>
        <v>258.55700000000002</v>
      </c>
      <c r="AG32" s="123">
        <f t="shared" ref="AG32:AM32" si="44">AG26+AG30</f>
        <v>161.62399999999991</v>
      </c>
      <c r="AH32" s="86">
        <f t="shared" si="44"/>
        <v>791.9609999999999</v>
      </c>
      <c r="AI32" s="121">
        <f t="shared" si="44"/>
        <v>58.743000000000222</v>
      </c>
      <c r="AJ32" s="122">
        <f t="shared" si="44"/>
        <v>159.89600000000016</v>
      </c>
      <c r="AK32" s="122">
        <f t="shared" si="44"/>
        <v>317.85000000000019</v>
      </c>
      <c r="AL32" s="123">
        <f t="shared" si="44"/>
        <v>197.12200000000001</v>
      </c>
      <c r="AM32" s="86">
        <f t="shared" si="44"/>
        <v>733.6110000000001</v>
      </c>
      <c r="AN32" s="121">
        <f t="shared" ref="AN32:AR32" si="45">AN26+AN30</f>
        <v>192.40599999999992</v>
      </c>
      <c r="AO32" s="122">
        <f t="shared" si="45"/>
        <v>166.46800000000007</v>
      </c>
      <c r="AP32" s="122">
        <f t="shared" si="45"/>
        <v>354.96500000000003</v>
      </c>
      <c r="AQ32" s="123">
        <f t="shared" si="45"/>
        <v>213.4</v>
      </c>
      <c r="AR32" s="86">
        <f t="shared" si="45"/>
        <v>927.23900000000037</v>
      </c>
      <c r="AS32" s="121">
        <f>AS26+AS30</f>
        <v>187.21699999999993</v>
      </c>
      <c r="AT32" s="122">
        <f>AT26+AT30</f>
        <v>175.84100000000009</v>
      </c>
      <c r="AU32" s="122">
        <f>AU26+AU30</f>
        <v>349.14</v>
      </c>
      <c r="AV32" s="123">
        <f t="shared" ref="AV32:AW32" si="46">AV26+AV30</f>
        <v>190.94900000000047</v>
      </c>
      <c r="AW32" s="86">
        <f t="shared" si="46"/>
        <v>903.14700000000119</v>
      </c>
      <c r="AX32" s="121">
        <f t="shared" ref="AX32:BG32" si="47">AX26+AX30</f>
        <v>186.77931422065177</v>
      </c>
      <c r="AY32" s="122">
        <f t="shared" si="47"/>
        <v>167.30497062411689</v>
      </c>
      <c r="AZ32" s="122">
        <f t="shared" si="47"/>
        <v>318.0385043958583</v>
      </c>
      <c r="BA32" s="123">
        <f t="shared" si="47"/>
        <v>183.108405070369</v>
      </c>
      <c r="BB32" s="86">
        <f t="shared" si="47"/>
        <v>855.23119431099519</v>
      </c>
      <c r="BC32" s="121">
        <f t="shared" si="47"/>
        <v>207.81248049245298</v>
      </c>
      <c r="BD32" s="122">
        <f t="shared" si="47"/>
        <v>189.96200858948379</v>
      </c>
      <c r="BE32" s="122">
        <f t="shared" si="47"/>
        <v>346.27827367502016</v>
      </c>
      <c r="BF32" s="123">
        <f t="shared" si="47"/>
        <v>200.68685248464499</v>
      </c>
      <c r="BG32" s="86">
        <f t="shared" si="47"/>
        <v>944.73961524160268</v>
      </c>
      <c r="BH32" s="121">
        <f t="shared" ref="BH32:BQ32" si="48">BH26+BH30</f>
        <v>220.04147023089061</v>
      </c>
      <c r="BI32" s="122">
        <f t="shared" si="48"/>
        <v>198.58912991200305</v>
      </c>
      <c r="BJ32" s="122">
        <f t="shared" si="48"/>
        <v>364.96091349570469</v>
      </c>
      <c r="BK32" s="123">
        <f t="shared" si="48"/>
        <v>211.96466876820529</v>
      </c>
      <c r="BL32" s="86">
        <f t="shared" si="48"/>
        <v>995.55618240680337</v>
      </c>
      <c r="BM32" s="121">
        <f t="shared" si="48"/>
        <v>227.43728916706692</v>
      </c>
      <c r="BN32" s="122">
        <f t="shared" si="48"/>
        <v>211.33197027292408</v>
      </c>
      <c r="BO32" s="122">
        <f t="shared" si="48"/>
        <v>383.66755266765466</v>
      </c>
      <c r="BP32" s="123">
        <f t="shared" si="48"/>
        <v>222.87727172366007</v>
      </c>
      <c r="BQ32" s="86">
        <f t="shared" si="48"/>
        <v>1045.3140838313063</v>
      </c>
      <c r="BR32" s="44"/>
      <c r="BS32" s="44"/>
      <c r="BT32" s="44"/>
      <c r="BU32" s="964"/>
      <c r="BV32" s="96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</row>
    <row r="33" spans="1:104" x14ac:dyDescent="0.2">
      <c r="A33" s="44"/>
      <c r="B33" s="44"/>
      <c r="C33" s="26" t="s">
        <v>131</v>
      </c>
      <c r="D33" s="42"/>
      <c r="E33" s="121">
        <f t="shared" ref="E33:AD33" si="49">+E32+E21</f>
        <v>269.68099999999993</v>
      </c>
      <c r="F33" s="122">
        <f t="shared" si="49"/>
        <v>219.93899999999985</v>
      </c>
      <c r="G33" s="122">
        <f t="shared" si="49"/>
        <v>293.07400000000007</v>
      </c>
      <c r="H33" s="123">
        <f t="shared" si="49"/>
        <v>252.61200000000025</v>
      </c>
      <c r="I33" s="86">
        <f t="shared" si="49"/>
        <v>1035.3059999999998</v>
      </c>
      <c r="J33" s="121">
        <f t="shared" si="49"/>
        <v>247.34899999999999</v>
      </c>
      <c r="K33" s="122">
        <f t="shared" si="49"/>
        <v>214.69699999999983</v>
      </c>
      <c r="L33" s="122">
        <f t="shared" si="49"/>
        <v>334.30699999999996</v>
      </c>
      <c r="M33" s="123">
        <f t="shared" si="49"/>
        <v>242.49900000000014</v>
      </c>
      <c r="N33" s="86">
        <f t="shared" si="49"/>
        <v>1038.8520000000001</v>
      </c>
      <c r="O33" s="121">
        <f t="shared" si="49"/>
        <v>287.77099999999979</v>
      </c>
      <c r="P33" s="122">
        <f t="shared" si="49"/>
        <v>249.14900000000006</v>
      </c>
      <c r="Q33" s="122">
        <f t="shared" si="49"/>
        <v>376.10899999999992</v>
      </c>
      <c r="R33" s="123">
        <f>+R32+R21</f>
        <v>199.81200000000007</v>
      </c>
      <c r="S33" s="86">
        <f>+S32+S21</f>
        <v>1112.8410000000003</v>
      </c>
      <c r="T33" s="121">
        <f t="shared" si="49"/>
        <v>242.09600000000017</v>
      </c>
      <c r="U33" s="122">
        <f t="shared" si="49"/>
        <v>247.69799999999995</v>
      </c>
      <c r="V33" s="122">
        <f t="shared" si="49"/>
        <v>375.19600000000008</v>
      </c>
      <c r="W33" s="123">
        <f>+W32+W21</f>
        <v>230.81599999999997</v>
      </c>
      <c r="X33" s="86">
        <f>+X32+X21</f>
        <v>1095.806</v>
      </c>
      <c r="Y33" s="121">
        <f t="shared" si="49"/>
        <v>296.79000000000008</v>
      </c>
      <c r="Z33" s="122">
        <f>+Z32+Z21</f>
        <v>257.11700000000008</v>
      </c>
      <c r="AA33" s="122">
        <f>+AA32+AA21</f>
        <v>361.89199999999988</v>
      </c>
      <c r="AB33" s="123">
        <f>+AB32+AB21</f>
        <v>247.80199999999942</v>
      </c>
      <c r="AC33" s="86">
        <f>+AC32+AC21</f>
        <v>1163.6009999999999</v>
      </c>
      <c r="AD33" s="121">
        <f t="shared" si="49"/>
        <v>310.14499999999975</v>
      </c>
      <c r="AE33" s="122">
        <f t="shared" ref="AE33:AJ33" si="50">+AE32+AE21</f>
        <v>262.72600000000006</v>
      </c>
      <c r="AF33" s="122">
        <f t="shared" si="50"/>
        <v>361.39800000000002</v>
      </c>
      <c r="AG33" s="123">
        <f t="shared" si="50"/>
        <v>268.53199999999987</v>
      </c>
      <c r="AH33" s="86">
        <f t="shared" si="50"/>
        <v>1202.8009999999999</v>
      </c>
      <c r="AI33" s="121">
        <f t="shared" si="50"/>
        <v>176.81800000000021</v>
      </c>
      <c r="AJ33" s="122">
        <f t="shared" si="50"/>
        <v>276.14100000000019</v>
      </c>
      <c r="AK33" s="122">
        <f t="shared" ref="AK33:AP33" si="51">+AK32+AK21</f>
        <v>437.48000000000019</v>
      </c>
      <c r="AL33" s="123">
        <f t="shared" si="51"/>
        <v>322.51400000000001</v>
      </c>
      <c r="AM33" s="86">
        <f t="shared" si="51"/>
        <v>1212.953</v>
      </c>
      <c r="AN33" s="121">
        <f t="shared" si="51"/>
        <v>338.20299999999992</v>
      </c>
      <c r="AO33" s="122">
        <f t="shared" si="51"/>
        <v>313.91200000000003</v>
      </c>
      <c r="AP33" s="122">
        <f t="shared" si="51"/>
        <v>504.37300000000005</v>
      </c>
      <c r="AQ33" s="123">
        <f t="shared" ref="AQ33:AU33" si="52">+AQ32+AQ21</f>
        <v>367.40899999999999</v>
      </c>
      <c r="AR33" s="86">
        <f t="shared" si="52"/>
        <v>1523.8970000000004</v>
      </c>
      <c r="AS33" s="121">
        <f t="shared" si="52"/>
        <v>359.39599999999996</v>
      </c>
      <c r="AT33" s="122">
        <f t="shared" si="52"/>
        <v>348.99300000000005</v>
      </c>
      <c r="AU33" s="122">
        <f t="shared" si="52"/>
        <v>525.87900000000002</v>
      </c>
      <c r="AV33" s="123">
        <f t="shared" ref="AV33:AW33" si="53">+AV32+AV21</f>
        <v>369.51600000000036</v>
      </c>
      <c r="AW33" s="86">
        <f t="shared" si="53"/>
        <v>1603.784000000001</v>
      </c>
      <c r="AX33" s="121">
        <f t="shared" ref="AX33:BG33" si="54">+AX32+AX21</f>
        <v>371.32066222065168</v>
      </c>
      <c r="AY33" s="122">
        <f t="shared" si="54"/>
        <v>352.31120956711686</v>
      </c>
      <c r="AZ33" s="122">
        <f t="shared" si="54"/>
        <v>505.44652319497754</v>
      </c>
      <c r="BA33" s="123">
        <f t="shared" si="54"/>
        <v>372.8815765828017</v>
      </c>
      <c r="BB33" s="86">
        <f t="shared" si="54"/>
        <v>1601.959971565547</v>
      </c>
      <c r="BC33" s="121">
        <f t="shared" si="54"/>
        <v>398.24221443467695</v>
      </c>
      <c r="BD33" s="122">
        <f t="shared" si="54"/>
        <v>380.81306367559154</v>
      </c>
      <c r="BE33" s="122">
        <f t="shared" si="54"/>
        <v>541.46266598560339</v>
      </c>
      <c r="BF33" s="123">
        <f t="shared" si="54"/>
        <v>400.13907397638371</v>
      </c>
      <c r="BG33" s="86">
        <f t="shared" si="54"/>
        <v>1720.6570180722563</v>
      </c>
      <c r="BH33" s="121">
        <f t="shared" ref="BH33:BQ33" si="55">+BH32+BH21</f>
        <v>420.53091435188117</v>
      </c>
      <c r="BI33" s="122">
        <f t="shared" si="55"/>
        <v>404.77564124279581</v>
      </c>
      <c r="BJ33" s="122">
        <f t="shared" si="55"/>
        <v>573.4737150425608</v>
      </c>
      <c r="BK33" s="123">
        <f t="shared" si="55"/>
        <v>422.76914019083677</v>
      </c>
      <c r="BL33" s="86">
        <f t="shared" si="55"/>
        <v>1821.5494108280743</v>
      </c>
      <c r="BM33" s="121">
        <f t="shared" si="55"/>
        <v>440.21345791921931</v>
      </c>
      <c r="BN33" s="122">
        <f t="shared" si="55"/>
        <v>425.85480673087898</v>
      </c>
      <c r="BO33" s="122">
        <f t="shared" si="55"/>
        <v>600.90984014303115</v>
      </c>
      <c r="BP33" s="123">
        <f t="shared" si="55"/>
        <v>442.79859307536253</v>
      </c>
      <c r="BQ33" s="86">
        <f t="shared" si="55"/>
        <v>1909.7766978684926</v>
      </c>
      <c r="BR33" s="44"/>
      <c r="BS33" s="44"/>
      <c r="BT33" s="44"/>
      <c r="BU33" s="964"/>
      <c r="BV33" s="96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</row>
    <row r="34" spans="1:104" x14ac:dyDescent="0.2">
      <c r="A34" s="44"/>
      <c r="B34" s="44"/>
      <c r="C34" s="20"/>
      <c r="D34" s="42"/>
      <c r="E34" s="148"/>
      <c r="F34" s="149"/>
      <c r="G34" s="149"/>
      <c r="H34" s="150"/>
      <c r="I34" s="42"/>
      <c r="J34" s="148"/>
      <c r="K34" s="149"/>
      <c r="L34" s="149"/>
      <c r="M34" s="150"/>
      <c r="N34" s="34"/>
      <c r="O34" s="148"/>
      <c r="P34" s="139"/>
      <c r="Q34" s="139"/>
      <c r="R34" s="150"/>
      <c r="S34" s="34"/>
      <c r="T34" s="148"/>
      <c r="U34" s="139"/>
      <c r="V34" s="139"/>
      <c r="W34" s="150"/>
      <c r="X34" s="34"/>
      <c r="Y34" s="148"/>
      <c r="Z34" s="139"/>
      <c r="AA34" s="139"/>
      <c r="AB34" s="150"/>
      <c r="AC34" s="34"/>
      <c r="AD34" s="148"/>
      <c r="AE34" s="139"/>
      <c r="AF34" s="139"/>
      <c r="AG34" s="150"/>
      <c r="AH34" s="34"/>
      <c r="AI34" s="148"/>
      <c r="AJ34" s="139"/>
      <c r="AK34" s="139"/>
      <c r="AL34" s="150"/>
      <c r="AM34" s="34"/>
      <c r="AN34" s="148"/>
      <c r="AO34" s="139"/>
      <c r="AP34" s="139"/>
      <c r="AQ34" s="150"/>
      <c r="AR34" s="34"/>
      <c r="AS34" s="148"/>
      <c r="AT34" s="139"/>
      <c r="AU34" s="139"/>
      <c r="AV34" s="150"/>
      <c r="AW34" s="34"/>
      <c r="AX34" s="120"/>
      <c r="AY34" s="139"/>
      <c r="AZ34" s="139"/>
      <c r="BA34" s="119"/>
      <c r="BB34" s="44"/>
      <c r="BC34" s="120"/>
      <c r="BD34" s="139"/>
      <c r="BE34" s="139"/>
      <c r="BF34" s="119"/>
      <c r="BG34" s="44"/>
      <c r="BH34" s="120"/>
      <c r="BI34" s="139"/>
      <c r="BJ34" s="139"/>
      <c r="BK34" s="119"/>
      <c r="BL34" s="44"/>
      <c r="BM34" s="120"/>
      <c r="BN34" s="139"/>
      <c r="BO34" s="139"/>
      <c r="BP34" s="119"/>
      <c r="BQ34" s="44"/>
      <c r="BR34" s="44"/>
      <c r="BS34" s="44"/>
      <c r="BT34" s="44"/>
      <c r="BU34" s="963"/>
      <c r="BV34" s="963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</row>
    <row r="35" spans="1:104" x14ac:dyDescent="0.2">
      <c r="A35" s="44"/>
      <c r="B35" s="44"/>
      <c r="C35" s="20" t="s">
        <v>132</v>
      </c>
      <c r="D35" s="42"/>
      <c r="E35" s="114">
        <v>50.085000000000001</v>
      </c>
      <c r="F35" s="115">
        <v>49.826999999999998</v>
      </c>
      <c r="G35" s="115">
        <v>47.651000000000003</v>
      </c>
      <c r="H35" s="131">
        <f>I35-SUM(E35:G35)</f>
        <v>47.244999999999976</v>
      </c>
      <c r="I35" s="117">
        <v>194.80799999999999</v>
      </c>
      <c r="J35" s="114">
        <v>50.180999999999997</v>
      </c>
      <c r="K35" s="115">
        <v>49.351999999999997</v>
      </c>
      <c r="L35" s="115">
        <v>50.406999999999996</v>
      </c>
      <c r="M35" s="131">
        <f>N35-SUM(J35:L35)</f>
        <v>51.491000000000014</v>
      </c>
      <c r="N35" s="117">
        <v>201.43100000000001</v>
      </c>
      <c r="O35" s="114">
        <v>51.615000000000002</v>
      </c>
      <c r="P35" s="115">
        <v>52.313000000000002</v>
      </c>
      <c r="Q35" s="133">
        <v>52.069000000000003</v>
      </c>
      <c r="R35" s="131">
        <f>S35-SUM(O35:Q35)</f>
        <v>52.005999999999972</v>
      </c>
      <c r="S35" s="117">
        <v>208.00299999999999</v>
      </c>
      <c r="T35" s="114">
        <v>52.12</v>
      </c>
      <c r="U35" s="133">
        <v>52.281999999999996</v>
      </c>
      <c r="V35" s="115">
        <v>52.08</v>
      </c>
      <c r="W35" s="131">
        <f>X35-SUM(T35:V35)</f>
        <v>44.676000000000016</v>
      </c>
      <c r="X35" s="117">
        <v>201.15799999999999</v>
      </c>
      <c r="Y35" s="114">
        <v>45.113999999999997</v>
      </c>
      <c r="Z35" s="133">
        <v>46.476999999999997</v>
      </c>
      <c r="AA35" s="115">
        <v>50.307000000000002</v>
      </c>
      <c r="AB35" s="131">
        <f>AC35-SUM(Y35:AA35)</f>
        <v>49.991000000000014</v>
      </c>
      <c r="AC35" s="117">
        <v>191.88900000000001</v>
      </c>
      <c r="AD35" s="114">
        <v>47.451999999999998</v>
      </c>
      <c r="AE35" s="133">
        <v>49.088999999999999</v>
      </c>
      <c r="AF35" s="115">
        <v>51.183</v>
      </c>
      <c r="AG35" s="131">
        <f>AH35-SUM(AD35:AF35)</f>
        <v>51.943000000000012</v>
      </c>
      <c r="AH35" s="117">
        <v>199.667</v>
      </c>
      <c r="AI35" s="114">
        <v>51.762999999999998</v>
      </c>
      <c r="AJ35" s="133">
        <v>49.094000000000001</v>
      </c>
      <c r="AK35" s="115">
        <v>53.152000000000001</v>
      </c>
      <c r="AL35" s="131">
        <f>AM35-SUM(AI35:AK35)</f>
        <v>54.753999999999991</v>
      </c>
      <c r="AM35" s="117">
        <v>208.76300000000001</v>
      </c>
      <c r="AN35" s="114">
        <v>54.015000000000001</v>
      </c>
      <c r="AO35" s="133">
        <v>56.136000000000003</v>
      </c>
      <c r="AP35" s="133">
        <v>57.859000000000002</v>
      </c>
      <c r="AQ35" s="131">
        <f>AR35-SUM(AN35:AP35)</f>
        <v>58.536999999999978</v>
      </c>
      <c r="AR35" s="117">
        <v>226.547</v>
      </c>
      <c r="AS35" s="114">
        <v>57.264000000000003</v>
      </c>
      <c r="AT35" s="133">
        <v>57.707000000000001</v>
      </c>
      <c r="AU35" s="133">
        <v>57.576999999999998</v>
      </c>
      <c r="AV35" s="131">
        <f>AW35-SUM(AS35:AU35)</f>
        <v>55.853000000000009</v>
      </c>
      <c r="AW35" s="117">
        <v>228.40100000000001</v>
      </c>
      <c r="AX35" s="120">
        <f>+AS35+AX196+AX198+AX199</f>
        <v>59.403995000000009</v>
      </c>
      <c r="AY35" s="118">
        <f>+AT35+AY196+AY198+AY199</f>
        <v>58.823172331948371</v>
      </c>
      <c r="AZ35" s="118">
        <f>+AU35+AZ196+AZ198+AZ199</f>
        <v>59.777183738860444</v>
      </c>
      <c r="BA35" s="119">
        <f>+AV35+BA196+BA198+BA199</f>
        <v>58.212636890220168</v>
      </c>
      <c r="BB35" s="42">
        <f>SUM(AX35:BA35)</f>
        <v>236.21698796102896</v>
      </c>
      <c r="BC35" s="120">
        <f>+AX35+BC196+BC198+BC199</f>
        <v>59.769088709040346</v>
      </c>
      <c r="BD35" s="118">
        <f>+AY35+BD196+BD198+BD199</f>
        <v>59.573711546437153</v>
      </c>
      <c r="BE35" s="118">
        <f>+AZ35+BE196+BE198+BE199</f>
        <v>63.64145204134374</v>
      </c>
      <c r="BF35" s="119">
        <f>+BA35+BF196+BF198+BF199</f>
        <v>60.830051472213619</v>
      </c>
      <c r="BG35" s="42">
        <f>SUM(BC35:BF35)</f>
        <v>243.81430376903486</v>
      </c>
      <c r="BH35" s="120">
        <f>+BC35+BH196+BH198+BH199</f>
        <v>62.393647766152419</v>
      </c>
      <c r="BI35" s="118">
        <f>+BD35+BI196+BI198+BI199</f>
        <v>61.975912031266354</v>
      </c>
      <c r="BJ35" s="118">
        <f>+BE35+BJ196+BJ198+BJ199</f>
        <v>70.518500949836607</v>
      </c>
      <c r="BK35" s="119">
        <f>+BF35+BK196+BK198+BK199</f>
        <v>65.050960422763694</v>
      </c>
      <c r="BL35" s="42">
        <f>SUM(BH35:BK35)</f>
        <v>259.93902117001909</v>
      </c>
      <c r="BM35" s="120">
        <f>+BH35+BM196+BM198+BM199</f>
        <v>66.616327150790781</v>
      </c>
      <c r="BN35" s="118">
        <f>+BI35+BN196+BN198+BN199</f>
        <v>66.217925408120223</v>
      </c>
      <c r="BO35" s="118">
        <f>+BJ35+BO196+BO198+BO199</f>
        <v>78.000536990540311</v>
      </c>
      <c r="BP35" s="119">
        <f>+BK35+BP196+BP198+BP199</f>
        <v>69.845974853568976</v>
      </c>
      <c r="BQ35" s="42">
        <f>SUM(BM35:BP35)</f>
        <v>280.68076440302031</v>
      </c>
      <c r="BR35" s="44"/>
      <c r="BS35" s="44"/>
      <c r="BT35" s="44"/>
      <c r="BU35" s="963"/>
      <c r="BV35" s="963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</row>
    <row r="36" spans="1:104" x14ac:dyDescent="0.2">
      <c r="A36" s="44"/>
      <c r="B36" s="44"/>
      <c r="C36" s="20" t="s">
        <v>133</v>
      </c>
      <c r="D36" s="42"/>
      <c r="E36" s="114">
        <v>-4.3419999999999996</v>
      </c>
      <c r="F36" s="115">
        <v>-4.6100000000000003</v>
      </c>
      <c r="G36" s="115">
        <v>-4.2850000000000001</v>
      </c>
      <c r="H36" s="116">
        <f>I36-SUM(E36:G36)</f>
        <v>-4.5230000000000015</v>
      </c>
      <c r="I36" s="117">
        <v>-17.760000000000002</v>
      </c>
      <c r="J36" s="114">
        <v>-5.3419999999999996</v>
      </c>
      <c r="K36" s="115">
        <v>-4.1349999999999998</v>
      </c>
      <c r="L36" s="115">
        <v>-4.1150000000000002</v>
      </c>
      <c r="M36" s="116">
        <f>N36-SUM(J36:L36)</f>
        <v>-5.5389999999999997</v>
      </c>
      <c r="N36" s="117">
        <v>-19.131</v>
      </c>
      <c r="O36" s="114">
        <v>-5.3230000000000004</v>
      </c>
      <c r="P36" s="115">
        <v>-5.9610000000000003</v>
      </c>
      <c r="Q36" s="133">
        <v>-4.7530000000000001</v>
      </c>
      <c r="R36" s="116">
        <f>S36-SUM(O36:Q36)</f>
        <v>-4.7800000000000011</v>
      </c>
      <c r="S36" s="219">
        <v>-20.817</v>
      </c>
      <c r="T36" s="114">
        <v>-4.2779999999999996</v>
      </c>
      <c r="U36" s="133">
        <v>-4.9370000000000003</v>
      </c>
      <c r="V36" s="115">
        <v>-5.7569999999999997</v>
      </c>
      <c r="W36" s="116">
        <f>X36-SUM(T36:V36)</f>
        <v>-5.4770000000000021</v>
      </c>
      <c r="X36" s="219">
        <v>-20.449000000000002</v>
      </c>
      <c r="Y36" s="114">
        <v>-4.5890000000000004</v>
      </c>
      <c r="Z36" s="133">
        <v>-5.407</v>
      </c>
      <c r="AA36" s="115">
        <v>-4.3310000000000004</v>
      </c>
      <c r="AB36" s="116">
        <f>AC36-SUM(Y36:AA36)</f>
        <v>-3.7519999999999989</v>
      </c>
      <c r="AC36" s="219">
        <v>-18.079000000000001</v>
      </c>
      <c r="AD36" s="114">
        <v>-2.4550000000000001</v>
      </c>
      <c r="AE36" s="133">
        <v>-2.73</v>
      </c>
      <c r="AF36" s="115">
        <v>-2.8079999999999998</v>
      </c>
      <c r="AG36" s="116">
        <f>AH36-SUM(AD36:AF36)</f>
        <v>-2.718</v>
      </c>
      <c r="AH36" s="219">
        <v>-10.711</v>
      </c>
      <c r="AI36" s="114">
        <v>-2.9140000000000001</v>
      </c>
      <c r="AJ36" s="133">
        <v>-2.84</v>
      </c>
      <c r="AK36" s="115">
        <v>-3.4279999999999999</v>
      </c>
      <c r="AL36" s="116">
        <f>AM36-SUM(AI36:AK36)</f>
        <v>-3.543000000000001</v>
      </c>
      <c r="AM36" s="219">
        <v>-12.725</v>
      </c>
      <c r="AN36" s="114">
        <v>-2.706</v>
      </c>
      <c r="AO36" s="133">
        <v>-3.278</v>
      </c>
      <c r="AP36" s="133">
        <v>-3.5910000000000002</v>
      </c>
      <c r="AQ36" s="116">
        <f>AR36-SUM(AN36:AP36)</f>
        <v>-2.9960000000000004</v>
      </c>
      <c r="AR36" s="219">
        <v>-12.571</v>
      </c>
      <c r="AS36" s="114">
        <v>-3.2280000000000002</v>
      </c>
      <c r="AT36" s="133">
        <v>-3.298</v>
      </c>
      <c r="AU36" s="133">
        <v>-5.383</v>
      </c>
      <c r="AV36" s="116">
        <f>AW36-SUM(AS36:AU36)</f>
        <v>-3.1460000000000008</v>
      </c>
      <c r="AW36" s="219">
        <v>-15.055</v>
      </c>
      <c r="AX36" s="120">
        <f>-AX186</f>
        <v>-3.4524000000000004</v>
      </c>
      <c r="AY36" s="118">
        <f>-AY186</f>
        <v>-3.4524000000000004</v>
      </c>
      <c r="AZ36" s="118">
        <f>-AZ186</f>
        <v>-3.4524000000000004</v>
      </c>
      <c r="BA36" s="119">
        <f>-BA186</f>
        <v>-3.4524000000000004</v>
      </c>
      <c r="BB36" s="42">
        <f>SUM(AX36:BA36)</f>
        <v>-13.809600000000001</v>
      </c>
      <c r="BC36" s="120">
        <f>-BC186</f>
        <v>-4.8132000000000001</v>
      </c>
      <c r="BD36" s="118">
        <f>-BD186</f>
        <v>-4.8132000000000001</v>
      </c>
      <c r="BE36" s="118">
        <f>-BE186</f>
        <v>-4.8132000000000001</v>
      </c>
      <c r="BF36" s="119">
        <f>-BF186</f>
        <v>-4.8132000000000001</v>
      </c>
      <c r="BG36" s="42">
        <f>SUM(BC36:BF36)</f>
        <v>-19.252800000000001</v>
      </c>
      <c r="BH36" s="120">
        <f>-BH186</f>
        <v>-3.6540000000000004</v>
      </c>
      <c r="BI36" s="118">
        <f>-BI186</f>
        <v>-3.6540000000000004</v>
      </c>
      <c r="BJ36" s="118">
        <f>-BJ186</f>
        <v>-3.6540000000000004</v>
      </c>
      <c r="BK36" s="119">
        <f>-BK186</f>
        <v>-3.6540000000000004</v>
      </c>
      <c r="BL36" s="42">
        <f>SUM(BH36:BK36)</f>
        <v>-14.616000000000001</v>
      </c>
      <c r="BM36" s="120">
        <f>-BM186</f>
        <v>-4.0068000000000001</v>
      </c>
      <c r="BN36" s="118">
        <f>-BN186</f>
        <v>-4.0068000000000001</v>
      </c>
      <c r="BO36" s="118">
        <f>-BO186</f>
        <v>-4.0068000000000001</v>
      </c>
      <c r="BP36" s="119">
        <f>-BP186</f>
        <v>-4.0068000000000001</v>
      </c>
      <c r="BQ36" s="42">
        <f>SUM(BM36:BP36)</f>
        <v>-16.027200000000001</v>
      </c>
      <c r="BR36" s="44"/>
      <c r="BS36" s="44"/>
      <c r="BT36" s="44"/>
      <c r="BU36" s="963"/>
      <c r="BV36" s="963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</row>
    <row r="37" spans="1:104" x14ac:dyDescent="0.2">
      <c r="A37" s="44"/>
      <c r="B37" s="44"/>
      <c r="C37" s="26" t="s">
        <v>134</v>
      </c>
      <c r="D37" s="42"/>
      <c r="E37" s="121">
        <f t="shared" ref="E37:AD37" si="56">SUM(E35:E36)</f>
        <v>45.743000000000002</v>
      </c>
      <c r="F37" s="122">
        <f t="shared" si="56"/>
        <v>45.216999999999999</v>
      </c>
      <c r="G37" s="122">
        <f t="shared" si="56"/>
        <v>43.366</v>
      </c>
      <c r="H37" s="123">
        <f t="shared" si="56"/>
        <v>42.721999999999973</v>
      </c>
      <c r="I37" s="86">
        <f t="shared" si="56"/>
        <v>177.048</v>
      </c>
      <c r="J37" s="121">
        <f t="shared" si="56"/>
        <v>44.838999999999999</v>
      </c>
      <c r="K37" s="122">
        <f t="shared" si="56"/>
        <v>45.216999999999999</v>
      </c>
      <c r="L37" s="122">
        <f t="shared" si="56"/>
        <v>46.291999999999994</v>
      </c>
      <c r="M37" s="123">
        <f t="shared" si="56"/>
        <v>45.952000000000012</v>
      </c>
      <c r="N37" s="86">
        <f t="shared" si="56"/>
        <v>182.3</v>
      </c>
      <c r="O37" s="121">
        <f t="shared" si="56"/>
        <v>46.292000000000002</v>
      </c>
      <c r="P37" s="122">
        <f t="shared" si="56"/>
        <v>46.352000000000004</v>
      </c>
      <c r="Q37" s="130">
        <f t="shared" si="56"/>
        <v>47.316000000000003</v>
      </c>
      <c r="R37" s="123">
        <f>SUM(R35:R36)</f>
        <v>47.225999999999971</v>
      </c>
      <c r="S37" s="85">
        <f>SUM(S35:S36)</f>
        <v>187.18599999999998</v>
      </c>
      <c r="T37" s="121">
        <f t="shared" si="56"/>
        <v>47.841999999999999</v>
      </c>
      <c r="U37" s="130">
        <f t="shared" si="56"/>
        <v>47.344999999999999</v>
      </c>
      <c r="V37" s="122">
        <f t="shared" si="56"/>
        <v>46.323</v>
      </c>
      <c r="W37" s="123">
        <f>SUM(W35:W36)</f>
        <v>39.199000000000012</v>
      </c>
      <c r="X37" s="85">
        <f>SUM(X35:X36)</f>
        <v>180.70899999999997</v>
      </c>
      <c r="Y37" s="121">
        <f t="shared" si="56"/>
        <v>40.524999999999999</v>
      </c>
      <c r="Z37" s="130">
        <f>SUM(Z35:Z36)</f>
        <v>41.069999999999993</v>
      </c>
      <c r="AA37" s="122">
        <f>SUM(AA35:AA36)</f>
        <v>45.975999999999999</v>
      </c>
      <c r="AB37" s="123">
        <f>SUM(AB35:AB36)</f>
        <v>46.239000000000019</v>
      </c>
      <c r="AC37" s="85">
        <f>SUM(AC35:AC36)</f>
        <v>173.81</v>
      </c>
      <c r="AD37" s="121">
        <f t="shared" si="56"/>
        <v>44.997</v>
      </c>
      <c r="AE37" s="130">
        <f t="shared" ref="AE37:AJ37" si="57">SUM(AE35:AE36)</f>
        <v>46.359000000000002</v>
      </c>
      <c r="AF37" s="122">
        <f t="shared" si="57"/>
        <v>48.375</v>
      </c>
      <c r="AG37" s="123">
        <f t="shared" si="57"/>
        <v>49.225000000000009</v>
      </c>
      <c r="AH37" s="85">
        <f t="shared" si="57"/>
        <v>188.95599999999999</v>
      </c>
      <c r="AI37" s="121">
        <f t="shared" si="57"/>
        <v>48.848999999999997</v>
      </c>
      <c r="AJ37" s="130">
        <f t="shared" si="57"/>
        <v>46.254000000000005</v>
      </c>
      <c r="AK37" s="122">
        <f t="shared" ref="AK37:AP37" si="58">SUM(AK35:AK36)</f>
        <v>49.724000000000004</v>
      </c>
      <c r="AL37" s="123">
        <f t="shared" si="58"/>
        <v>51.210999999999991</v>
      </c>
      <c r="AM37" s="85">
        <f t="shared" si="58"/>
        <v>196.03800000000001</v>
      </c>
      <c r="AN37" s="121">
        <f t="shared" si="58"/>
        <v>51.308999999999997</v>
      </c>
      <c r="AO37" s="130">
        <f t="shared" si="58"/>
        <v>52.858000000000004</v>
      </c>
      <c r="AP37" s="130">
        <f t="shared" si="58"/>
        <v>54.268000000000001</v>
      </c>
      <c r="AQ37" s="123">
        <f t="shared" ref="AQ37:AU37" si="59">SUM(AQ35:AQ36)</f>
        <v>55.540999999999976</v>
      </c>
      <c r="AR37" s="85">
        <f t="shared" si="59"/>
        <v>213.976</v>
      </c>
      <c r="AS37" s="121">
        <f t="shared" si="59"/>
        <v>54.036000000000001</v>
      </c>
      <c r="AT37" s="130">
        <f t="shared" si="59"/>
        <v>54.408999999999999</v>
      </c>
      <c r="AU37" s="130">
        <f t="shared" si="59"/>
        <v>52.193999999999996</v>
      </c>
      <c r="AV37" s="123">
        <f t="shared" ref="AV37:AW37" si="60">SUM(AV35:AV36)</f>
        <v>52.707000000000008</v>
      </c>
      <c r="AW37" s="85">
        <f t="shared" si="60"/>
        <v>213.346</v>
      </c>
      <c r="AX37" s="121">
        <f t="shared" ref="AX37:BG37" si="61">SUM(AX35:AX36)</f>
        <v>55.951595000000012</v>
      </c>
      <c r="AY37" s="122">
        <f t="shared" si="61"/>
        <v>55.370772331948373</v>
      </c>
      <c r="AZ37" s="122">
        <f t="shared" si="61"/>
        <v>56.324783738860447</v>
      </c>
      <c r="BA37" s="123">
        <f t="shared" si="61"/>
        <v>54.76023689022017</v>
      </c>
      <c r="BB37" s="86">
        <f t="shared" si="61"/>
        <v>222.40738796102897</v>
      </c>
      <c r="BC37" s="121">
        <f t="shared" si="61"/>
        <v>54.955888709040345</v>
      </c>
      <c r="BD37" s="122">
        <f t="shared" si="61"/>
        <v>54.760511546437151</v>
      </c>
      <c r="BE37" s="122">
        <f t="shared" si="61"/>
        <v>58.828252041343738</v>
      </c>
      <c r="BF37" s="123">
        <f t="shared" si="61"/>
        <v>56.016851472213617</v>
      </c>
      <c r="BG37" s="86">
        <f t="shared" si="61"/>
        <v>224.56150376903486</v>
      </c>
      <c r="BH37" s="121">
        <f t="shared" ref="BH37:BQ37" si="62">SUM(BH35:BH36)</f>
        <v>58.739647766152416</v>
      </c>
      <c r="BI37" s="122">
        <f t="shared" si="62"/>
        <v>58.321912031266351</v>
      </c>
      <c r="BJ37" s="122">
        <f t="shared" si="62"/>
        <v>66.864500949836611</v>
      </c>
      <c r="BK37" s="123">
        <f t="shared" si="62"/>
        <v>61.396960422763691</v>
      </c>
      <c r="BL37" s="86">
        <f t="shared" si="62"/>
        <v>245.32302117001908</v>
      </c>
      <c r="BM37" s="121">
        <f t="shared" si="62"/>
        <v>62.609527150790782</v>
      </c>
      <c r="BN37" s="122">
        <f t="shared" si="62"/>
        <v>62.211125408120225</v>
      </c>
      <c r="BO37" s="122">
        <f t="shared" si="62"/>
        <v>73.993736990540313</v>
      </c>
      <c r="BP37" s="123">
        <f t="shared" si="62"/>
        <v>65.839174853568977</v>
      </c>
      <c r="BQ37" s="86">
        <f t="shared" si="62"/>
        <v>264.65356440302031</v>
      </c>
      <c r="BR37" s="44"/>
      <c r="BS37" s="44"/>
      <c r="BT37" s="44"/>
      <c r="BU37" s="964"/>
      <c r="BV37" s="96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  <c r="CX37" s="44"/>
      <c r="CY37" s="44"/>
      <c r="CZ37" s="44"/>
    </row>
    <row r="38" spans="1:104" x14ac:dyDescent="0.2">
      <c r="A38" s="44"/>
      <c r="B38" s="44"/>
      <c r="C38" s="20"/>
      <c r="D38" s="42"/>
      <c r="E38" s="148"/>
      <c r="F38" s="149"/>
      <c r="G38" s="149"/>
      <c r="H38" s="150"/>
      <c r="I38" s="34"/>
      <c r="J38" s="148"/>
      <c r="K38" s="149"/>
      <c r="L38" s="149"/>
      <c r="M38" s="150"/>
      <c r="N38" s="34"/>
      <c r="O38" s="148"/>
      <c r="P38" s="139"/>
      <c r="Q38" s="139"/>
      <c r="R38" s="150"/>
      <c r="S38" s="728"/>
      <c r="T38" s="148"/>
      <c r="U38" s="139"/>
      <c r="V38" s="139"/>
      <c r="W38" s="150"/>
      <c r="X38" s="728"/>
      <c r="Y38" s="148"/>
      <c r="Z38" s="139"/>
      <c r="AA38" s="139"/>
      <c r="AB38" s="150"/>
      <c r="AC38" s="728"/>
      <c r="AD38" s="148"/>
      <c r="AE38" s="139"/>
      <c r="AF38" s="139"/>
      <c r="AG38" s="150"/>
      <c r="AH38" s="728"/>
      <c r="AI38" s="148"/>
      <c r="AJ38" s="139"/>
      <c r="AK38" s="139"/>
      <c r="AL38" s="150"/>
      <c r="AM38" s="728"/>
      <c r="AN38" s="148"/>
      <c r="AO38" s="139"/>
      <c r="AP38" s="139"/>
      <c r="AQ38" s="150"/>
      <c r="AR38" s="728"/>
      <c r="AS38" s="148"/>
      <c r="AT38" s="139"/>
      <c r="AU38" s="139"/>
      <c r="AV38" s="150"/>
      <c r="AW38" s="728"/>
      <c r="AX38" s="120"/>
      <c r="AY38" s="139"/>
      <c r="AZ38" s="139"/>
      <c r="BA38" s="119"/>
      <c r="BB38" s="44"/>
      <c r="BC38" s="120"/>
      <c r="BD38" s="139"/>
      <c r="BE38" s="139"/>
      <c r="BF38" s="119"/>
      <c r="BG38" s="44"/>
      <c r="BH38" s="120"/>
      <c r="BI38" s="139"/>
      <c r="BJ38" s="139"/>
      <c r="BK38" s="119"/>
      <c r="BL38" s="44"/>
      <c r="BM38" s="120"/>
      <c r="BN38" s="139"/>
      <c r="BO38" s="139"/>
      <c r="BP38" s="119"/>
      <c r="BQ38" s="44"/>
      <c r="BR38" s="44"/>
      <c r="BS38" s="44"/>
      <c r="BT38" s="44"/>
      <c r="BU38" s="963"/>
      <c r="BV38" s="963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</row>
    <row r="39" spans="1:104" x14ac:dyDescent="0.2">
      <c r="A39" s="44"/>
      <c r="B39" s="44"/>
      <c r="C39" s="26" t="s">
        <v>135</v>
      </c>
      <c r="D39" s="82"/>
      <c r="E39" s="121">
        <f t="shared" ref="E39:Q39" si="63">+E32-E37</f>
        <v>119.92899999999992</v>
      </c>
      <c r="F39" s="122">
        <f t="shared" si="63"/>
        <v>77.613999999999848</v>
      </c>
      <c r="G39" s="122">
        <f t="shared" si="63"/>
        <v>158.93200000000007</v>
      </c>
      <c r="H39" s="123">
        <f t="shared" si="63"/>
        <v>112.41600000000028</v>
      </c>
      <c r="I39" s="86">
        <f t="shared" si="63"/>
        <v>468.89099999999974</v>
      </c>
      <c r="J39" s="121">
        <f t="shared" si="63"/>
        <v>106.22800000000001</v>
      </c>
      <c r="K39" s="122">
        <f t="shared" si="63"/>
        <v>70.221999999999852</v>
      </c>
      <c r="L39" s="122">
        <f t="shared" si="63"/>
        <v>182.34499999999997</v>
      </c>
      <c r="M39" s="123">
        <f t="shared" si="63"/>
        <v>96.62100000000008</v>
      </c>
      <c r="N39" s="86">
        <f t="shared" si="63"/>
        <v>455.41600000000011</v>
      </c>
      <c r="O39" s="121">
        <f t="shared" si="63"/>
        <v>141.0059999999998</v>
      </c>
      <c r="P39" s="122">
        <f t="shared" si="63"/>
        <v>98.442000000000064</v>
      </c>
      <c r="Q39" s="130">
        <f t="shared" si="63"/>
        <v>217.35699999999989</v>
      </c>
      <c r="R39" s="123">
        <f t="shared" ref="R39:Y39" si="64">+R32-R37</f>
        <v>87.825000000000131</v>
      </c>
      <c r="S39" s="85">
        <f t="shared" si="64"/>
        <v>544.63000000000034</v>
      </c>
      <c r="T39" s="121">
        <f t="shared" si="64"/>
        <v>95.274000000000157</v>
      </c>
      <c r="U39" s="130">
        <f t="shared" si="64"/>
        <v>100.42999999999995</v>
      </c>
      <c r="V39" s="122">
        <f t="shared" si="64"/>
        <v>222.98200000000006</v>
      </c>
      <c r="W39" s="123">
        <f t="shared" si="64"/>
        <v>96.978999999999985</v>
      </c>
      <c r="X39" s="85">
        <f t="shared" si="64"/>
        <v>515.66500000000008</v>
      </c>
      <c r="Y39" s="121">
        <f t="shared" si="64"/>
        <v>147.18000000000006</v>
      </c>
      <c r="Z39" s="130">
        <f t="shared" ref="Z39:AF39" si="65">+Z32-Z37</f>
        <v>112.31200000000007</v>
      </c>
      <c r="AA39" s="122">
        <f t="shared" si="65"/>
        <v>226.68799999999987</v>
      </c>
      <c r="AB39" s="123">
        <f t="shared" si="65"/>
        <v>89.022999999999385</v>
      </c>
      <c r="AC39" s="85">
        <f t="shared" si="65"/>
        <v>575.20299999999997</v>
      </c>
      <c r="AD39" s="121">
        <f t="shared" si="65"/>
        <v>165.96299999999979</v>
      </c>
      <c r="AE39" s="130">
        <f t="shared" si="65"/>
        <v>114.46100000000004</v>
      </c>
      <c r="AF39" s="122">
        <f t="shared" si="65"/>
        <v>210.18200000000002</v>
      </c>
      <c r="AG39" s="123">
        <f t="shared" ref="AG39:AM39" si="66">+AG32-AG37</f>
        <v>112.3989999999999</v>
      </c>
      <c r="AH39" s="85">
        <f t="shared" si="66"/>
        <v>603.00499999999988</v>
      </c>
      <c r="AI39" s="121">
        <f t="shared" si="66"/>
        <v>9.8940000000002257</v>
      </c>
      <c r="AJ39" s="130">
        <f t="shared" si="66"/>
        <v>113.64200000000015</v>
      </c>
      <c r="AK39" s="122">
        <f t="shared" si="66"/>
        <v>268.1260000000002</v>
      </c>
      <c r="AL39" s="123">
        <f t="shared" si="66"/>
        <v>145.91100000000003</v>
      </c>
      <c r="AM39" s="85">
        <f t="shared" si="66"/>
        <v>537.57300000000009</v>
      </c>
      <c r="AN39" s="121">
        <f t="shared" ref="AN39:AU39" si="67">+AN32-AN37</f>
        <v>141.09699999999992</v>
      </c>
      <c r="AO39" s="130">
        <f t="shared" si="67"/>
        <v>113.61000000000007</v>
      </c>
      <c r="AP39" s="130">
        <f t="shared" si="67"/>
        <v>300.697</v>
      </c>
      <c r="AQ39" s="123">
        <f t="shared" si="67"/>
        <v>157.85900000000004</v>
      </c>
      <c r="AR39" s="85">
        <f t="shared" si="67"/>
        <v>713.26300000000037</v>
      </c>
      <c r="AS39" s="121">
        <f>+AS32-AS37</f>
        <v>133.18099999999993</v>
      </c>
      <c r="AT39" s="130">
        <f>+AT32-AT37</f>
        <v>121.4320000000001</v>
      </c>
      <c r="AU39" s="130">
        <f t="shared" si="67"/>
        <v>296.94599999999997</v>
      </c>
      <c r="AV39" s="123">
        <f t="shared" ref="AV39:AW39" si="68">+AV32-AV37</f>
        <v>138.24200000000047</v>
      </c>
      <c r="AW39" s="85">
        <f t="shared" si="68"/>
        <v>689.80100000000118</v>
      </c>
      <c r="AX39" s="121">
        <f t="shared" ref="AX39:BG39" si="69">+AX32-AX37</f>
        <v>130.82771922065177</v>
      </c>
      <c r="AY39" s="122">
        <f t="shared" si="69"/>
        <v>111.93419829216852</v>
      </c>
      <c r="AZ39" s="122">
        <f t="shared" si="69"/>
        <v>261.71372065699785</v>
      </c>
      <c r="BA39" s="123">
        <f t="shared" si="69"/>
        <v>128.34816818014883</v>
      </c>
      <c r="BB39" s="86">
        <f t="shared" si="69"/>
        <v>632.82380634996616</v>
      </c>
      <c r="BC39" s="121">
        <f t="shared" si="69"/>
        <v>152.85659178341263</v>
      </c>
      <c r="BD39" s="122">
        <f t="shared" si="69"/>
        <v>135.20149704304663</v>
      </c>
      <c r="BE39" s="122">
        <f t="shared" si="69"/>
        <v>287.45002163367644</v>
      </c>
      <c r="BF39" s="123">
        <f t="shared" si="69"/>
        <v>144.67000101243138</v>
      </c>
      <c r="BG39" s="86">
        <f t="shared" si="69"/>
        <v>720.17811147256782</v>
      </c>
      <c r="BH39" s="121">
        <f t="shared" ref="BH39:BQ39" si="70">+BH32-BH37</f>
        <v>161.30182246473819</v>
      </c>
      <c r="BI39" s="122">
        <f t="shared" si="70"/>
        <v>140.26721788073669</v>
      </c>
      <c r="BJ39" s="122">
        <f t="shared" si="70"/>
        <v>298.09641254586808</v>
      </c>
      <c r="BK39" s="123">
        <f t="shared" si="70"/>
        <v>150.56770834544159</v>
      </c>
      <c r="BL39" s="86">
        <f t="shared" si="70"/>
        <v>750.23316123678433</v>
      </c>
      <c r="BM39" s="121">
        <f t="shared" si="70"/>
        <v>164.82776201627615</v>
      </c>
      <c r="BN39" s="122">
        <f t="shared" si="70"/>
        <v>149.12084486480387</v>
      </c>
      <c r="BO39" s="122">
        <f t="shared" si="70"/>
        <v>309.67381567711436</v>
      </c>
      <c r="BP39" s="123">
        <f t="shared" si="70"/>
        <v>157.0380968700911</v>
      </c>
      <c r="BQ39" s="86">
        <f t="shared" si="70"/>
        <v>780.66051942828608</v>
      </c>
      <c r="BR39" s="44"/>
      <c r="BS39" s="44"/>
      <c r="BT39" s="44"/>
      <c r="BU39" s="964"/>
      <c r="BV39" s="96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  <c r="CY39" s="44"/>
      <c r="CZ39" s="44"/>
    </row>
    <row r="40" spans="1:104" x14ac:dyDescent="0.2">
      <c r="A40" s="44"/>
      <c r="B40" s="44"/>
      <c r="C40" s="20"/>
      <c r="D40" s="42"/>
      <c r="E40" s="120"/>
      <c r="F40" s="139"/>
      <c r="G40" s="139"/>
      <c r="H40" s="119"/>
      <c r="I40" s="42"/>
      <c r="J40" s="120"/>
      <c r="K40" s="139"/>
      <c r="L40" s="139"/>
      <c r="M40" s="119"/>
      <c r="N40" s="42"/>
      <c r="O40" s="120"/>
      <c r="P40" s="139"/>
      <c r="Q40" s="139"/>
      <c r="R40" s="119"/>
      <c r="S40" s="44"/>
      <c r="T40" s="120"/>
      <c r="U40" s="139"/>
      <c r="V40" s="139"/>
      <c r="W40" s="119"/>
      <c r="X40" s="44"/>
      <c r="Y40" s="120"/>
      <c r="Z40" s="139"/>
      <c r="AA40" s="139"/>
      <c r="AB40" s="119"/>
      <c r="AC40" s="44"/>
      <c r="AD40" s="120"/>
      <c r="AE40" s="139"/>
      <c r="AF40" s="139"/>
      <c r="AG40" s="119"/>
      <c r="AH40" s="44"/>
      <c r="AI40" s="120"/>
      <c r="AJ40" s="139"/>
      <c r="AK40" s="139"/>
      <c r="AL40" s="119"/>
      <c r="AM40" s="44"/>
      <c r="AN40" s="120"/>
      <c r="AO40" s="139"/>
      <c r="AP40" s="139"/>
      <c r="AQ40" s="119"/>
      <c r="AR40" s="44"/>
      <c r="AS40" s="120"/>
      <c r="AT40" s="139"/>
      <c r="AU40" s="139"/>
      <c r="AV40" s="119"/>
      <c r="AW40" s="44"/>
      <c r="AX40" s="120"/>
      <c r="AY40" s="139"/>
      <c r="AZ40" s="139"/>
      <c r="BA40" s="119"/>
      <c r="BB40" s="44"/>
      <c r="BC40" s="120"/>
      <c r="BD40" s="139"/>
      <c r="BE40" s="139"/>
      <c r="BF40" s="119"/>
      <c r="BG40" s="44"/>
      <c r="BH40" s="120"/>
      <c r="BI40" s="139"/>
      <c r="BJ40" s="139"/>
      <c r="BK40" s="119"/>
      <c r="BL40" s="44"/>
      <c r="BM40" s="120"/>
      <c r="BN40" s="139"/>
      <c r="BO40" s="139"/>
      <c r="BP40" s="119"/>
      <c r="BQ40" s="44"/>
      <c r="BR40" s="44"/>
      <c r="BS40" s="44"/>
      <c r="BT40" s="526"/>
      <c r="BU40" s="963"/>
      <c r="BV40" s="963"/>
      <c r="BW40" s="526"/>
      <c r="BX40" s="526"/>
      <c r="BY40" s="526"/>
      <c r="BZ40" s="526"/>
      <c r="CA40" s="526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</row>
    <row r="41" spans="1:104" x14ac:dyDescent="0.2">
      <c r="A41" s="44"/>
      <c r="B41" s="44"/>
      <c r="C41" s="20" t="s">
        <v>434</v>
      </c>
      <c r="D41" s="42"/>
      <c r="E41" s="114">
        <v>43.73</v>
      </c>
      <c r="F41" s="115">
        <v>27.716000000000001</v>
      </c>
      <c r="G41" s="115">
        <v>66.382999999999996</v>
      </c>
      <c r="H41" s="131">
        <f>I41-SUM(E41:G41)</f>
        <v>37.292000000000002</v>
      </c>
      <c r="I41" s="117">
        <v>175.12100000000001</v>
      </c>
      <c r="J41" s="114">
        <v>42.088999999999999</v>
      </c>
      <c r="K41" s="115">
        <v>26.181999999999999</v>
      </c>
      <c r="L41" s="115">
        <v>72.558000000000007</v>
      </c>
      <c r="M41" s="131">
        <f>N41-SUM(J41:L41)</f>
        <v>40.361999999999995</v>
      </c>
      <c r="N41" s="117">
        <v>181.191</v>
      </c>
      <c r="O41" s="114">
        <v>48.831000000000003</v>
      </c>
      <c r="P41" s="115">
        <v>33.219000000000001</v>
      </c>
      <c r="Q41" s="133">
        <v>75.454999999999998</v>
      </c>
      <c r="R41" s="131">
        <f>S41-SUM(O41:Q41)</f>
        <v>34.144000000000005</v>
      </c>
      <c r="S41" s="219">
        <v>191.649</v>
      </c>
      <c r="T41" s="114">
        <v>18.288</v>
      </c>
      <c r="U41" s="133">
        <v>36.118000000000002</v>
      </c>
      <c r="V41" s="115">
        <v>86.971000000000004</v>
      </c>
      <c r="W41" s="131">
        <f>X41-SUM(T41:V41)</f>
        <v>34.146999999999991</v>
      </c>
      <c r="X41" s="219">
        <v>175.524</v>
      </c>
      <c r="Y41" s="114">
        <v>45.215000000000003</v>
      </c>
      <c r="Z41" s="133">
        <v>34.610999999999997</v>
      </c>
      <c r="AA41" s="115">
        <v>71.581999999999994</v>
      </c>
      <c r="AB41" s="131">
        <f>AC41-SUM(Y41:AA41)</f>
        <v>30.449000000000012</v>
      </c>
      <c r="AC41" s="219">
        <v>181.857</v>
      </c>
      <c r="AD41" s="114">
        <v>57.598999999999997</v>
      </c>
      <c r="AE41" s="133">
        <v>39.195</v>
      </c>
      <c r="AF41" s="115">
        <v>75.712999999999994</v>
      </c>
      <c r="AG41" s="131">
        <f>AH41-SUM(AD41:AF41)</f>
        <v>25.582999999999998</v>
      </c>
      <c r="AH41" s="219">
        <v>198.09</v>
      </c>
      <c r="AI41" s="114">
        <v>2.97</v>
      </c>
      <c r="AJ41" s="133">
        <v>39.460999999999999</v>
      </c>
      <c r="AK41" s="115">
        <v>92.576999999999998</v>
      </c>
      <c r="AL41" s="131">
        <f>AM41-SUM(AI41:AK41)</f>
        <v>45.726000000000028</v>
      </c>
      <c r="AM41" s="219">
        <v>180.73400000000001</v>
      </c>
      <c r="AN41" s="114">
        <v>46.468000000000004</v>
      </c>
      <c r="AO41" s="133">
        <v>35.433999999999997</v>
      </c>
      <c r="AP41" s="133">
        <v>94.144999999999996</v>
      </c>
      <c r="AQ41" s="131">
        <f>AR41-SUM(AN41:AP41)</f>
        <v>48.472000000000008</v>
      </c>
      <c r="AR41" s="219">
        <v>224.51900000000001</v>
      </c>
      <c r="AS41" s="114">
        <v>39.015000000000001</v>
      </c>
      <c r="AT41" s="133">
        <v>33.770000000000003</v>
      </c>
      <c r="AU41" s="133">
        <v>67.942999999999998</v>
      </c>
      <c r="AV41" s="131">
        <f>AW41-SUM(AS41:AU41)</f>
        <v>58.951999999999998</v>
      </c>
      <c r="AW41" s="219">
        <v>199.68</v>
      </c>
      <c r="AX41" s="120">
        <f t="shared" ref="AX41:BA41" si="71">AX73*(AX39-AX28)</f>
        <v>26.792858228543391</v>
      </c>
      <c r="AY41" s="118">
        <f t="shared" si="71"/>
        <v>22.636283624277073</v>
      </c>
      <c r="AZ41" s="118">
        <f t="shared" si="71"/>
        <v>55.587778544539525</v>
      </c>
      <c r="BA41" s="119">
        <f t="shared" si="71"/>
        <v>26.247356999632743</v>
      </c>
      <c r="BB41" s="42">
        <f>SUM(AX41:BA41)</f>
        <v>131.26427739699272</v>
      </c>
      <c r="BC41" s="120">
        <f>BC73*(BC39-BC28)</f>
        <v>30.855130192350778</v>
      </c>
      <c r="BD41" s="118">
        <f>BD73*(BD39-BD28)</f>
        <v>26.971009349470261</v>
      </c>
      <c r="BE41" s="118">
        <f>BE73*(BE39-BE28)</f>
        <v>60.465684759408816</v>
      </c>
      <c r="BF41" s="119">
        <f>BF73*(BF39-BF28)</f>
        <v>29.054080222734907</v>
      </c>
      <c r="BG41" s="42">
        <f>SUM(BC41:BF41)</f>
        <v>147.34590452396475</v>
      </c>
      <c r="BH41" s="120">
        <f>BH73*(BH39-BH28)</f>
        <v>33.381000942242402</v>
      </c>
      <c r="BI41" s="118">
        <f>BI73*(BI39-BI28)</f>
        <v>28.753387933762074</v>
      </c>
      <c r="BJ41" s="118">
        <f>BJ73*(BJ39-BJ28)</f>
        <v>63.47581076009098</v>
      </c>
      <c r="BK41" s="119">
        <f>BK73*(BK39-BK28)</f>
        <v>31.019495835997152</v>
      </c>
      <c r="BL41" s="42">
        <f>SUM(BH41:BK41)</f>
        <v>156.62969547209261</v>
      </c>
      <c r="BM41" s="120">
        <f>BM73*(BM39-BM28)</f>
        <v>33.953427643580753</v>
      </c>
      <c r="BN41" s="118">
        <f>BN73*(BN39-BN28)</f>
        <v>30.497905870256851</v>
      </c>
      <c r="BO41" s="118">
        <f>BO73*(BO39-BO28)</f>
        <v>65.819559448965151</v>
      </c>
      <c r="BP41" s="119">
        <f>BP73*(BP39-BP28)</f>
        <v>32.239701311420042</v>
      </c>
      <c r="BQ41" s="42">
        <f>SUM(BM41:BP41)</f>
        <v>162.5105942742228</v>
      </c>
      <c r="BR41" s="44"/>
      <c r="BS41" s="44"/>
      <c r="BT41" s="526"/>
      <c r="BU41" s="963"/>
      <c r="BV41" s="963"/>
      <c r="BW41" s="526"/>
      <c r="BX41" s="526"/>
      <c r="BY41" s="526"/>
      <c r="BZ41" s="526"/>
      <c r="CA41" s="526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</row>
    <row r="42" spans="1:104" x14ac:dyDescent="0.2">
      <c r="A42" s="44"/>
      <c r="B42" s="44"/>
      <c r="C42" s="20"/>
      <c r="D42" s="42"/>
      <c r="E42" s="114"/>
      <c r="F42" s="133"/>
      <c r="G42" s="133"/>
      <c r="H42" s="132"/>
      <c r="I42" s="117"/>
      <c r="J42" s="114"/>
      <c r="K42" s="133"/>
      <c r="L42" s="133"/>
      <c r="M42" s="132"/>
      <c r="N42" s="117"/>
      <c r="O42" s="114"/>
      <c r="P42" s="115"/>
      <c r="Q42" s="133"/>
      <c r="R42" s="132"/>
      <c r="S42" s="219"/>
      <c r="T42" s="114"/>
      <c r="U42" s="133"/>
      <c r="V42" s="115"/>
      <c r="W42" s="132"/>
      <c r="X42" s="219"/>
      <c r="Y42" s="114"/>
      <c r="Z42" s="133"/>
      <c r="AA42" s="115"/>
      <c r="AB42" s="132"/>
      <c r="AC42" s="219"/>
      <c r="AD42" s="114"/>
      <c r="AE42" s="133"/>
      <c r="AF42" s="115"/>
      <c r="AG42" s="132"/>
      <c r="AH42" s="219"/>
      <c r="AI42" s="114"/>
      <c r="AJ42" s="133"/>
      <c r="AK42" s="115"/>
      <c r="AL42" s="132"/>
      <c r="AM42" s="219"/>
      <c r="AN42" s="114"/>
      <c r="AO42" s="133"/>
      <c r="AP42" s="133"/>
      <c r="AQ42" s="132"/>
      <c r="AR42" s="219"/>
      <c r="AS42" s="114"/>
      <c r="AT42" s="133"/>
      <c r="AU42" s="139"/>
      <c r="AV42" s="132"/>
      <c r="AW42" s="219"/>
      <c r="AX42" s="120"/>
      <c r="AY42" s="139"/>
      <c r="AZ42" s="139"/>
      <c r="BA42" s="119"/>
      <c r="BB42" s="44"/>
      <c r="BC42" s="120"/>
      <c r="BD42" s="139"/>
      <c r="BE42" s="139"/>
      <c r="BF42" s="119"/>
      <c r="BG42" s="44"/>
      <c r="BH42" s="120"/>
      <c r="BI42" s="139"/>
      <c r="BJ42" s="139"/>
      <c r="BK42" s="119"/>
      <c r="BL42" s="44"/>
      <c r="BM42" s="120"/>
      <c r="BN42" s="139"/>
      <c r="BO42" s="139"/>
      <c r="BP42" s="119"/>
      <c r="BQ42" s="44"/>
      <c r="BR42" s="44"/>
      <c r="BS42" s="44"/>
      <c r="BT42" s="526"/>
      <c r="BU42" s="963"/>
      <c r="BV42" s="963"/>
      <c r="BW42" s="526"/>
      <c r="BX42" s="526"/>
      <c r="BY42" s="526"/>
      <c r="BZ42" s="526"/>
      <c r="CA42" s="526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</row>
    <row r="43" spans="1:104" x14ac:dyDescent="0.2">
      <c r="A43" s="44"/>
      <c r="B43" s="44"/>
      <c r="C43" s="26" t="s">
        <v>137</v>
      </c>
      <c r="D43" s="82"/>
      <c r="E43" s="121">
        <f>+E39-E41</f>
        <v>76.198999999999927</v>
      </c>
      <c r="F43" s="122">
        <f>+F39-F41</f>
        <v>49.897999999999847</v>
      </c>
      <c r="G43" s="122">
        <f>+G39-G41</f>
        <v>92.549000000000078</v>
      </c>
      <c r="H43" s="123">
        <f>+I43-SUM(E43:G43)</f>
        <v>75.12399999999991</v>
      </c>
      <c r="I43" s="86">
        <f>+I39-I41</f>
        <v>293.76999999999975</v>
      </c>
      <c r="J43" s="121">
        <f>+J39-J41</f>
        <v>64.13900000000001</v>
      </c>
      <c r="K43" s="122">
        <f>+K39-K41</f>
        <v>44.03999999999985</v>
      </c>
      <c r="L43" s="122">
        <f>+L39-L41</f>
        <v>109.78699999999996</v>
      </c>
      <c r="M43" s="123">
        <f>+N43-SUM(J43:L43)</f>
        <v>56.259000000000299</v>
      </c>
      <c r="N43" s="86">
        <f>+N39-N41</f>
        <v>274.22500000000014</v>
      </c>
      <c r="O43" s="121">
        <f>+O39-O41</f>
        <v>92.174999999999798</v>
      </c>
      <c r="P43" s="122">
        <f>+P39-P41</f>
        <v>65.22300000000007</v>
      </c>
      <c r="Q43" s="130">
        <f>+Q39-Q41</f>
        <v>141.90199999999987</v>
      </c>
      <c r="R43" s="123">
        <f>+S43-SUM(O43:Q43)</f>
        <v>53.681000000000608</v>
      </c>
      <c r="S43" s="85">
        <f>+S39-S41</f>
        <v>352.98100000000034</v>
      </c>
      <c r="T43" s="121">
        <f>+T39-T41</f>
        <v>76.986000000000161</v>
      </c>
      <c r="U43" s="130">
        <f>+U39-U41</f>
        <v>64.311999999999955</v>
      </c>
      <c r="V43" s="122">
        <f>+V39-V41</f>
        <v>136.01100000000005</v>
      </c>
      <c r="W43" s="123">
        <f>+X43-SUM(T43:V43)</f>
        <v>62.83199999999988</v>
      </c>
      <c r="X43" s="85">
        <f>+X39-X41</f>
        <v>340.14100000000008</v>
      </c>
      <c r="Y43" s="121">
        <f>+Y39-Y41</f>
        <v>101.96500000000006</v>
      </c>
      <c r="Z43" s="130">
        <f>+Z39-Z41</f>
        <v>77.701000000000079</v>
      </c>
      <c r="AA43" s="122">
        <f>+AA39-AA41</f>
        <v>155.10599999999988</v>
      </c>
      <c r="AB43" s="123">
        <f>+AC43-SUM(Y43:AA43)</f>
        <v>58.573999999999955</v>
      </c>
      <c r="AC43" s="85">
        <f>+AC39-AC41</f>
        <v>393.346</v>
      </c>
      <c r="AD43" s="121">
        <f>+AD39-AD41</f>
        <v>108.36399999999981</v>
      </c>
      <c r="AE43" s="130">
        <f>+AE39-AE41</f>
        <v>75.266000000000048</v>
      </c>
      <c r="AF43" s="122">
        <f>+AF39-AF41</f>
        <v>134.46900000000002</v>
      </c>
      <c r="AG43" s="123">
        <f>+AH43-SUM(AD43:AF43)</f>
        <v>86.815999999999974</v>
      </c>
      <c r="AH43" s="85">
        <f>+AH39-AH41</f>
        <v>404.91499999999985</v>
      </c>
      <c r="AI43" s="121">
        <f>+AI39-AI41</f>
        <v>6.9240000000002251</v>
      </c>
      <c r="AJ43" s="130">
        <f>+AJ39-AJ41</f>
        <v>74.181000000000154</v>
      </c>
      <c r="AK43" s="122">
        <f>+AK39-AK41</f>
        <v>175.54900000000021</v>
      </c>
      <c r="AL43" s="123">
        <f>+AM43-SUM(AI43:AK43)</f>
        <v>100.18499999999949</v>
      </c>
      <c r="AM43" s="85">
        <f>+AM39-AM41</f>
        <v>356.83900000000006</v>
      </c>
      <c r="AN43" s="121">
        <f>+AN39-AN41</f>
        <v>94.62899999999992</v>
      </c>
      <c r="AO43" s="130">
        <f>+AO39-AO41</f>
        <v>78.176000000000073</v>
      </c>
      <c r="AP43" s="130">
        <f>+AP39-AP41</f>
        <v>206.55200000000002</v>
      </c>
      <c r="AQ43" s="123">
        <f>+AR43-SUM(AN43:AP43)</f>
        <v>109.38700000000034</v>
      </c>
      <c r="AR43" s="85">
        <f>+AR39-AR41</f>
        <v>488.74400000000037</v>
      </c>
      <c r="AS43" s="121">
        <f>+AS39-AS41</f>
        <v>94.165999999999926</v>
      </c>
      <c r="AT43" s="130">
        <f>+AT39-AT41</f>
        <v>87.662000000000091</v>
      </c>
      <c r="AU43" s="130">
        <f>+AU39-AU41</f>
        <v>229.00299999999999</v>
      </c>
      <c r="AV43" s="123">
        <f>+AW43-SUM(AS43:AU43)</f>
        <v>79.290000000001157</v>
      </c>
      <c r="AW43" s="85">
        <f>+AW39-AW41</f>
        <v>490.12100000000117</v>
      </c>
      <c r="AX43" s="121">
        <f>+AX39-AX41</f>
        <v>104.03486099210838</v>
      </c>
      <c r="AY43" s="122">
        <f>+AY39-AY41</f>
        <v>89.297914667891447</v>
      </c>
      <c r="AZ43" s="122">
        <f>+AZ39-AZ41</f>
        <v>206.12594211245832</v>
      </c>
      <c r="BA43" s="123">
        <f>+BB43-SUM(AX43:AZ43)</f>
        <v>102.10081118051528</v>
      </c>
      <c r="BB43" s="86">
        <f>+BB39-BB41</f>
        <v>501.55952895297344</v>
      </c>
      <c r="BC43" s="121">
        <f>+BC39-BC41</f>
        <v>122.00146159106185</v>
      </c>
      <c r="BD43" s="122">
        <f>+BD39-BD41</f>
        <v>108.23048769357636</v>
      </c>
      <c r="BE43" s="122">
        <f>+BE39-BE41</f>
        <v>226.98433687426763</v>
      </c>
      <c r="BF43" s="123">
        <f>+BG43-SUM(BC43:BE43)</f>
        <v>115.61592078969716</v>
      </c>
      <c r="BG43" s="86">
        <f>+BG39-BG41</f>
        <v>572.83220694860302</v>
      </c>
      <c r="BH43" s="121">
        <f>+BH39-BH41</f>
        <v>127.9208215224958</v>
      </c>
      <c r="BI43" s="122">
        <f>+BI39-BI41</f>
        <v>111.51382994697462</v>
      </c>
      <c r="BJ43" s="122">
        <f>+BJ39-BJ41</f>
        <v>234.6206017857771</v>
      </c>
      <c r="BK43" s="123">
        <f>+BL43-SUM(BH43:BJ43)</f>
        <v>119.54821250944417</v>
      </c>
      <c r="BL43" s="86">
        <f>+BL39-BL41</f>
        <v>593.60346576469169</v>
      </c>
      <c r="BM43" s="121">
        <f>+BM39-BM41</f>
        <v>130.87433437269539</v>
      </c>
      <c r="BN43" s="122">
        <f>+BN39-BN41</f>
        <v>118.62293899454701</v>
      </c>
      <c r="BO43" s="122">
        <f>+BO39-BO41</f>
        <v>243.85425622814921</v>
      </c>
      <c r="BP43" s="123">
        <f>+BQ43-SUM(BM43:BO43)</f>
        <v>124.7983955586717</v>
      </c>
      <c r="BQ43" s="86">
        <f>+BQ39-BQ41</f>
        <v>618.14992515406334</v>
      </c>
      <c r="BR43" s="269"/>
      <c r="BS43" s="269"/>
      <c r="BT43" s="529"/>
      <c r="BU43" s="964"/>
      <c r="BV43" s="964"/>
      <c r="BW43" s="529"/>
      <c r="BX43" s="529"/>
      <c r="BY43" s="529"/>
      <c r="BZ43" s="529"/>
      <c r="CA43" s="529"/>
      <c r="CB43" s="269"/>
      <c r="CC43" s="269"/>
      <c r="CD43" s="269"/>
      <c r="CE43" s="269"/>
      <c r="CF43" s="269"/>
      <c r="CG43" s="269"/>
      <c r="CH43" s="269"/>
      <c r="CI43" s="269"/>
      <c r="CJ43" s="269"/>
      <c r="CK43" s="269"/>
      <c r="CL43" s="269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  <c r="CX43" s="44"/>
      <c r="CY43" s="44"/>
      <c r="CZ43" s="44"/>
    </row>
    <row r="44" spans="1:104" x14ac:dyDescent="0.2">
      <c r="A44" s="44"/>
      <c r="B44" s="44"/>
      <c r="C44" s="525" t="s">
        <v>435</v>
      </c>
      <c r="D44" s="82"/>
      <c r="E44" s="114">
        <v>0</v>
      </c>
      <c r="F44" s="115">
        <v>0</v>
      </c>
      <c r="G44" s="115">
        <v>0</v>
      </c>
      <c r="H44" s="131">
        <f>I44-SUM(E44:G44)</f>
        <v>0</v>
      </c>
      <c r="I44" s="117">
        <v>0</v>
      </c>
      <c r="J44" s="114">
        <v>0</v>
      </c>
      <c r="K44" s="115">
        <v>0</v>
      </c>
      <c r="L44" s="115">
        <v>0</v>
      </c>
      <c r="M44" s="131">
        <f>N44-SUM(J44:L44)</f>
        <v>0</v>
      </c>
      <c r="N44" s="117">
        <v>0</v>
      </c>
      <c r="O44" s="114">
        <v>0</v>
      </c>
      <c r="P44" s="115">
        <v>0</v>
      </c>
      <c r="Q44" s="133">
        <v>0</v>
      </c>
      <c r="R44" s="131">
        <f>S44-SUM(O44:Q44)</f>
        <v>0</v>
      </c>
      <c r="S44" s="219">
        <v>0</v>
      </c>
      <c r="T44" s="114">
        <v>0</v>
      </c>
      <c r="U44" s="133">
        <v>0</v>
      </c>
      <c r="V44" s="115">
        <v>0</v>
      </c>
      <c r="W44" s="131">
        <f>X44-SUM(T44:V44)</f>
        <v>0</v>
      </c>
      <c r="X44" s="219">
        <v>0</v>
      </c>
      <c r="Y44" s="114">
        <v>0</v>
      </c>
      <c r="Z44" s="133">
        <v>0</v>
      </c>
      <c r="AA44" s="115">
        <v>0</v>
      </c>
      <c r="AB44" s="131">
        <f>AC44-SUM(Y44:AA44)</f>
        <v>0</v>
      </c>
      <c r="AC44" s="219">
        <v>0</v>
      </c>
      <c r="AD44" s="114">
        <v>0</v>
      </c>
      <c r="AE44" s="133">
        <v>0</v>
      </c>
      <c r="AF44" s="115">
        <v>0</v>
      </c>
      <c r="AG44" s="131">
        <f>AH44-SUM(AD44:AF44)</f>
        <v>0</v>
      </c>
      <c r="AH44" s="219">
        <v>0</v>
      </c>
      <c r="AI44" s="114">
        <v>0</v>
      </c>
      <c r="AJ44" s="133">
        <v>0</v>
      </c>
      <c r="AK44" s="115">
        <v>0</v>
      </c>
      <c r="AL44" s="131">
        <f>AM44-SUM(AI44:AK44)</f>
        <v>0</v>
      </c>
      <c r="AM44" s="219">
        <v>0</v>
      </c>
      <c r="AN44" s="114">
        <v>0</v>
      </c>
      <c r="AO44" s="133">
        <v>0</v>
      </c>
      <c r="AP44" s="133">
        <v>0</v>
      </c>
      <c r="AQ44" s="131">
        <f>AR44-SUM(AN44:AP44)</f>
        <v>0</v>
      </c>
      <c r="AR44" s="219">
        <v>0</v>
      </c>
      <c r="AS44" s="114">
        <v>0</v>
      </c>
      <c r="AT44" s="133">
        <v>0</v>
      </c>
      <c r="AU44" s="133">
        <v>0</v>
      </c>
      <c r="AV44" s="131">
        <f>AW44-SUM(AS44:AU44)</f>
        <v>0</v>
      </c>
      <c r="AW44" s="219">
        <v>0</v>
      </c>
      <c r="AX44" s="120">
        <f t="shared" ref="AX44:BA45" si="72">AS44</f>
        <v>0</v>
      </c>
      <c r="AY44" s="118">
        <f t="shared" si="72"/>
        <v>0</v>
      </c>
      <c r="AZ44" s="118">
        <f t="shared" si="72"/>
        <v>0</v>
      </c>
      <c r="BA44" s="119">
        <f t="shared" si="72"/>
        <v>0</v>
      </c>
      <c r="BB44" s="42">
        <f>SUM(AX44:BA44)</f>
        <v>0</v>
      </c>
      <c r="BC44" s="120">
        <f t="shared" ref="BC44:BF45" si="73">AX44</f>
        <v>0</v>
      </c>
      <c r="BD44" s="118">
        <f t="shared" si="73"/>
        <v>0</v>
      </c>
      <c r="BE44" s="118">
        <f t="shared" si="73"/>
        <v>0</v>
      </c>
      <c r="BF44" s="119">
        <f t="shared" si="73"/>
        <v>0</v>
      </c>
      <c r="BG44" s="42">
        <f>SUM(BC44:BF44)</f>
        <v>0</v>
      </c>
      <c r="BH44" s="120">
        <f t="shared" ref="BH44:BK45" si="74">BC44</f>
        <v>0</v>
      </c>
      <c r="BI44" s="118">
        <f t="shared" si="74"/>
        <v>0</v>
      </c>
      <c r="BJ44" s="118">
        <f t="shared" si="74"/>
        <v>0</v>
      </c>
      <c r="BK44" s="119">
        <f t="shared" si="74"/>
        <v>0</v>
      </c>
      <c r="BL44" s="42">
        <f>SUM(BH44:BK44)</f>
        <v>0</v>
      </c>
      <c r="BM44" s="120">
        <f t="shared" ref="BM44:BM45" si="75">BH44</f>
        <v>0</v>
      </c>
      <c r="BN44" s="118">
        <f t="shared" ref="BN44:BN45" si="76">BI44</f>
        <v>0</v>
      </c>
      <c r="BO44" s="118">
        <f t="shared" ref="BO44:BO45" si="77">BJ44</f>
        <v>0</v>
      </c>
      <c r="BP44" s="119">
        <f t="shared" ref="BP44:BP45" si="78">BK44</f>
        <v>0</v>
      </c>
      <c r="BQ44" s="42">
        <f>SUM(BM44:BP44)</f>
        <v>0</v>
      </c>
      <c r="BR44" s="269"/>
      <c r="BS44" s="269"/>
      <c r="BT44" s="529"/>
      <c r="BU44" s="963"/>
      <c r="BV44" s="963"/>
      <c r="BW44" s="529"/>
      <c r="BX44" s="529"/>
      <c r="BY44" s="529"/>
      <c r="BZ44" s="529"/>
      <c r="CA44" s="529"/>
      <c r="CB44" s="269"/>
      <c r="CC44" s="269"/>
      <c r="CD44" s="269"/>
      <c r="CE44" s="269"/>
      <c r="CF44" s="269"/>
      <c r="CG44" s="269"/>
      <c r="CH44" s="269"/>
      <c r="CI44" s="269"/>
      <c r="CJ44" s="269"/>
      <c r="CK44" s="269"/>
      <c r="CL44" s="269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</row>
    <row r="45" spans="1:104" x14ac:dyDescent="0.2">
      <c r="C45" s="20" t="s">
        <v>138</v>
      </c>
      <c r="D45" s="42"/>
      <c r="E45" s="114">
        <v>0</v>
      </c>
      <c r="F45" s="115">
        <v>0</v>
      </c>
      <c r="G45" s="115">
        <v>0</v>
      </c>
      <c r="H45" s="131">
        <f>I45-SUM(E45:G45)</f>
        <v>0</v>
      </c>
      <c r="I45" s="117">
        <v>0</v>
      </c>
      <c r="J45" s="114">
        <v>0</v>
      </c>
      <c r="K45" s="115">
        <v>0</v>
      </c>
      <c r="L45" s="115">
        <v>0</v>
      </c>
      <c r="M45" s="131">
        <f>N45-SUM(J45:L45)</f>
        <v>0</v>
      </c>
      <c r="N45" s="117">
        <v>0</v>
      </c>
      <c r="O45" s="114">
        <v>0</v>
      </c>
      <c r="P45" s="115">
        <v>0</v>
      </c>
      <c r="Q45" s="133">
        <v>0</v>
      </c>
      <c r="R45" s="131">
        <f>S45-SUM(O45:Q45)</f>
        <v>0</v>
      </c>
      <c r="S45" s="219">
        <v>0</v>
      </c>
      <c r="T45" s="114">
        <v>0</v>
      </c>
      <c r="U45" s="133">
        <v>0</v>
      </c>
      <c r="V45" s="115">
        <v>0</v>
      </c>
      <c r="W45" s="131">
        <f>X45-SUM(T45:V45)</f>
        <v>0</v>
      </c>
      <c r="X45" s="219">
        <v>0</v>
      </c>
      <c r="Y45" s="114">
        <v>0</v>
      </c>
      <c r="Z45" s="133">
        <v>0</v>
      </c>
      <c r="AA45" s="115">
        <v>0</v>
      </c>
      <c r="AB45" s="131">
        <f>AC45-SUM(Y45:AA45)</f>
        <v>0</v>
      </c>
      <c r="AC45" s="219">
        <v>0</v>
      </c>
      <c r="AD45" s="114">
        <v>0</v>
      </c>
      <c r="AE45" s="133">
        <v>0</v>
      </c>
      <c r="AF45" s="115">
        <v>0</v>
      </c>
      <c r="AG45" s="131">
        <f>AH45-SUM(AD45:AF45)</f>
        <v>0</v>
      </c>
      <c r="AH45" s="219">
        <v>0</v>
      </c>
      <c r="AI45" s="114">
        <v>0</v>
      </c>
      <c r="AJ45" s="133">
        <v>0</v>
      </c>
      <c r="AK45" s="115">
        <v>0</v>
      </c>
      <c r="AL45" s="131">
        <f>AM45-SUM(AI45:AK45)</f>
        <v>0</v>
      </c>
      <c r="AM45" s="219">
        <v>0</v>
      </c>
      <c r="AN45" s="114">
        <v>0</v>
      </c>
      <c r="AO45" s="133">
        <v>0</v>
      </c>
      <c r="AP45" s="133">
        <v>0</v>
      </c>
      <c r="AQ45" s="131">
        <f>AR45-SUM(AN45:AP45)</f>
        <v>0</v>
      </c>
      <c r="AR45" s="219">
        <v>0</v>
      </c>
      <c r="AS45" s="114">
        <v>0</v>
      </c>
      <c r="AT45" s="133">
        <v>0</v>
      </c>
      <c r="AU45" s="133">
        <v>0</v>
      </c>
      <c r="AV45" s="131">
        <f>AW45-SUM(AS45:AU45)</f>
        <v>0</v>
      </c>
      <c r="AW45" s="219">
        <v>0</v>
      </c>
      <c r="AX45" s="120">
        <f t="shared" si="72"/>
        <v>0</v>
      </c>
      <c r="AY45" s="118">
        <f t="shared" si="72"/>
        <v>0</v>
      </c>
      <c r="AZ45" s="118">
        <f t="shared" si="72"/>
        <v>0</v>
      </c>
      <c r="BA45" s="119">
        <f t="shared" si="72"/>
        <v>0</v>
      </c>
      <c r="BB45" s="42">
        <f>SUM(AX45:BA45)</f>
        <v>0</v>
      </c>
      <c r="BC45" s="120">
        <f t="shared" si="73"/>
        <v>0</v>
      </c>
      <c r="BD45" s="118">
        <f t="shared" si="73"/>
        <v>0</v>
      </c>
      <c r="BE45" s="118">
        <f t="shared" si="73"/>
        <v>0</v>
      </c>
      <c r="BF45" s="119">
        <f t="shared" si="73"/>
        <v>0</v>
      </c>
      <c r="BG45" s="42">
        <f>SUM(BC45:BF45)</f>
        <v>0</v>
      </c>
      <c r="BH45" s="120">
        <f t="shared" si="74"/>
        <v>0</v>
      </c>
      <c r="BI45" s="118">
        <f t="shared" si="74"/>
        <v>0</v>
      </c>
      <c r="BJ45" s="118">
        <f t="shared" si="74"/>
        <v>0</v>
      </c>
      <c r="BK45" s="119">
        <f t="shared" si="74"/>
        <v>0</v>
      </c>
      <c r="BL45" s="42">
        <f>SUM(BH45:BK45)</f>
        <v>0</v>
      </c>
      <c r="BM45" s="120">
        <f t="shared" si="75"/>
        <v>0</v>
      </c>
      <c r="BN45" s="118">
        <f t="shared" si="76"/>
        <v>0</v>
      </c>
      <c r="BO45" s="118">
        <f t="shared" si="77"/>
        <v>0</v>
      </c>
      <c r="BP45" s="119">
        <f t="shared" si="78"/>
        <v>0</v>
      </c>
      <c r="BQ45" s="42">
        <f>SUM(BM45:BP45)</f>
        <v>0</v>
      </c>
      <c r="BT45" s="525"/>
      <c r="BU45" s="963"/>
      <c r="BV45" s="963"/>
      <c r="BW45" s="525"/>
      <c r="BX45" s="525"/>
      <c r="BY45" s="525"/>
      <c r="BZ45" s="525"/>
      <c r="CA45" s="525"/>
    </row>
    <row r="46" spans="1:104" x14ac:dyDescent="0.2">
      <c r="A46" s="44"/>
      <c r="B46" s="44"/>
      <c r="C46" s="20"/>
      <c r="D46" s="42"/>
      <c r="E46" s="114"/>
      <c r="F46" s="133"/>
      <c r="G46" s="133"/>
      <c r="H46" s="132"/>
      <c r="I46" s="117"/>
      <c r="J46" s="114"/>
      <c r="K46" s="133"/>
      <c r="L46" s="133"/>
      <c r="M46" s="132"/>
      <c r="N46" s="117"/>
      <c r="O46" s="114"/>
      <c r="P46" s="115"/>
      <c r="Q46" s="133"/>
      <c r="R46" s="132"/>
      <c r="S46" s="219"/>
      <c r="T46" s="114"/>
      <c r="U46" s="133"/>
      <c r="V46" s="115"/>
      <c r="W46" s="132"/>
      <c r="X46" s="219"/>
      <c r="Y46" s="114"/>
      <c r="Z46" s="133"/>
      <c r="AA46" s="115"/>
      <c r="AB46" s="132"/>
      <c r="AC46" s="219"/>
      <c r="AD46" s="114"/>
      <c r="AE46" s="133"/>
      <c r="AF46" s="115"/>
      <c r="AG46" s="132"/>
      <c r="AH46" s="219"/>
      <c r="AI46" s="114"/>
      <c r="AJ46" s="133"/>
      <c r="AK46" s="115"/>
      <c r="AL46" s="132"/>
      <c r="AM46" s="219"/>
      <c r="AN46" s="114"/>
      <c r="AO46" s="133"/>
      <c r="AP46" s="133"/>
      <c r="AQ46" s="132"/>
      <c r="AR46" s="219"/>
      <c r="AS46" s="114"/>
      <c r="AT46" s="133"/>
      <c r="AU46" s="133"/>
      <c r="AV46" s="132"/>
      <c r="AW46" s="219"/>
      <c r="AX46" s="120"/>
      <c r="AY46" s="139"/>
      <c r="AZ46" s="139"/>
      <c r="BA46" s="119"/>
      <c r="BB46" s="44"/>
      <c r="BC46" s="120"/>
      <c r="BD46" s="139"/>
      <c r="BE46" s="139"/>
      <c r="BF46" s="119"/>
      <c r="BG46" s="44"/>
      <c r="BH46" s="120"/>
      <c r="BI46" s="139"/>
      <c r="BJ46" s="139"/>
      <c r="BK46" s="119"/>
      <c r="BL46" s="44"/>
      <c r="BM46" s="120"/>
      <c r="BN46" s="139"/>
      <c r="BO46" s="139"/>
      <c r="BP46" s="119"/>
      <c r="BQ46" s="44"/>
      <c r="BR46" s="44"/>
      <c r="BS46" s="44"/>
      <c r="BT46" s="526"/>
      <c r="BU46" s="963"/>
      <c r="BV46" s="963"/>
      <c r="BW46" s="526"/>
      <c r="BX46" s="526"/>
      <c r="BY46" s="526"/>
      <c r="BZ46" s="526"/>
      <c r="CA46" s="526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</row>
    <row r="47" spans="1:104" x14ac:dyDescent="0.2">
      <c r="A47" s="85"/>
      <c r="B47" s="85"/>
      <c r="C47" s="26" t="s">
        <v>139</v>
      </c>
      <c r="D47" s="86"/>
      <c r="E47" s="121">
        <f t="shared" ref="E47:Q47" si="79">E43+E45-E44</f>
        <v>76.198999999999927</v>
      </c>
      <c r="F47" s="122">
        <f t="shared" si="79"/>
        <v>49.897999999999847</v>
      </c>
      <c r="G47" s="122">
        <f t="shared" si="79"/>
        <v>92.549000000000078</v>
      </c>
      <c r="H47" s="123">
        <f t="shared" si="79"/>
        <v>75.12399999999991</v>
      </c>
      <c r="I47" s="86">
        <f t="shared" si="79"/>
        <v>293.76999999999975</v>
      </c>
      <c r="J47" s="121">
        <f t="shared" si="79"/>
        <v>64.13900000000001</v>
      </c>
      <c r="K47" s="122">
        <f t="shared" si="79"/>
        <v>44.03999999999985</v>
      </c>
      <c r="L47" s="122">
        <f t="shared" si="79"/>
        <v>109.78699999999996</v>
      </c>
      <c r="M47" s="123">
        <f t="shared" si="79"/>
        <v>56.259000000000299</v>
      </c>
      <c r="N47" s="86">
        <f t="shared" si="79"/>
        <v>274.22500000000014</v>
      </c>
      <c r="O47" s="121">
        <f t="shared" si="79"/>
        <v>92.174999999999798</v>
      </c>
      <c r="P47" s="122">
        <f t="shared" si="79"/>
        <v>65.22300000000007</v>
      </c>
      <c r="Q47" s="130">
        <f t="shared" si="79"/>
        <v>141.90199999999987</v>
      </c>
      <c r="R47" s="123">
        <f t="shared" ref="R47:Y47" si="80">R43+R45-R44</f>
        <v>53.681000000000608</v>
      </c>
      <c r="S47" s="85">
        <f t="shared" si="80"/>
        <v>352.98100000000034</v>
      </c>
      <c r="T47" s="121">
        <f t="shared" si="80"/>
        <v>76.986000000000161</v>
      </c>
      <c r="U47" s="130">
        <f t="shared" si="80"/>
        <v>64.311999999999955</v>
      </c>
      <c r="V47" s="122">
        <f t="shared" si="80"/>
        <v>136.01100000000005</v>
      </c>
      <c r="W47" s="123">
        <f t="shared" si="80"/>
        <v>62.83199999999988</v>
      </c>
      <c r="X47" s="85">
        <f t="shared" si="80"/>
        <v>340.14100000000008</v>
      </c>
      <c r="Y47" s="121">
        <f t="shared" si="80"/>
        <v>101.96500000000006</v>
      </c>
      <c r="Z47" s="130">
        <f t="shared" ref="Z47:AF47" si="81">Z43+Z45-Z44</f>
        <v>77.701000000000079</v>
      </c>
      <c r="AA47" s="122">
        <f t="shared" si="81"/>
        <v>155.10599999999988</v>
      </c>
      <c r="AB47" s="123">
        <f t="shared" si="81"/>
        <v>58.573999999999955</v>
      </c>
      <c r="AC47" s="85">
        <f t="shared" si="81"/>
        <v>393.346</v>
      </c>
      <c r="AD47" s="121">
        <f t="shared" si="81"/>
        <v>108.36399999999981</v>
      </c>
      <c r="AE47" s="130">
        <f t="shared" si="81"/>
        <v>75.266000000000048</v>
      </c>
      <c r="AF47" s="122">
        <f t="shared" si="81"/>
        <v>134.46900000000002</v>
      </c>
      <c r="AG47" s="123">
        <f t="shared" ref="AG47:AM47" si="82">AG43+AG45-AG44</f>
        <v>86.815999999999974</v>
      </c>
      <c r="AH47" s="85">
        <f t="shared" si="82"/>
        <v>404.91499999999985</v>
      </c>
      <c r="AI47" s="121">
        <f t="shared" si="82"/>
        <v>6.9240000000002251</v>
      </c>
      <c r="AJ47" s="130">
        <f t="shared" si="82"/>
        <v>74.181000000000154</v>
      </c>
      <c r="AK47" s="122">
        <f t="shared" si="82"/>
        <v>175.54900000000021</v>
      </c>
      <c r="AL47" s="123">
        <f t="shared" si="82"/>
        <v>100.18499999999949</v>
      </c>
      <c r="AM47" s="85">
        <f t="shared" si="82"/>
        <v>356.83900000000006</v>
      </c>
      <c r="AN47" s="121">
        <f t="shared" ref="AN47:AR47" si="83">AN43+AN45-AN44</f>
        <v>94.62899999999992</v>
      </c>
      <c r="AO47" s="130">
        <f t="shared" si="83"/>
        <v>78.176000000000073</v>
      </c>
      <c r="AP47" s="130">
        <f t="shared" si="83"/>
        <v>206.55200000000002</v>
      </c>
      <c r="AQ47" s="123">
        <f t="shared" si="83"/>
        <v>109.38700000000034</v>
      </c>
      <c r="AR47" s="85">
        <f t="shared" si="83"/>
        <v>488.74400000000037</v>
      </c>
      <c r="AS47" s="121">
        <f>AS43+AS45-AS44</f>
        <v>94.165999999999926</v>
      </c>
      <c r="AT47" s="130">
        <f>AT43+AT45-AT44</f>
        <v>87.662000000000091</v>
      </c>
      <c r="AU47" s="130">
        <f>AU43+AU45-AU44</f>
        <v>229.00299999999999</v>
      </c>
      <c r="AV47" s="123">
        <f t="shared" ref="AV47:AW47" si="84">AV43+AV45-AV44</f>
        <v>79.290000000001157</v>
      </c>
      <c r="AW47" s="85">
        <f t="shared" si="84"/>
        <v>490.12100000000117</v>
      </c>
      <c r="AX47" s="121">
        <f t="shared" ref="AX47:BG47" si="85">AX43+AX45-AX44</f>
        <v>104.03486099210838</v>
      </c>
      <c r="AY47" s="122">
        <f t="shared" si="85"/>
        <v>89.297914667891447</v>
      </c>
      <c r="AZ47" s="122">
        <f t="shared" si="85"/>
        <v>206.12594211245832</v>
      </c>
      <c r="BA47" s="123">
        <f t="shared" si="85"/>
        <v>102.10081118051528</v>
      </c>
      <c r="BB47" s="86">
        <f t="shared" si="85"/>
        <v>501.55952895297344</v>
      </c>
      <c r="BC47" s="121">
        <f t="shared" si="85"/>
        <v>122.00146159106185</v>
      </c>
      <c r="BD47" s="122">
        <f t="shared" si="85"/>
        <v>108.23048769357636</v>
      </c>
      <c r="BE47" s="122">
        <f t="shared" si="85"/>
        <v>226.98433687426763</v>
      </c>
      <c r="BF47" s="123">
        <f t="shared" si="85"/>
        <v>115.61592078969716</v>
      </c>
      <c r="BG47" s="86">
        <f t="shared" si="85"/>
        <v>572.83220694860302</v>
      </c>
      <c r="BH47" s="121">
        <f t="shared" ref="BH47:BQ47" si="86">BH43+BH45-BH44</f>
        <v>127.9208215224958</v>
      </c>
      <c r="BI47" s="122">
        <f t="shared" si="86"/>
        <v>111.51382994697462</v>
      </c>
      <c r="BJ47" s="122">
        <f t="shared" si="86"/>
        <v>234.6206017857771</v>
      </c>
      <c r="BK47" s="123">
        <f t="shared" si="86"/>
        <v>119.54821250944417</v>
      </c>
      <c r="BL47" s="86">
        <f t="shared" si="86"/>
        <v>593.60346576469169</v>
      </c>
      <c r="BM47" s="121">
        <f t="shared" si="86"/>
        <v>130.87433437269539</v>
      </c>
      <c r="BN47" s="122">
        <f t="shared" si="86"/>
        <v>118.62293899454701</v>
      </c>
      <c r="BO47" s="122">
        <f t="shared" si="86"/>
        <v>243.85425622814921</v>
      </c>
      <c r="BP47" s="123">
        <f t="shared" si="86"/>
        <v>124.7983955586717</v>
      </c>
      <c r="BQ47" s="86">
        <f t="shared" si="86"/>
        <v>618.14992515406334</v>
      </c>
      <c r="BR47" s="85"/>
      <c r="BS47" s="85"/>
      <c r="BT47" s="527"/>
      <c r="BU47" s="964"/>
      <c r="BV47" s="964"/>
      <c r="BW47" s="521"/>
      <c r="BX47" s="521"/>
      <c r="BY47" s="521"/>
      <c r="BZ47" s="521"/>
      <c r="CA47" s="521"/>
      <c r="CB47" s="85"/>
      <c r="CC47" s="85"/>
      <c r="CD47" s="85"/>
      <c r="CE47" s="85"/>
      <c r="CF47" s="85"/>
      <c r="CG47" s="85"/>
      <c r="CH47" s="85"/>
      <c r="CI47" s="85"/>
      <c r="CJ47" s="85"/>
      <c r="CK47" s="85"/>
      <c r="CL47" s="85"/>
      <c r="CM47" s="85"/>
      <c r="CN47" s="85"/>
      <c r="CO47" s="85"/>
      <c r="CP47" s="85"/>
      <c r="CQ47" s="85"/>
      <c r="CR47" s="85"/>
      <c r="CS47" s="85"/>
      <c r="CT47" s="85"/>
      <c r="CU47" s="85"/>
      <c r="CV47" s="85"/>
      <c r="CW47" s="85"/>
      <c r="CX47" s="85"/>
      <c r="CY47" s="85"/>
      <c r="CZ47" s="85"/>
    </row>
    <row r="48" spans="1:104" x14ac:dyDescent="0.2">
      <c r="A48" s="44"/>
      <c r="B48" s="44"/>
      <c r="C48" s="20" t="s">
        <v>140</v>
      </c>
      <c r="D48" s="42"/>
      <c r="E48" s="114">
        <v>0</v>
      </c>
      <c r="F48" s="115">
        <v>0</v>
      </c>
      <c r="G48" s="115">
        <v>0</v>
      </c>
      <c r="H48" s="131">
        <f>I48-SUM(E48:G48)</f>
        <v>0</v>
      </c>
      <c r="I48" s="117">
        <v>0</v>
      </c>
      <c r="J48" s="114">
        <v>0</v>
      </c>
      <c r="K48" s="115">
        <v>0</v>
      </c>
      <c r="L48" s="115">
        <v>0</v>
      </c>
      <c r="M48" s="131">
        <f>N48-SUM(J48:L48)</f>
        <v>0</v>
      </c>
      <c r="N48" s="117">
        <v>0</v>
      </c>
      <c r="O48" s="114">
        <v>0</v>
      </c>
      <c r="P48" s="115">
        <v>0</v>
      </c>
      <c r="Q48" s="133">
        <v>0</v>
      </c>
      <c r="R48" s="131">
        <f>S48-SUM(O48:Q48)</f>
        <v>0</v>
      </c>
      <c r="S48" s="219">
        <v>0</v>
      </c>
      <c r="T48" s="114">
        <v>0</v>
      </c>
      <c r="U48" s="133">
        <v>0</v>
      </c>
      <c r="V48" s="115">
        <v>0</v>
      </c>
      <c r="W48" s="131">
        <f>X48-SUM(T48:V48)</f>
        <v>0</v>
      </c>
      <c r="X48" s="219">
        <v>0</v>
      </c>
      <c r="Y48" s="114">
        <v>0</v>
      </c>
      <c r="Z48" s="133">
        <v>0</v>
      </c>
      <c r="AA48" s="115">
        <v>0</v>
      </c>
      <c r="AB48" s="131">
        <f>AC48-SUM(Y48:AA48)</f>
        <v>0</v>
      </c>
      <c r="AC48" s="219">
        <v>0</v>
      </c>
      <c r="AD48" s="114">
        <v>0</v>
      </c>
      <c r="AE48" s="133">
        <v>0</v>
      </c>
      <c r="AF48" s="115">
        <v>0</v>
      </c>
      <c r="AG48" s="131">
        <f>AH48-SUM(AD48:AF48)</f>
        <v>0</v>
      </c>
      <c r="AH48" s="219">
        <v>0</v>
      </c>
      <c r="AI48" s="114">
        <v>79.150999999999996</v>
      </c>
      <c r="AJ48" s="133">
        <v>0</v>
      </c>
      <c r="AK48" s="115">
        <v>0</v>
      </c>
      <c r="AL48" s="131">
        <f>AM48-SUM(AI48:AK48)</f>
        <v>0</v>
      </c>
      <c r="AM48" s="219">
        <v>79.150999999999996</v>
      </c>
      <c r="AN48" s="114">
        <v>0</v>
      </c>
      <c r="AO48" s="133">
        <v>0</v>
      </c>
      <c r="AP48" s="133">
        <v>0</v>
      </c>
      <c r="AQ48" s="131">
        <f>AR48-SUM(AN48:AP48)</f>
        <v>0</v>
      </c>
      <c r="AR48" s="219">
        <v>0</v>
      </c>
      <c r="AS48" s="114">
        <v>0</v>
      </c>
      <c r="AT48" s="133">
        <v>0</v>
      </c>
      <c r="AU48" s="133">
        <v>0</v>
      </c>
      <c r="AV48" s="131">
        <f>AW48-SUM(AS48:AU48)</f>
        <v>0</v>
      </c>
      <c r="AW48" s="219">
        <v>0</v>
      </c>
      <c r="AX48" s="148">
        <v>0</v>
      </c>
      <c r="AY48" s="149">
        <v>0</v>
      </c>
      <c r="AZ48" s="149">
        <v>0</v>
      </c>
      <c r="BA48" s="150">
        <v>0</v>
      </c>
      <c r="BB48" s="42">
        <f>SUM(AX48:BA48)</f>
        <v>0</v>
      </c>
      <c r="BC48" s="148">
        <v>0</v>
      </c>
      <c r="BD48" s="149">
        <v>0</v>
      </c>
      <c r="BE48" s="149">
        <v>0</v>
      </c>
      <c r="BF48" s="150">
        <v>0</v>
      </c>
      <c r="BG48" s="42">
        <f>SUM(BC48:BF48)</f>
        <v>0</v>
      </c>
      <c r="BH48" s="148">
        <v>0</v>
      </c>
      <c r="BI48" s="149">
        <v>0</v>
      </c>
      <c r="BJ48" s="149">
        <v>0</v>
      </c>
      <c r="BK48" s="150">
        <v>0</v>
      </c>
      <c r="BL48" s="42">
        <f>SUM(BH48:BK48)</f>
        <v>0</v>
      </c>
      <c r="BM48" s="148">
        <v>0</v>
      </c>
      <c r="BN48" s="149">
        <v>0</v>
      </c>
      <c r="BO48" s="149">
        <v>0</v>
      </c>
      <c r="BP48" s="150">
        <v>0</v>
      </c>
      <c r="BQ48" s="42">
        <f>SUM(BM48:BP48)</f>
        <v>0</v>
      </c>
      <c r="BR48" s="44"/>
      <c r="BS48" s="44"/>
      <c r="BT48" s="526"/>
      <c r="BU48" s="963"/>
      <c r="BV48" s="963"/>
      <c r="BW48" s="526"/>
      <c r="BX48" s="526"/>
      <c r="BY48" s="526"/>
      <c r="BZ48" s="526"/>
      <c r="CA48" s="526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44"/>
      <c r="CY48" s="44"/>
      <c r="CZ48" s="44"/>
    </row>
    <row r="49" spans="1:104" x14ac:dyDescent="0.2">
      <c r="A49" s="44"/>
      <c r="B49" s="44"/>
      <c r="C49" s="26" t="s">
        <v>141</v>
      </c>
      <c r="D49" s="42"/>
      <c r="E49" s="121">
        <f t="shared" ref="E49:AD49" si="87">E47+E48</f>
        <v>76.198999999999927</v>
      </c>
      <c r="F49" s="122">
        <f t="shared" si="87"/>
        <v>49.897999999999847</v>
      </c>
      <c r="G49" s="122">
        <f t="shared" si="87"/>
        <v>92.549000000000078</v>
      </c>
      <c r="H49" s="123">
        <f t="shared" si="87"/>
        <v>75.12399999999991</v>
      </c>
      <c r="I49" s="86">
        <f t="shared" si="87"/>
        <v>293.76999999999975</v>
      </c>
      <c r="J49" s="121">
        <f t="shared" si="87"/>
        <v>64.13900000000001</v>
      </c>
      <c r="K49" s="122">
        <f t="shared" si="87"/>
        <v>44.03999999999985</v>
      </c>
      <c r="L49" s="122">
        <f t="shared" si="87"/>
        <v>109.78699999999996</v>
      </c>
      <c r="M49" s="123">
        <f t="shared" si="87"/>
        <v>56.259000000000299</v>
      </c>
      <c r="N49" s="86">
        <f t="shared" si="87"/>
        <v>274.22500000000014</v>
      </c>
      <c r="O49" s="121">
        <f t="shared" si="87"/>
        <v>92.174999999999798</v>
      </c>
      <c r="P49" s="122">
        <f t="shared" si="87"/>
        <v>65.22300000000007</v>
      </c>
      <c r="Q49" s="130">
        <f t="shared" si="87"/>
        <v>141.90199999999987</v>
      </c>
      <c r="R49" s="123">
        <f>R47+R48</f>
        <v>53.681000000000608</v>
      </c>
      <c r="S49" s="85">
        <f>S47+S48</f>
        <v>352.98100000000034</v>
      </c>
      <c r="T49" s="121">
        <f t="shared" si="87"/>
        <v>76.986000000000161</v>
      </c>
      <c r="U49" s="130">
        <f t="shared" si="87"/>
        <v>64.311999999999955</v>
      </c>
      <c r="V49" s="122">
        <f t="shared" si="87"/>
        <v>136.01100000000005</v>
      </c>
      <c r="W49" s="123">
        <f>W47+W48</f>
        <v>62.83199999999988</v>
      </c>
      <c r="X49" s="85">
        <f>X47+X48</f>
        <v>340.14100000000008</v>
      </c>
      <c r="Y49" s="121">
        <f t="shared" si="87"/>
        <v>101.96500000000006</v>
      </c>
      <c r="Z49" s="130">
        <f>Z47+Z48</f>
        <v>77.701000000000079</v>
      </c>
      <c r="AA49" s="122">
        <f>AA47+AA48</f>
        <v>155.10599999999988</v>
      </c>
      <c r="AB49" s="123">
        <f>AB47+AB48</f>
        <v>58.573999999999955</v>
      </c>
      <c r="AC49" s="85">
        <f>AC47+AC48</f>
        <v>393.346</v>
      </c>
      <c r="AD49" s="121">
        <f t="shared" si="87"/>
        <v>108.36399999999981</v>
      </c>
      <c r="AE49" s="130">
        <f t="shared" ref="AE49:AJ49" si="88">AE47+AE48</f>
        <v>75.266000000000048</v>
      </c>
      <c r="AF49" s="122">
        <f t="shared" si="88"/>
        <v>134.46900000000002</v>
      </c>
      <c r="AG49" s="123">
        <f t="shared" si="88"/>
        <v>86.815999999999974</v>
      </c>
      <c r="AH49" s="85">
        <f t="shared" si="88"/>
        <v>404.91499999999985</v>
      </c>
      <c r="AI49" s="121">
        <f t="shared" si="88"/>
        <v>86.075000000000216</v>
      </c>
      <c r="AJ49" s="130">
        <f t="shared" si="88"/>
        <v>74.181000000000154</v>
      </c>
      <c r="AK49" s="122">
        <f t="shared" ref="AK49:AP49" si="89">AK47+AK48</f>
        <v>175.54900000000021</v>
      </c>
      <c r="AL49" s="123">
        <f t="shared" si="89"/>
        <v>100.18499999999949</v>
      </c>
      <c r="AM49" s="85">
        <f t="shared" si="89"/>
        <v>435.99000000000007</v>
      </c>
      <c r="AN49" s="121">
        <f t="shared" si="89"/>
        <v>94.62899999999992</v>
      </c>
      <c r="AO49" s="130">
        <f t="shared" si="89"/>
        <v>78.176000000000073</v>
      </c>
      <c r="AP49" s="130">
        <f t="shared" si="89"/>
        <v>206.55200000000002</v>
      </c>
      <c r="AQ49" s="123">
        <f t="shared" ref="AQ49:AU49" si="90">AQ47+AQ48</f>
        <v>109.38700000000034</v>
      </c>
      <c r="AR49" s="85">
        <f t="shared" si="90"/>
        <v>488.74400000000037</v>
      </c>
      <c r="AS49" s="121">
        <f t="shared" si="90"/>
        <v>94.165999999999926</v>
      </c>
      <c r="AT49" s="130">
        <f t="shared" si="90"/>
        <v>87.662000000000091</v>
      </c>
      <c r="AU49" s="130">
        <f t="shared" si="90"/>
        <v>229.00299999999999</v>
      </c>
      <c r="AV49" s="123">
        <f t="shared" ref="AV49:AW49" si="91">AV47+AV48</f>
        <v>79.290000000001157</v>
      </c>
      <c r="AW49" s="85">
        <f t="shared" si="91"/>
        <v>490.12100000000117</v>
      </c>
      <c r="AX49" s="121">
        <f t="shared" ref="AX49:BG49" si="92">AX47+AX48</f>
        <v>104.03486099210838</v>
      </c>
      <c r="AY49" s="122">
        <f t="shared" si="92"/>
        <v>89.297914667891447</v>
      </c>
      <c r="AZ49" s="122">
        <f t="shared" si="92"/>
        <v>206.12594211245832</v>
      </c>
      <c r="BA49" s="123">
        <f t="shared" si="92"/>
        <v>102.10081118051528</v>
      </c>
      <c r="BB49" s="86">
        <f t="shared" si="92"/>
        <v>501.55952895297344</v>
      </c>
      <c r="BC49" s="121">
        <f t="shared" si="92"/>
        <v>122.00146159106185</v>
      </c>
      <c r="BD49" s="122">
        <f t="shared" si="92"/>
        <v>108.23048769357636</v>
      </c>
      <c r="BE49" s="122">
        <f t="shared" si="92"/>
        <v>226.98433687426763</v>
      </c>
      <c r="BF49" s="123">
        <f t="shared" si="92"/>
        <v>115.61592078969716</v>
      </c>
      <c r="BG49" s="86">
        <f t="shared" si="92"/>
        <v>572.83220694860302</v>
      </c>
      <c r="BH49" s="121">
        <f t="shared" ref="BH49:BQ49" si="93">BH47+BH48</f>
        <v>127.9208215224958</v>
      </c>
      <c r="BI49" s="122">
        <f t="shared" si="93"/>
        <v>111.51382994697462</v>
      </c>
      <c r="BJ49" s="122">
        <f t="shared" si="93"/>
        <v>234.6206017857771</v>
      </c>
      <c r="BK49" s="123">
        <f t="shared" si="93"/>
        <v>119.54821250944417</v>
      </c>
      <c r="BL49" s="86">
        <f t="shared" si="93"/>
        <v>593.60346576469169</v>
      </c>
      <c r="BM49" s="121">
        <f t="shared" si="93"/>
        <v>130.87433437269539</v>
      </c>
      <c r="BN49" s="122">
        <f t="shared" si="93"/>
        <v>118.62293899454701</v>
      </c>
      <c r="BO49" s="122">
        <f t="shared" si="93"/>
        <v>243.85425622814921</v>
      </c>
      <c r="BP49" s="123">
        <f t="shared" si="93"/>
        <v>124.7983955586717</v>
      </c>
      <c r="BQ49" s="86">
        <f t="shared" si="93"/>
        <v>618.14992515406334</v>
      </c>
      <c r="BR49" s="44"/>
      <c r="BS49" s="44"/>
      <c r="BT49" s="44"/>
      <c r="BU49" s="964"/>
      <c r="BV49" s="96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44"/>
      <c r="CY49" s="44"/>
      <c r="CZ49" s="44"/>
    </row>
    <row r="50" spans="1:104" x14ac:dyDescent="0.2">
      <c r="A50" s="44"/>
      <c r="B50" s="44"/>
      <c r="C50" s="20"/>
      <c r="D50" s="42"/>
      <c r="E50" s="120"/>
      <c r="F50" s="139"/>
      <c r="G50" s="139"/>
      <c r="H50" s="119"/>
      <c r="I50" s="42"/>
      <c r="J50" s="120"/>
      <c r="K50" s="139"/>
      <c r="L50" s="139"/>
      <c r="M50" s="119"/>
      <c r="N50" s="42"/>
      <c r="O50" s="120"/>
      <c r="P50" s="139"/>
      <c r="Q50" s="139"/>
      <c r="R50" s="119"/>
      <c r="S50" s="44"/>
      <c r="T50" s="120"/>
      <c r="U50" s="139"/>
      <c r="V50" s="139"/>
      <c r="W50" s="119"/>
      <c r="X50" s="44"/>
      <c r="Y50" s="120"/>
      <c r="Z50" s="139"/>
      <c r="AA50" s="139"/>
      <c r="AB50" s="119"/>
      <c r="AC50" s="44"/>
      <c r="AD50" s="120"/>
      <c r="AE50" s="139"/>
      <c r="AF50" s="139"/>
      <c r="AG50" s="119"/>
      <c r="AH50" s="44"/>
      <c r="AI50" s="120"/>
      <c r="AJ50" s="139"/>
      <c r="AK50" s="139"/>
      <c r="AL50" s="119"/>
      <c r="AM50" s="44"/>
      <c r="AN50" s="120"/>
      <c r="AO50" s="139"/>
      <c r="AP50" s="139"/>
      <c r="AQ50" s="119"/>
      <c r="AR50" s="44"/>
      <c r="AS50" s="120"/>
      <c r="AT50" s="139"/>
      <c r="AU50" s="139"/>
      <c r="AV50" s="119"/>
      <c r="AW50" s="44"/>
      <c r="AX50" s="120"/>
      <c r="AY50" s="139"/>
      <c r="AZ50" s="139"/>
      <c r="BA50" s="119"/>
      <c r="BB50" s="44"/>
      <c r="BC50" s="120"/>
      <c r="BD50" s="139"/>
      <c r="BE50" s="139"/>
      <c r="BF50" s="119"/>
      <c r="BG50" s="44"/>
      <c r="BH50" s="120"/>
      <c r="BI50" s="139"/>
      <c r="BJ50" s="139"/>
      <c r="BK50" s="119"/>
      <c r="BL50" s="44"/>
      <c r="BM50" s="120"/>
      <c r="BN50" s="139"/>
      <c r="BO50" s="139"/>
      <c r="BP50" s="119"/>
      <c r="BQ50" s="44"/>
      <c r="BR50" s="44"/>
      <c r="BS50" s="44"/>
      <c r="BT50" s="44"/>
      <c r="BU50" s="963"/>
      <c r="BV50" s="963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</row>
    <row r="51" spans="1:104" x14ac:dyDescent="0.2">
      <c r="A51" s="44"/>
      <c r="B51" s="44"/>
      <c r="C51" s="20" t="s">
        <v>73</v>
      </c>
      <c r="D51" s="42"/>
      <c r="E51" s="136">
        <f>+XEL!E59</f>
        <v>455.19200000000001</v>
      </c>
      <c r="F51" s="135">
        <f>+XEL!F59</f>
        <v>456.30700000000002</v>
      </c>
      <c r="G51" s="135">
        <f>+XEL!G59</f>
        <v>456.76900000000001</v>
      </c>
      <c r="H51" s="116">
        <f>+XEL!H59</f>
        <v>457.43400000000003</v>
      </c>
      <c r="I51" s="82">
        <f>+XEL!I59</f>
        <v>456.43299999999999</v>
      </c>
      <c r="J51" s="136">
        <f>+XEL!J59</f>
        <v>458.91800000000001</v>
      </c>
      <c r="K51" s="135">
        <f>+XEL!K59</f>
        <v>460.041</v>
      </c>
      <c r="L51" s="135">
        <f>+XEL!L59</f>
        <v>460.47</v>
      </c>
      <c r="M51" s="116">
        <f>+XEL!M59</f>
        <v>468.68599999999998</v>
      </c>
      <c r="N51" s="82">
        <f>+XEL!N59</f>
        <v>462.05200000000002</v>
      </c>
      <c r="O51" s="136">
        <f>+XEL!O59</f>
        <v>483.64100000000002</v>
      </c>
      <c r="P51" s="135">
        <f>+XEL!P59</f>
        <v>484.91800000000001</v>
      </c>
      <c r="Q51" s="137">
        <f>+XEL!Q59</f>
        <v>485.34399999999999</v>
      </c>
      <c r="R51" s="116">
        <f>+XEL!R59</f>
        <v>486.22300000000001</v>
      </c>
      <c r="S51" s="220">
        <f>+XEL!S59</f>
        <v>485.03899999999999</v>
      </c>
      <c r="T51" s="136">
        <f>+XEL!T59</f>
        <v>487.36</v>
      </c>
      <c r="U51" s="137">
        <f>+XEL!U59</f>
        <v>487.71699999999998</v>
      </c>
      <c r="V51" s="135">
        <f>+XEL!V59</f>
        <v>488.084</v>
      </c>
      <c r="W51" s="116">
        <f>+XEL!W59</f>
        <v>488.428</v>
      </c>
      <c r="X51" s="220">
        <f>+XEL!X59</f>
        <v>487.899</v>
      </c>
      <c r="Y51" s="136">
        <f>+XEL!Y59</f>
        <v>489.78100000000001</v>
      </c>
      <c r="Z51" s="137">
        <f>+XEL!Z59</f>
        <v>497.74700000000001</v>
      </c>
      <c r="AA51" s="135">
        <f>+XEL!AA59</f>
        <v>498.149</v>
      </c>
      <c r="AB51" s="116">
        <f>+XEL!AB59</f>
        <v>488.428</v>
      </c>
      <c r="AC51" s="220">
        <f>+XEL!AC59</f>
        <v>496.07299999999998</v>
      </c>
      <c r="AD51" s="136">
        <f>+XEL!AD59</f>
        <v>499.52300000000002</v>
      </c>
      <c r="AE51" s="135">
        <f>+XEL!AE59</f>
        <v>503.27199999999999</v>
      </c>
      <c r="AF51" s="135">
        <f>+XEL!AF59</f>
        <v>506.08199999999999</v>
      </c>
      <c r="AG51" s="116">
        <f>+XEL!AG59</f>
        <v>506.411</v>
      </c>
      <c r="AH51" s="220">
        <f>+XEL!AH59</f>
        <v>503.84699999999998</v>
      </c>
      <c r="AI51" s="136">
        <f>+XEL!AI59</f>
        <v>506.983</v>
      </c>
      <c r="AJ51" s="135">
        <f>+XEL!AJ59</f>
        <v>507.70699999999999</v>
      </c>
      <c r="AK51" s="135">
        <f>+XEL!AK59</f>
        <v>508.03100000000001</v>
      </c>
      <c r="AL51" s="116">
        <f>+XEL!AL59</f>
        <v>508.31200000000001</v>
      </c>
      <c r="AM51" s="220">
        <f>+XEL!AM59</f>
        <v>507.76799999999997</v>
      </c>
      <c r="AN51" s="136">
        <f>+XEL!AN59</f>
        <v>508.66699999999997</v>
      </c>
      <c r="AO51" s="135">
        <f>+XEL!AO59</f>
        <v>508.93</v>
      </c>
      <c r="AP51" s="135">
        <f>+XEL!AP59</f>
        <v>508.94099999999997</v>
      </c>
      <c r="AQ51" s="116">
        <f>+XEL!AQ59</f>
        <v>508.65600000000001</v>
      </c>
      <c r="AR51" s="220">
        <f>+XEL!AR59</f>
        <v>508.79399999999998</v>
      </c>
      <c r="AS51" s="136">
        <f>+XEL!AS59</f>
        <v>508.27800000000002</v>
      </c>
      <c r="AT51" s="135">
        <f>+XEL!AT59</f>
        <v>508.54199999999997</v>
      </c>
      <c r="AU51" s="135">
        <f>+XEL!AU59</f>
        <v>508.58100000000002</v>
      </c>
      <c r="AV51" s="116">
        <f>+XEL!AV59</f>
        <v>509</v>
      </c>
      <c r="AW51" s="220">
        <f>+XEL!AW59</f>
        <v>509</v>
      </c>
      <c r="AX51" s="136">
        <f>+XEL!AX59</f>
        <v>508.28363361335755</v>
      </c>
      <c r="AY51" s="135">
        <f>+XEL!AY59</f>
        <v>508.72093484007269</v>
      </c>
      <c r="AZ51" s="135">
        <f>+XEL!AZ59</f>
        <v>509.15823606678782</v>
      </c>
      <c r="BA51" s="116">
        <f>+XEL!BA59</f>
        <v>509.59553729350296</v>
      </c>
      <c r="BB51" s="82">
        <f>+XEL!BB59</f>
        <v>508.93958545343025</v>
      </c>
      <c r="BC51" s="136">
        <f>+XEL!BC59</f>
        <v>510.03283852021809</v>
      </c>
      <c r="BD51" s="135">
        <f>+XEL!BD59</f>
        <v>510.47013974693323</v>
      </c>
      <c r="BE51" s="135">
        <f>+XEL!BE59</f>
        <v>510.90744097364836</v>
      </c>
      <c r="BF51" s="116">
        <f>+XEL!BF59</f>
        <v>511.3447422003635</v>
      </c>
      <c r="BG51" s="82">
        <f>+XEL!BG59</f>
        <v>510.6887903602908</v>
      </c>
      <c r="BH51" s="136">
        <f>+XEL!BH59</f>
        <v>511.78204342707863</v>
      </c>
      <c r="BI51" s="135">
        <f>+XEL!BI59</f>
        <v>512.21934465379377</v>
      </c>
      <c r="BJ51" s="135">
        <f>+XEL!BJ59</f>
        <v>512.6566458805089</v>
      </c>
      <c r="BK51" s="116">
        <f>+XEL!BK59</f>
        <v>513.09394710722404</v>
      </c>
      <c r="BL51" s="82">
        <f>+XEL!BL59</f>
        <v>512.43799526715134</v>
      </c>
      <c r="BM51" s="136">
        <f>+XEL!BM59</f>
        <v>513.53124833393917</v>
      </c>
      <c r="BN51" s="135">
        <f>+XEL!BN59</f>
        <v>513.96854956065431</v>
      </c>
      <c r="BO51" s="135">
        <f>+XEL!BO59</f>
        <v>514.40585078736945</v>
      </c>
      <c r="BP51" s="116">
        <f>+XEL!BP59</f>
        <v>514.84315201408458</v>
      </c>
      <c r="BQ51" s="82">
        <f>+XEL!BQ59</f>
        <v>514.18720017401188</v>
      </c>
      <c r="BR51" s="44"/>
      <c r="BS51" s="44"/>
      <c r="BT51" s="44"/>
      <c r="BU51" s="963"/>
      <c r="BV51" s="963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  <c r="CX51" s="44"/>
      <c r="CY51" s="44"/>
      <c r="CZ51" s="44"/>
    </row>
    <row r="52" spans="1:104" x14ac:dyDescent="0.2">
      <c r="A52" s="44"/>
      <c r="B52" s="44"/>
      <c r="C52" s="20" t="s">
        <v>75</v>
      </c>
      <c r="D52" s="42"/>
      <c r="E52" s="136">
        <f>+XEL!E60</f>
        <v>455.952</v>
      </c>
      <c r="F52" s="135">
        <f>+XEL!F60</f>
        <v>456.76600000000002</v>
      </c>
      <c r="G52" s="135">
        <f>+XEL!G60</f>
        <v>457.45299999999997</v>
      </c>
      <c r="H52" s="116">
        <f>+XEL!H60</f>
        <v>458.35700000000003</v>
      </c>
      <c r="I52" s="82">
        <f>+XEL!I60</f>
        <v>457.13900000000001</v>
      </c>
      <c r="J52" s="136">
        <f>+XEL!J60</f>
        <v>459.697</v>
      </c>
      <c r="K52" s="135">
        <f>+XEL!K60</f>
        <v>460.43200000000002</v>
      </c>
      <c r="L52" s="135">
        <f>+XEL!L60</f>
        <v>462.01900000000001</v>
      </c>
      <c r="M52" s="116">
        <f>+XEL!M60</f>
        <v>471.32499999999999</v>
      </c>
      <c r="N52" s="82">
        <f>+XEL!N60</f>
        <v>463.39100000000002</v>
      </c>
      <c r="O52" s="136">
        <f>+XEL!O60</f>
        <v>484.30099999999999</v>
      </c>
      <c r="P52" s="135">
        <f>+XEL!P60</f>
        <v>485.24099999999999</v>
      </c>
      <c r="Q52" s="137">
        <f>+XEL!Q60</f>
        <v>485.89400000000001</v>
      </c>
      <c r="R52" s="116">
        <f>+XEL!R60</f>
        <v>486.99099999999999</v>
      </c>
      <c r="S52" s="220">
        <f>+XEL!S60</f>
        <v>485.61500000000001</v>
      </c>
      <c r="T52" s="136">
        <f>+XEL!T60</f>
        <v>487.995</v>
      </c>
      <c r="U52" s="137">
        <f>+XEL!U60</f>
        <v>488.017</v>
      </c>
      <c r="V52" s="135">
        <f>+XEL!V60</f>
        <v>488.57799999999997</v>
      </c>
      <c r="W52" s="116">
        <f>+XEL!W60</f>
        <v>489.13600000000002</v>
      </c>
      <c r="X52" s="220">
        <f>+XEL!X60</f>
        <v>488.43400000000003</v>
      </c>
      <c r="Y52" s="136">
        <f>+XEL!Y60</f>
        <v>490.53100000000001</v>
      </c>
      <c r="Z52" s="137">
        <f>+XEL!Z60</f>
        <v>498.036</v>
      </c>
      <c r="AA52" s="135">
        <f>+XEL!AA60</f>
        <v>498.64100000000002</v>
      </c>
      <c r="AB52" s="116">
        <f>+XEL!AB60</f>
        <v>489.13600000000002</v>
      </c>
      <c r="AC52" s="220">
        <f>+XEL!AC60</f>
        <v>496.53199999999998</v>
      </c>
      <c r="AD52" s="136">
        <f>+XEL!AD60</f>
        <v>499.74599999999998</v>
      </c>
      <c r="AE52" s="135">
        <f>+XEL!AE60</f>
        <v>503.45600000000002</v>
      </c>
      <c r="AF52" s="135">
        <f>+XEL!AF60</f>
        <v>506.36500000000001</v>
      </c>
      <c r="AG52" s="116">
        <f>+XEL!AG60</f>
        <v>506.79899999999998</v>
      </c>
      <c r="AH52" s="220">
        <f>+XEL!AH60</f>
        <v>504.11700000000002</v>
      </c>
      <c r="AI52" s="136">
        <f>+XEL!AI60</f>
        <v>507.39299999999997</v>
      </c>
      <c r="AJ52" s="135">
        <f>+XEL!AJ60</f>
        <v>508.07400000000001</v>
      </c>
      <c r="AK52" s="135">
        <f>+XEL!AK60</f>
        <v>508.42700000000002</v>
      </c>
      <c r="AL52" s="116">
        <f>+XEL!AL60</f>
        <v>508.738</v>
      </c>
      <c r="AM52" s="220">
        <f>+XEL!AM60</f>
        <v>508.16800000000001</v>
      </c>
      <c r="AN52" s="136">
        <f>+XEL!AN60</f>
        <v>509.15</v>
      </c>
      <c r="AO52" s="135">
        <f>+XEL!AO60</f>
        <v>509.49</v>
      </c>
      <c r="AP52" s="135">
        <f>+XEL!AP60</f>
        <v>509.56599999999997</v>
      </c>
      <c r="AQ52" s="116">
        <f>+XEL!AQ60</f>
        <v>509.42099999999999</v>
      </c>
      <c r="AR52" s="220">
        <f>+XEL!AR60</f>
        <v>509.46499999999997</v>
      </c>
      <c r="AS52" s="136">
        <f>+XEL!AS60</f>
        <v>508.774</v>
      </c>
      <c r="AT52" s="135">
        <f>+XEL!AT60</f>
        <v>509.13499999999999</v>
      </c>
      <c r="AU52" s="135">
        <f>+XEL!AU60</f>
        <v>509.24200000000002</v>
      </c>
      <c r="AV52" s="116">
        <f>+XEL!AV60</f>
        <v>509</v>
      </c>
      <c r="AW52" s="220">
        <f>+XEL!AW60</f>
        <v>509</v>
      </c>
      <c r="AX52" s="136">
        <f>+XEL!AX60</f>
        <v>508.28363361335755</v>
      </c>
      <c r="AY52" s="135">
        <f>+XEL!AY60</f>
        <v>508.72093484007269</v>
      </c>
      <c r="AZ52" s="135">
        <f>+XEL!AZ60</f>
        <v>509.15823606678782</v>
      </c>
      <c r="BA52" s="116">
        <f>+XEL!BA60</f>
        <v>509.59553729350296</v>
      </c>
      <c r="BB52" s="82">
        <f>+XEL!BB60</f>
        <v>508.93958545343025</v>
      </c>
      <c r="BC52" s="136">
        <f>+XEL!BC60</f>
        <v>510.03283852021809</v>
      </c>
      <c r="BD52" s="135">
        <f>+XEL!BD60</f>
        <v>510.47013974693323</v>
      </c>
      <c r="BE52" s="135">
        <f>+XEL!BE60</f>
        <v>510.90744097364836</v>
      </c>
      <c r="BF52" s="116">
        <f>+XEL!BF60</f>
        <v>511.3447422003635</v>
      </c>
      <c r="BG52" s="82">
        <f>+XEL!BG60</f>
        <v>510.6887903602908</v>
      </c>
      <c r="BH52" s="136">
        <f>+XEL!BH60</f>
        <v>511.78204342707863</v>
      </c>
      <c r="BI52" s="135">
        <f>+XEL!BI60</f>
        <v>512.21934465379377</v>
      </c>
      <c r="BJ52" s="135">
        <f>+XEL!BJ60</f>
        <v>512.6566458805089</v>
      </c>
      <c r="BK52" s="116">
        <f>+XEL!BK60</f>
        <v>513.09394710722404</v>
      </c>
      <c r="BL52" s="82">
        <f>+XEL!BL60</f>
        <v>512.43799526715134</v>
      </c>
      <c r="BM52" s="136">
        <f>+XEL!BM60</f>
        <v>513.53124833393917</v>
      </c>
      <c r="BN52" s="135">
        <f>+XEL!BN60</f>
        <v>513.96854956065431</v>
      </c>
      <c r="BO52" s="135">
        <f>+XEL!BO60</f>
        <v>514.40585078736945</v>
      </c>
      <c r="BP52" s="116">
        <f>+XEL!BP60</f>
        <v>514.84315201408458</v>
      </c>
      <c r="BQ52" s="82">
        <f>+XEL!BQ60</f>
        <v>514.18720017401188</v>
      </c>
      <c r="BR52" s="44"/>
      <c r="BS52" s="44"/>
      <c r="BT52" s="44"/>
      <c r="BU52" s="963"/>
      <c r="BV52" s="963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  <c r="CX52" s="44"/>
      <c r="CY52" s="44"/>
      <c r="CZ52" s="44"/>
    </row>
    <row r="53" spans="1:104" x14ac:dyDescent="0.2">
      <c r="A53" s="44"/>
      <c r="B53" s="44"/>
      <c r="C53" s="86"/>
      <c r="D53" s="42"/>
      <c r="E53" s="120"/>
      <c r="F53" s="139"/>
      <c r="G53" s="139"/>
      <c r="H53" s="119"/>
      <c r="I53" s="42"/>
      <c r="J53" s="120"/>
      <c r="K53" s="139"/>
      <c r="L53" s="139"/>
      <c r="M53" s="119"/>
      <c r="N53" s="42"/>
      <c r="O53" s="120"/>
      <c r="P53" s="139"/>
      <c r="Q53" s="139"/>
      <c r="R53" s="119"/>
      <c r="S53" s="44"/>
      <c r="T53" s="120"/>
      <c r="U53" s="139"/>
      <c r="V53" s="139"/>
      <c r="W53" s="119"/>
      <c r="X53" s="44"/>
      <c r="Y53" s="120"/>
      <c r="Z53" s="139"/>
      <c r="AA53" s="139"/>
      <c r="AB53" s="119"/>
      <c r="AC53" s="44"/>
      <c r="AD53" s="120"/>
      <c r="AE53" s="139"/>
      <c r="AF53" s="139"/>
      <c r="AG53" s="119"/>
      <c r="AH53" s="44"/>
      <c r="AI53" s="120"/>
      <c r="AJ53" s="139"/>
      <c r="AK53" s="139"/>
      <c r="AL53" s="119"/>
      <c r="AM53" s="44"/>
      <c r="AN53" s="120"/>
      <c r="AO53" s="139"/>
      <c r="AP53" s="139"/>
      <c r="AQ53" s="119"/>
      <c r="AR53" s="44"/>
      <c r="AS53" s="120"/>
      <c r="AT53" s="139"/>
      <c r="AU53" s="139"/>
      <c r="AV53" s="119"/>
      <c r="AW53" s="44"/>
      <c r="AX53" s="120"/>
      <c r="AY53" s="139"/>
      <c r="AZ53" s="139"/>
      <c r="BA53" s="119"/>
      <c r="BB53" s="44"/>
      <c r="BC53" s="120"/>
      <c r="BD53" s="139"/>
      <c r="BE53" s="139"/>
      <c r="BF53" s="119"/>
      <c r="BG53" s="44"/>
      <c r="BH53" s="120"/>
      <c r="BI53" s="139"/>
      <c r="BJ53" s="139"/>
      <c r="BK53" s="119"/>
      <c r="BL53" s="44"/>
      <c r="BM53" s="120"/>
      <c r="BN53" s="139"/>
      <c r="BO53" s="139"/>
      <c r="BP53" s="119"/>
      <c r="BQ53" s="44"/>
      <c r="BR53" s="44"/>
      <c r="BS53" s="44"/>
      <c r="BT53" s="44"/>
      <c r="BU53" s="963"/>
      <c r="BV53" s="963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</row>
    <row r="54" spans="1:104" x14ac:dyDescent="0.2">
      <c r="A54" s="20"/>
      <c r="B54" s="20"/>
      <c r="C54" s="20" t="s">
        <v>246</v>
      </c>
      <c r="D54" s="20"/>
      <c r="E54" s="151">
        <f t="shared" ref="E54:AI54" si="94">+E47/E52</f>
        <v>0.1671206618240515</v>
      </c>
      <c r="F54" s="152">
        <f t="shared" si="94"/>
        <v>0.10924193131712921</v>
      </c>
      <c r="G54" s="152">
        <f t="shared" si="94"/>
        <v>0.20231368031251315</v>
      </c>
      <c r="H54" s="153">
        <f t="shared" si="94"/>
        <v>0.16389844597115327</v>
      </c>
      <c r="I54" s="154">
        <f t="shared" si="94"/>
        <v>0.6426272971678193</v>
      </c>
      <c r="J54" s="151">
        <f t="shared" si="94"/>
        <v>0.13952451288566167</v>
      </c>
      <c r="K54" s="152">
        <f t="shared" si="94"/>
        <v>9.564930326302222E-2</v>
      </c>
      <c r="L54" s="152">
        <f t="shared" si="94"/>
        <v>0.23762442670106632</v>
      </c>
      <c r="M54" s="153">
        <f t="shared" si="94"/>
        <v>0.11936349652575251</v>
      </c>
      <c r="N54" s="154">
        <f t="shared" si="94"/>
        <v>0.5917788649326382</v>
      </c>
      <c r="O54" s="151">
        <f t="shared" si="94"/>
        <v>0.1903258510719569</v>
      </c>
      <c r="P54" s="152">
        <f t="shared" si="94"/>
        <v>0.13441362127272855</v>
      </c>
      <c r="Q54" s="719">
        <f t="shared" si="94"/>
        <v>0.29204312051599707</v>
      </c>
      <c r="R54" s="153">
        <f>+R47/R52</f>
        <v>0.11022996318207239</v>
      </c>
      <c r="S54" s="729">
        <f>+S47/S52</f>
        <v>0.72687416986707643</v>
      </c>
      <c r="T54" s="151">
        <f>+T47/T52</f>
        <v>0.1577598131128396</v>
      </c>
      <c r="U54" s="719">
        <f>+U47/U52</f>
        <v>0.13178229446924997</v>
      </c>
      <c r="V54" s="152">
        <f>+V47/V52</f>
        <v>0.27838134340883147</v>
      </c>
      <c r="W54" s="153">
        <f t="shared" si="94"/>
        <v>0.12845507180007171</v>
      </c>
      <c r="X54" s="729">
        <f t="shared" ref="X54:AD54" si="95">+X47/X52</f>
        <v>0.69639091463739222</v>
      </c>
      <c r="Y54" s="151">
        <f t="shared" si="95"/>
        <v>0.20786657723976681</v>
      </c>
      <c r="Z54" s="719">
        <f t="shared" si="95"/>
        <v>0.15601482623746091</v>
      </c>
      <c r="AA54" s="152">
        <f t="shared" si="95"/>
        <v>0.31105745416040775</v>
      </c>
      <c r="AB54" s="153">
        <f t="shared" si="95"/>
        <v>0.1197499264008373</v>
      </c>
      <c r="AC54" s="729">
        <f t="shared" si="95"/>
        <v>0.79218660630130588</v>
      </c>
      <c r="AD54" s="151">
        <f t="shared" si="95"/>
        <v>0.21683815378212093</v>
      </c>
      <c r="AE54" s="152">
        <f t="shared" si="94"/>
        <v>0.14949866522595825</v>
      </c>
      <c r="AF54" s="152">
        <f t="shared" si="94"/>
        <v>0.26555745361547506</v>
      </c>
      <c r="AG54" s="153">
        <f t="shared" si="94"/>
        <v>0.17130262687968995</v>
      </c>
      <c r="AH54" s="729">
        <f t="shared" si="94"/>
        <v>0.80321631684708084</v>
      </c>
      <c r="AI54" s="151">
        <f t="shared" si="94"/>
        <v>1.3646226889216496E-2</v>
      </c>
      <c r="AJ54" s="152">
        <f t="shared" ref="AJ54:AO54" si="96">+AJ47/AJ52</f>
        <v>0.14600432220503343</v>
      </c>
      <c r="AK54" s="152">
        <f t="shared" si="96"/>
        <v>0.34527867324119332</v>
      </c>
      <c r="AL54" s="153">
        <f t="shared" si="96"/>
        <v>0.19692847791987131</v>
      </c>
      <c r="AM54" s="729">
        <f t="shared" si="96"/>
        <v>0.70220675052344905</v>
      </c>
      <c r="AN54" s="151">
        <f t="shared" si="96"/>
        <v>0.18585682019051344</v>
      </c>
      <c r="AO54" s="152">
        <f t="shared" si="96"/>
        <v>0.15343971422402808</v>
      </c>
      <c r="AP54" s="152">
        <f t="shared" ref="AP54:AT54" si="97">+AP47/AP52</f>
        <v>0.40534886550515542</v>
      </c>
      <c r="AQ54" s="153">
        <f t="shared" si="97"/>
        <v>0.21472809326667008</v>
      </c>
      <c r="AR54" s="729">
        <f t="shared" si="97"/>
        <v>0.95932792242843057</v>
      </c>
      <c r="AS54" s="151">
        <f t="shared" si="97"/>
        <v>0.18508414345072649</v>
      </c>
      <c r="AT54" s="152">
        <f t="shared" si="97"/>
        <v>0.17217830241488033</v>
      </c>
      <c r="AU54" s="152">
        <f>+AU47/AU52</f>
        <v>0.4496938587155026</v>
      </c>
      <c r="AV54" s="153">
        <f t="shared" ref="AV54:AW54" si="98">+AV47/AV52</f>
        <v>0.15577603143418695</v>
      </c>
      <c r="AW54" s="729">
        <f t="shared" si="98"/>
        <v>0.96290962671905933</v>
      </c>
      <c r="AX54" s="151">
        <f t="shared" ref="AX54:BG54" si="99">+AX47/AX52</f>
        <v>0.20467875436502028</v>
      </c>
      <c r="AY54" s="152">
        <f t="shared" si="99"/>
        <v>0.17553418495734632</v>
      </c>
      <c r="AZ54" s="152">
        <f t="shared" si="99"/>
        <v>0.40483670401713812</v>
      </c>
      <c r="BA54" s="153">
        <f t="shared" si="99"/>
        <v>0.20035656458606316</v>
      </c>
      <c r="BB54" s="154">
        <f t="shared" si="99"/>
        <v>0.9854991501714655</v>
      </c>
      <c r="BC54" s="151">
        <f t="shared" si="99"/>
        <v>0.23920315002663425</v>
      </c>
      <c r="BD54" s="152">
        <f t="shared" si="99"/>
        <v>0.21202119236050102</v>
      </c>
      <c r="BE54" s="152">
        <f t="shared" si="99"/>
        <v>0.44427682721100759</v>
      </c>
      <c r="BF54" s="153">
        <f t="shared" si="99"/>
        <v>0.22610171034944293</v>
      </c>
      <c r="BG54" s="154">
        <f t="shared" si="99"/>
        <v>1.121685491754127</v>
      </c>
      <c r="BH54" s="151">
        <f t="shared" ref="BH54:BQ54" si="100">+BH47/BH52</f>
        <v>0.24995175810759493</v>
      </c>
      <c r="BI54" s="152">
        <f t="shared" si="100"/>
        <v>0.21770718171986692</v>
      </c>
      <c r="BJ54" s="152">
        <f t="shared" si="100"/>
        <v>0.4576564132564917</v>
      </c>
      <c r="BK54" s="153">
        <f t="shared" si="100"/>
        <v>0.23299478230730625</v>
      </c>
      <c r="BL54" s="154">
        <f t="shared" si="100"/>
        <v>1.1583908126391487</v>
      </c>
      <c r="BM54" s="151">
        <f t="shared" si="100"/>
        <v>0.25485174426540524</v>
      </c>
      <c r="BN54" s="152">
        <f t="shared" si="100"/>
        <v>0.23079804998953174</v>
      </c>
      <c r="BO54" s="152">
        <f t="shared" si="100"/>
        <v>0.47405031621412641</v>
      </c>
      <c r="BP54" s="153">
        <f t="shared" si="100"/>
        <v>0.24240080706222075</v>
      </c>
      <c r="BQ54" s="154">
        <f t="shared" si="100"/>
        <v>1.2021884732736798</v>
      </c>
      <c r="BR54" s="20"/>
      <c r="BS54" s="20"/>
      <c r="BT54" s="20"/>
      <c r="BU54" s="965"/>
      <c r="BV54" s="965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</row>
    <row r="55" spans="1:104" x14ac:dyDescent="0.2">
      <c r="A55" s="20"/>
      <c r="C55" s="155" t="s">
        <v>247</v>
      </c>
      <c r="D55" s="156"/>
      <c r="E55" s="157">
        <f t="shared" ref="E55:AI55" si="101">+E49/E52</f>
        <v>0.1671206618240515</v>
      </c>
      <c r="F55" s="76">
        <f t="shared" si="101"/>
        <v>0.10924193131712921</v>
      </c>
      <c r="G55" s="76">
        <f t="shared" si="101"/>
        <v>0.20231368031251315</v>
      </c>
      <c r="H55" s="77">
        <f t="shared" si="101"/>
        <v>0.16389844597115327</v>
      </c>
      <c r="I55" s="158">
        <f t="shared" si="101"/>
        <v>0.6426272971678193</v>
      </c>
      <c r="J55" s="157">
        <f t="shared" si="101"/>
        <v>0.13952451288566167</v>
      </c>
      <c r="K55" s="76">
        <f t="shared" si="101"/>
        <v>9.564930326302222E-2</v>
      </c>
      <c r="L55" s="76">
        <f t="shared" si="101"/>
        <v>0.23762442670106632</v>
      </c>
      <c r="M55" s="77">
        <f t="shared" si="101"/>
        <v>0.11936349652575251</v>
      </c>
      <c r="N55" s="158">
        <f t="shared" si="101"/>
        <v>0.5917788649326382</v>
      </c>
      <c r="O55" s="157">
        <f t="shared" si="101"/>
        <v>0.1903258510719569</v>
      </c>
      <c r="P55" s="76">
        <f t="shared" si="101"/>
        <v>0.13441362127272855</v>
      </c>
      <c r="Q55" s="76">
        <f t="shared" si="101"/>
        <v>0.29204312051599707</v>
      </c>
      <c r="R55" s="77">
        <f>+R49/R52</f>
        <v>0.11022996318207239</v>
      </c>
      <c r="S55" s="158">
        <f>+S49/S52</f>
        <v>0.72687416986707643</v>
      </c>
      <c r="T55" s="157">
        <f>+T49/T52</f>
        <v>0.1577598131128396</v>
      </c>
      <c r="U55" s="76">
        <f>+U49/U52</f>
        <v>0.13178229446924997</v>
      </c>
      <c r="V55" s="76">
        <f>+V49/V52</f>
        <v>0.27838134340883147</v>
      </c>
      <c r="W55" s="77">
        <f t="shared" si="101"/>
        <v>0.12845507180007171</v>
      </c>
      <c r="X55" s="158">
        <f t="shared" ref="X55:AD55" si="102">+X49/X52</f>
        <v>0.69639091463739222</v>
      </c>
      <c r="Y55" s="157">
        <f t="shared" si="102"/>
        <v>0.20786657723976681</v>
      </c>
      <c r="Z55" s="76">
        <f t="shared" si="102"/>
        <v>0.15601482623746091</v>
      </c>
      <c r="AA55" s="76">
        <f t="shared" si="102"/>
        <v>0.31105745416040775</v>
      </c>
      <c r="AB55" s="77">
        <f t="shared" si="102"/>
        <v>0.1197499264008373</v>
      </c>
      <c r="AC55" s="158">
        <f t="shared" si="102"/>
        <v>0.79218660630130588</v>
      </c>
      <c r="AD55" s="157">
        <f t="shared" si="102"/>
        <v>0.21683815378212093</v>
      </c>
      <c r="AE55" s="76">
        <f t="shared" si="101"/>
        <v>0.14949866522595825</v>
      </c>
      <c r="AF55" s="76">
        <f t="shared" si="101"/>
        <v>0.26555745361547506</v>
      </c>
      <c r="AG55" s="77">
        <f t="shared" si="101"/>
        <v>0.17130262687968995</v>
      </c>
      <c r="AH55" s="158">
        <f t="shared" si="101"/>
        <v>0.80321631684708084</v>
      </c>
      <c r="AI55" s="157">
        <f t="shared" si="101"/>
        <v>0.16964167814692008</v>
      </c>
      <c r="AJ55" s="76">
        <f t="shared" ref="AJ55:AO55" si="103">+AJ49/AJ52</f>
        <v>0.14600432220503343</v>
      </c>
      <c r="AK55" s="76">
        <f t="shared" si="103"/>
        <v>0.34527867324119332</v>
      </c>
      <c r="AL55" s="77">
        <f t="shared" si="103"/>
        <v>0.19692847791987131</v>
      </c>
      <c r="AM55" s="158">
        <f t="shared" si="103"/>
        <v>0.85796429527242968</v>
      </c>
      <c r="AN55" s="157">
        <f t="shared" si="103"/>
        <v>0.18585682019051344</v>
      </c>
      <c r="AO55" s="76">
        <f t="shared" si="103"/>
        <v>0.15343971422402808</v>
      </c>
      <c r="AP55" s="76">
        <f t="shared" ref="AP55:AT55" si="104">+AP49/AP52</f>
        <v>0.40534886550515542</v>
      </c>
      <c r="AQ55" s="77">
        <f t="shared" si="104"/>
        <v>0.21472809326667008</v>
      </c>
      <c r="AR55" s="158">
        <f t="shared" si="104"/>
        <v>0.95932792242843057</v>
      </c>
      <c r="AS55" s="157">
        <f t="shared" si="104"/>
        <v>0.18508414345072649</v>
      </c>
      <c r="AT55" s="76">
        <f t="shared" si="104"/>
        <v>0.17217830241488033</v>
      </c>
      <c r="AU55" s="76">
        <f>+AU49/AU52</f>
        <v>0.4496938587155026</v>
      </c>
      <c r="AV55" s="77">
        <f t="shared" ref="AV55:AW55" si="105">+AV49/AV52</f>
        <v>0.15577603143418695</v>
      </c>
      <c r="AW55" s="158">
        <f t="shared" si="105"/>
        <v>0.96290962671905933</v>
      </c>
      <c r="AX55" s="157">
        <f t="shared" ref="AX55:BG55" si="106">+AX49/AX52</f>
        <v>0.20467875436502028</v>
      </c>
      <c r="AY55" s="76">
        <f t="shared" si="106"/>
        <v>0.17553418495734632</v>
      </c>
      <c r="AZ55" s="76">
        <f t="shared" si="106"/>
        <v>0.40483670401713812</v>
      </c>
      <c r="BA55" s="77">
        <f t="shared" si="106"/>
        <v>0.20035656458606316</v>
      </c>
      <c r="BB55" s="158">
        <f t="shared" si="106"/>
        <v>0.9854991501714655</v>
      </c>
      <c r="BC55" s="157">
        <f t="shared" si="106"/>
        <v>0.23920315002663425</v>
      </c>
      <c r="BD55" s="76">
        <f t="shared" si="106"/>
        <v>0.21202119236050102</v>
      </c>
      <c r="BE55" s="76">
        <f t="shared" si="106"/>
        <v>0.44427682721100759</v>
      </c>
      <c r="BF55" s="77">
        <f t="shared" si="106"/>
        <v>0.22610171034944293</v>
      </c>
      <c r="BG55" s="158">
        <f t="shared" si="106"/>
        <v>1.121685491754127</v>
      </c>
      <c r="BH55" s="157">
        <f t="shared" ref="BH55:BQ55" si="107">+BH49/BH52</f>
        <v>0.24995175810759493</v>
      </c>
      <c r="BI55" s="76">
        <f t="shared" si="107"/>
        <v>0.21770718171986692</v>
      </c>
      <c r="BJ55" s="76">
        <f t="shared" si="107"/>
        <v>0.4576564132564917</v>
      </c>
      <c r="BK55" s="77">
        <f t="shared" si="107"/>
        <v>0.23299478230730625</v>
      </c>
      <c r="BL55" s="158">
        <f t="shared" si="107"/>
        <v>1.1583908126391487</v>
      </c>
      <c r="BM55" s="157">
        <f t="shared" si="107"/>
        <v>0.25485174426540524</v>
      </c>
      <c r="BN55" s="76">
        <f t="shared" si="107"/>
        <v>0.23079804998953174</v>
      </c>
      <c r="BO55" s="76">
        <f t="shared" si="107"/>
        <v>0.47405031621412641</v>
      </c>
      <c r="BP55" s="77">
        <f t="shared" si="107"/>
        <v>0.24240080706222075</v>
      </c>
      <c r="BQ55" s="158">
        <f t="shared" si="107"/>
        <v>1.2021884732736798</v>
      </c>
      <c r="BR55" s="271"/>
      <c r="BS55" s="20"/>
      <c r="BT55" s="20"/>
      <c r="BU55" s="966"/>
      <c r="BV55" s="966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</row>
    <row r="56" spans="1:104" x14ac:dyDescent="0.2">
      <c r="A56" s="20"/>
      <c r="B56" s="20"/>
      <c r="C56" s="45" t="s">
        <v>144</v>
      </c>
      <c r="D56" s="20"/>
      <c r="E56" s="254"/>
      <c r="F56" s="255"/>
      <c r="G56" s="255"/>
      <c r="H56" s="256"/>
      <c r="I56" s="79"/>
      <c r="J56" s="254">
        <f t="shared" ref="J56:AJ56" si="108">J55/E55-1</f>
        <v>-0.16512709222898891</v>
      </c>
      <c r="K56" s="255">
        <f t="shared" si="108"/>
        <v>-0.1244268376640798</v>
      </c>
      <c r="L56" s="255">
        <f t="shared" si="108"/>
        <v>0.17453464508187877</v>
      </c>
      <c r="M56" s="256">
        <f t="shared" si="108"/>
        <v>-0.27172282922828372</v>
      </c>
      <c r="N56" s="272">
        <f t="shared" si="108"/>
        <v>-7.912585173284703E-2</v>
      </c>
      <c r="O56" s="254">
        <f t="shared" si="108"/>
        <v>0.3641033187331475</v>
      </c>
      <c r="P56" s="255">
        <f t="shared" si="108"/>
        <v>0.40527548750783748</v>
      </c>
      <c r="Q56" s="720">
        <f t="shared" si="108"/>
        <v>0.2290113628906929</v>
      </c>
      <c r="R56" s="256">
        <f t="shared" si="108"/>
        <v>-7.6518647740095092E-2</v>
      </c>
      <c r="S56" s="730">
        <f t="shared" si="108"/>
        <v>0.22828680262147594</v>
      </c>
      <c r="T56" s="254">
        <f t="shared" si="108"/>
        <v>-0.17110675074194204</v>
      </c>
      <c r="U56" s="720">
        <f t="shared" si="108"/>
        <v>-1.9576340392909675E-2</v>
      </c>
      <c r="V56" s="255">
        <f t="shared" si="108"/>
        <v>-4.6779999758348234E-2</v>
      </c>
      <c r="W56" s="256">
        <f t="shared" si="108"/>
        <v>0.16533715599538024</v>
      </c>
      <c r="X56" s="730">
        <f t="shared" si="108"/>
        <v>-4.1937458357144131E-2</v>
      </c>
      <c r="Y56" s="254">
        <f t="shared" si="108"/>
        <v>0.31761424622814283</v>
      </c>
      <c r="Z56" s="720">
        <f>Z55/U55-1</f>
        <v>0.18388306157368772</v>
      </c>
      <c r="AA56" s="255">
        <f>AA55/V55-1</f>
        <v>0.11737895345805582</v>
      </c>
      <c r="AB56" s="256">
        <f>AB55/W55-1</f>
        <v>-6.7768016297426903E-2</v>
      </c>
      <c r="AC56" s="730">
        <f>AC55/X55-1</f>
        <v>0.13756022608909846</v>
      </c>
      <c r="AD56" s="254">
        <f t="shared" si="108"/>
        <v>4.3160264923233438E-2</v>
      </c>
      <c r="AE56" s="255">
        <f t="shared" si="108"/>
        <v>-4.1766293426400369E-2</v>
      </c>
      <c r="AF56" s="255">
        <f>AF55/AA55-1</f>
        <v>-0.14627522966052764</v>
      </c>
      <c r="AG56" s="256">
        <f>AG55/AB55-1</f>
        <v>0.43050298257629804</v>
      </c>
      <c r="AH56" s="730">
        <f>AH55/AC55-1</f>
        <v>1.3923121721626019E-2</v>
      </c>
      <c r="AI56" s="254">
        <f t="shared" si="108"/>
        <v>-0.21765761611595291</v>
      </c>
      <c r="AJ56" s="255">
        <f t="shared" si="108"/>
        <v>-2.3373740599244353E-2</v>
      </c>
      <c r="AK56" s="255">
        <f t="shared" ref="AK56:AP56" si="109">AK55/AF55-1</f>
        <v>0.30020328384814965</v>
      </c>
      <c r="AL56" s="256">
        <f t="shared" si="109"/>
        <v>0.14959403429451812</v>
      </c>
      <c r="AM56" s="730">
        <f t="shared" si="109"/>
        <v>6.8160939060917913E-2</v>
      </c>
      <c r="AN56" s="254">
        <f t="shared" si="109"/>
        <v>9.5584659505372649E-2</v>
      </c>
      <c r="AO56" s="255">
        <f t="shared" si="109"/>
        <v>5.0925834980098506E-2</v>
      </c>
      <c r="AP56" s="255">
        <f t="shared" si="109"/>
        <v>0.17397597048225522</v>
      </c>
      <c r="AQ56" s="256">
        <f t="shared" ref="AQ56:AU56" si="110">AQ55/AL55-1</f>
        <v>9.0386192666564558E-2</v>
      </c>
      <c r="AR56" s="730">
        <f t="shared" si="110"/>
        <v>0.11814434203676849</v>
      </c>
      <c r="AS56" s="254">
        <f t="shared" si="110"/>
        <v>-4.1573763017946908E-3</v>
      </c>
      <c r="AT56" s="255">
        <f t="shared" si="110"/>
        <v>0.12212345601408758</v>
      </c>
      <c r="AU56" s="255">
        <f t="shared" si="110"/>
        <v>0.10939957400666067</v>
      </c>
      <c r="AV56" s="256">
        <f t="shared" ref="AV56" si="111">AV55/AQ55-1</f>
        <v>-0.27454284595761191</v>
      </c>
      <c r="AW56" s="730">
        <f t="shared" ref="AW56" si="112">AW55/AR55-1</f>
        <v>3.7335557601221314E-3</v>
      </c>
      <c r="AX56" s="254">
        <f t="shared" ref="AX56:BG56" si="113">AX55/AS55-1</f>
        <v>0.1058686635655004</v>
      </c>
      <c r="AY56" s="255">
        <f t="shared" si="113"/>
        <v>1.9490740095576387E-2</v>
      </c>
      <c r="AZ56" s="255">
        <f t="shared" si="113"/>
        <v>-9.9750427605335035E-2</v>
      </c>
      <c r="BA56" s="256">
        <f t="shared" si="113"/>
        <v>0.28618352092703581</v>
      </c>
      <c r="BB56" s="272">
        <f t="shared" si="113"/>
        <v>2.345965065213429E-2</v>
      </c>
      <c r="BC56" s="254">
        <f t="shared" si="113"/>
        <v>0.16867601021278356</v>
      </c>
      <c r="BD56" s="255">
        <f t="shared" si="113"/>
        <v>0.20786268732794588</v>
      </c>
      <c r="BE56" s="255">
        <f t="shared" si="113"/>
        <v>9.7422300899376646E-2</v>
      </c>
      <c r="BF56" s="256">
        <f t="shared" si="113"/>
        <v>0.12849664205697109</v>
      </c>
      <c r="BG56" s="272">
        <f t="shared" si="113"/>
        <v>0.13819021716961055</v>
      </c>
      <c r="BH56" s="254">
        <f t="shared" ref="BH56:BQ56" si="114">BH55/BC55-1</f>
        <v>4.4935060762217649E-2</v>
      </c>
      <c r="BI56" s="255">
        <f t="shared" si="114"/>
        <v>2.6818023689339388E-2</v>
      </c>
      <c r="BJ56" s="255">
        <f t="shared" si="114"/>
        <v>3.0115426297328662E-2</v>
      </c>
      <c r="BK56" s="256">
        <f t="shared" si="114"/>
        <v>3.0486598032407608E-2</v>
      </c>
      <c r="BL56" s="272">
        <f t="shared" si="114"/>
        <v>3.2723362435240766E-2</v>
      </c>
      <c r="BM56" s="254">
        <f t="shared" si="114"/>
        <v>1.9603727514895253E-2</v>
      </c>
      <c r="BN56" s="255">
        <f t="shared" si="114"/>
        <v>6.0130622087191332E-2</v>
      </c>
      <c r="BO56" s="255">
        <f t="shared" si="114"/>
        <v>3.5821420792472969E-2</v>
      </c>
      <c r="BP56" s="256">
        <f t="shared" si="114"/>
        <v>4.0370108985996689E-2</v>
      </c>
      <c r="BQ56" s="272">
        <f t="shared" si="114"/>
        <v>3.780905386736233E-2</v>
      </c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</row>
    <row r="57" spans="1:104" x14ac:dyDescent="0.2">
      <c r="C57" s="26"/>
      <c r="E57" s="273"/>
      <c r="F57" s="274"/>
      <c r="G57" s="274"/>
      <c r="H57" s="275"/>
      <c r="I57" s="169"/>
      <c r="J57" s="273"/>
      <c r="K57" s="274"/>
      <c r="L57" s="274"/>
      <c r="M57" s="275"/>
      <c r="N57" s="169"/>
      <c r="O57" s="273"/>
      <c r="P57" s="274"/>
      <c r="Q57" s="721"/>
      <c r="R57" s="684"/>
      <c r="S57" s="731"/>
      <c r="T57" s="335"/>
      <c r="U57" s="721"/>
      <c r="V57" s="680"/>
      <c r="W57" s="684"/>
      <c r="X57" s="55"/>
      <c r="Y57" s="335"/>
      <c r="Z57" s="274"/>
      <c r="AA57" s="274"/>
      <c r="AB57" s="275"/>
      <c r="AC57" s="169"/>
      <c r="AD57" s="273"/>
      <c r="AE57" s="274"/>
      <c r="AF57" s="274"/>
      <c r="AG57" s="275"/>
      <c r="AH57" s="169"/>
      <c r="AI57" s="273"/>
      <c r="AJ57" s="274"/>
      <c r="AK57" s="274"/>
      <c r="AL57" s="275"/>
      <c r="AM57" s="169"/>
      <c r="AN57" s="273"/>
      <c r="AO57" s="274"/>
      <c r="AP57" s="274"/>
      <c r="AQ57" s="275"/>
      <c r="AR57" s="169"/>
      <c r="AS57" s="273"/>
      <c r="AT57" s="274"/>
      <c r="AU57" s="274"/>
      <c r="AV57" s="275"/>
      <c r="AW57" s="169"/>
      <c r="AX57" s="273"/>
      <c r="AY57" s="274"/>
      <c r="AZ57" s="274"/>
      <c r="BA57" s="275"/>
      <c r="BB57" s="169"/>
      <c r="BC57" s="273"/>
      <c r="BD57" s="274"/>
      <c r="BE57" s="274"/>
      <c r="BF57" s="275"/>
      <c r="BG57" s="169"/>
      <c r="BH57" s="273"/>
      <c r="BI57" s="274"/>
      <c r="BJ57" s="274"/>
      <c r="BK57" s="275"/>
      <c r="BL57" s="169"/>
      <c r="BM57" s="273"/>
      <c r="BN57" s="274"/>
      <c r="BO57" s="274"/>
      <c r="BP57" s="275"/>
      <c r="BQ57" s="169"/>
    </row>
    <row r="58" spans="1:104" x14ac:dyDescent="0.2">
      <c r="C58" s="26"/>
      <c r="E58" s="273"/>
      <c r="F58" s="274"/>
      <c r="G58" s="274"/>
      <c r="H58" s="275"/>
      <c r="I58" s="169"/>
      <c r="J58" s="273"/>
      <c r="K58" s="274"/>
      <c r="L58" s="274"/>
      <c r="M58" s="275"/>
      <c r="N58" s="169"/>
      <c r="O58" s="273"/>
      <c r="P58" s="274"/>
      <c r="Q58" s="611"/>
      <c r="R58" s="275"/>
      <c r="S58" s="731"/>
      <c r="T58" s="273"/>
      <c r="U58" s="611"/>
      <c r="V58" s="274"/>
      <c r="W58" s="275"/>
      <c r="X58" s="169"/>
      <c r="Y58" s="273"/>
      <c r="Z58" s="274"/>
      <c r="AA58" s="274"/>
      <c r="AB58" s="275"/>
      <c r="AC58" s="169"/>
      <c r="AD58" s="273"/>
      <c r="AE58" s="274"/>
      <c r="AF58" s="274"/>
      <c r="AG58" s="275"/>
      <c r="AH58" s="169"/>
      <c r="AI58" s="273"/>
      <c r="AJ58" s="274"/>
      <c r="AK58" s="274"/>
      <c r="AL58" s="275"/>
      <c r="AM58" s="169"/>
      <c r="AN58" s="273"/>
      <c r="AO58" s="274"/>
      <c r="AP58" s="274"/>
      <c r="AQ58" s="275"/>
      <c r="AR58" s="169"/>
      <c r="AS58" s="273"/>
      <c r="AT58" s="274"/>
      <c r="AU58" s="274"/>
      <c r="AV58" s="275"/>
      <c r="AW58" s="169"/>
      <c r="AX58" s="760"/>
      <c r="AY58" s="998"/>
      <c r="AZ58" s="998"/>
      <c r="BA58" s="999"/>
      <c r="BB58" s="169"/>
      <c r="BC58" s="273"/>
      <c r="BD58" s="274"/>
      <c r="BE58" s="274"/>
      <c r="BF58" s="275"/>
      <c r="BG58" s="169"/>
      <c r="BH58" s="273"/>
      <c r="BI58" s="274"/>
      <c r="BJ58" s="274"/>
      <c r="BK58" s="275"/>
      <c r="BL58" s="169"/>
      <c r="BM58" s="273"/>
      <c r="BN58" s="274"/>
      <c r="BO58" s="274"/>
      <c r="BP58" s="275"/>
      <c r="BQ58" s="169"/>
    </row>
    <row r="59" spans="1:104" x14ac:dyDescent="0.2">
      <c r="B59" s="16" t="s">
        <v>248</v>
      </c>
      <c r="C59" s="16"/>
      <c r="D59" s="17"/>
      <c r="E59" s="273"/>
      <c r="F59" s="274"/>
      <c r="G59" s="274"/>
      <c r="H59" s="275"/>
      <c r="I59" s="169"/>
      <c r="J59" s="273"/>
      <c r="K59" s="274"/>
      <c r="L59" s="274"/>
      <c r="M59" s="275"/>
      <c r="N59" s="169"/>
      <c r="O59" s="273"/>
      <c r="P59" s="274"/>
      <c r="Q59" s="611"/>
      <c r="R59" s="275"/>
      <c r="S59" s="732"/>
      <c r="T59" s="273"/>
      <c r="U59" s="611"/>
      <c r="V59" s="274"/>
      <c r="W59" s="275"/>
      <c r="X59" s="169"/>
      <c r="Y59" s="273"/>
      <c r="Z59" s="274"/>
      <c r="AA59" s="274"/>
      <c r="AB59" s="275"/>
      <c r="AC59" s="169"/>
      <c r="AD59" s="273"/>
      <c r="AE59" s="274"/>
      <c r="AF59" s="274"/>
      <c r="AG59" s="275"/>
      <c r="AH59" s="169"/>
      <c r="AI59" s="273"/>
      <c r="AJ59" s="274"/>
      <c r="AK59" s="274"/>
      <c r="AL59" s="275"/>
      <c r="AM59" s="169"/>
      <c r="AN59" s="273"/>
      <c r="AO59" s="274"/>
      <c r="AP59" s="274"/>
      <c r="AQ59" s="275"/>
      <c r="AR59" s="169"/>
      <c r="AS59" s="273"/>
      <c r="AT59" s="274"/>
      <c r="AU59" s="274"/>
      <c r="AV59" s="275"/>
      <c r="AW59" s="169"/>
      <c r="AX59" s="273"/>
      <c r="AY59" s="274"/>
      <c r="AZ59" s="274"/>
      <c r="BA59" s="275"/>
      <c r="BB59" s="169"/>
      <c r="BC59" s="273"/>
      <c r="BD59" s="274"/>
      <c r="BE59" s="274"/>
      <c r="BF59" s="275"/>
      <c r="BG59" s="169"/>
      <c r="BH59" s="273"/>
      <c r="BI59" s="274"/>
      <c r="BJ59" s="274"/>
      <c r="BK59" s="275"/>
      <c r="BL59" s="169"/>
      <c r="BM59" s="273"/>
      <c r="BN59" s="274"/>
      <c r="BO59" s="274"/>
      <c r="BP59" s="275"/>
      <c r="BQ59" s="169"/>
    </row>
    <row r="60" spans="1:104" x14ac:dyDescent="0.2">
      <c r="C60" s="277" t="s">
        <v>427</v>
      </c>
      <c r="D60" s="278"/>
      <c r="E60" s="279"/>
      <c r="F60" s="280"/>
      <c r="G60" s="280"/>
      <c r="H60" s="281"/>
      <c r="I60" s="282"/>
      <c r="J60" s="283">
        <f t="shared" ref="J60:P60" si="115">+J100</f>
        <v>-2.220945736446378E-2</v>
      </c>
      <c r="K60" s="284">
        <f t="shared" si="115"/>
        <v>4.0973980259524811E-2</v>
      </c>
      <c r="L60" s="284">
        <f t="shared" si="115"/>
        <v>9.9737013649684902E-2</v>
      </c>
      <c r="M60" s="285">
        <f t="shared" si="115"/>
        <v>4.6515637815349731E-3</v>
      </c>
      <c r="N60" s="286">
        <f t="shared" si="115"/>
        <v>3.1446454430580362E-2</v>
      </c>
      <c r="O60" s="283">
        <f t="shared" si="115"/>
        <v>2.0942384149017945E-2</v>
      </c>
      <c r="P60" s="284">
        <f t="shared" si="115"/>
        <v>4.1727450047490677E-5</v>
      </c>
      <c r="Q60" s="284">
        <f t="shared" ref="Q60:Y60" si="116">+Q100</f>
        <v>2.7977233192943984E-4</v>
      </c>
      <c r="R60" s="285">
        <f t="shared" si="116"/>
        <v>-1.7955973798167602E-2</v>
      </c>
      <c r="S60" s="286">
        <f t="shared" si="116"/>
        <v>7.9540610458161964E-4</v>
      </c>
      <c r="T60" s="283">
        <f t="shared" si="116"/>
        <v>-4.7168872727602396E-2</v>
      </c>
      <c r="U60" s="284">
        <f t="shared" si="116"/>
        <v>7.7594408565337947E-3</v>
      </c>
      <c r="V60" s="284">
        <f t="shared" si="116"/>
        <v>-1.840715060493836E-2</v>
      </c>
      <c r="W60" s="285">
        <f t="shared" si="116"/>
        <v>7.1780829576202354E-3</v>
      </c>
      <c r="X60" s="286">
        <f t="shared" si="116"/>
        <v>-1.3260161016240946E-2</v>
      </c>
      <c r="Y60" s="283">
        <f t="shared" si="116"/>
        <v>1.3103977942760858E-2</v>
      </c>
      <c r="Z60" s="284">
        <f t="shared" ref="Z60:AF60" si="117">+Z100</f>
        <v>-1.9435735202178894E-2</v>
      </c>
      <c r="AA60" s="284">
        <f t="shared" si="117"/>
        <v>-7.8977722219203406E-3</v>
      </c>
      <c r="AB60" s="285">
        <f t="shared" si="117"/>
        <v>6.4300455012555879E-4</v>
      </c>
      <c r="AC60" s="286">
        <f t="shared" si="117"/>
        <v>-3.6136755032325496E-3</v>
      </c>
      <c r="AD60" s="283">
        <f t="shared" si="117"/>
        <v>3.6812693724685097E-2</v>
      </c>
      <c r="AE60" s="284">
        <f t="shared" si="117"/>
        <v>-2.3893174311010457E-3</v>
      </c>
      <c r="AF60" s="284">
        <f t="shared" si="117"/>
        <v>-4.4488825800000686E-2</v>
      </c>
      <c r="AG60" s="285">
        <f t="shared" ref="AG60:AM60" si="118">+AG100</f>
        <v>-4.4468627405509498E-3</v>
      </c>
      <c r="AH60" s="286">
        <f t="shared" si="118"/>
        <v>-5.1851641968662099E-3</v>
      </c>
      <c r="AI60" s="283">
        <f t="shared" si="118"/>
        <v>-3.1161544290564169E-2</v>
      </c>
      <c r="AJ60" s="284">
        <f t="shared" si="118"/>
        <v>-1.951492204396299E-2</v>
      </c>
      <c r="AK60" s="284">
        <f t="shared" si="118"/>
        <v>1.4486116953652539E-2</v>
      </c>
      <c r="AL60" s="285">
        <f t="shared" si="118"/>
        <v>-2.2113674995665522E-2</v>
      </c>
      <c r="AM60" s="286">
        <f t="shared" si="118"/>
        <v>-1.3956137852463635E-2</v>
      </c>
      <c r="AN60" s="283">
        <f t="shared" ref="AN60:AS60" si="119">+AN100</f>
        <v>-2.1641364068534008E-2</v>
      </c>
      <c r="AO60" s="284">
        <f t="shared" si="119"/>
        <v>7.7693801898219839E-3</v>
      </c>
      <c r="AP60" s="284">
        <f t="shared" si="119"/>
        <v>2.0019250849537817E-2</v>
      </c>
      <c r="AQ60" s="285">
        <f t="shared" si="119"/>
        <v>-8.0734400055930688E-3</v>
      </c>
      <c r="AR60" s="286">
        <f t="shared" si="119"/>
        <v>5.7770075100993523E-5</v>
      </c>
      <c r="AS60" s="283">
        <f t="shared" si="119"/>
        <v>-1.0738250704667718E-2</v>
      </c>
      <c r="AT60" s="284">
        <f>+AT100</f>
        <v>-1.0877145885207495E-2</v>
      </c>
      <c r="AU60" s="284">
        <f>+AU100</f>
        <v>-3.8892653894831652E-2</v>
      </c>
      <c r="AV60" s="285">
        <f t="shared" ref="AV60:AW60" si="120">+AV100</f>
        <v>-6.8329091828855937E-4</v>
      </c>
      <c r="AW60" s="286">
        <f t="shared" si="120"/>
        <v>-1.6290220091271457E-2</v>
      </c>
      <c r="AX60" s="283">
        <f>+BB60-AS113</f>
        <v>1.6500000000000001E-2</v>
      </c>
      <c r="AY60" s="284">
        <f>+BB60-AT113</f>
        <v>-5.2999999999999992E-3</v>
      </c>
      <c r="AZ60" s="284">
        <f>+BB60-AU113</f>
        <v>7.4999999999999997E-3</v>
      </c>
      <c r="BA60" s="285">
        <f>+BB60-AV113</f>
        <v>4.5000000000000005E-3</v>
      </c>
      <c r="BB60" s="287">
        <v>2.5000000000000001E-3</v>
      </c>
      <c r="BC60" s="283">
        <f t="shared" ref="BC60:BF61" si="121">+BD60</f>
        <v>2.5000000000000001E-3</v>
      </c>
      <c r="BD60" s="284">
        <f t="shared" si="121"/>
        <v>2.5000000000000001E-3</v>
      </c>
      <c r="BE60" s="284">
        <f t="shared" si="121"/>
        <v>2.5000000000000001E-3</v>
      </c>
      <c r="BF60" s="285">
        <f t="shared" si="121"/>
        <v>2.5000000000000001E-3</v>
      </c>
      <c r="BG60" s="287">
        <v>2.5000000000000001E-3</v>
      </c>
      <c r="BH60" s="283">
        <f t="shared" ref="BH60:BK61" si="122">+BI60</f>
        <v>2.5000000000000001E-3</v>
      </c>
      <c r="BI60" s="284">
        <f t="shared" si="122"/>
        <v>2.5000000000000001E-3</v>
      </c>
      <c r="BJ60" s="284">
        <f t="shared" si="122"/>
        <v>2.5000000000000001E-3</v>
      </c>
      <c r="BK60" s="285">
        <f t="shared" si="122"/>
        <v>2.5000000000000001E-3</v>
      </c>
      <c r="BL60" s="287">
        <v>2.5000000000000001E-3</v>
      </c>
      <c r="BM60" s="283">
        <f t="shared" ref="BM60:BM61" si="123">+BN60</f>
        <v>2.5000000000000001E-3</v>
      </c>
      <c r="BN60" s="284">
        <f t="shared" ref="BN60:BN61" si="124">+BO60</f>
        <v>2.5000000000000001E-3</v>
      </c>
      <c r="BO60" s="284">
        <f t="shared" ref="BO60:BO61" si="125">+BP60</f>
        <v>2.5000000000000001E-3</v>
      </c>
      <c r="BP60" s="285">
        <f t="shared" ref="BP60:BP61" si="126">+BQ60</f>
        <v>2.5000000000000001E-3</v>
      </c>
      <c r="BQ60" s="287">
        <v>2.5000000000000001E-3</v>
      </c>
      <c r="BR60" s="288"/>
    </row>
    <row r="61" spans="1:104" x14ac:dyDescent="0.2">
      <c r="C61" s="271" t="s">
        <v>428</v>
      </c>
      <c r="E61" s="273"/>
      <c r="F61" s="274"/>
      <c r="G61" s="274"/>
      <c r="H61" s="275"/>
      <c r="I61" s="169"/>
      <c r="J61" s="207">
        <f t="shared" ref="J61:P61" si="127">+J131</f>
        <v>-9.6092420810993451E-2</v>
      </c>
      <c r="K61" s="208">
        <f t="shared" si="127"/>
        <v>4.2153844728898271E-4</v>
      </c>
      <c r="L61" s="208">
        <f t="shared" si="127"/>
        <v>0.29499930367739347</v>
      </c>
      <c r="M61" s="209">
        <f t="shared" si="127"/>
        <v>0.10972377705523684</v>
      </c>
      <c r="N61" s="88">
        <f t="shared" si="127"/>
        <v>5.1362287564067355E-3</v>
      </c>
      <c r="O61" s="207">
        <f t="shared" si="127"/>
        <v>-3.7606241471374702E-2</v>
      </c>
      <c r="P61" s="208">
        <f t="shared" si="127"/>
        <v>0.31254951887410654</v>
      </c>
      <c r="Q61" s="628">
        <f t="shared" ref="Q61:Y61" si="128">+Q131</f>
        <v>-4.8544290218344166E-2</v>
      </c>
      <c r="R61" s="209">
        <f t="shared" si="128"/>
        <v>-0.20193237430531319</v>
      </c>
      <c r="S61" s="733">
        <f t="shared" si="128"/>
        <v>-5.1454090669987407E-2</v>
      </c>
      <c r="T61" s="207">
        <f t="shared" si="128"/>
        <v>-0.14700000000000024</v>
      </c>
      <c r="U61" s="628">
        <f t="shared" si="128"/>
        <v>-0.2589999999999999</v>
      </c>
      <c r="V61" s="628">
        <f t="shared" si="128"/>
        <v>-1.3000000000000123E-2</v>
      </c>
      <c r="W61" s="209">
        <f t="shared" si="128"/>
        <v>1.3666509667403348E-2</v>
      </c>
      <c r="X61" s="733">
        <f t="shared" si="128"/>
        <v>-0.10801512030602778</v>
      </c>
      <c r="Y61" s="207">
        <f t="shared" si="128"/>
        <v>0.2170000000000003</v>
      </c>
      <c r="Z61" s="628">
        <f t="shared" ref="Z61:AF61" si="129">+Z131</f>
        <v>0.65999999999999992</v>
      </c>
      <c r="AA61" s="628">
        <f t="shared" si="129"/>
        <v>4.9000000000000155E-2</v>
      </c>
      <c r="AB61" s="209">
        <f t="shared" si="129"/>
        <v>8.7942754015079005E-2</v>
      </c>
      <c r="AC61" s="733">
        <f t="shared" si="129"/>
        <v>0.21781663156292019</v>
      </c>
      <c r="AD61" s="207">
        <f>+AD131</f>
        <v>0.17199999999999993</v>
      </c>
      <c r="AE61" s="628">
        <f t="shared" si="129"/>
        <v>3.0000000000001137E-3</v>
      </c>
      <c r="AF61" s="628">
        <f t="shared" si="129"/>
        <v>6.6000000000000059E-2</v>
      </c>
      <c r="AG61" s="209">
        <f t="shared" ref="AG61:AM61" si="130">+AG131</f>
        <v>-0.10895370416239003</v>
      </c>
      <c r="AH61" s="733">
        <f t="shared" si="130"/>
        <v>5.3583521738677531E-2</v>
      </c>
      <c r="AI61" s="207">
        <f t="shared" si="130"/>
        <v>-0.11099999999999999</v>
      </c>
      <c r="AJ61" s="628">
        <f t="shared" si="130"/>
        <v>-0.31600000000000006</v>
      </c>
      <c r="AK61" s="628">
        <f t="shared" si="130"/>
        <v>-1.4000000000000234E-2</v>
      </c>
      <c r="AL61" s="209">
        <f t="shared" si="130"/>
        <v>-0.11985896805477347</v>
      </c>
      <c r="AM61" s="733">
        <f t="shared" si="130"/>
        <v>-0.13938333135556347</v>
      </c>
      <c r="AN61" s="207">
        <f t="shared" ref="AN61:AS61" si="131">+AN131</f>
        <v>-0.126</v>
      </c>
      <c r="AO61" s="628">
        <f t="shared" si="131"/>
        <v>4.2000000000000037E-2</v>
      </c>
      <c r="AP61" s="628">
        <f t="shared" si="131"/>
        <v>-4.9999999999999933E-2</v>
      </c>
      <c r="AQ61" s="209">
        <f t="shared" si="131"/>
        <v>0.15294601641401706</v>
      </c>
      <c r="AR61" s="733">
        <f t="shared" si="131"/>
        <v>-2.7852784703949252E-2</v>
      </c>
      <c r="AS61" s="207">
        <f t="shared" si="131"/>
        <v>4.0999999999999925E-2</v>
      </c>
      <c r="AT61" s="628">
        <f>+AT131</f>
        <v>3.6000000000000032E-2</v>
      </c>
      <c r="AU61" s="628">
        <f>+AU131</f>
        <v>8.4999999999999964E-2</v>
      </c>
      <c r="AV61" s="209">
        <f t="shared" ref="AV61:AW61" si="132">+AV131</f>
        <v>0.21212555911924724</v>
      </c>
      <c r="AW61" s="733">
        <f t="shared" si="132"/>
        <v>9.3564210153064264E-2</v>
      </c>
      <c r="AX61" s="207">
        <f>+BB61-AS144</f>
        <v>4.8499999999999995E-2</v>
      </c>
      <c r="AY61" s="628">
        <f>+BB61-AT144</f>
        <v>2.5000000000000001E-3</v>
      </c>
      <c r="AZ61" s="628">
        <f>+BB61-AU144</f>
        <v>-2.5000000000000001E-3</v>
      </c>
      <c r="BA61" s="209">
        <f>+BB61-AV144</f>
        <v>7.4999999999999997E-3</v>
      </c>
      <c r="BB61" s="797">
        <v>-2.5000000000000001E-3</v>
      </c>
      <c r="BC61" s="207">
        <f t="shared" si="121"/>
        <v>-2.5000000000000001E-3</v>
      </c>
      <c r="BD61" s="628">
        <f t="shared" si="121"/>
        <v>-2.5000000000000001E-3</v>
      </c>
      <c r="BE61" s="628">
        <f t="shared" si="121"/>
        <v>-2.5000000000000001E-3</v>
      </c>
      <c r="BF61" s="209">
        <f t="shared" si="121"/>
        <v>-2.5000000000000001E-3</v>
      </c>
      <c r="BG61" s="797">
        <v>-2.5000000000000001E-3</v>
      </c>
      <c r="BH61" s="207">
        <f t="shared" si="122"/>
        <v>-2.5000000000000001E-3</v>
      </c>
      <c r="BI61" s="628">
        <f t="shared" si="122"/>
        <v>-2.5000000000000001E-3</v>
      </c>
      <c r="BJ61" s="628">
        <f t="shared" si="122"/>
        <v>-2.5000000000000001E-3</v>
      </c>
      <c r="BK61" s="209">
        <f t="shared" si="122"/>
        <v>-2.5000000000000001E-3</v>
      </c>
      <c r="BL61" s="797">
        <v>-2.5000000000000001E-3</v>
      </c>
      <c r="BM61" s="207">
        <f t="shared" si="123"/>
        <v>-2.5000000000000001E-3</v>
      </c>
      <c r="BN61" s="628">
        <f t="shared" si="124"/>
        <v>-2.5000000000000001E-3</v>
      </c>
      <c r="BO61" s="628">
        <f t="shared" si="125"/>
        <v>-2.5000000000000001E-3</v>
      </c>
      <c r="BP61" s="209">
        <f t="shared" si="126"/>
        <v>-2.5000000000000001E-3</v>
      </c>
      <c r="BQ61" s="797">
        <v>-2.5000000000000001E-3</v>
      </c>
      <c r="BR61" s="288"/>
    </row>
    <row r="62" spans="1:104" x14ac:dyDescent="0.2">
      <c r="C62" s="271"/>
      <c r="E62" s="273"/>
      <c r="F62" s="274"/>
      <c r="G62" s="274"/>
      <c r="H62" s="275"/>
      <c r="I62" s="169"/>
      <c r="J62" s="207"/>
      <c r="K62" s="208"/>
      <c r="L62" s="208"/>
      <c r="M62" s="209"/>
      <c r="N62" s="88"/>
      <c r="O62" s="207"/>
      <c r="P62" s="208"/>
      <c r="Q62" s="628"/>
      <c r="R62" s="209"/>
      <c r="S62" s="734"/>
      <c r="T62" s="207"/>
      <c r="U62" s="628"/>
      <c r="V62" s="628"/>
      <c r="W62" s="209"/>
      <c r="X62" s="734"/>
      <c r="Y62" s="207"/>
      <c r="Z62" s="628"/>
      <c r="AA62" s="628"/>
      <c r="AB62" s="209"/>
      <c r="AC62" s="734"/>
      <c r="AD62" s="207"/>
      <c r="AE62" s="628"/>
      <c r="AF62" s="628"/>
      <c r="AG62" s="209"/>
      <c r="AH62" s="734"/>
      <c r="AI62" s="207"/>
      <c r="AJ62" s="628"/>
      <c r="AK62" s="628"/>
      <c r="AL62" s="209"/>
      <c r="AM62" s="734"/>
      <c r="AN62" s="207"/>
      <c r="AO62" s="628"/>
      <c r="AP62" s="628"/>
      <c r="AQ62" s="209"/>
      <c r="AR62" s="734"/>
      <c r="AS62" s="207"/>
      <c r="AT62" s="628"/>
      <c r="AU62" s="628"/>
      <c r="AV62" s="209"/>
      <c r="AW62" s="734"/>
      <c r="AX62" s="207"/>
      <c r="AY62" s="208"/>
      <c r="AZ62" s="208"/>
      <c r="BA62" s="209"/>
      <c r="BB62" s="36"/>
      <c r="BC62" s="207"/>
      <c r="BD62" s="208"/>
      <c r="BE62" s="208"/>
      <c r="BF62" s="209"/>
      <c r="BG62" s="36"/>
      <c r="BH62" s="207"/>
      <c r="BI62" s="208"/>
      <c r="BJ62" s="208"/>
      <c r="BK62" s="209"/>
      <c r="BL62" s="36"/>
      <c r="BM62" s="207"/>
      <c r="BN62" s="208"/>
      <c r="BO62" s="208"/>
      <c r="BP62" s="209"/>
      <c r="BQ62" s="36"/>
      <c r="BR62" s="288"/>
    </row>
    <row r="63" spans="1:104" x14ac:dyDescent="0.2">
      <c r="A63" s="289"/>
      <c r="B63" s="289"/>
      <c r="C63" s="290" t="s">
        <v>424</v>
      </c>
      <c r="D63" s="289"/>
      <c r="E63" s="291"/>
      <c r="F63" s="292"/>
      <c r="G63" s="292"/>
      <c r="H63" s="293"/>
      <c r="I63" s="289"/>
      <c r="J63" s="291"/>
      <c r="K63" s="292"/>
      <c r="L63" s="292"/>
      <c r="M63" s="293"/>
      <c r="N63" s="289"/>
      <c r="O63" s="294"/>
      <c r="P63" s="295"/>
      <c r="Q63" s="345"/>
      <c r="R63" s="296"/>
      <c r="S63" s="735"/>
      <c r="T63" s="294"/>
      <c r="U63" s="345"/>
      <c r="V63" s="345"/>
      <c r="W63" s="296"/>
      <c r="X63" s="735"/>
      <c r="Y63" s="294"/>
      <c r="Z63" s="345"/>
      <c r="AA63" s="345"/>
      <c r="AB63" s="296"/>
      <c r="AC63" s="735"/>
      <c r="AD63" s="294"/>
      <c r="AE63" s="345"/>
      <c r="AF63" s="345"/>
      <c r="AG63" s="296"/>
      <c r="AH63" s="735"/>
      <c r="AI63" s="294"/>
      <c r="AJ63" s="345"/>
      <c r="AK63" s="345"/>
      <c r="AL63" s="296"/>
      <c r="AM63" s="735"/>
      <c r="AN63" s="294"/>
      <c r="AO63" s="345"/>
      <c r="AP63" s="345"/>
      <c r="AQ63" s="296"/>
      <c r="AR63" s="735"/>
      <c r="AS63" s="294"/>
      <c r="AT63" s="345"/>
      <c r="AU63" s="345"/>
      <c r="AV63" s="296"/>
      <c r="AW63" s="735"/>
      <c r="AX63" s="294">
        <f>BB63*0.23</f>
        <v>13.8</v>
      </c>
      <c r="AY63" s="295">
        <f>BB63*0.24</f>
        <v>14.399999999999999</v>
      </c>
      <c r="AZ63" s="295">
        <f>BB63*0.3</f>
        <v>18</v>
      </c>
      <c r="BA63" s="296">
        <f>BB63*0.23</f>
        <v>13.8</v>
      </c>
      <c r="BB63" s="297">
        <v>60</v>
      </c>
      <c r="BC63" s="294">
        <f>BG63*0.23</f>
        <v>2.3000000000000003</v>
      </c>
      <c r="BD63" s="295">
        <f>BG63*0.24</f>
        <v>2.4</v>
      </c>
      <c r="BE63" s="295">
        <f>BG63*0.3</f>
        <v>3</v>
      </c>
      <c r="BF63" s="296">
        <f>BG63*0.23</f>
        <v>2.3000000000000003</v>
      </c>
      <c r="BG63" s="297">
        <v>10</v>
      </c>
      <c r="BH63" s="294">
        <f>BL63*0.23</f>
        <v>13.8</v>
      </c>
      <c r="BI63" s="295">
        <f>BL63*0.24</f>
        <v>14.399999999999999</v>
      </c>
      <c r="BJ63" s="295">
        <f>BL63*0.3</f>
        <v>18</v>
      </c>
      <c r="BK63" s="296">
        <f>BL63*0.23</f>
        <v>13.8</v>
      </c>
      <c r="BL63" s="297">
        <v>60</v>
      </c>
      <c r="BM63" s="294">
        <f>BQ63*0.23</f>
        <v>10.35</v>
      </c>
      <c r="BN63" s="295">
        <f>BQ63*0.24</f>
        <v>10.799999999999999</v>
      </c>
      <c r="BO63" s="295">
        <f>BQ63*0.3</f>
        <v>13.5</v>
      </c>
      <c r="BP63" s="296">
        <f>BQ63*0.23</f>
        <v>10.35</v>
      </c>
      <c r="BQ63" s="297">
        <v>45</v>
      </c>
      <c r="BR63" s="298"/>
      <c r="BU63" s="289"/>
      <c r="BV63" s="289"/>
      <c r="BW63" s="289"/>
      <c r="BX63" s="289"/>
      <c r="BY63" s="289"/>
      <c r="BZ63" s="289"/>
      <c r="CA63" s="289"/>
      <c r="CB63" s="289"/>
      <c r="CC63" s="289"/>
      <c r="CD63" s="289"/>
      <c r="CE63" s="289"/>
      <c r="CF63" s="289"/>
      <c r="CG63" s="289"/>
      <c r="CH63" s="289"/>
      <c r="CI63" s="289"/>
      <c r="CJ63" s="289"/>
      <c r="CK63" s="289"/>
      <c r="CL63" s="289"/>
      <c r="CM63" s="289"/>
      <c r="CN63" s="289"/>
      <c r="CO63" s="289"/>
      <c r="CP63" s="289"/>
      <c r="CQ63" s="289"/>
      <c r="CR63" s="289"/>
      <c r="CS63" s="289"/>
      <c r="CT63" s="289"/>
      <c r="CU63" s="289"/>
      <c r="CV63" s="289"/>
      <c r="CW63" s="289"/>
      <c r="CX63" s="289"/>
      <c r="CY63" s="289"/>
      <c r="CZ63" s="289"/>
    </row>
    <row r="64" spans="1:104" x14ac:dyDescent="0.2">
      <c r="A64" s="289"/>
      <c r="B64" s="289"/>
      <c r="C64" s="290" t="s">
        <v>425</v>
      </c>
      <c r="D64" s="289"/>
      <c r="E64" s="291"/>
      <c r="F64" s="292"/>
      <c r="G64" s="292"/>
      <c r="H64" s="293"/>
      <c r="I64" s="289"/>
      <c r="J64" s="291"/>
      <c r="K64" s="292"/>
      <c r="L64" s="292"/>
      <c r="M64" s="293"/>
      <c r="N64" s="289"/>
      <c r="O64" s="294"/>
      <c r="P64" s="295"/>
      <c r="Q64" s="345"/>
      <c r="R64" s="296"/>
      <c r="S64" s="735"/>
      <c r="T64" s="294"/>
      <c r="U64" s="345"/>
      <c r="V64" s="345"/>
      <c r="W64" s="296"/>
      <c r="X64" s="735"/>
      <c r="Y64" s="294"/>
      <c r="Z64" s="345"/>
      <c r="AA64" s="345"/>
      <c r="AB64" s="296"/>
      <c r="AC64" s="735"/>
      <c r="AD64" s="294"/>
      <c r="AE64" s="345"/>
      <c r="AF64" s="345"/>
      <c r="AG64" s="296"/>
      <c r="AH64" s="735"/>
      <c r="AI64" s="294"/>
      <c r="AJ64" s="345"/>
      <c r="AK64" s="345"/>
      <c r="AL64" s="296"/>
      <c r="AM64" s="735"/>
      <c r="AN64" s="294"/>
      <c r="AO64" s="345"/>
      <c r="AP64" s="345"/>
      <c r="AQ64" s="296"/>
      <c r="AR64" s="735"/>
      <c r="AS64" s="294"/>
      <c r="AT64" s="345"/>
      <c r="AU64" s="345"/>
      <c r="AV64" s="296"/>
      <c r="AW64" s="735"/>
      <c r="AX64" s="294">
        <f>BB64*0.23</f>
        <v>0</v>
      </c>
      <c r="AY64" s="295">
        <f>BB64*0.24</f>
        <v>0</v>
      </c>
      <c r="AZ64" s="295">
        <f>BB64*0.3</f>
        <v>0</v>
      </c>
      <c r="BA64" s="296">
        <f>BB64*0.23</f>
        <v>0</v>
      </c>
      <c r="BB64" s="297">
        <v>0</v>
      </c>
      <c r="BC64" s="294">
        <f>BG64*0.23</f>
        <v>0</v>
      </c>
      <c r="BD64" s="295">
        <f>BG64*0.24</f>
        <v>0</v>
      </c>
      <c r="BE64" s="295">
        <f>BG64*0.3</f>
        <v>0</v>
      </c>
      <c r="BF64" s="296">
        <f>BG64*0.23</f>
        <v>0</v>
      </c>
      <c r="BG64" s="297">
        <v>0</v>
      </c>
      <c r="BH64" s="294">
        <f>BL64*0.23</f>
        <v>0</v>
      </c>
      <c r="BI64" s="295">
        <f>BL64*0.24</f>
        <v>0</v>
      </c>
      <c r="BJ64" s="295">
        <f>BL64*0.3</f>
        <v>0</v>
      </c>
      <c r="BK64" s="296">
        <f>BL64*0.23</f>
        <v>0</v>
      </c>
      <c r="BL64" s="297">
        <v>0</v>
      </c>
      <c r="BM64" s="294">
        <f>BQ64*0.23</f>
        <v>0</v>
      </c>
      <c r="BN64" s="295">
        <f>BQ64*0.24</f>
        <v>0</v>
      </c>
      <c r="BO64" s="295">
        <f>BQ64*0.3</f>
        <v>0</v>
      </c>
      <c r="BP64" s="296">
        <f>BQ64*0.23</f>
        <v>0</v>
      </c>
      <c r="BQ64" s="297">
        <v>0</v>
      </c>
      <c r="BR64" s="298"/>
      <c r="BU64" s="289"/>
      <c r="BV64" s="289"/>
      <c r="BW64" s="289"/>
      <c r="BX64" s="289"/>
      <c r="BY64" s="289"/>
      <c r="BZ64" s="289"/>
      <c r="CA64" s="289"/>
      <c r="CB64" s="289"/>
      <c r="CC64" s="289"/>
      <c r="CD64" s="289"/>
      <c r="CE64" s="289"/>
      <c r="CF64" s="289"/>
      <c r="CG64" s="289"/>
      <c r="CH64" s="289"/>
      <c r="CI64" s="289"/>
      <c r="CJ64" s="289"/>
      <c r="CK64" s="289"/>
      <c r="CL64" s="289"/>
      <c r="CM64" s="289"/>
      <c r="CN64" s="289"/>
      <c r="CO64" s="289"/>
      <c r="CP64" s="289"/>
      <c r="CQ64" s="289"/>
      <c r="CR64" s="289"/>
      <c r="CS64" s="289"/>
      <c r="CT64" s="289"/>
      <c r="CU64" s="289"/>
      <c r="CV64" s="289"/>
      <c r="CW64" s="289"/>
      <c r="CX64" s="289"/>
      <c r="CY64" s="289"/>
      <c r="CZ64" s="289"/>
    </row>
    <row r="65" spans="1:104" x14ac:dyDescent="0.2">
      <c r="A65" s="289"/>
      <c r="B65" s="289"/>
      <c r="C65" s="1000" t="s">
        <v>675</v>
      </c>
      <c r="D65" s="289"/>
      <c r="E65" s="291"/>
      <c r="F65" s="292"/>
      <c r="G65" s="292"/>
      <c r="H65" s="293"/>
      <c r="I65" s="289"/>
      <c r="J65" s="291"/>
      <c r="K65" s="292"/>
      <c r="L65" s="292"/>
      <c r="M65" s="293"/>
      <c r="N65" s="289"/>
      <c r="O65" s="294"/>
      <c r="P65" s="295"/>
      <c r="Q65" s="345"/>
      <c r="R65" s="296"/>
      <c r="S65" s="735"/>
      <c r="T65" s="294"/>
      <c r="U65" s="345"/>
      <c r="V65" s="345"/>
      <c r="W65" s="296"/>
      <c r="X65" s="735"/>
      <c r="Y65" s="294"/>
      <c r="Z65" s="345"/>
      <c r="AA65" s="345"/>
      <c r="AB65" s="296"/>
      <c r="AC65" s="735"/>
      <c r="AD65" s="294"/>
      <c r="AE65" s="345"/>
      <c r="AF65" s="345"/>
      <c r="AG65" s="296"/>
      <c r="AH65" s="735"/>
      <c r="AI65" s="294"/>
      <c r="AJ65" s="345"/>
      <c r="AK65" s="345"/>
      <c r="AL65" s="296"/>
      <c r="AM65" s="735"/>
      <c r="AN65" s="294"/>
      <c r="AO65" s="345"/>
      <c r="AP65" s="345"/>
      <c r="AQ65" s="296"/>
      <c r="AR65" s="735"/>
      <c r="AS65" s="294"/>
      <c r="AT65" s="345"/>
      <c r="AU65" s="345"/>
      <c r="AV65" s="296"/>
      <c r="AW65" s="735"/>
      <c r="AX65" s="294">
        <f>BB65*0.2</f>
        <v>-24</v>
      </c>
      <c r="AY65" s="295">
        <f>BB65*0.16</f>
        <v>-19.2</v>
      </c>
      <c r="AZ65" s="295">
        <f>BB65*0.44</f>
        <v>-52.8</v>
      </c>
      <c r="BA65" s="296">
        <f>BB65*0.2</f>
        <v>-24</v>
      </c>
      <c r="BB65" s="297">
        <v>-120</v>
      </c>
      <c r="BC65" s="294">
        <f>BG65*0.23</f>
        <v>0</v>
      </c>
      <c r="BD65" s="295">
        <f>BG65*0.24</f>
        <v>0</v>
      </c>
      <c r="BE65" s="295">
        <f>BG65*0.3</f>
        <v>0</v>
      </c>
      <c r="BF65" s="296">
        <f>BG65*0.23</f>
        <v>0</v>
      </c>
      <c r="BG65" s="297">
        <v>0</v>
      </c>
      <c r="BH65" s="294">
        <f>BL65*0.23</f>
        <v>0</v>
      </c>
      <c r="BI65" s="295">
        <f>BL65*0.24</f>
        <v>0</v>
      </c>
      <c r="BJ65" s="295">
        <f>BL65*0.3</f>
        <v>0</v>
      </c>
      <c r="BK65" s="296">
        <f>BL65*0.23</f>
        <v>0</v>
      </c>
      <c r="BL65" s="297">
        <v>0</v>
      </c>
      <c r="BM65" s="294">
        <f>BQ65*0.23</f>
        <v>0</v>
      </c>
      <c r="BN65" s="295">
        <f>BQ65*0.24</f>
        <v>0</v>
      </c>
      <c r="BO65" s="295">
        <f>BQ65*0.3</f>
        <v>0</v>
      </c>
      <c r="BP65" s="296">
        <f>BQ65*0.23</f>
        <v>0</v>
      </c>
      <c r="BQ65" s="297">
        <v>0</v>
      </c>
      <c r="BR65" s="298"/>
      <c r="BU65" s="289"/>
      <c r="BV65" s="289"/>
      <c r="BW65" s="289"/>
      <c r="BX65" s="289"/>
      <c r="BY65" s="289"/>
      <c r="BZ65" s="289"/>
      <c r="CA65" s="289"/>
      <c r="CB65" s="289"/>
      <c r="CC65" s="289"/>
      <c r="CD65" s="289"/>
      <c r="CE65" s="289"/>
      <c r="CF65" s="289"/>
      <c r="CG65" s="289"/>
      <c r="CH65" s="289"/>
      <c r="CI65" s="289"/>
      <c r="CJ65" s="289"/>
      <c r="CK65" s="289"/>
      <c r="CL65" s="289"/>
      <c r="CM65" s="289"/>
      <c r="CN65" s="289"/>
      <c r="CO65" s="289"/>
      <c r="CP65" s="289"/>
      <c r="CQ65" s="289"/>
      <c r="CR65" s="289"/>
      <c r="CS65" s="289"/>
      <c r="CT65" s="289"/>
      <c r="CU65" s="289"/>
      <c r="CV65" s="289"/>
      <c r="CW65" s="289"/>
      <c r="CX65" s="289"/>
      <c r="CY65" s="289"/>
      <c r="CZ65" s="289"/>
    </row>
    <row r="66" spans="1:104" x14ac:dyDescent="0.2">
      <c r="A66" s="289"/>
      <c r="B66" s="289"/>
      <c r="C66" s="290" t="s">
        <v>426</v>
      </c>
      <c r="D66" s="289"/>
      <c r="E66" s="291"/>
      <c r="F66" s="292"/>
      <c r="G66" s="292"/>
      <c r="H66" s="293"/>
      <c r="I66" s="289"/>
      <c r="J66" s="291"/>
      <c r="K66" s="292"/>
      <c r="L66" s="292"/>
      <c r="M66" s="293"/>
      <c r="N66" s="289"/>
      <c r="O66" s="294"/>
      <c r="P66" s="295"/>
      <c r="Q66" s="345"/>
      <c r="R66" s="296"/>
      <c r="S66" s="735"/>
      <c r="T66" s="294"/>
      <c r="U66" s="345"/>
      <c r="V66" s="345"/>
      <c r="W66" s="296"/>
      <c r="X66" s="735"/>
      <c r="Y66" s="294"/>
      <c r="Z66" s="345"/>
      <c r="AA66" s="345"/>
      <c r="AB66" s="296"/>
      <c r="AC66" s="735"/>
      <c r="AD66" s="294"/>
      <c r="AE66" s="345"/>
      <c r="AF66" s="345"/>
      <c r="AG66" s="296"/>
      <c r="AH66" s="735"/>
      <c r="AI66" s="294"/>
      <c r="AJ66" s="345"/>
      <c r="AK66" s="345"/>
      <c r="AL66" s="296"/>
      <c r="AM66" s="735"/>
      <c r="AN66" s="294"/>
      <c r="AO66" s="345"/>
      <c r="AP66" s="345"/>
      <c r="AQ66" s="296"/>
      <c r="AR66" s="735"/>
      <c r="AS66" s="294"/>
      <c r="AT66" s="345"/>
      <c r="AU66" s="345"/>
      <c r="AV66" s="296"/>
      <c r="AW66" s="735"/>
      <c r="AX66" s="294">
        <f>BB66*0.23</f>
        <v>11.732447918946285</v>
      </c>
      <c r="AY66" s="295">
        <f>BB66*0.24</f>
        <v>12.242554350204818</v>
      </c>
      <c r="AZ66" s="295">
        <f>BB66*0.3</f>
        <v>15.303192937756023</v>
      </c>
      <c r="BA66" s="296">
        <f>BB66*0.23</f>
        <v>11.732447918946285</v>
      </c>
      <c r="BB66" s="297">
        <f>(BB173+BB178+BB175)*(1-BB279)*(4.6%*(1-BB73))+(BB173+BB178+BB175)*BB279*(BB283/(1-BB73))+(1/40)</f>
        <v>51.010643125853413</v>
      </c>
      <c r="BC66" s="294">
        <f>BG66*0.23</f>
        <v>24.92498307776086</v>
      </c>
      <c r="BD66" s="295">
        <f>BG66*0.24</f>
        <v>26.008677994185245</v>
      </c>
      <c r="BE66" s="295">
        <f>BG66*0.3</f>
        <v>32.510847492731557</v>
      </c>
      <c r="BF66" s="296">
        <f>BG66*0.23</f>
        <v>24.92498307776086</v>
      </c>
      <c r="BG66" s="297">
        <f>(BG173+BG178+BG175)*(1-BG279)*(4.6%*(1-BG73))+(BG173+BG178+BG175)*BG279*(BG283/(1-BG73))+(1/40)</f>
        <v>108.36949164243852</v>
      </c>
      <c r="BH66" s="294">
        <f>BL66*0.23</f>
        <v>15.397041018617001</v>
      </c>
      <c r="BI66" s="295">
        <f>BL66*0.24</f>
        <v>16.066477584643824</v>
      </c>
      <c r="BJ66" s="295">
        <f>BL66*0.3</f>
        <v>20.083096980804783</v>
      </c>
      <c r="BK66" s="296">
        <f>BL66*0.23</f>
        <v>15.397041018617001</v>
      </c>
      <c r="BL66" s="297">
        <f>(BL173+BL178+BL175)*(1-BL279)*(4.6%*(1-BL73))+(BL173+BL178+BL175)*BL279*(BL283/(1-BL73))+(1/40)</f>
        <v>66.943656602682609</v>
      </c>
      <c r="BM66" s="294">
        <f>BQ66*0.23</f>
        <v>12.282136883896895</v>
      </c>
      <c r="BN66" s="295">
        <f>BQ66*0.24</f>
        <v>12.816142835370671</v>
      </c>
      <c r="BO66" s="295">
        <f>BQ66*0.3</f>
        <v>16.020178544213341</v>
      </c>
      <c r="BP66" s="296">
        <f>BQ66*0.23</f>
        <v>12.282136883896895</v>
      </c>
      <c r="BQ66" s="297">
        <f>(BQ173+BQ178+BQ175)*(1-BQ279)*(4.6%*(1-BQ73))+(BQ173+BQ178+BQ175)*BQ279*(BQ283/(1-BQ73))+(1/40)</f>
        <v>53.4005951473778</v>
      </c>
      <c r="BR66" s="298"/>
      <c r="BU66" s="289"/>
      <c r="BV66" s="289"/>
      <c r="BW66" s="289"/>
      <c r="BX66" s="289"/>
      <c r="BY66" s="289"/>
      <c r="BZ66" s="289"/>
      <c r="CA66" s="289"/>
      <c r="CB66" s="289"/>
      <c r="CC66" s="289"/>
      <c r="CD66" s="289"/>
      <c r="CE66" s="289"/>
      <c r="CF66" s="289"/>
      <c r="CG66" s="289"/>
      <c r="CH66" s="289"/>
      <c r="CI66" s="289"/>
      <c r="CJ66" s="289"/>
      <c r="CK66" s="289"/>
      <c r="CL66" s="289"/>
      <c r="CM66" s="289"/>
      <c r="CN66" s="289"/>
      <c r="CO66" s="289"/>
      <c r="CP66" s="289"/>
      <c r="CQ66" s="289"/>
      <c r="CR66" s="289"/>
      <c r="CS66" s="289"/>
      <c r="CT66" s="289"/>
      <c r="CU66" s="289"/>
      <c r="CV66" s="289"/>
      <c r="CW66" s="289"/>
      <c r="CX66" s="289"/>
      <c r="CY66" s="289"/>
      <c r="CZ66" s="289"/>
    </row>
    <row r="67" spans="1:104" x14ac:dyDescent="0.2">
      <c r="A67" s="289"/>
      <c r="B67" s="289"/>
      <c r="C67" s="290" t="s">
        <v>250</v>
      </c>
      <c r="D67" s="289"/>
      <c r="E67" s="291"/>
      <c r="F67" s="292"/>
      <c r="G67" s="292"/>
      <c r="H67" s="293"/>
      <c r="I67" s="289"/>
      <c r="J67" s="291"/>
      <c r="K67" s="292"/>
      <c r="L67" s="292"/>
      <c r="M67" s="293"/>
      <c r="N67" s="289"/>
      <c r="O67" s="294"/>
      <c r="P67" s="295"/>
      <c r="Q67" s="345"/>
      <c r="R67" s="296"/>
      <c r="S67" s="735"/>
      <c r="T67" s="294"/>
      <c r="U67" s="345"/>
      <c r="V67" s="345"/>
      <c r="W67" s="296"/>
      <c r="X67" s="735"/>
      <c r="Y67" s="294"/>
      <c r="Z67" s="345"/>
      <c r="AA67" s="345"/>
      <c r="AB67" s="296"/>
      <c r="AC67" s="735"/>
      <c r="AD67" s="294"/>
      <c r="AE67" s="345"/>
      <c r="AF67" s="345"/>
      <c r="AG67" s="296"/>
      <c r="AH67" s="735"/>
      <c r="AI67" s="294"/>
      <c r="AJ67" s="345"/>
      <c r="AK67" s="345"/>
      <c r="AL67" s="296"/>
      <c r="AM67" s="735"/>
      <c r="AN67" s="294"/>
      <c r="AO67" s="345"/>
      <c r="AP67" s="345"/>
      <c r="AQ67" s="296"/>
      <c r="AR67" s="735"/>
      <c r="AS67" s="294"/>
      <c r="AT67" s="345"/>
      <c r="AU67" s="345"/>
      <c r="AV67" s="296"/>
      <c r="AW67" s="735"/>
      <c r="AX67" s="294">
        <f>BB67*0.45</f>
        <v>0</v>
      </c>
      <c r="AY67" s="295">
        <f>BB67*0.15</f>
        <v>0</v>
      </c>
      <c r="AZ67" s="295">
        <f>BB67*0.05</f>
        <v>0</v>
      </c>
      <c r="BA67" s="296">
        <f>BB67*0.35</f>
        <v>0</v>
      </c>
      <c r="BB67" s="297">
        <v>0</v>
      </c>
      <c r="BC67" s="294">
        <f>BG67*0.45</f>
        <v>0</v>
      </c>
      <c r="BD67" s="295">
        <f>BG67*0.15</f>
        <v>0</v>
      </c>
      <c r="BE67" s="295">
        <f>BG67*0.05</f>
        <v>0</v>
      </c>
      <c r="BF67" s="296">
        <f>BG67*0.35</f>
        <v>0</v>
      </c>
      <c r="BG67" s="297">
        <v>0</v>
      </c>
      <c r="BH67" s="294">
        <f>BL67*0.45</f>
        <v>0</v>
      </c>
      <c r="BI67" s="295">
        <f>BL67*0.15</f>
        <v>0</v>
      </c>
      <c r="BJ67" s="295">
        <f>BL67*0.05</f>
        <v>0</v>
      </c>
      <c r="BK67" s="296">
        <f>BL67*0.35</f>
        <v>0</v>
      </c>
      <c r="BL67" s="297">
        <v>0</v>
      </c>
      <c r="BM67" s="294">
        <f>BQ67*0.45</f>
        <v>0</v>
      </c>
      <c r="BN67" s="295">
        <f>BQ67*0.15</f>
        <v>0</v>
      </c>
      <c r="BO67" s="295">
        <f>BQ67*0.05</f>
        <v>0</v>
      </c>
      <c r="BP67" s="296">
        <f>BQ67*0.35</f>
        <v>0</v>
      </c>
      <c r="BQ67" s="297">
        <v>0</v>
      </c>
      <c r="BR67" s="298"/>
      <c r="BU67" s="289"/>
      <c r="BV67" s="289"/>
      <c r="BW67" s="289"/>
      <c r="BX67" s="289"/>
      <c r="BY67" s="289"/>
      <c r="BZ67" s="289"/>
      <c r="CA67" s="289"/>
      <c r="CB67" s="289"/>
      <c r="CC67" s="289"/>
      <c r="CD67" s="289"/>
      <c r="CE67" s="289"/>
      <c r="CF67" s="289"/>
      <c r="CG67" s="289"/>
      <c r="CH67" s="289"/>
      <c r="CI67" s="289"/>
      <c r="CJ67" s="289"/>
      <c r="CK67" s="289"/>
      <c r="CL67" s="289"/>
      <c r="CM67" s="289"/>
      <c r="CN67" s="289"/>
      <c r="CO67" s="289"/>
      <c r="CP67" s="289"/>
      <c r="CQ67" s="289"/>
      <c r="CR67" s="289"/>
      <c r="CS67" s="289"/>
      <c r="CT67" s="289"/>
      <c r="CU67" s="289"/>
      <c r="CV67" s="289"/>
      <c r="CW67" s="289"/>
      <c r="CX67" s="289"/>
      <c r="CY67" s="289"/>
      <c r="CZ67" s="289"/>
    </row>
    <row r="68" spans="1:104" x14ac:dyDescent="0.2">
      <c r="C68" s="299"/>
      <c r="E68" s="273"/>
      <c r="F68" s="274"/>
      <c r="G68" s="274"/>
      <c r="H68" s="275"/>
      <c r="I68" s="169"/>
      <c r="J68" s="273"/>
      <c r="K68" s="274"/>
      <c r="L68" s="274"/>
      <c r="M68" s="275"/>
      <c r="N68" s="169"/>
      <c r="O68" s="273"/>
      <c r="P68" s="274"/>
      <c r="Q68" s="611"/>
      <c r="R68" s="275"/>
      <c r="S68" s="732"/>
      <c r="T68" s="273"/>
      <c r="U68" s="611"/>
      <c r="V68" s="611"/>
      <c r="W68" s="275"/>
      <c r="X68" s="732"/>
      <c r="Y68" s="273"/>
      <c r="Z68" s="611"/>
      <c r="AA68" s="611"/>
      <c r="AB68" s="275"/>
      <c r="AC68" s="732"/>
      <c r="AD68" s="273"/>
      <c r="AE68" s="611"/>
      <c r="AF68" s="611"/>
      <c r="AG68" s="275"/>
      <c r="AH68" s="732"/>
      <c r="AI68" s="273"/>
      <c r="AJ68" s="611"/>
      <c r="AK68" s="611"/>
      <c r="AL68" s="275"/>
      <c r="AM68" s="732"/>
      <c r="AN68" s="273"/>
      <c r="AO68" s="611"/>
      <c r="AP68" s="611"/>
      <c r="AQ68" s="275"/>
      <c r="AR68" s="732"/>
      <c r="AS68" s="273"/>
      <c r="AT68" s="611"/>
      <c r="AU68" s="611"/>
      <c r="AV68" s="275"/>
      <c r="AW68" s="732"/>
      <c r="AX68" s="273"/>
      <c r="AY68" s="274"/>
      <c r="AZ68" s="274"/>
      <c r="BA68" s="275"/>
      <c r="BB68" s="169"/>
      <c r="BC68" s="273"/>
      <c r="BD68" s="274"/>
      <c r="BE68" s="274"/>
      <c r="BF68" s="275"/>
      <c r="BG68" s="169"/>
      <c r="BH68" s="273"/>
      <c r="BI68" s="274"/>
      <c r="BJ68" s="274"/>
      <c r="BK68" s="275"/>
      <c r="BL68" s="169"/>
      <c r="BM68" s="273"/>
      <c r="BN68" s="274"/>
      <c r="BO68" s="274"/>
      <c r="BP68" s="275"/>
      <c r="BQ68" s="169"/>
      <c r="BR68" s="288"/>
    </row>
    <row r="69" spans="1:104" x14ac:dyDescent="0.2">
      <c r="C69" s="300" t="s">
        <v>251</v>
      </c>
      <c r="E69" s="273"/>
      <c r="F69" s="274"/>
      <c r="G69" s="274"/>
      <c r="H69" s="275"/>
      <c r="I69" s="88"/>
      <c r="J69" s="207">
        <f t="shared" ref="J69:O69" si="133">+J150</f>
        <v>2.4336064764537424E-2</v>
      </c>
      <c r="K69" s="208">
        <f t="shared" si="133"/>
        <v>7.3043634024605897E-2</v>
      </c>
      <c r="L69" s="208">
        <f t="shared" si="133"/>
        <v>0.10625900391026954</v>
      </c>
      <c r="M69" s="209">
        <f t="shared" si="133"/>
        <v>8.4173403460926499E-2</v>
      </c>
      <c r="N69" s="88">
        <f t="shared" si="133"/>
        <v>7.1648233629707514E-2</v>
      </c>
      <c r="O69" s="207">
        <f t="shared" si="133"/>
        <v>2.4906430212198627E-2</v>
      </c>
      <c r="P69" s="208">
        <f t="shared" ref="P69:U69" si="134">+P150</f>
        <v>-7.3982456672839758E-3</v>
      </c>
      <c r="Q69" s="628">
        <f t="shared" si="134"/>
        <v>3.2695773501540737E-2</v>
      </c>
      <c r="R69" s="209">
        <f t="shared" si="134"/>
        <v>5.3247438695259941E-2</v>
      </c>
      <c r="S69" s="733">
        <f t="shared" si="134"/>
        <v>2.5933941828105489E-2</v>
      </c>
      <c r="T69" s="207">
        <f t="shared" si="134"/>
        <v>2.2788718487230186E-2</v>
      </c>
      <c r="U69" s="628">
        <f t="shared" si="134"/>
        <v>3.8165167070551176E-2</v>
      </c>
      <c r="V69" s="628">
        <f t="shared" ref="V69:AA69" si="135">+V150</f>
        <v>1.4831995376260565E-2</v>
      </c>
      <c r="W69" s="209">
        <f t="shared" si="135"/>
        <v>6.3559532863732615E-2</v>
      </c>
      <c r="X69" s="733">
        <f t="shared" si="135"/>
        <v>3.5351025909558409E-2</v>
      </c>
      <c r="Y69" s="207">
        <f t="shared" si="135"/>
        <v>4.6929471708232695E-2</v>
      </c>
      <c r="Z69" s="628">
        <f t="shared" si="135"/>
        <v>5.4530192076167827E-2</v>
      </c>
      <c r="AA69" s="628">
        <f t="shared" si="135"/>
        <v>9.0339234401985102E-2</v>
      </c>
      <c r="AB69" s="209">
        <f t="shared" ref="AB69:AI69" si="136">+AB150</f>
        <v>6.036263023879096E-2</v>
      </c>
      <c r="AC69" s="733">
        <f t="shared" si="136"/>
        <v>6.3097953192500889E-2</v>
      </c>
      <c r="AD69" s="207">
        <f t="shared" si="136"/>
        <v>8.892344847775191E-2</v>
      </c>
      <c r="AE69" s="628">
        <f t="shared" si="136"/>
        <v>7.71518947566876E-2</v>
      </c>
      <c r="AF69" s="628">
        <f t="shared" si="136"/>
        <v>6.3629672592093733E-3</v>
      </c>
      <c r="AG69" s="209">
        <f t="shared" si="136"/>
        <v>1.1656928923932108E-2</v>
      </c>
      <c r="AH69" s="733">
        <f t="shared" si="136"/>
        <v>4.435190360582153E-2</v>
      </c>
      <c r="AI69" s="207">
        <f t="shared" si="136"/>
        <v>5.53429150382585E-2</v>
      </c>
      <c r="AJ69" s="628">
        <f t="shared" ref="AJ69:AO69" si="137">+AJ150</f>
        <v>9.6979126150655848E-3</v>
      </c>
      <c r="AK69" s="628">
        <f t="shared" si="137"/>
        <v>-1.968945795009891E-2</v>
      </c>
      <c r="AL69" s="209">
        <f t="shared" si="137"/>
        <v>-7.7692736612246294E-2</v>
      </c>
      <c r="AM69" s="733">
        <f t="shared" si="137"/>
        <v>-9.2512924599759128E-3</v>
      </c>
      <c r="AN69" s="207">
        <f t="shared" si="137"/>
        <v>2.0525394045534107E-2</v>
      </c>
      <c r="AO69" s="628">
        <f t="shared" si="137"/>
        <v>2.2560928631962796E-2</v>
      </c>
      <c r="AP69" s="628">
        <f t="shared" ref="AP69:AU69" si="138">+AP150</f>
        <v>8.4001168927165581E-2</v>
      </c>
      <c r="AQ69" s="209">
        <f t="shared" si="138"/>
        <v>-1.5624155633612857E-2</v>
      </c>
      <c r="AR69" s="733">
        <f t="shared" si="138"/>
        <v>2.7448088959486361E-2</v>
      </c>
      <c r="AS69" s="207">
        <f t="shared" si="138"/>
        <v>-2.6434027257750459E-2</v>
      </c>
      <c r="AT69" s="628">
        <f t="shared" si="138"/>
        <v>-3.1245683430652482E-2</v>
      </c>
      <c r="AU69" s="628">
        <f t="shared" si="138"/>
        <v>-8.4136277426434702E-2</v>
      </c>
      <c r="AV69" s="209">
        <f t="shared" ref="AV69:AW69" si="139">+AV150</f>
        <v>4.2051232784590331E-2</v>
      </c>
      <c r="AW69" s="733">
        <f t="shared" si="139"/>
        <v>-2.6246038651841386E-2</v>
      </c>
      <c r="AX69" s="207">
        <f t="shared" ref="AX69:BA71" si="140">+AY69</f>
        <v>0</v>
      </c>
      <c r="AY69" s="208">
        <f t="shared" si="140"/>
        <v>0</v>
      </c>
      <c r="AZ69" s="208">
        <f t="shared" si="140"/>
        <v>0</v>
      </c>
      <c r="BA69" s="209">
        <f t="shared" si="140"/>
        <v>0</v>
      </c>
      <c r="BB69" s="797">
        <v>0</v>
      </c>
      <c r="BC69" s="207">
        <f t="shared" ref="BC69:BF71" si="141">+BD69</f>
        <v>0.01</v>
      </c>
      <c r="BD69" s="208">
        <f t="shared" si="141"/>
        <v>0.01</v>
      </c>
      <c r="BE69" s="208">
        <f t="shared" si="141"/>
        <v>0.01</v>
      </c>
      <c r="BF69" s="209">
        <f t="shared" si="141"/>
        <v>0.01</v>
      </c>
      <c r="BG69" s="797">
        <v>0.01</v>
      </c>
      <c r="BH69" s="207">
        <f t="shared" ref="BH69:BK71" si="142">+BI69</f>
        <v>0.01</v>
      </c>
      <c r="BI69" s="208">
        <f t="shared" si="142"/>
        <v>0.01</v>
      </c>
      <c r="BJ69" s="208">
        <f t="shared" si="142"/>
        <v>0.01</v>
      </c>
      <c r="BK69" s="209">
        <f t="shared" si="142"/>
        <v>0.01</v>
      </c>
      <c r="BL69" s="36">
        <v>0.01</v>
      </c>
      <c r="BM69" s="207">
        <f t="shared" ref="BM69:BM71" si="143">+BN69</f>
        <v>0.01</v>
      </c>
      <c r="BN69" s="208">
        <f t="shared" ref="BN69:BN71" si="144">+BO69</f>
        <v>0.01</v>
      </c>
      <c r="BO69" s="208">
        <f t="shared" ref="BO69:BO71" si="145">+BP69</f>
        <v>0.01</v>
      </c>
      <c r="BP69" s="209">
        <f t="shared" ref="BP69:BP71" si="146">+BQ69</f>
        <v>0.01</v>
      </c>
      <c r="BQ69" s="36">
        <v>0.01</v>
      </c>
      <c r="BR69" s="288"/>
    </row>
    <row r="70" spans="1:104" x14ac:dyDescent="0.2">
      <c r="C70" s="300" t="s">
        <v>252</v>
      </c>
      <c r="E70" s="273"/>
      <c r="F70" s="274"/>
      <c r="G70" s="274"/>
      <c r="H70" s="275"/>
      <c r="I70" s="88"/>
      <c r="J70" s="207">
        <f t="shared" ref="J70:O70" si="147">+J153</f>
        <v>9.2281788061484793E-2</v>
      </c>
      <c r="K70" s="208">
        <f t="shared" si="147"/>
        <v>0.11294150890081944</v>
      </c>
      <c r="L70" s="208">
        <f t="shared" si="147"/>
        <v>1.5604681404421283E-2</v>
      </c>
      <c r="M70" s="209">
        <f t="shared" si="147"/>
        <v>0.20710455764075042</v>
      </c>
      <c r="N70" s="88">
        <f t="shared" si="147"/>
        <v>0.10671703138056832</v>
      </c>
      <c r="O70" s="207">
        <f t="shared" si="147"/>
        <v>0.13508204873197416</v>
      </c>
      <c r="P70" s="208">
        <f t="shared" ref="P70:U70" si="148">+P153</f>
        <v>2.4043466118262469E-2</v>
      </c>
      <c r="Q70" s="628">
        <f t="shared" si="148"/>
        <v>6.0388303849068459E-2</v>
      </c>
      <c r="R70" s="209">
        <f t="shared" si="148"/>
        <v>2.518600777345914E-2</v>
      </c>
      <c r="S70" s="733">
        <f t="shared" si="148"/>
        <v>6.031270526270549E-2</v>
      </c>
      <c r="T70" s="207">
        <f t="shared" si="148"/>
        <v>0.17775392635752318</v>
      </c>
      <c r="U70" s="628">
        <f t="shared" si="148"/>
        <v>0.19933554817275745</v>
      </c>
      <c r="V70" s="628">
        <f t="shared" ref="V70:AA70" si="149">+V153</f>
        <v>0.21412025628388376</v>
      </c>
      <c r="W70" s="209">
        <f t="shared" si="149"/>
        <v>0.14768517515544088</v>
      </c>
      <c r="X70" s="733">
        <f t="shared" si="149"/>
        <v>0.18330187696119871</v>
      </c>
      <c r="Y70" s="207">
        <f t="shared" si="149"/>
        <v>0.10576923076923062</v>
      </c>
      <c r="Z70" s="628">
        <f t="shared" si="149"/>
        <v>-3.5018811758382618E-2</v>
      </c>
      <c r="AA70" s="628">
        <f t="shared" si="149"/>
        <v>6.5355497371572424E-2</v>
      </c>
      <c r="AB70" s="209">
        <f t="shared" ref="AB70:AI70" si="150">+AB153</f>
        <v>-9.1720779220778814E-2</v>
      </c>
      <c r="AC70" s="733">
        <f t="shared" si="150"/>
        <v>1.1517366564409715E-2</v>
      </c>
      <c r="AD70" s="207">
        <f t="shared" si="150"/>
        <v>4.5496594062736539E-2</v>
      </c>
      <c r="AE70" s="628">
        <f t="shared" si="150"/>
        <v>0.17855612682090838</v>
      </c>
      <c r="AF70" s="628">
        <f t="shared" si="150"/>
        <v>0.1023071500695385</v>
      </c>
      <c r="AG70" s="209">
        <f t="shared" si="150"/>
        <v>-2.7287653012449176E-2</v>
      </c>
      <c r="AH70" s="733">
        <f t="shared" si="150"/>
        <v>7.3023735011439328E-2</v>
      </c>
      <c r="AI70" s="207">
        <f t="shared" si="150"/>
        <v>2.6898326898326941E-2</v>
      </c>
      <c r="AJ70" s="628">
        <f t="shared" ref="AJ70:AO70" si="151">+AJ153</f>
        <v>6.3110060892483943E-2</v>
      </c>
      <c r="AK70" s="628">
        <f t="shared" si="151"/>
        <v>-5.314644221296605E-2</v>
      </c>
      <c r="AL70" s="209">
        <f t="shared" si="151"/>
        <v>0.12167763439022283</v>
      </c>
      <c r="AM70" s="733">
        <f t="shared" si="151"/>
        <v>3.4998512427988127E-2</v>
      </c>
      <c r="AN70" s="207">
        <f t="shared" si="151"/>
        <v>0.10214312570497563</v>
      </c>
      <c r="AO70" s="628">
        <f t="shared" si="151"/>
        <v>0.12819942893292513</v>
      </c>
      <c r="AP70" s="628">
        <f t="shared" ref="AP70:AU70" si="152">+AP153</f>
        <v>-9.1650846962616828E-2</v>
      </c>
      <c r="AQ70" s="209">
        <f t="shared" si="152"/>
        <v>0.14131697746623773</v>
      </c>
      <c r="AR70" s="733">
        <f t="shared" si="152"/>
        <v>7.1497635038022311E-2</v>
      </c>
      <c r="AS70" s="207">
        <f t="shared" si="152"/>
        <v>-2.8826472594951191E-2</v>
      </c>
      <c r="AT70" s="628">
        <f t="shared" si="152"/>
        <v>-6.8803515950594862E-2</v>
      </c>
      <c r="AU70" s="628">
        <f t="shared" si="152"/>
        <v>0.25032654783674624</v>
      </c>
      <c r="AV70" s="209">
        <f t="shared" ref="AV70:AW70" si="153">+AV153</f>
        <v>2.6819987315998439E-2</v>
      </c>
      <c r="AW70" s="733">
        <f t="shared" si="153"/>
        <v>3.04693152533555E-2</v>
      </c>
      <c r="AX70" s="207">
        <f t="shared" si="140"/>
        <v>6.5000000000000002E-2</v>
      </c>
      <c r="AY70" s="208">
        <f t="shared" si="140"/>
        <v>6.5000000000000002E-2</v>
      </c>
      <c r="AZ70" s="628">
        <f t="shared" si="140"/>
        <v>6.5000000000000002E-2</v>
      </c>
      <c r="BA70" s="209">
        <f t="shared" si="140"/>
        <v>6.5000000000000002E-2</v>
      </c>
      <c r="BB70" s="36">
        <v>6.5000000000000002E-2</v>
      </c>
      <c r="BC70" s="207">
        <f t="shared" si="141"/>
        <v>2.5000000000000001E-2</v>
      </c>
      <c r="BD70" s="208">
        <f t="shared" si="141"/>
        <v>2.5000000000000001E-2</v>
      </c>
      <c r="BE70" s="628">
        <f t="shared" si="141"/>
        <v>2.5000000000000001E-2</v>
      </c>
      <c r="BF70" s="209">
        <f t="shared" si="141"/>
        <v>2.5000000000000001E-2</v>
      </c>
      <c r="BG70" s="36">
        <v>2.5000000000000001E-2</v>
      </c>
      <c r="BH70" s="207">
        <f t="shared" si="142"/>
        <v>2.5000000000000001E-2</v>
      </c>
      <c r="BI70" s="208">
        <f t="shared" si="142"/>
        <v>2.5000000000000001E-2</v>
      </c>
      <c r="BJ70" s="628">
        <f t="shared" si="142"/>
        <v>2.5000000000000001E-2</v>
      </c>
      <c r="BK70" s="209">
        <f t="shared" si="142"/>
        <v>2.5000000000000001E-2</v>
      </c>
      <c r="BL70" s="36">
        <v>2.5000000000000001E-2</v>
      </c>
      <c r="BM70" s="207">
        <f t="shared" si="143"/>
        <v>2.5000000000000001E-2</v>
      </c>
      <c r="BN70" s="208">
        <f t="shared" si="144"/>
        <v>2.5000000000000001E-2</v>
      </c>
      <c r="BO70" s="628">
        <f t="shared" si="145"/>
        <v>2.5000000000000001E-2</v>
      </c>
      <c r="BP70" s="209">
        <f t="shared" si="146"/>
        <v>2.5000000000000001E-2</v>
      </c>
      <c r="BQ70" s="36">
        <v>2.5000000000000001E-2</v>
      </c>
      <c r="BR70" s="288"/>
    </row>
    <row r="71" spans="1:104" x14ac:dyDescent="0.2">
      <c r="C71" s="300" t="s">
        <v>444</v>
      </c>
      <c r="E71" s="273"/>
      <c r="F71" s="274"/>
      <c r="G71" s="274"/>
      <c r="H71" s="275"/>
      <c r="I71" s="88"/>
      <c r="J71" s="207">
        <f t="shared" ref="J71:O71" si="154">+J156</f>
        <v>0.32910442671032003</v>
      </c>
      <c r="K71" s="208">
        <f t="shared" si="154"/>
        <v>0.25294302307330074</v>
      </c>
      <c r="L71" s="208">
        <f t="shared" si="154"/>
        <v>0.49579306028787973</v>
      </c>
      <c r="M71" s="209">
        <f t="shared" si="154"/>
        <v>0.68018327605956452</v>
      </c>
      <c r="N71" s="88">
        <f t="shared" si="154"/>
        <v>0.45665383836337869</v>
      </c>
      <c r="O71" s="207">
        <f t="shared" si="154"/>
        <v>0.97505901672995976</v>
      </c>
      <c r="P71" s="208">
        <f t="shared" ref="P71:U71" si="155">+P156</f>
        <v>0.87447541497024739</v>
      </c>
      <c r="Q71" s="628">
        <f t="shared" si="155"/>
        <v>0.56171261215192247</v>
      </c>
      <c r="R71" s="209">
        <f t="shared" si="155"/>
        <v>0.22699072811562604</v>
      </c>
      <c r="S71" s="733">
        <f t="shared" si="155"/>
        <v>0.59912164824213776</v>
      </c>
      <c r="T71" s="207">
        <f t="shared" si="155"/>
        <v>-0.28067349165930455</v>
      </c>
      <c r="U71" s="628">
        <f t="shared" si="155"/>
        <v>-0.24857983024794494</v>
      </c>
      <c r="V71" s="628">
        <f t="shared" ref="V71:AA71" si="156">+V156</f>
        <v>-0.15437280466750014</v>
      </c>
      <c r="W71" s="209">
        <f t="shared" si="156"/>
        <v>-0.12737880261147405</v>
      </c>
      <c r="X71" s="733">
        <f t="shared" si="156"/>
        <v>-0.20298403634756268</v>
      </c>
      <c r="Y71" s="207">
        <f t="shared" si="156"/>
        <v>-0.1013220632856523</v>
      </c>
      <c r="Z71" s="628">
        <f t="shared" si="156"/>
        <v>-5.821141103748817E-2</v>
      </c>
      <c r="AA71" s="628">
        <f t="shared" si="156"/>
        <v>-0.16576316530554769</v>
      </c>
      <c r="AB71" s="209">
        <f t="shared" ref="AB71:AI71" si="157">+AB156</f>
        <v>-0.14425342247691797</v>
      </c>
      <c r="AC71" s="733">
        <f t="shared" si="157"/>
        <v>-0.12141214121412136</v>
      </c>
      <c r="AD71" s="207">
        <f t="shared" si="157"/>
        <v>0.47180352908075074</v>
      </c>
      <c r="AE71" s="628">
        <f t="shared" si="157"/>
        <v>0.43030503352535643</v>
      </c>
      <c r="AF71" s="628">
        <f t="shared" si="157"/>
        <v>0.37512131313557529</v>
      </c>
      <c r="AG71" s="209">
        <f t="shared" si="157"/>
        <v>0.43636295993154439</v>
      </c>
      <c r="AH71" s="733">
        <f t="shared" si="157"/>
        <v>0.42914058053500259</v>
      </c>
      <c r="AI71" s="207">
        <f t="shared" si="157"/>
        <v>-0.52994510746374635</v>
      </c>
      <c r="AJ71" s="628">
        <f t="shared" ref="AJ71:AO71" si="158">+AJ156</f>
        <v>-0.50886401901554912</v>
      </c>
      <c r="AK71" s="628">
        <f t="shared" si="158"/>
        <v>-0.4607689711252263</v>
      </c>
      <c r="AL71" s="209">
        <f t="shared" si="158"/>
        <v>-0.44892250310816384</v>
      </c>
      <c r="AM71" s="733">
        <f t="shared" si="158"/>
        <v>-0.48634734441186045</v>
      </c>
      <c r="AN71" s="207">
        <f t="shared" si="158"/>
        <v>0.35190564722286766</v>
      </c>
      <c r="AO71" s="628">
        <f t="shared" si="158"/>
        <v>0.35974994958661011</v>
      </c>
      <c r="AP71" s="628">
        <f t="shared" ref="AP71:AU71" si="159">+AP156</f>
        <v>0.36152051442553912</v>
      </c>
      <c r="AQ71" s="209">
        <f t="shared" si="159"/>
        <v>0.43410415491633803</v>
      </c>
      <c r="AR71" s="733">
        <f t="shared" si="159"/>
        <v>0.38058586371197389</v>
      </c>
      <c r="AS71" s="207">
        <f t="shared" si="159"/>
        <v>0.39666509089346369</v>
      </c>
      <c r="AT71" s="628">
        <f t="shared" si="159"/>
        <v>0.38736467447723566</v>
      </c>
      <c r="AU71" s="628">
        <f t="shared" si="159"/>
        <v>0.32383181476218348</v>
      </c>
      <c r="AV71" s="209">
        <f t="shared" ref="AV71:AW71" si="160">+AV156</f>
        <v>-8.7899842684845853E-2</v>
      </c>
      <c r="AW71" s="733">
        <f t="shared" si="160"/>
        <v>0.22598431628818805</v>
      </c>
      <c r="AX71" s="207">
        <f t="shared" si="140"/>
        <v>0</v>
      </c>
      <c r="AY71" s="208">
        <f t="shared" si="140"/>
        <v>0</v>
      </c>
      <c r="AZ71" s="208">
        <f t="shared" si="140"/>
        <v>0</v>
      </c>
      <c r="BA71" s="209">
        <f t="shared" si="140"/>
        <v>0</v>
      </c>
      <c r="BB71" s="36">
        <v>0</v>
      </c>
      <c r="BC71" s="207">
        <f t="shared" si="141"/>
        <v>0</v>
      </c>
      <c r="BD71" s="208">
        <f t="shared" si="141"/>
        <v>0</v>
      </c>
      <c r="BE71" s="208">
        <f t="shared" si="141"/>
        <v>0</v>
      </c>
      <c r="BF71" s="209">
        <f t="shared" si="141"/>
        <v>0</v>
      </c>
      <c r="BG71" s="36">
        <v>0</v>
      </c>
      <c r="BH71" s="207">
        <f t="shared" si="142"/>
        <v>0</v>
      </c>
      <c r="BI71" s="208">
        <f t="shared" si="142"/>
        <v>0</v>
      </c>
      <c r="BJ71" s="208">
        <f t="shared" si="142"/>
        <v>0</v>
      </c>
      <c r="BK71" s="209">
        <f t="shared" si="142"/>
        <v>0</v>
      </c>
      <c r="BL71" s="36">
        <v>0</v>
      </c>
      <c r="BM71" s="207">
        <f t="shared" si="143"/>
        <v>0</v>
      </c>
      <c r="BN71" s="208">
        <f t="shared" si="144"/>
        <v>0</v>
      </c>
      <c r="BO71" s="208">
        <f t="shared" si="145"/>
        <v>0</v>
      </c>
      <c r="BP71" s="209">
        <f t="shared" si="146"/>
        <v>0</v>
      </c>
      <c r="BQ71" s="36">
        <v>0</v>
      </c>
      <c r="BR71" s="288"/>
    </row>
    <row r="72" spans="1:104" x14ac:dyDescent="0.2">
      <c r="C72" s="299"/>
      <c r="E72" s="273"/>
      <c r="F72" s="274"/>
      <c r="G72" s="274"/>
      <c r="H72" s="275"/>
      <c r="I72" s="169"/>
      <c r="J72" s="273"/>
      <c r="K72" s="274"/>
      <c r="L72" s="274"/>
      <c r="M72" s="275"/>
      <c r="N72" s="169"/>
      <c r="O72" s="273"/>
      <c r="P72" s="274"/>
      <c r="Q72" s="611"/>
      <c r="R72" s="275"/>
      <c r="S72" s="732"/>
      <c r="T72" s="273"/>
      <c r="U72" s="611"/>
      <c r="V72" s="611"/>
      <c r="W72" s="275"/>
      <c r="X72" s="732"/>
      <c r="Y72" s="273"/>
      <c r="Z72" s="611"/>
      <c r="AA72" s="611"/>
      <c r="AB72" s="275"/>
      <c r="AC72" s="732"/>
      <c r="AD72" s="273"/>
      <c r="AE72" s="611"/>
      <c r="AF72" s="611"/>
      <c r="AG72" s="275"/>
      <c r="AH72" s="732"/>
      <c r="AI72" s="273"/>
      <c r="AJ72" s="611"/>
      <c r="AK72" s="611"/>
      <c r="AL72" s="275"/>
      <c r="AM72" s="732"/>
      <c r="AN72" s="273"/>
      <c r="AO72" s="611"/>
      <c r="AP72" s="611"/>
      <c r="AQ72" s="275"/>
      <c r="AR72" s="732"/>
      <c r="AS72" s="273"/>
      <c r="AT72" s="611"/>
      <c r="AU72" s="611"/>
      <c r="AV72" s="275"/>
      <c r="AW72" s="732"/>
      <c r="AX72" s="273"/>
      <c r="AY72" s="274"/>
      <c r="AZ72" s="274"/>
      <c r="BA72" s="275"/>
      <c r="BB72" s="169"/>
      <c r="BC72" s="273"/>
      <c r="BD72" s="274"/>
      <c r="BE72" s="274"/>
      <c r="BF72" s="275"/>
      <c r="BG72" s="169"/>
      <c r="BH72" s="273"/>
      <c r="BI72" s="274"/>
      <c r="BJ72" s="274"/>
      <c r="BK72" s="275"/>
      <c r="BL72" s="169"/>
      <c r="BM72" s="273"/>
      <c r="BN72" s="274"/>
      <c r="BO72" s="274"/>
      <c r="BP72" s="275"/>
      <c r="BQ72" s="169"/>
      <c r="BR72" s="288"/>
    </row>
    <row r="73" spans="1:104" x14ac:dyDescent="0.2">
      <c r="C73" s="300" t="s">
        <v>166</v>
      </c>
      <c r="E73" s="207">
        <f t="shared" ref="E73:O73" si="161">(E41)/(E39-E28)</f>
        <v>0.38622894641548122</v>
      </c>
      <c r="F73" s="208">
        <f t="shared" si="161"/>
        <v>0.39623154012208989</v>
      </c>
      <c r="G73" s="208">
        <f t="shared" si="161"/>
        <v>0.43656942179197117</v>
      </c>
      <c r="H73" s="209">
        <f t="shared" si="161"/>
        <v>0.35578877069121689</v>
      </c>
      <c r="I73" s="88">
        <f t="shared" si="161"/>
        <v>0.39796338085141708</v>
      </c>
      <c r="J73" s="207">
        <f t="shared" si="161"/>
        <v>0.43488009257824195</v>
      </c>
      <c r="K73" s="208">
        <f t="shared" si="161"/>
        <v>0.42116269343371071</v>
      </c>
      <c r="L73" s="208">
        <f t="shared" si="161"/>
        <v>0.41905190934922737</v>
      </c>
      <c r="M73" s="209">
        <f t="shared" si="161"/>
        <v>0.4749699922332834</v>
      </c>
      <c r="N73" s="88">
        <f t="shared" si="161"/>
        <v>0.43443265599712272</v>
      </c>
      <c r="O73" s="207">
        <f t="shared" si="161"/>
        <v>0.37158424204606905</v>
      </c>
      <c r="P73" s="208">
        <f t="shared" ref="P73:U73" si="162">(P41)/(P39-P28)</f>
        <v>0.37622315846697446</v>
      </c>
      <c r="Q73" s="628">
        <f t="shared" si="162"/>
        <v>0.36162218377528688</v>
      </c>
      <c r="R73" s="209">
        <f t="shared" si="162"/>
        <v>0.43165613147913967</v>
      </c>
      <c r="S73" s="733">
        <f t="shared" si="162"/>
        <v>0.37765879881607806</v>
      </c>
      <c r="T73" s="207">
        <f t="shared" si="162"/>
        <v>0.20963101365215062</v>
      </c>
      <c r="U73" s="628">
        <f t="shared" si="162"/>
        <v>0.39580936099330444</v>
      </c>
      <c r="V73" s="628">
        <f t="shared" ref="V73:AA73" si="163">(V41)/(V39-V28)</f>
        <v>0.40813060780117871</v>
      </c>
      <c r="W73" s="209">
        <f t="shared" si="163"/>
        <v>0.39262964240542714</v>
      </c>
      <c r="X73" s="733">
        <f t="shared" si="163"/>
        <v>0.36677839166158183</v>
      </c>
      <c r="Y73" s="207">
        <f t="shared" si="163"/>
        <v>0.33023415474955803</v>
      </c>
      <c r="Z73" s="628">
        <f t="shared" si="163"/>
        <v>0.34620347493823306</v>
      </c>
      <c r="AA73" s="628">
        <f t="shared" si="163"/>
        <v>0.32926857316338326</v>
      </c>
      <c r="AB73" s="209">
        <f t="shared" ref="AB73:AI73" si="164">(AB41)/(AB39-AB28)</f>
        <v>0.37660634995238457</v>
      </c>
      <c r="AC73" s="733">
        <f t="shared" si="164"/>
        <v>0.33983133354137895</v>
      </c>
      <c r="AD73" s="207">
        <f t="shared" si="164"/>
        <v>0.35842786825058076</v>
      </c>
      <c r="AE73" s="628">
        <f t="shared" si="164"/>
        <v>0.3613574760754521</v>
      </c>
      <c r="AF73" s="628">
        <f t="shared" si="164"/>
        <v>0.37134967579922107</v>
      </c>
      <c r="AG73" s="209">
        <f t="shared" si="164"/>
        <v>0.2409716858504608</v>
      </c>
      <c r="AH73" s="733">
        <f t="shared" si="164"/>
        <v>0.34199617759837858</v>
      </c>
      <c r="AI73" s="207">
        <f t="shared" si="164"/>
        <v>0.74924318869824191</v>
      </c>
      <c r="AJ73" s="628">
        <f t="shared" ref="AJ73:AO73" si="165">(AJ41)/(AJ39-AJ28)</f>
        <v>0.36552177698734639</v>
      </c>
      <c r="AK73" s="628">
        <f t="shared" si="165"/>
        <v>0.35515018989526964</v>
      </c>
      <c r="AL73" s="209">
        <f t="shared" si="165"/>
        <v>0.3309593086376863</v>
      </c>
      <c r="AM73" s="733">
        <f t="shared" si="165"/>
        <v>0.35385723851404</v>
      </c>
      <c r="AN73" s="207">
        <f t="shared" si="165"/>
        <v>0.34306639399331135</v>
      </c>
      <c r="AO73" s="628">
        <f t="shared" si="165"/>
        <v>0.33355925821331051</v>
      </c>
      <c r="AP73" s="628">
        <f t="shared" ref="AP73:AU73" si="166">(AP41)/(AP39-AP28)</f>
        <v>0.3216279371673374</v>
      </c>
      <c r="AQ73" s="209">
        <f t="shared" si="166"/>
        <v>0.3207135200942185</v>
      </c>
      <c r="AR73" s="733">
        <f t="shared" si="166"/>
        <v>0.32751108264979978</v>
      </c>
      <c r="AS73" s="207">
        <f t="shared" si="166"/>
        <v>0.30745165408438291</v>
      </c>
      <c r="AT73" s="628">
        <f t="shared" si="166"/>
        <v>0.29363430052083761</v>
      </c>
      <c r="AU73" s="628">
        <f t="shared" si="166"/>
        <v>0.23734467954293781</v>
      </c>
      <c r="AV73" s="209">
        <f t="shared" ref="AV73:AW73" si="167">(AV41)/(AV39-AV28)</f>
        <v>0.44620380111868679</v>
      </c>
      <c r="AW73" s="733">
        <f t="shared" si="167"/>
        <v>0.30241395029737017</v>
      </c>
      <c r="AX73" s="207">
        <f>+AY73</f>
        <v>0.22</v>
      </c>
      <c r="AY73" s="208">
        <f>+AZ73</f>
        <v>0.22</v>
      </c>
      <c r="AZ73" s="208">
        <f>+BA73</f>
        <v>0.22</v>
      </c>
      <c r="BA73" s="209">
        <f>+BB73</f>
        <v>0.22</v>
      </c>
      <c r="BB73" s="36">
        <v>0.22</v>
      </c>
      <c r="BC73" s="207">
        <f>+BD73</f>
        <v>0.22</v>
      </c>
      <c r="BD73" s="208">
        <f>+BE73</f>
        <v>0.22</v>
      </c>
      <c r="BE73" s="208">
        <f>+BF73</f>
        <v>0.22</v>
      </c>
      <c r="BF73" s="209">
        <f>+BG73</f>
        <v>0.22</v>
      </c>
      <c r="BG73" s="36">
        <v>0.22</v>
      </c>
      <c r="BH73" s="207">
        <f>+BI73</f>
        <v>0.22</v>
      </c>
      <c r="BI73" s="208">
        <f>+BJ73</f>
        <v>0.22</v>
      </c>
      <c r="BJ73" s="208">
        <f>+BK73</f>
        <v>0.22</v>
      </c>
      <c r="BK73" s="209">
        <f>+BL73</f>
        <v>0.22</v>
      </c>
      <c r="BL73" s="36">
        <v>0.22</v>
      </c>
      <c r="BM73" s="207">
        <f>+BN73</f>
        <v>0.22</v>
      </c>
      <c r="BN73" s="208">
        <f>+BO73</f>
        <v>0.22</v>
      </c>
      <c r="BO73" s="208">
        <f>+BP73</f>
        <v>0.22</v>
      </c>
      <c r="BP73" s="209">
        <f>+BQ73</f>
        <v>0.22</v>
      </c>
      <c r="BQ73" s="36">
        <v>0.22</v>
      </c>
      <c r="BR73" s="288"/>
    </row>
    <row r="74" spans="1:104" x14ac:dyDescent="0.2">
      <c r="C74" s="300" t="s">
        <v>167</v>
      </c>
      <c r="E74" s="207">
        <f t="shared" ref="E74:O74" si="168">E41/E39</f>
        <v>0.36463240750777565</v>
      </c>
      <c r="F74" s="208">
        <f t="shared" si="168"/>
        <v>0.35710052310150303</v>
      </c>
      <c r="G74" s="208">
        <f t="shared" si="168"/>
        <v>0.41768177585382404</v>
      </c>
      <c r="H74" s="209">
        <f t="shared" si="168"/>
        <v>0.33173213777398153</v>
      </c>
      <c r="I74" s="88">
        <f t="shared" si="168"/>
        <v>0.37347912414612372</v>
      </c>
      <c r="J74" s="207">
        <f t="shared" si="168"/>
        <v>0.39621380427006059</v>
      </c>
      <c r="K74" s="208">
        <f t="shared" si="168"/>
        <v>0.37284611660163558</v>
      </c>
      <c r="L74" s="208">
        <f t="shared" si="168"/>
        <v>0.39791603827908645</v>
      </c>
      <c r="M74" s="209">
        <f t="shared" si="168"/>
        <v>0.41773527494022999</v>
      </c>
      <c r="N74" s="88">
        <f t="shared" si="168"/>
        <v>0.39785822193335313</v>
      </c>
      <c r="O74" s="207">
        <f t="shared" si="168"/>
        <v>0.34630441257818867</v>
      </c>
      <c r="P74" s="208">
        <f t="shared" ref="P74:U74" si="169">P41/P39</f>
        <v>0.3374474309745838</v>
      </c>
      <c r="Q74" s="628">
        <f t="shared" si="169"/>
        <v>0.3471477799196715</v>
      </c>
      <c r="R74" s="209">
        <f t="shared" si="169"/>
        <v>0.3887731283803012</v>
      </c>
      <c r="S74" s="733">
        <f t="shared" si="169"/>
        <v>0.35188843802214326</v>
      </c>
      <c r="T74" s="207">
        <f t="shared" si="169"/>
        <v>0.1919516342338935</v>
      </c>
      <c r="U74" s="628">
        <f t="shared" si="169"/>
        <v>0.35963357562481352</v>
      </c>
      <c r="V74" s="628">
        <f t="shared" ref="V74:AA74" si="170">V41/V39</f>
        <v>0.39003596702872867</v>
      </c>
      <c r="W74" s="209">
        <f t="shared" si="170"/>
        <v>0.35210715721960423</v>
      </c>
      <c r="X74" s="733">
        <f t="shared" si="170"/>
        <v>0.34038377628886968</v>
      </c>
      <c r="Y74" s="207">
        <f t="shared" si="170"/>
        <v>0.30720885989944274</v>
      </c>
      <c r="Z74" s="628">
        <f t="shared" si="170"/>
        <v>0.30816831683168294</v>
      </c>
      <c r="AA74" s="628">
        <f t="shared" si="170"/>
        <v>0.31577322134387364</v>
      </c>
      <c r="AB74" s="209">
        <f t="shared" ref="AB74:AI74" si="171">AB41/AB39</f>
        <v>0.34203520438538604</v>
      </c>
      <c r="AC74" s="733">
        <f t="shared" si="171"/>
        <v>0.31616142474917552</v>
      </c>
      <c r="AD74" s="207">
        <f t="shared" si="171"/>
        <v>0.34705928429830785</v>
      </c>
      <c r="AE74" s="628">
        <f t="shared" si="171"/>
        <v>0.34243104638261057</v>
      </c>
      <c r="AF74" s="628">
        <f t="shared" si="171"/>
        <v>0.36022589945856442</v>
      </c>
      <c r="AG74" s="209">
        <f t="shared" si="171"/>
        <v>0.22760878655504072</v>
      </c>
      <c r="AH74" s="733">
        <f t="shared" si="171"/>
        <v>0.32850473876667696</v>
      </c>
      <c r="AI74" s="207">
        <f t="shared" si="171"/>
        <v>0.30018192844147285</v>
      </c>
      <c r="AJ74" s="628">
        <f t="shared" ref="AJ74:AO74" si="172">AJ41/AJ39</f>
        <v>0.34723957691698443</v>
      </c>
      <c r="AK74" s="628">
        <f t="shared" si="172"/>
        <v>0.34527423673944313</v>
      </c>
      <c r="AL74" s="209">
        <f t="shared" si="172"/>
        <v>0.31338281555194619</v>
      </c>
      <c r="AM74" s="733">
        <f t="shared" si="172"/>
        <v>0.33620364117989554</v>
      </c>
      <c r="AN74" s="207">
        <f t="shared" si="172"/>
        <v>0.32933372077365236</v>
      </c>
      <c r="AO74" s="628">
        <f t="shared" si="172"/>
        <v>0.31189155884165104</v>
      </c>
      <c r="AP74" s="628">
        <f t="shared" ref="AP74:AT74" si="173">AP41/AP39</f>
        <v>0.31308925596198167</v>
      </c>
      <c r="AQ74" s="209">
        <f t="shared" si="173"/>
        <v>0.30705883098207892</v>
      </c>
      <c r="AR74" s="733">
        <f t="shared" si="173"/>
        <v>0.31477729813547023</v>
      </c>
      <c r="AS74" s="207">
        <f t="shared" si="173"/>
        <v>0.29294719216705101</v>
      </c>
      <c r="AT74" s="628">
        <f t="shared" si="173"/>
        <v>0.27809803017326551</v>
      </c>
      <c r="AU74" s="628">
        <f>AU41/AU39</f>
        <v>0.22880591083900778</v>
      </c>
      <c r="AV74" s="209">
        <f t="shared" ref="AV74:AW74" si="174">AV41/AV39</f>
        <v>0.42644058969054122</v>
      </c>
      <c r="AW74" s="733">
        <f t="shared" si="174"/>
        <v>0.28947479055553654</v>
      </c>
      <c r="AX74" s="207">
        <f t="shared" ref="AX74:BG74" si="175">AX41/AX39</f>
        <v>0.20479496538004319</v>
      </c>
      <c r="AY74" s="208">
        <f t="shared" si="175"/>
        <v>0.20222848753686765</v>
      </c>
      <c r="AZ74" s="208">
        <f t="shared" si="175"/>
        <v>0.21239917572908948</v>
      </c>
      <c r="BA74" s="209">
        <f t="shared" si="175"/>
        <v>0.20450122017162012</v>
      </c>
      <c r="BB74" s="88">
        <f t="shared" si="175"/>
        <v>0.20742626317126975</v>
      </c>
      <c r="BC74" s="207">
        <f t="shared" si="175"/>
        <v>0.20185671963738663</v>
      </c>
      <c r="BD74" s="208">
        <f t="shared" si="175"/>
        <v>0.19948750523733474</v>
      </c>
      <c r="BE74" s="208">
        <f t="shared" si="175"/>
        <v>0.21035199237683727</v>
      </c>
      <c r="BF74" s="209">
        <f t="shared" si="175"/>
        <v>0.20083002709205974</v>
      </c>
      <c r="BG74" s="88">
        <f t="shared" si="175"/>
        <v>0.20459647714463658</v>
      </c>
      <c r="BH74" s="207">
        <f t="shared" ref="BH74:BQ74" si="176">BH41/BH39</f>
        <v>0.20694745063738967</v>
      </c>
      <c r="BI74" s="208">
        <f t="shared" si="176"/>
        <v>0.20499007799676949</v>
      </c>
      <c r="BJ74" s="208">
        <f t="shared" si="176"/>
        <v>0.21293718437595743</v>
      </c>
      <c r="BK74" s="209">
        <f t="shared" si="176"/>
        <v>0.20601692206691716</v>
      </c>
      <c r="BL74" s="88">
        <f t="shared" si="176"/>
        <v>0.20877468974296384</v>
      </c>
      <c r="BM74" s="207">
        <f t="shared" si="176"/>
        <v>0.20599337895656178</v>
      </c>
      <c r="BN74" s="208">
        <f t="shared" si="176"/>
        <v>0.20451805981857801</v>
      </c>
      <c r="BO74" s="208">
        <f t="shared" si="176"/>
        <v>0.21254480074477081</v>
      </c>
      <c r="BP74" s="209">
        <f t="shared" si="176"/>
        <v>0.20529859921882623</v>
      </c>
      <c r="BQ74" s="88">
        <f t="shared" si="176"/>
        <v>0.2081706327268053</v>
      </c>
      <c r="BR74" s="288"/>
    </row>
    <row r="75" spans="1:104" x14ac:dyDescent="0.2">
      <c r="C75" s="299"/>
      <c r="E75" s="273"/>
      <c r="F75" s="274"/>
      <c r="G75" s="274"/>
      <c r="H75" s="275"/>
      <c r="I75" s="169"/>
      <c r="J75" s="273"/>
      <c r="K75" s="274"/>
      <c r="L75" s="274"/>
      <c r="M75" s="275"/>
      <c r="N75" s="169"/>
      <c r="O75" s="273"/>
      <c r="P75" s="274"/>
      <c r="Q75" s="611"/>
      <c r="R75" s="275"/>
      <c r="S75" s="732"/>
      <c r="T75" s="273"/>
      <c r="U75" s="611"/>
      <c r="V75" s="611"/>
      <c r="W75" s="275"/>
      <c r="X75" s="732"/>
      <c r="Y75" s="273"/>
      <c r="Z75" s="611"/>
      <c r="AA75" s="611"/>
      <c r="AB75" s="275"/>
      <c r="AC75" s="732"/>
      <c r="AD75" s="273"/>
      <c r="AE75" s="611"/>
      <c r="AF75" s="611"/>
      <c r="AG75" s="275"/>
      <c r="AH75" s="732"/>
      <c r="AI75" s="273"/>
      <c r="AJ75" s="611"/>
      <c r="AK75" s="611"/>
      <c r="AL75" s="275"/>
      <c r="AM75" s="732"/>
      <c r="AN75" s="273"/>
      <c r="AO75" s="611"/>
      <c r="AP75" s="611"/>
      <c r="AQ75" s="275"/>
      <c r="AR75" s="732"/>
      <c r="AS75" s="273"/>
      <c r="AT75" s="611"/>
      <c r="AU75" s="611"/>
      <c r="AV75" s="275"/>
      <c r="AW75" s="732"/>
      <c r="AX75" s="273"/>
      <c r="AY75" s="274"/>
      <c r="AZ75" s="274"/>
      <c r="BA75" s="275"/>
      <c r="BB75" s="169"/>
      <c r="BC75" s="273"/>
      <c r="BD75" s="274"/>
      <c r="BE75" s="274"/>
      <c r="BF75" s="275"/>
      <c r="BG75" s="169"/>
      <c r="BH75" s="273"/>
      <c r="BI75" s="274"/>
      <c r="BJ75" s="274"/>
      <c r="BK75" s="275"/>
      <c r="BL75" s="169"/>
      <c r="BM75" s="273"/>
      <c r="BN75" s="274"/>
      <c r="BO75" s="274"/>
      <c r="BP75" s="275"/>
      <c r="BQ75" s="169"/>
      <c r="BR75" s="288"/>
    </row>
    <row r="76" spans="1:104" x14ac:dyDescent="0.2">
      <c r="C76" s="299" t="s">
        <v>253</v>
      </c>
      <c r="E76" s="273"/>
      <c r="F76" s="274"/>
      <c r="G76" s="274"/>
      <c r="H76" s="275"/>
      <c r="I76" s="88">
        <f t="shared" ref="I76:S76" si="177">+I283</f>
        <v>0.105</v>
      </c>
      <c r="J76" s="207">
        <f t="shared" si="177"/>
        <v>0.105</v>
      </c>
      <c r="K76" s="208">
        <f t="shared" si="177"/>
        <v>0.105</v>
      </c>
      <c r="L76" s="208">
        <f t="shared" si="177"/>
        <v>0.105</v>
      </c>
      <c r="M76" s="209">
        <f t="shared" si="177"/>
        <v>0.105</v>
      </c>
      <c r="N76" s="88">
        <f t="shared" si="177"/>
        <v>0.105</v>
      </c>
      <c r="O76" s="207">
        <f t="shared" si="177"/>
        <v>0.105</v>
      </c>
      <c r="P76" s="208">
        <f t="shared" si="177"/>
        <v>0.105</v>
      </c>
      <c r="Q76" s="628">
        <f t="shared" si="177"/>
        <v>0.105</v>
      </c>
      <c r="R76" s="209">
        <f t="shared" si="177"/>
        <v>0.105</v>
      </c>
      <c r="S76" s="733">
        <f t="shared" si="177"/>
        <v>0.1037</v>
      </c>
      <c r="T76" s="207">
        <f t="shared" ref="T76:X77" si="178">+T283</f>
        <v>0.1037</v>
      </c>
      <c r="U76" s="628">
        <f t="shared" si="178"/>
        <v>0.1037</v>
      </c>
      <c r="V76" s="628">
        <f t="shared" si="178"/>
        <v>0.1037</v>
      </c>
      <c r="W76" s="209">
        <f t="shared" si="178"/>
        <v>0.1037</v>
      </c>
      <c r="X76" s="733">
        <f t="shared" si="178"/>
        <v>0.1037</v>
      </c>
      <c r="Y76" s="207">
        <f t="shared" ref="Y76:AC77" si="179">+Y283</f>
        <v>0.1037</v>
      </c>
      <c r="Z76" s="628">
        <f t="shared" si="179"/>
        <v>0.1037</v>
      </c>
      <c r="AA76" s="628">
        <f t="shared" si="179"/>
        <v>0.1037</v>
      </c>
      <c r="AB76" s="209">
        <f t="shared" si="179"/>
        <v>0.1037</v>
      </c>
      <c r="AC76" s="733">
        <f t="shared" si="179"/>
        <v>9.8299999999999998E-2</v>
      </c>
      <c r="AD76" s="207">
        <f t="shared" ref="AD76:AH77" si="180">+AD283</f>
        <v>9.8299999999999998E-2</v>
      </c>
      <c r="AE76" s="628">
        <f t="shared" si="180"/>
        <v>9.8299999999999998E-2</v>
      </c>
      <c r="AF76" s="628">
        <f t="shared" si="180"/>
        <v>9.8299999999999998E-2</v>
      </c>
      <c r="AG76" s="209">
        <f t="shared" si="180"/>
        <v>9.8299999999999998E-2</v>
      </c>
      <c r="AH76" s="733">
        <f t="shared" si="180"/>
        <v>9.8299999999999998E-2</v>
      </c>
      <c r="AI76" s="207">
        <f t="shared" ref="AI76:AM77" si="181">+AI283</f>
        <v>9.8299999999999998E-2</v>
      </c>
      <c r="AJ76" s="628">
        <f t="shared" si="181"/>
        <v>9.8299999999999998E-2</v>
      </c>
      <c r="AK76" s="628">
        <f t="shared" si="181"/>
        <v>9.8299999999999998E-2</v>
      </c>
      <c r="AL76" s="209">
        <f t="shared" si="181"/>
        <v>9.8299999999999998E-2</v>
      </c>
      <c r="AM76" s="733">
        <f t="shared" si="181"/>
        <v>9.8299999999999998E-2</v>
      </c>
      <c r="AN76" s="207">
        <f t="shared" ref="AN76:AR77" si="182">+AN283</f>
        <v>9.3004120613799771E-2</v>
      </c>
      <c r="AO76" s="628">
        <f t="shared" si="182"/>
        <v>9.3004120613799771E-2</v>
      </c>
      <c r="AP76" s="628">
        <f t="shared" si="182"/>
        <v>9.3004120613799771E-2</v>
      </c>
      <c r="AQ76" s="209">
        <f t="shared" si="182"/>
        <v>9.3004120613799771E-2</v>
      </c>
      <c r="AR76" s="733">
        <f t="shared" si="182"/>
        <v>9.3004120613799771E-2</v>
      </c>
      <c r="AS76" s="207">
        <f t="shared" ref="AS76:AW77" si="183">+AS283</f>
        <v>9.3004120613799771E-2</v>
      </c>
      <c r="AT76" s="628">
        <f t="shared" si="183"/>
        <v>9.3004120613799771E-2</v>
      </c>
      <c r="AU76" s="628">
        <f t="shared" si="183"/>
        <v>9.3004120613799771E-2</v>
      </c>
      <c r="AV76" s="209">
        <f t="shared" si="183"/>
        <v>9.3004120613799771E-2</v>
      </c>
      <c r="AW76" s="733">
        <f t="shared" si="183"/>
        <v>9.3004120613799771E-2</v>
      </c>
      <c r="AX76" s="207">
        <f t="shared" ref="AX76:BB77" si="184">+AX283</f>
        <v>9.3004120613799771E-2</v>
      </c>
      <c r="AY76" s="208">
        <f t="shared" si="184"/>
        <v>9.3004120613799771E-2</v>
      </c>
      <c r="AZ76" s="208">
        <f t="shared" si="184"/>
        <v>9.3004120613799771E-2</v>
      </c>
      <c r="BA76" s="209">
        <f t="shared" si="184"/>
        <v>9.3004120613799771E-2</v>
      </c>
      <c r="BB76" s="88">
        <f t="shared" si="184"/>
        <v>9.3004120613799771E-2</v>
      </c>
      <c r="BC76" s="207">
        <f t="shared" ref="BC76:BG77" si="185">+BC283</f>
        <v>9.3004120613799771E-2</v>
      </c>
      <c r="BD76" s="208">
        <f t="shared" si="185"/>
        <v>9.3004120613799771E-2</v>
      </c>
      <c r="BE76" s="208">
        <f t="shared" si="185"/>
        <v>9.3004120613799771E-2</v>
      </c>
      <c r="BF76" s="209">
        <f t="shared" si="185"/>
        <v>9.3004120613799771E-2</v>
      </c>
      <c r="BG76" s="88">
        <f t="shared" si="185"/>
        <v>9.3004120613799771E-2</v>
      </c>
      <c r="BH76" s="207">
        <f t="shared" ref="BH76:BL77" si="186">+BH283</f>
        <v>9.3004120613799771E-2</v>
      </c>
      <c r="BI76" s="208">
        <f t="shared" si="186"/>
        <v>9.3004120613799771E-2</v>
      </c>
      <c r="BJ76" s="208">
        <f t="shared" si="186"/>
        <v>9.3004120613799771E-2</v>
      </c>
      <c r="BK76" s="209">
        <f t="shared" si="186"/>
        <v>9.3004120613799771E-2</v>
      </c>
      <c r="BL76" s="88">
        <f t="shared" si="186"/>
        <v>9.3004120613799771E-2</v>
      </c>
      <c r="BM76" s="207">
        <f t="shared" ref="BM76:BQ76" si="187">+BM283</f>
        <v>9.3004120613799771E-2</v>
      </c>
      <c r="BN76" s="208">
        <f t="shared" si="187"/>
        <v>9.3004120613799771E-2</v>
      </c>
      <c r="BO76" s="208">
        <f t="shared" si="187"/>
        <v>9.3004120613799771E-2</v>
      </c>
      <c r="BP76" s="209">
        <f t="shared" si="187"/>
        <v>9.3004120613799771E-2</v>
      </c>
      <c r="BQ76" s="88">
        <f t="shared" si="187"/>
        <v>9.3004120613799771E-2</v>
      </c>
      <c r="BR76" s="288"/>
    </row>
    <row r="77" spans="1:104" x14ac:dyDescent="0.2">
      <c r="C77" s="299" t="s">
        <v>254</v>
      </c>
      <c r="E77" s="273"/>
      <c r="F77" s="274"/>
      <c r="G77" s="274"/>
      <c r="H77" s="275"/>
      <c r="I77" s="88">
        <f t="shared" ref="I77:S77" si="188">+I284</f>
        <v>9.5886294435617442E-2</v>
      </c>
      <c r="J77" s="207">
        <f t="shared" si="188"/>
        <v>8.7869310995770347E-2</v>
      </c>
      <c r="K77" s="208">
        <f t="shared" si="188"/>
        <v>8.2781198344367632E-2</v>
      </c>
      <c r="L77" s="208">
        <f t="shared" si="188"/>
        <v>8.930335163695037E-2</v>
      </c>
      <c r="M77" s="209">
        <f t="shared" si="188"/>
        <v>8.1994008289665229E-2</v>
      </c>
      <c r="N77" s="88">
        <f t="shared" si="188"/>
        <v>8.4694008637687751E-2</v>
      </c>
      <c r="O77" s="207">
        <f t="shared" si="188"/>
        <v>8.6628121732643296E-2</v>
      </c>
      <c r="P77" s="208">
        <f t="shared" si="188"/>
        <v>9.0334230694655057E-2</v>
      </c>
      <c r="Q77" s="628">
        <f t="shared" si="188"/>
        <v>9.6882442187710999E-2</v>
      </c>
      <c r="R77" s="209">
        <f t="shared" si="188"/>
        <v>9.6075555023041992E-2</v>
      </c>
      <c r="S77" s="733">
        <f t="shared" si="188"/>
        <v>9.856883157665193E-2</v>
      </c>
      <c r="T77" s="207">
        <f t="shared" si="178"/>
        <v>8.9258237415230146E-2</v>
      </c>
      <c r="U77" s="628">
        <f t="shared" si="178"/>
        <v>8.9741878282341592E-2</v>
      </c>
      <c r="V77" s="628">
        <f t="shared" si="178"/>
        <v>8.8232943001617783E-2</v>
      </c>
      <c r="W77" s="209">
        <f t="shared" si="178"/>
        <v>9.0123043336730532E-2</v>
      </c>
      <c r="X77" s="733">
        <f t="shared" si="178"/>
        <v>9.0510284223035226E-2</v>
      </c>
      <c r="Y77" s="207">
        <f t="shared" si="179"/>
        <v>9.3211834191164619E-2</v>
      </c>
      <c r="Z77" s="628">
        <f t="shared" si="179"/>
        <v>9.6079279803073542E-2</v>
      </c>
      <c r="AA77" s="628">
        <f t="shared" si="179"/>
        <v>9.706253868240175E-2</v>
      </c>
      <c r="AB77" s="209">
        <f t="shared" si="179"/>
        <v>9.2140900854910709E-2</v>
      </c>
      <c r="AC77" s="733">
        <f t="shared" si="179"/>
        <v>9.8129547102905099E-2</v>
      </c>
      <c r="AD77" s="207">
        <f t="shared" si="180"/>
        <v>9.4018950339850735E-2</v>
      </c>
      <c r="AE77" s="628">
        <f t="shared" si="180"/>
        <v>9.2131738209520322E-2</v>
      </c>
      <c r="AF77" s="628">
        <f t="shared" si="180"/>
        <v>8.5236737072541591E-2</v>
      </c>
      <c r="AG77" s="209">
        <f t="shared" si="180"/>
        <v>9.1102307203969973E-2</v>
      </c>
      <c r="AH77" s="733">
        <f t="shared" si="180"/>
        <v>9.4433085200163691E-2</v>
      </c>
      <c r="AI77" s="207">
        <f t="shared" si="181"/>
        <v>8.486290525663974E-2</v>
      </c>
      <c r="AJ77" s="628">
        <f t="shared" si="181"/>
        <v>8.2987863299253214E-2</v>
      </c>
      <c r="AK77" s="628">
        <f t="shared" si="181"/>
        <v>9.2085803721183329E-2</v>
      </c>
      <c r="AL77" s="209">
        <f t="shared" si="181"/>
        <v>9.0501352601962667E-2</v>
      </c>
      <c r="AM77" s="733">
        <f t="shared" si="181"/>
        <v>9.4207137451661815E-2</v>
      </c>
      <c r="AN77" s="207">
        <f t="shared" si="182"/>
        <v>8.862796263244313E-2</v>
      </c>
      <c r="AO77" s="628">
        <f t="shared" si="182"/>
        <v>9.0507127545570845E-2</v>
      </c>
      <c r="AP77" s="628">
        <f t="shared" si="182"/>
        <v>9.4863456362260304E-2</v>
      </c>
      <c r="AQ77" s="209">
        <f t="shared" si="182"/>
        <v>9.5386745471496573E-2</v>
      </c>
      <c r="AR77" s="733">
        <f t="shared" si="182"/>
        <v>9.7459697537185572E-2</v>
      </c>
      <c r="AS77" s="207">
        <f t="shared" si="183"/>
        <v>9.2575770843351363E-2</v>
      </c>
      <c r="AT77" s="628">
        <f t="shared" si="183"/>
        <v>9.3232570037970613E-2</v>
      </c>
      <c r="AU77" s="628">
        <f t="shared" si="183"/>
        <v>9.6438588607184156E-2</v>
      </c>
      <c r="AV77" s="209">
        <f t="shared" si="183"/>
        <v>9.0176591119203384E-2</v>
      </c>
      <c r="AW77" s="733">
        <f t="shared" si="183"/>
        <v>9.2012318126139817E-2</v>
      </c>
      <c r="AX77" s="207">
        <f t="shared" si="184"/>
        <v>9.194364744367553E-2</v>
      </c>
      <c r="AY77" s="208">
        <f t="shared" si="184"/>
        <v>9.0637312973974302E-2</v>
      </c>
      <c r="AZ77" s="208">
        <f t="shared" si="184"/>
        <v>8.4293745179320451E-2</v>
      </c>
      <c r="BA77" s="209">
        <f t="shared" si="184"/>
        <v>8.6882218863753052E-2</v>
      </c>
      <c r="BB77" s="88">
        <f t="shared" si="184"/>
        <v>8.8704977442916111E-2</v>
      </c>
      <c r="BC77" s="207">
        <f t="shared" si="185"/>
        <v>8.8813209110938526E-2</v>
      </c>
      <c r="BD77" s="208">
        <f t="shared" si="185"/>
        <v>9.1055743198594025E-2</v>
      </c>
      <c r="BE77" s="208">
        <f t="shared" si="185"/>
        <v>9.1609817437251495E-2</v>
      </c>
      <c r="BF77" s="209">
        <f t="shared" si="185"/>
        <v>9.2842648675671449E-2</v>
      </c>
      <c r="BG77" s="88">
        <f t="shared" si="185"/>
        <v>9.4797025593740702E-2</v>
      </c>
      <c r="BH77" s="207">
        <f t="shared" si="186"/>
        <v>9.3101406431004188E-2</v>
      </c>
      <c r="BI77" s="208">
        <f t="shared" si="186"/>
        <v>9.3109312493582883E-2</v>
      </c>
      <c r="BJ77" s="208">
        <f t="shared" si="186"/>
        <v>9.1894879311337344E-2</v>
      </c>
      <c r="BK77" s="209">
        <f t="shared" si="186"/>
        <v>9.2018904800175175E-2</v>
      </c>
      <c r="BL77" s="88">
        <f t="shared" si="186"/>
        <v>9.3937268547906586E-2</v>
      </c>
      <c r="BM77" s="207">
        <f t="shared" ref="BM77:BQ77" si="189">+BM284</f>
        <v>9.188346649699132E-2</v>
      </c>
      <c r="BN77" s="208">
        <f t="shared" si="189"/>
        <v>9.2508498013801579E-2</v>
      </c>
      <c r="BO77" s="208">
        <f t="shared" si="189"/>
        <v>9.2025651861528071E-2</v>
      </c>
      <c r="BP77" s="209">
        <f t="shared" si="189"/>
        <v>9.1906392847949006E-2</v>
      </c>
      <c r="BQ77" s="88">
        <f t="shared" si="189"/>
        <v>9.3829810354336934E-2</v>
      </c>
      <c r="BR77" s="288"/>
    </row>
    <row r="78" spans="1:104" x14ac:dyDescent="0.2">
      <c r="C78" s="301" t="s">
        <v>255</v>
      </c>
      <c r="D78" s="302"/>
      <c r="E78" s="303"/>
      <c r="F78" s="304"/>
      <c r="G78" s="304"/>
      <c r="H78" s="305"/>
      <c r="I78" s="306">
        <f>+I285</f>
        <v>8.2702377749626813E-2</v>
      </c>
      <c r="J78" s="307"/>
      <c r="K78" s="308"/>
      <c r="L78" s="308"/>
      <c r="M78" s="309"/>
      <c r="N78" s="306">
        <f>+N285</f>
        <v>6.9011865555589011E-2</v>
      </c>
      <c r="O78" s="307"/>
      <c r="P78" s="308"/>
      <c r="Q78" s="308"/>
      <c r="R78" s="309"/>
      <c r="S78" s="306">
        <f>+S285</f>
        <v>8.4412398666042165E-2</v>
      </c>
      <c r="T78" s="307"/>
      <c r="U78" s="308"/>
      <c r="V78" s="308"/>
      <c r="W78" s="309"/>
      <c r="X78" s="306">
        <f>+X285</f>
        <v>7.7098801165766145E-2</v>
      </c>
      <c r="Y78" s="307"/>
      <c r="Z78" s="308"/>
      <c r="AA78" s="308"/>
      <c r="AB78" s="309"/>
      <c r="AC78" s="306">
        <f>+AC285</f>
        <v>8.520297144565038E-2</v>
      </c>
      <c r="AD78" s="307"/>
      <c r="AE78" s="308"/>
      <c r="AF78" s="308"/>
      <c r="AG78" s="309"/>
      <c r="AH78" s="306">
        <f>+AH285</f>
        <v>8.7261625671947105E-2</v>
      </c>
      <c r="AI78" s="307"/>
      <c r="AJ78" s="308"/>
      <c r="AK78" s="308"/>
      <c r="AL78" s="309"/>
      <c r="AM78" s="306">
        <f>+AM285</f>
        <v>8.6624963537206959E-2</v>
      </c>
      <c r="AN78" s="307"/>
      <c r="AO78" s="308"/>
      <c r="AP78" s="308"/>
      <c r="AQ78" s="309"/>
      <c r="AR78" s="306">
        <f>+AR285</f>
        <v>9.0300305013426313E-2</v>
      </c>
      <c r="AS78" s="307"/>
      <c r="AT78" s="308"/>
      <c r="AU78" s="308"/>
      <c r="AV78" s="309"/>
      <c r="AW78" s="306">
        <f>+AW285</f>
        <v>8.4634423485270005E-2</v>
      </c>
      <c r="AX78" s="307"/>
      <c r="AY78" s="308"/>
      <c r="AZ78" s="308"/>
      <c r="BA78" s="309"/>
      <c r="BB78" s="306">
        <f>+BB285</f>
        <v>8.0720842839318421E-2</v>
      </c>
      <c r="BC78" s="307"/>
      <c r="BD78" s="308"/>
      <c r="BE78" s="308"/>
      <c r="BF78" s="309"/>
      <c r="BG78" s="306">
        <f>+BG285</f>
        <v>8.4381470288900154E-2</v>
      </c>
      <c r="BH78" s="307"/>
      <c r="BI78" s="308"/>
      <c r="BJ78" s="308"/>
      <c r="BK78" s="309"/>
      <c r="BL78" s="306">
        <f>+BL285</f>
        <v>8.6376058876826922E-2</v>
      </c>
      <c r="BM78" s="307"/>
      <c r="BN78" s="308"/>
      <c r="BO78" s="308"/>
      <c r="BP78" s="309"/>
      <c r="BQ78" s="306">
        <f>+BQ285</f>
        <v>8.5876903044770303E-2</v>
      </c>
      <c r="BR78" s="288"/>
    </row>
    <row r="79" spans="1:104" x14ac:dyDescent="0.2">
      <c r="C79" s="26"/>
      <c r="E79" s="273"/>
      <c r="F79" s="274"/>
      <c r="G79" s="274"/>
      <c r="H79" s="275"/>
      <c r="I79" s="169"/>
      <c r="J79" s="273"/>
      <c r="K79" s="274"/>
      <c r="L79" s="274"/>
      <c r="M79" s="275"/>
      <c r="N79" s="169"/>
      <c r="O79" s="273"/>
      <c r="P79" s="274"/>
      <c r="Q79" s="611"/>
      <c r="R79" s="275"/>
      <c r="S79" s="732"/>
      <c r="T79" s="273"/>
      <c r="U79" s="611"/>
      <c r="V79" s="274"/>
      <c r="W79" s="275"/>
      <c r="X79" s="169"/>
      <c r="Y79" s="273"/>
      <c r="Z79" s="274"/>
      <c r="AA79" s="274"/>
      <c r="AB79" s="275"/>
      <c r="AC79" s="169"/>
      <c r="AD79" s="273"/>
      <c r="AE79" s="274"/>
      <c r="AF79" s="274"/>
      <c r="AG79" s="275"/>
      <c r="AH79" s="169"/>
      <c r="AI79" s="273"/>
      <c r="AJ79" s="274"/>
      <c r="AK79" s="274"/>
      <c r="AL79" s="275"/>
      <c r="AM79" s="169"/>
      <c r="AN79" s="273"/>
      <c r="AO79" s="274"/>
      <c r="AP79" s="274"/>
      <c r="AQ79" s="275"/>
      <c r="AR79" s="169"/>
      <c r="AS79" s="273"/>
      <c r="AT79" s="274"/>
      <c r="AU79" s="274"/>
      <c r="AV79" s="275"/>
      <c r="AW79" s="169"/>
      <c r="AX79" s="273"/>
      <c r="AY79" s="274"/>
      <c r="AZ79" s="274"/>
      <c r="BA79" s="275"/>
      <c r="BB79" s="169"/>
      <c r="BC79" s="273"/>
      <c r="BD79" s="274"/>
      <c r="BE79" s="274"/>
      <c r="BF79" s="275"/>
      <c r="BG79" s="169"/>
      <c r="BH79" s="273"/>
      <c r="BI79" s="274"/>
      <c r="BJ79" s="274"/>
      <c r="BK79" s="275"/>
      <c r="BL79" s="169"/>
      <c r="BM79" s="273"/>
      <c r="BN79" s="274"/>
      <c r="BO79" s="274"/>
      <c r="BP79" s="275"/>
      <c r="BQ79" s="169"/>
    </row>
    <row r="80" spans="1:104" x14ac:dyDescent="0.2">
      <c r="C80" s="26"/>
      <c r="E80" s="273"/>
      <c r="F80" s="274"/>
      <c r="G80" s="274"/>
      <c r="H80" s="275"/>
      <c r="I80" s="169"/>
      <c r="J80" s="273"/>
      <c r="K80" s="274"/>
      <c r="L80" s="274"/>
      <c r="M80" s="275"/>
      <c r="N80" s="169"/>
      <c r="O80" s="273"/>
      <c r="P80" s="274"/>
      <c r="Q80" s="611"/>
      <c r="R80" s="275"/>
      <c r="S80" s="732"/>
      <c r="T80" s="273"/>
      <c r="U80" s="611"/>
      <c r="V80" s="274"/>
      <c r="W80" s="275"/>
      <c r="X80" s="169"/>
      <c r="Y80" s="273"/>
      <c r="Z80" s="274"/>
      <c r="AA80" s="274"/>
      <c r="AB80" s="275"/>
      <c r="AC80" s="169"/>
      <c r="AD80" s="273"/>
      <c r="AE80" s="274"/>
      <c r="AF80" s="274"/>
      <c r="AG80" s="275"/>
      <c r="AH80" s="169"/>
      <c r="AI80" s="273"/>
      <c r="AJ80" s="274"/>
      <c r="AK80" s="274"/>
      <c r="AL80" s="275"/>
      <c r="AM80" s="169"/>
      <c r="AN80" s="273"/>
      <c r="AO80" s="274"/>
      <c r="AP80" s="274"/>
      <c r="AQ80" s="275"/>
      <c r="AR80" s="865"/>
      <c r="AS80" s="895"/>
      <c r="AT80" s="863"/>
      <c r="AU80" s="863"/>
      <c r="AV80" s="896"/>
      <c r="AW80" s="865"/>
      <c r="AX80" s="895"/>
      <c r="AY80" s="863"/>
      <c r="AZ80" s="863"/>
      <c r="BA80" s="896"/>
      <c r="BB80" s="865"/>
      <c r="BC80" s="895"/>
      <c r="BD80" s="863"/>
      <c r="BE80" s="863"/>
      <c r="BF80" s="896"/>
      <c r="BG80" s="865"/>
      <c r="BH80" s="895"/>
      <c r="BI80" s="863"/>
      <c r="BJ80" s="863"/>
      <c r="BK80" s="896"/>
      <c r="BL80" s="865"/>
      <c r="BM80" s="895"/>
      <c r="BN80" s="863"/>
      <c r="BO80" s="863"/>
      <c r="BP80" s="896"/>
      <c r="BQ80" s="865"/>
    </row>
    <row r="81" spans="1:104" x14ac:dyDescent="0.2">
      <c r="B81" s="16" t="s">
        <v>256</v>
      </c>
      <c r="C81" s="16"/>
      <c r="D81" s="17"/>
      <c r="E81" s="273"/>
      <c r="F81" s="274"/>
      <c r="G81" s="274"/>
      <c r="H81" s="275"/>
      <c r="I81" s="169"/>
      <c r="J81" s="273"/>
      <c r="K81" s="274"/>
      <c r="L81" s="274"/>
      <c r="M81" s="275"/>
      <c r="N81" s="169"/>
      <c r="O81" s="273"/>
      <c r="P81" s="274"/>
      <c r="Q81" s="611"/>
      <c r="R81" s="275"/>
      <c r="S81" s="732"/>
      <c r="T81" s="273"/>
      <c r="U81" s="611"/>
      <c r="V81" s="274"/>
      <c r="W81" s="275"/>
      <c r="X81" s="169"/>
      <c r="Y81" s="273"/>
      <c r="Z81" s="274"/>
      <c r="AA81" s="274"/>
      <c r="AB81" s="275"/>
      <c r="AC81" s="169"/>
      <c r="AD81" s="273"/>
      <c r="AE81" s="274"/>
      <c r="AF81" s="274"/>
      <c r="AG81" s="275"/>
      <c r="AH81" s="169"/>
      <c r="AI81" s="273"/>
      <c r="AJ81" s="274"/>
      <c r="AK81" s="274"/>
      <c r="AL81" s="275"/>
      <c r="AM81" s="169"/>
      <c r="AN81" s="273"/>
      <c r="AO81" s="274"/>
      <c r="AP81" s="274"/>
      <c r="AQ81" s="275"/>
      <c r="AR81" s="897"/>
      <c r="AS81" s="273"/>
      <c r="AT81" s="274"/>
      <c r="AU81" s="274"/>
      <c r="AV81" s="275"/>
      <c r="AW81" s="897"/>
      <c r="AX81" s="273"/>
      <c r="AY81" s="274"/>
      <c r="AZ81" s="274"/>
      <c r="BA81" s="275"/>
      <c r="BB81" s="897"/>
      <c r="BC81" s="273"/>
      <c r="BD81" s="274"/>
      <c r="BE81" s="274"/>
      <c r="BF81" s="275"/>
      <c r="BG81" s="169"/>
      <c r="BH81" s="273"/>
      <c r="BI81" s="274"/>
      <c r="BJ81" s="274"/>
      <c r="BK81" s="275"/>
      <c r="BL81" s="169"/>
      <c r="BM81" s="273"/>
      <c r="BN81" s="274"/>
      <c r="BO81" s="274"/>
      <c r="BP81" s="275"/>
      <c r="BQ81" s="169"/>
    </row>
    <row r="82" spans="1:104" x14ac:dyDescent="0.2">
      <c r="A82" s="610"/>
      <c r="B82" s="610"/>
      <c r="C82" s="562" t="s">
        <v>411</v>
      </c>
      <c r="D82" s="610"/>
      <c r="E82" s="273"/>
      <c r="F82" s="611"/>
      <c r="G82" s="611"/>
      <c r="H82" s="275"/>
      <c r="I82" s="612"/>
      <c r="J82" s="273"/>
      <c r="K82" s="611"/>
      <c r="L82" s="611"/>
      <c r="M82" s="275"/>
      <c r="N82" s="612"/>
      <c r="O82" s="273"/>
      <c r="P82" s="611"/>
      <c r="Q82" s="611"/>
      <c r="R82" s="275"/>
      <c r="S82" s="612"/>
      <c r="T82" s="273"/>
      <c r="U82" s="611"/>
      <c r="V82" s="611"/>
      <c r="W82" s="275"/>
      <c r="X82" s="612"/>
      <c r="Y82" s="273"/>
      <c r="Z82" s="611"/>
      <c r="AA82" s="611"/>
      <c r="AB82" s="275"/>
      <c r="AC82" s="612"/>
      <c r="AD82" s="273"/>
      <c r="AE82" s="611"/>
      <c r="AF82" s="611"/>
      <c r="AG82" s="275"/>
      <c r="AH82" s="612"/>
      <c r="AI82" s="273"/>
      <c r="AJ82" s="611"/>
      <c r="AK82" s="611"/>
      <c r="AL82" s="275"/>
      <c r="AM82" s="612"/>
      <c r="AN82" s="273"/>
      <c r="AO82" s="611"/>
      <c r="AP82" s="611"/>
      <c r="AQ82" s="275"/>
      <c r="AR82" s="612"/>
      <c r="AS82" s="273"/>
      <c r="AT82" s="611"/>
      <c r="AU82" s="611"/>
      <c r="AV82" s="275"/>
      <c r="AW82" s="612"/>
      <c r="AX82" s="273"/>
      <c r="AY82" s="611"/>
      <c r="AZ82" s="611"/>
      <c r="BA82" s="275"/>
      <c r="BB82" s="612"/>
      <c r="BC82" s="273"/>
      <c r="BD82" s="611"/>
      <c r="BE82" s="611"/>
      <c r="BF82" s="275"/>
      <c r="BG82" s="612"/>
      <c r="BH82" s="273"/>
      <c r="BI82" s="611"/>
      <c r="BJ82" s="611"/>
      <c r="BK82" s="275"/>
      <c r="BL82" s="612"/>
      <c r="BM82" s="273"/>
      <c r="BN82" s="611"/>
      <c r="BO82" s="611"/>
      <c r="BP82" s="275"/>
      <c r="BQ82" s="612"/>
      <c r="BR82" s="610"/>
      <c r="BS82" s="610"/>
      <c r="BT82" s="610"/>
      <c r="BU82" s="610"/>
      <c r="BV82" s="610"/>
      <c r="BW82" s="610"/>
      <c r="BX82" s="610"/>
      <c r="BY82" s="610"/>
      <c r="BZ82" s="610"/>
      <c r="CA82" s="610"/>
      <c r="CB82" s="610"/>
      <c r="CC82" s="610"/>
      <c r="CD82" s="610"/>
      <c r="CE82" s="610"/>
      <c r="CF82" s="610"/>
      <c r="CG82" s="610"/>
      <c r="CH82" s="610"/>
      <c r="CI82" s="610"/>
      <c r="CJ82" s="610"/>
      <c r="CK82" s="610"/>
      <c r="CL82" s="610"/>
      <c r="CM82" s="610"/>
      <c r="CN82" s="610"/>
      <c r="CO82" s="610"/>
      <c r="CP82" s="610"/>
      <c r="CQ82" s="610"/>
      <c r="CR82" s="610"/>
      <c r="CS82" s="610"/>
      <c r="CT82" s="610"/>
      <c r="CU82" s="610"/>
      <c r="CV82" s="610"/>
      <c r="CW82" s="610"/>
      <c r="CX82" s="610"/>
    </row>
    <row r="83" spans="1:104" x14ac:dyDescent="0.2">
      <c r="A83" s="610"/>
      <c r="B83" s="610"/>
      <c r="C83" s="610" t="s">
        <v>273</v>
      </c>
      <c r="D83" s="610"/>
      <c r="E83" s="114">
        <v>277.96899999999999</v>
      </c>
      <c r="F83" s="133">
        <v>217.678</v>
      </c>
      <c r="G83" s="133">
        <v>272.541</v>
      </c>
      <c r="H83" s="116">
        <f>I83-SUM(E83:G83)</f>
        <v>253.93500000000006</v>
      </c>
      <c r="I83" s="613">
        <v>1022.123</v>
      </c>
      <c r="J83" s="114">
        <v>265.16899999999998</v>
      </c>
      <c r="K83" s="133">
        <v>235.61</v>
      </c>
      <c r="L83" s="133">
        <v>340.327</v>
      </c>
      <c r="M83" s="116">
        <f>N83-SUM(J83:L83)</f>
        <v>258.03700000000003</v>
      </c>
      <c r="N83" s="613">
        <v>1099.143</v>
      </c>
      <c r="O83" s="114">
        <v>283.98500000000001</v>
      </c>
      <c r="P83" s="133">
        <v>261.01400000000001</v>
      </c>
      <c r="Q83" s="133">
        <v>362.63799999999998</v>
      </c>
      <c r="R83" s="116">
        <f>S83-SUM(O83:Q83)</f>
        <v>232.96100000000001</v>
      </c>
      <c r="S83" s="613">
        <v>1140.598</v>
      </c>
      <c r="T83" s="114">
        <v>275.75299999999999</v>
      </c>
      <c r="U83" s="133">
        <v>258.39299999999997</v>
      </c>
      <c r="V83" s="133">
        <v>355.197</v>
      </c>
      <c r="W83" s="116">
        <f>X83-SUM(T83:V83)</f>
        <v>276.07000000000005</v>
      </c>
      <c r="X83" s="613">
        <v>1165.413</v>
      </c>
      <c r="Y83" s="114">
        <v>313.34199999999998</v>
      </c>
      <c r="Z83" s="133">
        <v>292.512</v>
      </c>
      <c r="AA83" s="133">
        <v>388.27800000000002</v>
      </c>
      <c r="AB83" s="116">
        <f>AC83-SUM(Y83:AA83)</f>
        <v>250.57999999999993</v>
      </c>
      <c r="AC83" s="613">
        <v>1244.712</v>
      </c>
      <c r="AD83" s="114">
        <v>347.47</v>
      </c>
      <c r="AE83" s="133">
        <v>290.70299999999997</v>
      </c>
      <c r="AF83" s="133">
        <v>351.327</v>
      </c>
      <c r="AG83" s="116">
        <f>AH83-SUM(AD83:AF83)</f>
        <v>267.86599999999999</v>
      </c>
      <c r="AH83" s="613">
        <v>1257.366</v>
      </c>
      <c r="AI83" s="114">
        <v>310.68799999999999</v>
      </c>
      <c r="AJ83" s="133">
        <v>272.517</v>
      </c>
      <c r="AK83" s="133">
        <v>360.62400000000002</v>
      </c>
      <c r="AL83" s="116">
        <f>AM83-SUM(AI83:AK83)</f>
        <v>294.53300000000013</v>
      </c>
      <c r="AM83" s="613">
        <v>1238.3620000000001</v>
      </c>
      <c r="AN83" s="114">
        <v>318.86500000000001</v>
      </c>
      <c r="AO83" s="133">
        <v>296.33600000000001</v>
      </c>
      <c r="AP83" s="133">
        <v>395.31</v>
      </c>
      <c r="AQ83" s="116">
        <f>AR83-SUM(AN83:AP83)</f>
        <v>299.69299999999998</v>
      </c>
      <c r="AR83" s="613">
        <v>1310.204</v>
      </c>
      <c r="AS83" s="114">
        <v>314.38099999999997</v>
      </c>
      <c r="AT83" s="133">
        <v>302.78399999999999</v>
      </c>
      <c r="AU83" s="133">
        <f>994.34754-SUM(AS83:AT83)</f>
        <v>377.18254000000002</v>
      </c>
      <c r="AV83" s="116">
        <f>AW83-SUM(AS83:AU83)</f>
        <v>326.16246000000001</v>
      </c>
      <c r="AW83" s="613">
        <v>1320.51</v>
      </c>
      <c r="AX83" s="121"/>
      <c r="AY83" s="130"/>
      <c r="AZ83" s="130"/>
      <c r="BA83" s="123"/>
      <c r="BB83" s="612"/>
      <c r="BC83" s="121"/>
      <c r="BD83" s="130"/>
      <c r="BE83" s="130"/>
      <c r="BF83" s="123"/>
      <c r="BG83" s="612"/>
      <c r="BH83" s="121"/>
      <c r="BI83" s="130"/>
      <c r="BJ83" s="130"/>
      <c r="BK83" s="123"/>
      <c r="BL83" s="612"/>
      <c r="BM83" s="121"/>
      <c r="BN83" s="130"/>
      <c r="BO83" s="130"/>
      <c r="BP83" s="123"/>
      <c r="BQ83" s="612"/>
      <c r="BR83" s="610"/>
      <c r="BS83" s="610"/>
      <c r="BT83" s="610"/>
      <c r="BU83" s="610"/>
      <c r="BV83" s="610"/>
      <c r="BW83" s="610"/>
      <c r="BX83" s="610"/>
      <c r="BY83" s="610"/>
      <c r="BZ83" s="610"/>
      <c r="CA83" s="610"/>
      <c r="CB83" s="610"/>
      <c r="CC83" s="610"/>
      <c r="CD83" s="610"/>
      <c r="CE83" s="610"/>
      <c r="CF83" s="610"/>
      <c r="CG83" s="610"/>
      <c r="CH83" s="610"/>
      <c r="CI83" s="610"/>
      <c r="CJ83" s="610"/>
      <c r="CK83" s="610"/>
      <c r="CL83" s="610"/>
      <c r="CM83" s="610"/>
      <c r="CN83" s="610"/>
      <c r="CO83" s="610"/>
      <c r="CP83" s="610"/>
      <c r="CQ83" s="610"/>
      <c r="CR83" s="610"/>
      <c r="CS83" s="610"/>
      <c r="CT83" s="610"/>
      <c r="CU83" s="610"/>
      <c r="CV83" s="610"/>
      <c r="CW83" s="610"/>
      <c r="CX83" s="610"/>
    </row>
    <row r="84" spans="1:104" x14ac:dyDescent="0.2">
      <c r="A84" s="610"/>
      <c r="B84" s="610"/>
      <c r="C84" s="610" t="s">
        <v>412</v>
      </c>
      <c r="D84" s="610"/>
      <c r="E84" s="114">
        <v>274.63900000000001</v>
      </c>
      <c r="F84" s="133">
        <v>285.35599999999999</v>
      </c>
      <c r="G84" s="133">
        <v>337.43400000000003</v>
      </c>
      <c r="H84" s="116">
        <f>I84-SUM(E84:G84)</f>
        <v>277.97399999999993</v>
      </c>
      <c r="I84" s="613">
        <v>1175.403</v>
      </c>
      <c r="J84" s="114">
        <v>282.233</v>
      </c>
      <c r="K84" s="133">
        <v>301.00700000000001</v>
      </c>
      <c r="L84" s="133">
        <v>371.642</v>
      </c>
      <c r="M84" s="116">
        <f>N84-SUM(J84:L84)</f>
        <v>290.08399999999983</v>
      </c>
      <c r="N84" s="613">
        <v>1244.9659999999999</v>
      </c>
      <c r="O84" s="114">
        <v>297.05599999999998</v>
      </c>
      <c r="P84" s="133">
        <v>331.35</v>
      </c>
      <c r="Q84" s="133">
        <v>386.43900000000002</v>
      </c>
      <c r="R84" s="116">
        <f>S84-SUM(O84:Q84)</f>
        <v>255.91200000000003</v>
      </c>
      <c r="S84" s="613">
        <v>1270.7570000000001</v>
      </c>
      <c r="T84" s="114">
        <v>301.77300000000002</v>
      </c>
      <c r="U84" s="133">
        <v>319.30500000000001</v>
      </c>
      <c r="V84" s="133">
        <v>392.11900000000003</v>
      </c>
      <c r="W84" s="116">
        <f>X84-SUM(T84:V84)</f>
        <v>311.79200000000003</v>
      </c>
      <c r="X84" s="613">
        <v>1324.989</v>
      </c>
      <c r="Y84" s="114">
        <v>330.68400000000003</v>
      </c>
      <c r="Z84" s="133">
        <v>373.93900000000002</v>
      </c>
      <c r="AA84" s="133">
        <v>442.13400000000001</v>
      </c>
      <c r="AB84" s="116">
        <f>AC84-SUM(Y84:AA84)</f>
        <v>263.32600000000002</v>
      </c>
      <c r="AC84" s="613">
        <v>1410.0830000000001</v>
      </c>
      <c r="AD84" s="114">
        <v>366.24900000000002</v>
      </c>
      <c r="AE84" s="133">
        <v>370.67700000000002</v>
      </c>
      <c r="AF84" s="133">
        <v>419.851</v>
      </c>
      <c r="AG84" s="116">
        <f>AH84-SUM(AD84:AF84)</f>
        <v>297.37599999999998</v>
      </c>
      <c r="AH84" s="613">
        <v>1454.153</v>
      </c>
      <c r="AI84" s="114">
        <v>328.95400000000001</v>
      </c>
      <c r="AJ84" s="133">
        <v>353.13099999999997</v>
      </c>
      <c r="AK84" s="133">
        <v>420.851</v>
      </c>
      <c r="AL84" s="116">
        <f>AM84-SUM(AI84:AK84)</f>
        <v>342.96099999999979</v>
      </c>
      <c r="AM84" s="613">
        <v>1445.8969999999999</v>
      </c>
      <c r="AN84" s="114">
        <v>350.916</v>
      </c>
      <c r="AO84" s="133">
        <v>377.274</v>
      </c>
      <c r="AP84" s="133">
        <v>442.351</v>
      </c>
      <c r="AQ84" s="116">
        <f>AR84-SUM(AN84:AP84)</f>
        <v>342.48199999999974</v>
      </c>
      <c r="AR84" s="613">
        <v>1513.0229999999999</v>
      </c>
      <c r="AS84" s="114">
        <v>343.55900000000003</v>
      </c>
      <c r="AT84" s="133">
        <v>382.959</v>
      </c>
      <c r="AU84" s="133">
        <f>1173.799086-SUM(AS84:AT84)</f>
        <v>447.28108599999996</v>
      </c>
      <c r="AV84" s="116">
        <f>AW84-SUM(AS84:AU84)</f>
        <v>386.45591400000012</v>
      </c>
      <c r="AW84" s="613">
        <v>1560.2550000000001</v>
      </c>
      <c r="AX84" s="121"/>
      <c r="AY84" s="130"/>
      <c r="AZ84" s="130"/>
      <c r="BA84" s="123"/>
      <c r="BB84" s="612"/>
      <c r="BC84" s="121"/>
      <c r="BD84" s="130"/>
      <c r="BE84" s="130"/>
      <c r="BF84" s="123"/>
      <c r="BG84" s="612"/>
      <c r="BH84" s="121"/>
      <c r="BI84" s="130"/>
      <c r="BJ84" s="130"/>
      <c r="BK84" s="123"/>
      <c r="BL84" s="612"/>
      <c r="BM84" s="121"/>
      <c r="BN84" s="130"/>
      <c r="BO84" s="130"/>
      <c r="BP84" s="123"/>
      <c r="BQ84" s="612"/>
      <c r="BR84" s="610"/>
      <c r="BS84" s="610"/>
      <c r="BT84" s="610"/>
      <c r="BU84" s="610"/>
      <c r="BV84" s="610"/>
      <c r="BW84" s="610"/>
      <c r="BX84" s="610"/>
      <c r="BY84" s="610"/>
      <c r="BZ84" s="610"/>
      <c r="CA84" s="610"/>
      <c r="CB84" s="610"/>
      <c r="CC84" s="610"/>
      <c r="CD84" s="610"/>
      <c r="CE84" s="610"/>
      <c r="CF84" s="610"/>
      <c r="CG84" s="610"/>
      <c r="CH84" s="610"/>
      <c r="CI84" s="610"/>
      <c r="CJ84" s="610"/>
      <c r="CK84" s="610"/>
      <c r="CL84" s="610"/>
      <c r="CM84" s="610"/>
      <c r="CN84" s="610"/>
      <c r="CO84" s="610"/>
      <c r="CP84" s="610"/>
      <c r="CQ84" s="610"/>
      <c r="CR84" s="610"/>
      <c r="CS84" s="610"/>
      <c r="CT84" s="610"/>
      <c r="CU84" s="610"/>
      <c r="CV84" s="610"/>
      <c r="CW84" s="610"/>
      <c r="CX84" s="610"/>
    </row>
    <row r="85" spans="1:104" x14ac:dyDescent="0.2">
      <c r="A85" s="610"/>
      <c r="B85" s="610"/>
      <c r="C85" s="610" t="s">
        <v>413</v>
      </c>
      <c r="D85" s="610"/>
      <c r="E85" s="114">
        <v>144.36699999999999</v>
      </c>
      <c r="F85" s="133">
        <v>134.49299999999999</v>
      </c>
      <c r="G85" s="133">
        <v>168.14599999999999</v>
      </c>
      <c r="H85" s="116">
        <f>I85-SUM(E85:G85)</f>
        <v>141.02800000000002</v>
      </c>
      <c r="I85" s="613">
        <v>588.03399999999999</v>
      </c>
      <c r="J85" s="114">
        <v>141.93199999999999</v>
      </c>
      <c r="K85" s="133">
        <v>147.58000000000001</v>
      </c>
      <c r="L85" s="133">
        <v>188.155</v>
      </c>
      <c r="M85" s="116">
        <f>N85-SUM(J85:L85)</f>
        <v>150.10699999999997</v>
      </c>
      <c r="N85" s="613">
        <v>627.774</v>
      </c>
      <c r="O85" s="114">
        <v>145.476</v>
      </c>
      <c r="P85" s="133">
        <v>165.423</v>
      </c>
      <c r="Q85" s="133">
        <v>198.41399999999999</v>
      </c>
      <c r="R85" s="116">
        <f>S85-SUM(O85:Q85)</f>
        <v>150.76999999999998</v>
      </c>
      <c r="S85" s="613">
        <v>660.08299999999997</v>
      </c>
      <c r="T85" s="114">
        <v>143.77600000000001</v>
      </c>
      <c r="U85" s="133">
        <v>153.04400000000001</v>
      </c>
      <c r="V85" s="133">
        <v>186.124</v>
      </c>
      <c r="W85" s="116">
        <f>X85-SUM(T85:V85)</f>
        <v>149.88699999999994</v>
      </c>
      <c r="X85" s="613">
        <v>632.83100000000002</v>
      </c>
      <c r="Y85" s="114">
        <v>150.15600000000001</v>
      </c>
      <c r="Z85" s="133">
        <v>170.703</v>
      </c>
      <c r="AA85" s="133">
        <v>202.56</v>
      </c>
      <c r="AB85" s="116">
        <f>AC85-SUM(Y85:AA85)</f>
        <v>163.55099999999993</v>
      </c>
      <c r="AC85" s="613">
        <v>686.97</v>
      </c>
      <c r="AD85" s="114">
        <v>162.52099999999999</v>
      </c>
      <c r="AE85" s="133">
        <v>163.78399999999999</v>
      </c>
      <c r="AF85" s="133">
        <v>191.00200000000001</v>
      </c>
      <c r="AG85" s="116">
        <f>AH85-SUM(AD85:AF85)</f>
        <v>156.90300000000002</v>
      </c>
      <c r="AH85" s="613">
        <v>674.21</v>
      </c>
      <c r="AI85" s="114">
        <v>148.51400000000001</v>
      </c>
      <c r="AJ85" s="133">
        <v>170.81299999999999</v>
      </c>
      <c r="AK85" s="133">
        <v>191.74299999999999</v>
      </c>
      <c r="AL85" s="116">
        <f>AM85-SUM(AI85:AK85)</f>
        <v>158.70400000000001</v>
      </c>
      <c r="AM85" s="613">
        <v>669.774</v>
      </c>
      <c r="AN85" s="114">
        <v>154.459</v>
      </c>
      <c r="AO85" s="133">
        <v>166.58799999999999</v>
      </c>
      <c r="AP85" s="133">
        <v>200.20400000000001</v>
      </c>
      <c r="AQ85" s="116">
        <f>AR85-SUM(AN85:AP85)</f>
        <v>164.98000000000002</v>
      </c>
      <c r="AR85" s="613">
        <v>686.23099999999999</v>
      </c>
      <c r="AS85" s="114">
        <v>150.81</v>
      </c>
      <c r="AT85" s="133">
        <v>176.56100000000001</v>
      </c>
      <c r="AU85" s="133">
        <f>521.838375-SUM(AS85:AT85)</f>
        <v>194.46737500000006</v>
      </c>
      <c r="AV85" s="116">
        <f>AW85-SUM(AS85:AU85)</f>
        <v>168.32462499999997</v>
      </c>
      <c r="AW85" s="613">
        <v>690.16300000000001</v>
      </c>
      <c r="AX85" s="121"/>
      <c r="AY85" s="130"/>
      <c r="AZ85" s="130"/>
      <c r="BA85" s="123"/>
      <c r="BB85" s="612"/>
      <c r="BC85" s="121"/>
      <c r="BD85" s="130"/>
      <c r="BE85" s="130"/>
      <c r="BF85" s="123"/>
      <c r="BG85" s="612"/>
      <c r="BH85" s="121"/>
      <c r="BI85" s="130"/>
      <c r="BJ85" s="130"/>
      <c r="BK85" s="123"/>
      <c r="BL85" s="612"/>
      <c r="BM85" s="121"/>
      <c r="BN85" s="130"/>
      <c r="BO85" s="130"/>
      <c r="BP85" s="123"/>
      <c r="BQ85" s="612"/>
      <c r="BR85" s="610"/>
      <c r="BS85" s="610"/>
      <c r="BT85" s="610"/>
      <c r="BU85" s="610"/>
      <c r="BV85" s="610"/>
      <c r="BW85" s="610"/>
      <c r="BX85" s="610"/>
      <c r="BY85" s="610"/>
      <c r="BZ85" s="610"/>
      <c r="CA85" s="610"/>
      <c r="CB85" s="610"/>
      <c r="CC85" s="610"/>
      <c r="CD85" s="610"/>
      <c r="CE85" s="610"/>
      <c r="CF85" s="610"/>
      <c r="CG85" s="610"/>
      <c r="CH85" s="610"/>
      <c r="CI85" s="610"/>
      <c r="CJ85" s="610"/>
      <c r="CK85" s="610"/>
      <c r="CL85" s="610"/>
      <c r="CM85" s="610"/>
      <c r="CN85" s="610"/>
      <c r="CO85" s="610"/>
      <c r="CP85" s="610"/>
      <c r="CQ85" s="610"/>
      <c r="CR85" s="610"/>
      <c r="CS85" s="610"/>
      <c r="CT85" s="610"/>
      <c r="CU85" s="610"/>
      <c r="CV85" s="610"/>
      <c r="CW85" s="610"/>
      <c r="CX85" s="610"/>
    </row>
    <row r="86" spans="1:104" x14ac:dyDescent="0.2">
      <c r="A86" s="610"/>
      <c r="B86" s="610"/>
      <c r="C86" s="610" t="s">
        <v>97</v>
      </c>
      <c r="D86" s="610"/>
      <c r="E86" s="114">
        <v>7.6319999999999997</v>
      </c>
      <c r="F86" s="133">
        <v>7.9669999999999996</v>
      </c>
      <c r="G86" s="133">
        <v>8.6649999999999991</v>
      </c>
      <c r="H86" s="116">
        <f>I86-SUM(E86:G86)</f>
        <v>8.3009999999999984</v>
      </c>
      <c r="I86" s="613">
        <v>32.564999999999998</v>
      </c>
      <c r="J86" s="114">
        <v>8.6280000000000001</v>
      </c>
      <c r="K86" s="133">
        <v>7.82</v>
      </c>
      <c r="L86" s="133">
        <v>8.67</v>
      </c>
      <c r="M86" s="116">
        <f>N86-SUM(J86:L86)</f>
        <v>8.3230000000000004</v>
      </c>
      <c r="N86" s="613">
        <v>33.441000000000003</v>
      </c>
      <c r="O86" s="114">
        <v>8.6370000000000005</v>
      </c>
      <c r="P86" s="133">
        <v>8.5259999999999998</v>
      </c>
      <c r="Q86" s="133">
        <v>9.2639999999999993</v>
      </c>
      <c r="R86" s="116">
        <f>S86-SUM(O86:Q86)</f>
        <v>7.7839999999999989</v>
      </c>
      <c r="S86" s="613">
        <v>34.210999999999999</v>
      </c>
      <c r="T86" s="114">
        <v>8.4830000000000005</v>
      </c>
      <c r="U86" s="133">
        <v>8.1150000000000002</v>
      </c>
      <c r="V86" s="133">
        <v>9.1140000000000008</v>
      </c>
      <c r="W86" s="116">
        <f>X86-SUM(T86:V86)</f>
        <v>8.7320000000000029</v>
      </c>
      <c r="X86" s="613">
        <v>34.444000000000003</v>
      </c>
      <c r="Y86" s="114">
        <v>9.0329999999999995</v>
      </c>
      <c r="Z86" s="133">
        <v>9.1449999999999996</v>
      </c>
      <c r="AA86" s="133">
        <v>10.372999999999999</v>
      </c>
      <c r="AB86" s="116">
        <f>AC86-SUM(Y86:AA86)</f>
        <v>7.6560000000000059</v>
      </c>
      <c r="AC86" s="613">
        <v>36.207000000000001</v>
      </c>
      <c r="AD86" s="114">
        <v>9.2449999999999992</v>
      </c>
      <c r="AE86" s="133">
        <v>8.6859999999999999</v>
      </c>
      <c r="AF86" s="133">
        <v>9.5690000000000008</v>
      </c>
      <c r="AG86" s="116">
        <f>AH86-SUM(AD86:AF86)</f>
        <v>7.8350000000000009</v>
      </c>
      <c r="AH86" s="613">
        <v>35.335000000000001</v>
      </c>
      <c r="AI86" s="114">
        <v>8.8279999999999994</v>
      </c>
      <c r="AJ86" s="133">
        <v>7.9939999999999998</v>
      </c>
      <c r="AK86" s="133">
        <v>8.4909999999999997</v>
      </c>
      <c r="AL86" s="116">
        <f>AM86-SUM(AI86:AK86)</f>
        <v>9.0950000000000024</v>
      </c>
      <c r="AM86" s="613">
        <v>34.408000000000001</v>
      </c>
      <c r="AN86" s="114">
        <v>8.57</v>
      </c>
      <c r="AO86" s="133">
        <v>8.4250000000000007</v>
      </c>
      <c r="AP86" s="133">
        <v>9.1969999999999992</v>
      </c>
      <c r="AQ86" s="116">
        <f>AR86-SUM(AN86:AP86)</f>
        <v>9.2049999999999983</v>
      </c>
      <c r="AR86" s="613">
        <v>35.396999999999998</v>
      </c>
      <c r="AS86" s="114">
        <v>8.2490000000000006</v>
      </c>
      <c r="AT86" s="133">
        <v>8.4079999999999995</v>
      </c>
      <c r="AU86" s="133">
        <f>SUM(18.770014,7.428025,0.512464)-SUM(AS86:AT86)</f>
        <v>10.053503000000003</v>
      </c>
      <c r="AV86" s="116">
        <f>AW86-SUM(AS86:AU86)</f>
        <v>8.8234969999999961</v>
      </c>
      <c r="AW86" s="613">
        <v>35.533999999999999</v>
      </c>
      <c r="AX86" s="121"/>
      <c r="AY86" s="130"/>
      <c r="AZ86" s="130"/>
      <c r="BA86" s="123"/>
      <c r="BB86" s="612"/>
      <c r="BC86" s="121"/>
      <c r="BD86" s="130"/>
      <c r="BE86" s="130"/>
      <c r="BF86" s="123"/>
      <c r="BG86" s="612"/>
      <c r="BH86" s="121"/>
      <c r="BI86" s="130"/>
      <c r="BJ86" s="130"/>
      <c r="BK86" s="123"/>
      <c r="BL86" s="612"/>
      <c r="BM86" s="121"/>
      <c r="BN86" s="130"/>
      <c r="BO86" s="130"/>
      <c r="BP86" s="123"/>
      <c r="BQ86" s="612"/>
      <c r="BR86" s="610"/>
      <c r="BS86" s="610"/>
      <c r="BT86" s="610"/>
      <c r="BU86" s="610"/>
      <c r="BV86" s="610"/>
      <c r="BW86" s="610"/>
      <c r="BX86" s="610"/>
      <c r="BY86" s="610"/>
      <c r="BZ86" s="610"/>
      <c r="CA86" s="610"/>
      <c r="CB86" s="610"/>
      <c r="CC86" s="610"/>
      <c r="CD86" s="610"/>
      <c r="CE86" s="610"/>
      <c r="CF86" s="610"/>
      <c r="CG86" s="610"/>
      <c r="CH86" s="610"/>
      <c r="CI86" s="610"/>
      <c r="CJ86" s="610"/>
      <c r="CK86" s="610"/>
      <c r="CL86" s="610"/>
      <c r="CM86" s="610"/>
      <c r="CN86" s="610"/>
      <c r="CO86" s="610"/>
      <c r="CP86" s="610"/>
      <c r="CQ86" s="610"/>
      <c r="CR86" s="610"/>
      <c r="CS86" s="610"/>
      <c r="CT86" s="610"/>
      <c r="CU86" s="610"/>
      <c r="CV86" s="610"/>
      <c r="CW86" s="610"/>
      <c r="CX86" s="610"/>
    </row>
    <row r="87" spans="1:104" s="26" customFormat="1" x14ac:dyDescent="0.2">
      <c r="A87" s="614"/>
      <c r="B87" s="614"/>
      <c r="C87" s="614" t="s">
        <v>414</v>
      </c>
      <c r="D87" s="614"/>
      <c r="E87" s="121">
        <f t="shared" ref="E87:V87" si="190">SUM(E83:E86)</f>
        <v>704.60699999999986</v>
      </c>
      <c r="F87" s="130">
        <f t="shared" si="190"/>
        <v>645.49400000000003</v>
      </c>
      <c r="G87" s="130">
        <f t="shared" si="190"/>
        <v>786.78599999999994</v>
      </c>
      <c r="H87" s="123">
        <f t="shared" si="190"/>
        <v>681.23800000000006</v>
      </c>
      <c r="I87" s="521">
        <f t="shared" si="190"/>
        <v>2818.125</v>
      </c>
      <c r="J87" s="121">
        <f t="shared" si="190"/>
        <v>697.9620000000001</v>
      </c>
      <c r="K87" s="130">
        <f t="shared" si="190"/>
        <v>692.01700000000005</v>
      </c>
      <c r="L87" s="130">
        <f>SUM(L83:L86)</f>
        <v>908.79399999999998</v>
      </c>
      <c r="M87" s="123">
        <f t="shared" si="190"/>
        <v>706.55099999999982</v>
      </c>
      <c r="N87" s="521">
        <f t="shared" si="190"/>
        <v>3005.3239999999996</v>
      </c>
      <c r="O87" s="121">
        <f t="shared" si="190"/>
        <v>735.154</v>
      </c>
      <c r="P87" s="130">
        <f t="shared" si="190"/>
        <v>766.31299999999999</v>
      </c>
      <c r="Q87" s="130">
        <f t="shared" si="190"/>
        <v>956.755</v>
      </c>
      <c r="R87" s="123">
        <f t="shared" si="190"/>
        <v>647.42700000000002</v>
      </c>
      <c r="S87" s="521">
        <f t="shared" si="190"/>
        <v>3105.6489999999999</v>
      </c>
      <c r="T87" s="121">
        <f t="shared" si="190"/>
        <v>729.78500000000008</v>
      </c>
      <c r="U87" s="130">
        <f t="shared" si="190"/>
        <v>738.85699999999997</v>
      </c>
      <c r="V87" s="130">
        <f t="shared" si="190"/>
        <v>942.55400000000009</v>
      </c>
      <c r="W87" s="123">
        <f t="shared" ref="W87:AD87" si="191">SUM(W83:W86)</f>
        <v>746.48099999999999</v>
      </c>
      <c r="X87" s="521">
        <f t="shared" si="191"/>
        <v>3157.6770000000001</v>
      </c>
      <c r="Y87" s="121">
        <f t="shared" si="191"/>
        <v>803.21500000000003</v>
      </c>
      <c r="Z87" s="130">
        <f t="shared" si="191"/>
        <v>846.29899999999998</v>
      </c>
      <c r="AA87" s="130">
        <f t="shared" si="191"/>
        <v>1043.345</v>
      </c>
      <c r="AB87" s="123">
        <f t="shared" si="191"/>
        <v>685.11299999999983</v>
      </c>
      <c r="AC87" s="521">
        <f t="shared" si="191"/>
        <v>3377.9720000000002</v>
      </c>
      <c r="AD87" s="121">
        <f t="shared" si="191"/>
        <v>885.48500000000001</v>
      </c>
      <c r="AE87" s="130">
        <f t="shared" ref="AE87:AJ87" si="192">SUM(AE83:AE86)</f>
        <v>833.85</v>
      </c>
      <c r="AF87" s="130">
        <f t="shared" si="192"/>
        <v>971.74900000000002</v>
      </c>
      <c r="AG87" s="123">
        <f t="shared" si="192"/>
        <v>729.98</v>
      </c>
      <c r="AH87" s="521">
        <f t="shared" si="192"/>
        <v>3421.0640000000003</v>
      </c>
      <c r="AI87" s="121">
        <f t="shared" si="192"/>
        <v>796.98400000000004</v>
      </c>
      <c r="AJ87" s="130">
        <f t="shared" si="192"/>
        <v>804.45499999999993</v>
      </c>
      <c r="AK87" s="130">
        <f t="shared" ref="AK87:AP87" si="193">SUM(AK83:AK86)</f>
        <v>981.70900000000006</v>
      </c>
      <c r="AL87" s="123">
        <f t="shared" si="193"/>
        <v>805.29299999999989</v>
      </c>
      <c r="AM87" s="521">
        <f t="shared" si="193"/>
        <v>3388.4409999999998</v>
      </c>
      <c r="AN87" s="121">
        <f t="shared" si="193"/>
        <v>832.81000000000006</v>
      </c>
      <c r="AO87" s="130">
        <f t="shared" si="193"/>
        <v>848.62299999999993</v>
      </c>
      <c r="AP87" s="130">
        <f t="shared" si="193"/>
        <v>1047.0619999999999</v>
      </c>
      <c r="AQ87" s="123">
        <f t="shared" ref="AQ87:AW87" si="194">SUM(AQ83:AQ86)</f>
        <v>816.35999999999979</v>
      </c>
      <c r="AR87" s="521">
        <f t="shared" si="194"/>
        <v>3544.8549999999996</v>
      </c>
      <c r="AS87" s="121">
        <f t="shared" si="194"/>
        <v>816.99900000000002</v>
      </c>
      <c r="AT87" s="130">
        <f t="shared" si="194"/>
        <v>870.71199999999999</v>
      </c>
      <c r="AU87" s="130">
        <f t="shared" si="194"/>
        <v>1028.984504</v>
      </c>
      <c r="AV87" s="123">
        <f t="shared" si="194"/>
        <v>889.76649600000007</v>
      </c>
      <c r="AW87" s="521">
        <f t="shared" si="194"/>
        <v>3606.4620000000004</v>
      </c>
      <c r="AX87" s="121">
        <f>+AX96*AX102/1000</f>
        <v>832.01193141894612</v>
      </c>
      <c r="AY87" s="130">
        <f>+AY96*AY102/1000</f>
        <v>873.53978075020495</v>
      </c>
      <c r="AZ87" s="130">
        <f>+AZ96*AZ102/1000</f>
        <v>1017.2050807177562</v>
      </c>
      <c r="BA87" s="123">
        <f>+BA96*BA102/1000</f>
        <v>895.30289315094615</v>
      </c>
      <c r="BB87" s="521">
        <f>SUM(AX87:BA87)</f>
        <v>3618.0596860378532</v>
      </c>
      <c r="BC87" s="121">
        <f>+BC96*BC102/1000</f>
        <v>861.31694432525433</v>
      </c>
      <c r="BD87" s="130">
        <f>+BD96*BD102/1000</f>
        <v>904.13230819626563</v>
      </c>
      <c r="BE87" s="130">
        <f>+BE96*BE102/1000</f>
        <v>1055.2589409122818</v>
      </c>
      <c r="BF87" s="123">
        <f>+BF96*BF102/1000</f>
        <v>924.76613346158433</v>
      </c>
      <c r="BG87" s="521">
        <f>SUM(BC87:BF87)</f>
        <v>3745.4743268953862</v>
      </c>
      <c r="BH87" s="121">
        <f>+BH96*BH102/1000</f>
        <v>892.66727770468447</v>
      </c>
      <c r="BI87" s="130">
        <f>+BI96*BI102/1000</f>
        <v>936.85911655140001</v>
      </c>
      <c r="BJ87" s="130">
        <f>+BJ96*BJ102/1000</f>
        <v>1095.9801852453672</v>
      </c>
      <c r="BK87" s="123">
        <f>+BK96*BK102/1000</f>
        <v>956.2750898138554</v>
      </c>
      <c r="BL87" s="521">
        <f>SUM(BH87:BK87)</f>
        <v>3881.7816693153072</v>
      </c>
      <c r="BM87" s="121">
        <f>+BM96*BM102/1000</f>
        <v>917.53108278284287</v>
      </c>
      <c r="BN87" s="130">
        <f>+BN96*BN102/1000</f>
        <v>962.81740717814921</v>
      </c>
      <c r="BO87" s="130">
        <f>+BO96*BO102/1000</f>
        <v>1128.2403142526939</v>
      </c>
      <c r="BP87" s="123">
        <f>+BP96*BP102/1000</f>
        <v>981.29791442228679</v>
      </c>
      <c r="BQ87" s="521">
        <f>SUM(BM87:BP87)</f>
        <v>3989.8867186359726</v>
      </c>
      <c r="BR87" s="614"/>
      <c r="BS87" s="614"/>
      <c r="BT87" s="614"/>
      <c r="BU87" s="614"/>
      <c r="BV87" s="614"/>
      <c r="BW87" s="614"/>
      <c r="BX87" s="614"/>
      <c r="BY87" s="614"/>
      <c r="BZ87" s="614"/>
      <c r="CA87" s="614"/>
      <c r="CB87" s="614"/>
      <c r="CC87" s="614"/>
      <c r="CD87" s="614"/>
      <c r="CE87" s="614"/>
      <c r="CF87" s="614"/>
      <c r="CG87" s="614"/>
      <c r="CH87" s="614"/>
      <c r="CI87" s="614"/>
      <c r="CJ87" s="614"/>
      <c r="CK87" s="614"/>
      <c r="CL87" s="614"/>
      <c r="CM87" s="614"/>
      <c r="CN87" s="614"/>
      <c r="CO87" s="614"/>
      <c r="CP87" s="614"/>
      <c r="CQ87" s="614"/>
      <c r="CR87" s="614"/>
      <c r="CS87" s="614"/>
      <c r="CT87" s="614"/>
      <c r="CU87" s="614"/>
      <c r="CV87" s="614"/>
      <c r="CW87" s="614"/>
      <c r="CX87" s="614"/>
    </row>
    <row r="88" spans="1:104" x14ac:dyDescent="0.2">
      <c r="A88" s="610"/>
      <c r="B88" s="610"/>
      <c r="C88" s="610" t="s">
        <v>416</v>
      </c>
      <c r="D88" s="610"/>
      <c r="E88" s="136">
        <f>E8-E87</f>
        <v>164.47500000000014</v>
      </c>
      <c r="F88" s="137">
        <f>F8-F87</f>
        <v>142.08999999999992</v>
      </c>
      <c r="G88" s="137">
        <f>G8-G87</f>
        <v>129.55200000000002</v>
      </c>
      <c r="H88" s="116">
        <f>I88-SUM(E88:G88)</f>
        <v>153.03100000000006</v>
      </c>
      <c r="I88" s="615">
        <f>I8-I87</f>
        <v>589.14800000000014</v>
      </c>
      <c r="J88" s="136">
        <f>J8-J87</f>
        <v>152.26999999999987</v>
      </c>
      <c r="K88" s="137">
        <f>K8-K87</f>
        <v>150.60299999999995</v>
      </c>
      <c r="L88" s="137">
        <f>L8-L87</f>
        <v>159.62199999999996</v>
      </c>
      <c r="M88" s="116">
        <f>N88-SUM(J88:L88)</f>
        <v>156.89600000000075</v>
      </c>
      <c r="N88" s="615">
        <f>N8-N87</f>
        <v>619.39100000000053</v>
      </c>
      <c r="O88" s="136">
        <f>O8-O87</f>
        <v>168.98299999999995</v>
      </c>
      <c r="P88" s="137">
        <f>P8-P87</f>
        <v>141.75700000000006</v>
      </c>
      <c r="Q88" s="137">
        <f>Q8-Q87</f>
        <v>147.12</v>
      </c>
      <c r="R88" s="116">
        <f>S88-SUM(O88:Q88)</f>
        <v>209.11900000000026</v>
      </c>
      <c r="S88" s="615">
        <f>S8-S87</f>
        <v>666.97900000000027</v>
      </c>
      <c r="T88" s="136">
        <f>T8-T87</f>
        <v>144.59899999999993</v>
      </c>
      <c r="U88" s="137">
        <f>U8-U87</f>
        <v>169.19299999999998</v>
      </c>
      <c r="V88" s="137">
        <f>V8-V87</f>
        <v>187.65300000000002</v>
      </c>
      <c r="W88" s="116">
        <f>X88-SUM(T88:V88)</f>
        <v>183.40699999999993</v>
      </c>
      <c r="X88" s="615">
        <f>X8-X87</f>
        <v>684.85199999999986</v>
      </c>
      <c r="Y88" s="136">
        <f>Y8-Y87</f>
        <v>148.09900000000005</v>
      </c>
      <c r="Z88" s="137">
        <f>Z8-Z87</f>
        <v>124.93200000000002</v>
      </c>
      <c r="AA88" s="137">
        <f>AA8-AA87</f>
        <v>113.78899999999999</v>
      </c>
      <c r="AB88" s="116">
        <f>AC88-SUM(Y88:AA88)</f>
        <v>297.64799999999934</v>
      </c>
      <c r="AC88" s="615">
        <f>AC8-AC87</f>
        <v>684.46799999999939</v>
      </c>
      <c r="AD88" s="136">
        <f>AD8-AD87</f>
        <v>182.8549999999999</v>
      </c>
      <c r="AE88" s="137">
        <f>AE8-AE87</f>
        <v>167.00700000000006</v>
      </c>
      <c r="AF88" s="137">
        <f>AF8-AF87</f>
        <v>149.30600000000004</v>
      </c>
      <c r="AG88" s="116">
        <f>AH88-SUM(AD88:AF88)</f>
        <v>282.12499999999966</v>
      </c>
      <c r="AH88" s="615">
        <f>AH8-AH87</f>
        <v>781.29299999999967</v>
      </c>
      <c r="AI88" s="136">
        <f>AI8-AI87</f>
        <v>209.16999999999996</v>
      </c>
      <c r="AJ88" s="137">
        <f>AJ8-AJ87</f>
        <v>195.41700000000014</v>
      </c>
      <c r="AK88" s="137">
        <f>AK8-AK87</f>
        <v>206.63400000000001</v>
      </c>
      <c r="AL88" s="116">
        <f>AM88-SUM(AI88:AK88)</f>
        <v>184.05300000000022</v>
      </c>
      <c r="AM88" s="615">
        <f>AM8-AM87</f>
        <v>795.27400000000034</v>
      </c>
      <c r="AN88" s="136">
        <f>AN8-AN87</f>
        <v>200.83299999999997</v>
      </c>
      <c r="AO88" s="137">
        <f>AO8-AO87</f>
        <v>167.84800000000007</v>
      </c>
      <c r="AP88" s="137">
        <f>AP8-AP87</f>
        <v>235.51200000000017</v>
      </c>
      <c r="AQ88" s="116">
        <f>AR88-SUM(AN88:AP88)</f>
        <v>255.53700000000026</v>
      </c>
      <c r="AR88" s="615">
        <f>AR8-AR87</f>
        <v>859.73000000000047</v>
      </c>
      <c r="AS88" s="136">
        <f>AS8-AS87</f>
        <v>262.03099999999995</v>
      </c>
      <c r="AT88" s="137">
        <f>AT8-AT87</f>
        <v>209.06700000000001</v>
      </c>
      <c r="AU88" s="137">
        <f>AU8-AU87</f>
        <v>261.98649599999999</v>
      </c>
      <c r="AV88" s="116">
        <f>AW88-SUM(AS88:AU88)</f>
        <v>202.20650400000022</v>
      </c>
      <c r="AW88" s="615">
        <f>AW8-AW87</f>
        <v>935.29100000000017</v>
      </c>
      <c r="AX88" s="136">
        <f>+AS88</f>
        <v>262.03099999999995</v>
      </c>
      <c r="AY88" s="137">
        <f>+AT88</f>
        <v>209.06700000000001</v>
      </c>
      <c r="AZ88" s="137">
        <f>+AU88</f>
        <v>261.98649599999999</v>
      </c>
      <c r="BA88" s="116">
        <f>+AV88</f>
        <v>202.20650400000022</v>
      </c>
      <c r="BB88" s="615">
        <f>SUM(AX88:BA88)</f>
        <v>935.29100000000017</v>
      </c>
      <c r="BC88" s="136">
        <f>+AX88</f>
        <v>262.03099999999995</v>
      </c>
      <c r="BD88" s="137">
        <f>+AY88</f>
        <v>209.06700000000001</v>
      </c>
      <c r="BE88" s="137">
        <f>+AZ88</f>
        <v>261.98649599999999</v>
      </c>
      <c r="BF88" s="116">
        <f>+BA88</f>
        <v>202.20650400000022</v>
      </c>
      <c r="BG88" s="615">
        <f>SUM(BC88:BF88)</f>
        <v>935.29100000000017</v>
      </c>
      <c r="BH88" s="136">
        <f>+BC88</f>
        <v>262.03099999999995</v>
      </c>
      <c r="BI88" s="137">
        <f>+BD88</f>
        <v>209.06700000000001</v>
      </c>
      <c r="BJ88" s="137">
        <f>+BE88</f>
        <v>261.98649599999999</v>
      </c>
      <c r="BK88" s="116">
        <f>+BF88</f>
        <v>202.20650400000022</v>
      </c>
      <c r="BL88" s="615">
        <f>SUM(BH88:BK88)</f>
        <v>935.29100000000017</v>
      </c>
      <c r="BM88" s="136">
        <f>+BH88</f>
        <v>262.03099999999995</v>
      </c>
      <c r="BN88" s="137">
        <f>+BI88</f>
        <v>209.06700000000001</v>
      </c>
      <c r="BO88" s="137">
        <f>+BJ88</f>
        <v>261.98649599999999</v>
      </c>
      <c r="BP88" s="116">
        <f>+BK88</f>
        <v>202.20650400000022</v>
      </c>
      <c r="BQ88" s="615">
        <f>SUM(BM88:BP88)</f>
        <v>935.29100000000017</v>
      </c>
      <c r="BR88" s="610"/>
      <c r="BS88" s="610"/>
      <c r="BT88" s="610"/>
      <c r="BU88" s="610"/>
      <c r="BV88" s="610"/>
      <c r="BW88" s="610"/>
      <c r="BX88" s="610"/>
      <c r="BY88" s="610"/>
      <c r="BZ88" s="610"/>
      <c r="CA88" s="610"/>
      <c r="CB88" s="610"/>
      <c r="CC88" s="610"/>
      <c r="CD88" s="610"/>
      <c r="CE88" s="610"/>
      <c r="CF88" s="610"/>
      <c r="CG88" s="610"/>
      <c r="CH88" s="610"/>
      <c r="CI88" s="610"/>
      <c r="CJ88" s="610"/>
      <c r="CK88" s="610"/>
      <c r="CL88" s="610"/>
      <c r="CM88" s="610"/>
      <c r="CN88" s="610"/>
      <c r="CO88" s="610"/>
      <c r="CP88" s="610"/>
      <c r="CQ88" s="610"/>
      <c r="CR88" s="610"/>
      <c r="CS88" s="610"/>
      <c r="CT88" s="610"/>
      <c r="CU88" s="610"/>
      <c r="CV88" s="610"/>
      <c r="CW88" s="610"/>
      <c r="CX88" s="610"/>
    </row>
    <row r="89" spans="1:104" x14ac:dyDescent="0.2">
      <c r="A89" s="610"/>
      <c r="B89" s="610"/>
      <c r="C89" s="614" t="s">
        <v>257</v>
      </c>
      <c r="D89" s="610"/>
      <c r="E89" s="121">
        <f t="shared" ref="E89:T89" si="195">SUM(E87:E88)</f>
        <v>869.08199999999999</v>
      </c>
      <c r="F89" s="130">
        <f t="shared" si="195"/>
        <v>787.58399999999995</v>
      </c>
      <c r="G89" s="130">
        <f t="shared" si="195"/>
        <v>916.33799999999997</v>
      </c>
      <c r="H89" s="123">
        <f t="shared" si="195"/>
        <v>834.26900000000012</v>
      </c>
      <c r="I89" s="521">
        <f t="shared" si="195"/>
        <v>3407.2730000000001</v>
      </c>
      <c r="J89" s="121">
        <f t="shared" si="195"/>
        <v>850.23199999999997</v>
      </c>
      <c r="K89" s="130">
        <f t="shared" si="195"/>
        <v>842.62</v>
      </c>
      <c r="L89" s="130">
        <f t="shared" si="195"/>
        <v>1068.4159999999999</v>
      </c>
      <c r="M89" s="123">
        <f t="shared" si="195"/>
        <v>863.44700000000057</v>
      </c>
      <c r="N89" s="521">
        <f t="shared" si="195"/>
        <v>3624.7150000000001</v>
      </c>
      <c r="O89" s="121">
        <f t="shared" si="195"/>
        <v>904.13699999999994</v>
      </c>
      <c r="P89" s="130">
        <f t="shared" si="195"/>
        <v>908.07</v>
      </c>
      <c r="Q89" s="130">
        <f t="shared" si="195"/>
        <v>1103.875</v>
      </c>
      <c r="R89" s="123">
        <f t="shared" si="195"/>
        <v>856.54600000000028</v>
      </c>
      <c r="S89" s="521">
        <f t="shared" si="195"/>
        <v>3772.6280000000002</v>
      </c>
      <c r="T89" s="121">
        <f t="shared" si="195"/>
        <v>874.38400000000001</v>
      </c>
      <c r="U89" s="130">
        <f>SUM(U87:U88)</f>
        <v>908.05</v>
      </c>
      <c r="V89" s="130">
        <f>SUM(V87:V88)</f>
        <v>1130.2070000000001</v>
      </c>
      <c r="W89" s="123">
        <f t="shared" ref="W89:AD89" si="196">SUM(W87:W88)</f>
        <v>929.88799999999992</v>
      </c>
      <c r="X89" s="521">
        <f t="shared" si="196"/>
        <v>3842.529</v>
      </c>
      <c r="Y89" s="121">
        <f t="shared" si="196"/>
        <v>951.31400000000008</v>
      </c>
      <c r="Z89" s="130">
        <f t="shared" si="196"/>
        <v>971.23099999999999</v>
      </c>
      <c r="AA89" s="130">
        <f t="shared" si="196"/>
        <v>1157.134</v>
      </c>
      <c r="AB89" s="123">
        <f t="shared" si="196"/>
        <v>982.76099999999917</v>
      </c>
      <c r="AC89" s="521">
        <f t="shared" si="196"/>
        <v>4062.4399999999996</v>
      </c>
      <c r="AD89" s="121">
        <f t="shared" si="196"/>
        <v>1068.3399999999999</v>
      </c>
      <c r="AE89" s="130">
        <f t="shared" ref="AE89:AJ89" si="197">SUM(AE87:AE88)</f>
        <v>1000.8570000000001</v>
      </c>
      <c r="AF89" s="130">
        <f t="shared" si="197"/>
        <v>1121.0550000000001</v>
      </c>
      <c r="AG89" s="123">
        <f t="shared" si="197"/>
        <v>1012.1049999999997</v>
      </c>
      <c r="AH89" s="521">
        <f t="shared" si="197"/>
        <v>4202.357</v>
      </c>
      <c r="AI89" s="121">
        <f t="shared" si="197"/>
        <v>1006.154</v>
      </c>
      <c r="AJ89" s="130">
        <f t="shared" si="197"/>
        <v>999.87200000000007</v>
      </c>
      <c r="AK89" s="130">
        <f t="shared" ref="AK89:AU89" si="198">SUM(AK87:AK88)</f>
        <v>1188.3430000000001</v>
      </c>
      <c r="AL89" s="123">
        <f t="shared" si="198"/>
        <v>989.34600000000012</v>
      </c>
      <c r="AM89" s="521">
        <f t="shared" si="198"/>
        <v>4183.7150000000001</v>
      </c>
      <c r="AN89" s="121">
        <f t="shared" si="198"/>
        <v>1033.643</v>
      </c>
      <c r="AO89" s="130">
        <f t="shared" si="198"/>
        <v>1016.471</v>
      </c>
      <c r="AP89" s="130">
        <f t="shared" si="198"/>
        <v>1282.5740000000001</v>
      </c>
      <c r="AQ89" s="123">
        <f t="shared" si="198"/>
        <v>1071.8969999999999</v>
      </c>
      <c r="AR89" s="521">
        <f t="shared" si="198"/>
        <v>4404.585</v>
      </c>
      <c r="AS89" s="121">
        <f t="shared" si="198"/>
        <v>1079.03</v>
      </c>
      <c r="AT89" s="130">
        <f t="shared" si="198"/>
        <v>1079.779</v>
      </c>
      <c r="AU89" s="130">
        <f t="shared" si="198"/>
        <v>1290.971</v>
      </c>
      <c r="AV89" s="123">
        <f t="shared" ref="AV89:AW89" si="199">SUM(AV87:AV88)</f>
        <v>1091.9730000000004</v>
      </c>
      <c r="AW89" s="521">
        <f t="shared" si="199"/>
        <v>4541.7530000000006</v>
      </c>
      <c r="AX89" s="121">
        <f t="shared" ref="AX89:BG89" si="200">SUM(AX87:AX88)</f>
        <v>1094.042931418946</v>
      </c>
      <c r="AY89" s="130">
        <f t="shared" si="200"/>
        <v>1082.606780750205</v>
      </c>
      <c r="AZ89" s="130">
        <f t="shared" si="200"/>
        <v>1279.1915767177561</v>
      </c>
      <c r="BA89" s="123">
        <f t="shared" si="200"/>
        <v>1097.5093971509464</v>
      </c>
      <c r="BB89" s="521">
        <f t="shared" si="200"/>
        <v>4553.3506860378529</v>
      </c>
      <c r="BC89" s="121">
        <f t="shared" si="200"/>
        <v>1123.3479443252543</v>
      </c>
      <c r="BD89" s="130">
        <f t="shared" si="200"/>
        <v>1113.1993081962655</v>
      </c>
      <c r="BE89" s="130">
        <f t="shared" si="200"/>
        <v>1317.2454369122818</v>
      </c>
      <c r="BF89" s="123">
        <f t="shared" si="200"/>
        <v>1126.9726374615846</v>
      </c>
      <c r="BG89" s="521">
        <f t="shared" si="200"/>
        <v>4680.7653268953864</v>
      </c>
      <c r="BH89" s="121">
        <f t="shared" ref="BH89:BQ89" si="201">SUM(BH87:BH88)</f>
        <v>1154.6982777046844</v>
      </c>
      <c r="BI89" s="130">
        <f t="shared" si="201"/>
        <v>1145.9261165513999</v>
      </c>
      <c r="BJ89" s="130">
        <f t="shared" si="201"/>
        <v>1357.9666812453672</v>
      </c>
      <c r="BK89" s="123">
        <f t="shared" si="201"/>
        <v>1158.4815938138556</v>
      </c>
      <c r="BL89" s="521">
        <f t="shared" si="201"/>
        <v>4817.0726693153074</v>
      </c>
      <c r="BM89" s="121">
        <f t="shared" si="201"/>
        <v>1179.5620827828429</v>
      </c>
      <c r="BN89" s="130">
        <f t="shared" si="201"/>
        <v>1171.8844071781491</v>
      </c>
      <c r="BO89" s="130">
        <f t="shared" si="201"/>
        <v>1390.2268102526939</v>
      </c>
      <c r="BP89" s="123">
        <f t="shared" si="201"/>
        <v>1183.504418422287</v>
      </c>
      <c r="BQ89" s="521">
        <f t="shared" si="201"/>
        <v>4925.1777186359723</v>
      </c>
      <c r="BR89" s="610"/>
      <c r="BS89" s="610"/>
      <c r="BT89" s="610"/>
      <c r="BU89" s="610"/>
      <c r="BV89" s="610"/>
      <c r="BW89" s="610"/>
      <c r="BX89" s="610"/>
      <c r="BY89" s="610"/>
      <c r="BZ89" s="610"/>
      <c r="CA89" s="610"/>
      <c r="CB89" s="610"/>
      <c r="CC89" s="610"/>
      <c r="CD89" s="610"/>
      <c r="CE89" s="610"/>
      <c r="CF89" s="610"/>
      <c r="CG89" s="610"/>
      <c r="CH89" s="610"/>
      <c r="CI89" s="610"/>
      <c r="CJ89" s="610"/>
      <c r="CK89" s="610"/>
      <c r="CL89" s="610"/>
      <c r="CM89" s="610"/>
      <c r="CN89" s="610"/>
      <c r="CO89" s="610"/>
      <c r="CP89" s="610"/>
      <c r="CQ89" s="610"/>
      <c r="CR89" s="610"/>
      <c r="CS89" s="610"/>
      <c r="CT89" s="610"/>
      <c r="CU89" s="610"/>
      <c r="CV89" s="610"/>
      <c r="CW89" s="610"/>
      <c r="CX89" s="610"/>
    </row>
    <row r="90" spans="1:104" s="20" customFormat="1" x14ac:dyDescent="0.2">
      <c r="A90" s="220"/>
      <c r="B90" s="220"/>
      <c r="C90" s="82"/>
      <c r="D90" s="82"/>
      <c r="E90" s="136"/>
      <c r="F90" s="137"/>
      <c r="G90" s="137"/>
      <c r="H90" s="116"/>
      <c r="I90" s="82"/>
      <c r="J90" s="136"/>
      <c r="K90" s="137"/>
      <c r="L90" s="137"/>
      <c r="M90" s="116"/>
      <c r="N90" s="82"/>
      <c r="O90" s="136"/>
      <c r="P90" s="137"/>
      <c r="Q90" s="137"/>
      <c r="R90" s="116"/>
      <c r="S90" s="220"/>
      <c r="T90" s="136"/>
      <c r="U90" s="137"/>
      <c r="V90" s="137"/>
      <c r="W90" s="116"/>
      <c r="X90" s="82"/>
      <c r="Y90" s="136"/>
      <c r="Z90" s="137"/>
      <c r="AA90" s="137"/>
      <c r="AB90" s="116"/>
      <c r="AC90" s="82"/>
      <c r="AD90" s="136"/>
      <c r="AE90" s="137"/>
      <c r="AF90" s="137"/>
      <c r="AG90" s="116"/>
      <c r="AH90" s="82"/>
      <c r="AI90" s="136"/>
      <c r="AJ90" s="137"/>
      <c r="AK90" s="137"/>
      <c r="AL90" s="116"/>
      <c r="AM90" s="82"/>
      <c r="AN90" s="136"/>
      <c r="AO90" s="137"/>
      <c r="AP90" s="137"/>
      <c r="AQ90" s="116"/>
      <c r="AR90" s="82"/>
      <c r="AS90" s="136"/>
      <c r="AT90" s="137"/>
      <c r="AU90" s="137"/>
      <c r="AV90" s="116"/>
      <c r="AW90" s="82"/>
      <c r="AX90" s="136"/>
      <c r="AY90" s="137"/>
      <c r="AZ90" s="137"/>
      <c r="BA90" s="116"/>
      <c r="BB90" s="82"/>
      <c r="BC90" s="136"/>
      <c r="BD90" s="137"/>
      <c r="BE90" s="137"/>
      <c r="BF90" s="116"/>
      <c r="BG90" s="82"/>
      <c r="BH90" s="136"/>
      <c r="BI90" s="137"/>
      <c r="BJ90" s="137"/>
      <c r="BK90" s="116"/>
      <c r="BL90" s="82"/>
      <c r="BM90" s="136"/>
      <c r="BN90" s="137"/>
      <c r="BO90" s="137"/>
      <c r="BP90" s="116"/>
      <c r="BQ90" s="82"/>
      <c r="BR90" s="220"/>
      <c r="BS90" s="220"/>
      <c r="BT90" s="220"/>
      <c r="BU90" s="220"/>
      <c r="BV90" s="220"/>
      <c r="BW90" s="220"/>
      <c r="BX90" s="220"/>
      <c r="BY90" s="220"/>
      <c r="BZ90" s="220"/>
      <c r="CA90" s="220"/>
      <c r="CB90" s="220"/>
      <c r="CC90" s="220"/>
      <c r="CD90" s="220"/>
      <c r="CE90" s="220"/>
      <c r="CF90" s="220"/>
      <c r="CG90" s="220"/>
      <c r="CH90" s="220"/>
      <c r="CI90" s="220"/>
      <c r="CJ90" s="220"/>
      <c r="CK90" s="220"/>
      <c r="CL90" s="220"/>
      <c r="CM90" s="220"/>
      <c r="CN90" s="220"/>
      <c r="CO90" s="220"/>
      <c r="CP90" s="220"/>
      <c r="CQ90" s="220"/>
      <c r="CR90" s="220"/>
      <c r="CS90" s="220"/>
      <c r="CT90" s="220"/>
      <c r="CU90" s="220"/>
      <c r="CV90" s="220"/>
      <c r="CW90" s="220"/>
      <c r="CX90" s="220"/>
      <c r="CY90" s="220"/>
      <c r="CZ90" s="220"/>
    </row>
    <row r="91" spans="1:104" x14ac:dyDescent="0.2">
      <c r="A91" s="44"/>
      <c r="B91" s="44"/>
      <c r="C91" s="562" t="s">
        <v>258</v>
      </c>
      <c r="D91" s="42"/>
      <c r="E91" s="121"/>
      <c r="F91" s="130"/>
      <c r="G91" s="130"/>
      <c r="H91" s="123"/>
      <c r="I91" s="86"/>
      <c r="J91" s="121"/>
      <c r="K91" s="130"/>
      <c r="L91" s="130"/>
      <c r="M91" s="123"/>
      <c r="N91" s="86"/>
      <c r="O91" s="121"/>
      <c r="P91" s="130"/>
      <c r="Q91" s="130"/>
      <c r="R91" s="123"/>
      <c r="S91" s="85"/>
      <c r="T91" s="121"/>
      <c r="U91" s="130"/>
      <c r="V91" s="130"/>
      <c r="W91" s="123"/>
      <c r="X91" s="86"/>
      <c r="Y91" s="121"/>
      <c r="Z91" s="130"/>
      <c r="AA91" s="130"/>
      <c r="AB91" s="123"/>
      <c r="AC91" s="86"/>
      <c r="AD91" s="121"/>
      <c r="AE91" s="130"/>
      <c r="AF91" s="130"/>
      <c r="AG91" s="123"/>
      <c r="AH91" s="86"/>
      <c r="AI91" s="121"/>
      <c r="AJ91" s="130"/>
      <c r="AK91" s="130"/>
      <c r="AL91" s="123"/>
      <c r="AM91" s="86"/>
      <c r="AN91" s="121"/>
      <c r="AO91" s="130"/>
      <c r="AP91" s="130"/>
      <c r="AQ91" s="123"/>
      <c r="AR91" s="86"/>
      <c r="AS91" s="121"/>
      <c r="AT91" s="130"/>
      <c r="AU91" s="130"/>
      <c r="AV91" s="123"/>
      <c r="AW91" s="86"/>
      <c r="AX91" s="121"/>
      <c r="AY91" s="130"/>
      <c r="AZ91" s="130"/>
      <c r="BA91" s="123"/>
      <c r="BB91" s="86"/>
      <c r="BC91" s="121"/>
      <c r="BD91" s="130"/>
      <c r="BE91" s="130"/>
      <c r="BF91" s="123"/>
      <c r="BG91" s="86"/>
      <c r="BH91" s="121"/>
      <c r="BI91" s="130"/>
      <c r="BJ91" s="130"/>
      <c r="BK91" s="123"/>
      <c r="BL91" s="86"/>
      <c r="BM91" s="121"/>
      <c r="BN91" s="130"/>
      <c r="BO91" s="130"/>
      <c r="BP91" s="123"/>
      <c r="BQ91" s="86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  <c r="CX91" s="44"/>
      <c r="CY91" s="44"/>
      <c r="CZ91" s="44"/>
    </row>
    <row r="92" spans="1:104" x14ac:dyDescent="0.2">
      <c r="A92" s="44"/>
      <c r="B92" s="44"/>
      <c r="C92" s="20" t="s">
        <v>259</v>
      </c>
      <c r="D92" s="42"/>
      <c r="E92" s="310">
        <v>2788.8249999999998</v>
      </c>
      <c r="F92" s="311">
        <v>2145.46</v>
      </c>
      <c r="G92" s="311">
        <v>2558.971</v>
      </c>
      <c r="H92" s="312">
        <f>I92-SUM(E92:G92)</f>
        <v>2518.527</v>
      </c>
      <c r="I92" s="313">
        <v>10011.782999999999</v>
      </c>
      <c r="J92" s="310">
        <v>2609.549</v>
      </c>
      <c r="K92" s="311">
        <v>2241.2109999999998</v>
      </c>
      <c r="L92" s="311">
        <v>3087.9209999999998</v>
      </c>
      <c r="M92" s="312">
        <f>N92-SUM(J92:L92)</f>
        <v>2474.9399999999987</v>
      </c>
      <c r="N92" s="313">
        <v>10413.620999999999</v>
      </c>
      <c r="O92" s="310">
        <v>2660.8870000000002</v>
      </c>
      <c r="P92" s="311">
        <v>2267.627</v>
      </c>
      <c r="Q92" s="746">
        <v>3135.8069999999998</v>
      </c>
      <c r="R92" s="312">
        <f>S92-SUM(O92:Q92)</f>
        <v>2383.6790000000001</v>
      </c>
      <c r="S92" s="736">
        <v>10448</v>
      </c>
      <c r="T92" s="114">
        <v>2464.7869999999998</v>
      </c>
      <c r="U92" s="746">
        <v>2324.6239999999998</v>
      </c>
      <c r="V92" s="311">
        <v>3067.143</v>
      </c>
      <c r="W92" s="312">
        <f>X92-SUM(T92:V92)</f>
        <v>2520.4459999999999</v>
      </c>
      <c r="X92" s="736">
        <v>10377</v>
      </c>
      <c r="Y92" s="114">
        <v>2639.011</v>
      </c>
      <c r="Z92" s="746">
        <v>2304.5970000000002</v>
      </c>
      <c r="AA92" s="746">
        <v>3027.5149999999999</v>
      </c>
      <c r="AB92" s="312">
        <f>AC92-SUM(Y92:AA92)</f>
        <v>2514.8770000000004</v>
      </c>
      <c r="AC92" s="736">
        <v>10486</v>
      </c>
      <c r="AD92" s="114">
        <v>2791.1280000000002</v>
      </c>
      <c r="AE92" s="746">
        <v>2310.2310000000002</v>
      </c>
      <c r="AF92" s="746">
        <v>2751.8440000000001</v>
      </c>
      <c r="AG92" s="312">
        <f>AH92-SUM(AD92:AF92)</f>
        <v>2463.7969999999996</v>
      </c>
      <c r="AH92" s="736">
        <v>10317</v>
      </c>
      <c r="AI92" s="114">
        <v>2616.1</v>
      </c>
      <c r="AJ92" s="746">
        <v>2162.3330000000001</v>
      </c>
      <c r="AK92" s="746">
        <v>2843.145</v>
      </c>
      <c r="AL92" s="312">
        <f>AM92-SUM(AI92:AK92)</f>
        <v>2366.4220000000005</v>
      </c>
      <c r="AM92" s="736">
        <v>9988</v>
      </c>
      <c r="AN92" s="114">
        <v>2507.0650000000001</v>
      </c>
      <c r="AO92" s="746">
        <v>2266.14</v>
      </c>
      <c r="AP92" s="746">
        <v>2977.933</v>
      </c>
      <c r="AQ92" s="312">
        <f>AR92-SUM(AN92:AP92)</f>
        <v>2355.8620000000001</v>
      </c>
      <c r="AR92" s="736">
        <v>10107</v>
      </c>
      <c r="AS92" s="114">
        <v>2481.326</v>
      </c>
      <c r="AT92" s="746">
        <v>2233.9789999999998</v>
      </c>
      <c r="AU92" s="746">
        <f>7491.952-SUM(AS92:AT92)</f>
        <v>2776.6469999999999</v>
      </c>
      <c r="AV92" s="312">
        <f>AW92-SUM(AS92:AU92)</f>
        <v>2408.0479999999998</v>
      </c>
      <c r="AW92" s="736">
        <v>9900</v>
      </c>
      <c r="AX92" s="121"/>
      <c r="AY92" s="130"/>
      <c r="AZ92" s="130"/>
      <c r="BA92" s="123"/>
      <c r="BB92" s="86"/>
      <c r="BC92" s="121"/>
      <c r="BD92" s="130"/>
      <c r="BE92" s="130"/>
      <c r="BF92" s="123"/>
      <c r="BG92" s="86"/>
      <c r="BH92" s="121"/>
      <c r="BI92" s="130"/>
      <c r="BJ92" s="130"/>
      <c r="BK92" s="123"/>
      <c r="BL92" s="86"/>
      <c r="BM92" s="121"/>
      <c r="BN92" s="130"/>
      <c r="BO92" s="130"/>
      <c r="BP92" s="123"/>
      <c r="BQ92" s="86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44"/>
      <c r="CY92" s="44"/>
      <c r="CZ92" s="44"/>
    </row>
    <row r="93" spans="1:104" x14ac:dyDescent="0.2">
      <c r="A93" s="44"/>
      <c r="B93" s="44"/>
      <c r="C93" s="20" t="s">
        <v>412</v>
      </c>
      <c r="D93" s="42"/>
      <c r="E93" s="310">
        <v>3662.3229999999999</v>
      </c>
      <c r="F93" s="311">
        <v>3727.4690000000001</v>
      </c>
      <c r="G93" s="311">
        <v>4064.5610000000001</v>
      </c>
      <c r="H93" s="312">
        <f>I93-SUM(E93:G93)</f>
        <v>3736.0860000000011</v>
      </c>
      <c r="I93" s="313">
        <v>15190.439</v>
      </c>
      <c r="J93" s="310">
        <v>3695.78</v>
      </c>
      <c r="K93" s="311">
        <v>3770.1790000000001</v>
      </c>
      <c r="L93" s="311">
        <v>4262.5429999999997</v>
      </c>
      <c r="M93" s="312">
        <f>N93-SUM(J93:L93)</f>
        <v>3721.4660000000003</v>
      </c>
      <c r="N93" s="313">
        <v>15449.968000000001</v>
      </c>
      <c r="O93" s="310">
        <v>3787.6289999999999</v>
      </c>
      <c r="P93" s="311">
        <v>3752.0439999999999</v>
      </c>
      <c r="Q93" s="746">
        <v>4220.53</v>
      </c>
      <c r="R93" s="312">
        <f>S93-SUM(O93:Q93)</f>
        <v>3678.7970000000005</v>
      </c>
      <c r="S93" s="736">
        <v>15439</v>
      </c>
      <c r="T93" s="114">
        <v>3675.4639999999999</v>
      </c>
      <c r="U93" s="746">
        <v>3777.0610000000001</v>
      </c>
      <c r="V93" s="311">
        <v>4271.0029999999997</v>
      </c>
      <c r="W93" s="312">
        <f>X93-SUM(T93:V93)</f>
        <v>3754.4720000000016</v>
      </c>
      <c r="X93" s="736">
        <v>15478</v>
      </c>
      <c r="Y93" s="114">
        <v>3716.431</v>
      </c>
      <c r="Z93" s="746">
        <v>3796.114</v>
      </c>
      <c r="AA93" s="746">
        <v>4290.875</v>
      </c>
      <c r="AB93" s="312">
        <f>AC93-SUM(Y93:AA93)</f>
        <v>3773.58</v>
      </c>
      <c r="AC93" s="736">
        <v>15577</v>
      </c>
      <c r="AD93" s="114">
        <v>3864.3310000000001</v>
      </c>
      <c r="AE93" s="746">
        <v>3820.1619999999998</v>
      </c>
      <c r="AF93" s="746">
        <v>4180.2579999999998</v>
      </c>
      <c r="AG93" s="312">
        <f>AH93-SUM(AD93:AF93)</f>
        <v>3805.2489999999998</v>
      </c>
      <c r="AH93" s="736">
        <v>15670</v>
      </c>
      <c r="AI93" s="114">
        <v>3783.7109999999998</v>
      </c>
      <c r="AJ93" s="746">
        <v>3726.9960000000001</v>
      </c>
      <c r="AK93" s="746">
        <v>4234.3059999999996</v>
      </c>
      <c r="AL93" s="312">
        <f>AM93-SUM(AI93:AK93)</f>
        <v>3714.987000000001</v>
      </c>
      <c r="AM93" s="736">
        <v>15460</v>
      </c>
      <c r="AN93" s="114">
        <v>3720.2420000000002</v>
      </c>
      <c r="AO93" s="746">
        <v>3749.2040000000002</v>
      </c>
      <c r="AP93" s="746">
        <v>4235.4830000000002</v>
      </c>
      <c r="AQ93" s="312">
        <f>AR93-SUM(AN93:AP93)</f>
        <v>3672.0709999999999</v>
      </c>
      <c r="AR93" s="736">
        <v>15377</v>
      </c>
      <c r="AS93" s="114">
        <v>3666.2939999999999</v>
      </c>
      <c r="AT93" s="746">
        <v>3658.7829999999999</v>
      </c>
      <c r="AU93" s="746">
        <f>11496.096-SUM(AS93:AT93)</f>
        <v>4171.0190000000002</v>
      </c>
      <c r="AV93" s="312">
        <f>AW93-SUM(AS93:AU93)</f>
        <v>3607.9040000000005</v>
      </c>
      <c r="AW93" s="736">
        <v>15104</v>
      </c>
      <c r="AX93" s="121"/>
      <c r="AY93" s="130"/>
      <c r="AZ93" s="130"/>
      <c r="BA93" s="123"/>
      <c r="BB93" s="86"/>
      <c r="BC93" s="121"/>
      <c r="BD93" s="130"/>
      <c r="BE93" s="130"/>
      <c r="BF93" s="123"/>
      <c r="BG93" s="86"/>
      <c r="BH93" s="121"/>
      <c r="BI93" s="130"/>
      <c r="BJ93" s="130"/>
      <c r="BK93" s="123"/>
      <c r="BL93" s="86"/>
      <c r="BM93" s="121"/>
      <c r="BN93" s="130"/>
      <c r="BO93" s="130"/>
      <c r="BP93" s="123"/>
      <c r="BQ93" s="86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  <c r="CX93" s="44"/>
      <c r="CY93" s="44"/>
      <c r="CZ93" s="44"/>
    </row>
    <row r="94" spans="1:104" x14ac:dyDescent="0.2">
      <c r="A94" s="44"/>
      <c r="B94" s="44"/>
      <c r="C94" s="20" t="s">
        <v>413</v>
      </c>
      <c r="D94" s="42"/>
      <c r="E94" s="310">
        <v>2326.4340000000002</v>
      </c>
      <c r="F94" s="311">
        <v>2171.1370000000002</v>
      </c>
      <c r="G94" s="311">
        <v>2514.9180000000001</v>
      </c>
      <c r="H94" s="312">
        <f>I94-SUM(E94:G94)</f>
        <v>2302.1580000000013</v>
      </c>
      <c r="I94" s="313">
        <v>9314.6470000000008</v>
      </c>
      <c r="J94" s="310">
        <v>2267.2150000000001</v>
      </c>
      <c r="K94" s="311">
        <v>2364.8440000000001</v>
      </c>
      <c r="L94" s="311">
        <v>2704.9319999999998</v>
      </c>
      <c r="M94" s="312">
        <f>N94-SUM(J94:L94)</f>
        <v>2401.5670000000009</v>
      </c>
      <c r="N94" s="313">
        <v>9738.5580000000009</v>
      </c>
      <c r="O94" s="310">
        <v>2302.9679999999998</v>
      </c>
      <c r="P94" s="311">
        <v>2357.703</v>
      </c>
      <c r="Q94" s="746">
        <v>2703.605</v>
      </c>
      <c r="R94" s="312">
        <f>S94-SUM(O94:Q94)</f>
        <v>2385.7240000000002</v>
      </c>
      <c r="S94" s="736">
        <v>9750</v>
      </c>
      <c r="T94" s="114">
        <v>2198.1080000000002</v>
      </c>
      <c r="U94" s="746">
        <v>2344.502</v>
      </c>
      <c r="V94" s="311">
        <v>2533.123</v>
      </c>
      <c r="W94" s="312">
        <f>X94-SUM(T94:V94)</f>
        <v>2226.2669999999998</v>
      </c>
      <c r="X94" s="736">
        <v>9302</v>
      </c>
      <c r="Y94" s="114">
        <v>2093.2640000000001</v>
      </c>
      <c r="Z94" s="746">
        <v>2178.2429999999999</v>
      </c>
      <c r="AA94" s="746">
        <v>2473.7370000000001</v>
      </c>
      <c r="AB94" s="312">
        <f>AC94-SUM(Y94:AA94)</f>
        <v>2217.7560000000003</v>
      </c>
      <c r="AC94" s="736">
        <v>8963</v>
      </c>
      <c r="AD94" s="114">
        <v>2105.2620000000002</v>
      </c>
      <c r="AE94" s="746">
        <v>2128.9229999999998</v>
      </c>
      <c r="AF94" s="746">
        <v>2422.7800000000002</v>
      </c>
      <c r="AG94" s="312">
        <f>AH94-SUM(AD94:AF94)</f>
        <v>2202.0349999999999</v>
      </c>
      <c r="AH94" s="736">
        <v>8859</v>
      </c>
      <c r="AI94" s="114">
        <v>2085.9969999999998</v>
      </c>
      <c r="AJ94" s="746">
        <v>2212.37</v>
      </c>
      <c r="AK94" s="746">
        <v>2421.529</v>
      </c>
      <c r="AL94" s="312">
        <f>AM94-SUM(AI94:AK94)</f>
        <v>2201.1039999999994</v>
      </c>
      <c r="AM94" s="736">
        <v>8921</v>
      </c>
      <c r="AN94" s="114">
        <v>2076.9340000000002</v>
      </c>
      <c r="AO94" s="746">
        <v>2148.2570000000001</v>
      </c>
      <c r="AP94" s="746">
        <v>2476.5010000000002</v>
      </c>
      <c r="AQ94" s="312">
        <f>AR94-SUM(AN94:AP94)</f>
        <v>2188.3079999999991</v>
      </c>
      <c r="AR94" s="736">
        <v>8890</v>
      </c>
      <c r="AS94" s="114">
        <v>2072.0770000000002</v>
      </c>
      <c r="AT94" s="746">
        <v>2184.0259999999998</v>
      </c>
      <c r="AU94" s="746">
        <f>6619.161-SUM(AS94:AT94)</f>
        <v>2363.058</v>
      </c>
      <c r="AV94" s="312">
        <f>AW94-SUM(AS94:AU94)</f>
        <v>2209.8389999999999</v>
      </c>
      <c r="AW94" s="736">
        <v>8829</v>
      </c>
      <c r="AX94" s="121"/>
      <c r="AY94" s="130"/>
      <c r="AZ94" s="130"/>
      <c r="BA94" s="123"/>
      <c r="BB94" s="86"/>
      <c r="BC94" s="121"/>
      <c r="BD94" s="130"/>
      <c r="BE94" s="130"/>
      <c r="BF94" s="123"/>
      <c r="BG94" s="86"/>
      <c r="BH94" s="121"/>
      <c r="BI94" s="130"/>
      <c r="BJ94" s="130"/>
      <c r="BK94" s="123"/>
      <c r="BL94" s="86"/>
      <c r="BM94" s="121"/>
      <c r="BN94" s="130"/>
      <c r="BO94" s="130"/>
      <c r="BP94" s="123"/>
      <c r="BQ94" s="86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  <c r="CX94" s="44"/>
      <c r="CY94" s="44"/>
      <c r="CZ94" s="44"/>
    </row>
    <row r="95" spans="1:104" x14ac:dyDescent="0.2">
      <c r="A95" s="44"/>
      <c r="B95" s="44"/>
      <c r="C95" s="610" t="s">
        <v>97</v>
      </c>
      <c r="D95" s="42"/>
      <c r="E95" s="310">
        <f>61.226+1.435</f>
        <v>62.661000000000001</v>
      </c>
      <c r="F95" s="311">
        <f>56.884+2.705</f>
        <v>59.588999999999999</v>
      </c>
      <c r="G95" s="311">
        <f>61.048+1.74</f>
        <v>62.788000000000004</v>
      </c>
      <c r="H95" s="312">
        <f>I95-SUM(E95:G95)</f>
        <v>73.014999999999986</v>
      </c>
      <c r="I95" s="313">
        <f>248.981+9.072</f>
        <v>258.053</v>
      </c>
      <c r="J95" s="310">
        <f>70.378+0.984</f>
        <v>71.361999999999995</v>
      </c>
      <c r="K95" s="311">
        <f>56.327+3.133</f>
        <v>59.46</v>
      </c>
      <c r="L95" s="311">
        <f>59.177+4.369</f>
        <v>63.545999999999999</v>
      </c>
      <c r="M95" s="312">
        <f>N95-SUM(J95:L95)</f>
        <v>71.954999999999984</v>
      </c>
      <c r="N95" s="313">
        <f>256.317+10.006</f>
        <v>266.32299999999998</v>
      </c>
      <c r="O95" s="310">
        <f>71.856+1.59</f>
        <v>73.445999999999998</v>
      </c>
      <c r="P95" s="311">
        <f>56.299+2.373</f>
        <v>58.671999999999997</v>
      </c>
      <c r="Q95" s="746">
        <f>59.786+2.045</f>
        <v>61.831000000000003</v>
      </c>
      <c r="R95" s="312">
        <f>S95-SUM(O95:Q95)</f>
        <v>66.050999999999988</v>
      </c>
      <c r="S95" s="736">
        <v>260</v>
      </c>
      <c r="T95" s="114">
        <f>(68.688+1.621)</f>
        <v>70.308999999999997</v>
      </c>
      <c r="U95" s="746">
        <f>53.422+1.896</f>
        <v>55.317999999999998</v>
      </c>
      <c r="V95" s="311">
        <f>62.203+1.988</f>
        <v>64.191000000000003</v>
      </c>
      <c r="W95" s="312">
        <f>X95-SUM(T95:V95)</f>
        <v>74.182000000000016</v>
      </c>
      <c r="X95" s="736">
        <v>264</v>
      </c>
      <c r="Y95" s="114">
        <f>68.543+1.606</f>
        <v>70.149000000000001</v>
      </c>
      <c r="Z95" s="746">
        <f>55.49+1.828</f>
        <v>57.318000000000005</v>
      </c>
      <c r="AA95" s="746">
        <f>62.832+2.033</f>
        <v>64.864999999999995</v>
      </c>
      <c r="AB95" s="312">
        <f>AC95-SUM(Y95:AA95)</f>
        <v>74.668000000000006</v>
      </c>
      <c r="AC95" s="736">
        <v>267</v>
      </c>
      <c r="AD95" s="114">
        <f>69.966+1.77</f>
        <v>71.73599999999999</v>
      </c>
      <c r="AE95" s="746">
        <f>53.811+3.227</f>
        <v>57.037999999999997</v>
      </c>
      <c r="AF95" s="746">
        <f>60.491+3.093</f>
        <v>63.584000000000003</v>
      </c>
      <c r="AG95" s="312">
        <f>AH95-SUM(AD95:AF95)</f>
        <v>71.641999999999996</v>
      </c>
      <c r="AH95" s="736">
        <v>264</v>
      </c>
      <c r="AI95" s="114">
        <f>69.797+1.619</f>
        <v>71.415999999999997</v>
      </c>
      <c r="AJ95" s="746">
        <f>48.861+3.501</f>
        <v>52.361999999999995</v>
      </c>
      <c r="AK95" s="746">
        <f>52.904+3.019</f>
        <v>55.923000000000002</v>
      </c>
      <c r="AL95" s="312">
        <f>AM95-SUM(AI95:AK95)</f>
        <v>71.299000000000007</v>
      </c>
      <c r="AM95" s="736">
        <v>251</v>
      </c>
      <c r="AN95" s="114">
        <f>66.09+1.703</f>
        <v>67.793000000000006</v>
      </c>
      <c r="AO95" s="746">
        <f>50.484+3.328</f>
        <v>53.812000000000005</v>
      </c>
      <c r="AP95" s="746">
        <f>55.336+0.932</f>
        <v>56.268000000000001</v>
      </c>
      <c r="AQ95" s="312">
        <f>AR95-SUM(AN95:AP95)</f>
        <v>70.126999999999981</v>
      </c>
      <c r="AR95" s="736">
        <v>248</v>
      </c>
      <c r="AS95" s="114">
        <v>62.436</v>
      </c>
      <c r="AT95" s="746">
        <f>48.476+2.767</f>
        <v>51.243000000000002</v>
      </c>
      <c r="AU95" s="746">
        <f>(102.866+61.466+5.753)-SUM(AS95:AT95)</f>
        <v>56.405999999999977</v>
      </c>
      <c r="AV95" s="312">
        <f>AW95-SUM(AS95:AU95)</f>
        <v>54.91500000000002</v>
      </c>
      <c r="AW95" s="736">
        <v>225</v>
      </c>
      <c r="AX95" s="121"/>
      <c r="AY95" s="130"/>
      <c r="AZ95" s="130"/>
      <c r="BA95" s="123"/>
      <c r="BB95" s="86"/>
      <c r="BC95" s="121"/>
      <c r="BD95" s="130"/>
      <c r="BE95" s="130"/>
      <c r="BF95" s="123"/>
      <c r="BG95" s="86"/>
      <c r="BH95" s="121"/>
      <c r="BI95" s="130"/>
      <c r="BJ95" s="130"/>
      <c r="BK95" s="123"/>
      <c r="BL95" s="86"/>
      <c r="BM95" s="121"/>
      <c r="BN95" s="130"/>
      <c r="BO95" s="130"/>
      <c r="BP95" s="123"/>
      <c r="BQ95" s="86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  <c r="CX95" s="44"/>
      <c r="CY95" s="44"/>
      <c r="CZ95" s="44"/>
    </row>
    <row r="96" spans="1:104" s="555" customFormat="1" x14ac:dyDescent="0.2">
      <c r="A96" s="543"/>
      <c r="B96" s="543"/>
      <c r="C96" s="544" t="s">
        <v>260</v>
      </c>
      <c r="D96" s="545"/>
      <c r="E96" s="546">
        <f t="shared" ref="E96:Q96" si="202">SUM(E92:E95)</f>
        <v>8840.2429999999986</v>
      </c>
      <c r="F96" s="547">
        <f t="shared" si="202"/>
        <v>8103.6550000000007</v>
      </c>
      <c r="G96" s="547">
        <f t="shared" si="202"/>
        <v>9201.2380000000012</v>
      </c>
      <c r="H96" s="548">
        <f t="shared" si="202"/>
        <v>8629.7860000000019</v>
      </c>
      <c r="I96" s="549">
        <f t="shared" si="202"/>
        <v>34774.922000000006</v>
      </c>
      <c r="J96" s="546">
        <f t="shared" si="202"/>
        <v>8643.905999999999</v>
      </c>
      <c r="K96" s="547">
        <f t="shared" si="202"/>
        <v>8435.6939999999995</v>
      </c>
      <c r="L96" s="547">
        <f t="shared" si="202"/>
        <v>10118.942000000001</v>
      </c>
      <c r="M96" s="548">
        <f t="shared" si="202"/>
        <v>8669.9279999999999</v>
      </c>
      <c r="N96" s="549">
        <f t="shared" si="202"/>
        <v>35868.469999999994</v>
      </c>
      <c r="O96" s="546">
        <f t="shared" si="202"/>
        <v>8824.93</v>
      </c>
      <c r="P96" s="547">
        <f t="shared" si="202"/>
        <v>8436.0460000000003</v>
      </c>
      <c r="Q96" s="723">
        <f t="shared" si="202"/>
        <v>10121.772999999999</v>
      </c>
      <c r="R96" s="548">
        <f t="shared" ref="R96:AA96" si="203">SUM(R92:R95)</f>
        <v>8514.2510000000002</v>
      </c>
      <c r="S96" s="737">
        <f t="shared" si="203"/>
        <v>35897</v>
      </c>
      <c r="T96" s="546">
        <f t="shared" si="203"/>
        <v>8408.6679999999997</v>
      </c>
      <c r="U96" s="723">
        <f t="shared" si="203"/>
        <v>8501.5049999999992</v>
      </c>
      <c r="V96" s="547">
        <f t="shared" si="203"/>
        <v>9935.4600000000009</v>
      </c>
      <c r="W96" s="548">
        <f t="shared" si="203"/>
        <v>8575.367000000002</v>
      </c>
      <c r="X96" s="737">
        <f t="shared" si="203"/>
        <v>35421</v>
      </c>
      <c r="Y96" s="546">
        <f t="shared" si="203"/>
        <v>8518.8549999999996</v>
      </c>
      <c r="Z96" s="723">
        <f t="shared" si="203"/>
        <v>8336.271999999999</v>
      </c>
      <c r="AA96" s="723">
        <f t="shared" si="203"/>
        <v>9856.9920000000002</v>
      </c>
      <c r="AB96" s="548">
        <f t="shared" ref="AB96:AJ96" si="204">SUM(AB92:AB95)</f>
        <v>8580.8809999999994</v>
      </c>
      <c r="AC96" s="737">
        <f t="shared" si="204"/>
        <v>35293</v>
      </c>
      <c r="AD96" s="546">
        <f t="shared" si="204"/>
        <v>8832.4570000000022</v>
      </c>
      <c r="AE96" s="723">
        <f t="shared" si="204"/>
        <v>8316.3539999999994</v>
      </c>
      <c r="AF96" s="723">
        <f t="shared" si="204"/>
        <v>9418.4660000000003</v>
      </c>
      <c r="AG96" s="548">
        <f t="shared" si="204"/>
        <v>8542.7229999999981</v>
      </c>
      <c r="AH96" s="737">
        <f t="shared" si="204"/>
        <v>35110</v>
      </c>
      <c r="AI96" s="546">
        <f t="shared" si="204"/>
        <v>8557.2239999999983</v>
      </c>
      <c r="AJ96" s="723">
        <f t="shared" si="204"/>
        <v>8154.0609999999997</v>
      </c>
      <c r="AK96" s="723">
        <f t="shared" ref="AK96:AP96" si="205">SUM(AK92:AK95)</f>
        <v>9554.9030000000002</v>
      </c>
      <c r="AL96" s="548">
        <f t="shared" si="205"/>
        <v>8353.8120000000017</v>
      </c>
      <c r="AM96" s="737">
        <f t="shared" si="205"/>
        <v>34620</v>
      </c>
      <c r="AN96" s="546">
        <f t="shared" si="205"/>
        <v>8372.0340000000015</v>
      </c>
      <c r="AO96" s="723">
        <f t="shared" si="205"/>
        <v>8217.4130000000005</v>
      </c>
      <c r="AP96" s="723">
        <f t="shared" si="205"/>
        <v>9746.1850000000013</v>
      </c>
      <c r="AQ96" s="548">
        <f t="shared" ref="AQ96:AW96" si="206">SUM(AQ92:AQ95)</f>
        <v>8286.3679999999986</v>
      </c>
      <c r="AR96" s="737">
        <f t="shared" si="206"/>
        <v>34622</v>
      </c>
      <c r="AS96" s="546">
        <f t="shared" si="206"/>
        <v>8282.1329999999998</v>
      </c>
      <c r="AT96" s="723">
        <f t="shared" si="206"/>
        <v>8128.0309999999999</v>
      </c>
      <c r="AU96" s="723">
        <f t="shared" si="206"/>
        <v>9367.130000000001</v>
      </c>
      <c r="AV96" s="548">
        <f t="shared" si="206"/>
        <v>8280.7060000000019</v>
      </c>
      <c r="AW96" s="737">
        <f t="shared" si="206"/>
        <v>34058</v>
      </c>
      <c r="AX96" s="553">
        <f>AS96*(1+AX60)</f>
        <v>8418.788194499999</v>
      </c>
      <c r="AY96" s="550">
        <f>AT96*(1+AY60)</f>
        <v>8084.9524357</v>
      </c>
      <c r="AZ96" s="550">
        <f>AU96*(1+AZ60)</f>
        <v>9437.3834750000024</v>
      </c>
      <c r="BA96" s="551">
        <f>AV96*(1+BA60)</f>
        <v>8317.9691770000009</v>
      </c>
      <c r="BB96" s="552">
        <f>SUM(AX96:BA96)</f>
        <v>34259.093282200003</v>
      </c>
      <c r="BC96" s="553">
        <f>AX96*(1+BC60)</f>
        <v>8439.8351649862489</v>
      </c>
      <c r="BD96" s="550">
        <f>AY96*(1+BD60)</f>
        <v>8105.1648167892499</v>
      </c>
      <c r="BE96" s="550">
        <f>AZ96*(1+BE60)</f>
        <v>9460.9769336875015</v>
      </c>
      <c r="BF96" s="551">
        <f>BA96*(1+BF60)</f>
        <v>8338.7640999425003</v>
      </c>
      <c r="BG96" s="552">
        <f>SUM(BC96:BF96)</f>
        <v>34344.741015405496</v>
      </c>
      <c r="BH96" s="553">
        <f>BC96*(1+BH60)</f>
        <v>8460.9347528987146</v>
      </c>
      <c r="BI96" s="550">
        <f>BD96*(1+BI60)</f>
        <v>8125.4277288312223</v>
      </c>
      <c r="BJ96" s="550">
        <f>BE96*(1+BJ60)</f>
        <v>9484.6293760217195</v>
      </c>
      <c r="BK96" s="551">
        <f>BF96*(1+BK60)</f>
        <v>8359.6110101923568</v>
      </c>
      <c r="BL96" s="552">
        <f>SUM(BH96:BK96)</f>
        <v>34430.602867944013</v>
      </c>
      <c r="BM96" s="553">
        <f>BH96*(1+BM60)</f>
        <v>8482.08708978096</v>
      </c>
      <c r="BN96" s="550">
        <f>BI96*(1+BN60)</f>
        <v>8145.7412981532998</v>
      </c>
      <c r="BO96" s="550">
        <f>BJ96*(1+BO60)</f>
        <v>9508.3409494617736</v>
      </c>
      <c r="BP96" s="551">
        <f>BK96*(1+BP60)</f>
        <v>8380.5100377178369</v>
      </c>
      <c r="BQ96" s="552">
        <f>SUM(BM96:BP96)</f>
        <v>34516.679375113868</v>
      </c>
      <c r="BR96" s="554"/>
      <c r="BS96" s="630"/>
      <c r="BT96" s="554"/>
      <c r="BU96" s="554"/>
      <c r="BV96" s="554"/>
      <c r="BW96" s="554"/>
      <c r="BX96" s="554"/>
      <c r="BY96" s="554"/>
      <c r="BZ96" s="554"/>
      <c r="CA96" s="554"/>
      <c r="CB96" s="554"/>
      <c r="CC96" s="554"/>
      <c r="CD96" s="554"/>
      <c r="CE96" s="554"/>
      <c r="CF96" s="554"/>
      <c r="CG96" s="554"/>
      <c r="CH96" s="554"/>
      <c r="CI96" s="554"/>
      <c r="CJ96" s="554"/>
      <c r="CK96" s="554"/>
      <c r="CL96" s="554"/>
      <c r="CM96" s="554"/>
      <c r="CN96" s="554"/>
      <c r="CO96" s="554"/>
      <c r="CP96" s="554"/>
      <c r="CQ96" s="554"/>
      <c r="CR96" s="554"/>
      <c r="CS96" s="554"/>
      <c r="CT96" s="554"/>
      <c r="CU96" s="554"/>
      <c r="CV96" s="554"/>
      <c r="CW96" s="554"/>
      <c r="CX96" s="554"/>
      <c r="CY96" s="554"/>
      <c r="CZ96" s="554"/>
    </row>
    <row r="97" spans="1:104" x14ac:dyDescent="0.2">
      <c r="A97" s="44"/>
      <c r="B97" s="44"/>
      <c r="C97" s="20" t="s">
        <v>261</v>
      </c>
      <c r="D97" s="42"/>
      <c r="E97" s="310">
        <v>1111.422</v>
      </c>
      <c r="F97" s="311">
        <v>1442.0440000000001</v>
      </c>
      <c r="G97" s="311">
        <v>1831.251</v>
      </c>
      <c r="H97" s="312">
        <f>I97-SUM(E97:G97)</f>
        <v>302.3119999999999</v>
      </c>
      <c r="I97" s="313">
        <v>4687.0290000000005</v>
      </c>
      <c r="J97" s="310">
        <v>1001.189</v>
      </c>
      <c r="K97" s="311">
        <v>1098.636</v>
      </c>
      <c r="L97" s="311">
        <v>1387.982</v>
      </c>
      <c r="M97" s="312">
        <f>N97-SUM(J97:L97)</f>
        <v>1721.3950000000004</v>
      </c>
      <c r="N97" s="313">
        <v>5209.2020000000002</v>
      </c>
      <c r="O97" s="310">
        <v>612.14599999999996</v>
      </c>
      <c r="P97" s="311">
        <v>525.34799999999996</v>
      </c>
      <c r="Q97" s="746">
        <v>569.12699999999995</v>
      </c>
      <c r="R97" s="312">
        <f>S97-SUM(O97:Q97)</f>
        <v>4.3790000000001328</v>
      </c>
      <c r="S97" s="736">
        <v>1711</v>
      </c>
      <c r="T97" s="114">
        <v>608.68200000000002</v>
      </c>
      <c r="U97" s="746">
        <v>433.22</v>
      </c>
      <c r="V97" s="311">
        <v>583.27200000000005</v>
      </c>
      <c r="W97" s="312">
        <f>X97-SUM(T97:V97)</f>
        <v>-0.17399999999997817</v>
      </c>
      <c r="X97" s="736">
        <v>1625</v>
      </c>
      <c r="Y97" s="114">
        <v>549.66999999999996</v>
      </c>
      <c r="Z97" s="746">
        <v>386.55799999999999</v>
      </c>
      <c r="AA97" s="746">
        <v>537.33900000000006</v>
      </c>
      <c r="AB97" s="312">
        <f>AC97-SUM(Y97:AA97)</f>
        <v>-76.567000000000007</v>
      </c>
      <c r="AC97" s="736">
        <v>1397</v>
      </c>
      <c r="AD97" s="114">
        <v>876.923</v>
      </c>
      <c r="AE97" s="746">
        <v>921.86699999999996</v>
      </c>
      <c r="AF97" s="746">
        <v>622.649</v>
      </c>
      <c r="AG97" s="312">
        <f>AH97-SUM(AD97:AF97)</f>
        <v>282.56100000000015</v>
      </c>
      <c r="AH97" s="736">
        <v>2704</v>
      </c>
      <c r="AI97" s="114">
        <v>1017.997</v>
      </c>
      <c r="AJ97" s="746">
        <v>713.29899999999998</v>
      </c>
      <c r="AK97" s="746">
        <v>1084.4690000000001</v>
      </c>
      <c r="AL97" s="312">
        <f>AM97-SUM(AI97:AK97)</f>
        <v>192.23500000000013</v>
      </c>
      <c r="AM97" s="736">
        <v>3008</v>
      </c>
      <c r="AN97" s="114">
        <v>1218.2670000000001</v>
      </c>
      <c r="AO97" s="746">
        <v>1079.2739999999999</v>
      </c>
      <c r="AP97" s="746">
        <v>1647.0239999999999</v>
      </c>
      <c r="AQ97" s="312">
        <f>AR97-SUM(AN97:AP97)</f>
        <v>1388.4349999999999</v>
      </c>
      <c r="AR97" s="736">
        <v>5333</v>
      </c>
      <c r="AS97" s="114">
        <v>2106.9830000000002</v>
      </c>
      <c r="AT97" s="746">
        <v>1263.8209999999999</v>
      </c>
      <c r="AU97" s="746">
        <f>4629.87-SUM(AS97:AT97)</f>
        <v>1259.0659999999998</v>
      </c>
      <c r="AV97" s="312">
        <f>AW97-SUM(AS97:AU97)</f>
        <v>1109.1300000000001</v>
      </c>
      <c r="AW97" s="736">
        <v>5739</v>
      </c>
      <c r="AX97" s="136">
        <f>+AS97</f>
        <v>2106.9830000000002</v>
      </c>
      <c r="AY97" s="137">
        <f>+AT97</f>
        <v>1263.8209999999999</v>
      </c>
      <c r="AZ97" s="137">
        <f>+AU97</f>
        <v>1259.0659999999998</v>
      </c>
      <c r="BA97" s="116">
        <f>+AV97</f>
        <v>1109.1300000000001</v>
      </c>
      <c r="BB97" s="82">
        <f>SUM(AX97:BA97)</f>
        <v>5739</v>
      </c>
      <c r="BC97" s="136">
        <f>+AX97</f>
        <v>2106.9830000000002</v>
      </c>
      <c r="BD97" s="137">
        <f>+AY97</f>
        <v>1263.8209999999999</v>
      </c>
      <c r="BE97" s="137">
        <f>+AZ97</f>
        <v>1259.0659999999998</v>
      </c>
      <c r="BF97" s="116">
        <f>+BA97</f>
        <v>1109.1300000000001</v>
      </c>
      <c r="BG97" s="82">
        <f>SUM(BC97:BF97)</f>
        <v>5739</v>
      </c>
      <c r="BH97" s="136">
        <f>+BC97</f>
        <v>2106.9830000000002</v>
      </c>
      <c r="BI97" s="137">
        <f>+BD97</f>
        <v>1263.8209999999999</v>
      </c>
      <c r="BJ97" s="137">
        <f>+BE97</f>
        <v>1259.0659999999998</v>
      </c>
      <c r="BK97" s="116">
        <f>+BF97</f>
        <v>1109.1300000000001</v>
      </c>
      <c r="BL97" s="82">
        <f>SUM(BH97:BK97)</f>
        <v>5739</v>
      </c>
      <c r="BM97" s="136">
        <f>+BH97</f>
        <v>2106.9830000000002</v>
      </c>
      <c r="BN97" s="137">
        <f>+BI97</f>
        <v>1263.8209999999999</v>
      </c>
      <c r="BO97" s="137">
        <f>+BJ97</f>
        <v>1259.0659999999998</v>
      </c>
      <c r="BP97" s="116">
        <f>+BK97</f>
        <v>1109.1300000000001</v>
      </c>
      <c r="BQ97" s="82">
        <f>SUM(BM97:BP97)</f>
        <v>5739</v>
      </c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  <c r="CX97" s="44"/>
      <c r="CY97" s="44"/>
      <c r="CZ97" s="44"/>
    </row>
    <row r="98" spans="1:104" x14ac:dyDescent="0.2">
      <c r="A98" s="44"/>
      <c r="B98" s="44"/>
      <c r="C98" s="26" t="s">
        <v>262</v>
      </c>
      <c r="D98" s="42"/>
      <c r="E98" s="121">
        <f>SUM(E96:E97)</f>
        <v>9951.6649999999991</v>
      </c>
      <c r="F98" s="122">
        <f t="shared" ref="F98:AD98" si="207">SUM(F96:F97)</f>
        <v>9545.6990000000005</v>
      </c>
      <c r="G98" s="122">
        <f t="shared" si="207"/>
        <v>11032.489000000001</v>
      </c>
      <c r="H98" s="123">
        <f t="shared" si="207"/>
        <v>8932.0980000000018</v>
      </c>
      <c r="I98" s="86">
        <f t="shared" si="207"/>
        <v>39461.951000000008</v>
      </c>
      <c r="J98" s="121">
        <f t="shared" si="207"/>
        <v>9645.0949999999993</v>
      </c>
      <c r="K98" s="122">
        <f t="shared" si="207"/>
        <v>9534.33</v>
      </c>
      <c r="L98" s="122">
        <f t="shared" si="207"/>
        <v>11506.924000000001</v>
      </c>
      <c r="M98" s="126">
        <f t="shared" si="207"/>
        <v>10391.323</v>
      </c>
      <c r="N98" s="86">
        <f t="shared" si="207"/>
        <v>41077.671999999991</v>
      </c>
      <c r="O98" s="121">
        <f t="shared" si="207"/>
        <v>9437.0760000000009</v>
      </c>
      <c r="P98" s="122">
        <f t="shared" si="207"/>
        <v>8961.3940000000002</v>
      </c>
      <c r="Q98" s="130">
        <f t="shared" si="207"/>
        <v>10690.9</v>
      </c>
      <c r="R98" s="126">
        <f t="shared" si="207"/>
        <v>8518.630000000001</v>
      </c>
      <c r="S98" s="85">
        <f t="shared" si="207"/>
        <v>37608</v>
      </c>
      <c r="T98" s="121">
        <f t="shared" si="207"/>
        <v>9017.35</v>
      </c>
      <c r="U98" s="130">
        <f t="shared" si="207"/>
        <v>8934.7249999999985</v>
      </c>
      <c r="V98" s="122">
        <f t="shared" si="207"/>
        <v>10518.732000000002</v>
      </c>
      <c r="W98" s="126">
        <f>SUM(W96:W97)</f>
        <v>8575.1930000000029</v>
      </c>
      <c r="X98" s="85">
        <f>SUM(X96:X97)</f>
        <v>37046</v>
      </c>
      <c r="Y98" s="121">
        <f t="shared" si="207"/>
        <v>9068.5249999999996</v>
      </c>
      <c r="Z98" s="130">
        <f t="shared" si="207"/>
        <v>8722.8299999999981</v>
      </c>
      <c r="AA98" s="130">
        <f t="shared" si="207"/>
        <v>10394.331</v>
      </c>
      <c r="AB98" s="126">
        <f>SUM(AB96:AB97)</f>
        <v>8504.3139999999985</v>
      </c>
      <c r="AC98" s="85">
        <f>SUM(AC96:AC97)</f>
        <v>36690</v>
      </c>
      <c r="AD98" s="121">
        <f t="shared" si="207"/>
        <v>9709.3800000000028</v>
      </c>
      <c r="AE98" s="130">
        <f t="shared" ref="AE98:AJ98" si="208">SUM(AE96:AE97)</f>
        <v>9238.2209999999995</v>
      </c>
      <c r="AF98" s="130">
        <f t="shared" si="208"/>
        <v>10041.115</v>
      </c>
      <c r="AG98" s="126">
        <f t="shared" si="208"/>
        <v>8825.2839999999978</v>
      </c>
      <c r="AH98" s="85">
        <f t="shared" si="208"/>
        <v>37814</v>
      </c>
      <c r="AI98" s="121">
        <f t="shared" si="208"/>
        <v>9575.2209999999977</v>
      </c>
      <c r="AJ98" s="130">
        <f t="shared" si="208"/>
        <v>8867.36</v>
      </c>
      <c r="AK98" s="130">
        <f t="shared" ref="AK98:AP98" si="209">SUM(AK96:AK97)</f>
        <v>10639.371999999999</v>
      </c>
      <c r="AL98" s="126">
        <f t="shared" si="209"/>
        <v>8546.0470000000023</v>
      </c>
      <c r="AM98" s="85">
        <f t="shared" si="209"/>
        <v>37628</v>
      </c>
      <c r="AN98" s="121">
        <f t="shared" si="209"/>
        <v>9590.3010000000013</v>
      </c>
      <c r="AO98" s="130">
        <f t="shared" si="209"/>
        <v>9296.6869999999999</v>
      </c>
      <c r="AP98" s="130">
        <f t="shared" si="209"/>
        <v>11393.209000000001</v>
      </c>
      <c r="AQ98" s="126">
        <f t="shared" ref="AQ98:AU98" si="210">SUM(AQ96:AQ97)</f>
        <v>9674.8029999999981</v>
      </c>
      <c r="AR98" s="85">
        <f t="shared" si="210"/>
        <v>39955</v>
      </c>
      <c r="AS98" s="121">
        <f t="shared" si="210"/>
        <v>10389.116</v>
      </c>
      <c r="AT98" s="130">
        <f t="shared" si="210"/>
        <v>9391.851999999999</v>
      </c>
      <c r="AU98" s="130">
        <f t="shared" si="210"/>
        <v>10626.196</v>
      </c>
      <c r="AV98" s="126">
        <f t="shared" ref="AV98:AW98" si="211">SUM(AV96:AV97)</f>
        <v>9389.836000000003</v>
      </c>
      <c r="AW98" s="85">
        <f t="shared" si="211"/>
        <v>39797</v>
      </c>
      <c r="AX98" s="121">
        <f t="shared" ref="AX98:BG98" si="212">SUM(AX96:AX97)</f>
        <v>10525.771194499999</v>
      </c>
      <c r="AY98" s="122">
        <f t="shared" si="212"/>
        <v>9348.7734357000008</v>
      </c>
      <c r="AZ98" s="122">
        <f t="shared" si="212"/>
        <v>10696.449475000001</v>
      </c>
      <c r="BA98" s="123">
        <f t="shared" si="212"/>
        <v>9427.0991770000001</v>
      </c>
      <c r="BB98" s="86">
        <f t="shared" si="212"/>
        <v>39998.093282200003</v>
      </c>
      <c r="BC98" s="121">
        <f t="shared" si="212"/>
        <v>10546.818164986249</v>
      </c>
      <c r="BD98" s="122">
        <f t="shared" si="212"/>
        <v>9368.9858167892489</v>
      </c>
      <c r="BE98" s="122">
        <f t="shared" si="212"/>
        <v>10720.042933687502</v>
      </c>
      <c r="BF98" s="123">
        <f t="shared" si="212"/>
        <v>9447.8940999424995</v>
      </c>
      <c r="BG98" s="86">
        <f t="shared" si="212"/>
        <v>40083.741015405496</v>
      </c>
      <c r="BH98" s="121">
        <f t="shared" ref="BH98:BQ98" si="213">SUM(BH96:BH97)</f>
        <v>10567.917752898715</v>
      </c>
      <c r="BI98" s="122">
        <f t="shared" si="213"/>
        <v>9389.2487288312223</v>
      </c>
      <c r="BJ98" s="122">
        <f t="shared" si="213"/>
        <v>10743.695376021718</v>
      </c>
      <c r="BK98" s="123">
        <f t="shared" si="213"/>
        <v>9468.741010192356</v>
      </c>
      <c r="BL98" s="86">
        <f t="shared" si="213"/>
        <v>40169.602867944013</v>
      </c>
      <c r="BM98" s="121">
        <f t="shared" si="213"/>
        <v>10589.07008978096</v>
      </c>
      <c r="BN98" s="122">
        <f t="shared" si="213"/>
        <v>9409.5622981532997</v>
      </c>
      <c r="BO98" s="122">
        <f t="shared" si="213"/>
        <v>10767.406949461772</v>
      </c>
      <c r="BP98" s="123">
        <f t="shared" si="213"/>
        <v>9489.6400377178361</v>
      </c>
      <c r="BQ98" s="86">
        <f t="shared" si="213"/>
        <v>40255.679375113868</v>
      </c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  <c r="CX98" s="44"/>
      <c r="CY98" s="44"/>
      <c r="CZ98" s="44"/>
    </row>
    <row r="99" spans="1:104" x14ac:dyDescent="0.2">
      <c r="A99" s="44"/>
      <c r="B99" s="44"/>
      <c r="C99" s="82"/>
      <c r="D99" s="42"/>
      <c r="E99" s="121"/>
      <c r="F99" s="130"/>
      <c r="G99" s="130"/>
      <c r="H99" s="123"/>
      <c r="I99" s="86"/>
      <c r="J99" s="121"/>
      <c r="K99" s="130"/>
      <c r="L99" s="130"/>
      <c r="M99" s="123"/>
      <c r="N99" s="86"/>
      <c r="O99" s="121"/>
      <c r="P99" s="130"/>
      <c r="Q99" s="130"/>
      <c r="R99" s="123"/>
      <c r="S99" s="85"/>
      <c r="T99" s="121"/>
      <c r="U99" s="130"/>
      <c r="V99" s="130"/>
      <c r="W99" s="123"/>
      <c r="X99" s="85"/>
      <c r="Y99" s="121"/>
      <c r="Z99" s="130"/>
      <c r="AA99" s="130"/>
      <c r="AB99" s="123"/>
      <c r="AC99" s="85"/>
      <c r="AD99" s="121"/>
      <c r="AE99" s="130"/>
      <c r="AF99" s="130"/>
      <c r="AG99" s="123"/>
      <c r="AH99" s="85"/>
      <c r="AI99" s="121"/>
      <c r="AJ99" s="130"/>
      <c r="AK99" s="130"/>
      <c r="AL99" s="123"/>
      <c r="AM99" s="85"/>
      <c r="AN99" s="121"/>
      <c r="AO99" s="130"/>
      <c r="AP99" s="130"/>
      <c r="AQ99" s="123"/>
      <c r="AR99" s="85"/>
      <c r="AS99" s="121"/>
      <c r="AT99" s="130"/>
      <c r="AU99" s="130"/>
      <c r="AV99" s="123"/>
      <c r="AW99" s="85"/>
      <c r="AX99" s="121"/>
      <c r="AY99" s="130"/>
      <c r="AZ99" s="130"/>
      <c r="BA99" s="123"/>
      <c r="BB99" s="86"/>
      <c r="BC99" s="121"/>
      <c r="BD99" s="130"/>
      <c r="BE99" s="130"/>
      <c r="BF99" s="123"/>
      <c r="BG99" s="86"/>
      <c r="BH99" s="121"/>
      <c r="BI99" s="130"/>
      <c r="BJ99" s="130"/>
      <c r="BK99" s="123"/>
      <c r="BL99" s="86"/>
      <c r="BM99" s="121"/>
      <c r="BN99" s="130"/>
      <c r="BO99" s="130"/>
      <c r="BP99" s="123"/>
      <c r="BQ99" s="86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  <c r="CX99" s="44"/>
      <c r="CY99" s="44"/>
      <c r="CZ99" s="44"/>
    </row>
    <row r="100" spans="1:104" x14ac:dyDescent="0.2">
      <c r="A100" s="20"/>
      <c r="B100" s="20"/>
      <c r="C100" s="20" t="s">
        <v>263</v>
      </c>
      <c r="D100" s="20"/>
      <c r="E100" s="203"/>
      <c r="F100" s="204"/>
      <c r="G100" s="204"/>
      <c r="H100" s="205"/>
      <c r="I100" s="206"/>
      <c r="J100" s="207">
        <f t="shared" ref="J100:AK100" si="214">+J96/E96-1</f>
        <v>-2.220945736446378E-2</v>
      </c>
      <c r="K100" s="208">
        <f t="shared" si="214"/>
        <v>4.0973980259524811E-2</v>
      </c>
      <c r="L100" s="208">
        <f t="shared" si="214"/>
        <v>9.9737013649684902E-2</v>
      </c>
      <c r="M100" s="209">
        <f t="shared" si="214"/>
        <v>4.6515637815349731E-3</v>
      </c>
      <c r="N100" s="88">
        <f t="shared" si="214"/>
        <v>3.1446454430580362E-2</v>
      </c>
      <c r="O100" s="207">
        <f t="shared" si="214"/>
        <v>2.0942384149017945E-2</v>
      </c>
      <c r="P100" s="208">
        <f t="shared" si="214"/>
        <v>4.1727450047490677E-5</v>
      </c>
      <c r="Q100" s="628">
        <f>+Q96/L96-1</f>
        <v>2.7977233192943984E-4</v>
      </c>
      <c r="R100" s="209">
        <f t="shared" si="214"/>
        <v>-1.7955973798167602E-2</v>
      </c>
      <c r="S100" s="733">
        <f t="shared" si="214"/>
        <v>7.9540610458161964E-4</v>
      </c>
      <c r="T100" s="207">
        <f t="shared" si="214"/>
        <v>-4.7168872727602396E-2</v>
      </c>
      <c r="U100" s="628">
        <f t="shared" si="214"/>
        <v>7.7594408565337947E-3</v>
      </c>
      <c r="V100" s="208">
        <f t="shared" si="214"/>
        <v>-1.840715060493836E-2</v>
      </c>
      <c r="W100" s="209">
        <f>+W96/R96-1</f>
        <v>7.1780829576202354E-3</v>
      </c>
      <c r="X100" s="733">
        <f>+X96/S96-1</f>
        <v>-1.3260161016240946E-2</v>
      </c>
      <c r="Y100" s="207">
        <f t="shared" si="214"/>
        <v>1.3103977942760858E-2</v>
      </c>
      <c r="Z100" s="628">
        <f t="shared" si="214"/>
        <v>-1.9435735202178894E-2</v>
      </c>
      <c r="AA100" s="628">
        <f t="shared" si="214"/>
        <v>-7.8977722219203406E-3</v>
      </c>
      <c r="AB100" s="209">
        <f>+AB96/W96-1</f>
        <v>6.4300455012555879E-4</v>
      </c>
      <c r="AC100" s="733">
        <f>+AC96/X96-1</f>
        <v>-3.6136755032325496E-3</v>
      </c>
      <c r="AD100" s="207">
        <f t="shared" si="214"/>
        <v>3.6812693724685097E-2</v>
      </c>
      <c r="AE100" s="628">
        <f t="shared" si="214"/>
        <v>-2.3893174311010457E-3</v>
      </c>
      <c r="AF100" s="628">
        <f t="shared" si="214"/>
        <v>-4.4488825800000686E-2</v>
      </c>
      <c r="AG100" s="209">
        <f>+AG96/AB96-1</f>
        <v>-4.4468627405509498E-3</v>
      </c>
      <c r="AH100" s="733">
        <f>+AH96/AC96-1</f>
        <v>-5.1851641968662099E-3</v>
      </c>
      <c r="AI100" s="207">
        <f t="shared" si="214"/>
        <v>-3.1161544290564169E-2</v>
      </c>
      <c r="AJ100" s="628">
        <f t="shared" si="214"/>
        <v>-1.951492204396299E-2</v>
      </c>
      <c r="AK100" s="628">
        <f t="shared" si="214"/>
        <v>1.4486116953652539E-2</v>
      </c>
      <c r="AL100" s="209">
        <f t="shared" ref="AL100:AU100" si="215">+AL96/AG96-1</f>
        <v>-2.2113674995665522E-2</v>
      </c>
      <c r="AM100" s="733">
        <f t="shared" si="215"/>
        <v>-1.3956137852463635E-2</v>
      </c>
      <c r="AN100" s="207">
        <f t="shared" si="215"/>
        <v>-2.1641364068534008E-2</v>
      </c>
      <c r="AO100" s="628">
        <f t="shared" si="215"/>
        <v>7.7693801898219839E-3</v>
      </c>
      <c r="AP100" s="628">
        <f>+AP96/AK96-1</f>
        <v>2.0019250849537817E-2</v>
      </c>
      <c r="AQ100" s="209">
        <f t="shared" si="215"/>
        <v>-8.0734400055930688E-3</v>
      </c>
      <c r="AR100" s="733">
        <f t="shared" si="215"/>
        <v>5.7770075100993523E-5</v>
      </c>
      <c r="AS100" s="207">
        <f t="shared" si="215"/>
        <v>-1.0738250704667718E-2</v>
      </c>
      <c r="AT100" s="628">
        <f t="shared" si="215"/>
        <v>-1.0877145885207495E-2</v>
      </c>
      <c r="AU100" s="628">
        <f t="shared" si="215"/>
        <v>-3.8892653894831652E-2</v>
      </c>
      <c r="AV100" s="209">
        <f t="shared" ref="AV100" si="216">+AV96/AQ96-1</f>
        <v>-6.8329091828855937E-4</v>
      </c>
      <c r="AW100" s="733">
        <f t="shared" ref="AW100" si="217">+AW96/AR96-1</f>
        <v>-1.6290220091271457E-2</v>
      </c>
      <c r="AX100" s="207">
        <f t="shared" ref="AX100:BG100" si="218">+AX96/AS96-1</f>
        <v>1.6499999999999959E-2</v>
      </c>
      <c r="AY100" s="208">
        <f t="shared" si="218"/>
        <v>-5.2999999999999714E-3</v>
      </c>
      <c r="AZ100" s="208">
        <f t="shared" si="218"/>
        <v>7.5000000000000622E-3</v>
      </c>
      <c r="BA100" s="209">
        <f t="shared" si="218"/>
        <v>4.4999999999999485E-3</v>
      </c>
      <c r="BB100" s="88">
        <f t="shared" si="218"/>
        <v>5.9044360267779261E-3</v>
      </c>
      <c r="BC100" s="207">
        <f t="shared" si="218"/>
        <v>2.4999999999999467E-3</v>
      </c>
      <c r="BD100" s="208">
        <f t="shared" si="218"/>
        <v>2.4999999999999467E-3</v>
      </c>
      <c r="BE100" s="208">
        <f t="shared" si="218"/>
        <v>2.4999999999999467E-3</v>
      </c>
      <c r="BF100" s="209">
        <f t="shared" si="218"/>
        <v>2.4999999999999467E-3</v>
      </c>
      <c r="BG100" s="88">
        <f t="shared" si="218"/>
        <v>2.4999999999997247E-3</v>
      </c>
      <c r="BH100" s="207">
        <f t="shared" ref="BH100:BQ100" si="219">+BH96/BC96-1</f>
        <v>2.4999999999999467E-3</v>
      </c>
      <c r="BI100" s="208">
        <f t="shared" si="219"/>
        <v>2.4999999999999467E-3</v>
      </c>
      <c r="BJ100" s="208">
        <f t="shared" si="219"/>
        <v>2.4999999999999467E-3</v>
      </c>
      <c r="BK100" s="209">
        <f t="shared" si="219"/>
        <v>2.4999999999999467E-3</v>
      </c>
      <c r="BL100" s="88">
        <f t="shared" si="219"/>
        <v>2.5000000000001688E-3</v>
      </c>
      <c r="BM100" s="207">
        <f t="shared" si="219"/>
        <v>2.4999999999999467E-3</v>
      </c>
      <c r="BN100" s="208">
        <f t="shared" si="219"/>
        <v>2.4999999999999467E-3</v>
      </c>
      <c r="BO100" s="208">
        <f t="shared" si="219"/>
        <v>2.4999999999999467E-3</v>
      </c>
      <c r="BP100" s="209">
        <f t="shared" si="219"/>
        <v>2.4999999999999467E-3</v>
      </c>
      <c r="BQ100" s="88">
        <f t="shared" si="219"/>
        <v>2.4999999999999467E-3</v>
      </c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0"/>
      <c r="CD100" s="20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0"/>
      <c r="CR100" s="20"/>
      <c r="CS100" s="20"/>
      <c r="CT100" s="20"/>
      <c r="CU100" s="20"/>
      <c r="CV100" s="20"/>
      <c r="CW100" s="20"/>
      <c r="CX100" s="20"/>
      <c r="CY100" s="20"/>
      <c r="CZ100" s="20"/>
    </row>
    <row r="101" spans="1:104" x14ac:dyDescent="0.2">
      <c r="C101" s="316"/>
      <c r="E101" s="273"/>
      <c r="F101" s="274"/>
      <c r="G101" s="274"/>
      <c r="H101" s="275"/>
      <c r="I101" s="169"/>
      <c r="J101" s="273"/>
      <c r="K101" s="274"/>
      <c r="L101" s="274"/>
      <c r="M101" s="275"/>
      <c r="N101" s="169"/>
      <c r="O101" s="273"/>
      <c r="P101" s="274"/>
      <c r="Q101" s="611"/>
      <c r="R101" s="275"/>
      <c r="S101" s="732"/>
      <c r="T101" s="273"/>
      <c r="U101" s="611"/>
      <c r="V101" s="274"/>
      <c r="W101" s="275"/>
      <c r="X101" s="732"/>
      <c r="Y101" s="273"/>
      <c r="Z101" s="611"/>
      <c r="AA101" s="611"/>
      <c r="AB101" s="275"/>
      <c r="AC101" s="732"/>
      <c r="AD101" s="273"/>
      <c r="AE101" s="611"/>
      <c r="AF101" s="611"/>
      <c r="AG101" s="275"/>
      <c r="AH101" s="732"/>
      <c r="AI101" s="273"/>
      <c r="AJ101" s="611"/>
      <c r="AK101" s="611"/>
      <c r="AL101" s="275"/>
      <c r="AM101" s="732"/>
      <c r="AN101" s="273"/>
      <c r="AO101" s="611"/>
      <c r="AP101" s="611"/>
      <c r="AQ101" s="275"/>
      <c r="AR101" s="732"/>
      <c r="AS101" s="273"/>
      <c r="AT101" s="611"/>
      <c r="AU101" s="611"/>
      <c r="AV101" s="275"/>
      <c r="AW101" s="732"/>
      <c r="AX101" s="273"/>
      <c r="AY101" s="274"/>
      <c r="AZ101" s="274"/>
      <c r="BA101" s="275"/>
      <c r="BB101" s="169"/>
      <c r="BC101" s="273"/>
      <c r="BD101" s="274"/>
      <c r="BE101" s="274"/>
      <c r="BF101" s="275"/>
      <c r="BG101" s="169"/>
      <c r="BH101" s="273"/>
      <c r="BI101" s="274"/>
      <c r="BJ101" s="274"/>
      <c r="BK101" s="275"/>
      <c r="BL101" s="169"/>
      <c r="BM101" s="273"/>
      <c r="BN101" s="274"/>
      <c r="BO101" s="274"/>
      <c r="BP101" s="275"/>
      <c r="BQ101" s="169"/>
    </row>
    <row r="102" spans="1:104" x14ac:dyDescent="0.2">
      <c r="C102" s="26" t="s">
        <v>470</v>
      </c>
      <c r="E102" s="317">
        <f>E87/E96*1000</f>
        <v>79.704483236490205</v>
      </c>
      <c r="F102" s="318">
        <f t="shared" ref="F102:O102" si="220">F87/F96*1000</f>
        <v>79.654674341392862</v>
      </c>
      <c r="G102" s="318">
        <f t="shared" si="220"/>
        <v>85.508710893034163</v>
      </c>
      <c r="H102" s="319">
        <f t="shared" si="220"/>
        <v>78.940312077263556</v>
      </c>
      <c r="I102" s="320">
        <f t="shared" si="220"/>
        <v>81.039002761817827</v>
      </c>
      <c r="J102" s="317">
        <f t="shared" si="220"/>
        <v>80.746134907066335</v>
      </c>
      <c r="K102" s="318">
        <f t="shared" si="220"/>
        <v>82.034388634770309</v>
      </c>
      <c r="L102" s="318">
        <f t="shared" si="220"/>
        <v>89.811168005508861</v>
      </c>
      <c r="M102" s="319">
        <f>M87/M96*1000</f>
        <v>81.494448396803278</v>
      </c>
      <c r="N102" s="320">
        <f>N87/N96*1000</f>
        <v>83.787348610074531</v>
      </c>
      <c r="O102" s="317">
        <f t="shared" si="220"/>
        <v>83.304230175196849</v>
      </c>
      <c r="P102" s="318">
        <f t="shared" ref="P102:V102" si="221">P87/P96*1000</f>
        <v>90.837935212776216</v>
      </c>
      <c r="Q102" s="724">
        <f t="shared" si="221"/>
        <v>94.524447446114436</v>
      </c>
      <c r="R102" s="319">
        <f t="shared" si="221"/>
        <v>76.040393923082604</v>
      </c>
      <c r="S102" s="738">
        <f t="shared" si="221"/>
        <v>86.515558403209184</v>
      </c>
      <c r="T102" s="317">
        <f t="shared" si="221"/>
        <v>86.789608056828996</v>
      </c>
      <c r="U102" s="724">
        <f t="shared" si="221"/>
        <v>86.908964942089682</v>
      </c>
      <c r="V102" s="318">
        <f t="shared" si="221"/>
        <v>94.86767598077995</v>
      </c>
      <c r="W102" s="319">
        <f t="shared" ref="W102:AD102" si="222">W87/W96*1000</f>
        <v>87.049452227525634</v>
      </c>
      <c r="X102" s="738">
        <f t="shared" si="222"/>
        <v>89.147031422037784</v>
      </c>
      <c r="Y102" s="317">
        <f t="shared" si="222"/>
        <v>94.286732195817407</v>
      </c>
      <c r="Z102" s="724">
        <f t="shared" si="222"/>
        <v>101.52007995900327</v>
      </c>
      <c r="AA102" s="724">
        <f t="shared" si="222"/>
        <v>105.84821414078453</v>
      </c>
      <c r="AB102" s="319">
        <f t="shared" si="222"/>
        <v>79.841801791680822</v>
      </c>
      <c r="AC102" s="738">
        <f t="shared" si="222"/>
        <v>95.71223755418923</v>
      </c>
      <c r="AD102" s="317">
        <f t="shared" si="222"/>
        <v>100.25353081254738</v>
      </c>
      <c r="AE102" s="724">
        <f t="shared" ref="AE102:AJ102" si="223">AE87/AE96*1000</f>
        <v>100.26629458053374</v>
      </c>
      <c r="AF102" s="724">
        <f t="shared" si="223"/>
        <v>103.1748694532634</v>
      </c>
      <c r="AG102" s="319">
        <f t="shared" si="223"/>
        <v>85.450505652588788</v>
      </c>
      <c r="AH102" s="738">
        <f t="shared" si="223"/>
        <v>97.438450583879245</v>
      </c>
      <c r="AI102" s="317">
        <f t="shared" si="223"/>
        <v>93.135811333208082</v>
      </c>
      <c r="AJ102" s="724">
        <f t="shared" si="223"/>
        <v>98.656975953454349</v>
      </c>
      <c r="AK102" s="724">
        <f t="shared" ref="AK102:AP102" si="224">AK87/AK96*1000</f>
        <v>102.74400483186486</v>
      </c>
      <c r="AL102" s="319">
        <f t="shared" si="224"/>
        <v>96.398267042638707</v>
      </c>
      <c r="AM102" s="738">
        <f t="shared" si="224"/>
        <v>97.875245522819171</v>
      </c>
      <c r="AN102" s="317">
        <f t="shared" si="224"/>
        <v>99.475229078142775</v>
      </c>
      <c r="AO102" s="724">
        <f t="shared" si="224"/>
        <v>103.27130935246895</v>
      </c>
      <c r="AP102" s="724">
        <f t="shared" si="224"/>
        <v>107.43301096788126</v>
      </c>
      <c r="AQ102" s="319">
        <f t="shared" ref="AQ102:AW102" si="225">AQ87/AQ96*1000</f>
        <v>98.518434131817443</v>
      </c>
      <c r="AR102" s="738">
        <f t="shared" si="225"/>
        <v>102.38735486107097</v>
      </c>
      <c r="AS102" s="317">
        <f t="shared" si="225"/>
        <v>98.645964753282755</v>
      </c>
      <c r="AT102" s="724">
        <f t="shared" si="225"/>
        <v>107.12459142933879</v>
      </c>
      <c r="AU102" s="724">
        <f t="shared" si="225"/>
        <v>109.85056297926899</v>
      </c>
      <c r="AV102" s="319">
        <f t="shared" si="225"/>
        <v>107.45055989187394</v>
      </c>
      <c r="AW102" s="738">
        <f t="shared" si="225"/>
        <v>105.89177285806566</v>
      </c>
      <c r="AX102" s="317">
        <f>AS102+(AX104/AX96*1000)</f>
        <v>98.827991891101405</v>
      </c>
      <c r="AY102" s="318">
        <f>AT102+(AY104/AY96*1000)</f>
        <v>108.04513541638087</v>
      </c>
      <c r="AZ102" s="318">
        <f>AU102+(AZ104/AZ96*1000)</f>
        <v>107.78465063037569</v>
      </c>
      <c r="BA102" s="319">
        <f>AV102+(BA104/BA96*1000)</f>
        <v>107.63479331307771</v>
      </c>
      <c r="BB102" s="320">
        <f>BB87/BB96*1000</f>
        <v>105.60874031998063</v>
      </c>
      <c r="BC102" s="317">
        <f>AX102+(BC104/BC96*1000)</f>
        <v>102.05376378658903</v>
      </c>
      <c r="BD102" s="318">
        <f>AY102+(BD104/BD96*1000)</f>
        <v>111.5501447081523</v>
      </c>
      <c r="BE102" s="318">
        <f>AZ102+(BE104/BE96*1000)</f>
        <v>111.53805239233209</v>
      </c>
      <c r="BF102" s="319">
        <f>BA102+(BF104/BF96*1000)</f>
        <v>110.89966359258935</v>
      </c>
      <c r="BG102" s="320">
        <f>BG87/BG96*1000</f>
        <v>109.05525027005839</v>
      </c>
      <c r="BH102" s="317">
        <f>BC102+(BH104/BH96*1000)</f>
        <v>105.5045693856529</v>
      </c>
      <c r="BI102" s="318">
        <f>BD102+(BI104/BI96*1000)</f>
        <v>115.29966763807026</v>
      </c>
      <c r="BJ102" s="318">
        <f>BE102+(BJ104/BJ96*1000)</f>
        <v>115.55329594808804</v>
      </c>
      <c r="BK102" s="319">
        <f>BF102+(BK104/BK96*1000)</f>
        <v>114.39229512568566</v>
      </c>
      <c r="BL102" s="320">
        <f>BL87/BL96*1000</f>
        <v>112.74219287427492</v>
      </c>
      <c r="BM102" s="317">
        <f>BH102+(BM104/BM96*1000)</f>
        <v>108.1727967504914</v>
      </c>
      <c r="BN102" s="318">
        <f>BI102+(BN104/BN96*1000)</f>
        <v>118.19886882442817</v>
      </c>
      <c r="BO102" s="318">
        <f>BJ102+(BO104/BO96*1000)</f>
        <v>118.65795728712892</v>
      </c>
      <c r="BP102" s="319">
        <f>BK102+(BP104/BP96*1000)</f>
        <v>117.09286308420339</v>
      </c>
      <c r="BQ102" s="320">
        <f>BQ87/BQ96*1000</f>
        <v>115.59300578353535</v>
      </c>
    </row>
    <row r="103" spans="1:104" x14ac:dyDescent="0.2">
      <c r="C103" s="70"/>
      <c r="E103" s="273"/>
      <c r="F103" s="274"/>
      <c r="G103" s="274"/>
      <c r="H103" s="275"/>
      <c r="I103" s="169"/>
      <c r="J103" s="273"/>
      <c r="K103" s="274"/>
      <c r="L103" s="274"/>
      <c r="M103" s="275"/>
      <c r="N103" s="169"/>
      <c r="O103" s="273"/>
      <c r="P103" s="274"/>
      <c r="Q103" s="611"/>
      <c r="R103" s="275"/>
      <c r="S103" s="732"/>
      <c r="T103" s="273"/>
      <c r="U103" s="611"/>
      <c r="V103" s="274"/>
      <c r="W103" s="275"/>
      <c r="X103" s="732"/>
      <c r="Y103" s="273"/>
      <c r="Z103" s="611"/>
      <c r="AA103" s="611"/>
      <c r="AB103" s="275"/>
      <c r="AC103" s="732"/>
      <c r="AD103" s="273"/>
      <c r="AE103" s="611"/>
      <c r="AF103" s="611"/>
      <c r="AG103" s="275"/>
      <c r="AH103" s="169"/>
      <c r="AI103" s="273"/>
      <c r="AJ103" s="611"/>
      <c r="AK103" s="611"/>
      <c r="AL103" s="275"/>
      <c r="AM103" s="169"/>
      <c r="AN103" s="273"/>
      <c r="AO103" s="611"/>
      <c r="AP103" s="611"/>
      <c r="AQ103" s="275"/>
      <c r="AR103" s="169"/>
      <c r="AS103" s="273"/>
      <c r="AT103" s="611"/>
      <c r="AU103" s="274"/>
      <c r="AV103" s="275"/>
      <c r="AW103" s="169"/>
      <c r="AX103" s="273"/>
      <c r="AY103" s="274"/>
      <c r="AZ103" s="274"/>
      <c r="BA103" s="275"/>
      <c r="BB103" s="169"/>
      <c r="BC103" s="273"/>
      <c r="BD103" s="274"/>
      <c r="BE103" s="274"/>
      <c r="BF103" s="275"/>
      <c r="BG103" s="169"/>
      <c r="BH103" s="273"/>
      <c r="BI103" s="274"/>
      <c r="BJ103" s="274"/>
      <c r="BK103" s="275"/>
      <c r="BL103" s="169"/>
      <c r="BM103" s="273"/>
      <c r="BN103" s="274"/>
      <c r="BO103" s="274"/>
      <c r="BP103" s="275"/>
      <c r="BQ103" s="169"/>
    </row>
    <row r="104" spans="1:104" x14ac:dyDescent="0.2">
      <c r="C104" s="20" t="s">
        <v>264</v>
      </c>
      <c r="E104" s="160"/>
      <c r="F104" s="164"/>
      <c r="G104" s="164"/>
      <c r="H104" s="162"/>
      <c r="I104" s="522"/>
      <c r="J104" s="160"/>
      <c r="K104" s="164"/>
      <c r="L104" s="164"/>
      <c r="M104" s="162"/>
      <c r="N104" s="522"/>
      <c r="O104" s="160"/>
      <c r="P104" s="164"/>
      <c r="Q104" s="161"/>
      <c r="R104" s="116"/>
      <c r="S104" s="220"/>
      <c r="T104" s="136"/>
      <c r="U104" s="161"/>
      <c r="V104" s="164"/>
      <c r="W104" s="116"/>
      <c r="X104" s="220"/>
      <c r="Y104" s="136"/>
      <c r="Z104" s="161"/>
      <c r="AA104" s="161"/>
      <c r="AB104" s="116"/>
      <c r="AC104" s="220"/>
      <c r="AD104" s="136"/>
      <c r="AE104" s="161"/>
      <c r="AF104" s="161"/>
      <c r="AG104" s="116"/>
      <c r="AH104" s="82"/>
      <c r="AI104" s="136"/>
      <c r="AJ104" s="161"/>
      <c r="AK104" s="161"/>
      <c r="AL104" s="116"/>
      <c r="AM104" s="82"/>
      <c r="AN104" s="136"/>
      <c r="AO104" s="161"/>
      <c r="AP104" s="161"/>
      <c r="AQ104" s="116"/>
      <c r="AR104" s="82"/>
      <c r="AS104" s="136"/>
      <c r="AT104" s="161"/>
      <c r="AU104" s="135"/>
      <c r="AV104" s="116"/>
      <c r="AW104" s="82"/>
      <c r="AX104" s="136">
        <f>SUM(AX63:AX66)</f>
        <v>1.5324479189462856</v>
      </c>
      <c r="AY104" s="135">
        <f>SUM(AY63:AY66)</f>
        <v>7.4425543502048175</v>
      </c>
      <c r="AZ104" s="135">
        <f>SUM(AZ63:AZ66)</f>
        <v>-19.496807062243974</v>
      </c>
      <c r="BA104" s="116">
        <f>SUM(BA63:BA66)</f>
        <v>1.5324479189462856</v>
      </c>
      <c r="BB104" s="82">
        <f>SUM(AX104:BA104)</f>
        <v>-8.9893568741465852</v>
      </c>
      <c r="BC104" s="136">
        <f>SUM(BC63:BC66)</f>
        <v>27.224983077760861</v>
      </c>
      <c r="BD104" s="135">
        <f>SUM(BD63:BD66)</f>
        <v>28.408677994185243</v>
      </c>
      <c r="BE104" s="135">
        <f>SUM(BE63:BE66)</f>
        <v>35.510847492731557</v>
      </c>
      <c r="BF104" s="116">
        <f>SUM(BF63:BF66)</f>
        <v>27.224983077760861</v>
      </c>
      <c r="BG104" s="82">
        <f>SUM(BC104:BF104)</f>
        <v>118.36949164243853</v>
      </c>
      <c r="BH104" s="136">
        <f>SUM(BH63:BH66)</f>
        <v>29.197041018617</v>
      </c>
      <c r="BI104" s="135">
        <f>SUM(BI63:BI66)</f>
        <v>30.466477584643822</v>
      </c>
      <c r="BJ104" s="135">
        <f>SUM(BJ63:BJ66)</f>
        <v>38.083096980804783</v>
      </c>
      <c r="BK104" s="116">
        <f>SUM(BK63:BK66)</f>
        <v>29.197041018617</v>
      </c>
      <c r="BL104" s="82">
        <f>SUM(BH104:BK104)</f>
        <v>126.94365660268261</v>
      </c>
      <c r="BM104" s="136">
        <f>SUM(BM63:BM66)</f>
        <v>22.632136883896894</v>
      </c>
      <c r="BN104" s="135">
        <f>SUM(BN63:BN66)</f>
        <v>23.61614283537067</v>
      </c>
      <c r="BO104" s="135">
        <f>SUM(BO63:BO66)</f>
        <v>29.520178544213341</v>
      </c>
      <c r="BP104" s="116">
        <f>SUM(BP63:BP66)</f>
        <v>22.632136883896894</v>
      </c>
      <c r="BQ104" s="82">
        <f>SUM(BM104:BP104)</f>
        <v>98.4005951473778</v>
      </c>
    </row>
    <row r="105" spans="1:104" x14ac:dyDescent="0.2">
      <c r="C105" s="26"/>
      <c r="E105" s="273"/>
      <c r="F105" s="274"/>
      <c r="G105" s="274"/>
      <c r="H105" s="275"/>
      <c r="I105" s="321"/>
      <c r="J105" s="273"/>
      <c r="K105" s="274"/>
      <c r="L105" s="274"/>
      <c r="M105" s="275"/>
      <c r="N105" s="321"/>
      <c r="O105" s="273"/>
      <c r="P105" s="274"/>
      <c r="Q105" s="611"/>
      <c r="R105" s="275"/>
      <c r="S105" s="732"/>
      <c r="T105" s="273"/>
      <c r="U105" s="611"/>
      <c r="V105" s="274"/>
      <c r="W105" s="275"/>
      <c r="X105" s="732"/>
      <c r="Y105" s="273"/>
      <c r="Z105" s="611"/>
      <c r="AA105" s="611"/>
      <c r="AB105" s="275"/>
      <c r="AC105" s="732"/>
      <c r="AD105" s="273"/>
      <c r="AE105" s="611"/>
      <c r="AF105" s="611"/>
      <c r="AG105" s="275"/>
      <c r="AH105" s="169"/>
      <c r="AI105" s="273"/>
      <c r="AJ105" s="611"/>
      <c r="AK105" s="611"/>
      <c r="AL105" s="275"/>
      <c r="AM105" s="169"/>
      <c r="AN105" s="273"/>
      <c r="AO105" s="611"/>
      <c r="AP105" s="611"/>
      <c r="AQ105" s="275"/>
      <c r="AR105" s="169"/>
      <c r="AS105" s="273"/>
      <c r="AT105" s="611"/>
      <c r="AU105" s="274"/>
      <c r="AV105" s="275"/>
      <c r="AW105" s="897"/>
      <c r="AX105" s="273"/>
      <c r="AY105" s="274"/>
      <c r="AZ105" s="274"/>
      <c r="BA105" s="275"/>
      <c r="BB105" s="897"/>
      <c r="BC105" s="273"/>
      <c r="BD105" s="274"/>
      <c r="BE105" s="274"/>
      <c r="BF105" s="275"/>
      <c r="BG105" s="169"/>
      <c r="BH105" s="273"/>
      <c r="BI105" s="274"/>
      <c r="BJ105" s="274"/>
      <c r="BK105" s="275"/>
      <c r="BL105" s="169"/>
      <c r="BM105" s="273"/>
      <c r="BN105" s="274"/>
      <c r="BO105" s="274"/>
      <c r="BP105" s="275"/>
      <c r="BQ105" s="169"/>
    </row>
    <row r="106" spans="1:104" x14ac:dyDescent="0.2">
      <c r="C106" s="26" t="s">
        <v>265</v>
      </c>
      <c r="E106" s="273"/>
      <c r="F106" s="274"/>
      <c r="G106" s="274"/>
      <c r="H106" s="275"/>
      <c r="I106" s="169"/>
      <c r="J106" s="273"/>
      <c r="K106" s="274"/>
      <c r="L106" s="274"/>
      <c r="M106" s="275"/>
      <c r="N106" s="169"/>
      <c r="O106" s="273"/>
      <c r="P106" s="274"/>
      <c r="Q106" s="611"/>
      <c r="R106" s="275"/>
      <c r="S106" s="732"/>
      <c r="T106" s="273"/>
      <c r="U106" s="611"/>
      <c r="V106" s="274"/>
      <c r="W106" s="275"/>
      <c r="X106" s="732"/>
      <c r="Y106" s="273"/>
      <c r="Z106" s="611"/>
      <c r="AA106" s="611"/>
      <c r="AB106" s="275"/>
      <c r="AC106" s="732"/>
      <c r="AD106" s="273"/>
      <c r="AE106" s="611"/>
      <c r="AF106" s="611"/>
      <c r="AG106" s="275"/>
      <c r="AH106" s="169"/>
      <c r="AI106" s="273"/>
      <c r="AJ106" s="611"/>
      <c r="AK106" s="611"/>
      <c r="AL106" s="275"/>
      <c r="AM106" s="169"/>
      <c r="AN106" s="273"/>
      <c r="AO106" s="611"/>
      <c r="AP106" s="611"/>
      <c r="AQ106" s="275"/>
      <c r="AR106" s="169"/>
      <c r="AS106" s="273"/>
      <c r="AT106" s="611"/>
      <c r="AU106" s="274"/>
      <c r="AV106" s="275"/>
      <c r="AW106" s="169"/>
      <c r="AX106" s="273"/>
      <c r="AY106" s="274"/>
      <c r="AZ106" s="274"/>
      <c r="BA106" s="275"/>
      <c r="BB106" s="169"/>
      <c r="BC106" s="273"/>
      <c r="BD106" s="274"/>
      <c r="BE106" s="274"/>
      <c r="BF106" s="275"/>
      <c r="BG106" s="169"/>
      <c r="BH106" s="273"/>
      <c r="BI106" s="274"/>
      <c r="BJ106" s="274"/>
      <c r="BK106" s="275"/>
      <c r="BL106" s="169"/>
      <c r="BM106" s="273"/>
      <c r="BN106" s="274"/>
      <c r="BO106" s="274"/>
      <c r="BP106" s="275"/>
      <c r="BQ106" s="169"/>
    </row>
    <row r="107" spans="1:104" s="20" customFormat="1" x14ac:dyDescent="0.2">
      <c r="A107" s="220"/>
      <c r="B107" s="220"/>
      <c r="C107" s="20" t="s">
        <v>266</v>
      </c>
      <c r="D107" s="82"/>
      <c r="E107" s="136">
        <f t="shared" ref="E107:P107" si="226">E13</f>
        <v>382.14600000000002</v>
      </c>
      <c r="F107" s="135">
        <f t="shared" si="226"/>
        <v>314.16300000000001</v>
      </c>
      <c r="G107" s="135">
        <f t="shared" si="226"/>
        <v>369.34899999999999</v>
      </c>
      <c r="H107" s="116">
        <f t="shared" si="226"/>
        <v>346.21900000000005</v>
      </c>
      <c r="I107" s="82">
        <f t="shared" si="226"/>
        <v>1411.877</v>
      </c>
      <c r="J107" s="136">
        <f t="shared" si="226"/>
        <v>373.08</v>
      </c>
      <c r="K107" s="135">
        <f t="shared" si="226"/>
        <v>351.65300000000002</v>
      </c>
      <c r="L107" s="135">
        <f t="shared" si="226"/>
        <v>457.80500000000001</v>
      </c>
      <c r="M107" s="116">
        <f t="shared" si="226"/>
        <v>353.53800000000001</v>
      </c>
      <c r="N107" s="82">
        <f t="shared" si="226"/>
        <v>1536.076</v>
      </c>
      <c r="O107" s="136">
        <f t="shared" si="226"/>
        <v>374.077</v>
      </c>
      <c r="P107" s="135">
        <f t="shared" si="226"/>
        <v>378.59699999999998</v>
      </c>
      <c r="Q107" s="137">
        <f t="shared" ref="Q107:Y107" si="227">Q13</f>
        <v>428.33300000000003</v>
      </c>
      <c r="R107" s="116">
        <f t="shared" si="227"/>
        <v>361.75299999999993</v>
      </c>
      <c r="S107" s="220">
        <f t="shared" si="227"/>
        <v>1542.76</v>
      </c>
      <c r="T107" s="136">
        <f t="shared" si="227"/>
        <v>365.32799999999997</v>
      </c>
      <c r="U107" s="137">
        <f t="shared" si="227"/>
        <v>362.14600000000002</v>
      </c>
      <c r="V107" s="137">
        <f t="shared" si="227"/>
        <v>448.68099999999998</v>
      </c>
      <c r="W107" s="116">
        <f t="shared" si="227"/>
        <v>386.13100000000009</v>
      </c>
      <c r="X107" s="220">
        <f t="shared" si="227"/>
        <v>1562.2860000000001</v>
      </c>
      <c r="Y107" s="136">
        <f t="shared" si="227"/>
        <v>388.90100000000001</v>
      </c>
      <c r="Z107" s="137">
        <f t="shared" ref="Z107:AF107" si="228">Z13</f>
        <v>416.178</v>
      </c>
      <c r="AA107" s="137">
        <f t="shared" si="228"/>
        <v>465.10599999999999</v>
      </c>
      <c r="AB107" s="116">
        <f t="shared" si="228"/>
        <v>413.79200000000014</v>
      </c>
      <c r="AC107" s="220">
        <f t="shared" si="228"/>
        <v>1683.9770000000001</v>
      </c>
      <c r="AD107" s="136">
        <f t="shared" si="228"/>
        <v>458.08300000000003</v>
      </c>
      <c r="AE107" s="137">
        <f t="shared" si="228"/>
        <v>395.13</v>
      </c>
      <c r="AF107" s="137">
        <f t="shared" si="228"/>
        <v>411.62099999999998</v>
      </c>
      <c r="AG107" s="116">
        <f t="shared" ref="AG107:AM107" si="229">AG13</f>
        <v>411.6400000000001</v>
      </c>
      <c r="AH107" s="220">
        <f t="shared" si="229"/>
        <v>1676.4739999999999</v>
      </c>
      <c r="AI107" s="136">
        <f t="shared" si="229"/>
        <v>398.72</v>
      </c>
      <c r="AJ107" s="137">
        <f t="shared" si="229"/>
        <v>384.47899999999998</v>
      </c>
      <c r="AK107" s="137">
        <f t="shared" si="229"/>
        <v>433.99299999999999</v>
      </c>
      <c r="AL107" s="116">
        <f t="shared" si="229"/>
        <v>366.42799999999988</v>
      </c>
      <c r="AM107" s="220">
        <f t="shared" si="229"/>
        <v>1583.62</v>
      </c>
      <c r="AN107" s="136">
        <f t="shared" ref="AN107:AR107" si="230">AN13</f>
        <v>366.166</v>
      </c>
      <c r="AO107" s="137">
        <f t="shared" si="230"/>
        <v>347.09199999999998</v>
      </c>
      <c r="AP107" s="137">
        <f t="shared" si="230"/>
        <v>435.56</v>
      </c>
      <c r="AQ107" s="116">
        <f t="shared" si="230"/>
        <v>393.80099999999993</v>
      </c>
      <c r="AR107" s="220">
        <f t="shared" si="230"/>
        <v>1542.6189999999999</v>
      </c>
      <c r="AS107" s="136">
        <f t="shared" ref="AS107:AW107" si="231">AS13</f>
        <v>396.12099999999998</v>
      </c>
      <c r="AT107" s="137">
        <f t="shared" si="231"/>
        <v>383.947</v>
      </c>
      <c r="AU107" s="137">
        <f t="shared" si="231"/>
        <v>435.00299999999999</v>
      </c>
      <c r="AV107" s="116">
        <f t="shared" si="231"/>
        <v>411.80799999999999</v>
      </c>
      <c r="AW107" s="220">
        <f t="shared" si="231"/>
        <v>1626.8789999999999</v>
      </c>
      <c r="AX107" s="136">
        <f>+AX108*AX98/1000</f>
        <v>401.3314521982943</v>
      </c>
      <c r="AY107" s="135">
        <f>+AY108*AY98/1000</f>
        <v>382.18591118308808</v>
      </c>
      <c r="AZ107" s="135">
        <f>+AZ108*AZ98/1000</f>
        <v>437.8789560227786</v>
      </c>
      <c r="BA107" s="116">
        <f>+BA108*BA98/1000</f>
        <v>413.44224306814459</v>
      </c>
      <c r="BB107" s="82">
        <f>SUM(AX107:BA107)</f>
        <v>1634.8385624723055</v>
      </c>
      <c r="BC107" s="136">
        <f>+BC108*BC98/1000</f>
        <v>402.13394078307704</v>
      </c>
      <c r="BD107" s="135">
        <f>+BD108*BD98/1000</f>
        <v>383.01221073317402</v>
      </c>
      <c r="BE107" s="135">
        <f>+BE108*BE98/1000</f>
        <v>438.84479792042839</v>
      </c>
      <c r="BF107" s="116">
        <f>+BF108*BF98/1000</f>
        <v>414.35424149145092</v>
      </c>
      <c r="BG107" s="82">
        <f>SUM(BC107:BF107)</f>
        <v>1638.3451909281303</v>
      </c>
      <c r="BH107" s="136">
        <f>+BH108*BH98/1000</f>
        <v>402.93843558932178</v>
      </c>
      <c r="BI107" s="135">
        <f>+BI108*BI98/1000</f>
        <v>383.84057603213523</v>
      </c>
      <c r="BJ107" s="135">
        <f>+BJ108*BJ98/1000</f>
        <v>439.81305442282218</v>
      </c>
      <c r="BK107" s="116">
        <f>+BK108*BK98/1000</f>
        <v>415.26851991081554</v>
      </c>
      <c r="BL107" s="82">
        <f>SUM(BH107:BK107)</f>
        <v>1641.8605859550946</v>
      </c>
      <c r="BM107" s="136">
        <f>+BM108*BM98/1000</f>
        <v>403.74494163258197</v>
      </c>
      <c r="BN107" s="135">
        <f>+BN108*BN98/1000</f>
        <v>384.67101224434384</v>
      </c>
      <c r="BO107" s="135">
        <f>+BO108*BO98/1000</f>
        <v>440.78373156647211</v>
      </c>
      <c r="BP107" s="116">
        <f>+BP108*BP98/1000</f>
        <v>416.18508402622854</v>
      </c>
      <c r="BQ107" s="82">
        <f>SUM(BM107:BP107)</f>
        <v>1645.3847694696265</v>
      </c>
      <c r="BR107" s="220"/>
      <c r="BS107" s="220"/>
      <c r="BT107" s="220"/>
      <c r="BU107" s="220"/>
      <c r="BV107" s="220"/>
      <c r="BW107" s="220"/>
      <c r="BX107" s="220"/>
      <c r="BY107" s="220"/>
      <c r="BZ107" s="220"/>
      <c r="CA107" s="220"/>
      <c r="CB107" s="220"/>
      <c r="CC107" s="220"/>
      <c r="CD107" s="220"/>
      <c r="CE107" s="220"/>
      <c r="CF107" s="220"/>
      <c r="CG107" s="220"/>
      <c r="CH107" s="220"/>
      <c r="CI107" s="220"/>
      <c r="CJ107" s="220"/>
      <c r="CK107" s="220"/>
      <c r="CL107" s="220"/>
      <c r="CM107" s="220"/>
      <c r="CN107" s="220"/>
      <c r="CO107" s="220"/>
      <c r="CP107" s="220"/>
      <c r="CQ107" s="220"/>
      <c r="CR107" s="220"/>
      <c r="CS107" s="220"/>
      <c r="CT107" s="220"/>
      <c r="CU107" s="220"/>
      <c r="CV107" s="220"/>
      <c r="CW107" s="220"/>
      <c r="CX107" s="220"/>
      <c r="CY107" s="220"/>
      <c r="CZ107" s="220"/>
    </row>
    <row r="108" spans="1:104" x14ac:dyDescent="0.2">
      <c r="C108" s="20" t="s">
        <v>267</v>
      </c>
      <c r="E108" s="322">
        <f>+E107/E98*1000</f>
        <v>38.400207402479886</v>
      </c>
      <c r="F108" s="323">
        <f>+F107/F98*1000</f>
        <v>32.911471438602874</v>
      </c>
      <c r="G108" s="323">
        <f>+G107/G98*1000</f>
        <v>33.478302131096612</v>
      </c>
      <c r="H108" s="324">
        <f>+H107/H98*1000</f>
        <v>38.761218249060853</v>
      </c>
      <c r="I108" s="325">
        <f>+I107/I98*1000</f>
        <v>35.778185422205802</v>
      </c>
      <c r="J108" s="322">
        <f t="shared" ref="J108:O108" si="232">+J107/J98*1000</f>
        <v>38.680800966708986</v>
      </c>
      <c r="K108" s="323">
        <f t="shared" si="232"/>
        <v>36.882822390246616</v>
      </c>
      <c r="L108" s="323">
        <f t="shared" si="232"/>
        <v>39.785176299070017</v>
      </c>
      <c r="M108" s="324">
        <f t="shared" si="232"/>
        <v>34.022424286108709</v>
      </c>
      <c r="N108" s="325">
        <f t="shared" si="232"/>
        <v>37.394426831199205</v>
      </c>
      <c r="O108" s="322">
        <f t="shared" si="232"/>
        <v>39.639078884179803</v>
      </c>
      <c r="P108" s="323">
        <f t="shared" ref="P108:U108" si="233">+P107/P98*1000</f>
        <v>42.24755657434546</v>
      </c>
      <c r="Q108" s="716">
        <f t="shared" si="233"/>
        <v>40.065195633669759</v>
      </c>
      <c r="R108" s="324">
        <f t="shared" si="233"/>
        <v>42.46610076972469</v>
      </c>
      <c r="S108" s="739">
        <f t="shared" si="233"/>
        <v>41.022122952563286</v>
      </c>
      <c r="T108" s="322">
        <f t="shared" si="233"/>
        <v>40.513898207344724</v>
      </c>
      <c r="U108" s="716">
        <f t="shared" si="233"/>
        <v>40.532417058163524</v>
      </c>
      <c r="V108" s="716">
        <f t="shared" ref="V108:AA108" si="234">+V107/V98*1000</f>
        <v>42.655426528596777</v>
      </c>
      <c r="W108" s="324">
        <f t="shared" si="234"/>
        <v>45.02884075028981</v>
      </c>
      <c r="X108" s="739">
        <f t="shared" si="234"/>
        <v>42.171516493008696</v>
      </c>
      <c r="Y108" s="322">
        <f t="shared" si="234"/>
        <v>42.884702859616091</v>
      </c>
      <c r="Z108" s="716">
        <f t="shared" si="234"/>
        <v>47.711350559394148</v>
      </c>
      <c r="AA108" s="716">
        <f t="shared" si="234"/>
        <v>44.746121708073368</v>
      </c>
      <c r="AB108" s="324">
        <f t="shared" ref="AB108:AJ108" si="235">+AB107/AB98*1000</f>
        <v>48.656717049723262</v>
      </c>
      <c r="AC108" s="739">
        <f t="shared" si="235"/>
        <v>45.897437994003816</v>
      </c>
      <c r="AD108" s="322">
        <f t="shared" si="235"/>
        <v>47.179428552595517</v>
      </c>
      <c r="AE108" s="716">
        <f t="shared" si="235"/>
        <v>42.77122186187146</v>
      </c>
      <c r="AF108" s="716">
        <f t="shared" si="235"/>
        <v>40.993554998623161</v>
      </c>
      <c r="AG108" s="324">
        <f t="shared" si="235"/>
        <v>46.64325816596952</v>
      </c>
      <c r="AH108" s="739">
        <f t="shared" si="235"/>
        <v>44.334743745702646</v>
      </c>
      <c r="AI108" s="322">
        <f t="shared" si="235"/>
        <v>41.640814347783738</v>
      </c>
      <c r="AJ108" s="716">
        <f t="shared" si="235"/>
        <v>43.35890276249075</v>
      </c>
      <c r="AK108" s="716">
        <f t="shared" ref="AK108:AP108" si="236">+AK107/AK98*1000</f>
        <v>40.791223391756581</v>
      </c>
      <c r="AL108" s="324">
        <f t="shared" si="236"/>
        <v>42.876899694092458</v>
      </c>
      <c r="AM108" s="739">
        <f t="shared" si="236"/>
        <v>42.086212395024972</v>
      </c>
      <c r="AN108" s="322">
        <f t="shared" si="236"/>
        <v>38.180866273123229</v>
      </c>
      <c r="AO108" s="716">
        <f t="shared" si="236"/>
        <v>37.335020529356321</v>
      </c>
      <c r="AP108" s="716">
        <f t="shared" si="236"/>
        <v>38.229791097486228</v>
      </c>
      <c r="AQ108" s="324">
        <f>+AQ107/AQ98*1000</f>
        <v>40.703774536804524</v>
      </c>
      <c r="AR108" s="739">
        <f>+AR107/AR98*1000</f>
        <v>38.608910023776751</v>
      </c>
      <c r="AS108" s="322">
        <f t="shared" ref="AS108:AU108" si="237">+AS107/AS98*1000</f>
        <v>38.12846059279731</v>
      </c>
      <c r="AT108" s="716">
        <f t="shared" si="237"/>
        <v>40.880861410507748</v>
      </c>
      <c r="AU108" s="716">
        <f t="shared" si="237"/>
        <v>40.936850778961727</v>
      </c>
      <c r="AV108" s="324">
        <f>+AV107/AV98*1000</f>
        <v>43.856783015166599</v>
      </c>
      <c r="AW108" s="739">
        <f>+AW107/AW98*1000</f>
        <v>40.879438148604159</v>
      </c>
      <c r="AX108" s="322">
        <f>+AS108</f>
        <v>38.12846059279731</v>
      </c>
      <c r="AY108" s="323">
        <f>+AT108</f>
        <v>40.880861410507748</v>
      </c>
      <c r="AZ108" s="323">
        <f>+AU108</f>
        <v>40.936850778961727</v>
      </c>
      <c r="BA108" s="324">
        <f>+AV108</f>
        <v>43.856783015166599</v>
      </c>
      <c r="BB108" s="325">
        <f>+BB107/BB98*1000</f>
        <v>40.872912389547416</v>
      </c>
      <c r="BC108" s="322">
        <f>+AX108</f>
        <v>38.12846059279731</v>
      </c>
      <c r="BD108" s="323">
        <f>+AY108</f>
        <v>40.880861410507748</v>
      </c>
      <c r="BE108" s="323">
        <f>+AZ108</f>
        <v>40.936850778961727</v>
      </c>
      <c r="BF108" s="324">
        <f>+BA108</f>
        <v>43.856783015166599</v>
      </c>
      <c r="BG108" s="325">
        <f>+BG107/BG98*1000</f>
        <v>40.873060982468196</v>
      </c>
      <c r="BH108" s="322">
        <f>+BC108</f>
        <v>38.12846059279731</v>
      </c>
      <c r="BI108" s="323">
        <f>+BD108</f>
        <v>40.880861410507748</v>
      </c>
      <c r="BJ108" s="323">
        <f>+BE108</f>
        <v>40.936850778961727</v>
      </c>
      <c r="BK108" s="324">
        <f>+BF108</f>
        <v>43.856783015166599</v>
      </c>
      <c r="BL108" s="325">
        <f>+BL107/BL98*1000</f>
        <v>40.873209310847471</v>
      </c>
      <c r="BM108" s="322">
        <f>+BH108</f>
        <v>38.12846059279731</v>
      </c>
      <c r="BN108" s="323">
        <f>+BI108</f>
        <v>40.880861410507748</v>
      </c>
      <c r="BO108" s="323">
        <f>+BJ108</f>
        <v>40.936850778961727</v>
      </c>
      <c r="BP108" s="324">
        <f>+BK108</f>
        <v>43.856783015166599</v>
      </c>
      <c r="BQ108" s="325">
        <f>+BQ107/BQ98*1000</f>
        <v>40.873357374929959</v>
      </c>
    </row>
    <row r="109" spans="1:104" x14ac:dyDescent="0.2">
      <c r="C109" s="26"/>
      <c r="E109" s="273"/>
      <c r="F109" s="274"/>
      <c r="G109" s="274"/>
      <c r="H109" s="275"/>
      <c r="I109" s="169"/>
      <c r="J109" s="273"/>
      <c r="K109" s="274"/>
      <c r="L109" s="274"/>
      <c r="M109" s="275"/>
      <c r="N109" s="169"/>
      <c r="O109" s="273"/>
      <c r="P109" s="274"/>
      <c r="Q109" s="611"/>
      <c r="R109" s="275"/>
      <c r="S109" s="732"/>
      <c r="T109" s="273"/>
      <c r="U109" s="611"/>
      <c r="V109" s="611"/>
      <c r="W109" s="275"/>
      <c r="X109" s="732"/>
      <c r="Y109" s="273"/>
      <c r="Z109" s="611"/>
      <c r="AA109" s="611"/>
      <c r="AB109" s="275"/>
      <c r="AC109" s="732"/>
      <c r="AD109" s="273"/>
      <c r="AE109" s="611"/>
      <c r="AF109" s="611"/>
      <c r="AG109" s="275"/>
      <c r="AH109" s="732"/>
      <c r="AI109" s="273"/>
      <c r="AJ109" s="611"/>
      <c r="AK109" s="611"/>
      <c r="AL109" s="275"/>
      <c r="AM109" s="732"/>
      <c r="AN109" s="273"/>
      <c r="AO109" s="611"/>
      <c r="AP109" s="611"/>
      <c r="AQ109" s="275"/>
      <c r="AR109" s="732"/>
      <c r="AS109" s="273"/>
      <c r="AT109" s="611"/>
      <c r="AU109" s="611"/>
      <c r="AV109" s="275"/>
      <c r="AW109" s="732"/>
      <c r="AX109" s="273"/>
      <c r="AY109" s="274"/>
      <c r="AZ109" s="274"/>
      <c r="BA109" s="275"/>
      <c r="BB109" s="169"/>
      <c r="BC109" s="273"/>
      <c r="BD109" s="274"/>
      <c r="BE109" s="274"/>
      <c r="BF109" s="275"/>
      <c r="BG109" s="169"/>
      <c r="BH109" s="273"/>
      <c r="BI109" s="274"/>
      <c r="BJ109" s="274"/>
      <c r="BK109" s="275"/>
      <c r="BL109" s="169"/>
      <c r="BM109" s="273"/>
      <c r="BN109" s="274"/>
      <c r="BO109" s="274"/>
      <c r="BP109" s="275"/>
      <c r="BQ109" s="169"/>
    </row>
    <row r="110" spans="1:104" x14ac:dyDescent="0.2">
      <c r="C110" s="26" t="s">
        <v>268</v>
      </c>
      <c r="E110" s="121">
        <f t="shared" ref="E110:P110" si="238">+E89-E107</f>
        <v>486.93599999999998</v>
      </c>
      <c r="F110" s="122">
        <f t="shared" si="238"/>
        <v>473.42099999999994</v>
      </c>
      <c r="G110" s="122">
        <f t="shared" si="238"/>
        <v>546.98900000000003</v>
      </c>
      <c r="H110" s="123">
        <f t="shared" si="238"/>
        <v>488.05000000000007</v>
      </c>
      <c r="I110" s="86">
        <f t="shared" si="238"/>
        <v>1995.3960000000002</v>
      </c>
      <c r="J110" s="121">
        <f t="shared" si="238"/>
        <v>477.15199999999999</v>
      </c>
      <c r="K110" s="122">
        <f t="shared" si="238"/>
        <v>490.96699999999998</v>
      </c>
      <c r="L110" s="122">
        <f t="shared" si="238"/>
        <v>610.61099999999988</v>
      </c>
      <c r="M110" s="123">
        <f t="shared" si="238"/>
        <v>509.90900000000056</v>
      </c>
      <c r="N110" s="86">
        <f t="shared" si="238"/>
        <v>2088.6390000000001</v>
      </c>
      <c r="O110" s="326">
        <f t="shared" si="238"/>
        <v>530.05999999999995</v>
      </c>
      <c r="P110" s="327">
        <f t="shared" si="238"/>
        <v>529.47300000000007</v>
      </c>
      <c r="Q110" s="717">
        <f t="shared" ref="Q110:Y110" si="239">+Q89-Q107</f>
        <v>675.54199999999992</v>
      </c>
      <c r="R110" s="123">
        <f t="shared" si="239"/>
        <v>494.79300000000035</v>
      </c>
      <c r="S110" s="85">
        <f t="shared" si="239"/>
        <v>2229.8680000000004</v>
      </c>
      <c r="T110" s="326">
        <f t="shared" si="239"/>
        <v>509.05600000000004</v>
      </c>
      <c r="U110" s="717">
        <f t="shared" si="239"/>
        <v>545.904</v>
      </c>
      <c r="V110" s="717">
        <f t="shared" si="239"/>
        <v>681.52600000000007</v>
      </c>
      <c r="W110" s="123">
        <f t="shared" si="239"/>
        <v>543.75699999999983</v>
      </c>
      <c r="X110" s="85">
        <f t="shared" si="239"/>
        <v>2280.2429999999999</v>
      </c>
      <c r="Y110" s="326">
        <f t="shared" si="239"/>
        <v>562.41300000000001</v>
      </c>
      <c r="Z110" s="717">
        <f t="shared" ref="Z110:AF110" si="240">+Z89-Z107</f>
        <v>555.053</v>
      </c>
      <c r="AA110" s="717">
        <f t="shared" si="240"/>
        <v>692.02800000000002</v>
      </c>
      <c r="AB110" s="123">
        <f t="shared" si="240"/>
        <v>568.96899999999903</v>
      </c>
      <c r="AC110" s="85">
        <f t="shared" si="240"/>
        <v>2378.4629999999997</v>
      </c>
      <c r="AD110" s="326">
        <f t="shared" si="240"/>
        <v>610.25699999999983</v>
      </c>
      <c r="AE110" s="717">
        <f t="shared" si="240"/>
        <v>605.72700000000009</v>
      </c>
      <c r="AF110" s="717">
        <f t="shared" si="240"/>
        <v>709.43400000000008</v>
      </c>
      <c r="AG110" s="123">
        <f t="shared" ref="AG110:AM110" si="241">+AG89-AG107</f>
        <v>600.46499999999958</v>
      </c>
      <c r="AH110" s="85">
        <f t="shared" si="241"/>
        <v>2525.8829999999998</v>
      </c>
      <c r="AI110" s="326">
        <f t="shared" si="241"/>
        <v>607.43399999999997</v>
      </c>
      <c r="AJ110" s="717">
        <f t="shared" si="241"/>
        <v>615.39300000000003</v>
      </c>
      <c r="AK110" s="717">
        <f t="shared" si="241"/>
        <v>754.35000000000014</v>
      </c>
      <c r="AL110" s="123">
        <f t="shared" si="241"/>
        <v>622.91800000000023</v>
      </c>
      <c r="AM110" s="85">
        <f t="shared" si="241"/>
        <v>2600.0950000000003</v>
      </c>
      <c r="AN110" s="326">
        <f t="shared" ref="AN110:AR110" si="242">+AN89-AN107</f>
        <v>667.47700000000009</v>
      </c>
      <c r="AO110" s="717">
        <f t="shared" si="242"/>
        <v>669.37900000000002</v>
      </c>
      <c r="AP110" s="717">
        <f t="shared" si="242"/>
        <v>847.01400000000012</v>
      </c>
      <c r="AQ110" s="123">
        <f t="shared" si="242"/>
        <v>678.096</v>
      </c>
      <c r="AR110" s="85">
        <f t="shared" si="242"/>
        <v>2861.9660000000003</v>
      </c>
      <c r="AS110" s="326">
        <f t="shared" ref="AS110:AW110" si="243">+AS89-AS107</f>
        <v>682.90899999999999</v>
      </c>
      <c r="AT110" s="717">
        <f t="shared" si="243"/>
        <v>695.83199999999999</v>
      </c>
      <c r="AU110" s="717">
        <f t="shared" si="243"/>
        <v>855.96800000000007</v>
      </c>
      <c r="AV110" s="123">
        <f t="shared" si="243"/>
        <v>680.16500000000042</v>
      </c>
      <c r="AW110" s="85">
        <f t="shared" si="243"/>
        <v>2914.8740000000007</v>
      </c>
      <c r="AX110" s="326">
        <f t="shared" ref="AX110:BG110" si="244">+AX89-AX107</f>
        <v>692.71147922065165</v>
      </c>
      <c r="AY110" s="327">
        <f t="shared" si="244"/>
        <v>700.42086956711682</v>
      </c>
      <c r="AZ110" s="327">
        <f t="shared" si="244"/>
        <v>841.31262069497757</v>
      </c>
      <c r="BA110" s="314">
        <f t="shared" si="244"/>
        <v>684.06715408280184</v>
      </c>
      <c r="BB110" s="93">
        <f t="shared" si="244"/>
        <v>2918.5121235655474</v>
      </c>
      <c r="BC110" s="326">
        <f t="shared" si="244"/>
        <v>721.21400354217724</v>
      </c>
      <c r="BD110" s="327">
        <f t="shared" si="244"/>
        <v>730.1870974630915</v>
      </c>
      <c r="BE110" s="327">
        <f t="shared" si="244"/>
        <v>878.40063899185338</v>
      </c>
      <c r="BF110" s="314">
        <f t="shared" si="244"/>
        <v>712.61839597013363</v>
      </c>
      <c r="BG110" s="93">
        <f t="shared" si="244"/>
        <v>3042.4201359672561</v>
      </c>
      <c r="BH110" s="326">
        <f t="shared" ref="BH110:BQ110" si="245">+BH89-BH107</f>
        <v>751.75984211536263</v>
      </c>
      <c r="BI110" s="327">
        <f t="shared" si="245"/>
        <v>762.08554051926467</v>
      </c>
      <c r="BJ110" s="327">
        <f t="shared" si="245"/>
        <v>918.15362682254499</v>
      </c>
      <c r="BK110" s="314">
        <f t="shared" si="245"/>
        <v>743.21307390304014</v>
      </c>
      <c r="BL110" s="93">
        <f t="shared" si="245"/>
        <v>3175.212083360213</v>
      </c>
      <c r="BM110" s="326">
        <f t="shared" si="245"/>
        <v>775.81714115026102</v>
      </c>
      <c r="BN110" s="327">
        <f t="shared" si="245"/>
        <v>787.21339493380526</v>
      </c>
      <c r="BO110" s="327">
        <f t="shared" si="245"/>
        <v>949.44307868622172</v>
      </c>
      <c r="BP110" s="314">
        <f t="shared" si="245"/>
        <v>767.31933439605848</v>
      </c>
      <c r="BQ110" s="93">
        <f t="shared" si="245"/>
        <v>3279.7929491663458</v>
      </c>
    </row>
    <row r="111" spans="1:104" x14ac:dyDescent="0.2">
      <c r="A111" s="45"/>
      <c r="B111" s="45"/>
      <c r="C111" s="45" t="s">
        <v>269</v>
      </c>
      <c r="D111" s="45"/>
      <c r="E111" s="328"/>
      <c r="F111" s="329"/>
      <c r="G111" s="329"/>
      <c r="H111" s="330"/>
      <c r="I111" s="331"/>
      <c r="J111" s="332">
        <f t="shared" ref="J111:AK111" si="246">+J110/E110-1</f>
        <v>-2.009298963313455E-2</v>
      </c>
      <c r="K111" s="333">
        <f t="shared" si="246"/>
        <v>3.7062149756770468E-2</v>
      </c>
      <c r="L111" s="333">
        <f t="shared" si="246"/>
        <v>0.11631312512683034</v>
      </c>
      <c r="M111" s="334">
        <f t="shared" si="246"/>
        <v>4.4788443806988099E-2</v>
      </c>
      <c r="N111" s="46">
        <f t="shared" si="246"/>
        <v>4.6729070319876387E-2</v>
      </c>
      <c r="O111" s="332">
        <f t="shared" si="246"/>
        <v>0.1108829052377438</v>
      </c>
      <c r="P111" s="333">
        <f t="shared" si="246"/>
        <v>7.8428896443141882E-2</v>
      </c>
      <c r="Q111" s="718">
        <f t="shared" si="246"/>
        <v>0.10633775022068059</v>
      </c>
      <c r="R111" s="334">
        <f>+R110/M110-1</f>
        <v>-2.9644505196025572E-2</v>
      </c>
      <c r="S111" s="740">
        <f>+S110/N110-1</f>
        <v>6.7617716608758371E-2</v>
      </c>
      <c r="T111" s="332">
        <f t="shared" si="246"/>
        <v>-3.9625702750631819E-2</v>
      </c>
      <c r="U111" s="718">
        <f t="shared" si="246"/>
        <v>3.1032743879291225E-2</v>
      </c>
      <c r="V111" s="718">
        <f>+V110/Q110-1</f>
        <v>8.8580724810598532E-3</v>
      </c>
      <c r="W111" s="334">
        <f>+W110/R110-1</f>
        <v>9.8958554385368158E-2</v>
      </c>
      <c r="X111" s="740">
        <f>+X110/S110-1</f>
        <v>2.2591023325147397E-2</v>
      </c>
      <c r="Y111" s="332">
        <f t="shared" si="246"/>
        <v>0.10481558021121451</v>
      </c>
      <c r="Z111" s="718">
        <f t="shared" si="246"/>
        <v>1.6759356956534521E-2</v>
      </c>
      <c r="AA111" s="718">
        <f t="shared" si="246"/>
        <v>1.5409536833517645E-2</v>
      </c>
      <c r="AB111" s="334">
        <f>+AB110/W110-1</f>
        <v>4.6366299652232934E-2</v>
      </c>
      <c r="AC111" s="740">
        <f>+AC110/X110-1</f>
        <v>4.3074356548841397E-2</v>
      </c>
      <c r="AD111" s="332">
        <f t="shared" si="246"/>
        <v>8.5069157363005132E-2</v>
      </c>
      <c r="AE111" s="718">
        <f t="shared" si="246"/>
        <v>9.1295786168167803E-2</v>
      </c>
      <c r="AF111" s="718">
        <f t="shared" si="246"/>
        <v>2.5152161473235291E-2</v>
      </c>
      <c r="AG111" s="334">
        <f>+AG110/AB110-1</f>
        <v>5.5356267213153343E-2</v>
      </c>
      <c r="AH111" s="740">
        <f>+AH110/AC110-1</f>
        <v>6.1981203827850218E-2</v>
      </c>
      <c r="AI111" s="332">
        <f t="shared" si="246"/>
        <v>-4.6259198993209294E-3</v>
      </c>
      <c r="AJ111" s="718">
        <f t="shared" si="246"/>
        <v>1.5957683907106501E-2</v>
      </c>
      <c r="AK111" s="718">
        <f t="shared" si="246"/>
        <v>6.3312443440827648E-2</v>
      </c>
      <c r="AL111" s="334">
        <f t="shared" ref="AL111:AR111" si="247">+AL110/AG110-1</f>
        <v>3.7392687333984043E-2</v>
      </c>
      <c r="AM111" s="740">
        <f t="shared" si="247"/>
        <v>2.9380616600214848E-2</v>
      </c>
      <c r="AN111" s="332">
        <f t="shared" si="247"/>
        <v>9.884695291998824E-2</v>
      </c>
      <c r="AO111" s="718">
        <f t="shared" si="247"/>
        <v>8.7726054732504277E-2</v>
      </c>
      <c r="AP111" s="718">
        <f t="shared" si="247"/>
        <v>0.12283953072181353</v>
      </c>
      <c r="AQ111" s="334">
        <f t="shared" si="247"/>
        <v>8.8579877287218833E-2</v>
      </c>
      <c r="AR111" s="740">
        <f t="shared" si="247"/>
        <v>0.10071593537928414</v>
      </c>
      <c r="AS111" s="332">
        <f t="shared" ref="AS111" si="248">+AS110/AN110-1</f>
        <v>2.3119897764267483E-2</v>
      </c>
      <c r="AT111" s="718">
        <f t="shared" ref="AT111" si="249">+AT110/AO110-1</f>
        <v>3.9518718095428618E-2</v>
      </c>
      <c r="AU111" s="718">
        <f t="shared" ref="AU111" si="250">+AU110/AP110-1</f>
        <v>1.0571253839960049E-2</v>
      </c>
      <c r="AV111" s="334">
        <f t="shared" ref="AV111" si="251">+AV110/AQ110-1</f>
        <v>3.0511903919214767E-3</v>
      </c>
      <c r="AW111" s="740">
        <f t="shared" ref="AW111" si="252">+AW110/AR110-1</f>
        <v>1.8486592782723577E-2</v>
      </c>
      <c r="AX111" s="332">
        <f t="shared" ref="AX111:BG111" si="253">+AX110/AS110-1</f>
        <v>1.4354005029442618E-2</v>
      </c>
      <c r="AY111" s="333">
        <f t="shared" si="253"/>
        <v>6.594795248158869E-3</v>
      </c>
      <c r="AZ111" s="333">
        <f t="shared" si="253"/>
        <v>-1.7121410268868154E-2</v>
      </c>
      <c r="BA111" s="334">
        <f t="shared" si="253"/>
        <v>5.7370698033585299E-3</v>
      </c>
      <c r="BB111" s="46">
        <f t="shared" si="253"/>
        <v>1.2481237835826331E-3</v>
      </c>
      <c r="BC111" s="332">
        <f t="shared" si="253"/>
        <v>4.1146314413026408E-2</v>
      </c>
      <c r="BD111" s="333">
        <f t="shared" si="253"/>
        <v>4.2497631337528707E-2</v>
      </c>
      <c r="BE111" s="333">
        <f t="shared" si="253"/>
        <v>4.4083515906653936E-2</v>
      </c>
      <c r="BF111" s="334">
        <f t="shared" si="253"/>
        <v>4.1737483983737445E-2</v>
      </c>
      <c r="BG111" s="46">
        <f t="shared" si="253"/>
        <v>4.2455884079155348E-2</v>
      </c>
      <c r="BH111" s="332">
        <f t="shared" ref="BH111:BQ111" si="254">+BH110/BC110-1</f>
        <v>4.2353363111589992E-2</v>
      </c>
      <c r="BI111" s="333">
        <f t="shared" si="254"/>
        <v>4.3685300886579403E-2</v>
      </c>
      <c r="BJ111" s="333">
        <f t="shared" si="254"/>
        <v>4.5256100765496354E-2</v>
      </c>
      <c r="BK111" s="334">
        <f t="shared" si="254"/>
        <v>4.2932764725019501E-2</v>
      </c>
      <c r="BL111" s="46">
        <f t="shared" si="254"/>
        <v>4.3646814528703892E-2</v>
      </c>
      <c r="BM111" s="332">
        <f t="shared" si="254"/>
        <v>3.2001309044659809E-2</v>
      </c>
      <c r="BN111" s="333">
        <f t="shared" si="254"/>
        <v>3.2972485473768742E-2</v>
      </c>
      <c r="BO111" s="333">
        <f t="shared" si="254"/>
        <v>3.4078667174642918E-2</v>
      </c>
      <c r="BP111" s="334">
        <f t="shared" si="254"/>
        <v>3.2435194346652763E-2</v>
      </c>
      <c r="BQ111" s="46">
        <f t="shared" si="254"/>
        <v>3.2936655272317594E-2</v>
      </c>
      <c r="BR111" s="45"/>
      <c r="BS111" s="45"/>
      <c r="BT111" s="45"/>
      <c r="BU111" s="45"/>
      <c r="BV111" s="45"/>
      <c r="BW111" s="45"/>
      <c r="BX111" s="45"/>
      <c r="BY111" s="45"/>
      <c r="BZ111" s="45"/>
      <c r="CA111" s="45"/>
      <c r="CB111" s="45"/>
      <c r="CC111" s="45"/>
      <c r="CD111" s="45"/>
      <c r="CE111" s="45"/>
      <c r="CF111" s="45"/>
      <c r="CG111" s="45"/>
      <c r="CH111" s="45"/>
      <c r="CI111" s="45"/>
      <c r="CJ111" s="45"/>
      <c r="CK111" s="45"/>
      <c r="CL111" s="45"/>
      <c r="CM111" s="45"/>
      <c r="CN111" s="45"/>
      <c r="CO111" s="45"/>
      <c r="CP111" s="45"/>
      <c r="CQ111" s="45"/>
      <c r="CR111" s="45"/>
      <c r="CS111" s="45"/>
      <c r="CT111" s="45"/>
      <c r="CU111" s="45"/>
      <c r="CV111" s="45"/>
      <c r="CW111" s="45"/>
      <c r="CX111" s="45"/>
      <c r="CY111" s="45"/>
      <c r="CZ111" s="45"/>
    </row>
    <row r="112" spans="1:104" x14ac:dyDescent="0.2">
      <c r="C112" s="26"/>
      <c r="E112" s="273"/>
      <c r="F112" s="274"/>
      <c r="G112" s="274"/>
      <c r="H112" s="275"/>
      <c r="I112" s="169"/>
      <c r="J112" s="273"/>
      <c r="K112" s="274"/>
      <c r="L112" s="274"/>
      <c r="M112" s="275"/>
      <c r="N112" s="169"/>
      <c r="O112" s="273"/>
      <c r="P112" s="274"/>
      <c r="Q112" s="611"/>
      <c r="R112" s="275"/>
      <c r="S112" s="732"/>
      <c r="T112" s="273"/>
      <c r="U112" s="611"/>
      <c r="V112" s="274"/>
      <c r="W112" s="275"/>
      <c r="X112" s="169"/>
      <c r="Y112" s="273"/>
      <c r="Z112" s="274"/>
      <c r="AA112" s="274"/>
      <c r="AB112" s="275"/>
      <c r="AC112" s="169"/>
      <c r="AD112" s="273"/>
      <c r="AE112" s="274"/>
      <c r="AF112" s="274"/>
      <c r="AG112" s="275"/>
      <c r="AH112" s="169"/>
      <c r="AI112" s="273"/>
      <c r="AJ112" s="274"/>
      <c r="AK112" s="274"/>
      <c r="AL112" s="275"/>
      <c r="AM112" s="169"/>
      <c r="AN112" s="273"/>
      <c r="AO112" s="274"/>
      <c r="AP112" s="274"/>
      <c r="AQ112" s="275"/>
      <c r="AR112" s="169"/>
      <c r="AS112" s="273"/>
      <c r="AT112" s="274"/>
      <c r="AU112" s="274"/>
      <c r="AV112" s="275"/>
      <c r="AW112" s="169"/>
      <c r="AX112" s="273"/>
      <c r="AY112" s="274"/>
      <c r="AZ112" s="274"/>
      <c r="BA112" s="275"/>
      <c r="BB112" s="169"/>
      <c r="BC112" s="273"/>
      <c r="BD112" s="274"/>
      <c r="BE112" s="274"/>
      <c r="BF112" s="275"/>
      <c r="BG112" s="169"/>
      <c r="BH112" s="273"/>
      <c r="BI112" s="274"/>
      <c r="BJ112" s="274"/>
      <c r="BK112" s="275"/>
      <c r="BL112" s="169"/>
      <c r="BM112" s="273"/>
      <c r="BN112" s="274"/>
      <c r="BO112" s="274"/>
      <c r="BP112" s="275"/>
      <c r="BQ112" s="169"/>
    </row>
    <row r="113" spans="1:104" s="20" customFormat="1" x14ac:dyDescent="0.2">
      <c r="C113" s="992" t="s">
        <v>512</v>
      </c>
      <c r="E113" s="203"/>
      <c r="F113" s="204"/>
      <c r="G113" s="204"/>
      <c r="H113" s="205"/>
      <c r="I113" s="206"/>
      <c r="J113" s="203"/>
      <c r="K113" s="204"/>
      <c r="L113" s="204"/>
      <c r="M113" s="205"/>
      <c r="N113" s="206"/>
      <c r="O113" s="203"/>
      <c r="P113" s="204"/>
      <c r="Q113" s="616"/>
      <c r="R113" s="751">
        <v>-7.0000000000000001E-3</v>
      </c>
      <c r="S113" s="744"/>
      <c r="T113" s="752">
        <v>-1.6E-2</v>
      </c>
      <c r="U113" s="753">
        <v>0.02</v>
      </c>
      <c r="V113" s="754">
        <v>3.6700000000000003E-2</v>
      </c>
      <c r="W113" s="751">
        <v>-8.0000000000000002E-3</v>
      </c>
      <c r="X113" s="522"/>
      <c r="Y113" s="752">
        <v>2.5000000000000001E-3</v>
      </c>
      <c r="Z113" s="753">
        <v>1.7000000000000001E-2</v>
      </c>
      <c r="AA113" s="754">
        <v>2.4E-2</v>
      </c>
      <c r="AB113" s="751">
        <v>-8.0000000000000002E-3</v>
      </c>
      <c r="AC113" s="522"/>
      <c r="AD113" s="752">
        <v>0.02</v>
      </c>
      <c r="AE113" s="753">
        <v>0</v>
      </c>
      <c r="AF113" s="753">
        <v>-0.01</v>
      </c>
      <c r="AG113" s="751">
        <v>0</v>
      </c>
      <c r="AH113" s="522"/>
      <c r="AI113" s="752">
        <v>0</v>
      </c>
      <c r="AJ113" s="753">
        <v>-7.0000000000000001E-3</v>
      </c>
      <c r="AK113" s="753">
        <v>5.0000000000000001E-3</v>
      </c>
      <c r="AL113" s="876">
        <v>-0.01</v>
      </c>
      <c r="AM113" s="522"/>
      <c r="AN113" s="752">
        <v>-8.0000000000000002E-3</v>
      </c>
      <c r="AO113" s="753">
        <v>5.0000000000000001E-3</v>
      </c>
      <c r="AP113" s="753">
        <v>0.01</v>
      </c>
      <c r="AQ113" s="751">
        <v>-5.0000000000000001E-3</v>
      </c>
      <c r="AR113" s="522"/>
      <c r="AS113" s="752">
        <v>-1.4E-2</v>
      </c>
      <c r="AT113" s="753">
        <v>7.7999999999999996E-3</v>
      </c>
      <c r="AU113" s="753">
        <v>-5.0000000000000001E-3</v>
      </c>
      <c r="AV113" s="751">
        <v>-2E-3</v>
      </c>
      <c r="AW113" s="206"/>
      <c r="AX113" s="203"/>
      <c r="AY113" s="204"/>
      <c r="AZ113" s="204"/>
      <c r="BA113" s="205"/>
      <c r="BB113" s="206"/>
      <c r="BC113" s="203"/>
      <c r="BD113" s="204"/>
      <c r="BE113" s="204"/>
      <c r="BF113" s="205"/>
      <c r="BG113" s="206"/>
      <c r="BH113" s="203"/>
      <c r="BI113" s="204"/>
      <c r="BJ113" s="204"/>
      <c r="BK113" s="205"/>
      <c r="BL113" s="206"/>
      <c r="BM113" s="203"/>
      <c r="BN113" s="204"/>
      <c r="BO113" s="204"/>
      <c r="BP113" s="205"/>
      <c r="BQ113" s="206"/>
    </row>
    <row r="114" spans="1:104" s="20" customFormat="1" x14ac:dyDescent="0.2">
      <c r="C114" s="646" t="s">
        <v>513</v>
      </c>
      <c r="E114" s="203"/>
      <c r="F114" s="204"/>
      <c r="G114" s="204"/>
      <c r="H114" s="205"/>
      <c r="I114" s="154"/>
      <c r="J114" s="151"/>
      <c r="K114" s="152"/>
      <c r="L114" s="152"/>
      <c r="M114" s="153"/>
      <c r="N114" s="154"/>
      <c r="O114" s="151"/>
      <c r="P114" s="152"/>
      <c r="Q114" s="719"/>
      <c r="R114" s="765">
        <v>-0.01</v>
      </c>
      <c r="S114" s="729"/>
      <c r="T114" s="767">
        <v>-2.3E-2</v>
      </c>
      <c r="U114" s="768">
        <v>3.2000000000000001E-2</v>
      </c>
      <c r="V114" s="769">
        <v>7.5999999999999998E-2</v>
      </c>
      <c r="W114" s="765">
        <v>-2E-3</v>
      </c>
      <c r="X114" s="770"/>
      <c r="Y114" s="767">
        <v>4.0000000000000001E-3</v>
      </c>
      <c r="Z114" s="768">
        <v>2.7E-2</v>
      </c>
      <c r="AA114" s="769">
        <v>4.8000000000000001E-2</v>
      </c>
      <c r="AB114" s="765">
        <v>8.9999999999999993E-3</v>
      </c>
      <c r="AC114" s="770"/>
      <c r="AD114" s="767">
        <v>3.1E-2</v>
      </c>
      <c r="AE114" s="768">
        <v>2E-3</v>
      </c>
      <c r="AF114" s="768">
        <v>-2.4E-2</v>
      </c>
      <c r="AG114" s="765">
        <v>0</v>
      </c>
      <c r="AH114" s="206"/>
      <c r="AI114" s="767">
        <v>-1E-3</v>
      </c>
      <c r="AJ114" s="768">
        <v>-1.2999999999999999E-2</v>
      </c>
      <c r="AK114" s="768">
        <v>0.01</v>
      </c>
      <c r="AL114" s="877">
        <v>-1.6E-2</v>
      </c>
      <c r="AM114" s="206"/>
      <c r="AN114" s="767">
        <v>-1.4E-2</v>
      </c>
      <c r="AO114" s="768">
        <v>8.9999999999999993E-3</v>
      </c>
      <c r="AP114" s="768">
        <v>1.6E-2</v>
      </c>
      <c r="AQ114" s="765">
        <v>-8.9999999999999993E-3</v>
      </c>
      <c r="AR114" s="206"/>
      <c r="AS114" s="767">
        <v>-2.5000000000000001E-2</v>
      </c>
      <c r="AT114" s="768">
        <v>5.0000000000000001E-3</v>
      </c>
      <c r="AU114" s="768">
        <v>-1.0999999999999999E-2</v>
      </c>
      <c r="AV114" s="765">
        <v>-4.0000000000000001E-3</v>
      </c>
      <c r="AW114" s="206"/>
      <c r="AX114" s="203"/>
      <c r="AY114" s="204"/>
      <c r="AZ114" s="204"/>
      <c r="BA114" s="205"/>
      <c r="BB114" s="206"/>
      <c r="BC114" s="203"/>
      <c r="BD114" s="204"/>
      <c r="BE114" s="204"/>
      <c r="BF114" s="205"/>
      <c r="BG114" s="206"/>
      <c r="BH114" s="203"/>
      <c r="BI114" s="204"/>
      <c r="BJ114" s="204"/>
      <c r="BK114" s="205"/>
      <c r="BL114" s="206"/>
      <c r="BM114" s="203"/>
      <c r="BN114" s="204"/>
      <c r="BO114" s="204"/>
      <c r="BP114" s="205"/>
      <c r="BQ114" s="206"/>
    </row>
    <row r="115" spans="1:104" s="20" customFormat="1" x14ac:dyDescent="0.2">
      <c r="C115" s="646" t="s">
        <v>514</v>
      </c>
      <c r="E115" s="203"/>
      <c r="F115" s="204"/>
      <c r="G115" s="204"/>
      <c r="H115" s="205"/>
      <c r="I115" s="154"/>
      <c r="J115" s="151"/>
      <c r="K115" s="152"/>
      <c r="L115" s="152"/>
      <c r="M115" s="153"/>
      <c r="N115" s="154"/>
      <c r="O115" s="151"/>
      <c r="P115" s="152"/>
      <c r="Q115" s="719"/>
      <c r="R115" s="153">
        <f>((R113*R110*0.65)+(R113*PSCO!R111*0.65)+('NSP-MN'!R113*SPS!R99*0.65)+('NSP-MN'!R113*'NSP-WI'!R108*0.65))/R52</f>
        <v>-1.0213658773981451E-2</v>
      </c>
      <c r="S115" s="729"/>
      <c r="T115" s="151">
        <f>((T113*T110*0.65)+(T113*PSCO!T111*0.65)+('NSP-MN'!T113*SPS!T99*0.65)+('NSP-MN'!T113*'NSP-WI'!T108*0.65))/T52</f>
        <v>-2.3379993647475898E-2</v>
      </c>
      <c r="U115" s="719">
        <f>((U113*U110*0.65)+(U113*PSCO!U111*0.65)+('NSP-MN'!U113*SPS!U99*0.65)+('NSP-MN'!U113*'NSP-WI'!U108*0.65))/U52</f>
        <v>3.2201796248901168E-2</v>
      </c>
      <c r="V115" s="152">
        <f>((V113*V110*0.65)+(V113*PSCO!V111*0.65)+('NSP-MN'!V113*SPS!V99*0.65)+('NSP-MN'!V113*'NSP-WI'!V108*0.65))/V52</f>
        <v>7.5807533761241816E-2</v>
      </c>
      <c r="W115" s="153">
        <f>((W113*W110*0.65)+(W113*PSCO!W111*0.65)+('NSP-MN'!W113*SPS!W99*0.65)+('NSP-MN'!W113*'NSP-WI'!W108*0.65))/W52</f>
        <v>-1.2117968008897318E-2</v>
      </c>
      <c r="X115" s="154"/>
      <c r="Y115" s="151">
        <f>((Y113*Y110*0.65)+(Y113*PSCO!Y111*0.65)+('NSP-MN'!Y113*SPS!Y99*0.65)+('NSP-MN'!Y113*'NSP-WI'!Y108*0.65))/Y52</f>
        <v>3.9574017748113775E-3</v>
      </c>
      <c r="Z115" s="719">
        <f>((Z113*Z110*0.65)+(Z113*PSCO!Z111*0.65)+('NSP-MN'!Z113*SPS!Z99*0.65)+('NSP-MN'!Z113*'NSP-WI'!Z108*0.65))/Z52</f>
        <v>2.7432992394124125E-2</v>
      </c>
      <c r="AA115" s="152">
        <f>((AA113*AA110*0.65)+(AA113*PSCO!AA111*0.65)+('NSP-MN'!AA113*SPS!AA99*0.65)+('NSP-MN'!AA113*'NSP-WI'!AA108*0.65))/AA52</f>
        <v>4.7794488620069346E-2</v>
      </c>
      <c r="AB115" s="153">
        <f>((AB113*AB110*0.65)+(AB113*PSCO!AB111*0.65)+('NSP-MN'!AB113*SPS!AB99*0.65)+('NSP-MN'!AB113*'NSP-WI'!AB108*0.65))/AB52</f>
        <v>-1.2413700893003164E-2</v>
      </c>
      <c r="AC115" s="154"/>
      <c r="AD115" s="151">
        <f>((AD113*AD110*0.65)+(AD113*PSCO!AD111*0.65)+('NSP-MN'!AD113*SPS!AD99*0.65)+('NSP-MN'!AD113*'NSP-WI'!AD108*0.65))/AD52</f>
        <v>3.2826647937152072E-2</v>
      </c>
      <c r="AE115" s="719">
        <f>((AE113*AE110*0.65)+(AE113*PSCO!AE111*0.65)+('NSP-MN'!AE113*SPS!AE99*0.65)+('NSP-MN'!AE113*'NSP-WI'!AE108*0.65))/AE52</f>
        <v>0</v>
      </c>
      <c r="AF115" s="719">
        <f>((AF113*AF110*0.65)+(AF113*PSCO!AF111*0.65)+('NSP-MN'!AF113*SPS!AF99*0.65)+('NSP-MN'!AF113*'NSP-WI'!AF108*0.65))/AF52</f>
        <v>-2.0120341058327492E-2</v>
      </c>
      <c r="AG115" s="153">
        <f>((AG113*AG110*0.65)+(AG113*PSCO!AG111*0.65)+('NSP-MN'!AG113*SPS!AG99*0.65)+('NSP-MN'!AG113*'NSP-WI'!AG108*0.65))/AG52</f>
        <v>0</v>
      </c>
      <c r="AH115" s="206"/>
      <c r="AI115" s="151">
        <f>((AI113*AI110*0.65)+(AI113*PSCO!AI111*0.65)+('NSP-MN'!AI113*SPS!AI99*0.65)+('NSP-MN'!AI113*'NSP-WI'!AI108*0.65))/AI52</f>
        <v>0</v>
      </c>
      <c r="AJ115" s="719">
        <f>((AJ113*AJ110*0.65)+(AJ113*PSCO!AJ111*0.65)+('NSP-MN'!AJ113*SPS!AJ99*0.65)+('NSP-MN'!AJ113*'NSP-WI'!AJ108*0.65))/AJ52</f>
        <v>-1.2044370505083907E-2</v>
      </c>
      <c r="AK115" s="719">
        <f>((AK113*AK110*0.65)+(AK113*PSCO!AK111*0.65)+('NSP-MN'!AK113*SPS!AK99*0.65)+('NSP-MN'!AK113*'NSP-WI'!AK108*0.65))/AK52</f>
        <v>1.0805030515688586E-2</v>
      </c>
      <c r="AL115" s="878">
        <f>((AL113*AL110*0.65)+(AL113*PSCO!AL111*0.65)+('NSP-MN'!AL113*SPS!AL99*0.65)+('NSP-MN'!AL113*'NSP-WI'!AL108*0.65))/AL52</f>
        <v>-1.6806502561239778E-2</v>
      </c>
      <c r="AM115" s="206"/>
      <c r="AN115" s="151">
        <f>((AN113*AN110*0.65)+(AN113*PSCO!AN111*0.65)+('NSP-MN'!AN113*SPS!AN99*0.65)+('NSP-MN'!AN113*'NSP-WI'!AN108*0.65))/AN52</f>
        <v>-1.3943680251399394E-2</v>
      </c>
      <c r="AO115" s="719">
        <f>((AO113*AO110*0.65)+(AO113*PSCO!AO111*0.65)+('NSP-MN'!AO113*SPS!AO99*0.65)+('NSP-MN'!AO113*'NSP-WI'!AO108*0.65))/AO52</f>
        <v>9.0087430567822729E-3</v>
      </c>
      <c r="AP115" s="719">
        <f>((AP113*AP110*0.65)+(AP113*PSCO!AP111*0.65)+('NSP-MN'!AP113*SPS!AP99*0.65)+('NSP-MN'!AP113*'NSP-WI'!AP108*0.65))/AP52</f>
        <v>2.303073301593906E-2</v>
      </c>
      <c r="AQ115" s="153">
        <f>((AQ113*AQ110*0.65)+(AQ113*PSCO!AQ111*0.65)+('NSP-MN'!AQ113*SPS!AQ99*0.65)+('NSP-MN'!AQ113*'NSP-WI'!AQ108*0.65))/AQ52</f>
        <v>-8.7316257084022828E-3</v>
      </c>
      <c r="AR115" s="206"/>
      <c r="AS115" s="151">
        <f>((AS113*AS110*0.65)+(AS113*PSCO!AS111*0.65)+('NSP-MN'!AS113*SPS!AS99*0.65)+('NSP-MN'!AS113*'NSP-WI'!AS108*0.65))/AS52</f>
        <v>-2.5377473102005998E-2</v>
      </c>
      <c r="AT115" s="719">
        <f>((AT113*AT110*0.65)+(AT113*PSCO!AT111*0.65)+('NSP-MN'!AT113*SPS!AT99*0.65)+('NSP-MN'!AT113*'NSP-WI'!AT108*0.65))/AT52</f>
        <v>1.4573131880542489E-2</v>
      </c>
      <c r="AU115" s="719">
        <f>((AU113*AU110*0.65)+(AU113*PSCO!AU111*0.65)+('NSP-MN'!AU113*SPS!AU99*0.65)+('NSP-MN'!AU113*'NSP-WI'!AU108*0.65))/AU52</f>
        <v>-1.1626292607444005E-2</v>
      </c>
      <c r="AV115" s="153">
        <f>((AV113*AV110*0.65)+(AV113*PSCO!AV111*0.65)+('NSP-MN'!AV113*SPS!AV99*0.65)+('NSP-MN'!AV113*'NSP-WI'!AV108*0.65))/AV52</f>
        <v>-3.5622732809430266E-3</v>
      </c>
      <c r="AW115" s="206"/>
      <c r="AX115" s="203"/>
      <c r="AY115" s="204"/>
      <c r="AZ115" s="204"/>
      <c r="BA115" s="205"/>
      <c r="BB115" s="206"/>
      <c r="BC115" s="203"/>
      <c r="BD115" s="204"/>
      <c r="BE115" s="204"/>
      <c r="BF115" s="205"/>
      <c r="BG115" s="206"/>
      <c r="BH115" s="203"/>
      <c r="BI115" s="204"/>
      <c r="BJ115" s="204"/>
      <c r="BK115" s="205"/>
      <c r="BL115" s="206"/>
      <c r="BM115" s="203"/>
      <c r="BN115" s="204"/>
      <c r="BO115" s="204"/>
      <c r="BP115" s="205"/>
      <c r="BQ115" s="206"/>
    </row>
    <row r="116" spans="1:104" x14ac:dyDescent="0.2">
      <c r="C116" s="646"/>
      <c r="E116" s="273"/>
      <c r="F116" s="274"/>
      <c r="G116" s="274"/>
      <c r="H116" s="275"/>
      <c r="I116" s="169"/>
      <c r="J116" s="273"/>
      <c r="K116" s="274"/>
      <c r="L116" s="274"/>
      <c r="M116" s="275"/>
      <c r="N116" s="169"/>
      <c r="O116" s="273"/>
      <c r="P116" s="274"/>
      <c r="Q116" s="611"/>
      <c r="R116" s="275"/>
      <c r="S116" s="732"/>
      <c r="T116" s="273"/>
      <c r="U116" s="611"/>
      <c r="V116" s="274"/>
      <c r="W116" s="275"/>
      <c r="X116" s="169"/>
      <c r="Y116" s="273"/>
      <c r="Z116" s="274"/>
      <c r="AA116" s="274"/>
      <c r="AB116" s="275"/>
      <c r="AC116" s="169"/>
      <c r="AD116" s="273"/>
      <c r="AE116" s="274"/>
      <c r="AF116" s="274"/>
      <c r="AG116" s="275"/>
      <c r="AH116" s="169"/>
      <c r="AI116" s="273"/>
      <c r="AJ116" s="274"/>
      <c r="AK116" s="274"/>
      <c r="AL116" s="275"/>
      <c r="AM116" s="169"/>
      <c r="AN116" s="273"/>
      <c r="AO116" s="274"/>
      <c r="AP116" s="274"/>
      <c r="AQ116" s="275"/>
      <c r="AR116" s="169"/>
      <c r="AS116" s="273"/>
      <c r="AT116" s="274"/>
      <c r="AU116" s="274"/>
      <c r="AV116" s="275"/>
      <c r="AW116" s="169"/>
      <c r="AX116" s="273"/>
      <c r="AY116" s="274"/>
      <c r="AZ116" s="274"/>
      <c r="BA116" s="275"/>
      <c r="BB116" s="169"/>
      <c r="BC116" s="273"/>
      <c r="BD116" s="274"/>
      <c r="BE116" s="274"/>
      <c r="BF116" s="275"/>
      <c r="BG116" s="169"/>
      <c r="BH116" s="273"/>
      <c r="BI116" s="274"/>
      <c r="BJ116" s="274"/>
      <c r="BK116" s="275"/>
      <c r="BL116" s="169"/>
      <c r="BM116" s="273"/>
      <c r="BN116" s="274"/>
      <c r="BO116" s="274"/>
      <c r="BP116" s="275"/>
      <c r="BQ116" s="169"/>
    </row>
    <row r="117" spans="1:104" x14ac:dyDescent="0.2">
      <c r="C117" s="646"/>
      <c r="E117" s="273"/>
      <c r="F117" s="274"/>
      <c r="G117" s="274"/>
      <c r="H117" s="275"/>
      <c r="I117" s="169"/>
      <c r="J117" s="273"/>
      <c r="K117" s="274"/>
      <c r="L117" s="274"/>
      <c r="M117" s="275"/>
      <c r="N117" s="169"/>
      <c r="O117" s="273"/>
      <c r="P117" s="274"/>
      <c r="Q117" s="611"/>
      <c r="R117" s="275"/>
      <c r="S117" s="732"/>
      <c r="T117" s="273"/>
      <c r="U117" s="611"/>
      <c r="V117" s="274"/>
      <c r="W117" s="275"/>
      <c r="X117" s="169"/>
      <c r="Y117" s="273"/>
      <c r="Z117" s="274"/>
      <c r="AA117" s="274"/>
      <c r="AB117" s="275"/>
      <c r="AC117" s="169"/>
      <c r="AD117" s="273"/>
      <c r="AE117" s="274"/>
      <c r="AF117" s="274"/>
      <c r="AG117" s="275"/>
      <c r="AH117" s="169"/>
      <c r="AI117" s="273"/>
      <c r="AJ117" s="274"/>
      <c r="AK117" s="274"/>
      <c r="AL117" s="275"/>
      <c r="AM117" s="169"/>
      <c r="AN117" s="273"/>
      <c r="AO117" s="274"/>
      <c r="AP117" s="274"/>
      <c r="AQ117" s="275"/>
      <c r="AR117" s="169"/>
      <c r="AS117" s="273"/>
      <c r="AT117" s="274"/>
      <c r="AU117" s="274"/>
      <c r="AV117" s="275"/>
      <c r="AW117" s="169"/>
      <c r="AX117" s="273"/>
      <c r="AY117" s="274"/>
      <c r="AZ117" s="274"/>
      <c r="BA117" s="275"/>
      <c r="BB117" s="169"/>
      <c r="BC117" s="273"/>
      <c r="BD117" s="274"/>
      <c r="BE117" s="274"/>
      <c r="BF117" s="275"/>
      <c r="BG117" s="169"/>
      <c r="BH117" s="273"/>
      <c r="BI117" s="274"/>
      <c r="BJ117" s="274"/>
      <c r="BK117" s="275"/>
      <c r="BL117" s="169"/>
      <c r="BM117" s="273"/>
      <c r="BN117" s="274"/>
      <c r="BO117" s="274"/>
      <c r="BP117" s="275"/>
      <c r="BQ117" s="169"/>
    </row>
    <row r="118" spans="1:104" x14ac:dyDescent="0.2">
      <c r="B118" s="16" t="s">
        <v>270</v>
      </c>
      <c r="C118" s="16"/>
      <c r="D118" s="17"/>
      <c r="E118" s="273"/>
      <c r="F118" s="274"/>
      <c r="G118" s="274"/>
      <c r="H118" s="275"/>
      <c r="I118" s="169"/>
      <c r="J118" s="273"/>
      <c r="K118" s="274"/>
      <c r="L118" s="274"/>
      <c r="M118" s="275"/>
      <c r="N118" s="169"/>
      <c r="O118" s="273"/>
      <c r="P118" s="274"/>
      <c r="Q118" s="611"/>
      <c r="R118" s="275"/>
      <c r="S118" s="732"/>
      <c r="T118" s="273"/>
      <c r="U118" s="611"/>
      <c r="V118" s="274"/>
      <c r="W118" s="275"/>
      <c r="X118" s="169"/>
      <c r="Y118" s="273"/>
      <c r="Z118" s="274"/>
      <c r="AA118" s="274"/>
      <c r="AB118" s="275"/>
      <c r="AC118" s="169"/>
      <c r="AD118" s="273"/>
      <c r="AE118" s="274"/>
      <c r="AF118" s="274"/>
      <c r="AG118" s="275"/>
      <c r="AH118" s="169"/>
      <c r="AI118" s="273"/>
      <c r="AJ118" s="274"/>
      <c r="AK118" s="274"/>
      <c r="AL118" s="275"/>
      <c r="AM118" s="169"/>
      <c r="AN118" s="273"/>
      <c r="AO118" s="274"/>
      <c r="AP118" s="274"/>
      <c r="AQ118" s="275"/>
      <c r="AR118" s="169"/>
      <c r="AS118" s="273"/>
      <c r="AT118" s="274"/>
      <c r="AU118" s="274"/>
      <c r="AV118" s="275"/>
      <c r="AW118" s="169"/>
      <c r="AX118" s="273"/>
      <c r="AY118" s="274"/>
      <c r="AZ118" s="274"/>
      <c r="BA118" s="275"/>
      <c r="BB118" s="169"/>
      <c r="BC118" s="273"/>
      <c r="BD118" s="274"/>
      <c r="BE118" s="274"/>
      <c r="BF118" s="275"/>
      <c r="BG118" s="169"/>
      <c r="BH118" s="273"/>
      <c r="BI118" s="274"/>
      <c r="BJ118" s="274"/>
      <c r="BK118" s="275"/>
      <c r="BL118" s="169"/>
      <c r="BM118" s="273"/>
      <c r="BN118" s="274"/>
      <c r="BO118" s="274"/>
      <c r="BP118" s="275"/>
      <c r="BQ118" s="169"/>
    </row>
    <row r="119" spans="1:104" x14ac:dyDescent="0.2">
      <c r="C119" s="26"/>
      <c r="E119" s="273"/>
      <c r="F119" s="274"/>
      <c r="G119" s="274"/>
      <c r="H119" s="275"/>
      <c r="I119" s="169"/>
      <c r="J119" s="273"/>
      <c r="K119" s="274"/>
      <c r="L119" s="274"/>
      <c r="M119" s="275"/>
      <c r="N119" s="169"/>
      <c r="O119" s="273"/>
      <c r="P119" s="274"/>
      <c r="Q119" s="611"/>
      <c r="R119" s="275"/>
      <c r="S119" s="732"/>
      <c r="T119" s="273"/>
      <c r="U119" s="611"/>
      <c r="V119" s="274"/>
      <c r="W119" s="275"/>
      <c r="X119" s="169"/>
      <c r="Y119" s="273"/>
      <c r="Z119" s="274"/>
      <c r="AA119" s="274"/>
      <c r="AB119" s="275"/>
      <c r="AC119" s="169"/>
      <c r="AD119" s="273"/>
      <c r="AE119" s="274"/>
      <c r="AF119" s="274"/>
      <c r="AG119" s="275"/>
      <c r="AH119" s="169"/>
      <c r="AI119" s="273"/>
      <c r="AJ119" s="274"/>
      <c r="AK119" s="274"/>
      <c r="AL119" s="275"/>
      <c r="AM119" s="169"/>
      <c r="AN119" s="273"/>
      <c r="AO119" s="274"/>
      <c r="AP119" s="274"/>
      <c r="AQ119" s="275"/>
      <c r="AR119" s="169"/>
      <c r="AS119" s="273"/>
      <c r="AT119" s="274"/>
      <c r="AU119" s="274"/>
      <c r="AV119" s="275"/>
      <c r="AW119" s="169"/>
      <c r="AX119" s="273"/>
      <c r="AY119" s="274"/>
      <c r="AZ119" s="274"/>
      <c r="BA119" s="275"/>
      <c r="BB119" s="169"/>
      <c r="BC119" s="273"/>
      <c r="BD119" s="274"/>
      <c r="BE119" s="274"/>
      <c r="BF119" s="275"/>
      <c r="BG119" s="169"/>
      <c r="BH119" s="273"/>
      <c r="BI119" s="274"/>
      <c r="BJ119" s="274"/>
      <c r="BK119" s="275"/>
      <c r="BL119" s="169"/>
      <c r="BM119" s="273"/>
      <c r="BN119" s="274"/>
      <c r="BO119" s="274"/>
      <c r="BP119" s="275"/>
      <c r="BQ119" s="169"/>
    </row>
    <row r="120" spans="1:104" x14ac:dyDescent="0.2">
      <c r="C120" s="26" t="s">
        <v>271</v>
      </c>
      <c r="E120" s="121">
        <f>+E9</f>
        <v>329.267</v>
      </c>
      <c r="F120" s="122">
        <f t="shared" ref="F120:P120" si="255">+F9</f>
        <v>74.516000000000005</v>
      </c>
      <c r="G120" s="122">
        <f t="shared" si="255"/>
        <v>48.271000000000001</v>
      </c>
      <c r="H120" s="123">
        <f t="shared" si="255"/>
        <v>188.26899999999995</v>
      </c>
      <c r="I120" s="86">
        <f t="shared" si="255"/>
        <v>640.32299999999998</v>
      </c>
      <c r="J120" s="121">
        <f t="shared" si="255"/>
        <v>272.39299999999997</v>
      </c>
      <c r="K120" s="122">
        <f t="shared" si="255"/>
        <v>68.227000000000004</v>
      </c>
      <c r="L120" s="122">
        <f t="shared" si="255"/>
        <v>57.210999999999999</v>
      </c>
      <c r="M120" s="123">
        <f t="shared" si="255"/>
        <v>191.21299999999997</v>
      </c>
      <c r="N120" s="86">
        <f t="shared" si="255"/>
        <v>589.04399999999998</v>
      </c>
      <c r="O120" s="121">
        <f t="shared" si="255"/>
        <v>283.726</v>
      </c>
      <c r="P120" s="122">
        <f t="shared" si="255"/>
        <v>96.921999999999997</v>
      </c>
      <c r="Q120" s="130">
        <f>+Q9</f>
        <v>58.914000000000001</v>
      </c>
      <c r="R120" s="123">
        <f>+R9</f>
        <v>165.16099999999994</v>
      </c>
      <c r="S120" s="85">
        <f>SUM(O120:R120)</f>
        <v>604.72299999999996</v>
      </c>
      <c r="T120" s="121">
        <f>+T9</f>
        <v>196.51400000000001</v>
      </c>
      <c r="U120" s="122">
        <f>+U9</f>
        <v>59.069000000000003</v>
      </c>
      <c r="V120" s="130">
        <f>+V9</f>
        <v>49.521999999999998</v>
      </c>
      <c r="W120" s="123">
        <f>+W9</f>
        <v>166.65999999999997</v>
      </c>
      <c r="X120" s="85">
        <f>SUM(T120:W120)</f>
        <v>471.76499999999999</v>
      </c>
      <c r="Y120" s="121">
        <f>+Y9</f>
        <v>235.286</v>
      </c>
      <c r="Z120" s="122">
        <f>+Z9</f>
        <v>107.45099999999999</v>
      </c>
      <c r="AA120" s="122">
        <f>+AA9</f>
        <v>53.723999999999997</v>
      </c>
      <c r="AB120" s="123">
        <f>+AB9</f>
        <v>194.5560000000001</v>
      </c>
      <c r="AC120" s="85">
        <f>SUM(Y120:AB120)</f>
        <v>591.01700000000005</v>
      </c>
      <c r="AD120" s="121">
        <f>+AD9</f>
        <v>349.53199999999998</v>
      </c>
      <c r="AE120" s="122">
        <f>+AE9</f>
        <v>116.381</v>
      </c>
      <c r="AF120" s="122">
        <f>+AF9</f>
        <v>62.338999999999999</v>
      </c>
      <c r="AG120" s="123">
        <f>+AG9</f>
        <v>229.4430000000001</v>
      </c>
      <c r="AH120" s="85">
        <f>SUM(AD120:AG120)</f>
        <v>757.69500000000005</v>
      </c>
      <c r="AI120" s="121">
        <f>+AI9</f>
        <v>279.46699999999998</v>
      </c>
      <c r="AJ120" s="122">
        <f>+AJ9</f>
        <v>75.239000000000004</v>
      </c>
      <c r="AK120" s="122">
        <f>+AK9</f>
        <v>53.353999999999999</v>
      </c>
      <c r="AL120" s="123">
        <f>+AL9</f>
        <v>137.07499999999999</v>
      </c>
      <c r="AM120" s="85">
        <f>SUM(AI120:AL120)</f>
        <v>545.13499999999999</v>
      </c>
      <c r="AN120" s="121">
        <f>+AN9</f>
        <v>194.13</v>
      </c>
      <c r="AO120" s="122">
        <f>+AO9</f>
        <v>64.370999999999995</v>
      </c>
      <c r="AP120" s="122">
        <f>+AP9</f>
        <v>55.518999999999998</v>
      </c>
      <c r="AQ120" s="123">
        <f>+AQ9</f>
        <v>153.37299999999999</v>
      </c>
      <c r="AR120" s="85">
        <f>SUM(AN120:AQ120)</f>
        <v>467.39299999999997</v>
      </c>
      <c r="AS120" s="121">
        <f>+AS9</f>
        <v>221.18299999999999</v>
      </c>
      <c r="AT120" s="122">
        <f>+AT9</f>
        <v>78.006</v>
      </c>
      <c r="AU120" s="122">
        <f>+AU9</f>
        <v>57.442</v>
      </c>
      <c r="AV120" s="123">
        <f>+AV9</f>
        <v>175.28899999999999</v>
      </c>
      <c r="AW120" s="85">
        <f>SUM(AS120:AV120)</f>
        <v>531.91999999999996</v>
      </c>
      <c r="AX120" s="121">
        <f>+AX129*AX133/1000</f>
        <v>231.91037549999999</v>
      </c>
      <c r="AY120" s="122">
        <f>+AY129*AY133/1000</f>
        <v>78.201014999999998</v>
      </c>
      <c r="AZ120" s="122">
        <f>+AZ129*AZ133/1000</f>
        <v>57.298395000000006</v>
      </c>
      <c r="BA120" s="123">
        <f>+BA129*BA133/1000</f>
        <v>176.60366750000003</v>
      </c>
      <c r="BB120" s="86">
        <f>SUM(AX120:BA120)</f>
        <v>544.01345300000003</v>
      </c>
      <c r="BC120" s="121">
        <f>+BC129*BC133/1000</f>
        <v>231.33059956124995</v>
      </c>
      <c r="BD120" s="122">
        <f>+BD129*BD133/1000</f>
        <v>78.005512462500008</v>
      </c>
      <c r="BE120" s="122">
        <f>+BE129*BE133/1000</f>
        <v>57.155149012500004</v>
      </c>
      <c r="BF120" s="123">
        <f>+BF129*BF133/1000</f>
        <v>176.16215833125</v>
      </c>
      <c r="BG120" s="86">
        <f>SUM(BC120:BF120)</f>
        <v>542.65341936749996</v>
      </c>
      <c r="BH120" s="121">
        <f>+BH129*BH133/1000</f>
        <v>230.75227306234686</v>
      </c>
      <c r="BI120" s="122">
        <f>+BI129*BI133/1000</f>
        <v>77.810498681343759</v>
      </c>
      <c r="BJ120" s="122">
        <f>+BJ129*BJ133/1000</f>
        <v>57.012261139968764</v>
      </c>
      <c r="BK120" s="123">
        <f>+BK129*BK133/1000</f>
        <v>175.7217529354219</v>
      </c>
      <c r="BL120" s="86">
        <f>SUM(BH120:BK120)</f>
        <v>541.29678581908126</v>
      </c>
      <c r="BM120" s="121">
        <f>+BM129*BM133/1000</f>
        <v>230.17539237969098</v>
      </c>
      <c r="BN120" s="122">
        <f>+BN129*BN133/1000</f>
        <v>77.615972434640412</v>
      </c>
      <c r="BO120" s="122">
        <f>+BO129*BO133/1000</f>
        <v>56.869730487118836</v>
      </c>
      <c r="BP120" s="123">
        <f>+BP129*BP133/1000</f>
        <v>175.28244855308338</v>
      </c>
      <c r="BQ120" s="86">
        <f>SUM(BM120:BP120)</f>
        <v>539.94354385453357</v>
      </c>
    </row>
    <row r="121" spans="1:104" s="20" customFormat="1" x14ac:dyDescent="0.2">
      <c r="C121" s="20" t="s">
        <v>417</v>
      </c>
      <c r="E121" s="618">
        <f>E120/$I$120</f>
        <v>0.51422016700946238</v>
      </c>
      <c r="F121" s="619">
        <f>F120/$I$120</f>
        <v>0.11637251824469839</v>
      </c>
      <c r="G121" s="619">
        <f>G120/$I$120</f>
        <v>7.5385391435260019E-2</v>
      </c>
      <c r="H121" s="620">
        <f>H120/$I$120</f>
        <v>0.29402192331057914</v>
      </c>
      <c r="I121" s="621"/>
      <c r="J121" s="618">
        <f>J120/$N$120</f>
        <v>0.46243234800795863</v>
      </c>
      <c r="K121" s="619">
        <f>K120/$N$120</f>
        <v>0.11582666150576189</v>
      </c>
      <c r="L121" s="619">
        <f>L120/$N$120</f>
        <v>9.7125172313103941E-2</v>
      </c>
      <c r="M121" s="620">
        <f>M120/$N$120</f>
        <v>0.32461581817317547</v>
      </c>
      <c r="N121" s="621"/>
      <c r="O121" s="618">
        <f>O120/$S$120</f>
        <v>0.4691834112477945</v>
      </c>
      <c r="P121" s="619">
        <f>P120/$S$120</f>
        <v>0.16027503501603213</v>
      </c>
      <c r="Q121" s="725">
        <f>Q120/$S$120</f>
        <v>9.7423117691901928E-2</v>
      </c>
      <c r="R121" s="620">
        <f>R120/$S$120</f>
        <v>0.27311843604427144</v>
      </c>
      <c r="S121" s="220"/>
      <c r="T121" s="618">
        <f>T120/$X$120</f>
        <v>0.41655061312305919</v>
      </c>
      <c r="U121" s="619">
        <f>U120/$X$120</f>
        <v>0.12520852543109387</v>
      </c>
      <c r="V121" s="725">
        <f>V120/$X$120</f>
        <v>0.10497175500514028</v>
      </c>
      <c r="W121" s="620">
        <f>W120/$X$120</f>
        <v>0.35326910644070664</v>
      </c>
      <c r="X121" s="220"/>
      <c r="Y121" s="618">
        <f>Y120/$AC$120</f>
        <v>0.39810360784884358</v>
      </c>
      <c r="Z121" s="619">
        <f>Z120/$AC$120</f>
        <v>0.1818069530994878</v>
      </c>
      <c r="AA121" s="725">
        <f>AA120/$AC$120</f>
        <v>9.0900938551682936E-2</v>
      </c>
      <c r="AB121" s="620">
        <f>AB120/$AC$120</f>
        <v>0.32918850049998577</v>
      </c>
      <c r="AC121" s="220"/>
      <c r="AD121" s="618">
        <f>AD120/$AH$120</f>
        <v>0.46130962986425933</v>
      </c>
      <c r="AE121" s="619">
        <f>AE120/$AH$120</f>
        <v>0.15359874355776401</v>
      </c>
      <c r="AF121" s="619">
        <f>AF120/$AH$120</f>
        <v>8.227452998897973E-2</v>
      </c>
      <c r="AG121" s="620">
        <f>AG120/$AH$120</f>
        <v>0.30281709658899703</v>
      </c>
      <c r="AH121" s="220"/>
      <c r="AI121" s="618">
        <f>AI120/$AM$120</f>
        <v>0.51265649793170498</v>
      </c>
      <c r="AJ121" s="619">
        <f>AJ120/$AM$120</f>
        <v>0.13801902281086337</v>
      </c>
      <c r="AK121" s="619">
        <f>AK120/$AM$120</f>
        <v>9.7873003934805136E-2</v>
      </c>
      <c r="AL121" s="620">
        <f>AL120/$AM$120</f>
        <v>0.25145147532262646</v>
      </c>
      <c r="AM121" s="220"/>
      <c r="AN121" s="618">
        <f>AN120/$AR$120</f>
        <v>0.41534640013864138</v>
      </c>
      <c r="AO121" s="619">
        <f>AO120/$AR$120</f>
        <v>0.13772350035195222</v>
      </c>
      <c r="AP121" s="619">
        <f>AP120/$AR$120</f>
        <v>0.1187844062705261</v>
      </c>
      <c r="AQ121" s="620">
        <f>AQ120/$AR$120</f>
        <v>0.32814569323888032</v>
      </c>
      <c r="AR121" s="220"/>
      <c r="AS121" s="618">
        <f>AS120/$AW$120</f>
        <v>0.41582004812753798</v>
      </c>
      <c r="AT121" s="619">
        <f>AT120/$AW$120</f>
        <v>0.14664987216122727</v>
      </c>
      <c r="AU121" s="619">
        <f>AU120/$AW$120</f>
        <v>0.10798992329673636</v>
      </c>
      <c r="AV121" s="620">
        <f>AV120/$AW$120</f>
        <v>0.32954015641449841</v>
      </c>
      <c r="AW121" s="220"/>
      <c r="AX121" s="136"/>
      <c r="AY121" s="135"/>
      <c r="AZ121" s="135"/>
      <c r="BA121" s="116"/>
      <c r="BB121" s="82"/>
      <c r="BC121" s="136"/>
      <c r="BD121" s="135"/>
      <c r="BE121" s="135"/>
      <c r="BF121" s="116"/>
      <c r="BG121" s="82"/>
      <c r="BH121" s="136"/>
      <c r="BI121" s="135"/>
      <c r="BJ121" s="135"/>
      <c r="BK121" s="116"/>
      <c r="BL121" s="82"/>
      <c r="BM121" s="136"/>
      <c r="BN121" s="135"/>
      <c r="BO121" s="135"/>
      <c r="BP121" s="116"/>
      <c r="BQ121" s="82"/>
    </row>
    <row r="122" spans="1:104" x14ac:dyDescent="0.2">
      <c r="C122" s="26"/>
      <c r="E122" s="121"/>
      <c r="F122" s="130"/>
      <c r="G122" s="130"/>
      <c r="H122" s="123"/>
      <c r="I122" s="86"/>
      <c r="J122" s="121"/>
      <c r="K122" s="130"/>
      <c r="L122" s="130"/>
      <c r="M122" s="123"/>
      <c r="N122" s="86"/>
      <c r="O122" s="121"/>
      <c r="P122" s="130"/>
      <c r="Q122" s="130"/>
      <c r="R122" s="123"/>
      <c r="S122" s="85"/>
      <c r="T122" s="121"/>
      <c r="U122" s="130"/>
      <c r="V122" s="130"/>
      <c r="W122" s="123"/>
      <c r="X122" s="86"/>
      <c r="Y122" s="121"/>
      <c r="Z122" s="130"/>
      <c r="AA122" s="130"/>
      <c r="AB122" s="123"/>
      <c r="AC122" s="86"/>
      <c r="AD122" s="121"/>
      <c r="AE122" s="130"/>
      <c r="AF122" s="130"/>
      <c r="AG122" s="123"/>
      <c r="AH122" s="86"/>
      <c r="AI122" s="121"/>
      <c r="AJ122" s="130"/>
      <c r="AK122" s="130"/>
      <c r="AL122" s="123"/>
      <c r="AM122" s="86"/>
      <c r="AN122" s="121"/>
      <c r="AO122" s="130"/>
      <c r="AP122" s="130"/>
      <c r="AQ122" s="123"/>
      <c r="AR122" s="169"/>
      <c r="AS122" s="121"/>
      <c r="AT122" s="130"/>
      <c r="AU122" s="130"/>
      <c r="AV122" s="123"/>
      <c r="AW122" s="169"/>
      <c r="AX122" s="121"/>
      <c r="AY122" s="130"/>
      <c r="AZ122" s="130"/>
      <c r="BA122" s="123"/>
      <c r="BB122" s="169"/>
      <c r="BC122" s="121"/>
      <c r="BD122" s="130"/>
      <c r="BE122" s="130"/>
      <c r="BF122" s="123"/>
      <c r="BG122" s="169"/>
      <c r="BH122" s="121"/>
      <c r="BI122" s="130"/>
      <c r="BJ122" s="130"/>
      <c r="BK122" s="123"/>
      <c r="BL122" s="169"/>
      <c r="BM122" s="121"/>
      <c r="BN122" s="130"/>
      <c r="BO122" s="130"/>
      <c r="BP122" s="123"/>
      <c r="BQ122" s="169"/>
    </row>
    <row r="123" spans="1:104" x14ac:dyDescent="0.2">
      <c r="C123" s="26" t="s">
        <v>272</v>
      </c>
      <c r="E123" s="121"/>
      <c r="F123" s="130"/>
      <c r="G123" s="130"/>
      <c r="H123" s="123"/>
      <c r="I123" s="237"/>
      <c r="J123" s="121"/>
      <c r="K123" s="130"/>
      <c r="L123" s="130"/>
      <c r="M123" s="123"/>
      <c r="N123" s="86"/>
      <c r="O123" s="121"/>
      <c r="P123" s="130"/>
      <c r="Q123" s="130"/>
      <c r="R123" s="123"/>
      <c r="S123" s="85"/>
      <c r="T123" s="121"/>
      <c r="U123" s="130"/>
      <c r="V123" s="130"/>
      <c r="W123" s="123"/>
      <c r="X123" s="86"/>
      <c r="Y123" s="121"/>
      <c r="Z123" s="130"/>
      <c r="AA123" s="130"/>
      <c r="AB123" s="123"/>
      <c r="AC123" s="86"/>
      <c r="AD123" s="121"/>
      <c r="AE123" s="130"/>
      <c r="AF123" s="130"/>
      <c r="AG123" s="123"/>
      <c r="AH123" s="86"/>
      <c r="AI123" s="121"/>
      <c r="AJ123" s="130"/>
      <c r="AK123" s="130"/>
      <c r="AL123" s="123"/>
      <c r="AM123" s="86"/>
      <c r="AN123" s="121"/>
      <c r="AO123" s="130"/>
      <c r="AP123" s="130"/>
      <c r="AQ123" s="123"/>
      <c r="AR123" s="169"/>
      <c r="AS123" s="121"/>
      <c r="AT123" s="130"/>
      <c r="AU123" s="130"/>
      <c r="AV123" s="123"/>
      <c r="AW123" s="169"/>
      <c r="AX123" s="121"/>
      <c r="AY123" s="130"/>
      <c r="AZ123" s="130"/>
      <c r="BA123" s="123"/>
      <c r="BB123" s="169"/>
      <c r="BC123" s="121"/>
      <c r="BD123" s="130"/>
      <c r="BE123" s="130"/>
      <c r="BF123" s="123"/>
      <c r="BG123" s="169"/>
      <c r="BH123" s="121"/>
      <c r="BI123" s="130"/>
      <c r="BJ123" s="130"/>
      <c r="BK123" s="123"/>
      <c r="BL123" s="169"/>
      <c r="BM123" s="121"/>
      <c r="BN123" s="130"/>
      <c r="BO123" s="130"/>
      <c r="BP123" s="123"/>
      <c r="BQ123" s="169"/>
    </row>
    <row r="124" spans="1:104" x14ac:dyDescent="0.2">
      <c r="C124" t="s">
        <v>273</v>
      </c>
      <c r="E124" s="622">
        <f>E$121*$I124</f>
        <v>20223.764948315147</v>
      </c>
      <c r="F124" s="623">
        <f t="shared" ref="F124:H125" si="256">F$121*$I124</f>
        <v>4576.814770045743</v>
      </c>
      <c r="G124" s="623">
        <f t="shared" si="256"/>
        <v>2964.8320597573411</v>
      </c>
      <c r="H124" s="312">
        <f t="shared" si="256"/>
        <v>11563.588221881766</v>
      </c>
      <c r="I124" s="313">
        <v>39329</v>
      </c>
      <c r="J124" s="622">
        <f t="shared" ref="J124:M125" si="257">J$121*$N124</f>
        <v>16786.294232688899</v>
      </c>
      <c r="K124" s="623">
        <f t="shared" si="257"/>
        <v>4204.5078126591561</v>
      </c>
      <c r="L124" s="623">
        <f t="shared" si="257"/>
        <v>3525.643754965673</v>
      </c>
      <c r="M124" s="312">
        <f t="shared" si="257"/>
        <v>11783.55419968627</v>
      </c>
      <c r="N124" s="313">
        <v>36300</v>
      </c>
      <c r="O124" s="622">
        <f>$S124*O$121</f>
        <v>17680.238486050639</v>
      </c>
      <c r="P124" s="623">
        <f t="shared" ref="P124:R128" si="258">$S124*P$121</f>
        <v>6039.6441445091386</v>
      </c>
      <c r="Q124" s="722">
        <f t="shared" si="258"/>
        <v>3671.1953439839403</v>
      </c>
      <c r="R124" s="116">
        <f t="shared" si="258"/>
        <v>10291.922025456281</v>
      </c>
      <c r="S124" s="736">
        <v>37683</v>
      </c>
      <c r="T124" s="148">
        <f>O124*(1-0.147)</f>
        <v>15081.243428601194</v>
      </c>
      <c r="U124" s="149">
        <f>P124*(1-0.259)</f>
        <v>4475.3763110812715</v>
      </c>
      <c r="V124" s="149">
        <f>Q124*(1-0.013)</f>
        <v>3623.469804512149</v>
      </c>
      <c r="W124" s="116">
        <f>+X124-SUM(T124:V124)</f>
        <v>9636.9104558053878</v>
      </c>
      <c r="X124" s="736">
        <v>32817</v>
      </c>
      <c r="Y124" s="148">
        <f>T124*(1+0.217)</f>
        <v>18353.873252607653</v>
      </c>
      <c r="Z124" s="149">
        <f>U124*(1+0.66)</f>
        <v>7429.1246763949111</v>
      </c>
      <c r="AA124" s="149">
        <f>V124*(1+0.049)</f>
        <v>3801.0198249332443</v>
      </c>
      <c r="AB124" s="116">
        <f>+AC124-SUM(Y124:AA124)</f>
        <v>12861.982246064188</v>
      </c>
      <c r="AC124" s="736">
        <v>42446</v>
      </c>
      <c r="AD124" s="148">
        <f>Y124*(1+0.172)</f>
        <v>21510.739452056168</v>
      </c>
      <c r="AE124" s="149">
        <f>Z124*(1+0.003)</f>
        <v>7451.4120504240955</v>
      </c>
      <c r="AF124" s="149">
        <f>AA124*(1+0.066)</f>
        <v>4051.8871333788388</v>
      </c>
      <c r="AG124" s="116">
        <f>+AH124-SUM(AD124:AF124)</f>
        <v>12029.961364140894</v>
      </c>
      <c r="AH124" s="736">
        <v>45044</v>
      </c>
      <c r="AI124" s="148">
        <f>+AD124*(1-11.1%)</f>
        <v>19123.047372877933</v>
      </c>
      <c r="AJ124" s="149">
        <f>+AE124*(1-31.6%)</f>
        <v>5096.765842490081</v>
      </c>
      <c r="AK124" s="149">
        <f>+AF124*(1-1.4%)</f>
        <v>3995.1607135115351</v>
      </c>
      <c r="AL124" s="116">
        <f>+AM124-SUM(AI124:AK124)</f>
        <v>8595.0260711204537</v>
      </c>
      <c r="AM124" s="736">
        <v>36810</v>
      </c>
      <c r="AN124" s="148">
        <f>+AI124*(1-12.6%)</f>
        <v>16713.543403895314</v>
      </c>
      <c r="AO124" s="149">
        <f>+AJ124*(1+4.2%)</f>
        <v>5310.8300078746643</v>
      </c>
      <c r="AP124" s="149">
        <f>+AK124*(1-5%)</f>
        <v>3795.402677835958</v>
      </c>
      <c r="AQ124" s="116">
        <f>+AR124-SUM(AN124:AP124)</f>
        <v>9772.2239103940628</v>
      </c>
      <c r="AR124" s="736">
        <v>35592</v>
      </c>
      <c r="AS124" s="148">
        <f>+AN124*(1+4.1%)</f>
        <v>17398.798683455021</v>
      </c>
      <c r="AT124" s="149">
        <f>+AO124*(1+3.6%)</f>
        <v>5502.0198881581528</v>
      </c>
      <c r="AU124" s="149">
        <f>+AP124*(1+8.5%)</f>
        <v>4118.0119054520146</v>
      </c>
      <c r="AV124" s="116">
        <f>+AW124-SUM(AS124:AU124)</f>
        <v>11346.169522934812</v>
      </c>
      <c r="AW124" s="736">
        <v>38365</v>
      </c>
      <c r="AX124" s="136">
        <f t="shared" ref="AX124:BA125" si="259">+AS124*(1+AX$61)</f>
        <v>18242.640419602591</v>
      </c>
      <c r="AY124" s="137">
        <f t="shared" si="259"/>
        <v>5515.7749378785475</v>
      </c>
      <c r="AZ124" s="137">
        <f t="shared" si="259"/>
        <v>4107.7168756883848</v>
      </c>
      <c r="BA124" s="116">
        <f t="shared" si="259"/>
        <v>11431.265794356823</v>
      </c>
      <c r="BB124" s="82">
        <f>SUM(AX124:BA124)</f>
        <v>39297.398027526346</v>
      </c>
      <c r="BC124" s="136">
        <f t="shared" ref="BC124:BF125" si="260">+AX124*(1+BC$61)</f>
        <v>18197.033818553584</v>
      </c>
      <c r="BD124" s="137">
        <f t="shared" si="260"/>
        <v>5501.9855005338513</v>
      </c>
      <c r="BE124" s="137">
        <f t="shared" si="260"/>
        <v>4097.4475834991645</v>
      </c>
      <c r="BF124" s="116">
        <f t="shared" si="260"/>
        <v>11402.687629870932</v>
      </c>
      <c r="BG124" s="82">
        <f>SUM(BC124:BF124)</f>
        <v>39199.154532457527</v>
      </c>
      <c r="BH124" s="136">
        <f t="shared" ref="BH124:BK125" si="261">+BC124*(1+BH$61)</f>
        <v>18151.5412340072</v>
      </c>
      <c r="BI124" s="137">
        <f t="shared" si="261"/>
        <v>5488.2305367825174</v>
      </c>
      <c r="BJ124" s="137">
        <f t="shared" si="261"/>
        <v>4087.2039645404166</v>
      </c>
      <c r="BK124" s="116">
        <f t="shared" si="261"/>
        <v>11374.180910796256</v>
      </c>
      <c r="BL124" s="82">
        <f>SUM(BH124:BK124)</f>
        <v>39101.156646126386</v>
      </c>
      <c r="BM124" s="136">
        <f t="shared" ref="BM124:BM125" si="262">+BH124*(1+BM$61)</f>
        <v>18106.162380922182</v>
      </c>
      <c r="BN124" s="137">
        <f t="shared" ref="BN124:BN125" si="263">+BI124*(1+BN$61)</f>
        <v>5474.5099604405614</v>
      </c>
      <c r="BO124" s="137">
        <f t="shared" ref="BO124:BO125" si="264">+BJ124*(1+BO$61)</f>
        <v>4076.9859546290659</v>
      </c>
      <c r="BP124" s="116">
        <f t="shared" ref="BP124:BP125" si="265">+BK124*(1+BP$61)</f>
        <v>11345.745458519266</v>
      </c>
      <c r="BQ124" s="82">
        <f>SUM(BM124:BP124)</f>
        <v>39003.403754511077</v>
      </c>
    </row>
    <row r="125" spans="1:104" x14ac:dyDescent="0.2">
      <c r="C125" t="s">
        <v>274</v>
      </c>
      <c r="E125" s="622">
        <f>E$121*$I125</f>
        <v>20778.608508518355</v>
      </c>
      <c r="F125" s="623">
        <f t="shared" si="256"/>
        <v>4702.3807172317729</v>
      </c>
      <c r="G125" s="623">
        <f t="shared" si="256"/>
        <v>3046.1728971159869</v>
      </c>
      <c r="H125" s="312">
        <f t="shared" si="256"/>
        <v>11880.837877133881</v>
      </c>
      <c r="I125" s="313">
        <v>40408</v>
      </c>
      <c r="J125" s="622">
        <f t="shared" si="257"/>
        <v>17854.050524239276</v>
      </c>
      <c r="K125" s="623">
        <f t="shared" si="257"/>
        <v>4471.9515740759607</v>
      </c>
      <c r="L125" s="623">
        <f t="shared" si="257"/>
        <v>3749.90577783663</v>
      </c>
      <c r="M125" s="312">
        <f t="shared" si="257"/>
        <v>12533.092123848131</v>
      </c>
      <c r="N125" s="313">
        <v>38609</v>
      </c>
      <c r="O125" s="622">
        <f>$S125*O$121</f>
        <v>18710.096073739551</v>
      </c>
      <c r="P125" s="623">
        <f t="shared" si="258"/>
        <v>6391.4478463693295</v>
      </c>
      <c r="Q125" s="722">
        <f t="shared" si="258"/>
        <v>3885.0390873176652</v>
      </c>
      <c r="R125" s="116">
        <f t="shared" si="258"/>
        <v>10891.416992573457</v>
      </c>
      <c r="S125" s="736">
        <v>39878</v>
      </c>
      <c r="T125" s="148">
        <f>O125*(1-0.147)</f>
        <v>15959.711950899837</v>
      </c>
      <c r="U125" s="149">
        <f>P125*(1-0.259)</f>
        <v>4736.0628541596734</v>
      </c>
      <c r="V125" s="149">
        <f>Q125*(1-0.013)</f>
        <v>3834.5335791825355</v>
      </c>
      <c r="W125" s="116">
        <f>+X125-SUM(T125:V125)</f>
        <v>10523.691615757954</v>
      </c>
      <c r="X125" s="736">
        <v>35054</v>
      </c>
      <c r="Y125" s="148">
        <f>T125*(1+0.217)</f>
        <v>19422.969444245104</v>
      </c>
      <c r="Z125" s="149">
        <f>U125*(1+0.66)</f>
        <v>7861.8643379050582</v>
      </c>
      <c r="AA125" s="149">
        <f>V125*(1+0.049)</f>
        <v>4022.4257245624794</v>
      </c>
      <c r="AB125" s="116">
        <f>+AC125-SUM(Y125:AA125)</f>
        <v>11151.740493287358</v>
      </c>
      <c r="AC125" s="736">
        <v>42459</v>
      </c>
      <c r="AD125" s="148">
        <f>Y125*(1+0.172)</f>
        <v>22763.720188655261</v>
      </c>
      <c r="AE125" s="149">
        <f>Z125*(1+0.003)</f>
        <v>7885.4499309187722</v>
      </c>
      <c r="AF125" s="149">
        <f>AA125*(1+0.066)</f>
        <v>4287.9058223836037</v>
      </c>
      <c r="AG125" s="116">
        <f>+AH125-SUM(AD125:AF125)</f>
        <v>9877.9240580423648</v>
      </c>
      <c r="AH125" s="736">
        <v>44815</v>
      </c>
      <c r="AI125" s="148">
        <f>+AD125*(1-11.1%)</f>
        <v>20236.947247714528</v>
      </c>
      <c r="AJ125" s="149">
        <f>+AE125*(1-31.6%)</f>
        <v>5393.6477527484394</v>
      </c>
      <c r="AK125" s="149">
        <f>+AF125*(1-1.4%)</f>
        <v>4227.8751408702328</v>
      </c>
      <c r="AL125" s="116">
        <f>+AM125-SUM(AI125:AK125)</f>
        <v>8712.5298586667996</v>
      </c>
      <c r="AM125" s="736">
        <v>38571</v>
      </c>
      <c r="AN125" s="148">
        <f>+AI125*(1-12.6%)</f>
        <v>17687.091894502497</v>
      </c>
      <c r="AO125" s="149">
        <f>+AJ125*(1+4.2%)</f>
        <v>5620.1809583638742</v>
      </c>
      <c r="AP125" s="149">
        <f>+AK125*(1-5%)</f>
        <v>4016.481383826721</v>
      </c>
      <c r="AQ125" s="116">
        <f>+AR125-SUM(AN125:AP125)</f>
        <v>10500.245763306906</v>
      </c>
      <c r="AR125" s="736">
        <v>37824</v>
      </c>
      <c r="AS125" s="148">
        <f>+AN125*(1+4.1%)</f>
        <v>18412.262662177098</v>
      </c>
      <c r="AT125" s="149">
        <f>+AO125*(1+3.6%)</f>
        <v>5822.5074728649743</v>
      </c>
      <c r="AU125" s="149">
        <f>+AP125*(1+8.5%)</f>
        <v>4357.8823014519921</v>
      </c>
      <c r="AV125" s="116">
        <f>+AW125-SUM(AS125:AU125)</f>
        <v>12454.347563505937</v>
      </c>
      <c r="AW125" s="736">
        <v>41047</v>
      </c>
      <c r="AX125" s="136">
        <f t="shared" si="259"/>
        <v>19305.257401292685</v>
      </c>
      <c r="AY125" s="137">
        <f t="shared" si="259"/>
        <v>5837.0637415471365</v>
      </c>
      <c r="AZ125" s="137">
        <f t="shared" si="259"/>
        <v>4346.9875956983624</v>
      </c>
      <c r="BA125" s="116">
        <f t="shared" si="259"/>
        <v>12547.755170232233</v>
      </c>
      <c r="BB125" s="82">
        <f>SUM(AX125:BA125)</f>
        <v>42037.063908770418</v>
      </c>
      <c r="BC125" s="136">
        <f t="shared" si="260"/>
        <v>19256.994257789454</v>
      </c>
      <c r="BD125" s="137">
        <f t="shared" si="260"/>
        <v>5822.4710821932686</v>
      </c>
      <c r="BE125" s="137">
        <f t="shared" si="260"/>
        <v>4336.1201267091164</v>
      </c>
      <c r="BF125" s="116">
        <f t="shared" si="260"/>
        <v>12516.385782306652</v>
      </c>
      <c r="BG125" s="82">
        <f>SUM(BC125:BF125)</f>
        <v>41931.971248998489</v>
      </c>
      <c r="BH125" s="136">
        <f t="shared" si="261"/>
        <v>19208.851772144983</v>
      </c>
      <c r="BI125" s="137">
        <f t="shared" si="261"/>
        <v>5807.9149044877859</v>
      </c>
      <c r="BJ125" s="137">
        <f t="shared" si="261"/>
        <v>4325.2798263923441</v>
      </c>
      <c r="BK125" s="116">
        <f t="shared" si="261"/>
        <v>12485.094817850886</v>
      </c>
      <c r="BL125" s="82">
        <f>SUM(BH125:BK125)</f>
        <v>41827.141320875999</v>
      </c>
      <c r="BM125" s="136">
        <f t="shared" si="262"/>
        <v>19160.82964271462</v>
      </c>
      <c r="BN125" s="137">
        <f t="shared" si="263"/>
        <v>5793.395117226567</v>
      </c>
      <c r="BO125" s="137">
        <f t="shared" si="264"/>
        <v>4314.4666268263636</v>
      </c>
      <c r="BP125" s="116">
        <f t="shared" si="265"/>
        <v>12453.882080806259</v>
      </c>
      <c r="BQ125" s="82">
        <f>SUM(BM125:BP125)</f>
        <v>41722.573467573806</v>
      </c>
    </row>
    <row r="126" spans="1:104" x14ac:dyDescent="0.2">
      <c r="A126" s="26"/>
      <c r="B126" s="26"/>
      <c r="C126" s="26" t="s">
        <v>275</v>
      </c>
      <c r="D126" s="26"/>
      <c r="E126" s="326">
        <f>SUM(E124:E125)</f>
        <v>41002.373456833506</v>
      </c>
      <c r="F126" s="327">
        <f t="shared" ref="F126:AJ126" si="266">SUM(F124:F125)</f>
        <v>9279.1954872775168</v>
      </c>
      <c r="G126" s="327">
        <f t="shared" si="266"/>
        <v>6011.0049568733284</v>
      </c>
      <c r="H126" s="314">
        <f t="shared" si="266"/>
        <v>23444.426099015647</v>
      </c>
      <c r="I126" s="93">
        <f t="shared" si="266"/>
        <v>79737</v>
      </c>
      <c r="J126" s="326">
        <f t="shared" si="266"/>
        <v>34640.344756928171</v>
      </c>
      <c r="K126" s="327">
        <f t="shared" si="266"/>
        <v>8676.4593867351177</v>
      </c>
      <c r="L126" s="327">
        <f t="shared" si="266"/>
        <v>7275.5495328023026</v>
      </c>
      <c r="M126" s="314">
        <f t="shared" si="266"/>
        <v>24316.646323534402</v>
      </c>
      <c r="N126" s="315">
        <f t="shared" si="266"/>
        <v>74909</v>
      </c>
      <c r="O126" s="326">
        <f t="shared" si="266"/>
        <v>36390.334559790193</v>
      </c>
      <c r="P126" s="327">
        <f t="shared" si="266"/>
        <v>12431.091990878467</v>
      </c>
      <c r="Q126" s="717">
        <f t="shared" si="266"/>
        <v>7556.2344313016056</v>
      </c>
      <c r="R126" s="123">
        <f t="shared" si="266"/>
        <v>21183.339018029736</v>
      </c>
      <c r="S126" s="741">
        <f t="shared" si="266"/>
        <v>77561</v>
      </c>
      <c r="T126" s="121">
        <f>SUM(T124:T125)</f>
        <v>31040.955379501029</v>
      </c>
      <c r="U126" s="130">
        <f>SUM(U124:U125)</f>
        <v>9211.4391652409449</v>
      </c>
      <c r="V126" s="130">
        <f>SUM(V124:V125)</f>
        <v>7458.0033836946841</v>
      </c>
      <c r="W126" s="123">
        <f t="shared" si="266"/>
        <v>20160.602071563342</v>
      </c>
      <c r="X126" s="741">
        <f t="shared" si="266"/>
        <v>67871</v>
      </c>
      <c r="Y126" s="121">
        <f t="shared" si="266"/>
        <v>37776.842696852756</v>
      </c>
      <c r="Z126" s="130">
        <f>SUM(Z124:Z125)</f>
        <v>15290.989014299968</v>
      </c>
      <c r="AA126" s="130">
        <f>SUM(AA124:AA125)</f>
        <v>7823.4455494957238</v>
      </c>
      <c r="AB126" s="123">
        <f>SUM(AB124:AB125)</f>
        <v>24013.722739351546</v>
      </c>
      <c r="AC126" s="741">
        <f>SUM(AC124:AC125)</f>
        <v>84905</v>
      </c>
      <c r="AD126" s="121">
        <f t="shared" si="266"/>
        <v>44274.45964071143</v>
      </c>
      <c r="AE126" s="130">
        <f>SUM(AE124:AE125)</f>
        <v>15336.861981342867</v>
      </c>
      <c r="AF126" s="130">
        <f>SUM(AF124:AF125)</f>
        <v>8339.7929557624429</v>
      </c>
      <c r="AG126" s="123">
        <f>SUM(AG124:AG125)</f>
        <v>21907.885422183259</v>
      </c>
      <c r="AH126" s="741">
        <f>SUM(AH124:AH125)</f>
        <v>89859</v>
      </c>
      <c r="AI126" s="121">
        <f t="shared" si="266"/>
        <v>39359.994620592464</v>
      </c>
      <c r="AJ126" s="130">
        <f t="shared" si="266"/>
        <v>10490.41359523852</v>
      </c>
      <c r="AK126" s="130">
        <f t="shared" ref="AK126:AP126" si="267">SUM(AK124:AK125)</f>
        <v>8223.0358543817674</v>
      </c>
      <c r="AL126" s="123">
        <f t="shared" si="267"/>
        <v>17307.555929787253</v>
      </c>
      <c r="AM126" s="741">
        <f t="shared" si="267"/>
        <v>75381</v>
      </c>
      <c r="AN126" s="121">
        <f t="shared" si="267"/>
        <v>34400.635298397814</v>
      </c>
      <c r="AO126" s="130">
        <f t="shared" si="267"/>
        <v>10931.010966238538</v>
      </c>
      <c r="AP126" s="130">
        <f t="shared" si="267"/>
        <v>7811.8840616626785</v>
      </c>
      <c r="AQ126" s="123">
        <f t="shared" ref="AQ126:AU126" si="268">SUM(AQ124:AQ125)</f>
        <v>20272.469673700969</v>
      </c>
      <c r="AR126" s="741">
        <f t="shared" si="268"/>
        <v>73416</v>
      </c>
      <c r="AS126" s="121">
        <f t="shared" si="268"/>
        <v>35811.061345632115</v>
      </c>
      <c r="AT126" s="130">
        <f t="shared" si="268"/>
        <v>11324.527361023127</v>
      </c>
      <c r="AU126" s="130">
        <f t="shared" si="268"/>
        <v>8475.8942069040058</v>
      </c>
      <c r="AV126" s="123">
        <f t="shared" ref="AV126:AW126" si="269">SUM(AV124:AV125)</f>
        <v>23800.517086440748</v>
      </c>
      <c r="AW126" s="741">
        <f t="shared" si="269"/>
        <v>79412</v>
      </c>
      <c r="AX126" s="121">
        <f t="shared" ref="AX126:BG126" si="270">SUM(AX124:AX125)</f>
        <v>37547.897820895276</v>
      </c>
      <c r="AY126" s="122">
        <f t="shared" si="270"/>
        <v>11352.838679425684</v>
      </c>
      <c r="AZ126" s="122">
        <f t="shared" si="270"/>
        <v>8454.7044713867472</v>
      </c>
      <c r="BA126" s="123">
        <f t="shared" si="270"/>
        <v>23979.020964589057</v>
      </c>
      <c r="BB126" s="86">
        <f t="shared" si="270"/>
        <v>81334.461936296764</v>
      </c>
      <c r="BC126" s="121">
        <f t="shared" si="270"/>
        <v>37454.028076343035</v>
      </c>
      <c r="BD126" s="122">
        <f t="shared" si="270"/>
        <v>11324.45658272712</v>
      </c>
      <c r="BE126" s="122">
        <f t="shared" si="270"/>
        <v>8433.5677102082809</v>
      </c>
      <c r="BF126" s="123">
        <f t="shared" si="270"/>
        <v>23919.073412177582</v>
      </c>
      <c r="BG126" s="86">
        <f t="shared" si="270"/>
        <v>81131.125781456009</v>
      </c>
      <c r="BH126" s="121">
        <f t="shared" ref="BH126:BQ126" si="271">SUM(BH124:BH125)</f>
        <v>37360.393006152182</v>
      </c>
      <c r="BI126" s="122">
        <f t="shared" si="271"/>
        <v>11296.145441270302</v>
      </c>
      <c r="BJ126" s="122">
        <f t="shared" si="271"/>
        <v>8412.4837909327616</v>
      </c>
      <c r="BK126" s="123">
        <f t="shared" si="271"/>
        <v>23859.275728647142</v>
      </c>
      <c r="BL126" s="86">
        <f t="shared" si="271"/>
        <v>80928.297967002378</v>
      </c>
      <c r="BM126" s="121">
        <f t="shared" si="271"/>
        <v>37266.992023636805</v>
      </c>
      <c r="BN126" s="122">
        <f t="shared" si="271"/>
        <v>11267.905077667128</v>
      </c>
      <c r="BO126" s="122">
        <f t="shared" si="271"/>
        <v>8391.452581455429</v>
      </c>
      <c r="BP126" s="123">
        <f t="shared" si="271"/>
        <v>23799.627539325527</v>
      </c>
      <c r="BQ126" s="86">
        <f t="shared" si="271"/>
        <v>80725.977222084883</v>
      </c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</row>
    <row r="127" spans="1:104" x14ac:dyDescent="0.2">
      <c r="A127" s="20"/>
      <c r="B127" s="20"/>
      <c r="C127" s="20" t="s">
        <v>276</v>
      </c>
      <c r="D127" s="20"/>
      <c r="E127" s="622">
        <f t="shared" ref="E127:H128" si="272">E$121*$I127</f>
        <v>3488.4696129921927</v>
      </c>
      <c r="F127" s="623">
        <f t="shared" si="272"/>
        <v>789.47116377203395</v>
      </c>
      <c r="G127" s="623">
        <f t="shared" si="272"/>
        <v>511.41449549680397</v>
      </c>
      <c r="H127" s="312">
        <f t="shared" si="272"/>
        <v>1994.6447277389689</v>
      </c>
      <c r="I127" s="313">
        <v>6784</v>
      </c>
      <c r="J127" s="622">
        <f t="shared" ref="J127:M128" si="273">J$121*$N127</f>
        <v>4372.2978504152488</v>
      </c>
      <c r="K127" s="623">
        <f t="shared" si="273"/>
        <v>1095.1410845369787</v>
      </c>
      <c r="L127" s="623">
        <f t="shared" si="273"/>
        <v>918.31850422039781</v>
      </c>
      <c r="M127" s="312">
        <f t="shared" si="273"/>
        <v>3069.2425608273743</v>
      </c>
      <c r="N127" s="313">
        <v>9455</v>
      </c>
      <c r="O127" s="622">
        <f>$S127*O$121</f>
        <v>5065.7732912424372</v>
      </c>
      <c r="P127" s="623">
        <f t="shared" si="258"/>
        <v>1730.489553068099</v>
      </c>
      <c r="Q127" s="722">
        <f t="shared" si="258"/>
        <v>1051.8774017194651</v>
      </c>
      <c r="R127" s="116">
        <f t="shared" si="258"/>
        <v>2948.8597539699986</v>
      </c>
      <c r="S127" s="736">
        <v>10797</v>
      </c>
      <c r="T127" s="148">
        <f>O127*(1-0.147)</f>
        <v>4321.104617429799</v>
      </c>
      <c r="U127" s="149">
        <f>P127*(1-0.259)</f>
        <v>1282.2927588234613</v>
      </c>
      <c r="V127" s="149">
        <f>Q127*(1-0.013)</f>
        <v>1038.2029954971119</v>
      </c>
      <c r="W127" s="116">
        <f>+X127-SUM(T127:V127)</f>
        <v>4301.3996282496273</v>
      </c>
      <c r="X127" s="736">
        <v>10943</v>
      </c>
      <c r="Y127" s="148">
        <f>T127*(1+0.217)</f>
        <v>5258.784319412066</v>
      </c>
      <c r="Z127" s="149">
        <f>U127*(1+0.66)</f>
        <v>2128.6059796469458</v>
      </c>
      <c r="AA127" s="149">
        <f>V127*(1+0.049)</f>
        <v>1089.0749422764704</v>
      </c>
      <c r="AB127" s="116">
        <f>+AC127-SUM(Y127:AA127)</f>
        <v>2599.5347586645166</v>
      </c>
      <c r="AC127" s="736">
        <v>11076</v>
      </c>
      <c r="AD127" s="148">
        <f>Y127*(1+0.172)</f>
        <v>6163.295222350941</v>
      </c>
      <c r="AE127" s="149">
        <f>Z127*(1+0.003)</f>
        <v>2134.9917975858866</v>
      </c>
      <c r="AF127" s="149">
        <f>AA127*(1+0.066)</f>
        <v>1160.9538884667174</v>
      </c>
      <c r="AG127" s="116">
        <f>+AH127-SUM(AD127:AF127)</f>
        <v>1805.7590915964538</v>
      </c>
      <c r="AH127" s="736">
        <v>11265</v>
      </c>
      <c r="AI127" s="148">
        <f>+AD127*(1-11.1%)</f>
        <v>5479.1694526699866</v>
      </c>
      <c r="AJ127" s="149">
        <f>+AE127*(1-31.6%)</f>
        <v>1460.3343895487462</v>
      </c>
      <c r="AK127" s="149">
        <f>+AF127*(1-1.4%)</f>
        <v>1144.7005340281835</v>
      </c>
      <c r="AL127" s="116">
        <f>+AM127-SUM(AI127:AK127)</f>
        <v>3563.7956237530834</v>
      </c>
      <c r="AM127" s="736">
        <v>11648</v>
      </c>
      <c r="AN127" s="148">
        <f>+AI127*(1-12.6%)</f>
        <v>4788.7941016335681</v>
      </c>
      <c r="AO127" s="149">
        <f>+AJ127*(1+4.2%)</f>
        <v>1521.6684339097935</v>
      </c>
      <c r="AP127" s="149">
        <f>+AK127*(1-5%)</f>
        <v>1087.4655073267743</v>
      </c>
      <c r="AQ127" s="116">
        <f>+AR127-SUM(AN127:AP127)</f>
        <v>3791.0719571298641</v>
      </c>
      <c r="AR127" s="736">
        <v>11189</v>
      </c>
      <c r="AS127" s="148">
        <f>+AN127*(1+4.1%)</f>
        <v>4985.1346598005439</v>
      </c>
      <c r="AT127" s="149">
        <f>+AO127*(1+3.6%)</f>
        <v>1576.4484975305461</v>
      </c>
      <c r="AU127" s="149">
        <f>+AP127*(1+8.5%)</f>
        <v>1179.9000754495501</v>
      </c>
      <c r="AV127" s="116">
        <f>+AW127-SUM(AS127:AU127)</f>
        <v>5367.5167672193602</v>
      </c>
      <c r="AW127" s="736">
        <v>13109</v>
      </c>
      <c r="AX127" s="136">
        <f t="shared" ref="AX127:BA128" si="274">+AS127*(1+AX$61)</f>
        <v>5226.9136908008704</v>
      </c>
      <c r="AY127" s="135">
        <f t="shared" si="274"/>
        <v>1580.3896187743724</v>
      </c>
      <c r="AZ127" s="135">
        <f t="shared" si="274"/>
        <v>1176.9503252609263</v>
      </c>
      <c r="BA127" s="116">
        <f t="shared" si="274"/>
        <v>5407.7731429735059</v>
      </c>
      <c r="BB127" s="82">
        <f>SUM(AX127:BA127)</f>
        <v>13392.026777809675</v>
      </c>
      <c r="BC127" s="136">
        <f t="shared" ref="BC127:BF128" si="275">+AX127*(1+BC$61)</f>
        <v>5213.8464065738681</v>
      </c>
      <c r="BD127" s="135">
        <f t="shared" si="275"/>
        <v>1576.4386447274364</v>
      </c>
      <c r="BE127" s="135">
        <f t="shared" si="275"/>
        <v>1174.0079494477741</v>
      </c>
      <c r="BF127" s="116">
        <f t="shared" si="275"/>
        <v>5394.2537101160724</v>
      </c>
      <c r="BG127" s="82">
        <f>SUM(BC127:BF127)</f>
        <v>13358.54671086515</v>
      </c>
      <c r="BH127" s="136">
        <f t="shared" ref="BH127:BK128" si="276">+BC127*(1+BH$61)</f>
        <v>5200.8117905574336</v>
      </c>
      <c r="BI127" s="135">
        <f t="shared" si="276"/>
        <v>1572.497548115618</v>
      </c>
      <c r="BJ127" s="135">
        <f t="shared" si="276"/>
        <v>1171.0729295741546</v>
      </c>
      <c r="BK127" s="116">
        <f t="shared" si="276"/>
        <v>5380.7680758407823</v>
      </c>
      <c r="BL127" s="82">
        <f>SUM(BH127:BK127)</f>
        <v>13325.15034408799</v>
      </c>
      <c r="BM127" s="136">
        <f t="shared" ref="BM127:BM128" si="277">+BH127*(1+BM$61)</f>
        <v>5187.8097610810401</v>
      </c>
      <c r="BN127" s="135">
        <f t="shared" ref="BN127:BN128" si="278">+BI127*(1+BN$61)</f>
        <v>1568.5663042453291</v>
      </c>
      <c r="BO127" s="135">
        <f t="shared" ref="BO127:BO128" si="279">+BJ127*(1+BO$61)</f>
        <v>1168.1452472502192</v>
      </c>
      <c r="BP127" s="116">
        <f t="shared" ref="BP127:BP128" si="280">+BK127*(1+BP$61)</f>
        <v>5367.3161556511805</v>
      </c>
      <c r="BQ127" s="82">
        <f>SUM(BM127:BP127)</f>
        <v>13291.837468227768</v>
      </c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</row>
    <row r="128" spans="1:104" x14ac:dyDescent="0.2">
      <c r="A128" s="20"/>
      <c r="B128" s="20"/>
      <c r="C128" s="20" t="s">
        <v>277</v>
      </c>
      <c r="D128" s="20"/>
      <c r="E128" s="622">
        <f t="shared" si="272"/>
        <v>3164.5109077762313</v>
      </c>
      <c r="F128" s="623">
        <f t="shared" si="272"/>
        <v>716.15647727787393</v>
      </c>
      <c r="G128" s="623">
        <f t="shared" si="272"/>
        <v>463.92169889259014</v>
      </c>
      <c r="H128" s="312">
        <f t="shared" si="272"/>
        <v>1809.4109160533039</v>
      </c>
      <c r="I128" s="313">
        <v>6154</v>
      </c>
      <c r="J128" s="622">
        <f t="shared" si="273"/>
        <v>4063.3930419459325</v>
      </c>
      <c r="K128" s="623">
        <f t="shared" si="273"/>
        <v>1017.7688746511297</v>
      </c>
      <c r="L128" s="623">
        <f t="shared" si="273"/>
        <v>853.43888911524436</v>
      </c>
      <c r="M128" s="312">
        <f t="shared" si="273"/>
        <v>2852.3991942876928</v>
      </c>
      <c r="N128" s="313">
        <v>8787</v>
      </c>
      <c r="O128" s="622">
        <f>$S128*O$121</f>
        <v>0</v>
      </c>
      <c r="P128" s="623">
        <f t="shared" si="258"/>
        <v>0</v>
      </c>
      <c r="Q128" s="722">
        <f t="shared" si="258"/>
        <v>0</v>
      </c>
      <c r="R128" s="116">
        <f t="shared" si="258"/>
        <v>0</v>
      </c>
      <c r="S128" s="736">
        <v>0</v>
      </c>
      <c r="T128" s="136">
        <f>O128*(1-0.147)</f>
        <v>0</v>
      </c>
      <c r="U128" s="137">
        <f>+P128*(1-0.259)</f>
        <v>0</v>
      </c>
      <c r="V128" s="137">
        <f>+Q128*(1-0.013)</f>
        <v>0</v>
      </c>
      <c r="W128" s="116">
        <f>+X128-SUM(T128:V128)</f>
        <v>0</v>
      </c>
      <c r="X128" s="736">
        <v>0</v>
      </c>
      <c r="Y128" s="136">
        <f>T128*(1-0.217)</f>
        <v>0</v>
      </c>
      <c r="Z128" s="137">
        <f>U128*(1+0.66)</f>
        <v>0</v>
      </c>
      <c r="AA128" s="137">
        <f>V128*(1+0.049)</f>
        <v>0</v>
      </c>
      <c r="AB128" s="116">
        <f>+AC128-SUM(Y128:AA128)</f>
        <v>0</v>
      </c>
      <c r="AC128" s="736">
        <v>0</v>
      </c>
      <c r="AD128" s="136">
        <f>Y128*(1+0.172)</f>
        <v>0</v>
      </c>
      <c r="AE128" s="137">
        <f>Z128*(1+0.003)</f>
        <v>0</v>
      </c>
      <c r="AF128" s="137">
        <f>AA128*(1+0.066)</f>
        <v>0</v>
      </c>
      <c r="AG128" s="116">
        <f>+AH128-SUM(AD128:AF128)</f>
        <v>0</v>
      </c>
      <c r="AH128" s="736">
        <v>0</v>
      </c>
      <c r="AI128" s="136">
        <f>+AD128*(1-11.1%)</f>
        <v>0</v>
      </c>
      <c r="AJ128" s="137">
        <f>+AE128*(1-31.6%)</f>
        <v>0</v>
      </c>
      <c r="AK128" s="137">
        <f>+AF128*(1-1.4%)</f>
        <v>0</v>
      </c>
      <c r="AL128" s="116">
        <f>+AM128-SUM(AI128:AK128)</f>
        <v>0</v>
      </c>
      <c r="AM128" s="736">
        <v>0</v>
      </c>
      <c r="AN128" s="136">
        <f>+AI128*(1-12.6%)</f>
        <v>0</v>
      </c>
      <c r="AO128" s="137">
        <f>+AJ128*(1+4.2%)</f>
        <v>0</v>
      </c>
      <c r="AP128" s="137">
        <f>+AK128*(1+4.2%)</f>
        <v>0</v>
      </c>
      <c r="AQ128" s="116">
        <f>+AR128-SUM(AN128:AP128)</f>
        <v>0</v>
      </c>
      <c r="AR128" s="736">
        <v>0</v>
      </c>
      <c r="AS128" s="148">
        <f>+AN128*(1+4.1%)</f>
        <v>0</v>
      </c>
      <c r="AT128" s="137">
        <f>+AO128*(1+3.6%)</f>
        <v>0</v>
      </c>
      <c r="AU128" s="137">
        <f>+AP128*(1+8.5%)</f>
        <v>0</v>
      </c>
      <c r="AV128" s="116">
        <f>+AW128-SUM(AS128:AU128)</f>
        <v>0</v>
      </c>
      <c r="AW128" s="736">
        <v>0</v>
      </c>
      <c r="AX128" s="136">
        <f t="shared" si="274"/>
        <v>0</v>
      </c>
      <c r="AY128" s="135">
        <f t="shared" si="274"/>
        <v>0</v>
      </c>
      <c r="AZ128" s="135">
        <f t="shared" si="274"/>
        <v>0</v>
      </c>
      <c r="BA128" s="116">
        <f t="shared" si="274"/>
        <v>0</v>
      </c>
      <c r="BB128" s="82">
        <f>SUM(AX128:BA128)</f>
        <v>0</v>
      </c>
      <c r="BC128" s="136">
        <f t="shared" si="275"/>
        <v>0</v>
      </c>
      <c r="BD128" s="135">
        <f t="shared" si="275"/>
        <v>0</v>
      </c>
      <c r="BE128" s="135">
        <f t="shared" si="275"/>
        <v>0</v>
      </c>
      <c r="BF128" s="116">
        <f t="shared" si="275"/>
        <v>0</v>
      </c>
      <c r="BG128" s="82">
        <f>SUM(BC128:BF128)</f>
        <v>0</v>
      </c>
      <c r="BH128" s="136">
        <f t="shared" si="276"/>
        <v>0</v>
      </c>
      <c r="BI128" s="135">
        <f t="shared" si="276"/>
        <v>0</v>
      </c>
      <c r="BJ128" s="135">
        <f t="shared" si="276"/>
        <v>0</v>
      </c>
      <c r="BK128" s="116">
        <f t="shared" si="276"/>
        <v>0</v>
      </c>
      <c r="BL128" s="82">
        <f>SUM(BH128:BK128)</f>
        <v>0</v>
      </c>
      <c r="BM128" s="136">
        <f t="shared" si="277"/>
        <v>0</v>
      </c>
      <c r="BN128" s="135">
        <f t="shared" si="278"/>
        <v>0</v>
      </c>
      <c r="BO128" s="135">
        <f t="shared" si="279"/>
        <v>0</v>
      </c>
      <c r="BP128" s="116">
        <f t="shared" si="280"/>
        <v>0</v>
      </c>
      <c r="BQ128" s="82">
        <f>SUM(BM128:BP128)</f>
        <v>0</v>
      </c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</row>
    <row r="129" spans="1:104" x14ac:dyDescent="0.2">
      <c r="A129" s="20"/>
      <c r="B129" s="20"/>
      <c r="C129" s="26" t="s">
        <v>278</v>
      </c>
      <c r="D129" s="20"/>
      <c r="E129" s="326">
        <f>SUM(E126:E128)</f>
        <v>47655.353977601932</v>
      </c>
      <c r="F129" s="327">
        <f>SUM(F126:F128)</f>
        <v>10784.823128327425</v>
      </c>
      <c r="G129" s="327">
        <f>SUM(G126:G128)</f>
        <v>6986.3411512627226</v>
      </c>
      <c r="H129" s="314">
        <f>SUM(H126:H128)</f>
        <v>27248.481742807919</v>
      </c>
      <c r="I129" s="523">
        <f>SUM(I127:I128)+I126</f>
        <v>92675</v>
      </c>
      <c r="J129" s="326">
        <f>SUM(J126:J128)</f>
        <v>43076.035649289355</v>
      </c>
      <c r="K129" s="327">
        <f>SUM(K126:K128)</f>
        <v>10789.369345923227</v>
      </c>
      <c r="L129" s="327">
        <f>SUM(L126:L128)</f>
        <v>9047.306926137946</v>
      </c>
      <c r="M129" s="314">
        <f>SUM(M126:M128)</f>
        <v>30238.288078649468</v>
      </c>
      <c r="N129" s="93">
        <f>SUM(N127:N128)+N126</f>
        <v>93151</v>
      </c>
      <c r="O129" s="326">
        <f>SUM(O126:O128)</f>
        <v>41456.107851032633</v>
      </c>
      <c r="P129" s="327">
        <f>SUM(P126:P128)</f>
        <v>14161.581543946566</v>
      </c>
      <c r="Q129" s="717">
        <f>SUM(Q126:Q128)</f>
        <v>8608.1118330210702</v>
      </c>
      <c r="R129" s="123">
        <f>SUM(R126:R128)</f>
        <v>24132.198771999734</v>
      </c>
      <c r="S129" s="742">
        <f>SUM(S127:S128)+S126</f>
        <v>88358</v>
      </c>
      <c r="T129" s="121">
        <f>SUM(T126:T128)</f>
        <v>35362.059996930824</v>
      </c>
      <c r="U129" s="130">
        <f>SUM(U126:U128)</f>
        <v>10493.731924064406</v>
      </c>
      <c r="V129" s="130">
        <f>SUM(V126:V128)</f>
        <v>8496.2063791917953</v>
      </c>
      <c r="W129" s="123">
        <f>SUM(W126:W128)</f>
        <v>24462.001699812969</v>
      </c>
      <c r="X129" s="742">
        <f>SUM(X127:X128)+X126</f>
        <v>78814</v>
      </c>
      <c r="Y129" s="121">
        <f>SUM(Y126:Y128)</f>
        <v>43035.627016264822</v>
      </c>
      <c r="Z129" s="130">
        <f>SUM(Z126:Z128)</f>
        <v>17419.594993946914</v>
      </c>
      <c r="AA129" s="130">
        <f>SUM(AA126:AA128)</f>
        <v>8912.5204917721949</v>
      </c>
      <c r="AB129" s="123">
        <f>SUM(AB126:AB128)</f>
        <v>26613.257498016064</v>
      </c>
      <c r="AC129" s="742">
        <f>SUM(AC127:AC128)+AC126</f>
        <v>95981</v>
      </c>
      <c r="AD129" s="121">
        <f>SUM(AD126:AD128)</f>
        <v>50437.754863062371</v>
      </c>
      <c r="AE129" s="130">
        <f>SUM(AE126:AE128)</f>
        <v>17471.853778928755</v>
      </c>
      <c r="AF129" s="130">
        <f>SUM(AF126:AF128)</f>
        <v>9500.7468442291611</v>
      </c>
      <c r="AG129" s="123">
        <f>SUM(AG126:AG128)</f>
        <v>23713.644513779713</v>
      </c>
      <c r="AH129" s="742">
        <f>SUM(AH127:AH128)+AH126</f>
        <v>101124</v>
      </c>
      <c r="AI129" s="121">
        <f>SUM(AI126:AI128)</f>
        <v>44839.164073262451</v>
      </c>
      <c r="AJ129" s="130">
        <f>SUM(AJ126:AJ128)</f>
        <v>11950.747984787267</v>
      </c>
      <c r="AK129" s="130">
        <f>SUM(AK126:AK128)</f>
        <v>9367.7363884099505</v>
      </c>
      <c r="AL129" s="123">
        <f>SUM(AL126:AL128)</f>
        <v>20871.351553540335</v>
      </c>
      <c r="AM129" s="742">
        <f>SUM(AM127:AM128)+AM126</f>
        <v>87029</v>
      </c>
      <c r="AN129" s="121">
        <f>SUM(AN126:AN128)</f>
        <v>39189.429400031382</v>
      </c>
      <c r="AO129" s="130">
        <f>SUM(AO126:AO128)</f>
        <v>12452.679400148332</v>
      </c>
      <c r="AP129" s="130">
        <f>SUM(AP126:AP128)</f>
        <v>8899.3495689894535</v>
      </c>
      <c r="AQ129" s="123">
        <f>SUM(AQ126:AQ128)</f>
        <v>24063.541630830834</v>
      </c>
      <c r="AR129" s="742">
        <f>SUM(AR127:AR128)+AR126</f>
        <v>84605</v>
      </c>
      <c r="AS129" s="121">
        <f>SUM(AS126:AS128)</f>
        <v>40796.196005432663</v>
      </c>
      <c r="AT129" s="130">
        <f>SUM(AT126:AT128)</f>
        <v>12900.975858553673</v>
      </c>
      <c r="AU129" s="130">
        <f>SUM(AU126:AU128)</f>
        <v>9655.7942823535559</v>
      </c>
      <c r="AV129" s="123">
        <f>SUM(AV126:AV128)</f>
        <v>29168.033853660108</v>
      </c>
      <c r="AW129" s="742">
        <f>SUM(AW127:AW128)+AW126</f>
        <v>92521</v>
      </c>
      <c r="AX129" s="121">
        <f t="shared" ref="AX129:BG129" si="281">SUM(AX126:AX128)</f>
        <v>42774.811511696149</v>
      </c>
      <c r="AY129" s="122">
        <f t="shared" si="281"/>
        <v>12933.228298200056</v>
      </c>
      <c r="AZ129" s="122">
        <f t="shared" si="281"/>
        <v>9631.6547966476737</v>
      </c>
      <c r="BA129" s="123">
        <f t="shared" si="281"/>
        <v>29386.794107562564</v>
      </c>
      <c r="BB129" s="86">
        <f t="shared" si="281"/>
        <v>94726.488714106439</v>
      </c>
      <c r="BC129" s="121">
        <f t="shared" si="281"/>
        <v>42667.874482916901</v>
      </c>
      <c r="BD129" s="122">
        <f t="shared" si="281"/>
        <v>12900.895227454555</v>
      </c>
      <c r="BE129" s="122">
        <f t="shared" si="281"/>
        <v>9607.575659656055</v>
      </c>
      <c r="BF129" s="123">
        <f t="shared" si="281"/>
        <v>29313.327122293653</v>
      </c>
      <c r="BG129" s="86">
        <f t="shared" si="281"/>
        <v>94489.672492321159</v>
      </c>
      <c r="BH129" s="121">
        <f t="shared" ref="BH129:BQ129" si="282">SUM(BH126:BH128)</f>
        <v>42561.204796709615</v>
      </c>
      <c r="BI129" s="122">
        <f t="shared" si="282"/>
        <v>12868.64298938592</v>
      </c>
      <c r="BJ129" s="122">
        <f t="shared" si="282"/>
        <v>9583.5567205069165</v>
      </c>
      <c r="BK129" s="123">
        <f t="shared" si="282"/>
        <v>29240.043804487927</v>
      </c>
      <c r="BL129" s="86">
        <f t="shared" si="282"/>
        <v>94253.448311090367</v>
      </c>
      <c r="BM129" s="121">
        <f t="shared" si="282"/>
        <v>42454.801784717842</v>
      </c>
      <c r="BN129" s="122">
        <f t="shared" si="282"/>
        <v>12836.471381912457</v>
      </c>
      <c r="BO129" s="122">
        <f t="shared" si="282"/>
        <v>9559.5978287056478</v>
      </c>
      <c r="BP129" s="123">
        <f t="shared" si="282"/>
        <v>29166.943694976708</v>
      </c>
      <c r="BQ129" s="86">
        <f t="shared" si="282"/>
        <v>94017.814690312647</v>
      </c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  <c r="CT129" s="20"/>
      <c r="CU129" s="20"/>
      <c r="CV129" s="20"/>
      <c r="CW129" s="20"/>
      <c r="CX129" s="20"/>
      <c r="CY129" s="20"/>
      <c r="CZ129" s="20"/>
    </row>
    <row r="130" spans="1:104" x14ac:dyDescent="0.2">
      <c r="C130" s="20"/>
      <c r="E130" s="273"/>
      <c r="F130" s="274"/>
      <c r="G130" s="274"/>
      <c r="H130" s="275"/>
      <c r="I130" s="169"/>
      <c r="J130" s="273"/>
      <c r="K130" s="274"/>
      <c r="L130" s="274"/>
      <c r="M130" s="275"/>
      <c r="N130" s="169"/>
      <c r="O130" s="273"/>
      <c r="P130" s="274"/>
      <c r="Q130" s="611"/>
      <c r="R130" s="275"/>
      <c r="S130" s="732"/>
      <c r="T130" s="273"/>
      <c r="U130" s="611"/>
      <c r="V130" s="611"/>
      <c r="W130" s="275"/>
      <c r="X130" s="732"/>
      <c r="Y130" s="273"/>
      <c r="Z130" s="611"/>
      <c r="AA130" s="611"/>
      <c r="AB130" s="275"/>
      <c r="AC130" s="732"/>
      <c r="AD130" s="273"/>
      <c r="AE130" s="611"/>
      <c r="AF130" s="611"/>
      <c r="AG130" s="275"/>
      <c r="AH130" s="732"/>
      <c r="AI130" s="273"/>
      <c r="AJ130" s="611"/>
      <c r="AK130" s="611"/>
      <c r="AL130" s="275"/>
      <c r="AM130" s="732"/>
      <c r="AN130" s="273"/>
      <c r="AO130" s="611"/>
      <c r="AP130" s="611"/>
      <c r="AQ130" s="275"/>
      <c r="AR130" s="732"/>
      <c r="AS130" s="273"/>
      <c r="AT130" s="611"/>
      <c r="AU130" s="611"/>
      <c r="AV130" s="275"/>
      <c r="AW130" s="732"/>
      <c r="AX130" s="273"/>
      <c r="AY130" s="274"/>
      <c r="AZ130" s="274"/>
      <c r="BA130" s="275"/>
      <c r="BB130" s="169"/>
      <c r="BC130" s="273"/>
      <c r="BD130" s="274"/>
      <c r="BE130" s="274"/>
      <c r="BF130" s="275"/>
      <c r="BG130" s="169"/>
      <c r="BH130" s="273"/>
      <c r="BI130" s="274"/>
      <c r="BJ130" s="274"/>
      <c r="BK130" s="275"/>
      <c r="BL130" s="169"/>
      <c r="BM130" s="273"/>
      <c r="BN130" s="274"/>
      <c r="BO130" s="274"/>
      <c r="BP130" s="275"/>
      <c r="BQ130" s="169"/>
    </row>
    <row r="131" spans="1:104" x14ac:dyDescent="0.2">
      <c r="A131" s="20"/>
      <c r="B131" s="20"/>
      <c r="C131" s="20" t="s">
        <v>432</v>
      </c>
      <c r="D131" s="20"/>
      <c r="E131" s="203"/>
      <c r="F131" s="204"/>
      <c r="G131" s="204"/>
      <c r="H131" s="205"/>
      <c r="I131" s="206"/>
      <c r="J131" s="207">
        <f t="shared" ref="J131:S131" si="283">+J129/E129-1</f>
        <v>-9.6092420810993451E-2</v>
      </c>
      <c r="K131" s="208">
        <f t="shared" si="283"/>
        <v>4.2153844728898271E-4</v>
      </c>
      <c r="L131" s="208">
        <f t="shared" si="283"/>
        <v>0.29499930367739347</v>
      </c>
      <c r="M131" s="209">
        <f t="shared" si="283"/>
        <v>0.10972377705523684</v>
      </c>
      <c r="N131" s="88">
        <f t="shared" si="283"/>
        <v>5.1362287564067355E-3</v>
      </c>
      <c r="O131" s="207">
        <f t="shared" si="283"/>
        <v>-3.7606241471374702E-2</v>
      </c>
      <c r="P131" s="208">
        <f t="shared" si="283"/>
        <v>0.31254951887410654</v>
      </c>
      <c r="Q131" s="628">
        <f t="shared" si="283"/>
        <v>-4.8544290218344166E-2</v>
      </c>
      <c r="R131" s="209">
        <f t="shared" si="283"/>
        <v>-0.20193237430531319</v>
      </c>
      <c r="S131" s="733">
        <f t="shared" si="283"/>
        <v>-5.1454090669987407E-2</v>
      </c>
      <c r="T131" s="207">
        <f t="shared" ref="T131:Y131" si="284">+T129/O129-1</f>
        <v>-0.14700000000000024</v>
      </c>
      <c r="U131" s="208">
        <f t="shared" si="284"/>
        <v>-0.2589999999999999</v>
      </c>
      <c r="V131" s="628">
        <f t="shared" si="284"/>
        <v>-1.3000000000000123E-2</v>
      </c>
      <c r="W131" s="209">
        <f t="shared" si="284"/>
        <v>1.3666509667403348E-2</v>
      </c>
      <c r="X131" s="733">
        <f t="shared" si="284"/>
        <v>-0.10801512030602778</v>
      </c>
      <c r="Y131" s="207">
        <f t="shared" si="284"/>
        <v>0.2170000000000003</v>
      </c>
      <c r="Z131" s="208">
        <f t="shared" ref="Z131:AF131" si="285">+Z129/U129-1</f>
        <v>0.65999999999999992</v>
      </c>
      <c r="AA131" s="628">
        <f t="shared" si="285"/>
        <v>4.9000000000000155E-2</v>
      </c>
      <c r="AB131" s="209">
        <f t="shared" si="285"/>
        <v>8.7942754015079005E-2</v>
      </c>
      <c r="AC131" s="733">
        <f t="shared" si="285"/>
        <v>0.21781663156292019</v>
      </c>
      <c r="AD131" s="207">
        <f t="shared" si="285"/>
        <v>0.17199999999999993</v>
      </c>
      <c r="AE131" s="208">
        <f t="shared" si="285"/>
        <v>3.0000000000001137E-3</v>
      </c>
      <c r="AF131" s="628">
        <f t="shared" si="285"/>
        <v>6.6000000000000059E-2</v>
      </c>
      <c r="AG131" s="209">
        <f t="shared" ref="AG131:AP131" si="286">+AG129/AB129-1</f>
        <v>-0.10895370416239003</v>
      </c>
      <c r="AH131" s="733">
        <f t="shared" si="286"/>
        <v>5.3583521738677531E-2</v>
      </c>
      <c r="AI131" s="207">
        <f t="shared" si="286"/>
        <v>-0.11099999999999999</v>
      </c>
      <c r="AJ131" s="208">
        <f t="shared" si="286"/>
        <v>-0.31600000000000006</v>
      </c>
      <c r="AK131" s="628">
        <f t="shared" si="286"/>
        <v>-1.4000000000000234E-2</v>
      </c>
      <c r="AL131" s="209">
        <f t="shared" si="286"/>
        <v>-0.11985896805477347</v>
      </c>
      <c r="AM131" s="733">
        <f t="shared" si="286"/>
        <v>-0.13938333135556347</v>
      </c>
      <c r="AN131" s="207">
        <f t="shared" si="286"/>
        <v>-0.126</v>
      </c>
      <c r="AO131" s="208">
        <f t="shared" si="286"/>
        <v>4.2000000000000037E-2</v>
      </c>
      <c r="AP131" s="628">
        <f t="shared" si="286"/>
        <v>-4.9999999999999933E-2</v>
      </c>
      <c r="AQ131" s="209">
        <f t="shared" ref="AQ131:AR131" si="287">+AQ129/AL129-1</f>
        <v>0.15294601641401706</v>
      </c>
      <c r="AR131" s="733">
        <f t="shared" si="287"/>
        <v>-2.7852784703949252E-2</v>
      </c>
      <c r="AS131" s="207">
        <f t="shared" ref="AS131" si="288">+AS129/AN129-1</f>
        <v>4.0999999999999925E-2</v>
      </c>
      <c r="AT131" s="208">
        <f t="shared" ref="AT131" si="289">+AT129/AO129-1</f>
        <v>3.6000000000000032E-2</v>
      </c>
      <c r="AU131" s="628">
        <f t="shared" ref="AU131" si="290">+AU129/AP129-1</f>
        <v>8.4999999999999964E-2</v>
      </c>
      <c r="AV131" s="209">
        <f t="shared" ref="AV131" si="291">+AV129/AQ129-1</f>
        <v>0.21212555911924724</v>
      </c>
      <c r="AW131" s="733">
        <f t="shared" ref="AW131" si="292">+AW129/AR129-1</f>
        <v>9.3564210153064264E-2</v>
      </c>
      <c r="AX131" s="207">
        <f t="shared" ref="AX131:BG131" si="293">+AX129/AS129-1</f>
        <v>4.8499999999999988E-2</v>
      </c>
      <c r="AY131" s="208">
        <f t="shared" si="293"/>
        <v>2.4999999999999467E-3</v>
      </c>
      <c r="AZ131" s="208">
        <f t="shared" si="293"/>
        <v>-2.4999999999998357E-3</v>
      </c>
      <c r="BA131" s="209">
        <f t="shared" si="293"/>
        <v>7.5000000000000622E-3</v>
      </c>
      <c r="BB131" s="88">
        <f t="shared" si="293"/>
        <v>2.3837709429280318E-2</v>
      </c>
      <c r="BC131" s="207">
        <f t="shared" si="293"/>
        <v>-2.5000000000001688E-3</v>
      </c>
      <c r="BD131" s="208">
        <f t="shared" si="293"/>
        <v>-2.5000000000000577E-3</v>
      </c>
      <c r="BE131" s="208">
        <f t="shared" si="293"/>
        <v>-2.4999999999999467E-3</v>
      </c>
      <c r="BF131" s="209">
        <f t="shared" si="293"/>
        <v>-2.5000000000001688E-3</v>
      </c>
      <c r="BG131" s="88">
        <f t="shared" si="293"/>
        <v>-2.5000000000001688E-3</v>
      </c>
      <c r="BH131" s="207">
        <f t="shared" ref="BH131:BQ131" si="294">+BH129/BC129-1</f>
        <v>-2.4999999999998357E-3</v>
      </c>
      <c r="BI131" s="208">
        <f t="shared" si="294"/>
        <v>-2.4999999999999467E-3</v>
      </c>
      <c r="BJ131" s="208">
        <f t="shared" si="294"/>
        <v>-2.4999999999998357E-3</v>
      </c>
      <c r="BK131" s="209">
        <f t="shared" si="294"/>
        <v>-2.4999999999997247E-3</v>
      </c>
      <c r="BL131" s="88">
        <f t="shared" si="294"/>
        <v>-2.4999999999998357E-3</v>
      </c>
      <c r="BM131" s="207">
        <f t="shared" si="294"/>
        <v>-2.4999999999999467E-3</v>
      </c>
      <c r="BN131" s="208">
        <f t="shared" si="294"/>
        <v>-2.4999999999998357E-3</v>
      </c>
      <c r="BO131" s="208">
        <f t="shared" si="294"/>
        <v>-2.5000000000001688E-3</v>
      </c>
      <c r="BP131" s="209">
        <f t="shared" si="294"/>
        <v>-2.4999999999999467E-3</v>
      </c>
      <c r="BQ131" s="88">
        <f t="shared" si="294"/>
        <v>-2.4999999999999467E-3</v>
      </c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  <c r="CT131" s="20"/>
      <c r="CU131" s="20"/>
      <c r="CV131" s="20"/>
      <c r="CW131" s="20"/>
      <c r="CX131" s="20"/>
      <c r="CY131" s="20"/>
      <c r="CZ131" s="20"/>
    </row>
    <row r="132" spans="1:104" x14ac:dyDescent="0.2">
      <c r="C132" s="316"/>
      <c r="E132" s="273"/>
      <c r="F132" s="274"/>
      <c r="G132" s="274"/>
      <c r="H132" s="275"/>
      <c r="I132" s="169"/>
      <c r="J132" s="273"/>
      <c r="K132" s="274"/>
      <c r="L132" s="274"/>
      <c r="M132" s="275"/>
      <c r="N132" s="169"/>
      <c r="O132" s="273"/>
      <c r="P132" s="274"/>
      <c r="Q132" s="611"/>
      <c r="R132" s="275"/>
      <c r="S132" s="732"/>
      <c r="T132" s="273"/>
      <c r="U132" s="274"/>
      <c r="V132" s="611"/>
      <c r="W132" s="275"/>
      <c r="X132" s="732"/>
      <c r="Y132" s="273"/>
      <c r="Z132" s="274"/>
      <c r="AA132" s="611"/>
      <c r="AB132" s="275"/>
      <c r="AC132" s="732"/>
      <c r="AD132" s="273"/>
      <c r="AE132" s="274"/>
      <c r="AF132" s="611"/>
      <c r="AG132" s="275"/>
      <c r="AH132" s="732"/>
      <c r="AI132" s="273"/>
      <c r="AJ132" s="274"/>
      <c r="AK132" s="611"/>
      <c r="AL132" s="275"/>
      <c r="AM132" s="732"/>
      <c r="AN132" s="273"/>
      <c r="AO132" s="274"/>
      <c r="AP132" s="611"/>
      <c r="AQ132" s="275"/>
      <c r="AR132" s="732"/>
      <c r="AS132" s="273"/>
      <c r="AT132" s="274"/>
      <c r="AU132" s="611"/>
      <c r="AV132" s="275"/>
      <c r="AW132" s="732"/>
      <c r="AX132" s="273"/>
      <c r="AY132" s="274"/>
      <c r="AZ132" s="274"/>
      <c r="BA132" s="275"/>
      <c r="BB132" s="169"/>
      <c r="BC132" s="273"/>
      <c r="BD132" s="274"/>
      <c r="BE132" s="274"/>
      <c r="BF132" s="275"/>
      <c r="BG132" s="169"/>
      <c r="BH132" s="273"/>
      <c r="BI132" s="274"/>
      <c r="BJ132" s="274"/>
      <c r="BK132" s="275"/>
      <c r="BL132" s="169"/>
      <c r="BM132" s="273"/>
      <c r="BN132" s="274"/>
      <c r="BO132" s="274"/>
      <c r="BP132" s="275"/>
      <c r="BQ132" s="169"/>
    </row>
    <row r="133" spans="1:104" x14ac:dyDescent="0.2">
      <c r="C133" s="26" t="s">
        <v>280</v>
      </c>
      <c r="E133" s="335">
        <f t="shared" ref="E133:S133" si="295">E120/E129*1000</f>
        <v>6.9093390882114916</v>
      </c>
      <c r="F133" s="323">
        <f t="shared" si="295"/>
        <v>6.9093390882114907</v>
      </c>
      <c r="G133" s="323">
        <f t="shared" si="295"/>
        <v>6.9093390882114916</v>
      </c>
      <c r="H133" s="324">
        <f t="shared" si="295"/>
        <v>6.9093390882114916</v>
      </c>
      <c r="I133" s="325">
        <f t="shared" si="295"/>
        <v>6.9093390882114916</v>
      </c>
      <c r="J133" s="335">
        <f t="shared" si="295"/>
        <v>6.3235391997938821</v>
      </c>
      <c r="K133" s="323">
        <f t="shared" si="295"/>
        <v>6.3235391997938821</v>
      </c>
      <c r="L133" s="323">
        <f>L120/L129*1000</f>
        <v>6.3235391997938821</v>
      </c>
      <c r="M133" s="324">
        <f t="shared" si="295"/>
        <v>6.323539199793883</v>
      </c>
      <c r="N133" s="325">
        <f t="shared" si="295"/>
        <v>6.323539199793883</v>
      </c>
      <c r="O133" s="322">
        <f t="shared" si="295"/>
        <v>6.8440095973199924</v>
      </c>
      <c r="P133" s="323">
        <f t="shared" si="295"/>
        <v>6.8440095973199933</v>
      </c>
      <c r="Q133" s="716">
        <f t="shared" si="295"/>
        <v>6.8440095973199924</v>
      </c>
      <c r="R133" s="324">
        <f t="shared" si="295"/>
        <v>6.8440095973199933</v>
      </c>
      <c r="S133" s="739">
        <f t="shared" si="295"/>
        <v>6.8440095973199924</v>
      </c>
      <c r="T133" s="322">
        <f t="shared" ref="T133:Y133" si="296">T120/T129*1000</f>
        <v>5.5571988740773595</v>
      </c>
      <c r="U133" s="323">
        <f t="shared" si="296"/>
        <v>5.6289793209355725</v>
      </c>
      <c r="V133" s="716">
        <f t="shared" si="296"/>
        <v>5.8287190529275721</v>
      </c>
      <c r="W133" s="324">
        <f t="shared" si="296"/>
        <v>6.8130156331922018</v>
      </c>
      <c r="X133" s="739">
        <f t="shared" si="296"/>
        <v>5.9858020148704538</v>
      </c>
      <c r="Y133" s="322">
        <f t="shared" si="296"/>
        <v>5.4672376426879143</v>
      </c>
      <c r="Z133" s="323">
        <f t="shared" ref="Z133:AF133" si="297">Z120/Z129*1000</f>
        <v>6.1683982915410969</v>
      </c>
      <c r="AA133" s="716">
        <f t="shared" si="297"/>
        <v>6.0279244294132708</v>
      </c>
      <c r="AB133" s="324">
        <f t="shared" si="297"/>
        <v>7.3104917733014698</v>
      </c>
      <c r="AC133" s="739">
        <f t="shared" si="297"/>
        <v>6.1576457840614296</v>
      </c>
      <c r="AD133" s="322">
        <f t="shared" si="297"/>
        <v>6.9299674608628656</v>
      </c>
      <c r="AE133" s="323">
        <f t="shared" si="297"/>
        <v>6.6610562034554546</v>
      </c>
      <c r="AF133" s="716">
        <f t="shared" si="297"/>
        <v>6.561484167727853</v>
      </c>
      <c r="AG133" s="324">
        <f t="shared" ref="AG133:AM133" si="298">AG120/AG129*1000</f>
        <v>9.6755688425148456</v>
      </c>
      <c r="AH133" s="739">
        <f t="shared" si="298"/>
        <v>7.4927316957398844</v>
      </c>
      <c r="AI133" s="322">
        <f t="shared" si="298"/>
        <v>6.2326541044204227</v>
      </c>
      <c r="AJ133" s="323">
        <f t="shared" si="298"/>
        <v>6.2957565581481312</v>
      </c>
      <c r="AK133" s="716">
        <f t="shared" si="298"/>
        <v>5.6955061273939345</v>
      </c>
      <c r="AL133" s="324">
        <f t="shared" si="298"/>
        <v>6.5676149265354322</v>
      </c>
      <c r="AM133" s="739">
        <f t="shared" si="298"/>
        <v>6.2638315963644304</v>
      </c>
      <c r="AN133" s="322">
        <f t="shared" ref="AN133:AR133" si="299">AN120/AN129*1000</f>
        <v>4.9536317055906034</v>
      </c>
      <c r="AO133" s="323">
        <f t="shared" si="299"/>
        <v>5.1692489569139015</v>
      </c>
      <c r="AP133" s="716">
        <f t="shared" si="299"/>
        <v>6.2385458138941656</v>
      </c>
      <c r="AQ133" s="324">
        <f t="shared" si="299"/>
        <v>6.3736669503168439</v>
      </c>
      <c r="AR133" s="739">
        <f t="shared" si="299"/>
        <v>5.5244134507416813</v>
      </c>
      <c r="AS133" s="322">
        <f t="shared" ref="AS133:AW133" si="300">AS120/AS129*1000</f>
        <v>5.4216574498893459</v>
      </c>
      <c r="AT133" s="323">
        <f t="shared" si="300"/>
        <v>6.0465193373941597</v>
      </c>
      <c r="AU133" s="716">
        <f t="shared" si="300"/>
        <v>5.9489668400431963</v>
      </c>
      <c r="AV133" s="324">
        <f t="shared" si="300"/>
        <v>6.0096268702734008</v>
      </c>
      <c r="AW133" s="739">
        <f t="shared" si="300"/>
        <v>5.7491812669556097</v>
      </c>
      <c r="AX133" s="322">
        <f>AS133+(AX135/AX129)*1000</f>
        <v>5.4216574498893459</v>
      </c>
      <c r="AY133" s="323">
        <f>AT133+(AY135/AY129)*1000</f>
        <v>6.0465193373941597</v>
      </c>
      <c r="AZ133" s="323">
        <f>AU133+(AZ135/AZ129)*1000</f>
        <v>5.9489668400431963</v>
      </c>
      <c r="BA133" s="324">
        <f>AV133+(BA135/BA129)*1000</f>
        <v>6.0096268702734008</v>
      </c>
      <c r="BB133" s="325">
        <f>BB120/BB129*1000</f>
        <v>5.7429918535446243</v>
      </c>
      <c r="BC133" s="322">
        <f>AX133+(BC135/BC129)*1000</f>
        <v>5.4216574498893459</v>
      </c>
      <c r="BD133" s="323">
        <f>AY133+(BD135/BD129)*1000</f>
        <v>6.0465193373941597</v>
      </c>
      <c r="BE133" s="323">
        <f>AZ133+(BE135/BE129)*1000</f>
        <v>5.9489668400431963</v>
      </c>
      <c r="BF133" s="324">
        <f>BA133+(BF135/BF129)*1000</f>
        <v>6.0096268702734008</v>
      </c>
      <c r="BG133" s="325">
        <f>BG120/BG129*1000</f>
        <v>5.7429918535446243</v>
      </c>
      <c r="BH133" s="322">
        <f>BC133+(BH135/BH129)*1000</f>
        <v>5.4216574498893459</v>
      </c>
      <c r="BI133" s="323">
        <f>BD133+(BI135/BI129)*1000</f>
        <v>6.0465193373941597</v>
      </c>
      <c r="BJ133" s="323">
        <f>BE133+(BJ135/BJ129)*1000</f>
        <v>5.9489668400431963</v>
      </c>
      <c r="BK133" s="324">
        <f>BF133+(BK135/BK129)*1000</f>
        <v>6.0096268702734008</v>
      </c>
      <c r="BL133" s="325">
        <f>BL120/BL129*1000</f>
        <v>5.7429918535446243</v>
      </c>
      <c r="BM133" s="322">
        <f>BH133+(BM135/BM129)*1000</f>
        <v>5.4216574498893459</v>
      </c>
      <c r="BN133" s="323">
        <f>BI133+(BN135/BN129)*1000</f>
        <v>6.0465193373941597</v>
      </c>
      <c r="BO133" s="323">
        <f>BJ133+(BO135/BO129)*1000</f>
        <v>5.9489668400431963</v>
      </c>
      <c r="BP133" s="324">
        <f>BK133+(BP135/BP129)*1000</f>
        <v>6.0096268702734008</v>
      </c>
      <c r="BQ133" s="325">
        <f>BQ120/BQ129*1000</f>
        <v>5.7429918535446234</v>
      </c>
    </row>
    <row r="134" spans="1:104" x14ac:dyDescent="0.2">
      <c r="C134" s="70"/>
      <c r="E134" s="273"/>
      <c r="F134" s="274"/>
      <c r="G134" s="274"/>
      <c r="H134" s="275"/>
      <c r="I134" s="169"/>
      <c r="J134" s="273"/>
      <c r="K134" s="274"/>
      <c r="L134" s="274"/>
      <c r="M134" s="275"/>
      <c r="N134" s="169"/>
      <c r="O134" s="273"/>
      <c r="P134" s="274"/>
      <c r="Q134" s="611"/>
      <c r="R134" s="275"/>
      <c r="S134" s="732"/>
      <c r="T134" s="273"/>
      <c r="U134" s="611"/>
      <c r="V134" s="611"/>
      <c r="W134" s="275"/>
      <c r="X134" s="732"/>
      <c r="Y134" s="273"/>
      <c r="Z134" s="611"/>
      <c r="AA134" s="611"/>
      <c r="AB134" s="275"/>
      <c r="AC134" s="732"/>
      <c r="AD134" s="273"/>
      <c r="AE134" s="611"/>
      <c r="AF134" s="611"/>
      <c r="AG134" s="275"/>
      <c r="AH134" s="732"/>
      <c r="AI134" s="273"/>
      <c r="AJ134" s="611"/>
      <c r="AK134" s="611"/>
      <c r="AL134" s="275"/>
      <c r="AM134" s="169"/>
      <c r="AN134" s="273"/>
      <c r="AO134" s="611"/>
      <c r="AP134" s="611"/>
      <c r="AQ134" s="275"/>
      <c r="AR134" s="169"/>
      <c r="AS134" s="273"/>
      <c r="AT134" s="611"/>
      <c r="AU134" s="611"/>
      <c r="AV134" s="275"/>
      <c r="AW134" s="169"/>
      <c r="AX134" s="273"/>
      <c r="AY134" s="274"/>
      <c r="AZ134" s="274"/>
      <c r="BA134" s="275"/>
      <c r="BB134" s="169"/>
      <c r="BC134" s="273"/>
      <c r="BD134" s="274"/>
      <c r="BE134" s="274"/>
      <c r="BF134" s="275"/>
      <c r="BG134" s="169"/>
      <c r="BH134" s="273"/>
      <c r="BI134" s="274"/>
      <c r="BJ134" s="274"/>
      <c r="BK134" s="275"/>
      <c r="BL134" s="169"/>
      <c r="BM134" s="273"/>
      <c r="BN134" s="274"/>
      <c r="BO134" s="274"/>
      <c r="BP134" s="275"/>
      <c r="BQ134" s="169"/>
    </row>
    <row r="135" spans="1:104" x14ac:dyDescent="0.2">
      <c r="C135" s="20" t="s">
        <v>281</v>
      </c>
      <c r="E135" s="160"/>
      <c r="F135" s="164"/>
      <c r="G135" s="164"/>
      <c r="H135" s="162"/>
      <c r="I135" s="522"/>
      <c r="J135" s="160"/>
      <c r="K135" s="164"/>
      <c r="L135" s="164"/>
      <c r="M135" s="162"/>
      <c r="N135" s="522"/>
      <c r="O135" s="136"/>
      <c r="P135" s="135"/>
      <c r="Q135" s="137"/>
      <c r="R135" s="116"/>
      <c r="S135" s="220"/>
      <c r="T135" s="136"/>
      <c r="U135" s="137"/>
      <c r="V135" s="137"/>
      <c r="W135" s="116"/>
      <c r="X135" s="220"/>
      <c r="Y135" s="136"/>
      <c r="Z135" s="137"/>
      <c r="AA135" s="137"/>
      <c r="AB135" s="116"/>
      <c r="AC135" s="220"/>
      <c r="AD135" s="136"/>
      <c r="AE135" s="137"/>
      <c r="AF135" s="137"/>
      <c r="AG135" s="116"/>
      <c r="AH135" s="220"/>
      <c r="AI135" s="136"/>
      <c r="AJ135" s="137"/>
      <c r="AK135" s="137"/>
      <c r="AL135" s="116"/>
      <c r="AM135" s="82"/>
      <c r="AN135" s="136"/>
      <c r="AO135" s="137"/>
      <c r="AP135" s="137"/>
      <c r="AQ135" s="116"/>
      <c r="AR135" s="82"/>
      <c r="AS135" s="136"/>
      <c r="AT135" s="137"/>
      <c r="AU135" s="137"/>
      <c r="AV135" s="116"/>
      <c r="AW135" s="82"/>
      <c r="AX135" s="136">
        <f>+AX67</f>
        <v>0</v>
      </c>
      <c r="AY135" s="135">
        <f>+AY67</f>
        <v>0</v>
      </c>
      <c r="AZ135" s="135">
        <f>+AZ67</f>
        <v>0</v>
      </c>
      <c r="BA135" s="116">
        <f>+BA67</f>
        <v>0</v>
      </c>
      <c r="BB135" s="82">
        <f>SUM(AX135:BA135)</f>
        <v>0</v>
      </c>
      <c r="BC135" s="136">
        <f>+BC67</f>
        <v>0</v>
      </c>
      <c r="BD135" s="135">
        <f>+BD67</f>
        <v>0</v>
      </c>
      <c r="BE135" s="135">
        <f>+BE67</f>
        <v>0</v>
      </c>
      <c r="BF135" s="116">
        <f>+BF67</f>
        <v>0</v>
      </c>
      <c r="BG135" s="82">
        <f>SUM(BC135:BF135)</f>
        <v>0</v>
      </c>
      <c r="BH135" s="136">
        <f>+BH67</f>
        <v>0</v>
      </c>
      <c r="BI135" s="135">
        <f>+BI67</f>
        <v>0</v>
      </c>
      <c r="BJ135" s="135">
        <f>+BJ67</f>
        <v>0</v>
      </c>
      <c r="BK135" s="116">
        <f>+BK67</f>
        <v>0</v>
      </c>
      <c r="BL135" s="82">
        <f>SUM(BH135:BK135)</f>
        <v>0</v>
      </c>
      <c r="BM135" s="136">
        <f>+BM67</f>
        <v>0</v>
      </c>
      <c r="BN135" s="135">
        <f>+BN67</f>
        <v>0</v>
      </c>
      <c r="BO135" s="135">
        <f>+BO67</f>
        <v>0</v>
      </c>
      <c r="BP135" s="116">
        <f>+BP67</f>
        <v>0</v>
      </c>
      <c r="BQ135" s="82">
        <f>SUM(BM135:BP135)</f>
        <v>0</v>
      </c>
    </row>
    <row r="136" spans="1:104" x14ac:dyDescent="0.2">
      <c r="C136" s="26"/>
      <c r="E136" s="273"/>
      <c r="F136" s="274"/>
      <c r="G136" s="274"/>
      <c r="H136" s="275"/>
      <c r="I136" s="169"/>
      <c r="J136" s="273"/>
      <c r="K136" s="274"/>
      <c r="L136" s="274"/>
      <c r="M136" s="275"/>
      <c r="N136" s="169"/>
      <c r="O136" s="273"/>
      <c r="P136" s="274"/>
      <c r="Q136" s="611"/>
      <c r="R136" s="275"/>
      <c r="S136" s="732"/>
      <c r="T136" s="273"/>
      <c r="U136" s="611"/>
      <c r="V136" s="611"/>
      <c r="W136" s="275"/>
      <c r="X136" s="732"/>
      <c r="Y136" s="273"/>
      <c r="Z136" s="611"/>
      <c r="AA136" s="611"/>
      <c r="AB136" s="275"/>
      <c r="AC136" s="732"/>
      <c r="AD136" s="273"/>
      <c r="AE136" s="611"/>
      <c r="AF136" s="611"/>
      <c r="AG136" s="275"/>
      <c r="AH136" s="732"/>
      <c r="AI136" s="273"/>
      <c r="AJ136" s="611"/>
      <c r="AK136" s="611"/>
      <c r="AL136" s="275"/>
      <c r="AM136" s="169"/>
      <c r="AN136" s="273"/>
      <c r="AO136" s="611"/>
      <c r="AP136" s="611"/>
      <c r="AQ136" s="275"/>
      <c r="AR136" s="169"/>
      <c r="AS136" s="273"/>
      <c r="AT136" s="611"/>
      <c r="AU136" s="611"/>
      <c r="AV136" s="275"/>
      <c r="AW136" s="169"/>
      <c r="AX136" s="273"/>
      <c r="AY136" s="274"/>
      <c r="AZ136" s="274"/>
      <c r="BA136" s="275"/>
      <c r="BB136" s="169"/>
      <c r="BC136" s="273"/>
      <c r="BD136" s="274"/>
      <c r="BE136" s="274"/>
      <c r="BF136" s="275"/>
      <c r="BG136" s="169"/>
      <c r="BH136" s="273"/>
      <c r="BI136" s="274"/>
      <c r="BJ136" s="274"/>
      <c r="BK136" s="275"/>
      <c r="BL136" s="169"/>
      <c r="BM136" s="273"/>
      <c r="BN136" s="274"/>
      <c r="BO136" s="274"/>
      <c r="BP136" s="275"/>
      <c r="BQ136" s="169"/>
    </row>
    <row r="137" spans="1:104" x14ac:dyDescent="0.2">
      <c r="C137" s="26" t="s">
        <v>431</v>
      </c>
      <c r="E137" s="273"/>
      <c r="F137" s="274"/>
      <c r="G137" s="274"/>
      <c r="H137" s="275"/>
      <c r="I137" s="169"/>
      <c r="J137" s="273"/>
      <c r="K137" s="274"/>
      <c r="L137" s="274"/>
      <c r="M137" s="275"/>
      <c r="N137" s="169"/>
      <c r="O137" s="273"/>
      <c r="P137" s="274"/>
      <c r="Q137" s="611"/>
      <c r="R137" s="275"/>
      <c r="S137" s="732"/>
      <c r="T137" s="273"/>
      <c r="U137" s="611"/>
      <c r="V137" s="611"/>
      <c r="W137" s="275"/>
      <c r="X137" s="732"/>
      <c r="Y137" s="273"/>
      <c r="Z137" s="611"/>
      <c r="AA137" s="611"/>
      <c r="AB137" s="275"/>
      <c r="AC137" s="732"/>
      <c r="AD137" s="273"/>
      <c r="AE137" s="611"/>
      <c r="AF137" s="611"/>
      <c r="AG137" s="275"/>
      <c r="AH137" s="169"/>
      <c r="AI137" s="273"/>
      <c r="AJ137" s="611"/>
      <c r="AK137" s="611"/>
      <c r="AL137" s="275"/>
      <c r="AM137" s="169"/>
      <c r="AN137" s="273"/>
      <c r="AO137" s="611"/>
      <c r="AP137" s="611"/>
      <c r="AQ137" s="275"/>
      <c r="AR137" s="169"/>
      <c r="AS137" s="273"/>
      <c r="AT137" s="611"/>
      <c r="AU137" s="611"/>
      <c r="AV137" s="275"/>
      <c r="AW137" s="169"/>
      <c r="AX137" s="273"/>
      <c r="AY137" s="274"/>
      <c r="AZ137" s="274"/>
      <c r="BA137" s="275"/>
      <c r="BB137" s="169"/>
      <c r="BC137" s="273"/>
      <c r="BD137" s="274"/>
      <c r="BE137" s="274"/>
      <c r="BF137" s="275"/>
      <c r="BG137" s="169"/>
      <c r="BH137" s="273"/>
      <c r="BI137" s="274"/>
      <c r="BJ137" s="274"/>
      <c r="BK137" s="275"/>
      <c r="BL137" s="169"/>
      <c r="BM137" s="273"/>
      <c r="BN137" s="274"/>
      <c r="BO137" s="274"/>
      <c r="BP137" s="275"/>
      <c r="BQ137" s="169"/>
    </row>
    <row r="138" spans="1:104" s="20" customFormat="1" x14ac:dyDescent="0.2">
      <c r="C138" s="20" t="s">
        <v>282</v>
      </c>
      <c r="E138" s="136">
        <f>E14</f>
        <v>261.197</v>
      </c>
      <c r="F138" s="135">
        <f t="shared" ref="F138:P138" si="301">F14</f>
        <v>43.53</v>
      </c>
      <c r="G138" s="135">
        <f t="shared" si="301"/>
        <v>24.643000000000001</v>
      </c>
      <c r="H138" s="116">
        <f t="shared" si="301"/>
        <v>134.673</v>
      </c>
      <c r="I138" s="82">
        <f t="shared" si="301"/>
        <v>464.04300000000001</v>
      </c>
      <c r="J138" s="136">
        <f t="shared" si="301"/>
        <v>204.32599999999999</v>
      </c>
      <c r="K138" s="135">
        <f t="shared" si="301"/>
        <v>36.22</v>
      </c>
      <c r="L138" s="135">
        <f t="shared" si="301"/>
        <v>28.81</v>
      </c>
      <c r="M138" s="116">
        <f t="shared" si="301"/>
        <v>130.16800000000001</v>
      </c>
      <c r="N138" s="82">
        <f>N14</f>
        <v>399.524</v>
      </c>
      <c r="O138" s="136">
        <f t="shared" si="301"/>
        <v>201.24199999999999</v>
      </c>
      <c r="P138" s="135">
        <f t="shared" si="301"/>
        <v>56.97</v>
      </c>
      <c r="Q138" s="137">
        <f t="shared" ref="Q138:Y138" si="302">Q14</f>
        <v>28.532</v>
      </c>
      <c r="R138" s="116">
        <f t="shared" si="302"/>
        <v>106.92800000000005</v>
      </c>
      <c r="S138" s="220">
        <f t="shared" si="302"/>
        <v>393.67200000000003</v>
      </c>
      <c r="T138" s="136">
        <f t="shared" si="302"/>
        <v>134.19</v>
      </c>
      <c r="U138" s="137">
        <f t="shared" si="302"/>
        <v>25.545000000000002</v>
      </c>
      <c r="V138" s="137">
        <f t="shared" si="302"/>
        <v>19.420000000000002</v>
      </c>
      <c r="W138" s="116">
        <f t="shared" si="302"/>
        <v>107.99699999999996</v>
      </c>
      <c r="X138" s="220">
        <f t="shared" si="302"/>
        <v>287.15199999999999</v>
      </c>
      <c r="Y138" s="136">
        <f t="shared" si="302"/>
        <v>158.77000000000001</v>
      </c>
      <c r="Z138" s="137">
        <f t="shared" ref="Z138:AF138" si="303">Z14</f>
        <v>64.766999999999996</v>
      </c>
      <c r="AA138" s="137">
        <f t="shared" si="303"/>
        <v>23.481000000000002</v>
      </c>
      <c r="AB138" s="116">
        <f t="shared" si="303"/>
        <v>133.04</v>
      </c>
      <c r="AC138" s="220">
        <f t="shared" si="303"/>
        <v>380.05799999999999</v>
      </c>
      <c r="AD138" s="136">
        <f t="shared" si="303"/>
        <v>262.88099999999997</v>
      </c>
      <c r="AE138" s="137">
        <f t="shared" si="303"/>
        <v>74.427000000000007</v>
      </c>
      <c r="AF138" s="137">
        <f t="shared" si="303"/>
        <v>31.416</v>
      </c>
      <c r="AG138" s="116">
        <f t="shared" ref="AG138:AM138" si="304">AG14</f>
        <v>163.75100000000003</v>
      </c>
      <c r="AH138" s="220">
        <f t="shared" si="304"/>
        <v>532.47500000000002</v>
      </c>
      <c r="AI138" s="136">
        <f t="shared" si="304"/>
        <v>201.18899999999999</v>
      </c>
      <c r="AJ138" s="137">
        <f t="shared" si="304"/>
        <v>37.418999999999997</v>
      </c>
      <c r="AK138" s="137">
        <f t="shared" si="304"/>
        <v>16.742000000000001</v>
      </c>
      <c r="AL138" s="116">
        <f t="shared" si="304"/>
        <v>76.632000000000033</v>
      </c>
      <c r="AM138" s="220">
        <f t="shared" si="304"/>
        <v>331.98200000000003</v>
      </c>
      <c r="AN138" s="136">
        <f t="shared" ref="AN138:AS138" si="305">AN14</f>
        <v>120.223</v>
      </c>
      <c r="AO138" s="137">
        <f t="shared" si="305"/>
        <v>24.28</v>
      </c>
      <c r="AP138" s="137">
        <f t="shared" si="305"/>
        <v>19.105</v>
      </c>
      <c r="AQ138" s="116">
        <f t="shared" si="305"/>
        <v>89.234000000000037</v>
      </c>
      <c r="AR138" s="220">
        <f t="shared" si="305"/>
        <v>252.84200000000001</v>
      </c>
      <c r="AS138" s="136">
        <f t="shared" si="305"/>
        <v>142.745</v>
      </c>
      <c r="AT138" s="137">
        <f>AT14</f>
        <v>35.5</v>
      </c>
      <c r="AU138" s="137">
        <f>AU14</f>
        <v>20.722999999999999</v>
      </c>
      <c r="AV138" s="116">
        <f t="shared" ref="AV138:AW138" si="306">AV14</f>
        <v>102.81599999999997</v>
      </c>
      <c r="AW138" s="220">
        <f t="shared" si="306"/>
        <v>301.78399999999999</v>
      </c>
      <c r="AX138" s="136">
        <f>+AX139*AX129/1000</f>
        <v>149.66813250000001</v>
      </c>
      <c r="AY138" s="135">
        <f>+AY139*AY129/1000</f>
        <v>35.588749999999997</v>
      </c>
      <c r="AZ138" s="135">
        <f>+AZ139*AZ129/1000</f>
        <v>20.671192500000004</v>
      </c>
      <c r="BA138" s="116">
        <f>+BA139*BA129/1000</f>
        <v>103.58712</v>
      </c>
      <c r="BB138" s="82">
        <f>SUM(AX138:BA138)</f>
        <v>309.51519500000006</v>
      </c>
      <c r="BC138" s="136">
        <f>+BC139*BC129/1000</f>
        <v>149.29396216875</v>
      </c>
      <c r="BD138" s="135">
        <f>+BD139*BD129/1000</f>
        <v>35.499778124999999</v>
      </c>
      <c r="BE138" s="135">
        <f>+BE139*BE129/1000</f>
        <v>20.619514518750005</v>
      </c>
      <c r="BF138" s="116">
        <f>+BF139*BF129/1000</f>
        <v>103.32815219999996</v>
      </c>
      <c r="BG138" s="82">
        <f>SUM(BC138:BF138)</f>
        <v>308.74140701249996</v>
      </c>
      <c r="BH138" s="136">
        <f>+BH139*BH129/1000</f>
        <v>148.92072726332813</v>
      </c>
      <c r="BI138" s="135">
        <f>+BI139*BI129/1000</f>
        <v>35.411028679687497</v>
      </c>
      <c r="BJ138" s="135">
        <f>+BJ139*BJ129/1000</f>
        <v>20.567965732453132</v>
      </c>
      <c r="BK138" s="116">
        <f>+BK139*BK129/1000</f>
        <v>103.06983181950001</v>
      </c>
      <c r="BL138" s="82">
        <f>SUM(BH138:BK138)</f>
        <v>307.96955349496875</v>
      </c>
      <c r="BM138" s="136">
        <f>+BM139*BM129/1000</f>
        <v>148.54842544516981</v>
      </c>
      <c r="BN138" s="135">
        <f>+BN139*BN129/1000</f>
        <v>35.32250110798828</v>
      </c>
      <c r="BO138" s="135">
        <f>+BO139*BO129/1000</f>
        <v>20.516545818121998</v>
      </c>
      <c r="BP138" s="116">
        <f>+BP139*BP129/1000</f>
        <v>102.81215723995125</v>
      </c>
      <c r="BQ138" s="82">
        <f>SUM(BM138:BP138)</f>
        <v>307.19962961123133</v>
      </c>
    </row>
    <row r="139" spans="1:104" x14ac:dyDescent="0.2">
      <c r="C139" s="20" t="s">
        <v>283</v>
      </c>
      <c r="E139" s="322">
        <f t="shared" ref="E139:P139" si="307">+E138/E129*1000</f>
        <v>5.4809581337442772</v>
      </c>
      <c r="F139" s="323">
        <f t="shared" si="307"/>
        <v>4.036227528448201</v>
      </c>
      <c r="G139" s="323">
        <f t="shared" si="307"/>
        <v>3.5273112873318508</v>
      </c>
      <c r="H139" s="324">
        <f t="shared" si="307"/>
        <v>4.9424038106470345</v>
      </c>
      <c r="I139" s="325">
        <f t="shared" si="307"/>
        <v>5.0072079848934452</v>
      </c>
      <c r="J139" s="322">
        <f t="shared" si="307"/>
        <v>4.7433798612192133</v>
      </c>
      <c r="K139" s="323">
        <f t="shared" si="307"/>
        <v>3.3570080732926022</v>
      </c>
      <c r="L139" s="323">
        <f t="shared" si="307"/>
        <v>3.1843730112401767</v>
      </c>
      <c r="M139" s="324">
        <f t="shared" si="307"/>
        <v>4.3047410508635418</v>
      </c>
      <c r="N139" s="325">
        <f t="shared" si="307"/>
        <v>4.2889931401702617</v>
      </c>
      <c r="O139" s="322">
        <f t="shared" si="307"/>
        <v>4.8543389727549453</v>
      </c>
      <c r="P139" s="323">
        <f t="shared" si="307"/>
        <v>4.0228557681364405</v>
      </c>
      <c r="Q139" s="716">
        <f t="shared" ref="Q139:Y139" si="308">+Q138/Q129*1000</f>
        <v>3.31454801627345</v>
      </c>
      <c r="R139" s="324">
        <f t="shared" si="308"/>
        <v>4.430926539692984</v>
      </c>
      <c r="S139" s="739">
        <f t="shared" si="308"/>
        <v>4.4554199959256664</v>
      </c>
      <c r="T139" s="322">
        <f t="shared" si="308"/>
        <v>3.7947449897332546</v>
      </c>
      <c r="U139" s="716">
        <f t="shared" si="308"/>
        <v>2.4343103278081428</v>
      </c>
      <c r="V139" s="716">
        <f t="shared" si="308"/>
        <v>2.285726020917036</v>
      </c>
      <c r="W139" s="324">
        <f t="shared" si="308"/>
        <v>4.4148880915508109</v>
      </c>
      <c r="X139" s="739">
        <f t="shared" si="308"/>
        <v>3.6434136067196179</v>
      </c>
      <c r="Y139" s="322">
        <f t="shared" si="308"/>
        <v>3.6892688920274059</v>
      </c>
      <c r="Z139" s="716">
        <f t="shared" ref="Z139:AF139" si="309">+Z138/Z129*1000</f>
        <v>3.7180542958952665</v>
      </c>
      <c r="AA139" s="716">
        <f t="shared" si="309"/>
        <v>2.6346082482140765</v>
      </c>
      <c r="AB139" s="324">
        <f t="shared" si="309"/>
        <v>4.9990122407945625</v>
      </c>
      <c r="AC139" s="739">
        <f t="shared" si="309"/>
        <v>3.9597211948198079</v>
      </c>
      <c r="AD139" s="322">
        <f t="shared" si="309"/>
        <v>5.2119885334650071</v>
      </c>
      <c r="AE139" s="716">
        <f t="shared" si="309"/>
        <v>4.259822737857375</v>
      </c>
      <c r="AF139" s="716">
        <f t="shared" si="309"/>
        <v>3.3066874125882388</v>
      </c>
      <c r="AG139" s="324">
        <f t="shared" ref="AG139:AM139" si="310">+AG138/AG129*1000</f>
        <v>6.9053493614128483</v>
      </c>
      <c r="AH139" s="739">
        <f t="shared" si="310"/>
        <v>5.2655650488509158</v>
      </c>
      <c r="AI139" s="322">
        <f t="shared" si="310"/>
        <v>4.4869034505477945</v>
      </c>
      <c r="AJ139" s="716">
        <f t="shared" si="310"/>
        <v>3.1311010865288598</v>
      </c>
      <c r="AK139" s="716">
        <f t="shared" si="310"/>
        <v>1.7871980279797064</v>
      </c>
      <c r="AL139" s="324">
        <f t="shared" si="310"/>
        <v>3.6716357253347698</v>
      </c>
      <c r="AM139" s="739">
        <f t="shared" si="310"/>
        <v>3.8146135196313877</v>
      </c>
      <c r="AN139" s="322">
        <f t="shared" ref="AN139:AS139" si="311">+AN138/AN129*1000</f>
        <v>3.0677405065740437</v>
      </c>
      <c r="AO139" s="716">
        <f t="shared" si="311"/>
        <v>1.9497811852211329</v>
      </c>
      <c r="AP139" s="716">
        <f t="shared" si="311"/>
        <v>2.1467861051972843</v>
      </c>
      <c r="AQ139" s="324">
        <f t="shared" si="311"/>
        <v>3.7082654485768263</v>
      </c>
      <c r="AR139" s="739">
        <f t="shared" si="311"/>
        <v>2.9884994976656225</v>
      </c>
      <c r="AS139" s="322">
        <f t="shared" si="311"/>
        <v>3.4989781885789362</v>
      </c>
      <c r="AT139" s="716">
        <f>+AT138/AT129*1000</f>
        <v>2.7517298217764359</v>
      </c>
      <c r="AU139" s="716">
        <f>+AU138/AU129*1000</f>
        <v>2.1461724840049992</v>
      </c>
      <c r="AV139" s="324">
        <f t="shared" ref="AV139:AW139" si="312">+AV138/AV129*1000</f>
        <v>3.5249547678064785</v>
      </c>
      <c r="AW139" s="739">
        <f t="shared" si="312"/>
        <v>3.2617892154213637</v>
      </c>
      <c r="AX139" s="322">
        <f>+AS139</f>
        <v>3.4989781885789362</v>
      </c>
      <c r="AY139" s="323">
        <f>+AT139</f>
        <v>2.7517298217764359</v>
      </c>
      <c r="AZ139" s="323">
        <f>+AU139</f>
        <v>2.1461724840049992</v>
      </c>
      <c r="BA139" s="324">
        <f>+AV139</f>
        <v>3.5249547678064785</v>
      </c>
      <c r="BB139" s="325">
        <f>+BB138/BB126*1000</f>
        <v>3.8054618870217682</v>
      </c>
      <c r="BC139" s="322">
        <f>+AX139</f>
        <v>3.4989781885789362</v>
      </c>
      <c r="BD139" s="323">
        <f>+AY139</f>
        <v>2.7517298217764359</v>
      </c>
      <c r="BE139" s="323">
        <f>+AZ139</f>
        <v>2.1461724840049992</v>
      </c>
      <c r="BF139" s="324">
        <f>+BA139</f>
        <v>3.5249547678064785</v>
      </c>
      <c r="BG139" s="325">
        <f>+BG138/BG126*1000</f>
        <v>3.8054618870217678</v>
      </c>
      <c r="BH139" s="322">
        <f>+BC139</f>
        <v>3.4989781885789362</v>
      </c>
      <c r="BI139" s="323">
        <f>+BD139</f>
        <v>2.7517298217764359</v>
      </c>
      <c r="BJ139" s="323">
        <f>+BE139</f>
        <v>2.1461724840049992</v>
      </c>
      <c r="BK139" s="324">
        <f>+BF139</f>
        <v>3.5249547678064785</v>
      </c>
      <c r="BL139" s="325">
        <f>+BL138/BL126*1000</f>
        <v>3.8054618870217678</v>
      </c>
      <c r="BM139" s="322">
        <f>+BH139</f>
        <v>3.4989781885789362</v>
      </c>
      <c r="BN139" s="323">
        <f>+BI139</f>
        <v>2.7517298217764359</v>
      </c>
      <c r="BO139" s="323">
        <f>+BJ139</f>
        <v>2.1461724840049992</v>
      </c>
      <c r="BP139" s="324">
        <f>+BK139</f>
        <v>3.5249547678064785</v>
      </c>
      <c r="BQ139" s="325">
        <f>+BQ138/BQ126*1000</f>
        <v>3.8054618870217674</v>
      </c>
    </row>
    <row r="140" spans="1:104" x14ac:dyDescent="0.2">
      <c r="C140" s="26"/>
      <c r="E140" s="273"/>
      <c r="F140" s="274"/>
      <c r="G140" s="274"/>
      <c r="H140" s="275"/>
      <c r="I140" s="169"/>
      <c r="J140" s="273"/>
      <c r="K140" s="274"/>
      <c r="L140" s="274"/>
      <c r="M140" s="275"/>
      <c r="N140" s="169"/>
      <c r="O140" s="273"/>
      <c r="P140" s="274"/>
      <c r="Q140" s="611"/>
      <c r="R140" s="275"/>
      <c r="S140" s="732"/>
      <c r="T140" s="273"/>
      <c r="U140" s="611"/>
      <c r="V140" s="611"/>
      <c r="W140" s="275"/>
      <c r="X140" s="732"/>
      <c r="Y140" s="273"/>
      <c r="Z140" s="611"/>
      <c r="AA140" s="611"/>
      <c r="AB140" s="275"/>
      <c r="AC140" s="732"/>
      <c r="AD140" s="273"/>
      <c r="AE140" s="611"/>
      <c r="AF140" s="611"/>
      <c r="AG140" s="275"/>
      <c r="AH140" s="732"/>
      <c r="AI140" s="273"/>
      <c r="AJ140" s="611"/>
      <c r="AK140" s="611"/>
      <c r="AL140" s="275"/>
      <c r="AM140" s="732"/>
      <c r="AN140" s="273"/>
      <c r="AO140" s="611"/>
      <c r="AP140" s="611"/>
      <c r="AQ140" s="275"/>
      <c r="AR140" s="732"/>
      <c r="AS140" s="273"/>
      <c r="AT140" s="611"/>
      <c r="AU140" s="611"/>
      <c r="AV140" s="275"/>
      <c r="AW140" s="169"/>
      <c r="AX140" s="273"/>
      <c r="AY140" s="274"/>
      <c r="AZ140" s="274"/>
      <c r="BA140" s="275"/>
      <c r="BB140" s="169"/>
      <c r="BC140" s="273"/>
      <c r="BD140" s="274"/>
      <c r="BE140" s="274"/>
      <c r="BF140" s="275"/>
      <c r="BG140" s="169"/>
      <c r="BH140" s="273"/>
      <c r="BI140" s="274"/>
      <c r="BJ140" s="274"/>
      <c r="BK140" s="275"/>
      <c r="BL140" s="169"/>
      <c r="BM140" s="273"/>
      <c r="BN140" s="274"/>
      <c r="BO140" s="274"/>
      <c r="BP140" s="275"/>
      <c r="BQ140" s="169"/>
    </row>
    <row r="141" spans="1:104" x14ac:dyDescent="0.2">
      <c r="C141" s="26" t="s">
        <v>284</v>
      </c>
      <c r="E141" s="121">
        <f t="shared" ref="E141:Q141" si="313">+E120-E138</f>
        <v>68.069999999999993</v>
      </c>
      <c r="F141" s="122">
        <f t="shared" si="313"/>
        <v>30.986000000000004</v>
      </c>
      <c r="G141" s="122">
        <f t="shared" si="313"/>
        <v>23.628</v>
      </c>
      <c r="H141" s="123">
        <f t="shared" si="313"/>
        <v>53.595999999999947</v>
      </c>
      <c r="I141" s="86">
        <f t="shared" si="313"/>
        <v>176.27999999999997</v>
      </c>
      <c r="J141" s="121">
        <f t="shared" si="313"/>
        <v>68.066999999999979</v>
      </c>
      <c r="K141" s="122">
        <f t="shared" si="313"/>
        <v>32.007000000000005</v>
      </c>
      <c r="L141" s="122">
        <f t="shared" si="313"/>
        <v>28.401</v>
      </c>
      <c r="M141" s="123">
        <f t="shared" si="313"/>
        <v>61.044999999999959</v>
      </c>
      <c r="N141" s="86">
        <f t="shared" si="313"/>
        <v>189.51999999999998</v>
      </c>
      <c r="O141" s="326">
        <f t="shared" si="313"/>
        <v>82.484000000000009</v>
      </c>
      <c r="P141" s="327">
        <f t="shared" si="313"/>
        <v>39.951999999999998</v>
      </c>
      <c r="Q141" s="717">
        <f t="shared" si="313"/>
        <v>30.382000000000001</v>
      </c>
      <c r="R141" s="123">
        <f t="shared" ref="R141:Y141" si="314">+R120-R138</f>
        <v>58.23299999999989</v>
      </c>
      <c r="S141" s="85">
        <f t="shared" si="314"/>
        <v>211.05099999999993</v>
      </c>
      <c r="T141" s="326">
        <f t="shared" si="314"/>
        <v>62.324000000000012</v>
      </c>
      <c r="U141" s="717">
        <f t="shared" si="314"/>
        <v>33.524000000000001</v>
      </c>
      <c r="V141" s="717">
        <f t="shared" si="314"/>
        <v>30.101999999999997</v>
      </c>
      <c r="W141" s="123">
        <f t="shared" si="314"/>
        <v>58.663000000000011</v>
      </c>
      <c r="X141" s="85">
        <f t="shared" si="314"/>
        <v>184.613</v>
      </c>
      <c r="Y141" s="326">
        <f t="shared" si="314"/>
        <v>76.515999999999991</v>
      </c>
      <c r="Z141" s="717">
        <f t="shared" ref="Z141:AF141" si="315">+Z120-Z138</f>
        <v>42.683999999999997</v>
      </c>
      <c r="AA141" s="717">
        <f t="shared" si="315"/>
        <v>30.242999999999995</v>
      </c>
      <c r="AB141" s="123">
        <f t="shared" si="315"/>
        <v>61.516000000000105</v>
      </c>
      <c r="AC141" s="85">
        <f t="shared" si="315"/>
        <v>210.95900000000006</v>
      </c>
      <c r="AD141" s="326">
        <f t="shared" si="315"/>
        <v>86.65100000000001</v>
      </c>
      <c r="AE141" s="717">
        <f t="shared" si="315"/>
        <v>41.953999999999994</v>
      </c>
      <c r="AF141" s="717">
        <f t="shared" si="315"/>
        <v>30.922999999999998</v>
      </c>
      <c r="AG141" s="123">
        <f t="shared" ref="AG141:AM141" si="316">+AG120-AG138</f>
        <v>65.692000000000064</v>
      </c>
      <c r="AH141" s="85">
        <f t="shared" si="316"/>
        <v>225.22000000000003</v>
      </c>
      <c r="AI141" s="326">
        <f t="shared" si="316"/>
        <v>78.277999999999992</v>
      </c>
      <c r="AJ141" s="717">
        <f t="shared" si="316"/>
        <v>37.820000000000007</v>
      </c>
      <c r="AK141" s="717">
        <f t="shared" si="316"/>
        <v>36.611999999999995</v>
      </c>
      <c r="AL141" s="123">
        <f t="shared" si="316"/>
        <v>60.442999999999955</v>
      </c>
      <c r="AM141" s="85">
        <f t="shared" si="316"/>
        <v>213.15299999999996</v>
      </c>
      <c r="AN141" s="326">
        <f t="shared" ref="AN141:AW141" si="317">+AN120-AN138</f>
        <v>73.906999999999996</v>
      </c>
      <c r="AO141" s="717">
        <f t="shared" si="317"/>
        <v>40.090999999999994</v>
      </c>
      <c r="AP141" s="717">
        <f t="shared" si="317"/>
        <v>36.414000000000001</v>
      </c>
      <c r="AQ141" s="123">
        <f t="shared" si="317"/>
        <v>64.138999999999953</v>
      </c>
      <c r="AR141" s="85">
        <f t="shared" si="317"/>
        <v>214.55099999999996</v>
      </c>
      <c r="AS141" s="326">
        <f>+AS120-AS138</f>
        <v>78.437999999999988</v>
      </c>
      <c r="AT141" s="717">
        <f>+AT120-AT138</f>
        <v>42.506</v>
      </c>
      <c r="AU141" s="717">
        <f>+AU120-AU138</f>
        <v>36.719000000000001</v>
      </c>
      <c r="AV141" s="314">
        <f t="shared" si="317"/>
        <v>72.473000000000013</v>
      </c>
      <c r="AW141" s="93">
        <f t="shared" si="317"/>
        <v>230.13599999999997</v>
      </c>
      <c r="AX141" s="326">
        <f t="shared" ref="AX141:BG141" si="318">+AX120-AX138</f>
        <v>82.242242999999974</v>
      </c>
      <c r="AY141" s="327">
        <f t="shared" si="318"/>
        <v>42.612265000000001</v>
      </c>
      <c r="AZ141" s="327">
        <f t="shared" si="318"/>
        <v>36.627202500000003</v>
      </c>
      <c r="BA141" s="314">
        <f t="shared" si="318"/>
        <v>73.01654750000003</v>
      </c>
      <c r="BB141" s="93">
        <f t="shared" si="318"/>
        <v>234.49825799999996</v>
      </c>
      <c r="BC141" s="326">
        <f t="shared" si="318"/>
        <v>82.036637392499955</v>
      </c>
      <c r="BD141" s="327">
        <f t="shared" si="318"/>
        <v>42.505734337500009</v>
      </c>
      <c r="BE141" s="327">
        <f t="shared" si="318"/>
        <v>36.535634493749995</v>
      </c>
      <c r="BF141" s="314">
        <f t="shared" si="318"/>
        <v>72.834006131250035</v>
      </c>
      <c r="BG141" s="93">
        <f t="shared" si="318"/>
        <v>233.912012355</v>
      </c>
      <c r="BH141" s="326">
        <f t="shared" ref="BH141:BQ141" si="319">+BH120-BH138</f>
        <v>81.831545799018727</v>
      </c>
      <c r="BI141" s="327">
        <f t="shared" si="319"/>
        <v>42.399470001656262</v>
      </c>
      <c r="BJ141" s="327">
        <f t="shared" si="319"/>
        <v>36.444295407515632</v>
      </c>
      <c r="BK141" s="314">
        <f t="shared" si="319"/>
        <v>72.651921115921894</v>
      </c>
      <c r="BL141" s="93">
        <f t="shared" si="319"/>
        <v>233.32723232411252</v>
      </c>
      <c r="BM141" s="326">
        <f t="shared" si="319"/>
        <v>81.626966934521164</v>
      </c>
      <c r="BN141" s="327">
        <f t="shared" si="319"/>
        <v>42.293471326652131</v>
      </c>
      <c r="BO141" s="327">
        <f t="shared" si="319"/>
        <v>36.353184668996839</v>
      </c>
      <c r="BP141" s="314">
        <f t="shared" si="319"/>
        <v>72.470291313132137</v>
      </c>
      <c r="BQ141" s="93">
        <f t="shared" si="319"/>
        <v>232.74391424330224</v>
      </c>
    </row>
    <row r="142" spans="1:104" x14ac:dyDescent="0.2">
      <c r="A142" s="45"/>
      <c r="B142" s="45"/>
      <c r="C142" s="45" t="s">
        <v>269</v>
      </c>
      <c r="D142" s="45"/>
      <c r="E142" s="328"/>
      <c r="F142" s="329"/>
      <c r="G142" s="329"/>
      <c r="H142" s="330"/>
      <c r="I142" s="331"/>
      <c r="J142" s="332">
        <f t="shared" ref="J142:AP142" si="320">+J141/E141-1</f>
        <v>-4.4072278536977372E-5</v>
      </c>
      <c r="K142" s="333">
        <f t="shared" si="320"/>
        <v>3.2950364680823574E-2</v>
      </c>
      <c r="L142" s="333">
        <f t="shared" si="320"/>
        <v>0.20200609446419504</v>
      </c>
      <c r="M142" s="334">
        <f t="shared" si="320"/>
        <v>0.13898425255616131</v>
      </c>
      <c r="N142" s="46">
        <f t="shared" si="320"/>
        <v>7.510778307238497E-2</v>
      </c>
      <c r="O142" s="332">
        <f t="shared" si="320"/>
        <v>0.21180601466202464</v>
      </c>
      <c r="P142" s="333">
        <f t="shared" si="320"/>
        <v>0.24822695035460973</v>
      </c>
      <c r="Q142" s="718">
        <f t="shared" si="320"/>
        <v>6.9751065103341503E-2</v>
      </c>
      <c r="R142" s="334">
        <f t="shared" si="320"/>
        <v>-4.6064378736998424E-2</v>
      </c>
      <c r="S142" s="740">
        <f t="shared" si="320"/>
        <v>0.11360806247361732</v>
      </c>
      <c r="T142" s="332">
        <f t="shared" si="320"/>
        <v>-0.2444110372920808</v>
      </c>
      <c r="U142" s="718">
        <f t="shared" si="320"/>
        <v>-0.16089307168602318</v>
      </c>
      <c r="V142" s="718">
        <f t="shared" si="320"/>
        <v>-9.2159831479167176E-3</v>
      </c>
      <c r="W142" s="334">
        <f t="shared" si="320"/>
        <v>7.3841292737815145E-3</v>
      </c>
      <c r="X142" s="740">
        <f t="shared" si="320"/>
        <v>-0.12526830007912748</v>
      </c>
      <c r="Y142" s="332">
        <f t="shared" si="320"/>
        <v>0.22771324048520603</v>
      </c>
      <c r="Z142" s="718">
        <f t="shared" si="320"/>
        <v>0.27323708388020518</v>
      </c>
      <c r="AA142" s="718">
        <f t="shared" si="320"/>
        <v>4.684074147897066E-3</v>
      </c>
      <c r="AB142" s="334">
        <f t="shared" si="320"/>
        <v>4.8633721425772602E-2</v>
      </c>
      <c r="AC142" s="740">
        <f t="shared" si="320"/>
        <v>0.1427093433290183</v>
      </c>
      <c r="AD142" s="332">
        <f t="shared" si="320"/>
        <v>0.13245595692404222</v>
      </c>
      <c r="AE142" s="718">
        <f t="shared" si="320"/>
        <v>-1.7102427138974918E-2</v>
      </c>
      <c r="AF142" s="718">
        <f t="shared" si="320"/>
        <v>2.2484541877459296E-2</v>
      </c>
      <c r="AG142" s="334">
        <f t="shared" si="320"/>
        <v>6.7884777943948871E-2</v>
      </c>
      <c r="AH142" s="740">
        <f t="shared" si="320"/>
        <v>6.7600813428201567E-2</v>
      </c>
      <c r="AI142" s="332">
        <f t="shared" si="320"/>
        <v>-9.6629006012625585E-2</v>
      </c>
      <c r="AJ142" s="718">
        <f t="shared" si="320"/>
        <v>-9.8536492348762605E-2</v>
      </c>
      <c r="AK142" s="718">
        <f t="shared" si="320"/>
        <v>0.18397309446043386</v>
      </c>
      <c r="AL142" s="334">
        <f t="shared" si="320"/>
        <v>-7.9903184558243079E-2</v>
      </c>
      <c r="AM142" s="740">
        <f t="shared" si="320"/>
        <v>-5.3578723026374453E-2</v>
      </c>
      <c r="AN142" s="332">
        <f t="shared" si="320"/>
        <v>-5.5839444032806052E-2</v>
      </c>
      <c r="AO142" s="718">
        <f t="shared" si="320"/>
        <v>6.0047593865679261E-2</v>
      </c>
      <c r="AP142" s="718">
        <f t="shared" si="320"/>
        <v>-5.4080629301866967E-3</v>
      </c>
      <c r="AQ142" s="334">
        <f t="shared" ref="AQ142:AW142" si="321">+AQ141/AL141-1</f>
        <v>6.1148520093311065E-2</v>
      </c>
      <c r="AR142" s="740">
        <f t="shared" si="321"/>
        <v>6.5586691249948093E-3</v>
      </c>
      <c r="AS142" s="332">
        <f t="shared" si="321"/>
        <v>6.130677743650792E-2</v>
      </c>
      <c r="AT142" s="718">
        <f t="shared" si="321"/>
        <v>6.0237958644084877E-2</v>
      </c>
      <c r="AU142" s="718">
        <f t="shared" si="321"/>
        <v>8.3758993793596748E-3</v>
      </c>
      <c r="AV142" s="334">
        <f t="shared" si="321"/>
        <v>0.12993654406835264</v>
      </c>
      <c r="AW142" s="46">
        <f t="shared" si="321"/>
        <v>7.2640071591369981E-2</v>
      </c>
      <c r="AX142" s="332">
        <f t="shared" ref="AX142:BG142" si="322">+AX141/AS141-1</f>
        <v>4.8499999999999766E-2</v>
      </c>
      <c r="AY142" s="333">
        <f t="shared" si="322"/>
        <v>2.4999999999999467E-3</v>
      </c>
      <c r="AZ142" s="333">
        <f t="shared" si="322"/>
        <v>-2.4999999999999467E-3</v>
      </c>
      <c r="BA142" s="334">
        <f t="shared" si="322"/>
        <v>7.5000000000002842E-3</v>
      </c>
      <c r="BB142" s="46">
        <f t="shared" si="322"/>
        <v>1.8955130879132254E-2</v>
      </c>
      <c r="BC142" s="332">
        <f t="shared" si="322"/>
        <v>-2.5000000000002798E-3</v>
      </c>
      <c r="BD142" s="333">
        <f t="shared" si="322"/>
        <v>-2.4999999999998357E-3</v>
      </c>
      <c r="BE142" s="333">
        <f t="shared" si="322"/>
        <v>-2.5000000000001688E-3</v>
      </c>
      <c r="BF142" s="334">
        <f t="shared" si="322"/>
        <v>-2.4999999999999467E-3</v>
      </c>
      <c r="BG142" s="46">
        <f t="shared" si="322"/>
        <v>-2.4999999999998357E-3</v>
      </c>
      <c r="BH142" s="332">
        <f t="shared" ref="BH142:BQ142" si="323">+BH141/BC141-1</f>
        <v>-2.4999999999997247E-3</v>
      </c>
      <c r="BI142" s="333">
        <f t="shared" si="323"/>
        <v>-2.4999999999999467E-3</v>
      </c>
      <c r="BJ142" s="333">
        <f t="shared" si="323"/>
        <v>-2.4999999999997247E-3</v>
      </c>
      <c r="BK142" s="334">
        <f t="shared" si="323"/>
        <v>-2.5000000000001688E-3</v>
      </c>
      <c r="BL142" s="46">
        <f t="shared" si="323"/>
        <v>-2.4999999999999467E-3</v>
      </c>
      <c r="BM142" s="332">
        <f t="shared" si="323"/>
        <v>-2.5000000000001688E-3</v>
      </c>
      <c r="BN142" s="333">
        <f t="shared" si="323"/>
        <v>-2.4999999999997247E-3</v>
      </c>
      <c r="BO142" s="333">
        <f t="shared" si="323"/>
        <v>-2.5000000000001688E-3</v>
      </c>
      <c r="BP142" s="334">
        <f t="shared" si="323"/>
        <v>-2.4999999999993916E-3</v>
      </c>
      <c r="BQ142" s="46">
        <f t="shared" si="323"/>
        <v>-2.4999999999999467E-3</v>
      </c>
      <c r="BR142" s="45"/>
      <c r="BS142" s="45"/>
      <c r="BT142" s="45"/>
      <c r="BU142" s="45"/>
      <c r="BV142" s="45"/>
      <c r="BW142" s="45"/>
      <c r="BX142" s="45"/>
      <c r="BY142" s="45"/>
      <c r="BZ142" s="45"/>
      <c r="CA142" s="45"/>
      <c r="CB142" s="45"/>
      <c r="CC142" s="45"/>
      <c r="CD142" s="45"/>
      <c r="CE142" s="45"/>
      <c r="CF142" s="45"/>
      <c r="CG142" s="45"/>
      <c r="CH142" s="45"/>
      <c r="CI142" s="45"/>
      <c r="CJ142" s="45"/>
      <c r="CK142" s="45"/>
      <c r="CL142" s="45"/>
      <c r="CM142" s="45"/>
      <c r="CN142" s="45"/>
      <c r="CO142" s="45"/>
      <c r="CP142" s="45"/>
      <c r="CQ142" s="45"/>
      <c r="CR142" s="45"/>
      <c r="CS142" s="45"/>
      <c r="CT142" s="45"/>
      <c r="CU142" s="45"/>
      <c r="CV142" s="45"/>
      <c r="CW142" s="45"/>
      <c r="CX142" s="45"/>
      <c r="CY142" s="45"/>
      <c r="CZ142" s="45"/>
    </row>
    <row r="143" spans="1:104" x14ac:dyDescent="0.2">
      <c r="A143" s="45"/>
      <c r="B143" s="45"/>
      <c r="C143" s="45"/>
      <c r="D143" s="45"/>
      <c r="E143" s="328"/>
      <c r="F143" s="329"/>
      <c r="G143" s="329"/>
      <c r="H143" s="330"/>
      <c r="I143" s="331"/>
      <c r="J143" s="332"/>
      <c r="K143" s="333"/>
      <c r="L143" s="333"/>
      <c r="M143" s="334"/>
      <c r="N143" s="46"/>
      <c r="O143" s="332"/>
      <c r="P143" s="333"/>
      <c r="Q143" s="718"/>
      <c r="R143" s="334"/>
      <c r="S143" s="740"/>
      <c r="T143" s="332"/>
      <c r="U143" s="718"/>
      <c r="V143" s="718"/>
      <c r="W143" s="334"/>
      <c r="X143" s="46"/>
      <c r="Y143" s="332"/>
      <c r="Z143" s="333"/>
      <c r="AA143" s="333"/>
      <c r="AB143" s="334"/>
      <c r="AC143" s="46"/>
      <c r="AD143" s="332"/>
      <c r="AE143" s="333"/>
      <c r="AF143" s="333"/>
      <c r="AG143" s="334"/>
      <c r="AH143" s="46"/>
      <c r="AI143" s="332"/>
      <c r="AJ143" s="333"/>
      <c r="AK143" s="333"/>
      <c r="AL143" s="875"/>
      <c r="AM143" s="46"/>
      <c r="AN143" s="332"/>
      <c r="AO143" s="333"/>
      <c r="AP143" s="333"/>
      <c r="AQ143" s="875"/>
      <c r="AR143" s="46"/>
      <c r="AS143" s="332"/>
      <c r="AT143" s="333"/>
      <c r="AU143" s="333"/>
      <c r="AV143" s="334"/>
      <c r="AW143" s="46"/>
      <c r="AX143" s="332"/>
      <c r="AY143" s="333"/>
      <c r="AZ143" s="333"/>
      <c r="BA143" s="334"/>
      <c r="BB143" s="46"/>
      <c r="BC143" s="332"/>
      <c r="BD143" s="333"/>
      <c r="BE143" s="333"/>
      <c r="BF143" s="334"/>
      <c r="BG143" s="46"/>
      <c r="BH143" s="332"/>
      <c r="BI143" s="333"/>
      <c r="BJ143" s="333"/>
      <c r="BK143" s="334"/>
      <c r="BL143" s="46"/>
      <c r="BM143" s="332"/>
      <c r="BN143" s="333"/>
      <c r="BO143" s="333"/>
      <c r="BP143" s="334"/>
      <c r="BQ143" s="46"/>
      <c r="BR143" s="45"/>
      <c r="BS143" s="45"/>
      <c r="BT143" s="45"/>
      <c r="BU143" s="45"/>
      <c r="BV143" s="45"/>
      <c r="BW143" s="45"/>
      <c r="BX143" s="45"/>
      <c r="BY143" s="45"/>
      <c r="BZ143" s="45"/>
      <c r="CA143" s="45"/>
      <c r="CB143" s="45"/>
      <c r="CC143" s="45"/>
      <c r="CD143" s="45"/>
      <c r="CE143" s="45"/>
      <c r="CF143" s="45"/>
      <c r="CG143" s="45"/>
      <c r="CH143" s="45"/>
      <c r="CI143" s="45"/>
      <c r="CJ143" s="45"/>
      <c r="CK143" s="45"/>
      <c r="CL143" s="45"/>
      <c r="CM143" s="45"/>
      <c r="CN143" s="45"/>
      <c r="CO143" s="45"/>
      <c r="CP143" s="45"/>
      <c r="CQ143" s="45"/>
      <c r="CR143" s="45"/>
      <c r="CS143" s="45"/>
      <c r="CT143" s="45"/>
      <c r="CU143" s="45"/>
      <c r="CV143" s="45"/>
      <c r="CW143" s="45"/>
      <c r="CX143" s="45"/>
      <c r="CY143" s="45"/>
      <c r="CZ143" s="45"/>
    </row>
    <row r="144" spans="1:104" x14ac:dyDescent="0.2">
      <c r="A144" s="45"/>
      <c r="B144" s="45"/>
      <c r="C144" s="992" t="s">
        <v>512</v>
      </c>
      <c r="D144" s="45"/>
      <c r="E144" s="328"/>
      <c r="F144" s="329"/>
      <c r="G144" s="329"/>
      <c r="H144" s="330"/>
      <c r="I144" s="331"/>
      <c r="J144" s="332"/>
      <c r="K144" s="333"/>
      <c r="L144" s="333"/>
      <c r="M144" s="334"/>
      <c r="N144" s="46"/>
      <c r="O144" s="332"/>
      <c r="P144" s="333"/>
      <c r="Q144" s="718"/>
      <c r="R144" s="162">
        <v>0</v>
      </c>
      <c r="S144" s="740"/>
      <c r="T144" s="752">
        <v>-7.8E-2</v>
      </c>
      <c r="U144" s="753">
        <v>-4.5999999999999999E-2</v>
      </c>
      <c r="V144" s="754">
        <v>-8.5000000000000006E-3</v>
      </c>
      <c r="W144" s="751">
        <v>-0.01</v>
      </c>
      <c r="X144" s="763"/>
      <c r="Y144" s="752">
        <v>0.03</v>
      </c>
      <c r="Z144" s="753">
        <v>3.5000000000000003E-2</v>
      </c>
      <c r="AA144" s="754">
        <v>-5.0000000000000001E-3</v>
      </c>
      <c r="AB144" s="751">
        <v>1.9E-2</v>
      </c>
      <c r="AC144" s="763"/>
      <c r="AD144" s="752">
        <v>0.05</v>
      </c>
      <c r="AE144" s="753">
        <v>0</v>
      </c>
      <c r="AF144" s="753">
        <v>0</v>
      </c>
      <c r="AG144" s="751">
        <v>0</v>
      </c>
      <c r="AH144" s="763"/>
      <c r="AI144" s="752">
        <v>-5.0000000000000001E-3</v>
      </c>
      <c r="AJ144" s="753">
        <v>-1E-3</v>
      </c>
      <c r="AK144" s="753">
        <v>-0.01</v>
      </c>
      <c r="AL144" s="876">
        <v>-0.02</v>
      </c>
      <c r="AM144" s="46"/>
      <c r="AN144" s="752">
        <v>-0.01</v>
      </c>
      <c r="AO144" s="753">
        <v>0</v>
      </c>
      <c r="AP144" s="753">
        <v>-5.0000000000000001E-3</v>
      </c>
      <c r="AQ144" s="751">
        <v>-0.04</v>
      </c>
      <c r="AR144" s="46"/>
      <c r="AS144" s="752">
        <v>-5.0999999999999997E-2</v>
      </c>
      <c r="AT144" s="753">
        <v>-5.0000000000000001E-3</v>
      </c>
      <c r="AU144" s="753">
        <v>0</v>
      </c>
      <c r="AV144" s="751">
        <v>-0.01</v>
      </c>
      <c r="AW144" s="46"/>
      <c r="AX144" s="332"/>
      <c r="AY144" s="333"/>
      <c r="AZ144" s="333"/>
      <c r="BA144" s="334"/>
      <c r="BB144" s="46"/>
      <c r="BC144" s="332"/>
      <c r="BD144" s="333"/>
      <c r="BE144" s="333"/>
      <c r="BF144" s="334"/>
      <c r="BG144" s="46"/>
      <c r="BH144" s="332"/>
      <c r="BI144" s="333"/>
      <c r="BJ144" s="333"/>
      <c r="BK144" s="334"/>
      <c r="BL144" s="46"/>
      <c r="BM144" s="332"/>
      <c r="BN144" s="333"/>
      <c r="BO144" s="333"/>
      <c r="BP144" s="334"/>
      <c r="BQ144" s="46"/>
      <c r="BR144" s="45"/>
      <c r="BS144" s="45"/>
      <c r="BT144" s="45"/>
      <c r="BU144" s="45"/>
      <c r="BV144" s="45"/>
      <c r="BW144" s="45"/>
      <c r="BX144" s="45"/>
      <c r="BY144" s="45"/>
      <c r="BZ144" s="45"/>
      <c r="CA144" s="45"/>
      <c r="CB144" s="45"/>
      <c r="CC144" s="45"/>
      <c r="CD144" s="45"/>
      <c r="CE144" s="45"/>
      <c r="CF144" s="45"/>
      <c r="CG144" s="45"/>
      <c r="CH144" s="45"/>
      <c r="CI144" s="45"/>
      <c r="CJ144" s="45"/>
      <c r="CK144" s="45"/>
      <c r="CL144" s="45"/>
      <c r="CM144" s="45"/>
      <c r="CN144" s="45"/>
      <c r="CO144" s="45"/>
      <c r="CP144" s="45"/>
      <c r="CQ144" s="45"/>
      <c r="CR144" s="45"/>
      <c r="CS144" s="45"/>
      <c r="CT144" s="45"/>
      <c r="CU144" s="45"/>
      <c r="CV144" s="45"/>
      <c r="CW144" s="45"/>
      <c r="CX144" s="45"/>
      <c r="CY144" s="45"/>
      <c r="CZ144" s="45"/>
    </row>
    <row r="145" spans="1:104" x14ac:dyDescent="0.2">
      <c r="C145" s="646" t="s">
        <v>513</v>
      </c>
      <c r="E145" s="273"/>
      <c r="F145" s="274"/>
      <c r="G145" s="274"/>
      <c r="H145" s="275"/>
      <c r="I145" s="169"/>
      <c r="J145" s="273"/>
      <c r="K145" s="274"/>
      <c r="L145" s="274"/>
      <c r="M145" s="275"/>
      <c r="N145" s="169"/>
      <c r="O145" s="273"/>
      <c r="P145" s="274"/>
      <c r="Q145" s="611"/>
      <c r="R145" s="765">
        <v>0</v>
      </c>
      <c r="S145" s="766"/>
      <c r="T145" s="767">
        <v>-2.1000000000000001E-2</v>
      </c>
      <c r="U145" s="768">
        <v>-8.0000000000000002E-3</v>
      </c>
      <c r="V145" s="769">
        <v>-1E-3</v>
      </c>
      <c r="W145" s="765">
        <v>-3.0000000000000001E-3</v>
      </c>
      <c r="X145" s="770"/>
      <c r="Y145" s="767">
        <v>8.9999999999999993E-3</v>
      </c>
      <c r="Z145" s="768">
        <v>7.0000000000000001E-3</v>
      </c>
      <c r="AA145" s="769">
        <v>-1E-3</v>
      </c>
      <c r="AB145" s="765">
        <v>7.0000000000000001E-3</v>
      </c>
      <c r="AC145" s="770"/>
      <c r="AD145" s="767">
        <v>1.7999999999999999E-2</v>
      </c>
      <c r="AE145" s="768">
        <v>1E-3</v>
      </c>
      <c r="AF145" s="768">
        <v>0</v>
      </c>
      <c r="AG145" s="765">
        <v>1E-3</v>
      </c>
      <c r="AH145" s="169"/>
      <c r="AI145" s="767">
        <v>-4.0000000000000001E-3</v>
      </c>
      <c r="AJ145" s="768">
        <v>-1E-3</v>
      </c>
      <c r="AK145" s="768">
        <v>-2E-3</v>
      </c>
      <c r="AL145" s="877">
        <v>-1.0999999999999999E-2</v>
      </c>
      <c r="AM145" s="169"/>
      <c r="AN145" s="767">
        <v>-1.2E-2</v>
      </c>
      <c r="AO145" s="768">
        <v>-1E-3</v>
      </c>
      <c r="AP145" s="768">
        <v>-1E-3</v>
      </c>
      <c r="AQ145" s="765">
        <v>-1.0999999999999999E-2</v>
      </c>
      <c r="AR145" s="169"/>
      <c r="AS145" s="767">
        <v>-1.7999999999999999E-2</v>
      </c>
      <c r="AT145" s="768">
        <v>-2E-3</v>
      </c>
      <c r="AU145" s="768">
        <v>0</v>
      </c>
      <c r="AV145" s="765">
        <v>-3.0000000000000001E-3</v>
      </c>
      <c r="AW145" s="169"/>
      <c r="AX145" s="273"/>
      <c r="AY145" s="274"/>
      <c r="AZ145" s="274"/>
      <c r="BA145" s="275"/>
      <c r="BB145" s="169"/>
      <c r="BC145" s="273"/>
      <c r="BD145" s="274"/>
      <c r="BE145" s="274"/>
      <c r="BF145" s="275"/>
      <c r="BG145" s="169"/>
      <c r="BH145" s="273"/>
      <c r="BI145" s="274"/>
      <c r="BJ145" s="274"/>
      <c r="BK145" s="275"/>
      <c r="BL145" s="169"/>
      <c r="BM145" s="273"/>
      <c r="BN145" s="274"/>
      <c r="BO145" s="274"/>
      <c r="BP145" s="275"/>
      <c r="BQ145" s="169"/>
    </row>
    <row r="146" spans="1:104" x14ac:dyDescent="0.2">
      <c r="C146" s="646" t="s">
        <v>514</v>
      </c>
      <c r="E146" s="273"/>
      <c r="F146" s="274"/>
      <c r="G146" s="274"/>
      <c r="H146" s="275"/>
      <c r="I146" s="169"/>
      <c r="J146" s="273"/>
      <c r="K146" s="274"/>
      <c r="L146" s="274"/>
      <c r="M146" s="275"/>
      <c r="N146" s="169"/>
      <c r="O146" s="273"/>
      <c r="P146" s="274"/>
      <c r="Q146" s="611"/>
      <c r="R146" s="153">
        <f>((R144*R141*0.65)+(R144*PSCO!R137*0.65)+('NSP-MN'!R144*'NSP-WI'!R135*0.65))/R52</f>
        <v>0</v>
      </c>
      <c r="S146" s="766"/>
      <c r="T146" s="151">
        <f>((T144*T141*0.65)+(T144*PSCO!T137*0.65)+('NSP-MN'!T144*'NSP-WI'!T135*0.65))/T52</f>
        <v>-2.109723419297329E-2</v>
      </c>
      <c r="U146" s="719">
        <f>((U144*U141*0.65)+(U144*PSCO!U137*0.65)+('NSP-MN'!U144*'NSP-WI'!U135*0.65))/U52</f>
        <v>-8.059117202884325E-3</v>
      </c>
      <c r="V146" s="152">
        <f>((V144*V141*0.65)+(V144*PSCO!V137*0.65)+('NSP-MN'!V144*'NSP-WI'!V135*0.65))/V52</f>
        <v>-1.4107816970882849E-3</v>
      </c>
      <c r="W146" s="153">
        <f>((W144*W141*0.65)+(W144*PSCO!W137*0.65)+('NSP-MN'!W144*'NSP-WI'!W135*0.65))/W52</f>
        <v>-2.6179211916522176E-3</v>
      </c>
      <c r="X146" s="154"/>
      <c r="Y146" s="151">
        <f>((Y144*Y141*0.65)+(Y144*PSCO!Y137*0.65)+('NSP-MN'!Y144*'NSP-WI'!Y135*0.65))/Y52</f>
        <v>9.150785577262191E-3</v>
      </c>
      <c r="Z146" s="719">
        <f>((Z144*Z141*0.65)+(Z144*PSCO!Z137*0.65)+('NSP-MN'!Z144*'NSP-WI'!Z135*0.65))/Z52</f>
        <v>6.9677573508742348E-3</v>
      </c>
      <c r="AA146" s="152">
        <f>((AA144*AA141*0.65)+(AA144*PSCO!AA137*0.65)+('NSP-MN'!AA144*'NSP-WI'!AA135*0.65))/AA52</f>
        <v>-8.5052272075501214E-4</v>
      </c>
      <c r="AB146" s="153">
        <f>((AB144*AB141*0.65)+(AB144*PSCO!AB137*0.65)+('NSP-MN'!AB144*'NSP-WI'!AB135*0.65))/AB52</f>
        <v>5.267237026103171E-3</v>
      </c>
      <c r="AC146" s="154"/>
      <c r="AD146" s="151">
        <f>((AD144*AD141*0.65)+(AD144*PSCO!AD137*0.65)+('NSP-MN'!AD144*'NSP-WI'!AD135*0.65))/AD52</f>
        <v>1.6637531866188021E-2</v>
      </c>
      <c r="AE146" s="719">
        <f>((AE144*AE141*0.65)+(AE144*PSCO!AE137*0.65)+('NSP-MN'!AE144*'NSP-WI'!AE135*0.65))/AE52</f>
        <v>0</v>
      </c>
      <c r="AF146" s="719">
        <f>((AF144*AF141*0.65)+(AF144*PSCO!AF137*0.65)+('NSP-MN'!AF144*'NSP-WI'!AF135*0.65))/AF52</f>
        <v>0</v>
      </c>
      <c r="AG146" s="153">
        <f>((AG144*AG141*0.65)+(AG144*PSCO!AG137*0.65)+('NSP-MN'!AG144*'NSP-WI'!AG135*0.65))/AG52</f>
        <v>0</v>
      </c>
      <c r="AH146" s="169"/>
      <c r="AI146" s="151">
        <f>((AI144*AI141*0.65)+(AI144*PSCO!AI137*0.65)+('NSP-MN'!AI144*'NSP-WI'!AI135*0.65))/AI52</f>
        <v>-1.5602969493075389E-3</v>
      </c>
      <c r="AJ146" s="719">
        <f>((AJ144*AJ141*0.65)+(AJ144*PSCO!AJ137*0.65)+('NSP-MN'!AJ144*'NSP-WI'!AJ135*0.65))/AJ52</f>
        <v>-2.0141436090018386E-4</v>
      </c>
      <c r="AK146" s="719">
        <f>((AK144*AK141*0.65)+(AK144*PSCO!AK137*0.65)+('NSP-MN'!AK144*'NSP-WI'!AK135*0.65))/AK52</f>
        <v>-1.916720591156646E-3</v>
      </c>
      <c r="AL146" s="878">
        <f>((AL144*AL141*0.65)+(AL144*PSCO!AL137*0.65)+('NSP-MN'!AL144*'NSP-WI'!AL135*0.65))/AL52</f>
        <v>-5.5246000888473064E-3</v>
      </c>
      <c r="AM146" s="169"/>
      <c r="AN146" s="151">
        <f>((AN144*AN141*0.65)+(AN144*PSCO!AN137*0.65)+('NSP-MN'!AN144*'NSP-WI'!AN135*0.65))/AN52</f>
        <v>-3.2366208386526568E-3</v>
      </c>
      <c r="AO146" s="719">
        <f>((AO144*AO141*0.65)+(AO144*PSCO!AO137*0.65)+('NSP-MN'!AO144*'NSP-WI'!AO135*0.65))/AO52</f>
        <v>0</v>
      </c>
      <c r="AP146" s="719">
        <f>((AP144*AP141*0.65)+(AP144*PSCO!AP137*0.65)+('NSP-MN'!AP144*'NSP-WI'!AP135*0.65))/AP52</f>
        <v>-9.845235945883362E-4</v>
      </c>
      <c r="AQ146" s="153">
        <f>((AQ144*AQ141*0.65)+(AQ144*PSCO!AQ137*0.65)+('NSP-MN'!AQ144*'NSP-WI'!AQ135*0.65))/AQ52</f>
        <v>-1.1325814993885212E-2</v>
      </c>
      <c r="AR146" s="169"/>
      <c r="AS146" s="151">
        <f>((AS144*AS141*0.65)+(AS144*PSCO!AS137*0.65)+('NSP-MN'!AS144*'NSP-WI'!AS135*0.65))/AS52</f>
        <v>-1.6975387500147415E-2</v>
      </c>
      <c r="AT146" s="719">
        <f>((AT144*AT141*0.65)+(AT144*PSCO!AT137*0.65)+('NSP-MN'!AT144*'NSP-WI'!AT135*0.65))/AT52</f>
        <v>-1.1202122226914278E-3</v>
      </c>
      <c r="AU146" s="719">
        <f>((AU144*AU141*0.65)+(AU144*PSCO!AU137*0.65)+('NSP-MN'!AU144*'NSP-WI'!AU135*0.65))/AU52</f>
        <v>0</v>
      </c>
      <c r="AV146" s="153">
        <f>((AV144*AV141*0.65)+(AV144*PSCO!AV137*0.65)+('NSP-MN'!AV144*'NSP-WI'!AV135*0.65))/AV52</f>
        <v>-3.0709499017681731E-3</v>
      </c>
      <c r="AW146" s="169"/>
      <c r="AX146" s="273"/>
      <c r="AY146" s="274"/>
      <c r="AZ146" s="274"/>
      <c r="BA146" s="275"/>
      <c r="BB146" s="169"/>
      <c r="BC146" s="273"/>
      <c r="BD146" s="274"/>
      <c r="BE146" s="274"/>
      <c r="BF146" s="275"/>
      <c r="BG146" s="169"/>
      <c r="BH146" s="273"/>
      <c r="BI146" s="274"/>
      <c r="BJ146" s="274"/>
      <c r="BK146" s="275"/>
      <c r="BL146" s="169"/>
      <c r="BM146" s="273"/>
      <c r="BN146" s="274"/>
      <c r="BO146" s="274"/>
      <c r="BP146" s="275"/>
      <c r="BQ146" s="169"/>
    </row>
    <row r="147" spans="1:104" x14ac:dyDescent="0.2">
      <c r="C147" s="646"/>
      <c r="E147" s="273"/>
      <c r="F147" s="274"/>
      <c r="G147" s="274"/>
      <c r="H147" s="275"/>
      <c r="I147" s="169"/>
      <c r="J147" s="273"/>
      <c r="K147" s="274"/>
      <c r="L147" s="274"/>
      <c r="M147" s="275"/>
      <c r="N147" s="169"/>
      <c r="O147" s="273"/>
      <c r="P147" s="274"/>
      <c r="Q147" s="611"/>
      <c r="R147" s="275"/>
      <c r="S147" s="732"/>
      <c r="T147" s="273"/>
      <c r="U147" s="611"/>
      <c r="V147" s="274"/>
      <c r="W147" s="275"/>
      <c r="X147" s="169"/>
      <c r="Y147" s="273"/>
      <c r="Z147" s="274"/>
      <c r="AA147" s="274"/>
      <c r="AB147" s="275"/>
      <c r="AC147" s="169"/>
      <c r="AD147" s="273"/>
      <c r="AE147" s="274"/>
      <c r="AF147" s="274"/>
      <c r="AG147" s="275"/>
      <c r="AH147" s="169"/>
      <c r="AI147" s="870"/>
      <c r="AJ147" s="869"/>
      <c r="AK147" s="869"/>
      <c r="AL147" s="879"/>
      <c r="AM147" s="169"/>
      <c r="AN147" s="273"/>
      <c r="AO147" s="274"/>
      <c r="AP147" s="274"/>
      <c r="AQ147" s="879"/>
      <c r="AR147" s="169"/>
      <c r="AS147" s="273"/>
      <c r="AT147" s="274"/>
      <c r="AU147" s="274"/>
      <c r="AV147" s="275"/>
      <c r="AW147" s="169"/>
      <c r="AX147" s="273"/>
      <c r="AY147" s="274"/>
      <c r="AZ147" s="274"/>
      <c r="BA147" s="275"/>
      <c r="BB147" s="169"/>
      <c r="BC147" s="273"/>
      <c r="BD147" s="274"/>
      <c r="BE147" s="274"/>
      <c r="BF147" s="275"/>
      <c r="BG147" s="169"/>
      <c r="BH147" s="273"/>
      <c r="BI147" s="274"/>
      <c r="BJ147" s="274"/>
      <c r="BK147" s="275"/>
      <c r="BL147" s="169"/>
      <c r="BM147" s="273"/>
      <c r="BN147" s="274"/>
      <c r="BO147" s="274"/>
      <c r="BP147" s="275"/>
      <c r="BQ147" s="169"/>
    </row>
    <row r="148" spans="1:104" x14ac:dyDescent="0.2">
      <c r="B148" s="16" t="s">
        <v>285</v>
      </c>
      <c r="C148" s="16"/>
      <c r="D148" s="17"/>
      <c r="E148" s="273"/>
      <c r="F148" s="274"/>
      <c r="G148" s="274"/>
      <c r="H148" s="275"/>
      <c r="I148" s="169"/>
      <c r="J148" s="273"/>
      <c r="K148" s="274"/>
      <c r="L148" s="274"/>
      <c r="M148" s="275"/>
      <c r="N148" s="169"/>
      <c r="O148" s="273"/>
      <c r="P148" s="274"/>
      <c r="Q148" s="611"/>
      <c r="R148" s="275"/>
      <c r="S148" s="732"/>
      <c r="T148" s="273"/>
      <c r="U148" s="611"/>
      <c r="V148" s="274"/>
      <c r="W148" s="275"/>
      <c r="X148" s="169"/>
      <c r="Y148" s="273"/>
      <c r="Z148" s="274"/>
      <c r="AA148" s="274"/>
      <c r="AB148" s="275"/>
      <c r="AC148" s="169"/>
      <c r="AD148" s="273"/>
      <c r="AE148" s="274"/>
      <c r="AF148" s="274"/>
      <c r="AG148" s="275"/>
      <c r="AH148" s="169"/>
      <c r="AI148" s="273"/>
      <c r="AJ148" s="274"/>
      <c r="AK148" s="274"/>
      <c r="AL148" s="275"/>
      <c r="AM148" s="169"/>
      <c r="AN148" s="273"/>
      <c r="AO148" s="274"/>
      <c r="AP148" s="274"/>
      <c r="AQ148" s="275"/>
      <c r="AR148" s="169"/>
      <c r="AS148" s="273"/>
      <c r="AT148" s="274"/>
      <c r="AU148" s="274"/>
      <c r="AV148" s="275"/>
      <c r="AW148" s="169"/>
      <c r="AX148" s="273"/>
      <c r="AY148" s="274"/>
      <c r="AZ148" s="274"/>
      <c r="BA148" s="275"/>
      <c r="BB148" s="169"/>
      <c r="BC148" s="273"/>
      <c r="BD148" s="274"/>
      <c r="BE148" s="274"/>
      <c r="BF148" s="275"/>
      <c r="BG148" s="169"/>
      <c r="BH148" s="273"/>
      <c r="BI148" s="274"/>
      <c r="BJ148" s="274"/>
      <c r="BK148" s="275"/>
      <c r="BL148" s="169"/>
      <c r="BM148" s="273"/>
      <c r="BN148" s="274"/>
      <c r="BO148" s="274"/>
      <c r="BP148" s="275"/>
      <c r="BQ148" s="169"/>
    </row>
    <row r="149" spans="1:104" s="20" customFormat="1" x14ac:dyDescent="0.2">
      <c r="A149" s="220"/>
      <c r="B149" s="220"/>
      <c r="C149" s="289" t="s">
        <v>286</v>
      </c>
      <c r="D149" s="82"/>
      <c r="E149" s="136">
        <f>+E20</f>
        <v>243.096</v>
      </c>
      <c r="F149" s="135">
        <f t="shared" ref="F149:N149" si="324">+F20</f>
        <v>245.63399999999999</v>
      </c>
      <c r="G149" s="135">
        <f t="shared" si="324"/>
        <v>233.232</v>
      </c>
      <c r="H149" s="116">
        <f t="shared" si="324"/>
        <v>246.40800000000002</v>
      </c>
      <c r="I149" s="82">
        <f t="shared" si="324"/>
        <v>968.37</v>
      </c>
      <c r="J149" s="136">
        <f>+J20</f>
        <v>249.012</v>
      </c>
      <c r="K149" s="135">
        <f t="shared" si="324"/>
        <v>263.57600000000002</v>
      </c>
      <c r="L149" s="135">
        <f t="shared" si="324"/>
        <v>258.01499999999999</v>
      </c>
      <c r="M149" s="116">
        <f t="shared" si="324"/>
        <v>267.149</v>
      </c>
      <c r="N149" s="82">
        <f t="shared" si="324"/>
        <v>1037.752</v>
      </c>
      <c r="O149" s="136">
        <f t="shared" ref="O149:T149" si="325">+O20</f>
        <v>255.214</v>
      </c>
      <c r="P149" s="135">
        <f t="shared" si="325"/>
        <v>261.62599999999998</v>
      </c>
      <c r="Q149" s="137">
        <f t="shared" si="325"/>
        <v>266.45100000000002</v>
      </c>
      <c r="R149" s="116">
        <f t="shared" si="325"/>
        <v>281.37400000000002</v>
      </c>
      <c r="S149" s="220">
        <f t="shared" si="325"/>
        <v>1064.665</v>
      </c>
      <c r="T149" s="136">
        <f t="shared" si="325"/>
        <v>261.02999999999997</v>
      </c>
      <c r="U149" s="137">
        <f t="shared" ref="U149:Z149" si="326">+U20</f>
        <v>271.61099999999999</v>
      </c>
      <c r="V149" s="137">
        <f t="shared" si="326"/>
        <v>270.40300000000002</v>
      </c>
      <c r="W149" s="116">
        <f t="shared" si="326"/>
        <v>299.25799999999992</v>
      </c>
      <c r="X149" s="220">
        <f t="shared" si="326"/>
        <v>1102.3019999999999</v>
      </c>
      <c r="Y149" s="136">
        <f t="shared" si="326"/>
        <v>273.27999999999997</v>
      </c>
      <c r="Z149" s="137">
        <f t="shared" si="326"/>
        <v>286.42200000000003</v>
      </c>
      <c r="AA149" s="137">
        <f t="shared" ref="AA149:AF149" si="327">+AA20</f>
        <v>294.83100000000002</v>
      </c>
      <c r="AB149" s="116">
        <f t="shared" si="327"/>
        <v>317.322</v>
      </c>
      <c r="AC149" s="220">
        <f t="shared" si="327"/>
        <v>1171.855</v>
      </c>
      <c r="AD149" s="136">
        <f t="shared" si="327"/>
        <v>297.58100000000002</v>
      </c>
      <c r="AE149" s="137">
        <f t="shared" si="327"/>
        <v>308.52</v>
      </c>
      <c r="AF149" s="137">
        <f t="shared" si="327"/>
        <v>296.70699999999999</v>
      </c>
      <c r="AG149" s="116">
        <f t="shared" ref="AG149:AM149" si="328">+AG20</f>
        <v>321.02099999999996</v>
      </c>
      <c r="AH149" s="220">
        <f t="shared" si="328"/>
        <v>1223.829</v>
      </c>
      <c r="AI149" s="136">
        <f t="shared" si="328"/>
        <v>314.05</v>
      </c>
      <c r="AJ149" s="137">
        <f t="shared" si="328"/>
        <v>311.512</v>
      </c>
      <c r="AK149" s="137">
        <f t="shared" si="328"/>
        <v>290.86500000000001</v>
      </c>
      <c r="AL149" s="116">
        <f t="shared" si="328"/>
        <v>296.08000000000004</v>
      </c>
      <c r="AM149" s="220">
        <f t="shared" si="328"/>
        <v>1212.5070000000001</v>
      </c>
      <c r="AN149" s="136">
        <f t="shared" ref="AN149:AR149" si="329">+AN20</f>
        <v>320.49599999999998</v>
      </c>
      <c r="AO149" s="137">
        <f t="shared" si="329"/>
        <v>318.54000000000002</v>
      </c>
      <c r="AP149" s="137">
        <f t="shared" si="329"/>
        <v>315.298</v>
      </c>
      <c r="AQ149" s="116">
        <f t="shared" si="329"/>
        <v>291.45399999999995</v>
      </c>
      <c r="AR149" s="220">
        <f t="shared" si="329"/>
        <v>1245.788</v>
      </c>
      <c r="AS149" s="136">
        <f t="shared" ref="AS149:AW149" si="330">+AS20</f>
        <v>312.024</v>
      </c>
      <c r="AT149" s="137">
        <f t="shared" si="330"/>
        <v>308.58699999999999</v>
      </c>
      <c r="AU149" s="137">
        <f t="shared" si="330"/>
        <v>288.77</v>
      </c>
      <c r="AV149" s="116">
        <f t="shared" si="330"/>
        <v>303.70999999999992</v>
      </c>
      <c r="AW149" s="220">
        <f t="shared" si="330"/>
        <v>1213.0909999999999</v>
      </c>
      <c r="AX149" s="136">
        <f>AS149*(1+AX150)</f>
        <v>312.024</v>
      </c>
      <c r="AY149" s="135">
        <f>AT149*(1+AY150)</f>
        <v>308.58699999999999</v>
      </c>
      <c r="AZ149" s="135">
        <f>AU149*(1+AZ150)</f>
        <v>288.77</v>
      </c>
      <c r="BA149" s="116">
        <f>AV149*(1+BA150)</f>
        <v>303.70999999999992</v>
      </c>
      <c r="BB149" s="82">
        <f>+SUM(AX149:BA149)</f>
        <v>1213.0909999999999</v>
      </c>
      <c r="BC149" s="136">
        <f>AX149*(1+BC150)</f>
        <v>315.14424000000002</v>
      </c>
      <c r="BD149" s="135">
        <f>AY149*(1+BD150)</f>
        <v>311.67286999999999</v>
      </c>
      <c r="BE149" s="135">
        <f>AZ149*(1+BE150)</f>
        <v>291.65769999999998</v>
      </c>
      <c r="BF149" s="116">
        <f>BA149*(1+BF150)</f>
        <v>306.74709999999993</v>
      </c>
      <c r="BG149" s="82">
        <f>+SUM(BC149:BF149)</f>
        <v>1225.2219099999998</v>
      </c>
      <c r="BH149" s="136">
        <f>BC149*(1+BH150)</f>
        <v>318.29568240000003</v>
      </c>
      <c r="BI149" s="135">
        <f>BD149*(1+BI150)</f>
        <v>314.7895987</v>
      </c>
      <c r="BJ149" s="135">
        <f>BE149*(1+BJ150)</f>
        <v>294.574277</v>
      </c>
      <c r="BK149" s="116">
        <f>BF149*(1+BK150)</f>
        <v>309.81457099999994</v>
      </c>
      <c r="BL149" s="82">
        <f>+SUM(BH149:BK149)</f>
        <v>1237.4741290999998</v>
      </c>
      <c r="BM149" s="136">
        <f>BH149*(1+BM150)</f>
        <v>321.47863922400006</v>
      </c>
      <c r="BN149" s="135">
        <f>BI149*(1+BN150)</f>
        <v>317.93749468700003</v>
      </c>
      <c r="BO149" s="135">
        <f>BJ149*(1+BO150)</f>
        <v>297.52001976999998</v>
      </c>
      <c r="BP149" s="116">
        <f>BK149*(1+BP150)</f>
        <v>312.91271670999993</v>
      </c>
      <c r="BQ149" s="82">
        <f>+SUM(BM149:BP149)</f>
        <v>1249.848870391</v>
      </c>
      <c r="BR149" s="220"/>
      <c r="BS149" s="220"/>
      <c r="BT149" s="220"/>
      <c r="BU149" s="220"/>
      <c r="BV149" s="220"/>
      <c r="BW149" s="220"/>
      <c r="BX149" s="220"/>
      <c r="BY149" s="220"/>
      <c r="BZ149" s="220"/>
      <c r="CA149" s="220"/>
      <c r="CB149" s="220"/>
      <c r="CC149" s="220"/>
      <c r="CD149" s="220"/>
      <c r="CE149" s="220"/>
      <c r="CF149" s="220"/>
      <c r="CG149" s="220"/>
      <c r="CH149" s="220"/>
      <c r="CI149" s="220"/>
      <c r="CJ149" s="220"/>
      <c r="CK149" s="220"/>
      <c r="CL149" s="220"/>
      <c r="CM149" s="220"/>
      <c r="CN149" s="220"/>
      <c r="CO149" s="220"/>
      <c r="CP149" s="220"/>
      <c r="CQ149" s="220"/>
      <c r="CR149" s="220"/>
      <c r="CS149" s="220"/>
      <c r="CT149" s="220"/>
      <c r="CU149" s="220"/>
      <c r="CV149" s="220"/>
      <c r="CW149" s="220"/>
      <c r="CX149" s="220"/>
      <c r="CY149" s="220"/>
      <c r="CZ149" s="220"/>
    </row>
    <row r="150" spans="1:104" x14ac:dyDescent="0.2">
      <c r="A150" s="45"/>
      <c r="B150" s="45"/>
      <c r="C150" s="338" t="s">
        <v>287</v>
      </c>
      <c r="D150" s="45"/>
      <c r="E150" s="339"/>
      <c r="F150" s="340"/>
      <c r="G150" s="340"/>
      <c r="H150" s="341"/>
      <c r="I150" s="252"/>
      <c r="J150" s="249">
        <f t="shared" ref="J150:P150" si="331">+J149/E149-1</f>
        <v>2.4336064764537424E-2</v>
      </c>
      <c r="K150" s="250">
        <f t="shared" si="331"/>
        <v>7.3043634024605897E-2</v>
      </c>
      <c r="L150" s="250">
        <f t="shared" si="331"/>
        <v>0.10625900391026954</v>
      </c>
      <c r="M150" s="251">
        <f t="shared" si="331"/>
        <v>8.4173403460926499E-2</v>
      </c>
      <c r="N150" s="252">
        <f t="shared" si="331"/>
        <v>7.1648233629707514E-2</v>
      </c>
      <c r="O150" s="249">
        <f t="shared" si="331"/>
        <v>2.4906430212198627E-2</v>
      </c>
      <c r="P150" s="250">
        <f t="shared" si="331"/>
        <v>-7.3982456672839758E-3</v>
      </c>
      <c r="Q150" s="726">
        <f t="shared" ref="Q150:Y150" si="332">+Q149/L149-1</f>
        <v>3.2695773501540737E-2</v>
      </c>
      <c r="R150" s="251">
        <f t="shared" si="332"/>
        <v>5.3247438695259941E-2</v>
      </c>
      <c r="S150" s="743">
        <f t="shared" si="332"/>
        <v>2.5933941828105489E-2</v>
      </c>
      <c r="T150" s="249">
        <f t="shared" si="332"/>
        <v>2.2788718487230186E-2</v>
      </c>
      <c r="U150" s="726">
        <f t="shared" si="332"/>
        <v>3.8165167070551176E-2</v>
      </c>
      <c r="V150" s="726">
        <f t="shared" si="332"/>
        <v>1.4831995376260565E-2</v>
      </c>
      <c r="W150" s="251">
        <f t="shared" si="332"/>
        <v>6.3559532863732615E-2</v>
      </c>
      <c r="X150" s="743">
        <f t="shared" si="332"/>
        <v>3.5351025909558409E-2</v>
      </c>
      <c r="Y150" s="249">
        <f t="shared" si="332"/>
        <v>4.6929471708232695E-2</v>
      </c>
      <c r="Z150" s="726">
        <f t="shared" ref="Z150:AF150" si="333">+Z149/U149-1</f>
        <v>5.4530192076167827E-2</v>
      </c>
      <c r="AA150" s="726">
        <f t="shared" si="333"/>
        <v>9.0339234401985102E-2</v>
      </c>
      <c r="AB150" s="251">
        <f t="shared" si="333"/>
        <v>6.036263023879096E-2</v>
      </c>
      <c r="AC150" s="743">
        <f t="shared" si="333"/>
        <v>6.3097953192500889E-2</v>
      </c>
      <c r="AD150" s="249">
        <f t="shared" si="333"/>
        <v>8.892344847775191E-2</v>
      </c>
      <c r="AE150" s="726">
        <f t="shared" si="333"/>
        <v>7.71518947566876E-2</v>
      </c>
      <c r="AF150" s="726">
        <f t="shared" si="333"/>
        <v>6.3629672592093733E-3</v>
      </c>
      <c r="AG150" s="251">
        <f t="shared" ref="AG150:AP150" si="334">+AG149/AB149-1</f>
        <v>1.1656928923932108E-2</v>
      </c>
      <c r="AH150" s="743">
        <f t="shared" si="334"/>
        <v>4.435190360582153E-2</v>
      </c>
      <c r="AI150" s="249">
        <f t="shared" si="334"/>
        <v>5.53429150382585E-2</v>
      </c>
      <c r="AJ150" s="726">
        <f t="shared" si="334"/>
        <v>9.6979126150655848E-3</v>
      </c>
      <c r="AK150" s="726">
        <f t="shared" si="334"/>
        <v>-1.968945795009891E-2</v>
      </c>
      <c r="AL150" s="251">
        <f t="shared" si="334"/>
        <v>-7.7692736612246294E-2</v>
      </c>
      <c r="AM150" s="743">
        <f t="shared" si="334"/>
        <v>-9.2512924599759128E-3</v>
      </c>
      <c r="AN150" s="249">
        <f t="shared" si="334"/>
        <v>2.0525394045534107E-2</v>
      </c>
      <c r="AO150" s="726">
        <f t="shared" si="334"/>
        <v>2.2560928631962796E-2</v>
      </c>
      <c r="AP150" s="726">
        <f t="shared" si="334"/>
        <v>8.4001168927165581E-2</v>
      </c>
      <c r="AQ150" s="251">
        <f>+AQ149/AL149-1</f>
        <v>-1.5624155633612857E-2</v>
      </c>
      <c r="AR150" s="743">
        <f>+AR149/AM149-1</f>
        <v>2.7448088959486361E-2</v>
      </c>
      <c r="AS150" s="249">
        <f t="shared" ref="AS150" si="335">+AS149/AN149-1</f>
        <v>-2.6434027257750459E-2</v>
      </c>
      <c r="AT150" s="726">
        <f t="shared" ref="AT150" si="336">+AT149/AO149-1</f>
        <v>-3.1245683430652482E-2</v>
      </c>
      <c r="AU150" s="726">
        <f t="shared" ref="AU150" si="337">+AU149/AP149-1</f>
        <v>-8.4136277426434702E-2</v>
      </c>
      <c r="AV150" s="251">
        <f>+AV149/AQ149-1</f>
        <v>4.2051232784590331E-2</v>
      </c>
      <c r="AW150" s="743">
        <f>+AW149/AR149-1</f>
        <v>-2.6246038651841386E-2</v>
      </c>
      <c r="AX150" s="249">
        <f>+AX69</f>
        <v>0</v>
      </c>
      <c r="AY150" s="250">
        <f>+AY69</f>
        <v>0</v>
      </c>
      <c r="AZ150" s="250">
        <f>+AZ69</f>
        <v>0</v>
      </c>
      <c r="BA150" s="251">
        <f>+BA69</f>
        <v>0</v>
      </c>
      <c r="BB150" s="252">
        <f>+BB149/AW149-1</f>
        <v>0</v>
      </c>
      <c r="BC150" s="249">
        <f>+BC69</f>
        <v>0.01</v>
      </c>
      <c r="BD150" s="250">
        <f>+BD69</f>
        <v>0.01</v>
      </c>
      <c r="BE150" s="250">
        <f>+BE69</f>
        <v>0.01</v>
      </c>
      <c r="BF150" s="251">
        <f>+BF69</f>
        <v>0.01</v>
      </c>
      <c r="BG150" s="252">
        <f>+BG149/BB149-1</f>
        <v>9.9999999999997868E-3</v>
      </c>
      <c r="BH150" s="249">
        <f>+BH69</f>
        <v>0.01</v>
      </c>
      <c r="BI150" s="250">
        <f>+BI69</f>
        <v>0.01</v>
      </c>
      <c r="BJ150" s="250">
        <f>+BJ69</f>
        <v>0.01</v>
      </c>
      <c r="BK150" s="251">
        <f>+BK69</f>
        <v>0.01</v>
      </c>
      <c r="BL150" s="252">
        <f>+BL149/BG149-1</f>
        <v>1.0000000000000009E-2</v>
      </c>
      <c r="BM150" s="249">
        <f>+BM69</f>
        <v>0.01</v>
      </c>
      <c r="BN150" s="250">
        <f>+BN69</f>
        <v>0.01</v>
      </c>
      <c r="BO150" s="250">
        <f>+BO69</f>
        <v>0.01</v>
      </c>
      <c r="BP150" s="251">
        <f>+BP69</f>
        <v>0.01</v>
      </c>
      <c r="BQ150" s="252">
        <f>+BQ149/BL149-1</f>
        <v>1.0000000000000231E-2</v>
      </c>
      <c r="BR150" s="45"/>
      <c r="BS150" s="45"/>
      <c r="BT150" s="45"/>
      <c r="BU150" s="45"/>
      <c r="BV150" s="45"/>
      <c r="BW150" s="45"/>
      <c r="BX150" s="45"/>
      <c r="BY150" s="45"/>
      <c r="BZ150" s="45"/>
      <c r="CA150" s="45"/>
      <c r="CB150" s="45"/>
      <c r="CC150" s="45"/>
      <c r="CD150" s="45"/>
      <c r="CE150" s="45"/>
      <c r="CF150" s="45"/>
      <c r="CG150" s="45"/>
      <c r="CH150" s="45"/>
      <c r="CI150" s="45"/>
      <c r="CJ150" s="45"/>
      <c r="CK150" s="45"/>
      <c r="CL150" s="45"/>
      <c r="CM150" s="45"/>
      <c r="CN150" s="45"/>
      <c r="CO150" s="45"/>
      <c r="CP150" s="45"/>
      <c r="CQ150" s="45"/>
      <c r="CR150" s="45"/>
      <c r="CS150" s="45"/>
      <c r="CT150" s="45"/>
      <c r="CU150" s="45"/>
      <c r="CV150" s="45"/>
      <c r="CW150" s="45"/>
      <c r="CX150" s="45"/>
      <c r="CY150" s="45"/>
      <c r="CZ150" s="45"/>
    </row>
    <row r="151" spans="1:104" x14ac:dyDescent="0.2">
      <c r="A151" s="20"/>
      <c r="B151" s="20"/>
      <c r="C151" s="289"/>
      <c r="D151" s="20"/>
      <c r="E151" s="203"/>
      <c r="F151" s="204"/>
      <c r="G151" s="204"/>
      <c r="H151" s="205"/>
      <c r="I151" s="206"/>
      <c r="J151" s="203"/>
      <c r="K151" s="204"/>
      <c r="L151" s="204"/>
      <c r="M151" s="205"/>
      <c r="N151" s="206"/>
      <c r="O151" s="203"/>
      <c r="P151" s="204"/>
      <c r="Q151" s="616"/>
      <c r="R151" s="205"/>
      <c r="S151" s="744"/>
      <c r="T151" s="203"/>
      <c r="U151" s="616"/>
      <c r="V151" s="616"/>
      <c r="W151" s="205"/>
      <c r="X151" s="744"/>
      <c r="Y151" s="203"/>
      <c r="Z151" s="616"/>
      <c r="AA151" s="616"/>
      <c r="AB151" s="205"/>
      <c r="AC151" s="744"/>
      <c r="AD151" s="203"/>
      <c r="AE151" s="616"/>
      <c r="AF151" s="616"/>
      <c r="AG151" s="205"/>
      <c r="AH151" s="744"/>
      <c r="AI151" s="203"/>
      <c r="AJ151" s="616"/>
      <c r="AK151" s="616"/>
      <c r="AL151" s="205"/>
      <c r="AM151" s="744"/>
      <c r="AN151" s="203"/>
      <c r="AO151" s="616"/>
      <c r="AP151" s="616"/>
      <c r="AQ151" s="205"/>
      <c r="AR151" s="744"/>
      <c r="AS151" s="203"/>
      <c r="AT151" s="616"/>
      <c r="AU151" s="616"/>
      <c r="AV151" s="205"/>
      <c r="AW151" s="744"/>
      <c r="AX151" s="203"/>
      <c r="AY151" s="204"/>
      <c r="AZ151" s="204"/>
      <c r="BA151" s="205"/>
      <c r="BB151" s="206"/>
      <c r="BC151" s="203"/>
      <c r="BD151" s="204"/>
      <c r="BE151" s="204"/>
      <c r="BF151" s="205"/>
      <c r="BG151" s="206"/>
      <c r="BH151" s="203"/>
      <c r="BI151" s="204"/>
      <c r="BJ151" s="204"/>
      <c r="BK151" s="205"/>
      <c r="BL151" s="206"/>
      <c r="BM151" s="203"/>
      <c r="BN151" s="204"/>
      <c r="BO151" s="204"/>
      <c r="BP151" s="205"/>
      <c r="BQ151" s="206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</row>
    <row r="152" spans="1:104" x14ac:dyDescent="0.2">
      <c r="A152" s="220"/>
      <c r="B152" s="220"/>
      <c r="C152" s="289" t="s">
        <v>122</v>
      </c>
      <c r="D152" s="82"/>
      <c r="E152" s="136">
        <f>+E22</f>
        <v>36.822000000000003</v>
      </c>
      <c r="F152" s="135">
        <f t="shared" ref="F152:N152" si="338">+F22</f>
        <v>35.39</v>
      </c>
      <c r="G152" s="135">
        <f t="shared" si="338"/>
        <v>37.680999999999997</v>
      </c>
      <c r="H152" s="116">
        <f t="shared" si="338"/>
        <v>37.300000000000011</v>
      </c>
      <c r="I152" s="82">
        <f t="shared" si="338"/>
        <v>147.19300000000001</v>
      </c>
      <c r="J152" s="136">
        <f>+J22</f>
        <v>40.22</v>
      </c>
      <c r="K152" s="135">
        <f t="shared" si="338"/>
        <v>39.387</v>
      </c>
      <c r="L152" s="135">
        <f t="shared" si="338"/>
        <v>38.268999999999998</v>
      </c>
      <c r="M152" s="116">
        <f t="shared" si="338"/>
        <v>45.025000000000006</v>
      </c>
      <c r="N152" s="82">
        <f t="shared" si="338"/>
        <v>162.90100000000001</v>
      </c>
      <c r="O152" s="136">
        <f t="shared" ref="O152:T152" si="339">+O22</f>
        <v>45.652999999999999</v>
      </c>
      <c r="P152" s="135">
        <f t="shared" si="339"/>
        <v>40.334000000000003</v>
      </c>
      <c r="Q152" s="137">
        <f t="shared" si="339"/>
        <v>40.58</v>
      </c>
      <c r="R152" s="116">
        <f t="shared" si="339"/>
        <v>46.159000000000006</v>
      </c>
      <c r="S152" s="220">
        <f t="shared" si="339"/>
        <v>172.726</v>
      </c>
      <c r="T152" s="136">
        <f t="shared" si="339"/>
        <v>53.768000000000001</v>
      </c>
      <c r="U152" s="137">
        <f t="shared" ref="U152:Z152" si="340">+U22</f>
        <v>48.374000000000002</v>
      </c>
      <c r="V152" s="137">
        <f t="shared" si="340"/>
        <v>49.268999999999998</v>
      </c>
      <c r="W152" s="116">
        <f t="shared" si="340"/>
        <v>52.975999999999999</v>
      </c>
      <c r="X152" s="220">
        <f t="shared" si="340"/>
        <v>204.387</v>
      </c>
      <c r="Y152" s="136">
        <f t="shared" si="340"/>
        <v>59.454999999999998</v>
      </c>
      <c r="Z152" s="137">
        <f t="shared" si="340"/>
        <v>46.68</v>
      </c>
      <c r="AA152" s="137">
        <f t="shared" ref="AA152:AF152" si="341">+AA22</f>
        <v>52.488999999999997</v>
      </c>
      <c r="AB152" s="116">
        <f t="shared" si="341"/>
        <v>48.117000000000019</v>
      </c>
      <c r="AC152" s="220">
        <f t="shared" si="341"/>
        <v>206.74100000000001</v>
      </c>
      <c r="AD152" s="136">
        <f t="shared" si="341"/>
        <v>62.16</v>
      </c>
      <c r="AE152" s="137">
        <f t="shared" si="341"/>
        <v>55.015000000000001</v>
      </c>
      <c r="AF152" s="137">
        <f t="shared" si="341"/>
        <v>57.859000000000002</v>
      </c>
      <c r="AG152" s="116">
        <f t="shared" ref="AG152:AM152" si="342">+AG22</f>
        <v>46.804000000000002</v>
      </c>
      <c r="AH152" s="220">
        <f t="shared" si="342"/>
        <v>221.83799999999999</v>
      </c>
      <c r="AI152" s="136">
        <f t="shared" si="342"/>
        <v>63.832000000000001</v>
      </c>
      <c r="AJ152" s="137">
        <f t="shared" si="342"/>
        <v>58.487000000000002</v>
      </c>
      <c r="AK152" s="137">
        <f t="shared" si="342"/>
        <v>54.783999999999999</v>
      </c>
      <c r="AL152" s="116">
        <f t="shared" si="342"/>
        <v>52.498999999999995</v>
      </c>
      <c r="AM152" s="220">
        <f t="shared" si="342"/>
        <v>229.602</v>
      </c>
      <c r="AN152" s="136">
        <f t="shared" ref="AN152:AR152" si="343">+AN22</f>
        <v>70.352000000000004</v>
      </c>
      <c r="AO152" s="137">
        <f t="shared" si="343"/>
        <v>65.984999999999999</v>
      </c>
      <c r="AP152" s="137">
        <f t="shared" si="343"/>
        <v>49.762999999999998</v>
      </c>
      <c r="AQ152" s="116">
        <f t="shared" si="343"/>
        <v>59.918000000000006</v>
      </c>
      <c r="AR152" s="220">
        <f t="shared" si="343"/>
        <v>246.018</v>
      </c>
      <c r="AS152" s="136">
        <f t="shared" ref="AS152:AW152" si="344">+AS22</f>
        <v>68.323999999999998</v>
      </c>
      <c r="AT152" s="137">
        <f t="shared" si="344"/>
        <v>61.445</v>
      </c>
      <c r="AU152" s="137">
        <f t="shared" si="344"/>
        <v>62.22</v>
      </c>
      <c r="AV152" s="116">
        <f t="shared" si="344"/>
        <v>61.525000000000006</v>
      </c>
      <c r="AW152" s="220">
        <f t="shared" si="344"/>
        <v>253.51400000000001</v>
      </c>
      <c r="AX152" s="136">
        <f>AS152*(1+AX153)</f>
        <v>72.765059999999991</v>
      </c>
      <c r="AY152" s="135">
        <f>AT152*(1+AY153)</f>
        <v>65.438924999999998</v>
      </c>
      <c r="AZ152" s="135">
        <f>AU152*(1+AZ153)</f>
        <v>66.264299999999992</v>
      </c>
      <c r="BA152" s="116">
        <f>AV152*(1+BA153)</f>
        <v>65.524124999999998</v>
      </c>
      <c r="BB152" s="82">
        <f>+SUM(AX152:BA152)</f>
        <v>269.99240999999995</v>
      </c>
      <c r="BC152" s="136">
        <f>AX152*(1+BC153)</f>
        <v>74.584186499999987</v>
      </c>
      <c r="BD152" s="135">
        <f>AY152*(1+BD153)</f>
        <v>67.07489812499999</v>
      </c>
      <c r="BE152" s="135">
        <f>AZ152*(1+BE153)</f>
        <v>67.920907499999984</v>
      </c>
      <c r="BF152" s="116">
        <f>BA152*(1+BF153)</f>
        <v>67.162228124999999</v>
      </c>
      <c r="BG152" s="82">
        <f>+SUM(BC152:BF152)</f>
        <v>276.74222025</v>
      </c>
      <c r="BH152" s="136">
        <f>BC152*(1+BH153)</f>
        <v>76.448791162499987</v>
      </c>
      <c r="BI152" s="135">
        <f>BD152*(1+BI153)</f>
        <v>68.75177057812499</v>
      </c>
      <c r="BJ152" s="135">
        <f>BE152*(1+BJ153)</f>
        <v>69.618930187499984</v>
      </c>
      <c r="BK152" s="116">
        <f>BF152*(1+BK153)</f>
        <v>68.841283828124986</v>
      </c>
      <c r="BL152" s="82">
        <f>+SUM(BH152:BK152)</f>
        <v>283.66077575624996</v>
      </c>
      <c r="BM152" s="136">
        <f>BH152*(1+BM153)</f>
        <v>78.360010941562479</v>
      </c>
      <c r="BN152" s="135">
        <f>BI152*(1+BN153)</f>
        <v>70.470564842578113</v>
      </c>
      <c r="BO152" s="135">
        <f>BJ152*(1+BO153)</f>
        <v>71.359403442187471</v>
      </c>
      <c r="BP152" s="116">
        <f>BK152*(1+BP153)</f>
        <v>70.562315923828109</v>
      </c>
      <c r="BQ152" s="82">
        <f>+SUM(BM152:BP152)</f>
        <v>290.75229515015616</v>
      </c>
      <c r="BR152" s="220"/>
      <c r="BS152" s="220"/>
      <c r="BT152" s="220"/>
      <c r="BU152" s="220"/>
      <c r="BV152" s="220"/>
      <c r="BW152" s="220"/>
      <c r="BX152" s="220"/>
      <c r="BY152" s="220"/>
      <c r="BZ152" s="220"/>
      <c r="CA152" s="220"/>
      <c r="CB152" s="220"/>
      <c r="CC152" s="220"/>
      <c r="CD152" s="220"/>
      <c r="CE152" s="220"/>
      <c r="CF152" s="220"/>
      <c r="CG152" s="220"/>
      <c r="CH152" s="220"/>
      <c r="CI152" s="220"/>
      <c r="CJ152" s="220"/>
      <c r="CK152" s="220"/>
      <c r="CL152" s="220"/>
      <c r="CM152" s="220"/>
      <c r="CN152" s="220"/>
      <c r="CO152" s="220"/>
      <c r="CP152" s="220"/>
      <c r="CQ152" s="220"/>
      <c r="CR152" s="220"/>
      <c r="CS152" s="220"/>
      <c r="CT152" s="220"/>
      <c r="CU152" s="220"/>
      <c r="CV152" s="220"/>
      <c r="CW152" s="220"/>
      <c r="CX152" s="220"/>
      <c r="CY152" s="220"/>
      <c r="CZ152" s="220"/>
    </row>
    <row r="153" spans="1:104" x14ac:dyDescent="0.2">
      <c r="A153" s="45"/>
      <c r="B153" s="45"/>
      <c r="C153" s="338" t="s">
        <v>287</v>
      </c>
      <c r="D153" s="45"/>
      <c r="E153" s="339"/>
      <c r="F153" s="340"/>
      <c r="G153" s="340"/>
      <c r="H153" s="341"/>
      <c r="I153" s="252"/>
      <c r="J153" s="249">
        <f t="shared" ref="J153:P153" si="345">+J152/E152-1</f>
        <v>9.2281788061484793E-2</v>
      </c>
      <c r="K153" s="250">
        <f t="shared" si="345"/>
        <v>0.11294150890081944</v>
      </c>
      <c r="L153" s="250">
        <f t="shared" si="345"/>
        <v>1.5604681404421283E-2</v>
      </c>
      <c r="M153" s="251">
        <f t="shared" si="345"/>
        <v>0.20710455764075042</v>
      </c>
      <c r="N153" s="252">
        <f t="shared" si="345"/>
        <v>0.10671703138056832</v>
      </c>
      <c r="O153" s="249">
        <f t="shared" si="345"/>
        <v>0.13508204873197416</v>
      </c>
      <c r="P153" s="250">
        <f t="shared" si="345"/>
        <v>2.4043466118262469E-2</v>
      </c>
      <c r="Q153" s="726">
        <f t="shared" ref="Q153:Y153" si="346">+Q152/L152-1</f>
        <v>6.0388303849068459E-2</v>
      </c>
      <c r="R153" s="251">
        <f t="shared" si="346"/>
        <v>2.518600777345914E-2</v>
      </c>
      <c r="S153" s="743">
        <f t="shared" si="346"/>
        <v>6.031270526270549E-2</v>
      </c>
      <c r="T153" s="249">
        <f t="shared" si="346"/>
        <v>0.17775392635752318</v>
      </c>
      <c r="U153" s="726">
        <f t="shared" si="346"/>
        <v>0.19933554817275745</v>
      </c>
      <c r="V153" s="726">
        <f t="shared" si="346"/>
        <v>0.21412025628388376</v>
      </c>
      <c r="W153" s="251">
        <f t="shared" si="346"/>
        <v>0.14768517515544088</v>
      </c>
      <c r="X153" s="743">
        <f t="shared" si="346"/>
        <v>0.18330187696119871</v>
      </c>
      <c r="Y153" s="249">
        <f t="shared" si="346"/>
        <v>0.10576923076923062</v>
      </c>
      <c r="Z153" s="726">
        <f t="shared" ref="Z153:AF153" si="347">+Z152/U152-1</f>
        <v>-3.5018811758382618E-2</v>
      </c>
      <c r="AA153" s="726">
        <f t="shared" si="347"/>
        <v>6.5355497371572424E-2</v>
      </c>
      <c r="AB153" s="251">
        <f t="shared" si="347"/>
        <v>-9.1720779220778814E-2</v>
      </c>
      <c r="AC153" s="743">
        <f t="shared" si="347"/>
        <v>1.1517366564409715E-2</v>
      </c>
      <c r="AD153" s="249">
        <f t="shared" si="347"/>
        <v>4.5496594062736539E-2</v>
      </c>
      <c r="AE153" s="726">
        <f t="shared" si="347"/>
        <v>0.17855612682090838</v>
      </c>
      <c r="AF153" s="726">
        <f t="shared" si="347"/>
        <v>0.1023071500695385</v>
      </c>
      <c r="AG153" s="251">
        <f t="shared" ref="AG153:AP153" si="348">+AG152/AB152-1</f>
        <v>-2.7287653012449176E-2</v>
      </c>
      <c r="AH153" s="743">
        <f t="shared" si="348"/>
        <v>7.3023735011439328E-2</v>
      </c>
      <c r="AI153" s="249">
        <f t="shared" si="348"/>
        <v>2.6898326898326941E-2</v>
      </c>
      <c r="AJ153" s="726">
        <f t="shared" si="348"/>
        <v>6.3110060892483943E-2</v>
      </c>
      <c r="AK153" s="726">
        <f t="shared" si="348"/>
        <v>-5.314644221296605E-2</v>
      </c>
      <c r="AL153" s="251">
        <f t="shared" si="348"/>
        <v>0.12167763439022283</v>
      </c>
      <c r="AM153" s="743">
        <f t="shared" si="348"/>
        <v>3.4998512427988127E-2</v>
      </c>
      <c r="AN153" s="249">
        <f t="shared" si="348"/>
        <v>0.10214312570497563</v>
      </c>
      <c r="AO153" s="726">
        <f t="shared" si="348"/>
        <v>0.12819942893292513</v>
      </c>
      <c r="AP153" s="726">
        <f t="shared" si="348"/>
        <v>-9.1650846962616828E-2</v>
      </c>
      <c r="AQ153" s="251">
        <f>+AQ152/AL152-1</f>
        <v>0.14131697746623773</v>
      </c>
      <c r="AR153" s="743">
        <f>+AR152/AM152-1</f>
        <v>7.1497635038022311E-2</v>
      </c>
      <c r="AS153" s="249">
        <f t="shared" ref="AS153" si="349">+AS152/AN152-1</f>
        <v>-2.8826472594951191E-2</v>
      </c>
      <c r="AT153" s="726">
        <f t="shared" ref="AT153" si="350">+AT152/AO152-1</f>
        <v>-6.8803515950594862E-2</v>
      </c>
      <c r="AU153" s="726">
        <f t="shared" ref="AU153" si="351">+AU152/AP152-1</f>
        <v>0.25032654783674624</v>
      </c>
      <c r="AV153" s="251">
        <f>+AV152/AQ152-1</f>
        <v>2.6819987315998439E-2</v>
      </c>
      <c r="AW153" s="743">
        <f>+AW152/AR152-1</f>
        <v>3.04693152533555E-2</v>
      </c>
      <c r="AX153" s="249">
        <f>+AX70</f>
        <v>6.5000000000000002E-2</v>
      </c>
      <c r="AY153" s="250">
        <f>+AY70</f>
        <v>6.5000000000000002E-2</v>
      </c>
      <c r="AZ153" s="250">
        <f>+AZ70</f>
        <v>6.5000000000000002E-2</v>
      </c>
      <c r="BA153" s="251">
        <f>+BA70</f>
        <v>6.5000000000000002E-2</v>
      </c>
      <c r="BB153" s="252">
        <f>+BB152/AW152-1</f>
        <v>6.4999999999999725E-2</v>
      </c>
      <c r="BC153" s="249">
        <f>+BC70</f>
        <v>2.5000000000000001E-2</v>
      </c>
      <c r="BD153" s="250">
        <f>+BD70</f>
        <v>2.5000000000000001E-2</v>
      </c>
      <c r="BE153" s="250">
        <f>+BE70</f>
        <v>2.5000000000000001E-2</v>
      </c>
      <c r="BF153" s="251">
        <f>+BF70</f>
        <v>2.5000000000000001E-2</v>
      </c>
      <c r="BG153" s="252">
        <f>+BG152/BB152-1</f>
        <v>2.5000000000000133E-2</v>
      </c>
      <c r="BH153" s="249">
        <f>+BH70</f>
        <v>2.5000000000000001E-2</v>
      </c>
      <c r="BI153" s="250">
        <f>+BI70</f>
        <v>2.5000000000000001E-2</v>
      </c>
      <c r="BJ153" s="250">
        <f>+BJ70</f>
        <v>2.5000000000000001E-2</v>
      </c>
      <c r="BK153" s="251">
        <f>+BK70</f>
        <v>2.5000000000000001E-2</v>
      </c>
      <c r="BL153" s="252">
        <f>+BL152/BG152-1</f>
        <v>2.4999999999999911E-2</v>
      </c>
      <c r="BM153" s="249">
        <f>+BM70</f>
        <v>2.5000000000000001E-2</v>
      </c>
      <c r="BN153" s="250">
        <f>+BN70</f>
        <v>2.5000000000000001E-2</v>
      </c>
      <c r="BO153" s="250">
        <f>+BO70</f>
        <v>2.5000000000000001E-2</v>
      </c>
      <c r="BP153" s="251">
        <f>+BP70</f>
        <v>2.5000000000000001E-2</v>
      </c>
      <c r="BQ153" s="252">
        <f>+BQ152/BL152-1</f>
        <v>2.4999999999999911E-2</v>
      </c>
      <c r="BR153" s="45"/>
      <c r="BS153" s="45"/>
      <c r="BT153" s="45"/>
      <c r="BU153" s="45"/>
      <c r="BV153" s="45"/>
      <c r="BW153" s="45"/>
      <c r="BX153" s="45"/>
      <c r="BY153" s="45"/>
      <c r="BZ153" s="45"/>
      <c r="CA153" s="45"/>
      <c r="CB153" s="45"/>
      <c r="CC153" s="45"/>
      <c r="CD153" s="45"/>
      <c r="CE153" s="45"/>
      <c r="CF153" s="45"/>
      <c r="CG153" s="45"/>
      <c r="CH153" s="45"/>
      <c r="CI153" s="45"/>
      <c r="CJ153" s="45"/>
      <c r="CK153" s="45"/>
      <c r="CL153" s="45"/>
      <c r="CM153" s="45"/>
      <c r="CN153" s="45"/>
      <c r="CO153" s="45"/>
      <c r="CP153" s="45"/>
      <c r="CQ153" s="45"/>
      <c r="CR153" s="45"/>
      <c r="CS153" s="45"/>
      <c r="CT153" s="45"/>
      <c r="CU153" s="45"/>
      <c r="CV153" s="45"/>
      <c r="CW153" s="45"/>
      <c r="CX153" s="45"/>
      <c r="CY153" s="45"/>
      <c r="CZ153" s="45"/>
    </row>
    <row r="154" spans="1:104" x14ac:dyDescent="0.2">
      <c r="A154" s="20"/>
      <c r="B154" s="20"/>
      <c r="C154" s="20"/>
      <c r="D154" s="20"/>
      <c r="E154" s="203"/>
      <c r="F154" s="204"/>
      <c r="G154" s="204"/>
      <c r="H154" s="205"/>
      <c r="I154" s="206"/>
      <c r="J154" s="203"/>
      <c r="K154" s="204"/>
      <c r="L154" s="204"/>
      <c r="M154" s="205"/>
      <c r="N154" s="206"/>
      <c r="O154" s="203"/>
      <c r="P154" s="204"/>
      <c r="Q154" s="616"/>
      <c r="R154" s="205"/>
      <c r="S154" s="744"/>
      <c r="T154" s="203"/>
      <c r="U154" s="616"/>
      <c r="V154" s="616"/>
      <c r="W154" s="205"/>
      <c r="X154" s="744"/>
      <c r="Y154" s="203"/>
      <c r="Z154" s="616"/>
      <c r="AA154" s="616"/>
      <c r="AB154" s="205"/>
      <c r="AC154" s="744"/>
      <c r="AD154" s="203"/>
      <c r="AE154" s="616"/>
      <c r="AF154" s="616"/>
      <c r="AG154" s="205"/>
      <c r="AH154" s="744"/>
      <c r="AI154" s="203"/>
      <c r="AJ154" s="616"/>
      <c r="AK154" s="616"/>
      <c r="AL154" s="205"/>
      <c r="AM154" s="744"/>
      <c r="AN154" s="203"/>
      <c r="AO154" s="616"/>
      <c r="AP154" s="616"/>
      <c r="AQ154" s="205"/>
      <c r="AR154" s="744"/>
      <c r="AS154" s="203"/>
      <c r="AT154" s="616"/>
      <c r="AU154" s="616"/>
      <c r="AV154" s="205"/>
      <c r="AW154" s="744"/>
      <c r="AX154" s="203"/>
      <c r="AY154" s="204"/>
      <c r="AZ154" s="204"/>
      <c r="BA154" s="205"/>
      <c r="BB154" s="206"/>
      <c r="BC154" s="203"/>
      <c r="BD154" s="204"/>
      <c r="BE154" s="204"/>
      <c r="BF154" s="205"/>
      <c r="BG154" s="206"/>
      <c r="BH154" s="203"/>
      <c r="BI154" s="204"/>
      <c r="BJ154" s="204"/>
      <c r="BK154" s="205"/>
      <c r="BL154" s="206"/>
      <c r="BM154" s="203"/>
      <c r="BN154" s="204"/>
      <c r="BO154" s="204"/>
      <c r="BP154" s="205"/>
      <c r="BQ154" s="206"/>
      <c r="BR154" s="20"/>
      <c r="BS154" s="20"/>
      <c r="BT154" s="20"/>
      <c r="BU154" s="20"/>
      <c r="BV154" s="20"/>
      <c r="BW154" s="20"/>
      <c r="BX154" s="20"/>
      <c r="BY154" s="20"/>
      <c r="BZ154" s="20"/>
      <c r="CA154" s="20"/>
      <c r="CB154" s="20"/>
      <c r="CC154" s="20"/>
      <c r="CD154" s="20"/>
      <c r="CE154" s="20"/>
      <c r="CF154" s="20"/>
      <c r="CG154" s="20"/>
      <c r="CH154" s="20"/>
      <c r="CI154" s="20"/>
      <c r="CJ154" s="20"/>
      <c r="CK154" s="20"/>
      <c r="CL154" s="20"/>
      <c r="CM154" s="20"/>
      <c r="CN154" s="20"/>
      <c r="CO154" s="20"/>
      <c r="CP154" s="20"/>
      <c r="CQ154" s="20"/>
      <c r="CR154" s="20"/>
      <c r="CS154" s="20"/>
      <c r="CT154" s="20"/>
      <c r="CU154" s="20"/>
      <c r="CV154" s="20"/>
      <c r="CW154" s="20"/>
      <c r="CX154" s="20"/>
      <c r="CY154" s="20"/>
      <c r="CZ154" s="20"/>
    </row>
    <row r="155" spans="1:104" x14ac:dyDescent="0.2">
      <c r="A155" s="220"/>
      <c r="B155" s="220"/>
      <c r="C155" t="s">
        <v>442</v>
      </c>
      <c r="D155" s="82"/>
      <c r="E155" s="136">
        <f>+E23</f>
        <v>14.661</v>
      </c>
      <c r="F155" s="135">
        <f t="shared" ref="F155:N155" si="352">+F23</f>
        <v>12.742000000000001</v>
      </c>
      <c r="G155" s="135">
        <f t="shared" si="352"/>
        <v>14.381</v>
      </c>
      <c r="H155" s="116">
        <f t="shared" si="352"/>
        <v>17.46</v>
      </c>
      <c r="I155" s="82">
        <f t="shared" si="352"/>
        <v>59.244</v>
      </c>
      <c r="J155" s="136">
        <f>+J23</f>
        <v>19.486000000000001</v>
      </c>
      <c r="K155" s="135">
        <f t="shared" si="352"/>
        <v>15.965</v>
      </c>
      <c r="L155" s="135">
        <f t="shared" si="352"/>
        <v>21.510999999999999</v>
      </c>
      <c r="M155" s="116">
        <f t="shared" si="352"/>
        <v>29.335999999999999</v>
      </c>
      <c r="N155" s="82">
        <f t="shared" si="352"/>
        <v>86.298000000000002</v>
      </c>
      <c r="O155" s="136">
        <f t="shared" ref="O155:T155" si="353">+O23</f>
        <v>38.485999999999997</v>
      </c>
      <c r="P155" s="135">
        <f t="shared" si="353"/>
        <v>29.925999999999998</v>
      </c>
      <c r="Q155" s="137">
        <f t="shared" si="353"/>
        <v>33.594000000000001</v>
      </c>
      <c r="R155" s="116">
        <f t="shared" si="353"/>
        <v>35.995000000000005</v>
      </c>
      <c r="S155" s="220">
        <f t="shared" si="353"/>
        <v>138.001</v>
      </c>
      <c r="T155" s="136">
        <f t="shared" si="353"/>
        <v>27.684000000000001</v>
      </c>
      <c r="U155" s="137">
        <f t="shared" ref="U155:Z155" si="354">+U23</f>
        <v>22.486999999999998</v>
      </c>
      <c r="V155" s="137">
        <f t="shared" si="354"/>
        <v>28.408000000000001</v>
      </c>
      <c r="W155" s="116">
        <f t="shared" si="354"/>
        <v>31.409999999999997</v>
      </c>
      <c r="X155" s="220">
        <f t="shared" si="354"/>
        <v>109.989</v>
      </c>
      <c r="Y155" s="136">
        <f t="shared" si="354"/>
        <v>24.879000000000001</v>
      </c>
      <c r="Z155" s="137">
        <f t="shared" si="354"/>
        <v>21.178000000000001</v>
      </c>
      <c r="AA155" s="137">
        <f t="shared" ref="AA155:AF155" si="355">+AA23</f>
        <v>23.699000000000002</v>
      </c>
      <c r="AB155" s="116">
        <f t="shared" si="355"/>
        <v>26.879000000000005</v>
      </c>
      <c r="AC155" s="220">
        <f t="shared" si="355"/>
        <v>96.635000000000005</v>
      </c>
      <c r="AD155" s="136">
        <f t="shared" si="355"/>
        <v>36.616999999999997</v>
      </c>
      <c r="AE155" s="137">
        <f t="shared" si="355"/>
        <v>30.291</v>
      </c>
      <c r="AF155" s="137">
        <f t="shared" si="355"/>
        <v>32.588999999999999</v>
      </c>
      <c r="AG155" s="116">
        <f t="shared" ref="AG155:AM155" si="356">+AG23</f>
        <v>38.60799999999999</v>
      </c>
      <c r="AH155" s="220">
        <f t="shared" si="356"/>
        <v>138.10499999999999</v>
      </c>
      <c r="AI155" s="136">
        <f t="shared" si="356"/>
        <v>17.212</v>
      </c>
      <c r="AJ155" s="137">
        <f t="shared" si="356"/>
        <v>14.877000000000001</v>
      </c>
      <c r="AK155" s="137">
        <f t="shared" si="356"/>
        <v>17.573</v>
      </c>
      <c r="AL155" s="116">
        <f t="shared" si="356"/>
        <v>21.276000000000003</v>
      </c>
      <c r="AM155" s="220">
        <f t="shared" si="356"/>
        <v>70.938000000000002</v>
      </c>
      <c r="AN155" s="136">
        <f t="shared" ref="AN155:AR155" si="357">+AN23</f>
        <v>23.268999999999998</v>
      </c>
      <c r="AO155" s="137">
        <f t="shared" si="357"/>
        <v>20.228999999999999</v>
      </c>
      <c r="AP155" s="137">
        <f t="shared" si="357"/>
        <v>23.925999999999998</v>
      </c>
      <c r="AQ155" s="116">
        <f t="shared" si="357"/>
        <v>30.512000000000015</v>
      </c>
      <c r="AR155" s="220">
        <f t="shared" si="357"/>
        <v>97.936000000000007</v>
      </c>
      <c r="AS155" s="136">
        <f t="shared" ref="AS155:AW155" si="358">+AS23</f>
        <v>32.499000000000002</v>
      </c>
      <c r="AT155" s="137">
        <f t="shared" si="358"/>
        <v>28.065000000000001</v>
      </c>
      <c r="AU155" s="137">
        <f t="shared" si="358"/>
        <v>31.673999999999999</v>
      </c>
      <c r="AV155" s="116">
        <f t="shared" si="358"/>
        <v>27.83</v>
      </c>
      <c r="AW155" s="220">
        <f t="shared" si="358"/>
        <v>120.068</v>
      </c>
      <c r="AX155" s="136">
        <f>AS155*(1+AX156)</f>
        <v>32.499000000000002</v>
      </c>
      <c r="AY155" s="135">
        <f>AT155*(1+AY156)</f>
        <v>28.065000000000001</v>
      </c>
      <c r="AZ155" s="135">
        <f>AU155*(1+AZ156)</f>
        <v>31.673999999999999</v>
      </c>
      <c r="BA155" s="116">
        <f>AV155*(1+BA156)</f>
        <v>27.83</v>
      </c>
      <c r="BB155" s="82">
        <f>+SUM(AX155:BA155)</f>
        <v>120.068</v>
      </c>
      <c r="BC155" s="136">
        <f>AX155*(1+BC156)</f>
        <v>32.499000000000002</v>
      </c>
      <c r="BD155" s="135">
        <f>AY155*(1+BD156)</f>
        <v>28.065000000000001</v>
      </c>
      <c r="BE155" s="135">
        <f>AZ155*(1+BE156)</f>
        <v>31.673999999999999</v>
      </c>
      <c r="BF155" s="116">
        <f>BA155*(1+BF156)</f>
        <v>27.83</v>
      </c>
      <c r="BG155" s="82">
        <f>+SUM(BC155:BF155)</f>
        <v>120.068</v>
      </c>
      <c r="BH155" s="136">
        <f>BC155*(1+BH156)</f>
        <v>32.499000000000002</v>
      </c>
      <c r="BI155" s="135">
        <f>BD155*(1+BI156)</f>
        <v>28.065000000000001</v>
      </c>
      <c r="BJ155" s="135">
        <f>BE155*(1+BJ156)</f>
        <v>31.673999999999999</v>
      </c>
      <c r="BK155" s="116">
        <f>BF155*(1+BK156)</f>
        <v>27.83</v>
      </c>
      <c r="BL155" s="82">
        <f>+SUM(BH155:BK155)</f>
        <v>120.068</v>
      </c>
      <c r="BM155" s="136">
        <f>BH155*(1+BM156)</f>
        <v>32.499000000000002</v>
      </c>
      <c r="BN155" s="135">
        <f>BI155*(1+BN156)</f>
        <v>28.065000000000001</v>
      </c>
      <c r="BO155" s="135">
        <f>BJ155*(1+BO156)</f>
        <v>31.673999999999999</v>
      </c>
      <c r="BP155" s="116">
        <f>BK155*(1+BP156)</f>
        <v>27.83</v>
      </c>
      <c r="BQ155" s="82">
        <f>+SUM(BM155:BP155)</f>
        <v>120.068</v>
      </c>
      <c r="BR155" s="220"/>
      <c r="BS155" s="220"/>
      <c r="BT155" s="220"/>
      <c r="BU155" s="220"/>
      <c r="BV155" s="220"/>
      <c r="BW155" s="220"/>
      <c r="BX155" s="220"/>
      <c r="BY155" s="220"/>
      <c r="BZ155" s="220"/>
      <c r="CA155" s="220"/>
      <c r="CB155" s="220"/>
      <c r="CC155" s="220"/>
      <c r="CD155" s="220"/>
      <c r="CE155" s="220"/>
      <c r="CF155" s="220"/>
      <c r="CG155" s="220"/>
      <c r="CH155" s="220"/>
      <c r="CI155" s="220"/>
      <c r="CJ155" s="220"/>
      <c r="CK155" s="220"/>
      <c r="CL155" s="220"/>
      <c r="CM155" s="220"/>
      <c r="CN155" s="220"/>
      <c r="CO155" s="220"/>
      <c r="CP155" s="220"/>
      <c r="CQ155" s="220"/>
      <c r="CR155" s="220"/>
      <c r="CS155" s="220"/>
      <c r="CT155" s="220"/>
      <c r="CU155" s="220"/>
      <c r="CV155" s="220"/>
      <c r="CW155" s="220"/>
      <c r="CX155" s="220"/>
      <c r="CY155" s="220"/>
      <c r="CZ155" s="220"/>
    </row>
    <row r="156" spans="1:104" x14ac:dyDescent="0.2">
      <c r="A156" s="45"/>
      <c r="B156" s="45"/>
      <c r="C156" s="338" t="s">
        <v>287</v>
      </c>
      <c r="D156" s="45"/>
      <c r="E156" s="339"/>
      <c r="F156" s="340"/>
      <c r="G156" s="340"/>
      <c r="H156" s="341"/>
      <c r="I156" s="252"/>
      <c r="J156" s="249">
        <f t="shared" ref="J156:P156" si="359">+J155/E155-1</f>
        <v>0.32910442671032003</v>
      </c>
      <c r="K156" s="250">
        <f t="shared" si="359"/>
        <v>0.25294302307330074</v>
      </c>
      <c r="L156" s="250">
        <f t="shared" si="359"/>
        <v>0.49579306028787973</v>
      </c>
      <c r="M156" s="251">
        <f t="shared" si="359"/>
        <v>0.68018327605956452</v>
      </c>
      <c r="N156" s="252">
        <f t="shared" si="359"/>
        <v>0.45665383836337869</v>
      </c>
      <c r="O156" s="249">
        <f t="shared" si="359"/>
        <v>0.97505901672995976</v>
      </c>
      <c r="P156" s="250">
        <f t="shared" si="359"/>
        <v>0.87447541497024739</v>
      </c>
      <c r="Q156" s="726">
        <f t="shared" ref="Q156:Y156" si="360">+Q155/L155-1</f>
        <v>0.56171261215192247</v>
      </c>
      <c r="R156" s="251">
        <f t="shared" si="360"/>
        <v>0.22699072811562604</v>
      </c>
      <c r="S156" s="743">
        <f t="shared" si="360"/>
        <v>0.59912164824213776</v>
      </c>
      <c r="T156" s="249">
        <f t="shared" si="360"/>
        <v>-0.28067349165930455</v>
      </c>
      <c r="U156" s="726">
        <f t="shared" si="360"/>
        <v>-0.24857983024794494</v>
      </c>
      <c r="V156" s="726">
        <f t="shared" si="360"/>
        <v>-0.15437280466750014</v>
      </c>
      <c r="W156" s="251">
        <f t="shared" si="360"/>
        <v>-0.12737880261147405</v>
      </c>
      <c r="X156" s="743">
        <f t="shared" si="360"/>
        <v>-0.20298403634756268</v>
      </c>
      <c r="Y156" s="249">
        <f t="shared" si="360"/>
        <v>-0.1013220632856523</v>
      </c>
      <c r="Z156" s="726">
        <f t="shared" ref="Z156:AF156" si="361">+Z155/U155-1</f>
        <v>-5.821141103748817E-2</v>
      </c>
      <c r="AA156" s="726">
        <f t="shared" si="361"/>
        <v>-0.16576316530554769</v>
      </c>
      <c r="AB156" s="251">
        <f t="shared" si="361"/>
        <v>-0.14425342247691797</v>
      </c>
      <c r="AC156" s="743">
        <f t="shared" si="361"/>
        <v>-0.12141214121412136</v>
      </c>
      <c r="AD156" s="249">
        <f t="shared" si="361"/>
        <v>0.47180352908075074</v>
      </c>
      <c r="AE156" s="726">
        <f t="shared" si="361"/>
        <v>0.43030503352535643</v>
      </c>
      <c r="AF156" s="726">
        <f t="shared" si="361"/>
        <v>0.37512131313557529</v>
      </c>
      <c r="AG156" s="251">
        <f t="shared" ref="AG156:AP156" si="362">+AG155/AB155-1</f>
        <v>0.43636295993154439</v>
      </c>
      <c r="AH156" s="743">
        <f t="shared" si="362"/>
        <v>0.42914058053500259</v>
      </c>
      <c r="AI156" s="249">
        <f t="shared" si="362"/>
        <v>-0.52994510746374635</v>
      </c>
      <c r="AJ156" s="726">
        <f t="shared" si="362"/>
        <v>-0.50886401901554912</v>
      </c>
      <c r="AK156" s="726">
        <f t="shared" si="362"/>
        <v>-0.4607689711252263</v>
      </c>
      <c r="AL156" s="251">
        <f t="shared" si="362"/>
        <v>-0.44892250310816384</v>
      </c>
      <c r="AM156" s="743">
        <f t="shared" si="362"/>
        <v>-0.48634734441186045</v>
      </c>
      <c r="AN156" s="249">
        <f t="shared" si="362"/>
        <v>0.35190564722286766</v>
      </c>
      <c r="AO156" s="726">
        <f t="shared" si="362"/>
        <v>0.35974994958661011</v>
      </c>
      <c r="AP156" s="726">
        <f t="shared" si="362"/>
        <v>0.36152051442553912</v>
      </c>
      <c r="AQ156" s="251">
        <f>+AQ155/AL155-1</f>
        <v>0.43410415491633803</v>
      </c>
      <c r="AR156" s="743">
        <f>+AR155/AM155-1</f>
        <v>0.38058586371197389</v>
      </c>
      <c r="AS156" s="249">
        <f t="shared" ref="AS156" si="363">+AS155/AN155-1</f>
        <v>0.39666509089346369</v>
      </c>
      <c r="AT156" s="726">
        <f t="shared" ref="AT156" si="364">+AT155/AO155-1</f>
        <v>0.38736467447723566</v>
      </c>
      <c r="AU156" s="726">
        <f t="shared" ref="AU156" si="365">+AU155/AP155-1</f>
        <v>0.32383181476218348</v>
      </c>
      <c r="AV156" s="251">
        <f>+AV155/AQ155-1</f>
        <v>-8.7899842684845853E-2</v>
      </c>
      <c r="AW156" s="743">
        <f>+AW155/AR155-1</f>
        <v>0.22598431628818805</v>
      </c>
      <c r="AX156" s="249">
        <f>+AX71</f>
        <v>0</v>
      </c>
      <c r="AY156" s="250">
        <f>+AY71</f>
        <v>0</v>
      </c>
      <c r="AZ156" s="250">
        <f>+AZ71</f>
        <v>0</v>
      </c>
      <c r="BA156" s="251">
        <f>+BA71</f>
        <v>0</v>
      </c>
      <c r="BB156" s="252">
        <f>+BB155/AW155-1</f>
        <v>0</v>
      </c>
      <c r="BC156" s="249">
        <f>+BC71</f>
        <v>0</v>
      </c>
      <c r="BD156" s="250">
        <f>+BD71</f>
        <v>0</v>
      </c>
      <c r="BE156" s="250">
        <f>+BE71</f>
        <v>0</v>
      </c>
      <c r="BF156" s="251">
        <f>+BF71</f>
        <v>0</v>
      </c>
      <c r="BG156" s="252">
        <f>+BG155/BB155-1</f>
        <v>0</v>
      </c>
      <c r="BH156" s="249">
        <f>+BH71</f>
        <v>0</v>
      </c>
      <c r="BI156" s="250">
        <f>+BI71</f>
        <v>0</v>
      </c>
      <c r="BJ156" s="250">
        <f>+BJ71</f>
        <v>0</v>
      </c>
      <c r="BK156" s="251">
        <f>+BK71</f>
        <v>0</v>
      </c>
      <c r="BL156" s="252">
        <f>+BL155/BG155-1</f>
        <v>0</v>
      </c>
      <c r="BM156" s="249">
        <f>+BM71</f>
        <v>0</v>
      </c>
      <c r="BN156" s="250">
        <f>+BN71</f>
        <v>0</v>
      </c>
      <c r="BO156" s="250">
        <f>+BO71</f>
        <v>0</v>
      </c>
      <c r="BP156" s="251">
        <f>+BP71</f>
        <v>0</v>
      </c>
      <c r="BQ156" s="252">
        <f>+BQ155/BL155-1</f>
        <v>0</v>
      </c>
      <c r="BR156" s="45"/>
      <c r="BS156" s="45"/>
      <c r="BT156" s="45"/>
      <c r="BU156" s="45"/>
      <c r="BV156" s="45"/>
      <c r="BW156" s="45"/>
      <c r="BX156" s="45"/>
      <c r="BY156" s="45"/>
      <c r="BZ156" s="45"/>
      <c r="CA156" s="45"/>
      <c r="CB156" s="45"/>
      <c r="CC156" s="45"/>
      <c r="CD156" s="45"/>
      <c r="CE156" s="45"/>
      <c r="CF156" s="45"/>
      <c r="CG156" s="45"/>
      <c r="CH156" s="45"/>
      <c r="CI156" s="45"/>
      <c r="CJ156" s="45"/>
      <c r="CK156" s="45"/>
      <c r="CL156" s="45"/>
      <c r="CM156" s="45"/>
      <c r="CN156" s="45"/>
      <c r="CO156" s="45"/>
      <c r="CP156" s="45"/>
      <c r="CQ156" s="45"/>
      <c r="CR156" s="45"/>
      <c r="CS156" s="45"/>
      <c r="CT156" s="45"/>
      <c r="CU156" s="45"/>
      <c r="CV156" s="45"/>
      <c r="CW156" s="45"/>
      <c r="CX156" s="45"/>
      <c r="CY156" s="45"/>
      <c r="CZ156" s="45"/>
    </row>
    <row r="157" spans="1:104" x14ac:dyDescent="0.2">
      <c r="A157" s="20"/>
      <c r="B157" s="20"/>
      <c r="C157" s="20"/>
      <c r="D157" s="20"/>
      <c r="E157" s="203"/>
      <c r="F157" s="204"/>
      <c r="G157" s="204"/>
      <c r="H157" s="205"/>
      <c r="I157" s="206"/>
      <c r="J157" s="203"/>
      <c r="K157" s="204"/>
      <c r="L157" s="204"/>
      <c r="M157" s="205"/>
      <c r="N157" s="206"/>
      <c r="O157" s="203"/>
      <c r="P157" s="204"/>
      <c r="Q157" s="616"/>
      <c r="R157" s="205"/>
      <c r="S157" s="744"/>
      <c r="T157" s="203"/>
      <c r="U157" s="616"/>
      <c r="V157" s="204"/>
      <c r="W157" s="205"/>
      <c r="X157" s="206"/>
      <c r="Y157" s="203"/>
      <c r="Z157" s="204"/>
      <c r="AA157" s="204"/>
      <c r="AB157" s="205"/>
      <c r="AC157" s="206"/>
      <c r="AD157" s="203"/>
      <c r="AE157" s="204"/>
      <c r="AF157" s="204"/>
      <c r="AG157" s="205"/>
      <c r="AH157" s="206"/>
      <c r="AI157" s="203"/>
      <c r="AJ157" s="204"/>
      <c r="AK157" s="204"/>
      <c r="AL157" s="205"/>
      <c r="AM157" s="206"/>
      <c r="AN157" s="203"/>
      <c r="AO157" s="204"/>
      <c r="AP157" s="204"/>
      <c r="AQ157" s="205"/>
      <c r="AR157" s="206"/>
      <c r="AS157" s="203"/>
      <c r="AT157" s="204"/>
      <c r="AU157" s="204"/>
      <c r="AV157" s="205"/>
      <c r="AW157" s="206"/>
      <c r="AX157" s="203"/>
      <c r="AY157" s="204"/>
      <c r="AZ157" s="204"/>
      <c r="BA157" s="205"/>
      <c r="BB157" s="206"/>
      <c r="BC157" s="203"/>
      <c r="BD157" s="204"/>
      <c r="BE157" s="204"/>
      <c r="BF157" s="205"/>
      <c r="BG157" s="206"/>
      <c r="BH157" s="203"/>
      <c r="BI157" s="204"/>
      <c r="BJ157" s="204"/>
      <c r="BK157" s="205"/>
      <c r="BL157" s="206"/>
      <c r="BM157" s="203"/>
      <c r="BN157" s="204"/>
      <c r="BO157" s="204"/>
      <c r="BP157" s="205"/>
      <c r="BQ157" s="206"/>
      <c r="BR157" s="20"/>
      <c r="BS157" s="20"/>
      <c r="BT157" s="20"/>
      <c r="BU157" s="20"/>
      <c r="BV157" s="20"/>
      <c r="BW157" s="20"/>
      <c r="BX157" s="20"/>
      <c r="BY157" s="20"/>
      <c r="BZ157" s="20"/>
      <c r="CA157" s="20"/>
      <c r="CB157" s="20"/>
      <c r="CC157" s="20"/>
      <c r="CD157" s="20"/>
      <c r="CE157" s="20"/>
      <c r="CF157" s="20"/>
      <c r="CG157" s="20"/>
      <c r="CH157" s="20"/>
      <c r="CI157" s="20"/>
      <c r="CJ157" s="20"/>
      <c r="CK157" s="20"/>
      <c r="CL157" s="20"/>
      <c r="CM157" s="20"/>
      <c r="CN157" s="20"/>
      <c r="CO157" s="20"/>
      <c r="CP157" s="20"/>
      <c r="CQ157" s="20"/>
      <c r="CR157" s="20"/>
      <c r="CS157" s="20"/>
      <c r="CT157" s="20"/>
      <c r="CU157" s="20"/>
      <c r="CV157" s="20"/>
      <c r="CW157" s="20"/>
      <c r="CX157" s="20"/>
      <c r="CY157" s="20"/>
      <c r="CZ157" s="20"/>
    </row>
    <row r="158" spans="1:104" x14ac:dyDescent="0.2">
      <c r="A158" s="20"/>
      <c r="B158" s="20"/>
      <c r="C158" s="20"/>
      <c r="D158" s="20"/>
      <c r="E158" s="203"/>
      <c r="F158" s="204"/>
      <c r="G158" s="204"/>
      <c r="H158" s="205"/>
      <c r="I158" s="206"/>
      <c r="J158" s="203"/>
      <c r="K158" s="204"/>
      <c r="L158" s="204"/>
      <c r="M158" s="205"/>
      <c r="N158" s="206"/>
      <c r="O158" s="203"/>
      <c r="P158" s="204"/>
      <c r="Q158" s="616"/>
      <c r="R158" s="205"/>
      <c r="S158" s="744"/>
      <c r="T158" s="203"/>
      <c r="U158" s="616"/>
      <c r="V158" s="204"/>
      <c r="W158" s="205"/>
      <c r="X158" s="206"/>
      <c r="Y158" s="203"/>
      <c r="Z158" s="204"/>
      <c r="AA158" s="204"/>
      <c r="AB158" s="205"/>
      <c r="AC158" s="206"/>
      <c r="AD158" s="203"/>
      <c r="AE158" s="204"/>
      <c r="AF158" s="204"/>
      <c r="AG158" s="205"/>
      <c r="AH158" s="206"/>
      <c r="AI158" s="203"/>
      <c r="AJ158" s="204"/>
      <c r="AK158" s="204"/>
      <c r="AL158" s="205"/>
      <c r="AM158" s="206"/>
      <c r="AN158" s="203"/>
      <c r="AO158" s="204"/>
      <c r="AP158" s="204"/>
      <c r="AQ158" s="205"/>
      <c r="AR158" s="206"/>
      <c r="AS158" s="203"/>
      <c r="AT158" s="204"/>
      <c r="AU158" s="204"/>
      <c r="AV158" s="205"/>
      <c r="AW158" s="206"/>
      <c r="AX158" s="203"/>
      <c r="AY158" s="204"/>
      <c r="AZ158" s="204"/>
      <c r="BA158" s="205"/>
      <c r="BB158" s="206"/>
      <c r="BC158" s="203"/>
      <c r="BD158" s="204"/>
      <c r="BE158" s="204"/>
      <c r="BF158" s="205"/>
      <c r="BG158" s="206"/>
      <c r="BH158" s="203"/>
      <c r="BI158" s="204"/>
      <c r="BJ158" s="204"/>
      <c r="BK158" s="205"/>
      <c r="BL158" s="206"/>
      <c r="BM158" s="203"/>
      <c r="BN158" s="204"/>
      <c r="BO158" s="204"/>
      <c r="BP158" s="205"/>
      <c r="BQ158" s="206"/>
      <c r="BR158" s="20"/>
      <c r="BS158" s="20"/>
      <c r="BT158" s="20"/>
      <c r="BU158" s="20"/>
      <c r="BV158" s="20"/>
      <c r="BW158" s="20"/>
      <c r="BX158" s="20"/>
      <c r="BY158" s="20"/>
      <c r="BZ158" s="20"/>
      <c r="CA158" s="20"/>
      <c r="CB158" s="20"/>
      <c r="CC158" s="20"/>
      <c r="CD158" s="20"/>
      <c r="CE158" s="20"/>
      <c r="CF158" s="20"/>
      <c r="CG158" s="20"/>
      <c r="CH158" s="20"/>
      <c r="CI158" s="20"/>
      <c r="CJ158" s="20"/>
      <c r="CK158" s="20"/>
      <c r="CL158" s="20"/>
      <c r="CM158" s="20"/>
      <c r="CN158" s="20"/>
      <c r="CO158" s="20"/>
      <c r="CP158" s="20"/>
      <c r="CQ158" s="20"/>
      <c r="CR158" s="20"/>
      <c r="CS158" s="20"/>
      <c r="CT158" s="20"/>
      <c r="CU158" s="20"/>
      <c r="CV158" s="20"/>
      <c r="CW158" s="20"/>
      <c r="CX158" s="20"/>
      <c r="CY158" s="20"/>
      <c r="CZ158" s="20"/>
    </row>
    <row r="159" spans="1:104" x14ac:dyDescent="0.2">
      <c r="A159" s="20"/>
      <c r="B159" s="16" t="s">
        <v>288</v>
      </c>
      <c r="C159" s="16"/>
      <c r="D159" s="17"/>
      <c r="E159" s="203"/>
      <c r="F159" s="204"/>
      <c r="G159" s="204"/>
      <c r="H159" s="205"/>
      <c r="I159" s="206"/>
      <c r="J159" s="203"/>
      <c r="K159" s="204"/>
      <c r="L159" s="204"/>
      <c r="M159" s="205"/>
      <c r="N159" s="206"/>
      <c r="O159" s="203"/>
      <c r="P159" s="204"/>
      <c r="Q159" s="616"/>
      <c r="R159" s="205"/>
      <c r="S159" s="744"/>
      <c r="T159" s="203"/>
      <c r="U159" s="616"/>
      <c r="V159" s="204"/>
      <c r="W159" s="205"/>
      <c r="X159" s="206"/>
      <c r="Y159" s="203"/>
      <c r="Z159" s="204"/>
      <c r="AA159" s="204"/>
      <c r="AB159" s="205"/>
      <c r="AC159" s="206"/>
      <c r="AD159" s="203"/>
      <c r="AE159" s="204"/>
      <c r="AF159" s="204"/>
      <c r="AG159" s="205"/>
      <c r="AH159" s="206"/>
      <c r="AI159" s="203"/>
      <c r="AJ159" s="204"/>
      <c r="AK159" s="204"/>
      <c r="AL159" s="205"/>
      <c r="AM159" s="206"/>
      <c r="AN159" s="203"/>
      <c r="AO159" s="204"/>
      <c r="AP159" s="204"/>
      <c r="AQ159" s="205"/>
      <c r="AR159" s="206"/>
      <c r="AS159" s="203"/>
      <c r="AT159" s="204"/>
      <c r="AU159" s="204"/>
      <c r="AV159" s="205"/>
      <c r="AW159" s="206"/>
      <c r="AX159" s="203"/>
      <c r="AY159" s="204"/>
      <c r="AZ159" s="204"/>
      <c r="BA159" s="205"/>
      <c r="BB159" s="206"/>
      <c r="BC159" s="203"/>
      <c r="BD159" s="204"/>
      <c r="BE159" s="204"/>
      <c r="BF159" s="205"/>
      <c r="BG159" s="206"/>
      <c r="BH159" s="203"/>
      <c r="BI159" s="204"/>
      <c r="BJ159" s="204"/>
      <c r="BK159" s="205"/>
      <c r="BL159" s="206"/>
      <c r="BM159" s="203"/>
      <c r="BN159" s="204"/>
      <c r="BO159" s="204"/>
      <c r="BP159" s="205"/>
      <c r="BQ159" s="206"/>
      <c r="BR159" s="20"/>
      <c r="BS159" s="20"/>
      <c r="BT159" s="20"/>
      <c r="BU159" s="20"/>
      <c r="CC159" s="20"/>
      <c r="CD159" s="20"/>
      <c r="CE159" s="20"/>
      <c r="CF159" s="20"/>
      <c r="CG159" s="20"/>
      <c r="CH159" s="20"/>
      <c r="CI159" s="20"/>
      <c r="CJ159" s="20"/>
      <c r="CK159" s="20"/>
      <c r="CL159" s="20"/>
      <c r="CM159" s="20"/>
      <c r="CN159" s="20"/>
      <c r="CO159" s="20"/>
      <c r="CP159" s="20"/>
      <c r="CQ159" s="20"/>
      <c r="CR159" s="20"/>
      <c r="CS159" s="20"/>
      <c r="CT159" s="20"/>
      <c r="CU159" s="20"/>
      <c r="CV159" s="20"/>
      <c r="CW159" s="20"/>
      <c r="CX159" s="20"/>
      <c r="CY159" s="20"/>
      <c r="CZ159" s="20"/>
    </row>
    <row r="160" spans="1:104" x14ac:dyDescent="0.2">
      <c r="A160" s="20"/>
      <c r="B160" s="20"/>
      <c r="C160" s="20"/>
      <c r="D160" s="20"/>
      <c r="E160" s="203"/>
      <c r="F160" s="204"/>
      <c r="G160" s="204"/>
      <c r="H160" s="205"/>
      <c r="I160" s="206"/>
      <c r="J160" s="203"/>
      <c r="K160" s="204"/>
      <c r="L160" s="204"/>
      <c r="M160" s="205"/>
      <c r="N160" s="206"/>
      <c r="O160" s="203"/>
      <c r="P160" s="204"/>
      <c r="Q160" s="616"/>
      <c r="R160" s="205"/>
      <c r="S160" s="744"/>
      <c r="T160" s="203"/>
      <c r="U160" s="616"/>
      <c r="V160" s="204"/>
      <c r="W160" s="205"/>
      <c r="X160" s="206"/>
      <c r="Y160" s="203"/>
      <c r="Z160" s="204"/>
      <c r="AA160" s="204"/>
      <c r="AB160" s="205"/>
      <c r="AC160" s="206"/>
      <c r="AD160" s="203"/>
      <c r="AE160" s="204"/>
      <c r="AF160" s="204"/>
      <c r="AG160" s="205"/>
      <c r="AH160" s="206"/>
      <c r="AI160" s="203"/>
      <c r="AJ160" s="204"/>
      <c r="AK160" s="204"/>
      <c r="AL160" s="205"/>
      <c r="AM160" s="206"/>
      <c r="AN160" s="203"/>
      <c r="AO160" s="204"/>
      <c r="AP160" s="204"/>
      <c r="AQ160" s="205"/>
      <c r="AR160" s="206"/>
      <c r="AS160" s="203"/>
      <c r="AT160" s="204"/>
      <c r="AU160" s="204"/>
      <c r="AV160" s="205"/>
      <c r="AW160" s="206"/>
      <c r="AX160" s="203"/>
      <c r="AY160" s="204"/>
      <c r="AZ160" s="204"/>
      <c r="BA160" s="205"/>
      <c r="BB160" s="206"/>
      <c r="BC160" s="203"/>
      <c r="BD160" s="204"/>
      <c r="BE160" s="204"/>
      <c r="BF160" s="205"/>
      <c r="BG160" s="206"/>
      <c r="BH160" s="203"/>
      <c r="BI160" s="204"/>
      <c r="BJ160" s="204"/>
      <c r="BK160" s="205"/>
      <c r="BL160" s="206"/>
      <c r="BM160" s="203"/>
      <c r="BN160" s="204"/>
      <c r="BO160" s="204"/>
      <c r="BP160" s="205"/>
      <c r="BQ160" s="206"/>
      <c r="BR160" s="20"/>
      <c r="BS160" s="20"/>
      <c r="BT160" s="20"/>
      <c r="BU160" s="646"/>
      <c r="BV160" s="949"/>
      <c r="BW160" s="615"/>
      <c r="BX160" s="615"/>
      <c r="BY160" s="615"/>
      <c r="BZ160" s="615"/>
      <c r="CA160" s="615"/>
      <c r="CB160" s="615"/>
      <c r="CC160" s="646"/>
      <c r="CD160" s="646"/>
      <c r="CE160" s="646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  <c r="CT160" s="20"/>
      <c r="CU160" s="20"/>
      <c r="CV160" s="20"/>
      <c r="CW160" s="20"/>
      <c r="CX160" s="20"/>
      <c r="CY160" s="20"/>
      <c r="CZ160" s="20"/>
    </row>
    <row r="161" spans="1:104" x14ac:dyDescent="0.2">
      <c r="A161" s="220"/>
      <c r="B161" s="220"/>
      <c r="C161" s="289" t="s">
        <v>289</v>
      </c>
      <c r="D161" s="82"/>
      <c r="E161" s="114">
        <f>9678.477+926.477+456.887</f>
        <v>11061.841000000002</v>
      </c>
      <c r="F161" s="115">
        <f>9742.08+935.37+457.006</f>
        <v>11134.456</v>
      </c>
      <c r="G161" s="115">
        <f>9872.898+947.008+458.825</f>
        <v>11278.731</v>
      </c>
      <c r="H161" s="116">
        <f>I161</f>
        <v>11100.62</v>
      </c>
      <c r="I161" s="117">
        <f>9679.288+948.708+472.624</f>
        <v>11100.62</v>
      </c>
      <c r="J161" s="114">
        <f>9727.419+955.14+479.348</f>
        <v>11161.906999999999</v>
      </c>
      <c r="K161" s="115">
        <f>9807.527+959.569+482.682</f>
        <v>11249.778</v>
      </c>
      <c r="L161" s="115">
        <f>9866.27+967.411+494.374</f>
        <v>11328.055</v>
      </c>
      <c r="M161" s="116">
        <f>N161</f>
        <v>12053.257</v>
      </c>
      <c r="N161" s="117">
        <f>10563.424+979.256+510.577</f>
        <v>12053.257</v>
      </c>
      <c r="O161" s="114">
        <f>10596.909+982.952+514.205</f>
        <v>12094.065999999999</v>
      </c>
      <c r="P161" s="115">
        <f>11200.392+987.908+523.965</f>
        <v>12712.264999999999</v>
      </c>
      <c r="Q161" s="133">
        <f>11349.307+994.543+507.191</f>
        <v>12851.041000000001</v>
      </c>
      <c r="R161" s="116">
        <f>S161</f>
        <v>13479.342999999999</v>
      </c>
      <c r="S161" s="219">
        <f>11948.041+1006.163+525.139</f>
        <v>13479.342999999999</v>
      </c>
      <c r="T161" s="114">
        <f>11997.519+1008.392+475.439</f>
        <v>13481.35</v>
      </c>
      <c r="U161" s="133">
        <f>12026.539+1010.389+465.887</f>
        <v>13502.815000000001</v>
      </c>
      <c r="V161" s="115">
        <f>12195.85+1019.175+475.491</f>
        <v>13690.516</v>
      </c>
      <c r="W161" s="116">
        <f>X161</f>
        <v>13843.630999999999</v>
      </c>
      <c r="X161" s="219">
        <f>12322.677+1027.632+493.322</f>
        <v>13843.630999999999</v>
      </c>
      <c r="Y161" s="114">
        <f>12366.058+1031.918+489.695</f>
        <v>13887.671</v>
      </c>
      <c r="Z161" s="115">
        <f>12541.409+1036.595+496.121</f>
        <v>14074.124999999998</v>
      </c>
      <c r="AA161" s="115">
        <f>12969.473+1046.97+491.547</f>
        <v>14507.99</v>
      </c>
      <c r="AB161" s="116">
        <f>AC161</f>
        <v>15126.249</v>
      </c>
      <c r="AC161" s="219">
        <f>13530.767+1092.314+503.168</f>
        <v>15126.249</v>
      </c>
      <c r="AD161" s="114">
        <f>13579.169+1097.599+504.72</f>
        <v>15181.487999999999</v>
      </c>
      <c r="AE161" s="115">
        <f>14021.511+1104.836+506.552</f>
        <v>15632.898999999999</v>
      </c>
      <c r="AF161" s="115">
        <f>14176.125+1119.309+509.956</f>
        <v>15805.39</v>
      </c>
      <c r="AG161" s="116">
        <f>AH161</f>
        <v>16576.594000000001</v>
      </c>
      <c r="AH161" s="219">
        <f>14831.286+1177.021+568.287</f>
        <v>16576.594000000001</v>
      </c>
      <c r="AI161" s="114">
        <f>14914.85+1185.612+576.194</f>
        <v>16676.655999999999</v>
      </c>
      <c r="AJ161" s="115">
        <f>15175.091+1192.119+575.241</f>
        <v>16942.451000000001</v>
      </c>
      <c r="AK161" s="115">
        <f>15321.574+1211.779+577.636</f>
        <v>17110.988999999998</v>
      </c>
      <c r="AL161" s="116">
        <f>AM161</f>
        <v>18129.704000000002</v>
      </c>
      <c r="AM161" s="219">
        <f>16256.887+1248.408+624.409</f>
        <v>18129.704000000002</v>
      </c>
      <c r="AN161" s="114">
        <f>16298.761+1249.933+622.749</f>
        <v>18171.442999999999</v>
      </c>
      <c r="AO161" s="115">
        <f>16394.295+1264.86+639.731</f>
        <v>18298.885999999999</v>
      </c>
      <c r="AP161" s="115">
        <f>16558.194+1272.66+638.221</f>
        <v>18469.075000000001</v>
      </c>
      <c r="AQ161" s="116">
        <f>AR161</f>
        <v>19082.185999999998</v>
      </c>
      <c r="AR161" s="219">
        <f>17059.993+1311.235+710.958</f>
        <v>19082.185999999998</v>
      </c>
      <c r="AS161" s="114">
        <f>17085.453+1316.661+702.387</f>
        <v>19104.501</v>
      </c>
      <c r="AT161" s="115">
        <f>17201.265+1330.588+762.346</f>
        <v>19294.199000000001</v>
      </c>
      <c r="AU161" s="115">
        <f>17323.127+1340.688+803.599</f>
        <v>19467.414000000001</v>
      </c>
      <c r="AV161" s="116">
        <f>AW161</f>
        <v>19119.320999999996</v>
      </c>
      <c r="AW161" s="219">
        <f>17024.925+1370.33+724.066</f>
        <v>19119.320999999996</v>
      </c>
      <c r="AX161" s="136">
        <f>AW161+AX179-(AX165-AW165)</f>
        <v>19334.346999999998</v>
      </c>
      <c r="AY161" s="135">
        <f>AX161+AY179-(AY165-AX165)</f>
        <v>19676.846999999998</v>
      </c>
      <c r="AZ161" s="135">
        <f>AY161+AZ179-(AZ165-AY165)</f>
        <v>20019.346999999998</v>
      </c>
      <c r="BA161" s="116">
        <f>AZ161+BA179-(BA165-AZ165)</f>
        <v>20361.846999999998</v>
      </c>
      <c r="BB161" s="82">
        <f>BA161</f>
        <v>20361.846999999998</v>
      </c>
      <c r="BC161" s="136">
        <f>BB161+BC179-(BC165-BB165)</f>
        <v>20580.146999999997</v>
      </c>
      <c r="BD161" s="135">
        <f>BC161+BD179-(BD165-BC165)</f>
        <v>21057.646999999997</v>
      </c>
      <c r="BE161" s="135">
        <f>BD161+BE179-(BE165-BD165)</f>
        <v>21535.146999999997</v>
      </c>
      <c r="BF161" s="116">
        <f>BE161+BF179-(BF165-BE165)</f>
        <v>22012.646999999997</v>
      </c>
      <c r="BG161" s="82">
        <f>BF161</f>
        <v>22012.646999999997</v>
      </c>
      <c r="BH161" s="136">
        <f>BG161+BH179-(BH165-BG165)</f>
        <v>22595.946999999996</v>
      </c>
      <c r="BI161" s="135">
        <f>BH161+BI179-(BI165-BH165)</f>
        <v>22958.446999999996</v>
      </c>
      <c r="BJ161" s="135">
        <f>BI161+BJ179-(BJ165-BI165)</f>
        <v>23320.946999999996</v>
      </c>
      <c r="BK161" s="116">
        <f>BJ161+BK179-(BK165-BJ165)</f>
        <v>23683.446999999996</v>
      </c>
      <c r="BL161" s="82">
        <f>BK161</f>
        <v>23683.446999999996</v>
      </c>
      <c r="BM161" s="136">
        <f>BL161+BM179-(BM165-BL165)</f>
        <v>24013.746999999996</v>
      </c>
      <c r="BN161" s="135">
        <f>BM161+BN179-(BN165-BM165)</f>
        <v>24411.246999999996</v>
      </c>
      <c r="BO161" s="135">
        <f>BN161+BO179-(BO165-BN165)</f>
        <v>24808.746999999996</v>
      </c>
      <c r="BP161" s="116">
        <f>BO161+BP179-(BP165-BO165)</f>
        <v>25206.246999999996</v>
      </c>
      <c r="BQ161" s="82">
        <f>BP161</f>
        <v>25206.246999999996</v>
      </c>
      <c r="BR161" s="220"/>
      <c r="BS161" s="220"/>
      <c r="BT161" s="220"/>
      <c r="BU161" s="615"/>
      <c r="BV161" s="951"/>
      <c r="BW161" s="521"/>
      <c r="BX161" s="521"/>
      <c r="BY161" s="521"/>
      <c r="BZ161" s="521"/>
      <c r="CA161" s="521"/>
      <c r="CB161" s="521"/>
      <c r="CC161" s="615"/>
      <c r="CD161" s="615"/>
      <c r="CE161" s="615"/>
      <c r="CF161" s="220"/>
      <c r="CG161" s="220"/>
      <c r="CH161" s="220"/>
      <c r="CI161" s="220"/>
      <c r="CJ161" s="220"/>
      <c r="CK161" s="220"/>
      <c r="CL161" s="220"/>
      <c r="CM161" s="220"/>
      <c r="CN161" s="220"/>
      <c r="CO161" s="220"/>
      <c r="CP161" s="220"/>
      <c r="CQ161" s="220"/>
      <c r="CR161" s="220"/>
      <c r="CS161" s="220"/>
      <c r="CT161" s="220"/>
      <c r="CU161" s="220"/>
      <c r="CV161" s="220"/>
      <c r="CW161" s="220"/>
      <c r="CX161" s="220"/>
      <c r="CY161" s="220"/>
      <c r="CZ161" s="220"/>
    </row>
    <row r="162" spans="1:104" x14ac:dyDescent="0.2">
      <c r="A162" s="220"/>
      <c r="B162" s="220"/>
      <c r="C162" s="289" t="s">
        <v>203</v>
      </c>
      <c r="D162" s="82"/>
      <c r="E162" s="114">
        <v>4904.6030000000001</v>
      </c>
      <c r="F162" s="115">
        <v>4964.4030000000002</v>
      </c>
      <c r="G162" s="115">
        <v>5005.9920000000002</v>
      </c>
      <c r="H162" s="119">
        <f>I162</f>
        <v>5030.8360000000002</v>
      </c>
      <c r="I162" s="117">
        <v>5030.8360000000002</v>
      </c>
      <c r="J162" s="114">
        <v>5087.7619999999997</v>
      </c>
      <c r="K162" s="115">
        <v>5145.0389999999998</v>
      </c>
      <c r="L162" s="115">
        <v>5188.6369999999997</v>
      </c>
      <c r="M162" s="119">
        <f>N162</f>
        <v>5222.9799999999996</v>
      </c>
      <c r="N162" s="117">
        <v>5222.9799999999996</v>
      </c>
      <c r="O162" s="114">
        <v>5289.335</v>
      </c>
      <c r="P162" s="115">
        <v>5347.0959999999995</v>
      </c>
      <c r="Q162" s="133">
        <v>5370.6210000000001</v>
      </c>
      <c r="R162" s="119">
        <f>S162</f>
        <v>5433.1059999999998</v>
      </c>
      <c r="S162" s="219">
        <v>5433.1059999999998</v>
      </c>
      <c r="T162" s="114">
        <v>5457.3490000000002</v>
      </c>
      <c r="U162" s="133">
        <v>5462.5659999999998</v>
      </c>
      <c r="V162" s="115">
        <v>5541.9179999999997</v>
      </c>
      <c r="W162" s="119">
        <f>X162</f>
        <v>5594.0640000000003</v>
      </c>
      <c r="X162" s="219">
        <f>5594.064</f>
        <v>5594.0640000000003</v>
      </c>
      <c r="Y162" s="114">
        <v>5649.3689999999997</v>
      </c>
      <c r="Z162" s="115">
        <v>5682.0910000000003</v>
      </c>
      <c r="AA162" s="115">
        <v>5745.9480000000003</v>
      </c>
      <c r="AB162" s="119">
        <f>AC162</f>
        <v>5783.6580000000004</v>
      </c>
      <c r="AC162" s="219">
        <v>5783.6580000000004</v>
      </c>
      <c r="AD162" s="114">
        <v>5823.0919999999996</v>
      </c>
      <c r="AE162" s="115">
        <v>5886.0770000000002</v>
      </c>
      <c r="AF162" s="115">
        <v>5954.3559999999998</v>
      </c>
      <c r="AG162" s="119">
        <f>AH162</f>
        <v>6012.1450000000004</v>
      </c>
      <c r="AH162" s="219">
        <v>6012.1450000000004</v>
      </c>
      <c r="AI162" s="114">
        <v>6108.2209999999995</v>
      </c>
      <c r="AJ162" s="115">
        <v>6180.8429999999998</v>
      </c>
      <c r="AK162" s="115">
        <v>6266.6459999999997</v>
      </c>
      <c r="AL162" s="119">
        <f>AM162</f>
        <v>6251.4979999999996</v>
      </c>
      <c r="AM162" s="219">
        <v>6251.4979999999996</v>
      </c>
      <c r="AN162" s="114">
        <v>6354.4880000000003</v>
      </c>
      <c r="AO162" s="115">
        <v>6495.4489999999996</v>
      </c>
      <c r="AP162" s="115">
        <v>6592.74</v>
      </c>
      <c r="AQ162" s="119">
        <f>AR162</f>
        <v>6682.4179999999997</v>
      </c>
      <c r="AR162" s="219">
        <v>6682.4179999999997</v>
      </c>
      <c r="AS162" s="114">
        <v>6771.09</v>
      </c>
      <c r="AT162" s="115">
        <v>6890.2629999999999</v>
      </c>
      <c r="AU162" s="115">
        <v>7015.5219999999999</v>
      </c>
      <c r="AV162" s="119">
        <f>AW162</f>
        <v>7018.2489999999998</v>
      </c>
      <c r="AW162" s="219">
        <v>7018.2489999999998</v>
      </c>
      <c r="AX162" s="136">
        <f>+AW162+AX167</f>
        <v>7202.7903479999995</v>
      </c>
      <c r="AY162" s="135">
        <f>+AX162+AY167</f>
        <v>7387.7965869429991</v>
      </c>
      <c r="AZ162" s="135">
        <f>+AY162+AZ167</f>
        <v>7575.2046057421185</v>
      </c>
      <c r="BA162" s="116">
        <f>+AZ162+BA167</f>
        <v>7764.9777772545513</v>
      </c>
      <c r="BB162" s="82">
        <f>+BA162</f>
        <v>7764.9777772545513</v>
      </c>
      <c r="BC162" s="136">
        <f>+BB162+BC167</f>
        <v>7955.407511196775</v>
      </c>
      <c r="BD162" s="135">
        <f>+BC162+BD167</f>
        <v>8146.2585662828824</v>
      </c>
      <c r="BE162" s="135">
        <f>+BD162+BE167</f>
        <v>8341.4429585934649</v>
      </c>
      <c r="BF162" s="116">
        <f>+BE162+BF167</f>
        <v>8540.8951800852028</v>
      </c>
      <c r="BG162" s="82">
        <f>+BF162</f>
        <v>8540.8951800852028</v>
      </c>
      <c r="BH162" s="136">
        <f>+BG162+BH167</f>
        <v>8741.3846242061936</v>
      </c>
      <c r="BI162" s="135">
        <f>+BH162+BI167</f>
        <v>8947.5711355369858</v>
      </c>
      <c r="BJ162" s="135">
        <f>+BI162+BJ167</f>
        <v>9156.0839370838421</v>
      </c>
      <c r="BK162" s="116">
        <f>+BJ162+BK167</f>
        <v>9366.8884085064728</v>
      </c>
      <c r="BL162" s="82">
        <f>+BK162</f>
        <v>9366.8884085064728</v>
      </c>
      <c r="BM162" s="136">
        <f>+BL162+BM167</f>
        <v>9579.6645772586253</v>
      </c>
      <c r="BN162" s="135">
        <f>+BM162+BN167</f>
        <v>9794.1874137165796</v>
      </c>
      <c r="BO162" s="135">
        <f>+BN162+BO167</f>
        <v>10011.429701191955</v>
      </c>
      <c r="BP162" s="116">
        <f>+BO162+BP167</f>
        <v>10231.351022543658</v>
      </c>
      <c r="BQ162" s="82">
        <f>+BP162</f>
        <v>10231.351022543658</v>
      </c>
      <c r="BR162" s="220"/>
      <c r="BS162" s="220"/>
      <c r="BT162" s="220"/>
      <c r="BU162" s="615"/>
      <c r="BV162" s="952"/>
      <c r="BW162" s="646"/>
      <c r="BX162" s="646"/>
      <c r="BY162" s="646"/>
      <c r="BZ162" s="646"/>
      <c r="CA162" s="953"/>
      <c r="CB162" s="615"/>
      <c r="CC162" s="615"/>
      <c r="CD162" s="615"/>
      <c r="CE162" s="615"/>
      <c r="CF162" s="220"/>
      <c r="CG162" s="220"/>
      <c r="CH162" s="220"/>
      <c r="CI162" s="220"/>
      <c r="CJ162" s="220"/>
      <c r="CK162" s="220"/>
      <c r="CL162" s="220"/>
      <c r="CM162" s="220"/>
      <c r="CN162" s="220"/>
      <c r="CO162" s="220"/>
      <c r="CP162" s="220"/>
      <c r="CQ162" s="220"/>
      <c r="CR162" s="220"/>
      <c r="CS162" s="220"/>
      <c r="CT162" s="220"/>
      <c r="CU162" s="220"/>
      <c r="CV162" s="220"/>
      <c r="CW162" s="220"/>
      <c r="CX162" s="220"/>
      <c r="CY162" s="220"/>
      <c r="CZ162" s="220"/>
    </row>
    <row r="163" spans="1:104" x14ac:dyDescent="0.2">
      <c r="A163" s="220"/>
      <c r="B163" s="220"/>
      <c r="C163" s="336" t="s">
        <v>206</v>
      </c>
      <c r="D163" s="82"/>
      <c r="E163" s="121">
        <f t="shared" ref="E163:V163" si="366">E161-E162</f>
        <v>6157.2380000000021</v>
      </c>
      <c r="F163" s="122">
        <f t="shared" si="366"/>
        <v>6170.0529999999999</v>
      </c>
      <c r="G163" s="122">
        <f t="shared" si="366"/>
        <v>6272.7389999999996</v>
      </c>
      <c r="H163" s="123">
        <f t="shared" si="366"/>
        <v>6069.7840000000006</v>
      </c>
      <c r="I163" s="86">
        <f t="shared" si="366"/>
        <v>6069.7840000000006</v>
      </c>
      <c r="J163" s="121">
        <f t="shared" si="366"/>
        <v>6074.1449999999995</v>
      </c>
      <c r="K163" s="122">
        <f t="shared" si="366"/>
        <v>6104.7390000000005</v>
      </c>
      <c r="L163" s="122">
        <f t="shared" si="366"/>
        <v>6139.4180000000006</v>
      </c>
      <c r="M163" s="123">
        <f t="shared" si="366"/>
        <v>6830.277</v>
      </c>
      <c r="N163" s="86">
        <f t="shared" si="366"/>
        <v>6830.277</v>
      </c>
      <c r="O163" s="121">
        <f t="shared" si="366"/>
        <v>6804.7309999999989</v>
      </c>
      <c r="P163" s="122">
        <f t="shared" si="366"/>
        <v>7365.1689999999999</v>
      </c>
      <c r="Q163" s="130">
        <f>Q161-Q162</f>
        <v>7480.420000000001</v>
      </c>
      <c r="R163" s="123">
        <f t="shared" si="366"/>
        <v>8046.2369999999992</v>
      </c>
      <c r="S163" s="85">
        <f t="shared" si="366"/>
        <v>8046.2369999999992</v>
      </c>
      <c r="T163" s="121">
        <f t="shared" si="366"/>
        <v>8024.0010000000002</v>
      </c>
      <c r="U163" s="130">
        <f t="shared" si="366"/>
        <v>8040.2490000000007</v>
      </c>
      <c r="V163" s="122">
        <f t="shared" si="366"/>
        <v>8148.598</v>
      </c>
      <c r="W163" s="123">
        <f t="shared" ref="W163:AJ163" si="367">W161-W162</f>
        <v>8249.5669999999991</v>
      </c>
      <c r="X163" s="85">
        <f t="shared" si="367"/>
        <v>8249.5669999999991</v>
      </c>
      <c r="Y163" s="121">
        <f t="shared" si="367"/>
        <v>8238.3019999999997</v>
      </c>
      <c r="Z163" s="122">
        <f t="shared" si="367"/>
        <v>8392.0339999999978</v>
      </c>
      <c r="AA163" s="122">
        <f t="shared" si="367"/>
        <v>8762.0419999999995</v>
      </c>
      <c r="AB163" s="123">
        <f t="shared" si="367"/>
        <v>9342.5910000000003</v>
      </c>
      <c r="AC163" s="85">
        <f t="shared" si="367"/>
        <v>9342.5910000000003</v>
      </c>
      <c r="AD163" s="121">
        <f t="shared" si="367"/>
        <v>9358.3960000000006</v>
      </c>
      <c r="AE163" s="122">
        <f t="shared" si="367"/>
        <v>9746.8220000000001</v>
      </c>
      <c r="AF163" s="122">
        <f t="shared" si="367"/>
        <v>9851.0339999999997</v>
      </c>
      <c r="AG163" s="123">
        <f t="shared" si="367"/>
        <v>10564.449000000001</v>
      </c>
      <c r="AH163" s="85">
        <f t="shared" si="367"/>
        <v>10564.449000000001</v>
      </c>
      <c r="AI163" s="121">
        <f t="shared" si="367"/>
        <v>10568.434999999999</v>
      </c>
      <c r="AJ163" s="122">
        <f t="shared" si="367"/>
        <v>10761.608</v>
      </c>
      <c r="AK163" s="122">
        <f t="shared" ref="AK163:AP163" si="368">AK161-AK162</f>
        <v>10844.342999999997</v>
      </c>
      <c r="AL163" s="123">
        <f t="shared" si="368"/>
        <v>11878.206000000002</v>
      </c>
      <c r="AM163" s="85">
        <f t="shared" si="368"/>
        <v>11878.206000000002</v>
      </c>
      <c r="AN163" s="121">
        <f t="shared" si="368"/>
        <v>11816.954999999998</v>
      </c>
      <c r="AO163" s="122">
        <f>AO161-AO162</f>
        <v>11803.436999999998</v>
      </c>
      <c r="AP163" s="122">
        <f t="shared" si="368"/>
        <v>11876.335000000001</v>
      </c>
      <c r="AQ163" s="123">
        <f>AQ161-AQ162</f>
        <v>12399.767999999998</v>
      </c>
      <c r="AR163" s="85">
        <f>AR161-AR162</f>
        <v>12399.767999999998</v>
      </c>
      <c r="AS163" s="121">
        <f>AS161-AS162</f>
        <v>12333.411</v>
      </c>
      <c r="AT163" s="122">
        <f>AT161-AT162</f>
        <v>12403.936000000002</v>
      </c>
      <c r="AU163" s="122">
        <f t="shared" ref="AU163:BB163" si="369">AU161-AU162</f>
        <v>12451.892</v>
      </c>
      <c r="AV163" s="123">
        <f>AV161-AV162</f>
        <v>12101.071999999996</v>
      </c>
      <c r="AW163" s="85">
        <f>AW161-AW162</f>
        <v>12101.071999999996</v>
      </c>
      <c r="AX163" s="121">
        <f t="shared" si="369"/>
        <v>12131.556651999999</v>
      </c>
      <c r="AY163" s="122">
        <f t="shared" si="369"/>
        <v>12289.050413056999</v>
      </c>
      <c r="AZ163" s="122">
        <f t="shared" si="369"/>
        <v>12444.14239425788</v>
      </c>
      <c r="BA163" s="123">
        <f t="shared" si="369"/>
        <v>12596.869222745447</v>
      </c>
      <c r="BB163" s="86">
        <f t="shared" si="369"/>
        <v>12596.869222745447</v>
      </c>
      <c r="BC163" s="121">
        <f t="shared" ref="BC163:BL163" si="370">BC161-BC162</f>
        <v>12624.739488803221</v>
      </c>
      <c r="BD163" s="122">
        <f t="shared" si="370"/>
        <v>12911.388433717115</v>
      </c>
      <c r="BE163" s="122">
        <f t="shared" si="370"/>
        <v>13193.704041406532</v>
      </c>
      <c r="BF163" s="123">
        <f t="shared" si="370"/>
        <v>13471.751819914794</v>
      </c>
      <c r="BG163" s="86">
        <f t="shared" si="370"/>
        <v>13471.751819914794</v>
      </c>
      <c r="BH163" s="121">
        <f t="shared" si="370"/>
        <v>13854.562375793803</v>
      </c>
      <c r="BI163" s="122">
        <f t="shared" si="370"/>
        <v>14010.875864463011</v>
      </c>
      <c r="BJ163" s="122">
        <f t="shared" si="370"/>
        <v>14164.863062916154</v>
      </c>
      <c r="BK163" s="123">
        <f t="shared" si="370"/>
        <v>14316.558591493524</v>
      </c>
      <c r="BL163" s="86">
        <f t="shared" si="370"/>
        <v>14316.558591493524</v>
      </c>
      <c r="BM163" s="121">
        <f t="shared" ref="BM163:BQ163" si="371">BM161-BM162</f>
        <v>14434.08242274137</v>
      </c>
      <c r="BN163" s="122">
        <f t="shared" si="371"/>
        <v>14617.059586283416</v>
      </c>
      <c r="BO163" s="122">
        <f t="shared" si="371"/>
        <v>14797.317298808041</v>
      </c>
      <c r="BP163" s="123">
        <f t="shared" si="371"/>
        <v>14974.895977456337</v>
      </c>
      <c r="BQ163" s="86">
        <f t="shared" si="371"/>
        <v>14974.895977456337</v>
      </c>
      <c r="BR163" s="220"/>
      <c r="BS163" s="220"/>
      <c r="BT163" s="220"/>
      <c r="BU163" s="615"/>
      <c r="BV163" s="949"/>
      <c r="BW163" s="615"/>
      <c r="BX163" s="615"/>
      <c r="BY163" s="615"/>
      <c r="BZ163" s="615"/>
      <c r="CA163" s="930"/>
      <c r="CB163" s="615"/>
      <c r="CC163" s="615"/>
      <c r="CD163" s="615"/>
      <c r="CE163" s="615"/>
      <c r="CF163" s="220"/>
      <c r="CG163" s="220"/>
      <c r="CH163" s="220"/>
      <c r="CI163" s="220"/>
      <c r="CJ163" s="220"/>
      <c r="CK163" s="220"/>
      <c r="CL163" s="220"/>
      <c r="CM163" s="220"/>
      <c r="CN163" s="220"/>
      <c r="CO163" s="220"/>
      <c r="CP163" s="220"/>
      <c r="CQ163" s="220"/>
      <c r="CR163" s="220"/>
      <c r="CS163" s="220"/>
      <c r="CT163" s="220"/>
      <c r="CU163" s="220"/>
      <c r="CV163" s="220"/>
      <c r="CW163" s="220"/>
      <c r="CX163" s="220"/>
      <c r="CY163" s="220"/>
      <c r="CZ163" s="220"/>
    </row>
    <row r="164" spans="1:104" x14ac:dyDescent="0.2">
      <c r="A164" s="220"/>
      <c r="B164" s="220"/>
      <c r="C164" s="289"/>
      <c r="D164" s="82"/>
      <c r="E164" s="136"/>
      <c r="F164" s="137"/>
      <c r="G164" s="137"/>
      <c r="H164" s="116"/>
      <c r="I164" s="82"/>
      <c r="J164" s="136"/>
      <c r="K164" s="137"/>
      <c r="L164" s="137"/>
      <c r="M164" s="116"/>
      <c r="N164" s="82"/>
      <c r="O164" s="136"/>
      <c r="P164" s="137"/>
      <c r="Q164" s="137"/>
      <c r="R164" s="116"/>
      <c r="S164" s="220"/>
      <c r="T164" s="136"/>
      <c r="U164" s="137"/>
      <c r="V164" s="137"/>
      <c r="W164" s="116"/>
      <c r="X164" s="220"/>
      <c r="Y164" s="136"/>
      <c r="Z164" s="137"/>
      <c r="AA164" s="137"/>
      <c r="AB164" s="116"/>
      <c r="AC164" s="220"/>
      <c r="AD164" s="136"/>
      <c r="AE164" s="137"/>
      <c r="AF164" s="137"/>
      <c r="AG164" s="116"/>
      <c r="AH164" s="220"/>
      <c r="AI164" s="136"/>
      <c r="AJ164" s="137"/>
      <c r="AK164" s="137"/>
      <c r="AL164" s="116"/>
      <c r="AM164" s="220"/>
      <c r="AN164" s="136"/>
      <c r="AO164" s="137"/>
      <c r="AP164" s="137"/>
      <c r="AQ164" s="116"/>
      <c r="AR164" s="220"/>
      <c r="AS164" s="136"/>
      <c r="AT164" s="137"/>
      <c r="AU164" s="137"/>
      <c r="AV164" s="116"/>
      <c r="AW164" s="220"/>
      <c r="AX164" s="136"/>
      <c r="AY164" s="137"/>
      <c r="AZ164" s="137"/>
      <c r="BA164" s="116"/>
      <c r="BB164" s="220"/>
      <c r="BC164" s="136"/>
      <c r="BD164" s="137"/>
      <c r="BE164" s="137"/>
      <c r="BF164" s="116"/>
      <c r="BG164" s="220"/>
      <c r="BH164" s="136"/>
      <c r="BI164" s="137"/>
      <c r="BJ164" s="137"/>
      <c r="BK164" s="116"/>
      <c r="BL164" s="220"/>
      <c r="BM164" s="136"/>
      <c r="BN164" s="137"/>
      <c r="BO164" s="137"/>
      <c r="BP164" s="116"/>
      <c r="BQ164" s="220"/>
      <c r="BR164" s="220"/>
      <c r="BS164" s="220"/>
      <c r="BT164" s="220"/>
      <c r="BU164" s="615"/>
      <c r="BV164" s="951"/>
      <c r="BW164" s="521"/>
      <c r="BX164" s="521"/>
      <c r="BY164" s="521"/>
      <c r="BZ164" s="521"/>
      <c r="CA164" s="521"/>
      <c r="CB164" s="615"/>
      <c r="CC164" s="615"/>
      <c r="CD164" s="615"/>
      <c r="CE164" s="615"/>
      <c r="CF164" s="220"/>
      <c r="CG164" s="220"/>
      <c r="CH164" s="220"/>
      <c r="CI164" s="220"/>
      <c r="CJ164" s="220"/>
      <c r="CK164" s="220"/>
      <c r="CL164" s="220"/>
      <c r="CM164" s="220"/>
      <c r="CN164" s="220"/>
      <c r="CO164" s="220"/>
      <c r="CP164" s="220"/>
      <c r="CQ164" s="220"/>
      <c r="CR164" s="220"/>
      <c r="CS164" s="220"/>
      <c r="CT164" s="220"/>
      <c r="CU164" s="220"/>
      <c r="CV164" s="220"/>
      <c r="CW164" s="220"/>
      <c r="CX164" s="220"/>
      <c r="CY164" s="220"/>
      <c r="CZ164" s="220"/>
    </row>
    <row r="165" spans="1:104" x14ac:dyDescent="0.2">
      <c r="A165" s="85"/>
      <c r="B165" s="85"/>
      <c r="C165" s="336" t="s">
        <v>205</v>
      </c>
      <c r="D165" s="86"/>
      <c r="E165" s="235">
        <v>540.78499999999997</v>
      </c>
      <c r="F165" s="236">
        <v>613.01800000000003</v>
      </c>
      <c r="G165" s="236">
        <v>596.74900000000002</v>
      </c>
      <c r="H165" s="123">
        <f>I165</f>
        <v>587.08000000000004</v>
      </c>
      <c r="I165" s="237">
        <v>587.08000000000004</v>
      </c>
      <c r="J165" s="235">
        <v>756.61800000000005</v>
      </c>
      <c r="K165" s="236">
        <v>916.23500000000001</v>
      </c>
      <c r="L165" s="236">
        <v>1134.5419999999999</v>
      </c>
      <c r="M165" s="123">
        <f>N165</f>
        <v>695.29200000000003</v>
      </c>
      <c r="N165" s="237">
        <v>695.29200000000003</v>
      </c>
      <c r="O165" s="235">
        <v>832.56200000000001</v>
      </c>
      <c r="P165" s="236">
        <v>715.75099999999998</v>
      </c>
      <c r="Q165" s="727">
        <v>722.20500000000004</v>
      </c>
      <c r="R165" s="123">
        <f>S165</f>
        <v>639.24599999999998</v>
      </c>
      <c r="S165" s="745">
        <v>639.24599999999998</v>
      </c>
      <c r="T165" s="235">
        <v>752.23099999999999</v>
      </c>
      <c r="U165" s="727">
        <v>874.92700000000002</v>
      </c>
      <c r="V165" s="236">
        <v>916.19799999999998</v>
      </c>
      <c r="W165" s="123">
        <f>X165</f>
        <v>951.19899999999996</v>
      </c>
      <c r="X165" s="745">
        <v>951.19899999999996</v>
      </c>
      <c r="Y165" s="235">
        <v>1172.173</v>
      </c>
      <c r="Z165" s="236">
        <v>1278.5409999999999</v>
      </c>
      <c r="AA165" s="236">
        <v>1120.25</v>
      </c>
      <c r="AB165" s="123">
        <f>AC165</f>
        <v>902.82</v>
      </c>
      <c r="AC165" s="745">
        <v>902.82</v>
      </c>
      <c r="AD165" s="235">
        <v>1032.567</v>
      </c>
      <c r="AE165" s="236">
        <v>802.57100000000003</v>
      </c>
      <c r="AF165" s="236">
        <v>893.58100000000002</v>
      </c>
      <c r="AG165" s="123">
        <f>AH165</f>
        <v>706.97900000000004</v>
      </c>
      <c r="AH165" s="745">
        <v>706.97900000000004</v>
      </c>
      <c r="AI165" s="235">
        <v>693.88800000000003</v>
      </c>
      <c r="AJ165" s="236">
        <v>641.15200000000004</v>
      </c>
      <c r="AK165" s="236">
        <v>741.98199999999997</v>
      </c>
      <c r="AL165" s="123">
        <f>AM165</f>
        <v>545.53499999999997</v>
      </c>
      <c r="AM165" s="745">
        <v>545.53499999999997</v>
      </c>
      <c r="AN165" s="235">
        <v>650.69299999999998</v>
      </c>
      <c r="AO165" s="236">
        <v>785.83799999999997</v>
      </c>
      <c r="AP165" s="236">
        <v>856.41499999999996</v>
      </c>
      <c r="AQ165" s="123">
        <f>AR165</f>
        <v>509.89100000000002</v>
      </c>
      <c r="AR165" s="745">
        <v>509.89100000000002</v>
      </c>
      <c r="AS165" s="235">
        <v>565.14599999999996</v>
      </c>
      <c r="AT165" s="236">
        <v>534.34699999999998</v>
      </c>
      <c r="AU165" s="236">
        <v>508.30599999999998</v>
      </c>
      <c r="AV165" s="123">
        <f>AW165</f>
        <v>530.12599999999998</v>
      </c>
      <c r="AW165" s="745">
        <v>530.12599999999998</v>
      </c>
      <c r="AX165" s="124">
        <f>AX170*BB179</f>
        <v>657.6</v>
      </c>
      <c r="AY165" s="129">
        <f>AY170*BB179</f>
        <v>657.6</v>
      </c>
      <c r="AZ165" s="129">
        <f>AZ170*BB179</f>
        <v>657.6</v>
      </c>
      <c r="BA165" s="126">
        <f>+BA170*BB179</f>
        <v>657.6</v>
      </c>
      <c r="BB165" s="127">
        <f>BA165</f>
        <v>657.6</v>
      </c>
      <c r="BC165" s="124">
        <f>BC170*BG179</f>
        <v>916.8</v>
      </c>
      <c r="BD165" s="129">
        <f>BD170*BG179</f>
        <v>916.8</v>
      </c>
      <c r="BE165" s="129">
        <f>BE170*BG179</f>
        <v>916.8</v>
      </c>
      <c r="BF165" s="126">
        <f>+BF170*BG179</f>
        <v>916.8</v>
      </c>
      <c r="BG165" s="127">
        <f>BF165</f>
        <v>916.8</v>
      </c>
      <c r="BH165" s="124">
        <f>BH170*BL179</f>
        <v>696</v>
      </c>
      <c r="BI165" s="129">
        <f>BI170*BL179</f>
        <v>696</v>
      </c>
      <c r="BJ165" s="129">
        <f>BJ170*BL179</f>
        <v>696</v>
      </c>
      <c r="BK165" s="126">
        <f>+BK170*BL179</f>
        <v>696</v>
      </c>
      <c r="BL165" s="127">
        <f>BK165</f>
        <v>696</v>
      </c>
      <c r="BM165" s="124">
        <f>BM170*BQ179</f>
        <v>763.19999999999993</v>
      </c>
      <c r="BN165" s="129">
        <f>BN170*BQ179</f>
        <v>763.19999999999993</v>
      </c>
      <c r="BO165" s="129">
        <f>BO170*BQ179</f>
        <v>763.19999999999993</v>
      </c>
      <c r="BP165" s="126">
        <f>+BP170*BQ179</f>
        <v>763.19999999999993</v>
      </c>
      <c r="BQ165" s="127">
        <f>BP165</f>
        <v>763.19999999999993</v>
      </c>
      <c r="BR165" s="85"/>
      <c r="BS165" s="85"/>
      <c r="BT165" s="85"/>
      <c r="BU165" s="521"/>
      <c r="BV165" s="948"/>
      <c r="BW165" s="928"/>
      <c r="BX165" s="928"/>
      <c r="BY165" s="928"/>
      <c r="BZ165" s="928"/>
      <c r="CA165" s="929"/>
      <c r="CB165" s="615"/>
      <c r="CC165" s="931"/>
      <c r="CD165" s="931"/>
      <c r="CE165" s="521"/>
      <c r="CF165" s="85"/>
      <c r="CG165" s="85"/>
      <c r="CH165" s="85"/>
      <c r="CI165" s="85"/>
      <c r="CJ165" s="85"/>
      <c r="CK165" s="85"/>
      <c r="CL165" s="85"/>
      <c r="CM165" s="85"/>
      <c r="CN165" s="85"/>
      <c r="CO165" s="85"/>
      <c r="CP165" s="85"/>
      <c r="CQ165" s="85"/>
      <c r="CR165" s="85"/>
      <c r="CS165" s="85"/>
      <c r="CT165" s="85"/>
      <c r="CU165" s="85"/>
      <c r="CV165" s="85"/>
      <c r="CW165" s="85"/>
      <c r="CX165" s="85"/>
      <c r="CY165" s="85"/>
      <c r="CZ165" s="85"/>
    </row>
    <row r="166" spans="1:104" x14ac:dyDescent="0.2">
      <c r="A166" s="220"/>
      <c r="B166" s="220"/>
      <c r="C166" s="289"/>
      <c r="D166" s="82"/>
      <c r="E166" s="136"/>
      <c r="F166" s="137"/>
      <c r="G166" s="137"/>
      <c r="H166" s="116"/>
      <c r="I166" s="82"/>
      <c r="J166" s="136"/>
      <c r="K166" s="137"/>
      <c r="L166" s="137"/>
      <c r="M166" s="116"/>
      <c r="N166" s="82"/>
      <c r="O166" s="136"/>
      <c r="P166" s="137"/>
      <c r="Q166" s="137"/>
      <c r="R166" s="116"/>
      <c r="S166" s="220"/>
      <c r="T166" s="136"/>
      <c r="U166" s="137"/>
      <c r="V166" s="137"/>
      <c r="W166" s="116"/>
      <c r="X166" s="220"/>
      <c r="Y166" s="136"/>
      <c r="Z166" s="137"/>
      <c r="AA166" s="137"/>
      <c r="AB166" s="116"/>
      <c r="AC166" s="220"/>
      <c r="AD166" s="136"/>
      <c r="AE166" s="137"/>
      <c r="AF166" s="137"/>
      <c r="AG166" s="116"/>
      <c r="AH166" s="220"/>
      <c r="AI166" s="136"/>
      <c r="AJ166" s="137"/>
      <c r="AK166" s="137"/>
      <c r="AL166" s="116"/>
      <c r="AM166" s="220"/>
      <c r="AN166" s="136"/>
      <c r="AO166" s="137"/>
      <c r="AP166" s="137"/>
      <c r="AQ166" s="116"/>
      <c r="AR166" s="220"/>
      <c r="AS166" s="136"/>
      <c r="AT166" s="137"/>
      <c r="AU166" s="137"/>
      <c r="AV166" s="116"/>
      <c r="AW166" s="220"/>
      <c r="AX166" s="136"/>
      <c r="AY166" s="137"/>
      <c r="AZ166" s="137"/>
      <c r="BA166" s="116"/>
      <c r="BB166" s="220"/>
      <c r="BC166" s="136"/>
      <c r="BD166" s="137"/>
      <c r="BE166" s="137"/>
      <c r="BF166" s="116"/>
      <c r="BG166" s="220"/>
      <c r="BH166" s="136"/>
      <c r="BI166" s="137"/>
      <c r="BJ166" s="137"/>
      <c r="BK166" s="116"/>
      <c r="BL166" s="220"/>
      <c r="BM166" s="136"/>
      <c r="BN166" s="137"/>
      <c r="BO166" s="137"/>
      <c r="BP166" s="116"/>
      <c r="BQ166" s="220"/>
      <c r="BR166" s="220"/>
      <c r="BS166" s="220"/>
      <c r="BT166" s="220"/>
      <c r="BU166" s="615"/>
      <c r="BV166" s="954"/>
      <c r="BW166" s="931"/>
      <c r="BX166" s="931"/>
      <c r="BY166" s="931"/>
      <c r="BZ166" s="931"/>
      <c r="CA166" s="950"/>
      <c r="CB166" s="931"/>
      <c r="CC166" s="931"/>
      <c r="CD166" s="931"/>
      <c r="CE166" s="615"/>
      <c r="CF166" s="220"/>
      <c r="CG166" s="220"/>
      <c r="CH166" s="220"/>
      <c r="CI166" s="220"/>
      <c r="CJ166" s="220"/>
      <c r="CK166" s="220"/>
      <c r="CL166" s="220"/>
      <c r="CM166" s="220"/>
      <c r="CN166" s="220"/>
      <c r="CO166" s="220"/>
      <c r="CP166" s="220"/>
      <c r="CQ166" s="220"/>
      <c r="CR166" s="220"/>
      <c r="CS166" s="220"/>
      <c r="CT166" s="220"/>
      <c r="CU166" s="220"/>
      <c r="CV166" s="220"/>
      <c r="CW166" s="220"/>
      <c r="CX166" s="220"/>
      <c r="CY166" s="220"/>
      <c r="CZ166" s="220"/>
    </row>
    <row r="167" spans="1:104" x14ac:dyDescent="0.2">
      <c r="A167" s="85"/>
      <c r="B167" s="85"/>
      <c r="C167" s="336" t="s">
        <v>178</v>
      </c>
      <c r="D167" s="86"/>
      <c r="E167" s="121">
        <f>'NSP-MN'!E206</f>
        <v>106.53400000000001</v>
      </c>
      <c r="F167" s="122">
        <f>'NSP-MN'!F206</f>
        <v>97.314999999999984</v>
      </c>
      <c r="G167" s="122">
        <f>'NSP-MN'!G206</f>
        <v>92.091999999999985</v>
      </c>
      <c r="H167" s="123">
        <f>'NSP-MN'!H206</f>
        <v>98.771000000000015</v>
      </c>
      <c r="I167" s="86">
        <f>'NSP-MN'!I206</f>
        <v>394.71199999999999</v>
      </c>
      <c r="J167" s="121">
        <f>'NSP-MN'!J206</f>
        <v>97.572999999999993</v>
      </c>
      <c r="K167" s="122">
        <f>'NSP-MN'!K206</f>
        <v>95.911000000000016</v>
      </c>
      <c r="L167" s="122">
        <f>'NSP-MN'!L206</f>
        <v>106.97099999999998</v>
      </c>
      <c r="M167" s="123">
        <f>'NSP-MN'!M206</f>
        <v>101.14699999999999</v>
      </c>
      <c r="N167" s="86">
        <f>'NSP-MN'!N206</f>
        <v>401.60199999999998</v>
      </c>
      <c r="O167" s="121">
        <f>'NSP-MN'!O206</f>
        <v>101.78700000000001</v>
      </c>
      <c r="P167" s="122">
        <f>'NSP-MN'!P206</f>
        <v>105.70599999999999</v>
      </c>
      <c r="Q167" s="130">
        <f>'NSP-MN'!Q206</f>
        <v>112.80200000000002</v>
      </c>
      <c r="R167" s="123">
        <f>'NSP-MN'!R206</f>
        <v>66.014999999999986</v>
      </c>
      <c r="S167" s="85">
        <f>SUM(O167:R167)</f>
        <v>386.31</v>
      </c>
      <c r="T167" s="121">
        <f>'NSP-MN'!T206</f>
        <v>100.173</v>
      </c>
      <c r="U167" s="130">
        <f>'NSP-MN'!U206</f>
        <v>101.11699999999999</v>
      </c>
      <c r="V167" s="122">
        <f>'NSP-MN'!V206</f>
        <v>107.131</v>
      </c>
      <c r="W167" s="123">
        <f>'NSP-MN'!W206</f>
        <v>95.903999999999996</v>
      </c>
      <c r="X167" s="85">
        <f>SUM(T167:W167)</f>
        <v>404.32499999999999</v>
      </c>
      <c r="Y167" s="121">
        <f>'NSP-MN'!Y206</f>
        <v>110.327</v>
      </c>
      <c r="Z167" s="122">
        <f>'NSP-MN'!Z206</f>
        <v>105.048</v>
      </c>
      <c r="AA167" s="122">
        <f>'NSP-MN'!AA206</f>
        <v>90.627999999999986</v>
      </c>
      <c r="AB167" s="123">
        <f>'NSP-MN'!AB206</f>
        <v>113.84899999999999</v>
      </c>
      <c r="AC167" s="85">
        <f>SUM(Y167:AB167)</f>
        <v>419.85199999999998</v>
      </c>
      <c r="AD167" s="121">
        <f>'NSP-MN'!AD206</f>
        <v>100.51300000000001</v>
      </c>
      <c r="AE167" s="122">
        <f>'NSP-MN'!AE206</f>
        <v>103.28999999999999</v>
      </c>
      <c r="AF167" s="122">
        <f>'NSP-MN'!AF206</f>
        <v>104.255</v>
      </c>
      <c r="AG167" s="123">
        <f>'NSP-MN'!AG206</f>
        <v>108.322</v>
      </c>
      <c r="AH167" s="85">
        <f>SUM(AD167:AG167)</f>
        <v>416.38</v>
      </c>
      <c r="AI167" s="121">
        <f>'NSP-MN'!AI206</f>
        <v>119.459</v>
      </c>
      <c r="AJ167" s="122">
        <f>'NSP-MN'!AJ206</f>
        <v>117.64400000000001</v>
      </c>
      <c r="AK167" s="122">
        <f>'NSP-MN'!AK206</f>
        <v>121.10699999999997</v>
      </c>
      <c r="AL167" s="123">
        <f>'NSP-MN'!AL206</f>
        <v>126.911</v>
      </c>
      <c r="AM167" s="85">
        <f>SUM(AI167:AL167)</f>
        <v>485.12099999999998</v>
      </c>
      <c r="AN167" s="121">
        <f>'NSP-MN'!AN206</f>
        <v>147.31</v>
      </c>
      <c r="AO167" s="122">
        <f>'NSP-MN'!AO206</f>
        <v>148.97500000000002</v>
      </c>
      <c r="AP167" s="122">
        <f>'NSP-MN'!AP206</f>
        <v>150.99899999999997</v>
      </c>
      <c r="AQ167" s="123">
        <f>'NSP-MN'!AQ206</f>
        <v>155.60000000000002</v>
      </c>
      <c r="AR167" s="85">
        <f>SUM(AN167:AQ167)</f>
        <v>602.88400000000001</v>
      </c>
      <c r="AS167" s="121">
        <f>'NSP-MN'!AS206</f>
        <v>173.726</v>
      </c>
      <c r="AT167" s="122">
        <f>'NSP-MN'!AT206</f>
        <v>174.71600000000001</v>
      </c>
      <c r="AU167" s="122">
        <f>'NSP-MN'!AU206</f>
        <v>178.34199999999998</v>
      </c>
      <c r="AV167" s="123">
        <f>'NSP-MN'!AV206</f>
        <v>180.17899999999997</v>
      </c>
      <c r="AW167" s="85">
        <f>SUM(AS167:AV167)</f>
        <v>706.96299999999997</v>
      </c>
      <c r="AX167" s="121">
        <f>(AX169*AW163)/4</f>
        <v>184.54134799999994</v>
      </c>
      <c r="AY167" s="122">
        <f>(AY169*AX163)/4</f>
        <v>185.00623894299997</v>
      </c>
      <c r="AZ167" s="122">
        <f>(AZ169*AY163)/4</f>
        <v>187.40801879911922</v>
      </c>
      <c r="BA167" s="123">
        <f>(BA169*AZ163)/4</f>
        <v>189.77317151243267</v>
      </c>
      <c r="BB167" s="85">
        <f>SUM(AX167:BA167)</f>
        <v>746.7287772545518</v>
      </c>
      <c r="BC167" s="121">
        <f>(BC169*BB163)/4</f>
        <v>190.429733942224</v>
      </c>
      <c r="BD167" s="122">
        <f>(BD169*BC163)/4</f>
        <v>190.85105508610775</v>
      </c>
      <c r="BE167" s="122">
        <f>(BE169*BD163)/4</f>
        <v>195.18439231058321</v>
      </c>
      <c r="BF167" s="123">
        <f>(BF169*BE163)/4</f>
        <v>199.45222149173873</v>
      </c>
      <c r="BG167" s="85">
        <f>SUM(BC167:BF167)</f>
        <v>775.9174028306536</v>
      </c>
      <c r="BH167" s="121">
        <f>(BH169*BG163)/4</f>
        <v>200.48944412099056</v>
      </c>
      <c r="BI167" s="122">
        <f>(BI169*BH163)/4</f>
        <v>206.18651133079277</v>
      </c>
      <c r="BJ167" s="122">
        <f>(BJ169*BI163)/4</f>
        <v>208.51280154685617</v>
      </c>
      <c r="BK167" s="123">
        <f>(BK169*BJ163)/4</f>
        <v>210.80447142263145</v>
      </c>
      <c r="BL167" s="85">
        <f>SUM(BH167:BK167)</f>
        <v>825.99322842127094</v>
      </c>
      <c r="BM167" s="121">
        <f>(BM169*BL163)/4</f>
        <v>212.77616875215239</v>
      </c>
      <c r="BN167" s="122">
        <f>(BN169*BM163)/4</f>
        <v>214.5228364579549</v>
      </c>
      <c r="BO167" s="122">
        <f>(BO169*BN163)/4</f>
        <v>217.24228747537646</v>
      </c>
      <c r="BP167" s="123">
        <f>(BP169*BO163)/4</f>
        <v>219.92132135170243</v>
      </c>
      <c r="BQ167" s="85">
        <f>SUM(BM167:BP167)</f>
        <v>864.4626140371862</v>
      </c>
      <c r="BR167" s="85"/>
      <c r="BS167" s="85"/>
      <c r="BT167" s="85"/>
      <c r="BU167" s="521"/>
      <c r="BV167" s="949"/>
      <c r="BW167" s="615"/>
      <c r="BX167" s="615"/>
      <c r="BY167" s="615"/>
      <c r="BZ167" s="615"/>
      <c r="CA167" s="930"/>
      <c r="CB167" s="615"/>
      <c r="CC167" s="931"/>
      <c r="CD167" s="931"/>
      <c r="CE167" s="521"/>
      <c r="CF167" s="85"/>
      <c r="CG167" s="85"/>
      <c r="CH167" s="85"/>
      <c r="CI167" s="85"/>
      <c r="CJ167" s="85"/>
      <c r="CK167" s="85"/>
      <c r="CL167" s="85"/>
      <c r="CM167" s="85"/>
      <c r="CN167" s="85"/>
      <c r="CO167" s="85"/>
      <c r="CP167" s="85"/>
      <c r="CQ167" s="85"/>
      <c r="CR167" s="85"/>
      <c r="CS167" s="85"/>
      <c r="CT167" s="85"/>
      <c r="CU167" s="85"/>
      <c r="CV167" s="85"/>
      <c r="CW167" s="85"/>
      <c r="CX167" s="85"/>
      <c r="CY167" s="85"/>
      <c r="CZ167" s="85"/>
    </row>
    <row r="168" spans="1:104" x14ac:dyDescent="0.2">
      <c r="A168" s="220"/>
      <c r="B168" s="220"/>
      <c r="C168" s="289"/>
      <c r="D168" s="82"/>
      <c r="E168" s="136"/>
      <c r="F168" s="137"/>
      <c r="G168" s="137"/>
      <c r="H168" s="116"/>
      <c r="I168" s="82"/>
      <c r="J168" s="136"/>
      <c r="K168" s="137"/>
      <c r="L168" s="137"/>
      <c r="M168" s="116"/>
      <c r="N168" s="82"/>
      <c r="O168" s="136"/>
      <c r="P168" s="137"/>
      <c r="Q168" s="137"/>
      <c r="R168" s="116"/>
      <c r="S168" s="220"/>
      <c r="T168" s="136"/>
      <c r="U168" s="137"/>
      <c r="V168" s="137"/>
      <c r="W168" s="116"/>
      <c r="X168" s="220"/>
      <c r="Y168" s="136"/>
      <c r="Z168" s="137"/>
      <c r="AA168" s="137"/>
      <c r="AB168" s="116"/>
      <c r="AC168" s="220"/>
      <c r="AD168" s="136"/>
      <c r="AE168" s="137"/>
      <c r="AF168" s="137"/>
      <c r="AG168" s="116"/>
      <c r="AH168" s="220"/>
      <c r="AI168" s="136"/>
      <c r="AJ168" s="137"/>
      <c r="AK168" s="137"/>
      <c r="AL168" s="116"/>
      <c r="AM168" s="220"/>
      <c r="AN168" s="136"/>
      <c r="AO168" s="137"/>
      <c r="AP168" s="137"/>
      <c r="AQ168" s="116"/>
      <c r="AR168" s="220"/>
      <c r="AS168" s="136"/>
      <c r="AT168" s="137"/>
      <c r="AU168" s="137"/>
      <c r="AV168" s="116"/>
      <c r="AW168" s="220"/>
      <c r="AX168" s="136"/>
      <c r="AY168" s="137"/>
      <c r="AZ168" s="137"/>
      <c r="BA168" s="116"/>
      <c r="BB168" s="220"/>
      <c r="BC168" s="136"/>
      <c r="BD168" s="137"/>
      <c r="BE168" s="137"/>
      <c r="BF168" s="116"/>
      <c r="BG168" s="220"/>
      <c r="BH168" s="136"/>
      <c r="BI168" s="137"/>
      <c r="BJ168" s="137"/>
      <c r="BK168" s="116"/>
      <c r="BL168" s="220"/>
      <c r="BM168" s="136"/>
      <c r="BN168" s="137"/>
      <c r="BO168" s="137"/>
      <c r="BP168" s="116"/>
      <c r="BQ168" s="220"/>
      <c r="BR168" s="220"/>
      <c r="BS168" s="220"/>
      <c r="BT168" s="220"/>
      <c r="BU168" s="615"/>
      <c r="BV168" s="948"/>
      <c r="BW168" s="928"/>
      <c r="BX168" s="928"/>
      <c r="BY168" s="928"/>
      <c r="BZ168" s="928"/>
      <c r="CA168" s="929"/>
      <c r="CB168" s="615"/>
      <c r="CC168" s="931"/>
      <c r="CD168" s="931"/>
      <c r="CE168" s="615"/>
      <c r="CF168" s="220"/>
      <c r="CG168" s="220"/>
      <c r="CH168" s="220"/>
      <c r="CI168" s="220"/>
      <c r="CJ168" s="220"/>
      <c r="CK168" s="220"/>
      <c r="CL168" s="220"/>
      <c r="CM168" s="220"/>
      <c r="CN168" s="220"/>
      <c r="CO168" s="220"/>
      <c r="CP168" s="220"/>
      <c r="CQ168" s="220"/>
      <c r="CR168" s="220"/>
      <c r="CS168" s="220"/>
      <c r="CT168" s="220"/>
      <c r="CU168" s="220"/>
      <c r="CV168" s="220"/>
      <c r="CW168" s="220"/>
      <c r="CX168" s="220"/>
      <c r="CY168" s="220"/>
      <c r="CZ168" s="220"/>
    </row>
    <row r="169" spans="1:104" x14ac:dyDescent="0.2">
      <c r="A169" s="20"/>
      <c r="B169" s="20"/>
      <c r="C169" s="289" t="s">
        <v>291</v>
      </c>
      <c r="D169" s="20"/>
      <c r="E169" s="207">
        <f>E167/AVERAGE(D163:E163)*4</f>
        <v>6.9208953754914121E-2</v>
      </c>
      <c r="F169" s="208">
        <f>F167/AVERAGE(E163:F163)*4</f>
        <v>6.3154183672633327E-2</v>
      </c>
      <c r="G169" s="208">
        <f>G167/AVERAGE(F163:G163)*4</f>
        <v>5.9209862223848143E-2</v>
      </c>
      <c r="H169" s="209">
        <f>H167/AVERAGE(G163:H163)*4</f>
        <v>6.4019973874061248E-2</v>
      </c>
      <c r="I169" s="88">
        <f>I167/AVERAGE(D163,I163)</f>
        <v>6.5029002679502262E-2</v>
      </c>
      <c r="J169" s="207">
        <f>J167/AVERAGE(I163:J163)*4</f>
        <v>6.4277714403633279E-2</v>
      </c>
      <c r="K169" s="208">
        <f>K167/AVERAGE(J163:K163)*4</f>
        <v>6.3001503257605548E-2</v>
      </c>
      <c r="L169" s="208">
        <f>L167/AVERAGE(K163:L163)*4</f>
        <v>6.989194927833739E-2</v>
      </c>
      <c r="M169" s="209">
        <f>M167/AVERAGE(L163:M163)*4</f>
        <v>6.2389747792835529E-2</v>
      </c>
      <c r="N169" s="88">
        <f>N167/AVERAGE(I163,N163)</f>
        <v>6.2263581544304315E-2</v>
      </c>
      <c r="O169" s="207">
        <f>O167/AVERAGE(N163:O163)*4</f>
        <v>5.9720977061399609E-2</v>
      </c>
      <c r="P169" s="208">
        <f>P167/AVERAGE(O163:P163)*4</f>
        <v>5.9679179105004275E-2</v>
      </c>
      <c r="Q169" s="628">
        <f>Q167/AVERAGE(P163:Q163)*4</f>
        <v>6.078681014272995E-2</v>
      </c>
      <c r="R169" s="209">
        <f>R167/AVERAGE(Q163:R163)*4</f>
        <v>3.4013760978940918E-2</v>
      </c>
      <c r="S169" s="733">
        <f>S167/AVERAGE(N163,S163)</f>
        <v>5.1935554256864212E-2</v>
      </c>
      <c r="T169" s="207">
        <f>T167/AVERAGE(S163:T163)*4</f>
        <v>4.9867587524217133E-2</v>
      </c>
      <c r="U169" s="628">
        <f>U167/AVERAGE(T163:U163)*4</f>
        <v>5.0356288030876009E-2</v>
      </c>
      <c r="V169" s="342">
        <f>V167/AVERAGE(U163:V163)*4</f>
        <v>5.2940644877303489E-2</v>
      </c>
      <c r="W169" s="209">
        <f>W167/AVERAGE(V163:W163)*4</f>
        <v>4.6787674108657883E-2</v>
      </c>
      <c r="X169" s="733">
        <f>X167/AVERAGE(S163,X163)</f>
        <v>4.9623203617323829E-2</v>
      </c>
      <c r="Y169" s="207">
        <f>Y167/AVERAGE(X163:Y163)*4</f>
        <v>5.3531235601156225E-2</v>
      </c>
      <c r="Z169" s="342">
        <f>Z167/AVERAGE(Y163:Z163)*4</f>
        <v>5.053319427821544E-2</v>
      </c>
      <c r="AA169" s="342">
        <f>AA167/AVERAGE(Z163:AA163)*4</f>
        <v>4.2265406775625805E-2</v>
      </c>
      <c r="AB169" s="209">
        <f>AB167/AVERAGE(AA163:AB163)*4</f>
        <v>5.0307123044140131E-2</v>
      </c>
      <c r="AC169" s="733">
        <f>AC167/AVERAGE(X163,AC163)</f>
        <v>4.7731722282166857E-2</v>
      </c>
      <c r="AD169" s="207">
        <f>AD167/AVERAGE(AC163:AD163)*4</f>
        <v>4.2997944440044795E-2</v>
      </c>
      <c r="AE169" s="342">
        <f>AE167/AVERAGE(AD163:AE163)*4</f>
        <v>4.3251011320572207E-2</v>
      </c>
      <c r="AF169" s="342">
        <f>AF167/AVERAGE(AE163:AF163)*4</f>
        <v>4.2557716517561919E-2</v>
      </c>
      <c r="AG169" s="209">
        <f>AG167/AVERAGE(AF163:AG163)*4</f>
        <v>4.244699966197224E-2</v>
      </c>
      <c r="AH169" s="733">
        <f>AH167/AVERAGE(AC163,AH163)</f>
        <v>4.1832437167956663E-2</v>
      </c>
      <c r="AI169" s="207">
        <f>AI167/AVERAGE(AH163:AI163)*4</f>
        <v>4.5222034058389766E-2</v>
      </c>
      <c r="AJ169" s="342">
        <f>AJ167/AVERAGE(AI163:AJ163)*4</f>
        <v>4.4123305330420581E-2</v>
      </c>
      <c r="AK169" s="342">
        <f>AK167/AVERAGE(AJ163:AK163)*4</f>
        <v>4.4842090033435693E-2</v>
      </c>
      <c r="AL169" s="209">
        <f>AL167/AVERAGE(AK163:AL163)*4</f>
        <v>4.4681958877060848E-2</v>
      </c>
      <c r="AM169" s="733">
        <f>AM167/AVERAGE(AH163,AM163)</f>
        <v>4.3232050753353374E-2</v>
      </c>
      <c r="AN169" s="207">
        <f>AN167/AVERAGE(AM163:AN163)*4</f>
        <v>4.9735049278626972E-2</v>
      </c>
      <c r="AO169" s="342">
        <f>AO167/AVERAGE(AN163:AO163)*4</f>
        <v>5.0456402247684981E-2</v>
      </c>
      <c r="AP169" s="342">
        <f>AP167/AVERAGE(AO163:AP163)*4</f>
        <v>5.1013666854562614E-2</v>
      </c>
      <c r="AQ169" s="209">
        <f>AQ167/AVERAGE(AP163:AQ163)*4</f>
        <v>5.1276763819959083E-2</v>
      </c>
      <c r="AR169" s="733">
        <f>AR167/AVERAGE(AM163,AR163)</f>
        <v>4.9665099731962807E-2</v>
      </c>
      <c r="AS169" s="207">
        <f>AS167/AVERAGE(AR163:AS163)*4</f>
        <v>5.6192048745533282E-2</v>
      </c>
      <c r="AT169" s="342">
        <f>AT167/AVERAGE(AS163:AT163)*4</f>
        <v>5.6502744615257249E-2</v>
      </c>
      <c r="AU169" s="342">
        <f>AU167/AVERAGE(AT163:AU163)*4</f>
        <v>5.7400461573840947E-2</v>
      </c>
      <c r="AV169" s="209">
        <f>AV167/AVERAGE(AU163:AV163)*4</f>
        <v>5.8707046530105285E-2</v>
      </c>
      <c r="AW169" s="733">
        <f>AW167/AVERAGE(AR163,AW163)</f>
        <v>5.7709286702006958E-2</v>
      </c>
      <c r="AX169" s="858">
        <v>6.0999999999999999E-2</v>
      </c>
      <c r="AY169" s="208">
        <f>AX169</f>
        <v>6.0999999999999999E-2</v>
      </c>
      <c r="AZ169" s="342">
        <f>AY169</f>
        <v>6.0999999999999999E-2</v>
      </c>
      <c r="BA169" s="343">
        <f>AZ169</f>
        <v>6.0999999999999999E-2</v>
      </c>
      <c r="BB169" s="88">
        <f>BB167/AVERAGE(AW163,BB163)</f>
        <v>6.0468908766116561E-2</v>
      </c>
      <c r="BC169" s="207">
        <f>BB169</f>
        <v>6.0468908766116561E-2</v>
      </c>
      <c r="BD169" s="208">
        <f>BC169</f>
        <v>6.0468908766116561E-2</v>
      </c>
      <c r="BE169" s="342">
        <f>BD169</f>
        <v>6.0468908766116561E-2</v>
      </c>
      <c r="BF169" s="343">
        <f>BE169</f>
        <v>6.0468908766116561E-2</v>
      </c>
      <c r="BG169" s="88">
        <f>BG167/AVERAGE(BB163,BG163)</f>
        <v>5.9528841326965183E-2</v>
      </c>
      <c r="BH169" s="207">
        <f>BG169</f>
        <v>5.9528841326965183E-2</v>
      </c>
      <c r="BI169" s="208">
        <f>BH169</f>
        <v>5.9528841326965183E-2</v>
      </c>
      <c r="BJ169" s="342">
        <f>BI169</f>
        <v>5.9528841326965183E-2</v>
      </c>
      <c r="BK169" s="343">
        <f>BJ169</f>
        <v>5.9528841326965183E-2</v>
      </c>
      <c r="BL169" s="88">
        <f>BL167/AVERAGE(BG163,BL163)</f>
        <v>5.9448970894046479E-2</v>
      </c>
      <c r="BM169" s="207">
        <f>BL169</f>
        <v>5.9448970894046479E-2</v>
      </c>
      <c r="BN169" s="208">
        <f>BM169</f>
        <v>5.9448970894046479E-2</v>
      </c>
      <c r="BO169" s="342">
        <f>BN169</f>
        <v>5.9448970894046479E-2</v>
      </c>
      <c r="BP169" s="343">
        <f>BO169</f>
        <v>5.9448970894046479E-2</v>
      </c>
      <c r="BQ169" s="88">
        <f>BQ167/AVERAGE(BL163,BQ163)</f>
        <v>5.9024901750939461E-2</v>
      </c>
      <c r="BR169" s="20"/>
      <c r="BS169" s="20"/>
      <c r="BT169" s="20"/>
      <c r="BU169" s="646"/>
      <c r="BV169" s="955"/>
      <c r="BW169" s="928"/>
      <c r="BX169" s="928"/>
      <c r="BY169" s="928"/>
      <c r="BZ169" s="928"/>
      <c r="CA169" s="928"/>
      <c r="CB169" s="615"/>
      <c r="CC169" s="931"/>
      <c r="CD169" s="931"/>
      <c r="CE169" s="646"/>
      <c r="CF169" s="20"/>
      <c r="CG169" s="20"/>
      <c r="CH169" s="20"/>
      <c r="CI169" s="20"/>
      <c r="CJ169" s="20"/>
      <c r="CK169" s="20"/>
      <c r="CL169" s="20"/>
      <c r="CM169" s="20"/>
      <c r="CN169" s="20"/>
      <c r="CO169" s="20"/>
      <c r="CP169" s="20"/>
      <c r="CQ169" s="20"/>
      <c r="CR169" s="20"/>
      <c r="CS169" s="20"/>
      <c r="CT169" s="20"/>
      <c r="CU169" s="20"/>
      <c r="CV169" s="20"/>
      <c r="CW169" s="20"/>
      <c r="CX169" s="20"/>
      <c r="CY169" s="20"/>
      <c r="CZ169" s="20"/>
    </row>
    <row r="170" spans="1:104" x14ac:dyDescent="0.2">
      <c r="A170" s="289"/>
      <c r="B170" s="289"/>
      <c r="C170" s="289" t="s">
        <v>419</v>
      </c>
      <c r="D170" s="289"/>
      <c r="E170" s="254">
        <f>E165/I179</f>
        <v>0.64031870000331526</v>
      </c>
      <c r="F170" s="255">
        <f>F165/I179</f>
        <v>0.72584648028076293</v>
      </c>
      <c r="G170" s="255">
        <f>G165/I179</f>
        <v>0.70658310402152136</v>
      </c>
      <c r="H170" s="256">
        <f>H165/I179</f>
        <v>0.6951344848654204</v>
      </c>
      <c r="I170" s="79">
        <f>I165/I179</f>
        <v>0.6951344848654204</v>
      </c>
      <c r="J170" s="254">
        <f>J165/N179</f>
        <v>0.62561331964061584</v>
      </c>
      <c r="K170" s="255">
        <f>K165/N179</f>
        <v>0.75759342220370063</v>
      </c>
      <c r="L170" s="255">
        <f>L165/N179</f>
        <v>0.93810164031480014</v>
      </c>
      <c r="M170" s="256">
        <f>M165/N179</f>
        <v>0.57490561451031175</v>
      </c>
      <c r="N170" s="79">
        <f>N165/N179</f>
        <v>0.57490561451031175</v>
      </c>
      <c r="O170" s="254">
        <f>O165/S179</f>
        <v>0.74358200317238032</v>
      </c>
      <c r="P170" s="255">
        <f>P165/$S$179</f>
        <v>0.63925516940796523</v>
      </c>
      <c r="Q170" s="720">
        <f>Q165/S179</f>
        <v>0.64501939867674596</v>
      </c>
      <c r="R170" s="256">
        <f>R165/S179</f>
        <v>0.57092663513339714</v>
      </c>
      <c r="S170" s="747">
        <f>S165/S179</f>
        <v>0.57092663513339714</v>
      </c>
      <c r="T170" s="254">
        <f>T165/X179</f>
        <v>0.64161470074709803</v>
      </c>
      <c r="U170" s="720">
        <f>U165/$X$179</f>
        <v>0.74626813476253473</v>
      </c>
      <c r="V170" s="255">
        <f>V165/X179</f>
        <v>0.78147019412266938</v>
      </c>
      <c r="W170" s="256">
        <f>W165/X179</f>
        <v>0.81132426307336292</v>
      </c>
      <c r="X170" s="747">
        <f>X165/X179</f>
        <v>0.81132426307336292</v>
      </c>
      <c r="Y170" s="254">
        <f>Y165/AC179</f>
        <v>0.7567523073665291</v>
      </c>
      <c r="Z170" s="720">
        <f>Z165/AC179</f>
        <v>0.8254232539161962</v>
      </c>
      <c r="AA170" s="720">
        <f>AA165/AC179</f>
        <v>0.72323093291464169</v>
      </c>
      <c r="AB170" s="256">
        <f>AB165/AC179</f>
        <v>0.58285860375273091</v>
      </c>
      <c r="AC170" s="747">
        <f>AC165/AC179</f>
        <v>0.58285860375273091</v>
      </c>
      <c r="AD170" s="254">
        <f>AD165/AH179</f>
        <v>0.83141456108990774</v>
      </c>
      <c r="AE170" s="720">
        <f>AE165/AH179</f>
        <v>0.64622365009581784</v>
      </c>
      <c r="AF170" s="720">
        <f>AF165/AH179</f>
        <v>0.71950416284200525</v>
      </c>
      <c r="AG170" s="256">
        <f>AG165/AH179</f>
        <v>0.56925374816818852</v>
      </c>
      <c r="AH170" s="747">
        <f>AH165/AH179</f>
        <v>0.56925374816818852</v>
      </c>
      <c r="AI170" s="254">
        <f>AI165/AM179</f>
        <v>0.37408821496615952</v>
      </c>
      <c r="AJ170" s="720">
        <f>AJ165/AM179</f>
        <v>0.3456572345997958</v>
      </c>
      <c r="AK170" s="720">
        <f>AK165/AM179</f>
        <v>0.40001660486565693</v>
      </c>
      <c r="AL170" s="256">
        <f>AL165/AM179</f>
        <v>0.29410829175827197</v>
      </c>
      <c r="AM170" s="747">
        <f>AM165/AM179</f>
        <v>0.29410829175827197</v>
      </c>
      <c r="AN170" s="254">
        <f>AN165/AR179</f>
        <v>0.54020175386891389</v>
      </c>
      <c r="AO170" s="720">
        <f>AO165/AR179</f>
        <v>0.65239839041889125</v>
      </c>
      <c r="AP170" s="720">
        <f>AP165/AR179</f>
        <v>0.71099102808797066</v>
      </c>
      <c r="AQ170" s="256">
        <f>AQ165/AR179</f>
        <v>0.42330870699696233</v>
      </c>
      <c r="AR170" s="747">
        <f>AR165/AR179</f>
        <v>0.42330870699696233</v>
      </c>
      <c r="AS170" s="254">
        <f>AS165/AW179</f>
        <v>0.55587238106666481</v>
      </c>
      <c r="AT170" s="720">
        <f>AT165/AW179</f>
        <v>0.52557876939026227</v>
      </c>
      <c r="AU170" s="720">
        <f>AU165/AW179</f>
        <v>0.49996508252818234</v>
      </c>
      <c r="AV170" s="256">
        <f>AV165/AW179</f>
        <v>0.52142703281160396</v>
      </c>
      <c r="AW170" s="747">
        <f>AW165/AW179</f>
        <v>0.52142703281160396</v>
      </c>
      <c r="AX170" s="975">
        <v>0.48</v>
      </c>
      <c r="AY170" s="255">
        <f t="shared" ref="AY170:BG170" si="372">+AX170</f>
        <v>0.48</v>
      </c>
      <c r="AZ170" s="255">
        <f t="shared" si="372"/>
        <v>0.48</v>
      </c>
      <c r="BA170" s="256">
        <f t="shared" si="372"/>
        <v>0.48</v>
      </c>
      <c r="BB170" s="79">
        <f t="shared" si="372"/>
        <v>0.48</v>
      </c>
      <c r="BC170" s="254">
        <f t="shared" si="372"/>
        <v>0.48</v>
      </c>
      <c r="BD170" s="255">
        <f t="shared" si="372"/>
        <v>0.48</v>
      </c>
      <c r="BE170" s="255">
        <f t="shared" si="372"/>
        <v>0.48</v>
      </c>
      <c r="BF170" s="256">
        <f t="shared" si="372"/>
        <v>0.48</v>
      </c>
      <c r="BG170" s="79">
        <f t="shared" si="372"/>
        <v>0.48</v>
      </c>
      <c r="BH170" s="254">
        <f t="shared" ref="BH170:BQ170" si="373">+BG170</f>
        <v>0.48</v>
      </c>
      <c r="BI170" s="255">
        <f t="shared" si="373"/>
        <v>0.48</v>
      </c>
      <c r="BJ170" s="255">
        <f t="shared" si="373"/>
        <v>0.48</v>
      </c>
      <c r="BK170" s="256">
        <f t="shared" si="373"/>
        <v>0.48</v>
      </c>
      <c r="BL170" s="79">
        <f t="shared" si="373"/>
        <v>0.48</v>
      </c>
      <c r="BM170" s="254">
        <f t="shared" si="373"/>
        <v>0.48</v>
      </c>
      <c r="BN170" s="255">
        <f t="shared" si="373"/>
        <v>0.48</v>
      </c>
      <c r="BO170" s="255">
        <f t="shared" si="373"/>
        <v>0.48</v>
      </c>
      <c r="BP170" s="256">
        <f t="shared" si="373"/>
        <v>0.48</v>
      </c>
      <c r="BQ170" s="79">
        <f t="shared" si="373"/>
        <v>0.48</v>
      </c>
      <c r="BR170" s="289"/>
      <c r="BS170" s="289"/>
      <c r="BT170" s="289"/>
      <c r="BU170" s="928"/>
      <c r="BV170" s="948"/>
      <c r="BW170" s="931"/>
      <c r="BX170" s="931"/>
      <c r="BY170" s="931"/>
      <c r="BZ170" s="931"/>
      <c r="CA170" s="931"/>
      <c r="CB170" s="931"/>
      <c r="CC170" s="931"/>
      <c r="CD170" s="931"/>
      <c r="CE170" s="928"/>
      <c r="CF170" s="289"/>
      <c r="CG170" s="289"/>
      <c r="CH170" s="289"/>
      <c r="CI170" s="289"/>
      <c r="CJ170" s="289"/>
      <c r="CK170" s="289"/>
      <c r="CL170" s="289"/>
      <c r="CM170" s="289"/>
      <c r="CN170" s="289"/>
      <c r="CO170" s="289"/>
      <c r="CP170" s="289"/>
      <c r="CQ170" s="289"/>
      <c r="CR170" s="289"/>
      <c r="CS170" s="289"/>
      <c r="CT170" s="289"/>
      <c r="CU170" s="289"/>
      <c r="CV170" s="289"/>
      <c r="CW170" s="289"/>
      <c r="CX170" s="289"/>
      <c r="CY170" s="289"/>
      <c r="CZ170" s="289"/>
    </row>
    <row r="171" spans="1:104" x14ac:dyDescent="0.2">
      <c r="A171" s="289"/>
      <c r="B171" s="289"/>
      <c r="C171" s="289"/>
      <c r="D171" s="289"/>
      <c r="E171" s="291"/>
      <c r="F171" s="292"/>
      <c r="G171" s="292"/>
      <c r="H171" s="293"/>
      <c r="I171" s="289"/>
      <c r="J171" s="291"/>
      <c r="K171" s="292"/>
      <c r="L171" s="292"/>
      <c r="M171" s="293"/>
      <c r="N171" s="289"/>
      <c r="O171" s="291"/>
      <c r="P171" s="292"/>
      <c r="Q171" s="714"/>
      <c r="R171" s="293"/>
      <c r="S171" s="748"/>
      <c r="T171" s="291"/>
      <c r="U171" s="714"/>
      <c r="V171" s="292"/>
      <c r="W171" s="293"/>
      <c r="X171" s="289"/>
      <c r="Y171" s="291"/>
      <c r="Z171" s="292"/>
      <c r="AA171" s="292"/>
      <c r="AB171" s="293"/>
      <c r="AC171" s="289"/>
      <c r="AD171" s="291"/>
      <c r="AE171" s="292"/>
      <c r="AF171" s="292"/>
      <c r="AG171" s="293"/>
      <c r="AH171" s="289"/>
      <c r="AI171" s="291"/>
      <c r="AJ171" s="292"/>
      <c r="AK171" s="292"/>
      <c r="AL171" s="293"/>
      <c r="AM171" s="289"/>
      <c r="AN171" s="291"/>
      <c r="AO171" s="292"/>
      <c r="AP171" s="292"/>
      <c r="AQ171" s="293"/>
      <c r="AR171" s="289"/>
      <c r="AS171" s="291"/>
      <c r="AT171" s="292"/>
      <c r="AU171" s="292"/>
      <c r="AV171" s="293"/>
      <c r="AW171" s="289"/>
      <c r="AX171" s="291"/>
      <c r="AY171" s="292"/>
      <c r="AZ171" s="292"/>
      <c r="BA171" s="293"/>
      <c r="BB171" s="289"/>
      <c r="BC171" s="291"/>
      <c r="BD171" s="292"/>
      <c r="BE171" s="292"/>
      <c r="BF171" s="293"/>
      <c r="BG171" s="289"/>
      <c r="BH171" s="291"/>
      <c r="BI171" s="292"/>
      <c r="BJ171" s="292"/>
      <c r="BK171" s="293"/>
      <c r="BL171" s="289"/>
      <c r="BM171" s="291"/>
      <c r="BN171" s="292"/>
      <c r="BO171" s="292"/>
      <c r="BP171" s="293"/>
      <c r="BQ171" s="289"/>
      <c r="BR171" s="289"/>
      <c r="BS171" s="289"/>
      <c r="BT171" s="289"/>
      <c r="BU171" s="928"/>
      <c r="BV171" s="951"/>
      <c r="BW171" s="521"/>
      <c r="BX171" s="521"/>
      <c r="BY171" s="521"/>
      <c r="BZ171" s="521"/>
      <c r="CA171" s="521"/>
      <c r="CB171" s="521"/>
      <c r="CC171" s="931"/>
      <c r="CD171" s="931"/>
      <c r="CE171" s="928"/>
      <c r="CF171" s="289"/>
      <c r="CG171" s="289"/>
      <c r="CH171" s="289"/>
      <c r="CI171" s="289"/>
      <c r="CJ171" s="289"/>
      <c r="CK171" s="289"/>
      <c r="CL171" s="289"/>
      <c r="CM171" s="289"/>
      <c r="CN171" s="289"/>
      <c r="CO171" s="289"/>
      <c r="CP171" s="289"/>
      <c r="CQ171" s="289"/>
      <c r="CR171" s="289"/>
      <c r="CS171" s="289"/>
      <c r="CT171" s="289"/>
      <c r="CU171" s="289"/>
      <c r="CV171" s="289"/>
      <c r="CW171" s="289"/>
      <c r="CX171" s="289"/>
      <c r="CY171" s="289"/>
      <c r="CZ171" s="289"/>
    </row>
    <row r="172" spans="1:104" x14ac:dyDescent="0.2">
      <c r="A172" s="289"/>
      <c r="B172" s="289"/>
      <c r="C172" s="605" t="s">
        <v>422</v>
      </c>
      <c r="D172" s="289"/>
      <c r="E172" s="291"/>
      <c r="F172" s="292"/>
      <c r="G172" s="292"/>
      <c r="H172" s="293"/>
      <c r="I172" s="289"/>
      <c r="J172" s="291"/>
      <c r="K172" s="292"/>
      <c r="L172" s="292"/>
      <c r="M172" s="293"/>
      <c r="N172" s="289"/>
      <c r="O172" s="291"/>
      <c r="P172" s="292"/>
      <c r="Q172" s="714"/>
      <c r="R172" s="293"/>
      <c r="S172" s="34">
        <f>305-10</f>
        <v>295</v>
      </c>
      <c r="T172" s="136"/>
      <c r="U172" s="714"/>
      <c r="V172" s="135"/>
      <c r="W172" s="116"/>
      <c r="X172" s="34">
        <v>390</v>
      </c>
      <c r="Y172" s="136"/>
      <c r="Z172" s="135"/>
      <c r="AA172" s="135"/>
      <c r="AB172" s="116"/>
      <c r="AC172" s="34">
        <v>545</v>
      </c>
      <c r="AD172" s="136"/>
      <c r="AE172" s="135"/>
      <c r="AF172" s="135"/>
      <c r="AG172" s="116"/>
      <c r="AH172" s="34">
        <v>295</v>
      </c>
      <c r="AI172" s="136"/>
      <c r="AJ172" s="135"/>
      <c r="AK172" s="135"/>
      <c r="AL172" s="116"/>
      <c r="AM172" s="34">
        <f>+AM179-SUM(AM173:AM177)</f>
        <v>1089.8779999999999</v>
      </c>
      <c r="AN172" s="136"/>
      <c r="AO172" s="135"/>
      <c r="AP172" s="135"/>
      <c r="AQ172" s="116"/>
      <c r="AR172" s="34">
        <f>+AR179-SUM(AR173:AR177)</f>
        <v>514.53700000000003</v>
      </c>
      <c r="AS172" s="136"/>
      <c r="AT172" s="137"/>
      <c r="AU172" s="137"/>
      <c r="AV172" s="116"/>
      <c r="AW172" s="34">
        <f>+AW179-SUM(AW173:AW178)</f>
        <v>296.68299999999999</v>
      </c>
      <c r="AX172" s="136">
        <f t="shared" ref="AX172:AX177" si="374">+BB172/4</f>
        <v>85</v>
      </c>
      <c r="AY172" s="135">
        <f t="shared" ref="AY172:AY177" si="375">(BB172-SUM(AX172:AX172))/3</f>
        <v>85</v>
      </c>
      <c r="AZ172" s="135">
        <f t="shared" ref="AZ172:AZ177" si="376">(BB172-SUM(AX172:AY172))/2</f>
        <v>85</v>
      </c>
      <c r="BA172" s="116">
        <f t="shared" ref="BA172:BA177" si="377">(BB172-SUM(AX172:AZ172))/1</f>
        <v>85</v>
      </c>
      <c r="BB172" s="34">
        <v>340</v>
      </c>
      <c r="BC172" s="136">
        <f t="shared" ref="BC172:BC177" si="378">+BG172/4</f>
        <v>47.5</v>
      </c>
      <c r="BD172" s="135">
        <f t="shared" ref="BD172:BD177" si="379">(BG172-SUM(BC172:BC172))/3</f>
        <v>47.5</v>
      </c>
      <c r="BE172" s="135">
        <f t="shared" ref="BE172:BE177" si="380">(BG172-SUM(BC172:BD172))/2</f>
        <v>47.5</v>
      </c>
      <c r="BF172" s="116">
        <f t="shared" ref="BF172:BF177" si="381">(BG172-SUM(BC172:BE172))/1</f>
        <v>47.5</v>
      </c>
      <c r="BG172" s="34">
        <v>190</v>
      </c>
      <c r="BH172" s="136">
        <f t="shared" ref="BH172:BH177" si="382">+BL172/4</f>
        <v>42.5</v>
      </c>
      <c r="BI172" s="135">
        <f t="shared" ref="BI172:BI177" si="383">(BL172-SUM(BH172:BH172))/3</f>
        <v>42.5</v>
      </c>
      <c r="BJ172" s="135">
        <f t="shared" ref="BJ172:BJ177" si="384">(BL172-SUM(BH172:BI172))/2</f>
        <v>42.5</v>
      </c>
      <c r="BK172" s="116">
        <f t="shared" ref="BK172:BK177" si="385">(BL172-SUM(BH172:BJ172))/1</f>
        <v>42.5</v>
      </c>
      <c r="BL172" s="34">
        <v>170</v>
      </c>
      <c r="BM172" s="136">
        <f t="shared" ref="BM172:BM177" si="386">+BQ172/4</f>
        <v>77.5</v>
      </c>
      <c r="BN172" s="135">
        <f t="shared" ref="BN172:BN177" si="387">(BQ172-SUM(BM172:BM172))/3</f>
        <v>77.5</v>
      </c>
      <c r="BO172" s="135">
        <f t="shared" ref="BO172:BO177" si="388">(BQ172-SUM(BM172:BN172))/2</f>
        <v>77.5</v>
      </c>
      <c r="BP172" s="116">
        <f t="shared" ref="BP172:BP177" si="389">(BQ172-SUM(BM172:BO172))/1</f>
        <v>77.5</v>
      </c>
      <c r="BQ172" s="853">
        <v>310</v>
      </c>
      <c r="BR172" s="289"/>
      <c r="BS172" s="289"/>
      <c r="BT172" s="289"/>
      <c r="BU172" s="928"/>
      <c r="BV172" s="949"/>
      <c r="BW172" s="615"/>
      <c r="BX172" s="615"/>
      <c r="BY172" s="615"/>
      <c r="BZ172" s="615"/>
      <c r="CA172" s="615"/>
      <c r="CB172" s="615"/>
      <c r="CC172" s="931"/>
      <c r="CD172" s="931"/>
      <c r="CE172" s="928"/>
      <c r="CF172" s="289"/>
      <c r="CG172" s="289"/>
      <c r="CH172" s="289"/>
      <c r="CI172" s="289"/>
      <c r="CJ172" s="289"/>
      <c r="CK172" s="289"/>
      <c r="CL172" s="289"/>
      <c r="CM172" s="289"/>
      <c r="CN172" s="289"/>
      <c r="CO172" s="289"/>
      <c r="CP172" s="289"/>
      <c r="CQ172" s="289"/>
      <c r="CR172" s="289"/>
      <c r="CS172" s="289"/>
      <c r="CT172" s="289"/>
      <c r="CU172" s="289"/>
      <c r="CV172" s="289"/>
      <c r="CW172" s="289"/>
      <c r="CX172" s="289"/>
      <c r="CY172" s="289"/>
      <c r="CZ172" s="289"/>
    </row>
    <row r="173" spans="1:104" x14ac:dyDescent="0.2">
      <c r="A173" s="289"/>
      <c r="B173" s="289"/>
      <c r="C173" s="605" t="s">
        <v>421</v>
      </c>
      <c r="D173" s="289"/>
      <c r="E173" s="291"/>
      <c r="F173" s="292"/>
      <c r="G173" s="292"/>
      <c r="H173" s="293"/>
      <c r="I173" s="289"/>
      <c r="J173" s="291"/>
      <c r="K173" s="292"/>
      <c r="L173" s="292"/>
      <c r="M173" s="293"/>
      <c r="N173" s="289"/>
      <c r="O173" s="291"/>
      <c r="P173" s="292"/>
      <c r="Q173" s="714"/>
      <c r="R173" s="293"/>
      <c r="S173" s="34">
        <v>185</v>
      </c>
      <c r="T173" s="136"/>
      <c r="U173" s="714"/>
      <c r="V173" s="135"/>
      <c r="W173" s="116"/>
      <c r="X173" s="34">
        <v>300</v>
      </c>
      <c r="Y173" s="136"/>
      <c r="Z173" s="135"/>
      <c r="AA173" s="135"/>
      <c r="AB173" s="116"/>
      <c r="AC173" s="34">
        <v>505</v>
      </c>
      <c r="AD173" s="136"/>
      <c r="AE173" s="135"/>
      <c r="AF173" s="135"/>
      <c r="AG173" s="116"/>
      <c r="AH173" s="34">
        <v>335</v>
      </c>
      <c r="AI173" s="136"/>
      <c r="AJ173" s="135"/>
      <c r="AK173" s="135"/>
      <c r="AL173" s="116"/>
      <c r="AM173" s="34">
        <v>285</v>
      </c>
      <c r="AN173" s="136"/>
      <c r="AO173" s="135"/>
      <c r="AP173" s="135"/>
      <c r="AQ173" s="116"/>
      <c r="AR173" s="34">
        <v>150</v>
      </c>
      <c r="AS173" s="136"/>
      <c r="AT173" s="135"/>
      <c r="AU173" s="135"/>
      <c r="AV173" s="116"/>
      <c r="AW173" s="34">
        <v>135</v>
      </c>
      <c r="AX173" s="136">
        <f>+BB173/4</f>
        <v>35</v>
      </c>
      <c r="AY173" s="135">
        <f>(BB173-SUM(AX173:AX173))/3</f>
        <v>35</v>
      </c>
      <c r="AZ173" s="135">
        <f>(BB173-SUM(AX173:AY173))/2</f>
        <v>35</v>
      </c>
      <c r="BA173" s="116">
        <f>(BB173-SUM(AX173:AZ173))/1</f>
        <v>35</v>
      </c>
      <c r="BB173" s="34">
        <v>140</v>
      </c>
      <c r="BC173" s="136">
        <f t="shared" si="378"/>
        <v>22.5</v>
      </c>
      <c r="BD173" s="135">
        <f t="shared" si="379"/>
        <v>22.5</v>
      </c>
      <c r="BE173" s="135">
        <f t="shared" si="380"/>
        <v>22.5</v>
      </c>
      <c r="BF173" s="116">
        <f t="shared" si="381"/>
        <v>22.5</v>
      </c>
      <c r="BG173" s="34">
        <v>90</v>
      </c>
      <c r="BH173" s="136">
        <f t="shared" si="382"/>
        <v>55</v>
      </c>
      <c r="BI173" s="135">
        <f t="shared" si="383"/>
        <v>55</v>
      </c>
      <c r="BJ173" s="135">
        <f t="shared" si="384"/>
        <v>55</v>
      </c>
      <c r="BK173" s="116">
        <f t="shared" si="385"/>
        <v>55</v>
      </c>
      <c r="BL173" s="34">
        <v>220</v>
      </c>
      <c r="BM173" s="136">
        <f t="shared" si="386"/>
        <v>70</v>
      </c>
      <c r="BN173" s="135">
        <f t="shared" si="387"/>
        <v>70</v>
      </c>
      <c r="BO173" s="135">
        <f t="shared" si="388"/>
        <v>70</v>
      </c>
      <c r="BP173" s="116">
        <f t="shared" si="389"/>
        <v>70</v>
      </c>
      <c r="BQ173" s="853">
        <v>280</v>
      </c>
      <c r="BR173" s="289"/>
      <c r="BS173" s="289"/>
      <c r="BT173" s="289"/>
      <c r="BU173" s="928"/>
      <c r="BV173" s="951"/>
      <c r="BW173" s="521"/>
      <c r="BX173" s="521"/>
      <c r="BY173" s="521"/>
      <c r="BZ173" s="521"/>
      <c r="CA173" s="521"/>
      <c r="CB173" s="615"/>
      <c r="CC173" s="928"/>
      <c r="CD173" s="928"/>
      <c r="CE173" s="928"/>
      <c r="CF173" s="289"/>
      <c r="CG173" s="289"/>
      <c r="CH173" s="289"/>
      <c r="CI173" s="289"/>
      <c r="CJ173" s="289"/>
      <c r="CK173" s="289"/>
      <c r="CL173" s="289"/>
      <c r="CM173" s="289"/>
      <c r="CN173" s="289"/>
      <c r="CO173" s="289"/>
      <c r="CP173" s="289"/>
      <c r="CQ173" s="289"/>
      <c r="CR173" s="289"/>
      <c r="CS173" s="289"/>
      <c r="CT173" s="289"/>
      <c r="CU173" s="289"/>
      <c r="CV173" s="289"/>
      <c r="CW173" s="289"/>
      <c r="CX173" s="289"/>
      <c r="CY173" s="289"/>
      <c r="CZ173" s="289"/>
    </row>
    <row r="174" spans="1:104" x14ac:dyDescent="0.2">
      <c r="A174" s="289"/>
      <c r="B174" s="289"/>
      <c r="C174" s="605" t="s">
        <v>423</v>
      </c>
      <c r="D174" s="289"/>
      <c r="E174" s="291"/>
      <c r="F174" s="292"/>
      <c r="G174" s="292"/>
      <c r="H174" s="293"/>
      <c r="I174" s="289"/>
      <c r="J174" s="291"/>
      <c r="K174" s="292"/>
      <c r="L174" s="292"/>
      <c r="M174" s="293"/>
      <c r="N174" s="289"/>
      <c r="O174" s="291"/>
      <c r="P174" s="292"/>
      <c r="Q174" s="714"/>
      <c r="R174" s="293"/>
      <c r="S174" s="34">
        <v>130</v>
      </c>
      <c r="T174" s="136"/>
      <c r="U174" s="292"/>
      <c r="V174" s="135"/>
      <c r="W174" s="116"/>
      <c r="X174" s="34">
        <v>150</v>
      </c>
      <c r="Y174" s="136"/>
      <c r="Z174" s="135"/>
      <c r="AA174" s="135"/>
      <c r="AB174" s="116"/>
      <c r="AC174" s="34">
        <v>180</v>
      </c>
      <c r="AD174" s="136"/>
      <c r="AE174" s="135"/>
      <c r="AF174" s="135"/>
      <c r="AG174" s="116"/>
      <c r="AH174" s="34">
        <v>175</v>
      </c>
      <c r="AI174" s="136"/>
      <c r="AJ174" s="135"/>
      <c r="AK174" s="135"/>
      <c r="AL174" s="116"/>
      <c r="AM174" s="34">
        <v>210</v>
      </c>
      <c r="AN174" s="136"/>
      <c r="AO174" s="135"/>
      <c r="AP174" s="135"/>
      <c r="AQ174" s="116"/>
      <c r="AR174" s="34">
        <v>210</v>
      </c>
      <c r="AS174" s="136"/>
      <c r="AT174" s="135"/>
      <c r="AU174" s="135"/>
      <c r="AV174" s="116"/>
      <c r="AW174" s="34">
        <v>240</v>
      </c>
      <c r="AX174" s="136">
        <f t="shared" si="374"/>
        <v>62.5</v>
      </c>
      <c r="AY174" s="135">
        <f t="shared" si="375"/>
        <v>62.5</v>
      </c>
      <c r="AZ174" s="135">
        <f t="shared" si="376"/>
        <v>62.5</v>
      </c>
      <c r="BA174" s="116">
        <f t="shared" si="377"/>
        <v>62.5</v>
      </c>
      <c r="BB174" s="34">
        <v>250</v>
      </c>
      <c r="BC174" s="136">
        <f t="shared" si="378"/>
        <v>57.5</v>
      </c>
      <c r="BD174" s="135">
        <f t="shared" si="379"/>
        <v>57.5</v>
      </c>
      <c r="BE174" s="135">
        <f t="shared" si="380"/>
        <v>57.5</v>
      </c>
      <c r="BF174" s="116">
        <f t="shared" si="381"/>
        <v>57.5</v>
      </c>
      <c r="BG174" s="34">
        <v>230</v>
      </c>
      <c r="BH174" s="136">
        <f t="shared" si="382"/>
        <v>75</v>
      </c>
      <c r="BI174" s="135">
        <f t="shared" si="383"/>
        <v>75</v>
      </c>
      <c r="BJ174" s="135">
        <f t="shared" si="384"/>
        <v>75</v>
      </c>
      <c r="BK174" s="116">
        <f t="shared" si="385"/>
        <v>75</v>
      </c>
      <c r="BL174" s="34">
        <v>300</v>
      </c>
      <c r="BM174" s="136">
        <f t="shared" si="386"/>
        <v>120</v>
      </c>
      <c r="BN174" s="135">
        <f t="shared" si="387"/>
        <v>120</v>
      </c>
      <c r="BO174" s="135">
        <f t="shared" si="388"/>
        <v>120</v>
      </c>
      <c r="BP174" s="116">
        <f t="shared" si="389"/>
        <v>120</v>
      </c>
      <c r="BQ174" s="853">
        <v>480</v>
      </c>
      <c r="BR174" s="289"/>
      <c r="BS174" s="289"/>
      <c r="BT174" s="289"/>
      <c r="BU174" s="928"/>
      <c r="BV174" s="949"/>
      <c r="BW174" s="615"/>
      <c r="BX174" s="615"/>
      <c r="BY174" s="615"/>
      <c r="BZ174" s="615"/>
      <c r="CA174" s="615"/>
      <c r="CB174" s="615"/>
      <c r="CC174" s="928"/>
      <c r="CD174" s="928"/>
      <c r="CE174" s="928"/>
      <c r="CF174" s="289"/>
      <c r="CG174" s="289"/>
      <c r="CH174" s="289"/>
      <c r="CI174" s="289"/>
      <c r="CJ174" s="289"/>
      <c r="CK174" s="289"/>
      <c r="CL174" s="289"/>
      <c r="CM174" s="289"/>
      <c r="CN174" s="289"/>
      <c r="CO174" s="289"/>
      <c r="CP174" s="289"/>
      <c r="CQ174" s="289"/>
      <c r="CR174" s="289"/>
      <c r="CS174" s="289"/>
      <c r="CT174" s="289"/>
      <c r="CU174" s="289"/>
      <c r="CV174" s="289"/>
      <c r="CW174" s="289"/>
      <c r="CX174" s="289"/>
      <c r="CY174" s="289"/>
      <c r="CZ174" s="289"/>
    </row>
    <row r="175" spans="1:104" x14ac:dyDescent="0.2">
      <c r="A175" s="289"/>
      <c r="B175" s="289"/>
      <c r="C175" s="605" t="s">
        <v>113</v>
      </c>
      <c r="D175" s="289"/>
      <c r="E175" s="291"/>
      <c r="F175" s="292"/>
      <c r="G175" s="292"/>
      <c r="H175" s="293"/>
      <c r="I175" s="289"/>
      <c r="J175" s="291"/>
      <c r="K175" s="292"/>
      <c r="L175" s="292"/>
      <c r="M175" s="293"/>
      <c r="N175" s="289"/>
      <c r="O175" s="291"/>
      <c r="P175" s="292"/>
      <c r="Q175" s="714"/>
      <c r="R175" s="293"/>
      <c r="S175" s="34">
        <v>40</v>
      </c>
      <c r="T175" s="136"/>
      <c r="U175" s="292"/>
      <c r="V175" s="135"/>
      <c r="W175" s="116"/>
      <c r="X175" s="34">
        <v>50</v>
      </c>
      <c r="Y175" s="136"/>
      <c r="Z175" s="135"/>
      <c r="AA175" s="135"/>
      <c r="AB175" s="116"/>
      <c r="AC175" s="34">
        <v>45</v>
      </c>
      <c r="AD175" s="136"/>
      <c r="AE175" s="135"/>
      <c r="AF175" s="135"/>
      <c r="AG175" s="116"/>
      <c r="AH175" s="34">
        <v>55</v>
      </c>
      <c r="AI175" s="136"/>
      <c r="AJ175" s="135"/>
      <c r="AK175" s="135"/>
      <c r="AL175" s="116"/>
      <c r="AM175" s="34">
        <v>80</v>
      </c>
      <c r="AN175" s="136"/>
      <c r="AO175" s="135"/>
      <c r="AP175" s="135"/>
      <c r="AQ175" s="116"/>
      <c r="AR175" s="34">
        <v>90</v>
      </c>
      <c r="AS175" s="136"/>
      <c r="AT175" s="135"/>
      <c r="AU175" s="135"/>
      <c r="AV175" s="116"/>
      <c r="AW175" s="34">
        <v>85</v>
      </c>
      <c r="AX175" s="136">
        <f>+BB175/4</f>
        <v>25</v>
      </c>
      <c r="AY175" s="135">
        <f>(BB175-SUM(AX175:AX175))/3</f>
        <v>25</v>
      </c>
      <c r="AZ175" s="135">
        <f>(BB175-SUM(AX175:AY175))/2</f>
        <v>25</v>
      </c>
      <c r="BA175" s="116">
        <f>(BB175-SUM(AX175:AZ175))/1</f>
        <v>25</v>
      </c>
      <c r="BB175" s="34">
        <v>100</v>
      </c>
      <c r="BC175" s="136">
        <f t="shared" si="378"/>
        <v>25</v>
      </c>
      <c r="BD175" s="135">
        <f t="shared" si="379"/>
        <v>25</v>
      </c>
      <c r="BE175" s="135">
        <f t="shared" si="380"/>
        <v>25</v>
      </c>
      <c r="BF175" s="116">
        <f t="shared" si="381"/>
        <v>25</v>
      </c>
      <c r="BG175" s="34">
        <v>100</v>
      </c>
      <c r="BH175" s="136">
        <f t="shared" si="382"/>
        <v>25</v>
      </c>
      <c r="BI175" s="135">
        <f t="shared" si="383"/>
        <v>25</v>
      </c>
      <c r="BJ175" s="135">
        <f t="shared" si="384"/>
        <v>25</v>
      </c>
      <c r="BK175" s="116">
        <f t="shared" si="385"/>
        <v>25</v>
      </c>
      <c r="BL175" s="34">
        <v>100</v>
      </c>
      <c r="BM175" s="136">
        <f t="shared" si="386"/>
        <v>30</v>
      </c>
      <c r="BN175" s="135">
        <f t="shared" si="387"/>
        <v>30</v>
      </c>
      <c r="BO175" s="135">
        <f t="shared" si="388"/>
        <v>30</v>
      </c>
      <c r="BP175" s="116">
        <f t="shared" si="389"/>
        <v>30</v>
      </c>
      <c r="BQ175" s="853">
        <v>120</v>
      </c>
      <c r="BR175" s="289"/>
      <c r="BS175" s="289"/>
      <c r="BT175" s="289"/>
      <c r="BU175" s="928"/>
      <c r="BV175" s="952"/>
      <c r="BW175" s="646"/>
      <c r="BX175" s="646"/>
      <c r="BY175" s="646"/>
      <c r="BZ175" s="646"/>
      <c r="CA175" s="646"/>
      <c r="CB175" s="615"/>
      <c r="CC175" s="928"/>
      <c r="CD175" s="928"/>
      <c r="CE175" s="928"/>
      <c r="CF175" s="289"/>
      <c r="CG175" s="289"/>
      <c r="CH175" s="289"/>
      <c r="CI175" s="289"/>
      <c r="CJ175" s="289"/>
      <c r="CK175" s="289"/>
      <c r="CL175" s="289"/>
      <c r="CM175" s="289"/>
      <c r="CN175" s="289"/>
      <c r="CO175" s="289"/>
      <c r="CP175" s="289"/>
      <c r="CQ175" s="289"/>
      <c r="CR175" s="289"/>
      <c r="CS175" s="289"/>
      <c r="CT175" s="289"/>
      <c r="CU175" s="289"/>
      <c r="CV175" s="289"/>
      <c r="CW175" s="289"/>
      <c r="CX175" s="289"/>
      <c r="CY175" s="289"/>
      <c r="CZ175" s="289"/>
    </row>
    <row r="176" spans="1:104" x14ac:dyDescent="0.2">
      <c r="A176" s="605"/>
      <c r="B176" s="289"/>
      <c r="C176" s="605" t="s">
        <v>290</v>
      </c>
      <c r="D176" s="289"/>
      <c r="E176" s="291"/>
      <c r="F176" s="292"/>
      <c r="G176" s="292"/>
      <c r="H176" s="293"/>
      <c r="I176" s="289"/>
      <c r="J176" s="291"/>
      <c r="K176" s="292"/>
      <c r="L176" s="292"/>
      <c r="M176" s="293"/>
      <c r="N176" s="289"/>
      <c r="O176" s="291"/>
      <c r="P176" s="292"/>
      <c r="Q176" s="714"/>
      <c r="R176" s="293"/>
      <c r="S176" s="34">
        <v>100</v>
      </c>
      <c r="T176" s="136"/>
      <c r="U176" s="292"/>
      <c r="V176" s="135"/>
      <c r="W176" s="116"/>
      <c r="X176" s="34">
        <v>145</v>
      </c>
      <c r="Y176" s="136"/>
      <c r="Z176" s="135"/>
      <c r="AA176" s="135"/>
      <c r="AB176" s="116"/>
      <c r="AC176" s="34">
        <v>95</v>
      </c>
      <c r="AD176" s="136"/>
      <c r="AE176" s="135"/>
      <c r="AF176" s="135"/>
      <c r="AG176" s="116"/>
      <c r="AH176" s="34">
        <v>140</v>
      </c>
      <c r="AI176" s="136"/>
      <c r="AJ176" s="135"/>
      <c r="AK176" s="135"/>
      <c r="AL176" s="116"/>
      <c r="AM176" s="34">
        <v>90</v>
      </c>
      <c r="AN176" s="136"/>
      <c r="AO176" s="135"/>
      <c r="AP176" s="135"/>
      <c r="AQ176" s="116"/>
      <c r="AR176" s="34">
        <v>120</v>
      </c>
      <c r="AS176" s="136"/>
      <c r="AT176" s="135"/>
      <c r="AU176" s="135"/>
      <c r="AV176" s="116"/>
      <c r="AW176" s="34">
        <v>0</v>
      </c>
      <c r="AX176" s="136">
        <f t="shared" si="374"/>
        <v>0</v>
      </c>
      <c r="AY176" s="135">
        <f t="shared" si="375"/>
        <v>0</v>
      </c>
      <c r="AZ176" s="135">
        <f t="shared" si="376"/>
        <v>0</v>
      </c>
      <c r="BA176" s="116">
        <f t="shared" si="377"/>
        <v>0</v>
      </c>
      <c r="BB176" s="34">
        <v>0</v>
      </c>
      <c r="BC176" s="136">
        <f t="shared" si="378"/>
        <v>0</v>
      </c>
      <c r="BD176" s="135">
        <f t="shared" si="379"/>
        <v>0</v>
      </c>
      <c r="BE176" s="135">
        <f>(BG176-SUM(BC176:BD176))/2</f>
        <v>0</v>
      </c>
      <c r="BF176" s="116">
        <f>(BG176-SUM(BC176:BE176))/1</f>
        <v>0</v>
      </c>
      <c r="BG176" s="34">
        <v>0</v>
      </c>
      <c r="BH176" s="136">
        <f t="shared" si="382"/>
        <v>0</v>
      </c>
      <c r="BI176" s="135">
        <f t="shared" si="383"/>
        <v>0</v>
      </c>
      <c r="BJ176" s="135">
        <f t="shared" si="384"/>
        <v>0</v>
      </c>
      <c r="BK176" s="116">
        <f t="shared" si="385"/>
        <v>0</v>
      </c>
      <c r="BL176" s="34">
        <v>0</v>
      </c>
      <c r="BM176" s="136">
        <f t="shared" si="386"/>
        <v>0</v>
      </c>
      <c r="BN176" s="135">
        <f t="shared" si="387"/>
        <v>0</v>
      </c>
      <c r="BO176" s="135">
        <f t="shared" si="388"/>
        <v>0</v>
      </c>
      <c r="BP176" s="116">
        <f t="shared" si="389"/>
        <v>0</v>
      </c>
      <c r="BQ176" s="853">
        <v>0</v>
      </c>
      <c r="BR176" s="289"/>
      <c r="BS176" s="289"/>
      <c r="BT176" s="289"/>
      <c r="BU176" s="928"/>
      <c r="BV176" s="948"/>
      <c r="BW176" s="928"/>
      <c r="BX176" s="928"/>
      <c r="BY176" s="928"/>
      <c r="BZ176" s="928"/>
      <c r="CA176" s="928"/>
      <c r="CB176" s="615"/>
      <c r="CC176" s="928"/>
      <c r="CD176" s="928"/>
      <c r="CE176" s="928"/>
      <c r="CF176" s="289"/>
      <c r="CG176" s="289"/>
      <c r="CH176" s="289"/>
      <c r="CI176" s="289"/>
      <c r="CJ176" s="289"/>
      <c r="CK176" s="289"/>
      <c r="CL176" s="289"/>
      <c r="CM176" s="289"/>
      <c r="CN176" s="289"/>
      <c r="CO176" s="289"/>
      <c r="CP176" s="289"/>
      <c r="CQ176" s="289"/>
      <c r="CR176" s="289"/>
      <c r="CS176" s="289"/>
      <c r="CT176" s="289"/>
      <c r="CU176" s="289"/>
      <c r="CV176" s="289"/>
      <c r="CW176" s="289"/>
      <c r="CX176" s="289"/>
      <c r="CY176" s="289"/>
      <c r="CZ176" s="289"/>
    </row>
    <row r="177" spans="1:104" x14ac:dyDescent="0.2">
      <c r="A177" s="289"/>
      <c r="B177" s="289"/>
      <c r="C177" s="605" t="s">
        <v>97</v>
      </c>
      <c r="D177" s="289"/>
      <c r="E177" s="291"/>
      <c r="F177" s="292"/>
      <c r="G177" s="292"/>
      <c r="H177" s="293"/>
      <c r="I177" s="289"/>
      <c r="J177" s="291"/>
      <c r="K177" s="292"/>
      <c r="L177" s="292"/>
      <c r="M177" s="293"/>
      <c r="N177" s="289"/>
      <c r="O177" s="291"/>
      <c r="P177" s="292"/>
      <c r="Q177" s="714"/>
      <c r="R177" s="293"/>
      <c r="S177" s="34">
        <v>90</v>
      </c>
      <c r="T177" s="136"/>
      <c r="U177" s="292"/>
      <c r="V177" s="292"/>
      <c r="W177" s="116"/>
      <c r="X177" s="34">
        <v>95</v>
      </c>
      <c r="Y177" s="136"/>
      <c r="Z177" s="135"/>
      <c r="AA177" s="135"/>
      <c r="AB177" s="116"/>
      <c r="AC177" s="34">
        <v>70</v>
      </c>
      <c r="AD177" s="136"/>
      <c r="AE177" s="135"/>
      <c r="AF177" s="135"/>
      <c r="AG177" s="116"/>
      <c r="AH177" s="34">
        <v>130</v>
      </c>
      <c r="AI177" s="136"/>
      <c r="AJ177" s="135"/>
      <c r="AK177" s="135"/>
      <c r="AL177" s="116"/>
      <c r="AM177" s="34">
        <v>100</v>
      </c>
      <c r="AN177" s="136"/>
      <c r="AO177" s="135"/>
      <c r="AP177" s="135"/>
      <c r="AQ177" s="116"/>
      <c r="AR177" s="34">
        <v>120</v>
      </c>
      <c r="AS177" s="136"/>
      <c r="AT177" s="135"/>
      <c r="AU177" s="135"/>
      <c r="AV177" s="116"/>
      <c r="AW177" s="34">
        <v>115</v>
      </c>
      <c r="AX177" s="136">
        <f t="shared" si="374"/>
        <v>35</v>
      </c>
      <c r="AY177" s="135">
        <f t="shared" si="375"/>
        <v>35</v>
      </c>
      <c r="AZ177" s="135">
        <f t="shared" si="376"/>
        <v>35</v>
      </c>
      <c r="BA177" s="116">
        <f t="shared" si="377"/>
        <v>35</v>
      </c>
      <c r="BB177" s="34">
        <v>140</v>
      </c>
      <c r="BC177" s="136">
        <f t="shared" si="378"/>
        <v>32.5</v>
      </c>
      <c r="BD177" s="135">
        <f t="shared" si="379"/>
        <v>32.5</v>
      </c>
      <c r="BE177" s="135">
        <f t="shared" si="380"/>
        <v>32.5</v>
      </c>
      <c r="BF177" s="116">
        <f t="shared" si="381"/>
        <v>32.5</v>
      </c>
      <c r="BG177" s="34">
        <v>130</v>
      </c>
      <c r="BH177" s="136">
        <f t="shared" si="382"/>
        <v>35</v>
      </c>
      <c r="BI177" s="135">
        <f t="shared" si="383"/>
        <v>35</v>
      </c>
      <c r="BJ177" s="135">
        <f t="shared" si="384"/>
        <v>35</v>
      </c>
      <c r="BK177" s="116">
        <f t="shared" si="385"/>
        <v>35</v>
      </c>
      <c r="BL177" s="34">
        <v>140</v>
      </c>
      <c r="BM177" s="136">
        <f t="shared" si="386"/>
        <v>32.5</v>
      </c>
      <c r="BN177" s="135">
        <f t="shared" si="387"/>
        <v>32.5</v>
      </c>
      <c r="BO177" s="135">
        <f t="shared" si="388"/>
        <v>32.5</v>
      </c>
      <c r="BP177" s="116">
        <f t="shared" si="389"/>
        <v>32.5</v>
      </c>
      <c r="BQ177" s="853">
        <v>130</v>
      </c>
      <c r="BR177" s="289"/>
      <c r="BS177" s="289"/>
      <c r="BT177" s="289"/>
      <c r="BU177" s="928"/>
      <c r="BV177" s="948"/>
      <c r="BW177" s="928"/>
      <c r="BX177" s="928"/>
      <c r="BY177" s="928"/>
      <c r="BZ177" s="928"/>
      <c r="CA177" s="928"/>
      <c r="CB177" s="615"/>
      <c r="CC177" s="928"/>
      <c r="CD177" s="928"/>
      <c r="CE177" s="928"/>
      <c r="CF177" s="289"/>
      <c r="CG177" s="289"/>
      <c r="CH177" s="289"/>
      <c r="CI177" s="289"/>
      <c r="CJ177" s="289"/>
      <c r="CK177" s="289"/>
      <c r="CL177" s="289"/>
      <c r="CM177" s="289"/>
      <c r="CN177" s="289"/>
      <c r="CO177" s="289"/>
      <c r="CP177" s="289"/>
      <c r="CQ177" s="289"/>
      <c r="CR177" s="289"/>
      <c r="CS177" s="289"/>
      <c r="CT177" s="289"/>
      <c r="CU177" s="289"/>
      <c r="CV177" s="289"/>
      <c r="CW177" s="289"/>
      <c r="CX177" s="289"/>
      <c r="CY177" s="289"/>
      <c r="CZ177" s="289"/>
    </row>
    <row r="178" spans="1:104" x14ac:dyDescent="0.2">
      <c r="A178" s="289"/>
      <c r="B178" s="289"/>
      <c r="C178" s="932" t="s">
        <v>624</v>
      </c>
      <c r="D178" s="289"/>
      <c r="E178" s="291"/>
      <c r="F178" s="292"/>
      <c r="G178" s="292"/>
      <c r="H178" s="293"/>
      <c r="I178" s="289"/>
      <c r="J178" s="291"/>
      <c r="K178" s="292"/>
      <c r="L178" s="292"/>
      <c r="M178" s="293"/>
      <c r="N178" s="289"/>
      <c r="O178" s="291"/>
      <c r="P178" s="292"/>
      <c r="Q178" s="714"/>
      <c r="R178" s="293"/>
      <c r="S178" s="34"/>
      <c r="T178" s="136"/>
      <c r="U178" s="292"/>
      <c r="V178" s="292"/>
      <c r="W178" s="116"/>
      <c r="X178" s="34"/>
      <c r="Y178" s="136"/>
      <c r="Z178" s="135"/>
      <c r="AA178" s="135"/>
      <c r="AB178" s="116"/>
      <c r="AC178" s="34"/>
      <c r="AD178" s="136"/>
      <c r="AE178" s="135"/>
      <c r="AF178" s="135"/>
      <c r="AG178" s="116"/>
      <c r="AH178" s="34"/>
      <c r="AI178" s="136"/>
      <c r="AJ178" s="135"/>
      <c r="AK178" s="135"/>
      <c r="AL178" s="116"/>
      <c r="AM178" s="34"/>
      <c r="AN178" s="136"/>
      <c r="AO178" s="135"/>
      <c r="AP178" s="135"/>
      <c r="AQ178" s="116"/>
      <c r="AR178" s="34"/>
      <c r="AS178" s="136"/>
      <c r="AT178" s="135"/>
      <c r="AU178" s="135"/>
      <c r="AV178" s="116"/>
      <c r="AW178" s="34">
        <v>145</v>
      </c>
      <c r="AX178" s="136">
        <f>+BB178/4</f>
        <v>100</v>
      </c>
      <c r="AY178" s="135">
        <f>(BB178-SUM(AX178:AX178))/3</f>
        <v>100</v>
      </c>
      <c r="AZ178" s="135">
        <f>(BB178-SUM(AX178:AY178))/2</f>
        <v>100</v>
      </c>
      <c r="BA178" s="116">
        <f>(BB178-SUM(AX178:AZ178))/1</f>
        <v>100</v>
      </c>
      <c r="BB178" s="34">
        <v>400</v>
      </c>
      <c r="BC178" s="136">
        <f>+BG178/4</f>
        <v>292.5</v>
      </c>
      <c r="BD178" s="135">
        <f>(BG178-SUM(BC178:BC178))/3</f>
        <v>292.5</v>
      </c>
      <c r="BE178" s="135">
        <f>(BG178-SUM(BC178:BD178))/2</f>
        <v>292.5</v>
      </c>
      <c r="BF178" s="116">
        <f>(BG178-SUM(BC178:BE178))/1</f>
        <v>292.5</v>
      </c>
      <c r="BG178" s="34">
        <v>1170</v>
      </c>
      <c r="BH178" s="136">
        <f>+BL178/4</f>
        <v>130</v>
      </c>
      <c r="BI178" s="135">
        <f>(BL178-SUM(BH178:BH178))/3</f>
        <v>130</v>
      </c>
      <c r="BJ178" s="135">
        <f>(BL178-SUM(BH178:BI178))/2</f>
        <v>130</v>
      </c>
      <c r="BK178" s="116">
        <f>(BL178-SUM(BH178:BJ178))/1</f>
        <v>130</v>
      </c>
      <c r="BL178" s="34">
        <v>520</v>
      </c>
      <c r="BM178" s="136">
        <f>+BQ178/4</f>
        <v>67.5</v>
      </c>
      <c r="BN178" s="135">
        <f>(BQ178-SUM(BM178:BM178))/3</f>
        <v>67.5</v>
      </c>
      <c r="BO178" s="135">
        <f>(BQ178-SUM(BM178:BN178))/2</f>
        <v>67.5</v>
      </c>
      <c r="BP178" s="116">
        <f>(BQ178-SUM(BM178:BO178))/1</f>
        <v>67.5</v>
      </c>
      <c r="BQ178" s="853">
        <v>270</v>
      </c>
      <c r="BR178" s="289"/>
      <c r="BS178" s="920"/>
      <c r="BT178" s="289"/>
      <c r="BU178" s="928"/>
      <c r="BV178" s="955"/>
      <c r="BW178" s="928"/>
      <c r="BX178" s="928"/>
      <c r="BY178" s="928"/>
      <c r="BZ178" s="928"/>
      <c r="CA178" s="928"/>
      <c r="CB178" s="615"/>
      <c r="CC178" s="928"/>
      <c r="CD178" s="928"/>
      <c r="CE178" s="928"/>
      <c r="CF178" s="289"/>
      <c r="CG178" s="289"/>
      <c r="CH178" s="289"/>
      <c r="CI178" s="289"/>
      <c r="CJ178" s="289"/>
      <c r="CK178" s="289"/>
      <c r="CL178" s="289"/>
      <c r="CM178" s="289"/>
      <c r="CN178" s="289"/>
      <c r="CO178" s="289"/>
      <c r="CP178" s="289"/>
      <c r="CQ178" s="289"/>
      <c r="CR178" s="289"/>
      <c r="CS178" s="289"/>
      <c r="CT178" s="289"/>
      <c r="CU178" s="289"/>
      <c r="CV178" s="289"/>
      <c r="CW178" s="289"/>
      <c r="CX178" s="289"/>
      <c r="CY178" s="289"/>
      <c r="CZ178" s="289"/>
    </row>
    <row r="179" spans="1:104" x14ac:dyDescent="0.2">
      <c r="A179" s="85"/>
      <c r="B179" s="85"/>
      <c r="C179" s="336" t="s">
        <v>292</v>
      </c>
      <c r="D179" s="86"/>
      <c r="E179" s="124">
        <f t="shared" ref="E179:M179" si="390">-E213</f>
        <v>278.00299999999999</v>
      </c>
      <c r="F179" s="129">
        <f t="shared" si="390"/>
        <v>217.96899999999999</v>
      </c>
      <c r="G179" s="129">
        <f t="shared" si="390"/>
        <v>156.89100000000008</v>
      </c>
      <c r="H179" s="126">
        <f t="shared" si="390"/>
        <v>191.69299999999998</v>
      </c>
      <c r="I179" s="127">
        <f t="shared" si="390"/>
        <v>844.55600000000004</v>
      </c>
      <c r="J179" s="124">
        <f t="shared" si="390"/>
        <v>288.33600000000001</v>
      </c>
      <c r="K179" s="129">
        <f t="shared" si="390"/>
        <v>286.96699999999998</v>
      </c>
      <c r="L179" s="129">
        <f t="shared" si="390"/>
        <v>317.33500000000004</v>
      </c>
      <c r="M179" s="126">
        <f t="shared" si="390"/>
        <v>316.76400000000001</v>
      </c>
      <c r="N179" s="127">
        <f t="shared" ref="N179:X179" si="391">-N213</f>
        <v>1209.402</v>
      </c>
      <c r="O179" s="124">
        <f t="shared" si="391"/>
        <v>303.37599999999998</v>
      </c>
      <c r="P179" s="129">
        <f t="shared" si="391"/>
        <v>318.98400000000004</v>
      </c>
      <c r="Q179" s="125">
        <f t="shared" si="391"/>
        <v>187.59299999999996</v>
      </c>
      <c r="R179" s="126">
        <f t="shared" si="391"/>
        <v>309.71100000000001</v>
      </c>
      <c r="S179" s="86">
        <f t="shared" si="391"/>
        <v>1119.664</v>
      </c>
      <c r="T179" s="124">
        <f t="shared" si="391"/>
        <v>221.874</v>
      </c>
      <c r="U179" s="129">
        <f t="shared" si="391"/>
        <v>247.15200000000002</v>
      </c>
      <c r="V179" s="125">
        <f t="shared" si="391"/>
        <v>351.07199999999995</v>
      </c>
      <c r="W179" s="126">
        <f t="shared" si="391"/>
        <v>352.30500000000006</v>
      </c>
      <c r="X179" s="86">
        <f t="shared" si="391"/>
        <v>1172.403</v>
      </c>
      <c r="Y179" s="124">
        <f t="shared" ref="Y179:AI179" si="392">-Y213</f>
        <v>376.58800000000002</v>
      </c>
      <c r="Z179" s="122">
        <f t="shared" si="392"/>
        <v>386.52100000000002</v>
      </c>
      <c r="AA179" s="122">
        <f t="shared" si="392"/>
        <v>394.00099999999986</v>
      </c>
      <c r="AB179" s="123">
        <f t="shared" si="392"/>
        <v>391.8420000000001</v>
      </c>
      <c r="AC179" s="86">
        <f t="shared" si="392"/>
        <v>1548.952</v>
      </c>
      <c r="AD179" s="124">
        <f t="shared" si="392"/>
        <v>323.44799999999998</v>
      </c>
      <c r="AE179" s="122">
        <f t="shared" si="392"/>
        <v>266.98400000000004</v>
      </c>
      <c r="AF179" s="122">
        <f t="shared" si="392"/>
        <v>274.06899999999996</v>
      </c>
      <c r="AG179" s="123">
        <f t="shared" si="392"/>
        <v>377.43900000000008</v>
      </c>
      <c r="AH179" s="86">
        <f t="shared" si="392"/>
        <v>1241.94</v>
      </c>
      <c r="AI179" s="124">
        <f t="shared" si="392"/>
        <v>322.66000000000003</v>
      </c>
      <c r="AJ179" s="122">
        <f t="shared" ref="AJ179:AO179" si="393">-AJ213</f>
        <v>288.07099999999997</v>
      </c>
      <c r="AK179" s="122">
        <f t="shared" si="393"/>
        <v>296.58400000000006</v>
      </c>
      <c r="AL179" s="123">
        <f t="shared" si="393"/>
        <v>947.56299999999987</v>
      </c>
      <c r="AM179" s="86">
        <f t="shared" si="393"/>
        <v>1854.8779999999999</v>
      </c>
      <c r="AN179" s="124">
        <f t="shared" si="393"/>
        <v>259.57</v>
      </c>
      <c r="AO179" s="122">
        <f t="shared" si="393"/>
        <v>254.95599999999996</v>
      </c>
      <c r="AP179" s="122">
        <f t="shared" ref="AP179:AW179" si="394">-AP213</f>
        <v>319.31900000000007</v>
      </c>
      <c r="AQ179" s="123">
        <f t="shared" si="394"/>
        <v>370.69200000000001</v>
      </c>
      <c r="AR179" s="86">
        <f t="shared" si="394"/>
        <v>1204.537</v>
      </c>
      <c r="AS179" s="124">
        <f t="shared" si="394"/>
        <v>277.125</v>
      </c>
      <c r="AT179" s="122">
        <f t="shared" si="394"/>
        <v>207.04700000000003</v>
      </c>
      <c r="AU179" s="122">
        <f t="shared" si="394"/>
        <v>212.68499999999995</v>
      </c>
      <c r="AV179" s="123">
        <f t="shared" si="394"/>
        <v>319.82600000000002</v>
      </c>
      <c r="AW179" s="86">
        <f t="shared" si="394"/>
        <v>1016.683</v>
      </c>
      <c r="AX179" s="121">
        <f t="shared" ref="AX179:BG179" si="395">SUM(AX172:AX178)</f>
        <v>342.5</v>
      </c>
      <c r="AY179" s="122">
        <f t="shared" si="395"/>
        <v>342.5</v>
      </c>
      <c r="AZ179" s="122">
        <f t="shared" si="395"/>
        <v>342.5</v>
      </c>
      <c r="BA179" s="123">
        <f t="shared" si="395"/>
        <v>342.5</v>
      </c>
      <c r="BB179" s="86">
        <f t="shared" si="395"/>
        <v>1370</v>
      </c>
      <c r="BC179" s="121">
        <f t="shared" si="395"/>
        <v>477.5</v>
      </c>
      <c r="BD179" s="122">
        <f t="shared" si="395"/>
        <v>477.5</v>
      </c>
      <c r="BE179" s="122">
        <f t="shared" si="395"/>
        <v>477.5</v>
      </c>
      <c r="BF179" s="123">
        <f t="shared" si="395"/>
        <v>477.5</v>
      </c>
      <c r="BG179" s="86">
        <f t="shared" si="395"/>
        <v>1910</v>
      </c>
      <c r="BH179" s="121">
        <f t="shared" ref="BH179:BQ179" si="396">SUM(BH172:BH178)</f>
        <v>362.5</v>
      </c>
      <c r="BI179" s="122">
        <f t="shared" si="396"/>
        <v>362.5</v>
      </c>
      <c r="BJ179" s="122">
        <f t="shared" si="396"/>
        <v>362.5</v>
      </c>
      <c r="BK179" s="123">
        <f t="shared" si="396"/>
        <v>362.5</v>
      </c>
      <c r="BL179" s="86">
        <f t="shared" si="396"/>
        <v>1450</v>
      </c>
      <c r="BM179" s="121">
        <f t="shared" si="396"/>
        <v>397.5</v>
      </c>
      <c r="BN179" s="122">
        <f t="shared" si="396"/>
        <v>397.5</v>
      </c>
      <c r="BO179" s="122">
        <f t="shared" si="396"/>
        <v>397.5</v>
      </c>
      <c r="BP179" s="123">
        <f t="shared" si="396"/>
        <v>397.5</v>
      </c>
      <c r="BQ179" s="969">
        <f t="shared" si="396"/>
        <v>1590</v>
      </c>
      <c r="BR179" s="85"/>
      <c r="BS179" s="289"/>
      <c r="BT179" s="85"/>
      <c r="BU179" s="521"/>
      <c r="BV179" s="951"/>
      <c r="BW179" s="521"/>
      <c r="BX179" s="521"/>
      <c r="BY179" s="521"/>
      <c r="BZ179" s="521"/>
      <c r="CA179" s="521"/>
      <c r="CB179" s="521"/>
      <c r="CC179" s="521"/>
      <c r="CD179" s="521"/>
      <c r="CE179" s="521"/>
      <c r="CF179" s="85"/>
      <c r="CG179" s="85"/>
      <c r="CH179" s="85"/>
      <c r="CI179" s="85"/>
      <c r="CJ179" s="85"/>
      <c r="CK179" s="85"/>
      <c r="CL179" s="85"/>
      <c r="CM179" s="85"/>
      <c r="CN179" s="85"/>
      <c r="CO179" s="85"/>
      <c r="CP179" s="85"/>
      <c r="CQ179" s="85"/>
      <c r="CR179" s="85"/>
      <c r="CS179" s="85"/>
      <c r="CT179" s="85"/>
      <c r="CU179" s="85"/>
      <c r="CV179" s="85"/>
      <c r="CW179" s="85"/>
      <c r="CX179" s="85"/>
      <c r="CY179" s="85"/>
      <c r="CZ179" s="85"/>
    </row>
    <row r="180" spans="1:104" x14ac:dyDescent="0.2">
      <c r="A180" s="289"/>
      <c r="B180" s="289"/>
      <c r="C180" s="289"/>
      <c r="D180" s="289"/>
      <c r="E180" s="294"/>
      <c r="F180" s="345"/>
      <c r="G180" s="345"/>
      <c r="H180" s="296"/>
      <c r="I180" s="346"/>
      <c r="J180" s="294"/>
      <c r="K180" s="345"/>
      <c r="L180" s="345"/>
      <c r="M180" s="296"/>
      <c r="N180" s="346"/>
      <c r="O180" s="291"/>
      <c r="P180" s="292"/>
      <c r="Q180" s="714"/>
      <c r="R180" s="293"/>
      <c r="S180" s="289"/>
      <c r="T180" s="291"/>
      <c r="U180" s="292"/>
      <c r="V180" s="292"/>
      <c r="W180" s="293"/>
      <c r="X180" s="289"/>
      <c r="Y180" s="291"/>
      <c r="Z180" s="292"/>
      <c r="AA180" s="292"/>
      <c r="AB180" s="293"/>
      <c r="AC180" s="289"/>
      <c r="AD180" s="291"/>
      <c r="AE180" s="292"/>
      <c r="AF180" s="292"/>
      <c r="AG180" s="293"/>
      <c r="AH180" s="289"/>
      <c r="AI180" s="291"/>
      <c r="AJ180" s="292"/>
      <c r="AK180" s="292"/>
      <c r="AL180" s="293"/>
      <c r="AM180" s="289"/>
      <c r="AN180" s="291"/>
      <c r="AO180" s="292"/>
      <c r="AP180" s="292"/>
      <c r="AQ180" s="293"/>
      <c r="AR180" s="289"/>
      <c r="AS180" s="291"/>
      <c r="AT180" s="292"/>
      <c r="AU180" s="292"/>
      <c r="AV180" s="293"/>
      <c r="AW180" s="289"/>
      <c r="AX180" s="291"/>
      <c r="AY180" s="292"/>
      <c r="AZ180" s="292"/>
      <c r="BA180" s="293"/>
      <c r="BB180" s="289"/>
      <c r="BC180" s="291"/>
      <c r="BD180" s="292"/>
      <c r="BE180" s="292"/>
      <c r="BF180" s="293"/>
      <c r="BG180" s="289"/>
      <c r="BH180" s="291"/>
      <c r="BI180" s="292"/>
      <c r="BJ180" s="292"/>
      <c r="BK180" s="293"/>
      <c r="BL180" s="289"/>
      <c r="BM180" s="291"/>
      <c r="BN180" s="292"/>
      <c r="BO180" s="292"/>
      <c r="BP180" s="293"/>
      <c r="BQ180" s="289"/>
      <c r="BR180" s="289"/>
      <c r="BS180" s="289"/>
      <c r="BT180" s="289"/>
      <c r="BU180" s="928"/>
      <c r="BV180" s="951"/>
      <c r="BW180" s="521"/>
      <c r="BX180" s="521"/>
      <c r="BY180" s="521"/>
      <c r="BZ180" s="521"/>
      <c r="CA180" s="521"/>
      <c r="CB180" s="931"/>
      <c r="CC180" s="928"/>
      <c r="CD180" s="928"/>
      <c r="CE180" s="928"/>
      <c r="CF180" s="289"/>
      <c r="CG180" s="289"/>
      <c r="CH180" s="289"/>
      <c r="CI180" s="289"/>
      <c r="CJ180" s="289"/>
      <c r="CK180" s="289"/>
      <c r="CL180" s="289"/>
      <c r="CM180" s="289"/>
      <c r="CN180" s="289"/>
      <c r="CO180" s="289"/>
      <c r="CP180" s="289"/>
      <c r="CQ180" s="289"/>
      <c r="CR180" s="289"/>
      <c r="CS180" s="289"/>
      <c r="CT180" s="289"/>
      <c r="CU180" s="289"/>
      <c r="CV180" s="289"/>
      <c r="CW180" s="289"/>
      <c r="CX180" s="289"/>
      <c r="CY180" s="289"/>
      <c r="CZ180" s="289"/>
    </row>
    <row r="181" spans="1:104" x14ac:dyDescent="0.2">
      <c r="A181" s="289"/>
      <c r="B181" s="289"/>
      <c r="C181" s="289"/>
      <c r="D181" s="289"/>
      <c r="E181" s="291"/>
      <c r="F181" s="292"/>
      <c r="G181" s="292"/>
      <c r="H181" s="293"/>
      <c r="I181" s="289"/>
      <c r="J181" s="291"/>
      <c r="K181" s="292"/>
      <c r="L181" s="292"/>
      <c r="M181" s="293"/>
      <c r="N181" s="289"/>
      <c r="O181" s="291"/>
      <c r="P181" s="292"/>
      <c r="Q181" s="714"/>
      <c r="R181" s="293"/>
      <c r="S181" s="289"/>
      <c r="T181" s="291"/>
      <c r="U181" s="292"/>
      <c r="V181" s="292"/>
      <c r="W181" s="293"/>
      <c r="X181" s="289"/>
      <c r="Y181" s="291"/>
      <c r="Z181" s="292"/>
      <c r="AA181" s="292"/>
      <c r="AB181" s="293"/>
      <c r="AC181" s="289"/>
      <c r="AD181" s="291"/>
      <c r="AE181" s="292"/>
      <c r="AF181" s="292"/>
      <c r="AG181" s="293"/>
      <c r="AH181" s="289"/>
      <c r="AI181" s="291"/>
      <c r="AJ181" s="292"/>
      <c r="AK181" s="292"/>
      <c r="AL181" s="293"/>
      <c r="AM181" s="289"/>
      <c r="AN181" s="291"/>
      <c r="AO181" s="292"/>
      <c r="AP181" s="292"/>
      <c r="AQ181" s="293"/>
      <c r="AR181" s="289"/>
      <c r="AS181" s="291"/>
      <c r="AT181" s="292"/>
      <c r="AU181" s="292"/>
      <c r="AV181" s="293"/>
      <c r="AW181" s="289"/>
      <c r="AX181" s="291"/>
      <c r="AY181" s="292"/>
      <c r="AZ181" s="292"/>
      <c r="BA181" s="293"/>
      <c r="BB181" s="289"/>
      <c r="BC181" s="291"/>
      <c r="BD181" s="292"/>
      <c r="BE181" s="292"/>
      <c r="BF181" s="293"/>
      <c r="BG181" s="289"/>
      <c r="BH181" s="291"/>
      <c r="BI181" s="292"/>
      <c r="BJ181" s="292"/>
      <c r="BK181" s="293"/>
      <c r="BL181" s="289"/>
      <c r="BM181" s="291"/>
      <c r="BN181" s="292"/>
      <c r="BO181" s="292"/>
      <c r="BP181" s="293"/>
      <c r="BQ181" s="289"/>
      <c r="BR181" s="289"/>
      <c r="BS181" s="289"/>
      <c r="BT181" s="289"/>
      <c r="BU181" s="928"/>
      <c r="BV181" s="949"/>
      <c r="BW181" s="615"/>
      <c r="BX181" s="615"/>
      <c r="BY181" s="615"/>
      <c r="BZ181" s="615"/>
      <c r="CA181" s="952"/>
      <c r="CB181" s="931"/>
      <c r="CC181" s="928"/>
      <c r="CD181" s="928"/>
      <c r="CE181" s="928"/>
      <c r="CF181" s="289"/>
      <c r="CG181" s="289"/>
      <c r="CH181" s="289"/>
      <c r="CI181" s="289"/>
      <c r="CJ181" s="289"/>
      <c r="CK181" s="289"/>
      <c r="CL181" s="289"/>
      <c r="CM181" s="289"/>
      <c r="CN181" s="289"/>
      <c r="CO181" s="289"/>
      <c r="CP181" s="289"/>
      <c r="CQ181" s="289"/>
      <c r="CR181" s="289"/>
      <c r="CS181" s="289"/>
      <c r="CT181" s="289"/>
      <c r="CU181" s="289"/>
      <c r="CV181" s="289"/>
      <c r="CW181" s="289"/>
      <c r="CX181" s="289"/>
      <c r="CY181" s="289"/>
      <c r="CZ181" s="289"/>
    </row>
    <row r="182" spans="1:104" x14ac:dyDescent="0.2">
      <c r="A182" s="289"/>
      <c r="B182" s="347" t="s">
        <v>293</v>
      </c>
      <c r="C182" s="347"/>
      <c r="D182" s="348"/>
      <c r="E182" s="291"/>
      <c r="F182" s="292"/>
      <c r="G182" s="292"/>
      <c r="H182" s="293"/>
      <c r="I182" s="289"/>
      <c r="J182" s="291"/>
      <c r="K182" s="292"/>
      <c r="L182" s="292"/>
      <c r="M182" s="293"/>
      <c r="N182" s="289"/>
      <c r="O182" s="291"/>
      <c r="P182" s="292"/>
      <c r="Q182" s="292"/>
      <c r="R182" s="293"/>
      <c r="S182" s="289"/>
      <c r="T182" s="291"/>
      <c r="U182" s="292"/>
      <c r="V182" s="292"/>
      <c r="W182" s="293"/>
      <c r="X182" s="289"/>
      <c r="Y182" s="291"/>
      <c r="Z182" s="292"/>
      <c r="AA182" s="292"/>
      <c r="AB182" s="293"/>
      <c r="AC182" s="289"/>
      <c r="AD182" s="291"/>
      <c r="AE182" s="292"/>
      <c r="AF182" s="292"/>
      <c r="AG182" s="293"/>
      <c r="AH182" s="289"/>
      <c r="AI182" s="291"/>
      <c r="AJ182" s="292"/>
      <c r="AK182" s="292"/>
      <c r="AL182" s="293"/>
      <c r="AM182" s="289"/>
      <c r="AN182" s="291"/>
      <c r="AO182" s="292"/>
      <c r="AP182" s="292"/>
      <c r="AQ182" s="293"/>
      <c r="AR182" s="289"/>
      <c r="AS182" s="291"/>
      <c r="AT182" s="292"/>
      <c r="AU182" s="292"/>
      <c r="AV182" s="293"/>
      <c r="AW182" s="289"/>
      <c r="AX182" s="291"/>
      <c r="AY182" s="292"/>
      <c r="AZ182" s="292"/>
      <c r="BA182" s="293"/>
      <c r="BB182" s="289"/>
      <c r="BC182" s="291"/>
      <c r="BD182" s="292"/>
      <c r="BE182" s="292"/>
      <c r="BF182" s="293"/>
      <c r="BG182" s="289"/>
      <c r="BH182" s="291"/>
      <c r="BI182" s="292"/>
      <c r="BJ182" s="292"/>
      <c r="BK182" s="293"/>
      <c r="BL182" s="289"/>
      <c r="BM182" s="291"/>
      <c r="BN182" s="292"/>
      <c r="BO182" s="292"/>
      <c r="BP182" s="293"/>
      <c r="BQ182" s="289"/>
      <c r="BR182" s="289"/>
      <c r="BS182" s="289"/>
      <c r="BT182" s="289"/>
      <c r="BU182" s="928"/>
      <c r="BV182" s="951"/>
      <c r="BW182" s="615"/>
      <c r="BX182" s="615"/>
      <c r="BY182" s="615"/>
      <c r="BZ182" s="615"/>
      <c r="CA182" s="949"/>
      <c r="CB182" s="931"/>
      <c r="CC182" s="928"/>
      <c r="CD182" s="928"/>
      <c r="CE182" s="928"/>
      <c r="CF182" s="289"/>
      <c r="CG182" s="289"/>
      <c r="CH182" s="289"/>
      <c r="CI182" s="289"/>
      <c r="CJ182" s="289"/>
      <c r="CK182" s="289"/>
      <c r="CL182" s="289"/>
      <c r="CM182" s="289"/>
      <c r="CN182" s="289"/>
      <c r="CO182" s="289"/>
      <c r="CP182" s="289"/>
      <c r="CQ182" s="289"/>
      <c r="CR182" s="289"/>
      <c r="CS182" s="289"/>
      <c r="CT182" s="289"/>
      <c r="CU182" s="289"/>
      <c r="CV182" s="289"/>
      <c r="CW182" s="289"/>
      <c r="CX182" s="289"/>
      <c r="CY182" s="289"/>
      <c r="CZ182" s="289"/>
    </row>
    <row r="183" spans="1:104" x14ac:dyDescent="0.2">
      <c r="A183" s="220"/>
      <c r="B183" s="220"/>
      <c r="C183" s="20" t="s">
        <v>126</v>
      </c>
      <c r="D183" s="82"/>
      <c r="E183" s="136">
        <f t="shared" ref="E183:P183" si="397">+E28</f>
        <v>6.7060000000000004</v>
      </c>
      <c r="F183" s="135">
        <f t="shared" si="397"/>
        <v>7.665</v>
      </c>
      <c r="G183" s="135">
        <f t="shared" si="397"/>
        <v>6.8760000000000003</v>
      </c>
      <c r="H183" s="116">
        <f t="shared" si="397"/>
        <v>7.6009999999999991</v>
      </c>
      <c r="I183" s="82">
        <f t="shared" si="397"/>
        <v>28.847999999999999</v>
      </c>
      <c r="J183" s="136">
        <f t="shared" si="397"/>
        <v>9.4450000000000003</v>
      </c>
      <c r="K183" s="135">
        <f t="shared" si="397"/>
        <v>8.0559999999999992</v>
      </c>
      <c r="L183" s="135">
        <f t="shared" si="397"/>
        <v>9.1969999999999992</v>
      </c>
      <c r="M183" s="116">
        <f t="shared" si="397"/>
        <v>11.643000000000004</v>
      </c>
      <c r="N183" s="82">
        <f t="shared" si="397"/>
        <v>38.341000000000001</v>
      </c>
      <c r="O183" s="136">
        <f t="shared" si="397"/>
        <v>9.593</v>
      </c>
      <c r="P183" s="135">
        <f t="shared" si="397"/>
        <v>10.146000000000001</v>
      </c>
      <c r="Q183" s="137">
        <f t="shared" ref="Q183:Y183" si="398">+Q28</f>
        <v>8.6999999999999993</v>
      </c>
      <c r="R183" s="116">
        <f t="shared" si="398"/>
        <v>8.7250000000000014</v>
      </c>
      <c r="S183" s="82">
        <f t="shared" si="398"/>
        <v>37.164000000000001</v>
      </c>
      <c r="T183" s="136">
        <f t="shared" si="398"/>
        <v>8.0350000000000001</v>
      </c>
      <c r="U183" s="137">
        <f t="shared" si="398"/>
        <v>9.1790000000000003</v>
      </c>
      <c r="V183" s="137">
        <f t="shared" si="398"/>
        <v>9.8859999999999992</v>
      </c>
      <c r="W183" s="116">
        <f t="shared" si="398"/>
        <v>10.009000000000004</v>
      </c>
      <c r="X183" s="82">
        <f t="shared" si="398"/>
        <v>37.109000000000002</v>
      </c>
      <c r="Y183" s="136">
        <f t="shared" si="398"/>
        <v>10.262</v>
      </c>
      <c r="Z183" s="137">
        <f t="shared" ref="Z183:AF183" si="399">+Z28</f>
        <v>12.339</v>
      </c>
      <c r="AA183" s="137">
        <f t="shared" si="399"/>
        <v>9.2910000000000004</v>
      </c>
      <c r="AB183" s="116">
        <f t="shared" si="399"/>
        <v>8.1720000000000006</v>
      </c>
      <c r="AC183" s="82">
        <f t="shared" si="399"/>
        <v>40.064</v>
      </c>
      <c r="AD183" s="136">
        <f t="shared" si="399"/>
        <v>5.2640000000000002</v>
      </c>
      <c r="AE183" s="137">
        <f t="shared" si="399"/>
        <v>5.9950000000000001</v>
      </c>
      <c r="AF183" s="137">
        <f t="shared" si="399"/>
        <v>6.2960000000000003</v>
      </c>
      <c r="AG183" s="116">
        <f t="shared" ref="AG183:AM183" si="400">+AG28</f>
        <v>6.2330000000000005</v>
      </c>
      <c r="AH183" s="82">
        <f t="shared" si="400"/>
        <v>23.788</v>
      </c>
      <c r="AI183" s="136">
        <f t="shared" si="400"/>
        <v>5.93</v>
      </c>
      <c r="AJ183" s="137">
        <f t="shared" si="400"/>
        <v>5.6840000000000002</v>
      </c>
      <c r="AK183" s="137">
        <f t="shared" si="400"/>
        <v>7.4560000000000004</v>
      </c>
      <c r="AL183" s="116">
        <f t="shared" si="400"/>
        <v>7.7489999999999988</v>
      </c>
      <c r="AM183" s="82">
        <f t="shared" si="400"/>
        <v>26.818999999999999</v>
      </c>
      <c r="AN183" s="136">
        <f t="shared" ref="AN183:AR183" si="401">+AN28</f>
        <v>5.6479999999999997</v>
      </c>
      <c r="AO183" s="137">
        <f t="shared" si="401"/>
        <v>7.38</v>
      </c>
      <c r="AP183" s="137">
        <f t="shared" si="401"/>
        <v>7.9829999999999997</v>
      </c>
      <c r="AQ183" s="116">
        <f t="shared" si="401"/>
        <v>6.7210000000000001</v>
      </c>
      <c r="AR183" s="82">
        <f t="shared" si="401"/>
        <v>27.731999999999999</v>
      </c>
      <c r="AS183" s="136">
        <f t="shared" ref="AS183:AW183" si="402">+AS28</f>
        <v>6.2830000000000004</v>
      </c>
      <c r="AT183" s="137">
        <f t="shared" si="402"/>
        <v>6.4249999999999998</v>
      </c>
      <c r="AU183" s="137">
        <f t="shared" si="402"/>
        <v>10.683</v>
      </c>
      <c r="AV183" s="116">
        <f t="shared" si="402"/>
        <v>6.1230000000000011</v>
      </c>
      <c r="AW183" s="82">
        <f t="shared" si="402"/>
        <v>29.513999999999999</v>
      </c>
      <c r="AX183" s="136">
        <f>+AX165*AX184/4</f>
        <v>9.0419999999999998</v>
      </c>
      <c r="AY183" s="135">
        <f>+AY165*AY184/4</f>
        <v>9.0419999999999998</v>
      </c>
      <c r="AZ183" s="135">
        <f>+AZ165*AZ184/4</f>
        <v>9.0419999999999998</v>
      </c>
      <c r="BA183" s="116">
        <f>+BA165*BA184/4</f>
        <v>9.0419999999999998</v>
      </c>
      <c r="BB183" s="82">
        <f>SUM(AX183:BA183)</f>
        <v>36.167999999999999</v>
      </c>
      <c r="BC183" s="136">
        <f>+BC165*BC184/4</f>
        <v>12.606</v>
      </c>
      <c r="BD183" s="135">
        <f>+BD165*BD184/4</f>
        <v>12.606</v>
      </c>
      <c r="BE183" s="135">
        <f>+BE165*BE184/4</f>
        <v>12.606</v>
      </c>
      <c r="BF183" s="116">
        <f>+BF165*BF184/4</f>
        <v>12.606</v>
      </c>
      <c r="BG183" s="82">
        <f>SUM(BC183:BF183)</f>
        <v>50.423999999999999</v>
      </c>
      <c r="BH183" s="136">
        <f>+BH165*BH184/4</f>
        <v>9.57</v>
      </c>
      <c r="BI183" s="135">
        <f>+BI165*BI184/4</f>
        <v>9.57</v>
      </c>
      <c r="BJ183" s="135">
        <f>+BJ165*BJ184/4</f>
        <v>9.57</v>
      </c>
      <c r="BK183" s="116">
        <f>+BK165*BK184/4</f>
        <v>9.57</v>
      </c>
      <c r="BL183" s="82">
        <f>SUM(BH183:BK183)</f>
        <v>38.28</v>
      </c>
      <c r="BM183" s="136">
        <f>+BM165*BM184/4</f>
        <v>10.494</v>
      </c>
      <c r="BN183" s="135">
        <f>+BN165*BN184/4</f>
        <v>10.494</v>
      </c>
      <c r="BO183" s="135">
        <f>+BO165*BO184/4</f>
        <v>10.494</v>
      </c>
      <c r="BP183" s="116">
        <f>+BP165*BP184/4</f>
        <v>10.494</v>
      </c>
      <c r="BQ183" s="82">
        <f>SUM(BM183:BP183)</f>
        <v>41.975999999999999</v>
      </c>
      <c r="BR183" s="220"/>
      <c r="BS183" s="220"/>
      <c r="BT183" s="220"/>
      <c r="BU183" s="615"/>
      <c r="BV183" s="949"/>
      <c r="BW183" s="615"/>
      <c r="BX183" s="615"/>
      <c r="BY183" s="615"/>
      <c r="BZ183" s="615"/>
      <c r="CA183" s="951"/>
      <c r="CB183" s="931"/>
      <c r="CC183" s="615"/>
      <c r="CD183" s="615"/>
      <c r="CE183" s="615"/>
      <c r="CF183" s="220"/>
      <c r="CG183" s="220"/>
      <c r="CH183" s="220"/>
      <c r="CI183" s="220"/>
      <c r="CJ183" s="220"/>
      <c r="CK183" s="220"/>
      <c r="CL183" s="220"/>
      <c r="CM183" s="220"/>
      <c r="CN183" s="220"/>
      <c r="CO183" s="220"/>
      <c r="CP183" s="220"/>
      <c r="CQ183" s="220"/>
      <c r="CR183" s="220"/>
      <c r="CS183" s="220"/>
      <c r="CT183" s="220"/>
      <c r="CU183" s="220"/>
      <c r="CV183" s="220"/>
      <c r="CW183" s="220"/>
      <c r="CX183" s="220"/>
      <c r="CY183" s="220"/>
      <c r="CZ183" s="220"/>
    </row>
    <row r="184" spans="1:104" x14ac:dyDescent="0.2">
      <c r="A184" s="20"/>
      <c r="B184" s="20"/>
      <c r="C184" s="20" t="s">
        <v>294</v>
      </c>
      <c r="D184" s="20"/>
      <c r="E184" s="207">
        <f>+E183/E165*4</f>
        <v>4.9601967510193523E-2</v>
      </c>
      <c r="F184" s="208">
        <f>+F183/F165*4</f>
        <v>5.0014844588576517E-2</v>
      </c>
      <c r="G184" s="208">
        <f>+G183/G165*4</f>
        <v>4.6089729517770454E-2</v>
      </c>
      <c r="H184" s="209">
        <f>+H183/H165*4</f>
        <v>5.1788512638822636E-2</v>
      </c>
      <c r="I184" s="88">
        <f>+I183/AVERAGE(I165,D165)</f>
        <v>4.9138107242624511E-2</v>
      </c>
      <c r="J184" s="207">
        <f>+J183/J165*4</f>
        <v>4.993272695072018E-2</v>
      </c>
      <c r="K184" s="208">
        <f>+K183/K165*4</f>
        <v>3.5170016425916925E-2</v>
      </c>
      <c r="L184" s="208">
        <f>+L183/L165*4</f>
        <v>3.2425419244065008E-2</v>
      </c>
      <c r="M184" s="209">
        <f>+M183/M165*4</f>
        <v>6.6981929894202749E-2</v>
      </c>
      <c r="N184" s="88">
        <f>+N183/AVERAGE(N165,I165)</f>
        <v>5.9797001182184263E-2</v>
      </c>
      <c r="O184" s="207">
        <f>+O183/O165*4</f>
        <v>4.6089060033967441E-2</v>
      </c>
      <c r="P184" s="208">
        <f>+P183/P165*4</f>
        <v>5.6701282988078264E-2</v>
      </c>
      <c r="Q184" s="628">
        <f>+Q183/Q165*4</f>
        <v>4.8185764429767165E-2</v>
      </c>
      <c r="R184" s="209">
        <f>+R183/R165*4</f>
        <v>5.4595570406385033E-2</v>
      </c>
      <c r="S184" s="88">
        <f>+S183/AVERAGE(S165,N165)</f>
        <v>5.5695678954065006E-2</v>
      </c>
      <c r="T184" s="207">
        <f>+T183/T165*4</f>
        <v>4.2726237020277016E-2</v>
      </c>
      <c r="U184" s="628">
        <f>+U183/U165*4</f>
        <v>4.1964643907434561E-2</v>
      </c>
      <c r="V184" s="628">
        <f>+V183/V165*4</f>
        <v>4.3160976120882162E-2</v>
      </c>
      <c r="W184" s="209">
        <f>+W183/W165*4</f>
        <v>4.2090035838977982E-2</v>
      </c>
      <c r="X184" s="88">
        <f>+X183/AVERAGE(X165,S165)</f>
        <v>4.6664927111594555E-2</v>
      </c>
      <c r="Y184" s="207">
        <f>+Y183/Y165*4</f>
        <v>3.5018721639211964E-2</v>
      </c>
      <c r="Z184" s="628">
        <f>+Z183/Z165*4</f>
        <v>3.860337681779466E-2</v>
      </c>
      <c r="AA184" s="628">
        <f>+AA183/AA165*4</f>
        <v>3.3174737781745151E-2</v>
      </c>
      <c r="AB184" s="209">
        <f>+AB183/AB165*4</f>
        <v>3.6206552801222834E-2</v>
      </c>
      <c r="AC184" s="88">
        <f>+AC183/AVERAGE(AC165,X165)</f>
        <v>4.3218543067789487E-2</v>
      </c>
      <c r="AD184" s="207">
        <f>+AD183/AD165*4</f>
        <v>2.0391897087549769E-2</v>
      </c>
      <c r="AE184" s="628">
        <f>+AE183/AE165*4</f>
        <v>2.9878976439467662E-2</v>
      </c>
      <c r="AF184" s="628">
        <f>+AF183/AF165*4</f>
        <v>2.8183231290727983E-2</v>
      </c>
      <c r="AG184" s="209">
        <f>+AG183/AG165*4</f>
        <v>3.5265545369805897E-2</v>
      </c>
      <c r="AH184" s="88">
        <f>+AH183/AVERAGE(AH165,AC165)</f>
        <v>2.9554000219903231E-2</v>
      </c>
      <c r="AI184" s="207">
        <f>+AI183/AI165*4</f>
        <v>3.4184191108651535E-2</v>
      </c>
      <c r="AJ184" s="628">
        <f>+AJ183/AJ165*4</f>
        <v>3.5461169894190459E-2</v>
      </c>
      <c r="AK184" s="628">
        <f>+AK183/AK165*4</f>
        <v>4.0195045162820665E-2</v>
      </c>
      <c r="AL184" s="209">
        <f>+AL183/AL165*4</f>
        <v>5.6817619401138324E-2</v>
      </c>
      <c r="AM184" s="88">
        <f>+AM183/AVERAGE(AM165,AH165)</f>
        <v>4.2824271824506543E-2</v>
      </c>
      <c r="AN184" s="207">
        <f>+AN183/AN165*4</f>
        <v>3.4719906315266953E-2</v>
      </c>
      <c r="AO184" s="628">
        <f>+AO183/AO165*4</f>
        <v>3.7564994311804725E-2</v>
      </c>
      <c r="AP184" s="628">
        <f>+AP183/AP165*4</f>
        <v>3.7285661741095148E-2</v>
      </c>
      <c r="AQ184" s="209">
        <f>+AQ183/AQ165*4</f>
        <v>5.2724994165419668E-2</v>
      </c>
      <c r="AR184" s="88">
        <f>+AR183/AVERAGE(AR165,AM165)</f>
        <v>5.255129208490221E-2</v>
      </c>
      <c r="AS184" s="207">
        <f>+AS183/AS165*4</f>
        <v>4.4469924585859237E-2</v>
      </c>
      <c r="AT184" s="628">
        <f>+AT183/AT165*4</f>
        <v>4.8096087373934913E-2</v>
      </c>
      <c r="AU184" s="628">
        <f>+AU183/AU165*4</f>
        <v>8.4067471168941546E-2</v>
      </c>
      <c r="AV184" s="209">
        <f>+AV183/AV165*4</f>
        <v>4.6200337278307434E-2</v>
      </c>
      <c r="AW184" s="88">
        <f>+AW183/AVERAGE(AW165,AR165)</f>
        <v>5.6756764552887112E-2</v>
      </c>
      <c r="AX184" s="858">
        <v>5.5E-2</v>
      </c>
      <c r="AY184" s="208">
        <f>+AX184</f>
        <v>5.5E-2</v>
      </c>
      <c r="AZ184" s="208">
        <f>+AY184</f>
        <v>5.5E-2</v>
      </c>
      <c r="BA184" s="209">
        <f>+AZ184</f>
        <v>5.5E-2</v>
      </c>
      <c r="BB184" s="88">
        <f>+BB183/BB165</f>
        <v>5.5E-2</v>
      </c>
      <c r="BC184" s="207">
        <f>+BA184</f>
        <v>5.5E-2</v>
      </c>
      <c r="BD184" s="208">
        <f>+BC184</f>
        <v>5.5E-2</v>
      </c>
      <c r="BE184" s="208">
        <f>+BD184</f>
        <v>5.5E-2</v>
      </c>
      <c r="BF184" s="209">
        <f>+BE184</f>
        <v>5.5E-2</v>
      </c>
      <c r="BG184" s="88">
        <f>+BG183/BG165</f>
        <v>5.5E-2</v>
      </c>
      <c r="BH184" s="207">
        <f>+BF184</f>
        <v>5.5E-2</v>
      </c>
      <c r="BI184" s="208">
        <f>+BH184</f>
        <v>5.5E-2</v>
      </c>
      <c r="BJ184" s="208">
        <f>+BI184</f>
        <v>5.5E-2</v>
      </c>
      <c r="BK184" s="209">
        <f>+BJ184</f>
        <v>5.5E-2</v>
      </c>
      <c r="BL184" s="88">
        <f>+BL183/BL165</f>
        <v>5.5E-2</v>
      </c>
      <c r="BM184" s="207">
        <f>+BK184</f>
        <v>5.5E-2</v>
      </c>
      <c r="BN184" s="208">
        <f>+BM184</f>
        <v>5.5E-2</v>
      </c>
      <c r="BO184" s="208">
        <f>+BN184</f>
        <v>5.5E-2</v>
      </c>
      <c r="BP184" s="209">
        <f>+BO184</f>
        <v>5.5E-2</v>
      </c>
      <c r="BQ184" s="88">
        <f>+BQ183/BQ165</f>
        <v>5.5E-2</v>
      </c>
      <c r="BR184" s="20"/>
      <c r="BS184" s="20"/>
      <c r="BT184" s="20"/>
      <c r="BU184" s="646"/>
      <c r="BV184" s="952"/>
      <c r="BW184" s="615"/>
      <c r="BX184" s="615"/>
      <c r="BY184" s="615"/>
      <c r="BZ184" s="615"/>
      <c r="CA184" s="948"/>
      <c r="CB184" s="931"/>
      <c r="CC184" s="646"/>
      <c r="CD184" s="646"/>
      <c r="CE184" s="646"/>
      <c r="CF184" s="20"/>
      <c r="CG184" s="20"/>
      <c r="CH184" s="20"/>
      <c r="CI184" s="20"/>
      <c r="CJ184" s="20"/>
      <c r="CK184" s="20"/>
      <c r="CL184" s="20"/>
      <c r="CM184" s="20"/>
      <c r="CN184" s="20"/>
      <c r="CO184" s="20"/>
      <c r="CP184" s="20"/>
      <c r="CQ184" s="20"/>
      <c r="CR184" s="20"/>
      <c r="CS184" s="20"/>
      <c r="CT184" s="20"/>
      <c r="CU184" s="20"/>
      <c r="CV184" s="20"/>
      <c r="CW184" s="20"/>
      <c r="CX184" s="20"/>
      <c r="CY184" s="20"/>
      <c r="CZ184" s="20"/>
    </row>
    <row r="185" spans="1:104" x14ac:dyDescent="0.2">
      <c r="A185" s="20"/>
      <c r="B185" s="20"/>
      <c r="C185" s="20"/>
      <c r="D185" s="20"/>
      <c r="E185" s="203"/>
      <c r="F185" s="204"/>
      <c r="G185" s="204"/>
      <c r="H185" s="205"/>
      <c r="I185" s="82"/>
      <c r="J185" s="203"/>
      <c r="K185" s="204"/>
      <c r="L185" s="204"/>
      <c r="M185" s="205"/>
      <c r="N185" s="82"/>
      <c r="O185" s="203"/>
      <c r="P185" s="204"/>
      <c r="Q185" s="628"/>
      <c r="R185" s="205"/>
      <c r="S185" s="88"/>
      <c r="T185" s="203"/>
      <c r="U185" s="616"/>
      <c r="V185" s="628"/>
      <c r="W185" s="205"/>
      <c r="X185" s="88"/>
      <c r="Y185" s="203"/>
      <c r="Z185" s="616"/>
      <c r="AA185" s="628"/>
      <c r="AB185" s="205"/>
      <c r="AC185" s="88"/>
      <c r="AD185" s="203"/>
      <c r="AE185" s="616"/>
      <c r="AF185" s="628"/>
      <c r="AG185" s="205"/>
      <c r="AH185" s="88"/>
      <c r="AI185" s="203"/>
      <c r="AJ185" s="616"/>
      <c r="AK185" s="628"/>
      <c r="AL185" s="205"/>
      <c r="AM185" s="88"/>
      <c r="AN185" s="203"/>
      <c r="AO185" s="616"/>
      <c r="AP185" s="628"/>
      <c r="AQ185" s="205"/>
      <c r="AR185" s="88"/>
      <c r="AS185" s="203"/>
      <c r="AT185" s="616"/>
      <c r="AU185" s="628"/>
      <c r="AV185" s="205"/>
      <c r="AW185" s="88"/>
      <c r="AX185" s="207"/>
      <c r="AY185" s="208"/>
      <c r="AZ185" s="208"/>
      <c r="BA185" s="209"/>
      <c r="BB185" s="88"/>
      <c r="BC185" s="207"/>
      <c r="BD185" s="208"/>
      <c r="BE185" s="208"/>
      <c r="BF185" s="209"/>
      <c r="BG185" s="88"/>
      <c r="BH185" s="207"/>
      <c r="BI185" s="208"/>
      <c r="BJ185" s="208"/>
      <c r="BK185" s="209"/>
      <c r="BL185" s="88"/>
      <c r="BM185" s="207"/>
      <c r="BN185" s="208"/>
      <c r="BO185" s="208"/>
      <c r="BP185" s="209"/>
      <c r="BQ185" s="88"/>
      <c r="BR185" s="20"/>
      <c r="BS185" s="20"/>
      <c r="BT185" s="20"/>
      <c r="BU185" s="646"/>
      <c r="BV185" s="948"/>
      <c r="BW185" s="615"/>
      <c r="BX185" s="615"/>
      <c r="BY185" s="615"/>
      <c r="BZ185" s="615"/>
      <c r="CA185" s="954"/>
      <c r="CB185" s="931"/>
      <c r="CC185" s="646"/>
      <c r="CD185" s="646"/>
      <c r="CE185" s="646"/>
      <c r="CF185" s="20"/>
      <c r="CG185" s="20"/>
      <c r="CH185" s="20"/>
      <c r="CI185" s="20"/>
      <c r="CJ185" s="20"/>
      <c r="CK185" s="20"/>
      <c r="CL185" s="20"/>
      <c r="CM185" s="20"/>
      <c r="CN185" s="20"/>
      <c r="CO185" s="20"/>
      <c r="CP185" s="20"/>
      <c r="CQ185" s="20"/>
      <c r="CR185" s="20"/>
      <c r="CS185" s="20"/>
      <c r="CT185" s="20"/>
      <c r="CU185" s="20"/>
      <c r="CV185" s="20"/>
      <c r="CW185" s="20"/>
      <c r="CX185" s="20"/>
      <c r="CY185" s="20"/>
      <c r="CZ185" s="20"/>
    </row>
    <row r="186" spans="1:104" x14ac:dyDescent="0.2">
      <c r="A186" s="220"/>
      <c r="B186" s="220"/>
      <c r="C186" s="20" t="s">
        <v>133</v>
      </c>
      <c r="D186" s="82"/>
      <c r="E186" s="136">
        <f t="shared" ref="E186:P186" si="403">-E36</f>
        <v>4.3419999999999996</v>
      </c>
      <c r="F186" s="135">
        <f t="shared" si="403"/>
        <v>4.6100000000000003</v>
      </c>
      <c r="G186" s="135">
        <f t="shared" si="403"/>
        <v>4.2850000000000001</v>
      </c>
      <c r="H186" s="116">
        <f t="shared" si="403"/>
        <v>4.5230000000000015</v>
      </c>
      <c r="I186" s="82">
        <f t="shared" si="403"/>
        <v>17.760000000000002</v>
      </c>
      <c r="J186" s="136">
        <f t="shared" si="403"/>
        <v>5.3419999999999996</v>
      </c>
      <c r="K186" s="135">
        <f t="shared" si="403"/>
        <v>4.1349999999999998</v>
      </c>
      <c r="L186" s="135">
        <f t="shared" si="403"/>
        <v>4.1150000000000002</v>
      </c>
      <c r="M186" s="116">
        <f t="shared" si="403"/>
        <v>5.5389999999999997</v>
      </c>
      <c r="N186" s="82">
        <f t="shared" si="403"/>
        <v>19.131</v>
      </c>
      <c r="O186" s="136">
        <f t="shared" si="403"/>
        <v>5.3230000000000004</v>
      </c>
      <c r="P186" s="135">
        <f t="shared" si="403"/>
        <v>5.9610000000000003</v>
      </c>
      <c r="Q186" s="137">
        <f t="shared" ref="Q186:Y186" si="404">-Q36</f>
        <v>4.7530000000000001</v>
      </c>
      <c r="R186" s="116">
        <f t="shared" si="404"/>
        <v>4.7800000000000011</v>
      </c>
      <c r="S186" s="82">
        <f t="shared" si="404"/>
        <v>20.817</v>
      </c>
      <c r="T186" s="136">
        <f t="shared" si="404"/>
        <v>4.2779999999999996</v>
      </c>
      <c r="U186" s="137">
        <f t="shared" si="404"/>
        <v>4.9370000000000003</v>
      </c>
      <c r="V186" s="137">
        <f t="shared" si="404"/>
        <v>5.7569999999999997</v>
      </c>
      <c r="W186" s="116">
        <f t="shared" si="404"/>
        <v>5.4770000000000021</v>
      </c>
      <c r="X186" s="82">
        <f t="shared" si="404"/>
        <v>20.449000000000002</v>
      </c>
      <c r="Y186" s="136">
        <f t="shared" si="404"/>
        <v>4.5890000000000004</v>
      </c>
      <c r="Z186" s="137">
        <f t="shared" ref="Z186:AF186" si="405">-Z36</f>
        <v>5.407</v>
      </c>
      <c r="AA186" s="137">
        <f t="shared" si="405"/>
        <v>4.3310000000000004</v>
      </c>
      <c r="AB186" s="116">
        <f t="shared" si="405"/>
        <v>3.7519999999999989</v>
      </c>
      <c r="AC186" s="82">
        <f t="shared" si="405"/>
        <v>18.079000000000001</v>
      </c>
      <c r="AD186" s="136">
        <f t="shared" si="405"/>
        <v>2.4550000000000001</v>
      </c>
      <c r="AE186" s="137">
        <f t="shared" si="405"/>
        <v>2.73</v>
      </c>
      <c r="AF186" s="137">
        <f t="shared" si="405"/>
        <v>2.8079999999999998</v>
      </c>
      <c r="AG186" s="116">
        <f t="shared" ref="AG186:AM186" si="406">-AG36</f>
        <v>2.718</v>
      </c>
      <c r="AH186" s="82">
        <f t="shared" si="406"/>
        <v>10.711</v>
      </c>
      <c r="AI186" s="136">
        <f t="shared" si="406"/>
        <v>2.9140000000000001</v>
      </c>
      <c r="AJ186" s="137">
        <f t="shared" si="406"/>
        <v>2.84</v>
      </c>
      <c r="AK186" s="137">
        <f t="shared" si="406"/>
        <v>3.4279999999999999</v>
      </c>
      <c r="AL186" s="116">
        <f t="shared" si="406"/>
        <v>3.543000000000001</v>
      </c>
      <c r="AM186" s="82">
        <f t="shared" si="406"/>
        <v>12.725</v>
      </c>
      <c r="AN186" s="136">
        <f t="shared" ref="AN186:AR186" si="407">-AN36</f>
        <v>2.706</v>
      </c>
      <c r="AO186" s="137">
        <f t="shared" si="407"/>
        <v>3.278</v>
      </c>
      <c r="AP186" s="137">
        <f t="shared" si="407"/>
        <v>3.5910000000000002</v>
      </c>
      <c r="AQ186" s="116">
        <f t="shared" si="407"/>
        <v>2.9960000000000004</v>
      </c>
      <c r="AR186" s="82">
        <f t="shared" si="407"/>
        <v>12.571</v>
      </c>
      <c r="AS186" s="136">
        <f t="shared" ref="AS186:AW186" si="408">-AS36</f>
        <v>3.2280000000000002</v>
      </c>
      <c r="AT186" s="137">
        <f t="shared" si="408"/>
        <v>3.298</v>
      </c>
      <c r="AU186" s="137">
        <f t="shared" si="408"/>
        <v>5.383</v>
      </c>
      <c r="AV186" s="116">
        <f t="shared" si="408"/>
        <v>3.1460000000000008</v>
      </c>
      <c r="AW186" s="82">
        <f t="shared" si="408"/>
        <v>15.055</v>
      </c>
      <c r="AX186" s="136">
        <f>+AX165*AX187/4</f>
        <v>3.4524000000000004</v>
      </c>
      <c r="AY186" s="135">
        <f>+AY165*AY187/4</f>
        <v>3.4524000000000004</v>
      </c>
      <c r="AZ186" s="135">
        <f>+AZ165*AZ187/4</f>
        <v>3.4524000000000004</v>
      </c>
      <c r="BA186" s="116">
        <f>+BA165*BA187/4</f>
        <v>3.4524000000000004</v>
      </c>
      <c r="BB186" s="82">
        <f>SUM(AX186:BA186)</f>
        <v>13.809600000000001</v>
      </c>
      <c r="BC186" s="136">
        <f>+BC165*BC187/4</f>
        <v>4.8132000000000001</v>
      </c>
      <c r="BD186" s="135">
        <f>+BD165*BD187/4</f>
        <v>4.8132000000000001</v>
      </c>
      <c r="BE186" s="135">
        <f>+BE165*BE187/4</f>
        <v>4.8132000000000001</v>
      </c>
      <c r="BF186" s="116">
        <f>+BF165*BF187/4</f>
        <v>4.8132000000000001</v>
      </c>
      <c r="BG186" s="82">
        <f>SUM(BC186:BF186)</f>
        <v>19.252800000000001</v>
      </c>
      <c r="BH186" s="136">
        <f>+BH165*BH187/4</f>
        <v>3.6540000000000004</v>
      </c>
      <c r="BI186" s="135">
        <f>+BI165*BI187/4</f>
        <v>3.6540000000000004</v>
      </c>
      <c r="BJ186" s="135">
        <f>+BJ165*BJ187/4</f>
        <v>3.6540000000000004</v>
      </c>
      <c r="BK186" s="116">
        <f>+BK165*BK187/4</f>
        <v>3.6540000000000004</v>
      </c>
      <c r="BL186" s="82">
        <f>SUM(BH186:BK186)</f>
        <v>14.616000000000001</v>
      </c>
      <c r="BM186" s="136">
        <f>+BM165*BM187/4</f>
        <v>4.0068000000000001</v>
      </c>
      <c r="BN186" s="135">
        <f>+BN165*BN187/4</f>
        <v>4.0068000000000001</v>
      </c>
      <c r="BO186" s="135">
        <f>+BO165*BO187/4</f>
        <v>4.0068000000000001</v>
      </c>
      <c r="BP186" s="116">
        <f>+BP165*BP187/4</f>
        <v>4.0068000000000001</v>
      </c>
      <c r="BQ186" s="82">
        <f>SUM(BM186:BP186)</f>
        <v>16.027200000000001</v>
      </c>
      <c r="BR186" s="220"/>
      <c r="BS186" s="220"/>
      <c r="BT186" s="220"/>
      <c r="BU186" s="615"/>
      <c r="BV186" s="948"/>
      <c r="BW186" s="615"/>
      <c r="BX186" s="615"/>
      <c r="BY186" s="615"/>
      <c r="BZ186" s="615"/>
      <c r="CA186" s="949"/>
      <c r="CB186" s="931"/>
      <c r="CC186" s="615"/>
      <c r="CD186" s="615"/>
      <c r="CE186" s="615"/>
      <c r="CF186" s="220"/>
      <c r="CG186" s="220"/>
      <c r="CH186" s="220"/>
      <c r="CI186" s="220"/>
      <c r="CJ186" s="220"/>
      <c r="CK186" s="220"/>
      <c r="CL186" s="220"/>
      <c r="CM186" s="220"/>
      <c r="CN186" s="220"/>
      <c r="CO186" s="220"/>
      <c r="CP186" s="220"/>
      <c r="CQ186" s="220"/>
      <c r="CR186" s="220"/>
      <c r="CS186" s="220"/>
      <c r="CT186" s="220"/>
      <c r="CU186" s="220"/>
      <c r="CV186" s="220"/>
      <c r="CW186" s="220"/>
      <c r="CX186" s="220"/>
      <c r="CY186" s="220"/>
      <c r="CZ186" s="220"/>
    </row>
    <row r="187" spans="1:104" x14ac:dyDescent="0.2">
      <c r="A187" s="20"/>
      <c r="B187" s="20"/>
      <c r="C187" s="20" t="s">
        <v>295</v>
      </c>
      <c r="D187" s="20"/>
      <c r="E187" s="207">
        <f>+E186/E165*4</f>
        <v>3.2116275414443819E-2</v>
      </c>
      <c r="F187" s="208">
        <f>+F186/F165*4</f>
        <v>3.0080682785823581E-2</v>
      </c>
      <c r="G187" s="208">
        <f>+G186/G165*4</f>
        <v>2.8722293627639089E-2</v>
      </c>
      <c r="H187" s="209">
        <f>+H186/H165*4</f>
        <v>3.081692443959938E-2</v>
      </c>
      <c r="I187" s="88">
        <f>+I186/AVERAGE(I165,D165)</f>
        <v>3.0251413776657354E-2</v>
      </c>
      <c r="J187" s="207">
        <f>+J186/J165*4</f>
        <v>2.8241463988432733E-2</v>
      </c>
      <c r="K187" s="208">
        <f>+K186/K165*4</f>
        <v>1.8052137279191471E-2</v>
      </c>
      <c r="L187" s="208">
        <f>+L186/L165*4</f>
        <v>1.4508056995686367E-2</v>
      </c>
      <c r="M187" s="209">
        <f>+M186/M165*4</f>
        <v>3.1865748491281355E-2</v>
      </c>
      <c r="N187" s="88">
        <f>+N186/AVERAGE(N165,I165)</f>
        <v>2.9836896002096113E-2</v>
      </c>
      <c r="O187" s="207">
        <f>+O186/O165*4</f>
        <v>2.5574071360451235E-2</v>
      </c>
      <c r="P187" s="208">
        <f>+P186/P165*4</f>
        <v>3.3313261176023505E-2</v>
      </c>
      <c r="Q187" s="628">
        <f>+Q186/Q165*4</f>
        <v>2.63249354407682E-2</v>
      </c>
      <c r="R187" s="209">
        <f>+R186/R165*4</f>
        <v>2.9910237999142747E-2</v>
      </c>
      <c r="S187" s="88">
        <f>+S186/AVERAGE(S165,N165)</f>
        <v>3.1197313227498955E-2</v>
      </c>
      <c r="T187" s="207">
        <f>+T186/T165*4</f>
        <v>2.2748331297168023E-2</v>
      </c>
      <c r="U187" s="628">
        <f>+U186/U165*4</f>
        <v>2.2571025925591508E-2</v>
      </c>
      <c r="V187" s="628">
        <f>+V186/V165*4</f>
        <v>2.5134305030135407E-2</v>
      </c>
      <c r="W187" s="209">
        <f>+W186/W165*4</f>
        <v>2.3031983843549046E-2</v>
      </c>
      <c r="X187" s="88">
        <f>+X186/AVERAGE(X165,S165)</f>
        <v>2.5714815664798218E-2</v>
      </c>
      <c r="Y187" s="207">
        <f>+Y186/Y165*4</f>
        <v>1.5659804482785391E-2</v>
      </c>
      <c r="Z187" s="628">
        <f>+Z186/Z165*4</f>
        <v>1.6916156775574658E-2</v>
      </c>
      <c r="AA187" s="628">
        <f>+AA186/AA165*4</f>
        <v>1.5464405266681545E-2</v>
      </c>
      <c r="AB187" s="209">
        <f>+AB186/AB165*4</f>
        <v>1.662346868700294E-2</v>
      </c>
      <c r="AC187" s="88">
        <f>+AC186/AVERAGE(AC165,X165)</f>
        <v>1.9502497007851591E-2</v>
      </c>
      <c r="AD187" s="207">
        <f>+AD186/AD165*4</f>
        <v>9.5102787518872873E-3</v>
      </c>
      <c r="AE187" s="628">
        <f>+AE186/AE165*4</f>
        <v>1.3606272840658334E-2</v>
      </c>
      <c r="AF187" s="628">
        <f>+AF186/AF165*4</f>
        <v>1.2569649533730014E-2</v>
      </c>
      <c r="AG187" s="209">
        <f>+AG186/AG165*4</f>
        <v>1.5378108826429072E-2</v>
      </c>
      <c r="AH187" s="88">
        <f>+AH186/AVERAGE(AH165,AC165)</f>
        <v>1.3307251402193691E-2</v>
      </c>
      <c r="AI187" s="207">
        <f>+AI186/AI165*4</f>
        <v>1.6798099981553218E-2</v>
      </c>
      <c r="AJ187" s="628">
        <f>+AJ186/AJ165*4</f>
        <v>1.7718107406667995E-2</v>
      </c>
      <c r="AK187" s="628">
        <f>+AK186/AK165*4</f>
        <v>1.8480232674107998E-2</v>
      </c>
      <c r="AL187" s="209">
        <f>+AL186/AL165*4</f>
        <v>2.5978168220187531E-2</v>
      </c>
      <c r="AM187" s="88">
        <f>+AM186/AVERAGE(AM165,AH165)</f>
        <v>2.0319134157382669E-2</v>
      </c>
      <c r="AN187" s="207">
        <f>+AN186/AN165*4</f>
        <v>1.6634572678667206E-2</v>
      </c>
      <c r="AO187" s="628">
        <f>+AO186/AO165*4</f>
        <v>1.6685372812208114E-2</v>
      </c>
      <c r="AP187" s="628">
        <f>+AP186/AP165*4</f>
        <v>1.6772242429196126E-2</v>
      </c>
      <c r="AQ187" s="209">
        <f>+AQ186/AQ165*4</f>
        <v>2.3503062419222936E-2</v>
      </c>
      <c r="AR187" s="88">
        <f>+AR186/AVERAGE(AR165,AM165)</f>
        <v>2.3821660637505616E-2</v>
      </c>
      <c r="AS187" s="207">
        <f>+AS186/AS165*4</f>
        <v>2.2847193468590422E-2</v>
      </c>
      <c r="AT187" s="628">
        <f>+AT186/AT165*4</f>
        <v>2.4688077223227606E-2</v>
      </c>
      <c r="AU187" s="628">
        <f>+AU186/AU165*4</f>
        <v>4.2360310521614937E-2</v>
      </c>
      <c r="AV187" s="209">
        <f>+AV186/AV165*4</f>
        <v>2.3737752911571972E-2</v>
      </c>
      <c r="AW187" s="88">
        <f>+AW186/AVERAGE(AW165,AR165)</f>
        <v>2.8951449832070052E-2</v>
      </c>
      <c r="AX187" s="858">
        <v>2.1000000000000001E-2</v>
      </c>
      <c r="AY187" s="208">
        <f>+AX187</f>
        <v>2.1000000000000001E-2</v>
      </c>
      <c r="AZ187" s="208">
        <f>+AY187</f>
        <v>2.1000000000000001E-2</v>
      </c>
      <c r="BA187" s="209">
        <f>+AZ187</f>
        <v>2.1000000000000001E-2</v>
      </c>
      <c r="BB187" s="88">
        <f>+BB186/BB165</f>
        <v>2.1000000000000001E-2</v>
      </c>
      <c r="BC187" s="207">
        <f>+BA187</f>
        <v>2.1000000000000001E-2</v>
      </c>
      <c r="BD187" s="208">
        <f>+BC187</f>
        <v>2.1000000000000001E-2</v>
      </c>
      <c r="BE187" s="208">
        <f>+BD187</f>
        <v>2.1000000000000001E-2</v>
      </c>
      <c r="BF187" s="209">
        <f>+BE187</f>
        <v>2.1000000000000001E-2</v>
      </c>
      <c r="BG187" s="88">
        <f>+BG186/BG165</f>
        <v>2.1000000000000001E-2</v>
      </c>
      <c r="BH187" s="207">
        <f>+BF187</f>
        <v>2.1000000000000001E-2</v>
      </c>
      <c r="BI187" s="208">
        <f>+BH187</f>
        <v>2.1000000000000001E-2</v>
      </c>
      <c r="BJ187" s="208">
        <f>+BI187</f>
        <v>2.1000000000000001E-2</v>
      </c>
      <c r="BK187" s="209">
        <f>+BJ187</f>
        <v>2.1000000000000001E-2</v>
      </c>
      <c r="BL187" s="88">
        <f>+BL186/BL165</f>
        <v>2.1000000000000001E-2</v>
      </c>
      <c r="BM187" s="207">
        <f>+BK187</f>
        <v>2.1000000000000001E-2</v>
      </c>
      <c r="BN187" s="208">
        <f>+BM187</f>
        <v>2.1000000000000001E-2</v>
      </c>
      <c r="BO187" s="208">
        <f>+BN187</f>
        <v>2.1000000000000001E-2</v>
      </c>
      <c r="BP187" s="209">
        <f>+BO187</f>
        <v>2.1000000000000001E-2</v>
      </c>
      <c r="BQ187" s="88">
        <f>+BQ186/BQ165</f>
        <v>2.1000000000000001E-2</v>
      </c>
      <c r="BR187" s="20"/>
      <c r="BS187" s="20"/>
      <c r="BT187" s="20"/>
      <c r="BU187" s="646"/>
      <c r="BV187" s="955"/>
      <c r="BW187" s="928"/>
      <c r="BX187" s="928"/>
      <c r="BY187" s="928"/>
      <c r="BZ187" s="928"/>
      <c r="CA187" s="929"/>
      <c r="CB187" s="931"/>
      <c r="CC187" s="646"/>
      <c r="CD187" s="646"/>
      <c r="CE187" s="646"/>
      <c r="CF187" s="20"/>
      <c r="CG187" s="20"/>
      <c r="CH187" s="20"/>
      <c r="CI187" s="20"/>
      <c r="CJ187" s="20"/>
      <c r="CK187" s="20"/>
      <c r="CL187" s="20"/>
      <c r="CM187" s="20"/>
      <c r="CN187" s="20"/>
      <c r="CO187" s="20"/>
      <c r="CP187" s="20"/>
      <c r="CQ187" s="20"/>
      <c r="CR187" s="20"/>
      <c r="CS187" s="20"/>
      <c r="CT187" s="20"/>
      <c r="CU187" s="20"/>
      <c r="CV187" s="20"/>
      <c r="CW187" s="20"/>
      <c r="CX187" s="20"/>
      <c r="CY187" s="20"/>
      <c r="CZ187" s="20"/>
    </row>
    <row r="188" spans="1:104" x14ac:dyDescent="0.2">
      <c r="A188" s="289"/>
      <c r="B188" s="289"/>
      <c r="C188" s="289"/>
      <c r="D188" s="289"/>
      <c r="E188" s="291"/>
      <c r="F188" s="292"/>
      <c r="G188" s="292"/>
      <c r="H188" s="293"/>
      <c r="I188" s="289"/>
      <c r="J188" s="291"/>
      <c r="K188" s="292"/>
      <c r="L188" s="292"/>
      <c r="M188" s="293"/>
      <c r="N188" s="289"/>
      <c r="O188" s="291"/>
      <c r="P188" s="292"/>
      <c r="Q188" s="292"/>
      <c r="R188" s="293"/>
      <c r="S188" s="289"/>
      <c r="T188" s="291"/>
      <c r="U188" s="714"/>
      <c r="V188" s="292"/>
      <c r="W188" s="293"/>
      <c r="X188" s="289"/>
      <c r="Y188" s="291"/>
      <c r="Z188" s="292"/>
      <c r="AA188" s="292"/>
      <c r="AB188" s="293"/>
      <c r="AC188" s="289"/>
      <c r="AD188" s="291"/>
      <c r="AE188" s="292"/>
      <c r="AF188" s="292"/>
      <c r="AG188" s="293"/>
      <c r="AH188" s="289"/>
      <c r="AI188" s="291"/>
      <c r="AJ188" s="292"/>
      <c r="AK188" s="292"/>
      <c r="AL188" s="293"/>
      <c r="AM188" s="289"/>
      <c r="AN188" s="291"/>
      <c r="AO188" s="292"/>
      <c r="AP188" s="292"/>
      <c r="AQ188" s="293"/>
      <c r="AR188" s="289"/>
      <c r="AS188" s="291"/>
      <c r="AT188" s="292"/>
      <c r="AU188" s="292"/>
      <c r="AV188" s="293"/>
      <c r="AW188" s="289"/>
      <c r="AX188" s="291"/>
      <c r="AY188" s="292"/>
      <c r="AZ188" s="292"/>
      <c r="BA188" s="293"/>
      <c r="BB188" s="289"/>
      <c r="BC188" s="291"/>
      <c r="BD188" s="292"/>
      <c r="BE188" s="292"/>
      <c r="BF188" s="293"/>
      <c r="BG188" s="289"/>
      <c r="BH188" s="291"/>
      <c r="BI188" s="292"/>
      <c r="BJ188" s="292"/>
      <c r="BK188" s="293"/>
      <c r="BL188" s="289"/>
      <c r="BM188" s="291"/>
      <c r="BN188" s="292"/>
      <c r="BO188" s="292"/>
      <c r="BP188" s="293"/>
      <c r="BQ188" s="289"/>
      <c r="BR188" s="289"/>
      <c r="BS188" s="289"/>
      <c r="BT188" s="289"/>
      <c r="BU188" s="928"/>
      <c r="BV188" s="929"/>
      <c r="BW188" s="928"/>
      <c r="BX188" s="928"/>
      <c r="BY188" s="928"/>
      <c r="BZ188" s="928"/>
      <c r="CA188" s="928"/>
      <c r="CB188" s="928"/>
      <c r="CC188" s="928"/>
      <c r="CD188" s="928"/>
      <c r="CE188" s="928"/>
      <c r="CF188" s="289"/>
      <c r="CG188" s="289"/>
      <c r="CH188" s="289"/>
      <c r="CI188" s="289"/>
      <c r="CJ188" s="289"/>
      <c r="CK188" s="289"/>
      <c r="CL188" s="289"/>
      <c r="CM188" s="289"/>
      <c r="CN188" s="289"/>
      <c r="CO188" s="289"/>
      <c r="CP188" s="289"/>
      <c r="CQ188" s="289"/>
      <c r="CR188" s="289"/>
      <c r="CS188" s="289"/>
      <c r="CT188" s="289"/>
      <c r="CU188" s="289"/>
      <c r="CV188" s="289"/>
      <c r="CW188" s="289"/>
      <c r="CX188" s="289"/>
      <c r="CY188" s="289"/>
      <c r="CZ188" s="289"/>
    </row>
    <row r="189" spans="1:104" x14ac:dyDescent="0.2">
      <c r="A189" s="289"/>
      <c r="B189" s="289"/>
      <c r="C189" s="289"/>
      <c r="D189" s="289"/>
      <c r="E189" s="291"/>
      <c r="F189" s="292"/>
      <c r="G189" s="292"/>
      <c r="H189" s="293"/>
      <c r="I189" s="289"/>
      <c r="J189" s="291"/>
      <c r="K189" s="292"/>
      <c r="L189" s="292"/>
      <c r="M189" s="293"/>
      <c r="N189" s="289"/>
      <c r="O189" s="291"/>
      <c r="P189" s="292"/>
      <c r="Q189" s="292"/>
      <c r="R189" s="293"/>
      <c r="S189" s="289"/>
      <c r="T189" s="291"/>
      <c r="U189" s="714"/>
      <c r="V189" s="292"/>
      <c r="W189" s="293"/>
      <c r="X189" s="289"/>
      <c r="Y189" s="291"/>
      <c r="Z189" s="292"/>
      <c r="AA189" s="292"/>
      <c r="AB189" s="293"/>
      <c r="AC189" s="289"/>
      <c r="AD189" s="291"/>
      <c r="AE189" s="292"/>
      <c r="AF189" s="292"/>
      <c r="AG189" s="293"/>
      <c r="AH189" s="289"/>
      <c r="AI189" s="291"/>
      <c r="AJ189" s="292"/>
      <c r="AK189" s="292"/>
      <c r="AL189" s="293"/>
      <c r="AM189" s="289"/>
      <c r="AN189" s="291"/>
      <c r="AO189" s="292"/>
      <c r="AP189" s="292"/>
      <c r="AQ189" s="293"/>
      <c r="AR189" s="289"/>
      <c r="AS189" s="291"/>
      <c r="AT189" s="292"/>
      <c r="AU189" s="292"/>
      <c r="AV189" s="293"/>
      <c r="AW189" s="289"/>
      <c r="AX189" s="291"/>
      <c r="AY189" s="292"/>
      <c r="AZ189" s="292"/>
      <c r="BA189" s="293"/>
      <c r="BB189" s="289"/>
      <c r="BC189" s="291"/>
      <c r="BD189" s="292"/>
      <c r="BE189" s="292"/>
      <c r="BF189" s="293"/>
      <c r="BG189" s="289"/>
      <c r="BH189" s="291"/>
      <c r="BI189" s="292"/>
      <c r="BJ189" s="292"/>
      <c r="BK189" s="293"/>
      <c r="BL189" s="289"/>
      <c r="BM189" s="291"/>
      <c r="BN189" s="292"/>
      <c r="BO189" s="292"/>
      <c r="BP189" s="293"/>
      <c r="BQ189" s="289"/>
      <c r="BR189" s="289"/>
      <c r="BS189" s="289"/>
      <c r="BT189" s="289"/>
      <c r="BU189" s="928"/>
      <c r="BV189" s="951"/>
      <c r="BW189" s="521"/>
      <c r="BX189" s="521"/>
      <c r="BY189" s="521"/>
      <c r="BZ189" s="521"/>
      <c r="CA189" s="521"/>
      <c r="CB189" s="521"/>
      <c r="CC189" s="928"/>
      <c r="CD189" s="928"/>
      <c r="CE189" s="928"/>
      <c r="CF189" s="289"/>
      <c r="CG189" s="289"/>
      <c r="CH189" s="289"/>
      <c r="CI189" s="289"/>
      <c r="CJ189" s="289"/>
      <c r="CK189" s="289"/>
      <c r="CL189" s="289"/>
      <c r="CM189" s="289"/>
      <c r="CN189" s="289"/>
      <c r="CO189" s="289"/>
      <c r="CP189" s="289"/>
      <c r="CQ189" s="289"/>
      <c r="CR189" s="289"/>
      <c r="CS189" s="289"/>
      <c r="CT189" s="289"/>
      <c r="CU189" s="289"/>
      <c r="CV189" s="289"/>
      <c r="CW189" s="289"/>
      <c r="CX189" s="289"/>
      <c r="CY189" s="289"/>
      <c r="CZ189" s="289"/>
    </row>
    <row r="190" spans="1:104" x14ac:dyDescent="0.2">
      <c r="A190" s="289"/>
      <c r="B190" s="347" t="s">
        <v>296</v>
      </c>
      <c r="C190" s="347"/>
      <c r="D190" s="348"/>
      <c r="E190" s="291"/>
      <c r="F190" s="292"/>
      <c r="G190" s="292"/>
      <c r="H190" s="293"/>
      <c r="I190" s="289"/>
      <c r="J190" s="291"/>
      <c r="K190" s="292"/>
      <c r="L190" s="292"/>
      <c r="M190" s="293"/>
      <c r="N190" s="289"/>
      <c r="O190" s="291"/>
      <c r="P190" s="292"/>
      <c r="Q190" s="292"/>
      <c r="R190" s="293"/>
      <c r="S190" s="289"/>
      <c r="T190" s="291"/>
      <c r="U190" s="714"/>
      <c r="V190" s="292"/>
      <c r="W190" s="293"/>
      <c r="X190" s="289"/>
      <c r="Y190" s="291"/>
      <c r="Z190" s="292"/>
      <c r="AA190" s="292"/>
      <c r="AB190" s="293"/>
      <c r="AC190" s="289"/>
      <c r="AD190" s="291"/>
      <c r="AE190" s="292"/>
      <c r="AF190" s="292"/>
      <c r="AG190" s="293"/>
      <c r="AH190" s="289"/>
      <c r="AI190" s="291"/>
      <c r="AJ190" s="292"/>
      <c r="AK190" s="292"/>
      <c r="AL190" s="293"/>
      <c r="AM190" s="289"/>
      <c r="AN190" s="291"/>
      <c r="AO190" s="292"/>
      <c r="AP190" s="292"/>
      <c r="AQ190" s="293"/>
      <c r="AR190" s="289"/>
      <c r="AS190" s="291"/>
      <c r="AT190" s="292"/>
      <c r="AU190" s="292"/>
      <c r="AV190" s="293"/>
      <c r="AW190" s="289"/>
      <c r="AX190" s="291"/>
      <c r="AY190" s="292"/>
      <c r="AZ190" s="292"/>
      <c r="BA190" s="293"/>
      <c r="BB190" s="289"/>
      <c r="BC190" s="291"/>
      <c r="BD190" s="292"/>
      <c r="BE190" s="292"/>
      <c r="BF190" s="293"/>
      <c r="BG190" s="289"/>
      <c r="BH190" s="291"/>
      <c r="BI190" s="292"/>
      <c r="BJ190" s="292"/>
      <c r="BK190" s="293"/>
      <c r="BL190" s="289"/>
      <c r="BM190" s="291"/>
      <c r="BN190" s="292"/>
      <c r="BO190" s="292"/>
      <c r="BP190" s="293"/>
      <c r="BQ190" s="289"/>
      <c r="BR190" s="289"/>
      <c r="BS190" s="289"/>
      <c r="BT190" s="289"/>
      <c r="BU190" s="928"/>
      <c r="BV190" s="949"/>
      <c r="BW190" s="956"/>
      <c r="BX190" s="956"/>
      <c r="BY190" s="956"/>
      <c r="BZ190" s="956"/>
      <c r="CA190" s="957"/>
      <c r="CB190" s="956"/>
      <c r="CC190" s="928"/>
      <c r="CD190" s="928"/>
      <c r="CE190" s="928"/>
      <c r="CF190" s="289"/>
      <c r="CG190" s="289"/>
      <c r="CH190" s="289"/>
      <c r="CI190" s="289"/>
      <c r="CJ190" s="289"/>
      <c r="CK190" s="289"/>
      <c r="CL190" s="289"/>
      <c r="CM190" s="289"/>
      <c r="CN190" s="289"/>
      <c r="CO190" s="289"/>
      <c r="CP190" s="289"/>
      <c r="CQ190" s="289"/>
      <c r="CR190" s="289"/>
      <c r="CS190" s="289"/>
      <c r="CT190" s="289"/>
      <c r="CU190" s="289"/>
      <c r="CV190" s="289"/>
      <c r="CW190" s="289"/>
      <c r="CX190" s="289"/>
      <c r="CY190" s="289"/>
      <c r="CZ190" s="289"/>
    </row>
    <row r="191" spans="1:104" x14ac:dyDescent="0.2">
      <c r="A191" s="289"/>
      <c r="B191" s="289"/>
      <c r="C191" s="141" t="s">
        <v>157</v>
      </c>
      <c r="D191" s="289"/>
      <c r="E191" s="291"/>
      <c r="F191" s="292"/>
      <c r="G191" s="292"/>
      <c r="H191" s="293"/>
      <c r="I191" s="289"/>
      <c r="J191" s="291"/>
      <c r="K191" s="292"/>
      <c r="L191" s="292"/>
      <c r="M191" s="293"/>
      <c r="N191" s="289"/>
      <c r="O191" s="291"/>
      <c r="P191" s="292"/>
      <c r="Q191" s="292"/>
      <c r="R191" s="293"/>
      <c r="S191" s="289"/>
      <c r="T191" s="291"/>
      <c r="U191" s="714"/>
      <c r="V191" s="292"/>
      <c r="W191" s="293"/>
      <c r="X191" s="289"/>
      <c r="Y191" s="291"/>
      <c r="Z191" s="292"/>
      <c r="AA191" s="292"/>
      <c r="AB191" s="293"/>
      <c r="AC191" s="289"/>
      <c r="AD191" s="291"/>
      <c r="AE191" s="292"/>
      <c r="AF191" s="292"/>
      <c r="AG191" s="293"/>
      <c r="AH191" s="289"/>
      <c r="AI191" s="291"/>
      <c r="AJ191" s="292"/>
      <c r="AK191" s="292"/>
      <c r="AL191" s="293"/>
      <c r="AM191" s="289"/>
      <c r="AN191" s="291"/>
      <c r="AO191" s="292"/>
      <c r="AP191" s="292"/>
      <c r="AQ191" s="293"/>
      <c r="AR191" s="289"/>
      <c r="AS191" s="291"/>
      <c r="AT191" s="292"/>
      <c r="AU191" s="292"/>
      <c r="AV191" s="293"/>
      <c r="AW191" s="289"/>
      <c r="AX191" s="291"/>
      <c r="AY191" s="292"/>
      <c r="AZ191" s="292"/>
      <c r="BA191" s="293"/>
      <c r="BB191" s="289"/>
      <c r="BC191" s="291"/>
      <c r="BD191" s="292"/>
      <c r="BE191" s="292"/>
      <c r="BF191" s="293"/>
      <c r="BG191" s="289"/>
      <c r="BH191" s="291"/>
      <c r="BI191" s="292"/>
      <c r="BJ191" s="292"/>
      <c r="BK191" s="293"/>
      <c r="BL191" s="289"/>
      <c r="BM191" s="291"/>
      <c r="BN191" s="292"/>
      <c r="BO191" s="292"/>
      <c r="BP191" s="293"/>
      <c r="BQ191" s="289"/>
      <c r="BR191" s="289"/>
      <c r="BS191" s="289"/>
      <c r="BT191" s="289"/>
      <c r="BU191" s="928"/>
      <c r="BV191" s="951"/>
      <c r="BW191" s="956"/>
      <c r="BX191" s="956"/>
      <c r="BY191" s="615"/>
      <c r="BZ191" s="956"/>
      <c r="CA191" s="956"/>
      <c r="CB191" s="956"/>
      <c r="CC191" s="928"/>
      <c r="CD191" s="928"/>
      <c r="CE191" s="928"/>
      <c r="CF191" s="289"/>
      <c r="CG191" s="289"/>
      <c r="CH191" s="289"/>
      <c r="CI191" s="289"/>
      <c r="CJ191" s="289"/>
      <c r="CK191" s="289"/>
      <c r="CL191" s="289"/>
      <c r="CM191" s="289"/>
      <c r="CN191" s="289"/>
      <c r="CO191" s="289"/>
      <c r="CP191" s="289"/>
      <c r="CQ191" s="289"/>
      <c r="CR191" s="289"/>
      <c r="CS191" s="289"/>
      <c r="CT191" s="289"/>
      <c r="CU191" s="289"/>
      <c r="CV191" s="289"/>
      <c r="CW191" s="289"/>
      <c r="CX191" s="289"/>
      <c r="CY191" s="289"/>
      <c r="CZ191" s="289"/>
    </row>
    <row r="192" spans="1:104" x14ac:dyDescent="0.2">
      <c r="A192" s="220"/>
      <c r="B192" s="220"/>
      <c r="C192" s="70" t="s">
        <v>158</v>
      </c>
      <c r="D192" s="82"/>
      <c r="E192" s="136">
        <f t="shared" ref="E192:P192" si="409">+E218</f>
        <v>0</v>
      </c>
      <c r="F192" s="135">
        <f t="shared" si="409"/>
        <v>0</v>
      </c>
      <c r="G192" s="135">
        <f t="shared" si="409"/>
        <v>0</v>
      </c>
      <c r="H192" s="116">
        <f t="shared" si="409"/>
        <v>295.33999999999997</v>
      </c>
      <c r="I192" s="82">
        <f t="shared" si="409"/>
        <v>295.33999999999997</v>
      </c>
      <c r="J192" s="136">
        <f t="shared" si="409"/>
        <v>0</v>
      </c>
      <c r="K192" s="135">
        <f t="shared" si="409"/>
        <v>0</v>
      </c>
      <c r="L192" s="135">
        <f t="shared" si="409"/>
        <v>493.60899999999998</v>
      </c>
      <c r="M192" s="116">
        <f t="shared" si="409"/>
        <v>-0.21899999999999409</v>
      </c>
      <c r="N192" s="82">
        <f t="shared" si="409"/>
        <v>493.39</v>
      </c>
      <c r="O192" s="136">
        <f t="shared" si="409"/>
        <v>0</v>
      </c>
      <c r="P192" s="135">
        <f t="shared" si="409"/>
        <v>0</v>
      </c>
      <c r="Q192" s="135">
        <f t="shared" ref="Q192:T193" si="410">+Q218</f>
        <v>0</v>
      </c>
      <c r="R192" s="116">
        <f t="shared" si="410"/>
        <v>0</v>
      </c>
      <c r="S192" s="34">
        <f t="shared" si="410"/>
        <v>0</v>
      </c>
      <c r="T192" s="136">
        <f t="shared" si="410"/>
        <v>0</v>
      </c>
      <c r="U192" s="137">
        <f t="shared" ref="U192:Y193" si="411">+U218</f>
        <v>0</v>
      </c>
      <c r="V192" s="135">
        <f t="shared" si="411"/>
        <v>786.85199999999998</v>
      </c>
      <c r="W192" s="116">
        <f t="shared" si="411"/>
        <v>-0.48899999999991905</v>
      </c>
      <c r="X192" s="790">
        <f t="shared" si="411"/>
        <v>786.36300000000006</v>
      </c>
      <c r="Y192" s="136">
        <f t="shared" si="411"/>
        <v>5.1999999999999998E-2</v>
      </c>
      <c r="Z192" s="135">
        <f t="shared" ref="Z192:AD193" si="412">+Z218</f>
        <v>395.09799999999996</v>
      </c>
      <c r="AA192" s="135">
        <f t="shared" si="412"/>
        <v>-0.34399999999999409</v>
      </c>
      <c r="AB192" s="116">
        <f t="shared" si="412"/>
        <v>-1.799999999997226E-2</v>
      </c>
      <c r="AC192" s="790">
        <f t="shared" si="412"/>
        <v>394.78800000000001</v>
      </c>
      <c r="AD192" s="136">
        <f t="shared" si="412"/>
        <v>0</v>
      </c>
      <c r="AE192" s="135">
        <f t="shared" ref="AE192:AI193" si="413">+AE218</f>
        <v>295.53399999999999</v>
      </c>
      <c r="AF192" s="135">
        <f t="shared" si="413"/>
        <v>-0.17799999999999727</v>
      </c>
      <c r="AG192" s="116">
        <f t="shared" si="413"/>
        <v>-1.9000000000005457E-2</v>
      </c>
      <c r="AH192" s="790">
        <f t="shared" si="413"/>
        <v>295.33699999999999</v>
      </c>
      <c r="AI192" s="136">
        <f t="shared" si="413"/>
        <v>0</v>
      </c>
      <c r="AJ192" s="135">
        <f t="shared" ref="AJ192:AN193" si="414">+AJ218</f>
        <v>-4.5999999999999999E-2</v>
      </c>
      <c r="AK192" s="135">
        <f t="shared" si="414"/>
        <v>588.04900000000009</v>
      </c>
      <c r="AL192" s="116">
        <f t="shared" si="414"/>
        <v>-0.45800000000008367</v>
      </c>
      <c r="AM192" s="790">
        <f t="shared" si="414"/>
        <v>587.54499999999996</v>
      </c>
      <c r="AN192" s="136">
        <f t="shared" si="414"/>
        <v>0</v>
      </c>
      <c r="AO192" s="135">
        <f t="shared" ref="AO192:AS193" si="415">+AO218</f>
        <v>343.10300000000001</v>
      </c>
      <c r="AP192" s="135">
        <f t="shared" si="415"/>
        <v>-0.53300000000001546</v>
      </c>
      <c r="AQ192" s="116">
        <f t="shared" si="415"/>
        <v>-6.7000000000007276E-2</v>
      </c>
      <c r="AR192" s="790">
        <f t="shared" si="415"/>
        <v>342.50299999999999</v>
      </c>
      <c r="AS192" s="136">
        <f t="shared" si="415"/>
        <v>0</v>
      </c>
      <c r="AT192" s="135">
        <f t="shared" ref="AT192:AW192" si="416">+AT218</f>
        <v>0</v>
      </c>
      <c r="AU192" s="135">
        <f t="shared" si="416"/>
        <v>586.26400000000001</v>
      </c>
      <c r="AV192" s="116">
        <f t="shared" si="416"/>
        <v>-1.0159999999999627</v>
      </c>
      <c r="AW192" s="790">
        <f t="shared" si="416"/>
        <v>585.24800000000005</v>
      </c>
      <c r="AX192" s="136">
        <f>Debt!AV75</f>
        <v>300</v>
      </c>
      <c r="AY192" s="135">
        <f>Debt!AW75</f>
        <v>0</v>
      </c>
      <c r="AZ192" s="135">
        <f>Debt!AX75</f>
        <v>0</v>
      </c>
      <c r="BA192" s="116">
        <f>Debt!AY75</f>
        <v>0</v>
      </c>
      <c r="BB192" s="34">
        <v>300</v>
      </c>
      <c r="BC192" s="136">
        <f>Debt!BA75</f>
        <v>0</v>
      </c>
      <c r="BD192" s="135">
        <f>Debt!BB75</f>
        <v>0</v>
      </c>
      <c r="BE192" s="135">
        <f>Debt!BC75</f>
        <v>200</v>
      </c>
      <c r="BF192" s="116">
        <f>Debt!BD75</f>
        <v>0</v>
      </c>
      <c r="BG192" s="34">
        <v>200</v>
      </c>
      <c r="BH192" s="136">
        <f>Debt!BF75</f>
        <v>0</v>
      </c>
      <c r="BI192" s="135">
        <f>Debt!BG75</f>
        <v>0</v>
      </c>
      <c r="BJ192" s="135">
        <f>Debt!BH75</f>
        <v>550</v>
      </c>
      <c r="BK192" s="116">
        <f>Debt!BI75</f>
        <v>0</v>
      </c>
      <c r="BL192" s="34">
        <v>550</v>
      </c>
      <c r="BM192" s="136">
        <f>Debt!BK75</f>
        <v>0</v>
      </c>
      <c r="BN192" s="135">
        <f>Debt!BL75</f>
        <v>0</v>
      </c>
      <c r="BO192" s="135">
        <f>Debt!BM75</f>
        <v>550</v>
      </c>
      <c r="BP192" s="116">
        <f>Debt!BN75</f>
        <v>0</v>
      </c>
      <c r="BQ192" s="34">
        <v>550</v>
      </c>
      <c r="BR192" s="220"/>
      <c r="BS192" s="220"/>
      <c r="BT192" s="220"/>
      <c r="BU192" s="615"/>
      <c r="BV192" s="949"/>
      <c r="BW192" s="956"/>
      <c r="BX192" s="956"/>
      <c r="BY192" s="615"/>
      <c r="BZ192" s="956"/>
      <c r="CA192" s="615"/>
      <c r="CB192" s="956"/>
      <c r="CC192" s="615"/>
      <c r="CD192" s="615"/>
      <c r="CE192" s="615"/>
      <c r="CF192" s="220"/>
      <c r="CG192" s="220"/>
      <c r="CH192" s="220"/>
      <c r="CI192" s="220"/>
      <c r="CJ192" s="220"/>
      <c r="CK192" s="220"/>
      <c r="CL192" s="220"/>
      <c r="CM192" s="220"/>
      <c r="CN192" s="220"/>
      <c r="CO192" s="220"/>
      <c r="CP192" s="220"/>
      <c r="CQ192" s="220"/>
      <c r="CR192" s="220"/>
      <c r="CS192" s="220"/>
      <c r="CT192" s="220"/>
      <c r="CU192" s="220"/>
      <c r="CV192" s="220"/>
      <c r="CW192" s="220"/>
      <c r="CX192" s="220"/>
      <c r="CY192" s="220"/>
      <c r="CZ192" s="220"/>
    </row>
    <row r="193" spans="1:134" x14ac:dyDescent="0.2">
      <c r="A193" s="220"/>
      <c r="B193" s="220"/>
      <c r="C193" s="70" t="s">
        <v>159</v>
      </c>
      <c r="D193" s="82"/>
      <c r="E193" s="136">
        <f t="shared" ref="E193:P193" si="417">+E219</f>
        <v>-3.0000000000000001E-3</v>
      </c>
      <c r="F193" s="135">
        <f t="shared" si="417"/>
        <v>-3.1000000000000003E-2</v>
      </c>
      <c r="G193" s="135">
        <f t="shared" si="417"/>
        <v>-249.99</v>
      </c>
      <c r="H193" s="116">
        <f t="shared" si="417"/>
        <v>-1.6999999999995907E-2</v>
      </c>
      <c r="I193" s="82">
        <f t="shared" si="417"/>
        <v>-250.041</v>
      </c>
      <c r="J193" s="136">
        <f t="shared" si="417"/>
        <v>-8.5000000000000006E-2</v>
      </c>
      <c r="K193" s="135">
        <f t="shared" si="417"/>
        <v>-5.9999999999999915E-3</v>
      </c>
      <c r="L193" s="135">
        <f t="shared" si="417"/>
        <v>-174.93799999999999</v>
      </c>
      <c r="M193" s="116">
        <f t="shared" si="417"/>
        <v>-4.9999999999954525E-3</v>
      </c>
      <c r="N193" s="82">
        <f t="shared" si="417"/>
        <v>-175.03399999999999</v>
      </c>
      <c r="O193" s="136">
        <f t="shared" si="417"/>
        <v>-0.03</v>
      </c>
      <c r="P193" s="135">
        <f t="shared" si="417"/>
        <v>0</v>
      </c>
      <c r="Q193" s="135">
        <f t="shared" si="410"/>
        <v>0</v>
      </c>
      <c r="R193" s="116">
        <f t="shared" si="410"/>
        <v>-4.0000000000000036E-3</v>
      </c>
      <c r="S193" s="82">
        <f t="shared" si="410"/>
        <v>-3.4000000000000002E-2</v>
      </c>
      <c r="T193" s="136">
        <f>+T219</f>
        <v>0</v>
      </c>
      <c r="U193" s="137">
        <f t="shared" si="411"/>
        <v>0</v>
      </c>
      <c r="V193" s="135">
        <f t="shared" si="411"/>
        <v>-648.86900000000003</v>
      </c>
      <c r="W193" s="116">
        <f t="shared" si="411"/>
        <v>-4.9999999999954525E-3</v>
      </c>
      <c r="X193" s="82">
        <f t="shared" si="411"/>
        <v>-648.87400000000002</v>
      </c>
      <c r="Y193" s="136">
        <f t="shared" si="411"/>
        <v>0</v>
      </c>
      <c r="Z193" s="135">
        <f t="shared" si="412"/>
        <v>0</v>
      </c>
      <c r="AA193" s="135">
        <f t="shared" si="412"/>
        <v>0</v>
      </c>
      <c r="AB193" s="116">
        <f t="shared" si="412"/>
        <v>0</v>
      </c>
      <c r="AC193" s="82">
        <f t="shared" si="412"/>
        <v>0</v>
      </c>
      <c r="AD193" s="136">
        <f t="shared" si="412"/>
        <v>0</v>
      </c>
      <c r="AE193" s="135">
        <f t="shared" si="413"/>
        <v>0</v>
      </c>
      <c r="AF193" s="135">
        <f t="shared" si="413"/>
        <v>0</v>
      </c>
      <c r="AG193" s="116">
        <f t="shared" si="413"/>
        <v>0</v>
      </c>
      <c r="AH193" s="82">
        <f t="shared" si="413"/>
        <v>0</v>
      </c>
      <c r="AI193" s="136">
        <f t="shared" si="413"/>
        <v>-3.3000000000000002E-2</v>
      </c>
      <c r="AJ193" s="135">
        <f t="shared" si="414"/>
        <v>3.3000000000000002E-2</v>
      </c>
      <c r="AK193" s="135">
        <f t="shared" si="414"/>
        <v>-250.01300000000001</v>
      </c>
      <c r="AL193" s="116">
        <f t="shared" si="414"/>
        <v>0</v>
      </c>
      <c r="AM193" s="82">
        <f t="shared" si="414"/>
        <v>-250.01300000000001</v>
      </c>
      <c r="AN193" s="136">
        <f t="shared" si="414"/>
        <v>0</v>
      </c>
      <c r="AO193" s="135">
        <f t="shared" si="415"/>
        <v>0</v>
      </c>
      <c r="AP193" s="135">
        <f t="shared" si="415"/>
        <v>-1.0999999999999999E-2</v>
      </c>
      <c r="AQ193" s="116">
        <f t="shared" si="415"/>
        <v>0</v>
      </c>
      <c r="AR193" s="82">
        <f t="shared" si="415"/>
        <v>-1.0999999999999999E-2</v>
      </c>
      <c r="AS193" s="136">
        <f t="shared" si="415"/>
        <v>-0.01</v>
      </c>
      <c r="AT193" s="135">
        <f t="shared" ref="AT193:AW193" si="418">+AT219</f>
        <v>0.01</v>
      </c>
      <c r="AU193" s="135">
        <f t="shared" si="418"/>
        <v>-507.86500000000001</v>
      </c>
      <c r="AV193" s="116">
        <f t="shared" si="418"/>
        <v>0</v>
      </c>
      <c r="AW193" s="82">
        <f t="shared" si="418"/>
        <v>-507.86500000000001</v>
      </c>
      <c r="AX193" s="136">
        <f>Debt!AV66</f>
        <v>0</v>
      </c>
      <c r="AY193" s="135">
        <f>Debt!AW66</f>
        <v>0</v>
      </c>
      <c r="AZ193" s="135">
        <f>Debt!AX66</f>
        <v>0</v>
      </c>
      <c r="BA193" s="116">
        <f>Debt!AY66</f>
        <v>0</v>
      </c>
      <c r="BB193" s="82">
        <f>Debt!AZ66</f>
        <v>0</v>
      </c>
      <c r="BC193" s="136">
        <f>Debt!BA66</f>
        <v>0</v>
      </c>
      <c r="BD193" s="135">
        <f>Debt!BB66</f>
        <v>0</v>
      </c>
      <c r="BE193" s="135">
        <f>Debt!BC66</f>
        <v>0</v>
      </c>
      <c r="BF193" s="116">
        <f>Debt!BD66</f>
        <v>0</v>
      </c>
      <c r="BG193" s="82">
        <f>Debt!BE66</f>
        <v>0</v>
      </c>
      <c r="BH193" s="136">
        <f>Debt!BF66</f>
        <v>0</v>
      </c>
      <c r="BI193" s="135">
        <f>Debt!BG66</f>
        <v>0</v>
      </c>
      <c r="BJ193" s="135">
        <f>Debt!BH66</f>
        <v>-300</v>
      </c>
      <c r="BK193" s="116">
        <f>Debt!BI66</f>
        <v>0</v>
      </c>
      <c r="BL193" s="82">
        <f>Debt!BJ66</f>
        <v>-300</v>
      </c>
      <c r="BM193" s="136">
        <f>Debt!BK66</f>
        <v>0</v>
      </c>
      <c r="BN193" s="135">
        <f>Debt!BL66</f>
        <v>0</v>
      </c>
      <c r="BO193" s="135">
        <f>Debt!BM66</f>
        <v>0</v>
      </c>
      <c r="BP193" s="116">
        <f>Debt!BN66</f>
        <v>0</v>
      </c>
      <c r="BQ193" s="82">
        <f>Debt!BO66</f>
        <v>0</v>
      </c>
      <c r="BR193" s="220"/>
      <c r="BS193" s="220"/>
      <c r="BT193" s="220"/>
      <c r="BU193" s="615"/>
      <c r="BV193" s="952"/>
      <c r="BW193" s="956"/>
      <c r="BX193" s="956"/>
      <c r="BY193" s="615"/>
      <c r="BZ193" s="956"/>
      <c r="CA193" s="956"/>
      <c r="CB193" s="956"/>
      <c r="CC193" s="615"/>
      <c r="CD193" s="615"/>
      <c r="CE193" s="615"/>
      <c r="CF193" s="220"/>
      <c r="CG193" s="220"/>
      <c r="CH193" s="220"/>
      <c r="CI193" s="220"/>
      <c r="CJ193" s="220"/>
      <c r="CK193" s="220"/>
      <c r="CL193" s="220"/>
      <c r="CM193" s="220"/>
      <c r="CN193" s="220"/>
      <c r="CO193" s="220"/>
      <c r="CP193" s="220"/>
      <c r="CQ193" s="220"/>
      <c r="CR193" s="220"/>
      <c r="CS193" s="220"/>
      <c r="CT193" s="220"/>
      <c r="CU193" s="220"/>
      <c r="CV193" s="220"/>
      <c r="CW193" s="220"/>
      <c r="CX193" s="220"/>
      <c r="CY193" s="220"/>
      <c r="CZ193" s="220"/>
    </row>
    <row r="194" spans="1:134" x14ac:dyDescent="0.2">
      <c r="A194" s="289"/>
      <c r="B194" s="289"/>
      <c r="C194" s="70"/>
      <c r="D194" s="289"/>
      <c r="E194" s="291"/>
      <c r="F194" s="292"/>
      <c r="G194" s="292"/>
      <c r="H194" s="293"/>
      <c r="I194" s="289"/>
      <c r="J194" s="291"/>
      <c r="K194" s="292"/>
      <c r="L194" s="292"/>
      <c r="M194" s="293"/>
      <c r="N194" s="289"/>
      <c r="O194" s="291"/>
      <c r="P194" s="292"/>
      <c r="Q194" s="135"/>
      <c r="R194" s="116"/>
      <c r="S194" s="82"/>
      <c r="T194" s="136"/>
      <c r="U194" s="137"/>
      <c r="V194" s="135"/>
      <c r="W194" s="116"/>
      <c r="X194" s="82"/>
      <c r="Y194" s="136"/>
      <c r="Z194" s="137"/>
      <c r="AA194" s="135"/>
      <c r="AB194" s="116"/>
      <c r="AC194" s="82"/>
      <c r="AD194" s="136"/>
      <c r="AE194" s="137"/>
      <c r="AF194" s="135"/>
      <c r="AG194" s="116"/>
      <c r="AH194" s="82"/>
      <c r="AI194" s="136"/>
      <c r="AJ194" s="137"/>
      <c r="AK194" s="135"/>
      <c r="AL194" s="116"/>
      <c r="AM194" s="82"/>
      <c r="AN194" s="136"/>
      <c r="AO194" s="137"/>
      <c r="AP194" s="135"/>
      <c r="AQ194" s="116"/>
      <c r="AR194" s="82"/>
      <c r="AS194" s="136"/>
      <c r="AT194" s="137"/>
      <c r="AU194" s="137"/>
      <c r="AV194" s="116"/>
      <c r="AW194" s="82"/>
      <c r="AX194" s="136"/>
      <c r="AY194" s="137"/>
      <c r="AZ194" s="137"/>
      <c r="BA194" s="116"/>
      <c r="BB194" s="82"/>
      <c r="BC194" s="136"/>
      <c r="BD194" s="137"/>
      <c r="BE194" s="137"/>
      <c r="BF194" s="116"/>
      <c r="BG194" s="82"/>
      <c r="BH194" s="136"/>
      <c r="BI194" s="137"/>
      <c r="BJ194" s="137"/>
      <c r="BK194" s="116"/>
      <c r="BL194" s="82"/>
      <c r="BM194" s="136"/>
      <c r="BN194" s="137"/>
      <c r="BO194" s="137"/>
      <c r="BP194" s="116"/>
      <c r="BQ194" s="82"/>
      <c r="BR194" s="289"/>
      <c r="BS194" s="289"/>
      <c r="BT194" s="289"/>
      <c r="BU194" s="931"/>
      <c r="BV194" s="950"/>
      <c r="BW194" s="615"/>
      <c r="BX194" s="615"/>
      <c r="BY194" s="615"/>
      <c r="BZ194" s="615"/>
      <c r="CA194" s="615"/>
      <c r="CB194" s="956"/>
      <c r="CC194" s="928"/>
      <c r="CD194" s="928"/>
      <c r="CE194" s="928"/>
      <c r="CF194" s="289"/>
      <c r="CG194" s="289"/>
      <c r="CH194" s="289"/>
      <c r="CI194" s="289"/>
      <c r="CJ194" s="289"/>
      <c r="CK194" s="289"/>
      <c r="CL194" s="289"/>
      <c r="CM194" s="289"/>
      <c r="CN194" s="289"/>
      <c r="CO194" s="289"/>
      <c r="CP194" s="289"/>
      <c r="CQ194" s="289"/>
      <c r="CR194" s="289"/>
      <c r="CS194" s="289"/>
      <c r="CT194" s="289"/>
      <c r="CU194" s="289"/>
      <c r="CV194" s="289"/>
      <c r="CW194" s="289"/>
      <c r="CX194" s="289"/>
      <c r="CY194" s="289"/>
      <c r="CZ194" s="289"/>
    </row>
    <row r="195" spans="1:134" x14ac:dyDescent="0.2">
      <c r="A195" s="289"/>
      <c r="B195" s="289"/>
      <c r="C195" s="141" t="s">
        <v>132</v>
      </c>
      <c r="D195" s="289"/>
      <c r="E195" s="291"/>
      <c r="F195" s="292"/>
      <c r="G195" s="292"/>
      <c r="H195" s="293"/>
      <c r="I195" s="289"/>
      <c r="J195" s="291"/>
      <c r="K195" s="292"/>
      <c r="L195" s="292"/>
      <c r="M195" s="293"/>
      <c r="N195" s="289"/>
      <c r="O195" s="291"/>
      <c r="P195" s="292"/>
      <c r="Q195" s="135"/>
      <c r="R195" s="116"/>
      <c r="S195" s="82"/>
      <c r="T195" s="136"/>
      <c r="U195" s="137"/>
      <c r="V195" s="135"/>
      <c r="W195" s="116"/>
      <c r="X195" s="82"/>
      <c r="Y195" s="136"/>
      <c r="Z195" s="135"/>
      <c r="AA195" s="135"/>
      <c r="AB195" s="116"/>
      <c r="AC195" s="82"/>
      <c r="AD195" s="136"/>
      <c r="AE195" s="135"/>
      <c r="AF195" s="135"/>
      <c r="AG195" s="116"/>
      <c r="AH195" s="82"/>
      <c r="AI195" s="136"/>
      <c r="AJ195" s="135"/>
      <c r="AK195" s="135"/>
      <c r="AL195" s="116"/>
      <c r="AM195" s="82"/>
      <c r="AN195" s="136"/>
      <c r="AO195" s="135"/>
      <c r="AP195" s="135"/>
      <c r="AQ195" s="116"/>
      <c r="AR195" s="82"/>
      <c r="AS195" s="136"/>
      <c r="AT195" s="135"/>
      <c r="AU195" s="135"/>
      <c r="AV195" s="116"/>
      <c r="AW195" s="82"/>
      <c r="AX195" s="136"/>
      <c r="AY195" s="135"/>
      <c r="AZ195" s="135"/>
      <c r="BA195" s="116"/>
      <c r="BB195" s="82"/>
      <c r="BC195" s="136"/>
      <c r="BD195" s="135"/>
      <c r="BE195" s="135"/>
      <c r="BF195" s="116"/>
      <c r="BG195" s="82"/>
      <c r="BH195" s="136"/>
      <c r="BI195" s="135"/>
      <c r="BJ195" s="135"/>
      <c r="BK195" s="116"/>
      <c r="BL195" s="82"/>
      <c r="BM195" s="136"/>
      <c r="BN195" s="135"/>
      <c r="BO195" s="135"/>
      <c r="BP195" s="116"/>
      <c r="BQ195" s="82"/>
      <c r="BR195" s="289"/>
      <c r="BS195" s="289"/>
      <c r="BT195" s="289"/>
      <c r="BU195" s="928"/>
      <c r="BV195" s="949"/>
      <c r="BW195" s="956"/>
      <c r="BX195" s="956"/>
      <c r="BY195" s="956"/>
      <c r="BZ195" s="956"/>
      <c r="CA195" s="956"/>
      <c r="CB195" s="956"/>
      <c r="CC195" s="928"/>
      <c r="CD195" s="928"/>
      <c r="CE195" s="928"/>
      <c r="CF195" s="289"/>
      <c r="CG195" s="289"/>
      <c r="CH195" s="289"/>
      <c r="CI195" s="289"/>
      <c r="CJ195" s="289"/>
      <c r="CK195" s="289"/>
      <c r="CL195" s="289"/>
      <c r="CM195" s="289"/>
      <c r="CN195" s="289"/>
      <c r="CO195" s="289"/>
      <c r="CP195" s="289"/>
      <c r="CQ195" s="289"/>
      <c r="CR195" s="289"/>
      <c r="CS195" s="289"/>
      <c r="CT195" s="289"/>
      <c r="CU195" s="289"/>
      <c r="CV195" s="289"/>
      <c r="CW195" s="289"/>
      <c r="CX195" s="289"/>
      <c r="CY195" s="289"/>
      <c r="CZ195" s="289"/>
    </row>
    <row r="196" spans="1:134" x14ac:dyDescent="0.2">
      <c r="A196" s="220"/>
      <c r="B196" s="220"/>
      <c r="C196" s="70" t="s">
        <v>160</v>
      </c>
      <c r="D196" s="82"/>
      <c r="E196" s="136"/>
      <c r="F196" s="137"/>
      <c r="G196" s="137"/>
      <c r="H196" s="116"/>
      <c r="I196" s="82"/>
      <c r="J196" s="136"/>
      <c r="K196" s="137"/>
      <c r="L196" s="137"/>
      <c r="M196" s="116"/>
      <c r="N196" s="82"/>
      <c r="O196" s="136"/>
      <c r="P196" s="135"/>
      <c r="Q196" s="135"/>
      <c r="R196" s="116"/>
      <c r="S196" s="82"/>
      <c r="T196" s="136"/>
      <c r="U196" s="137"/>
      <c r="V196" s="135"/>
      <c r="W196" s="116"/>
      <c r="X196" s="82"/>
      <c r="Y196" s="136"/>
      <c r="Z196" s="135"/>
      <c r="AA196" s="135"/>
      <c r="AB196" s="116"/>
      <c r="AC196" s="82"/>
      <c r="AD196" s="136"/>
      <c r="AE196" s="135"/>
      <c r="AF196" s="135"/>
      <c r="AG196" s="116"/>
      <c r="AH196" s="82"/>
      <c r="AI196" s="136"/>
      <c r="AJ196" s="135"/>
      <c r="AK196" s="135"/>
      <c r="AL196" s="116"/>
      <c r="AM196" s="82"/>
      <c r="AN196" s="136"/>
      <c r="AO196" s="135"/>
      <c r="AP196" s="135"/>
      <c r="AQ196" s="116"/>
      <c r="AR196" s="82"/>
      <c r="AS196" s="136"/>
      <c r="AT196" s="135"/>
      <c r="AU196" s="135"/>
      <c r="AV196" s="116"/>
      <c r="AW196" s="82"/>
      <c r="AX196" s="136">
        <f t="shared" ref="AX196:BA196" si="419">(((AW234-AS234)*AX201)/4)-((AW232-AS232)*(AX201-1%)/4)</f>
        <v>0.30249500000000001</v>
      </c>
      <c r="AY196" s="135">
        <f t="shared" si="419"/>
        <v>-0.72132766805162851</v>
      </c>
      <c r="AZ196" s="135">
        <f t="shared" si="419"/>
        <v>-2.4816261139549826E-2</v>
      </c>
      <c r="BA196" s="116">
        <f t="shared" si="419"/>
        <v>-0.64036310977984234</v>
      </c>
      <c r="BB196" s="82">
        <f>SUM(AX196:BA196)</f>
        <v>-1.0840120389710206</v>
      </c>
      <c r="BC196" s="136">
        <f>(((BB234-AX234)*BC201)/4)-((BB232-AX232)*(BC201-1%)/4)</f>
        <v>0.36509370904033445</v>
      </c>
      <c r="BD196" s="135">
        <f>(((BC234-AY234)*BD201)/4)-((BC232-AY232)*(BD201-1%)/4)</f>
        <v>0.75053921448877858</v>
      </c>
      <c r="BE196" s="135">
        <f>(((BD234-AZ234)*BE201)/4)-((BD232-AZ232)*(BE201-1%)/4)</f>
        <v>1.6142683024832991</v>
      </c>
      <c r="BF196" s="116">
        <f>(((BE234-BA234)*BF201)/4)-((BE232-BA232)*(BF201-1%)/4)</f>
        <v>0.36741458199345289</v>
      </c>
      <c r="BG196" s="82">
        <f>SUM(BC196:BF196)</f>
        <v>3.0973158080058649</v>
      </c>
      <c r="BH196" s="136">
        <f>(((BG234-BC234)*BH201)/4)-((BG232-BC232)*(BH201-1%)/4)</f>
        <v>0.37455905711207549</v>
      </c>
      <c r="BI196" s="135">
        <f>(((BH234-BD234)*BI201)/4)-((BH232-BD232)*(BI201-1%)/4)</f>
        <v>0.15220048482920362</v>
      </c>
      <c r="BJ196" s="135">
        <f>(((BI234-BE234)*BJ201)/4)-((BI232-BE232)*(BJ201-1%)/4)</f>
        <v>1.7895489084928542</v>
      </c>
      <c r="BK196" s="116">
        <f>(((BJ234-BF234)*BK201)/4)-((BJ232-BF232)*(BK201-1%)/4)</f>
        <v>-0.3165910494499124</v>
      </c>
      <c r="BL196" s="82">
        <f>SUM(BH196:BK196)</f>
        <v>1.9997174009842209</v>
      </c>
      <c r="BM196" s="136">
        <f>(((BL234-BH234)*BM201)/4)-((BL232-BH232)*(BM201-1%)/4)</f>
        <v>-0.31482061536163258</v>
      </c>
      <c r="BN196" s="135">
        <f>(((BM234-BI234)*BN201)/4)-((BM232-BI232)*(BN201-1%)/4)</f>
        <v>-0.29548662314612784</v>
      </c>
      <c r="BO196" s="135">
        <f>(((BN234-BJ234)*BO201)/4)-((BN232-BJ232)*(BO201-1%)/4)</f>
        <v>1.8445360407036993</v>
      </c>
      <c r="BP196" s="116">
        <f>(((BO234-BK234)*BP201)/4)-((BO232-BK232)*(BP201-1%)/4)</f>
        <v>-1.3924855691947096</v>
      </c>
      <c r="BQ196" s="82">
        <f>SUM(BM196:BP196)</f>
        <v>-0.15825676699877067</v>
      </c>
      <c r="BR196" s="220"/>
      <c r="BS196" s="220"/>
      <c r="BT196" s="220"/>
      <c r="BU196" s="928"/>
      <c r="BV196" s="951"/>
      <c r="BW196" s="956"/>
      <c r="BX196" s="956"/>
      <c r="BY196" s="615"/>
      <c r="BZ196" s="956"/>
      <c r="CA196" s="956"/>
      <c r="CB196" s="956"/>
      <c r="CC196" s="615"/>
      <c r="CD196" s="615"/>
      <c r="CE196" s="615"/>
      <c r="CF196" s="220"/>
      <c r="CG196" s="220"/>
      <c r="CH196" s="220"/>
      <c r="CI196" s="220"/>
      <c r="CJ196" s="220"/>
      <c r="CK196" s="220"/>
      <c r="CL196" s="220"/>
      <c r="CM196" s="220"/>
      <c r="CN196" s="220"/>
      <c r="CO196" s="220"/>
      <c r="CP196" s="220"/>
      <c r="CQ196" s="220"/>
      <c r="CR196" s="220"/>
      <c r="CS196" s="220"/>
      <c r="CT196" s="220"/>
      <c r="CU196" s="220"/>
      <c r="CV196" s="220"/>
      <c r="CW196" s="220"/>
      <c r="CX196" s="220"/>
      <c r="CY196" s="220"/>
      <c r="CZ196" s="220"/>
    </row>
    <row r="197" spans="1:134" x14ac:dyDescent="0.2">
      <c r="A197" s="220"/>
      <c r="B197" s="220"/>
      <c r="C197" s="70"/>
      <c r="D197" s="82"/>
      <c r="E197" s="136"/>
      <c r="F197" s="137"/>
      <c r="G197" s="137"/>
      <c r="H197" s="116"/>
      <c r="I197" s="82"/>
      <c r="J197" s="136"/>
      <c r="K197" s="137"/>
      <c r="L197" s="137"/>
      <c r="M197" s="116"/>
      <c r="N197" s="82"/>
      <c r="O197" s="136"/>
      <c r="P197" s="137"/>
      <c r="Q197" s="137"/>
      <c r="R197" s="116"/>
      <c r="S197" s="82"/>
      <c r="T197" s="136"/>
      <c r="U197" s="137"/>
      <c r="V197" s="137"/>
      <c r="W197" s="116"/>
      <c r="X197" s="82"/>
      <c r="Y197" s="136"/>
      <c r="Z197" s="137"/>
      <c r="AA197" s="137"/>
      <c r="AB197" s="116"/>
      <c r="AC197" s="82"/>
      <c r="AD197" s="136"/>
      <c r="AE197" s="137"/>
      <c r="AF197" s="137"/>
      <c r="AG197" s="116"/>
      <c r="AH197" s="82"/>
      <c r="AI197" s="136"/>
      <c r="AJ197" s="137"/>
      <c r="AK197" s="137"/>
      <c r="AL197" s="116"/>
      <c r="AM197" s="220"/>
      <c r="AN197" s="136"/>
      <c r="AO197" s="137"/>
      <c r="AP197" s="137"/>
      <c r="AQ197" s="116"/>
      <c r="AR197" s="220"/>
      <c r="AS197" s="136"/>
      <c r="AT197" s="137"/>
      <c r="AU197" s="137"/>
      <c r="AV197" s="116"/>
      <c r="AW197" s="220"/>
      <c r="AX197" s="136"/>
      <c r="AY197" s="137"/>
      <c r="AZ197" s="137"/>
      <c r="BA197" s="116"/>
      <c r="BB197" s="220"/>
      <c r="BC197" s="136"/>
      <c r="BD197" s="137"/>
      <c r="BE197" s="137"/>
      <c r="BF197" s="116"/>
      <c r="BG197" s="220"/>
      <c r="BH197" s="136"/>
      <c r="BI197" s="137"/>
      <c r="BJ197" s="137"/>
      <c r="BK197" s="116"/>
      <c r="BL197" s="220"/>
      <c r="BM197" s="136"/>
      <c r="BN197" s="137"/>
      <c r="BO197" s="137"/>
      <c r="BP197" s="116"/>
      <c r="BQ197" s="220"/>
      <c r="BR197" s="220"/>
      <c r="BS197" s="220"/>
      <c r="BT197" s="220"/>
      <c r="BU197" s="615"/>
      <c r="BV197" s="949"/>
      <c r="BW197" s="956"/>
      <c r="BX197" s="956"/>
      <c r="BY197" s="615"/>
      <c r="BZ197" s="956"/>
      <c r="CA197" s="615"/>
      <c r="CB197" s="956"/>
      <c r="CC197" s="615"/>
      <c r="CD197" s="615"/>
      <c r="CE197" s="615"/>
      <c r="CF197" s="220"/>
      <c r="CG197" s="220"/>
      <c r="CH197" s="220"/>
      <c r="CI197" s="220"/>
      <c r="CJ197" s="220"/>
      <c r="CK197" s="220"/>
      <c r="CL197" s="220"/>
      <c r="CM197" s="220"/>
      <c r="CN197" s="220"/>
      <c r="CO197" s="220"/>
      <c r="CP197" s="220"/>
      <c r="CQ197" s="220"/>
      <c r="CR197" s="220"/>
      <c r="CS197" s="220"/>
      <c r="CT197" s="220"/>
      <c r="CU197" s="220"/>
      <c r="CV197" s="220"/>
      <c r="CW197" s="220"/>
      <c r="CX197" s="220"/>
      <c r="CY197" s="220"/>
      <c r="CZ197" s="220"/>
    </row>
    <row r="198" spans="1:134" x14ac:dyDescent="0.2">
      <c r="A198" s="220"/>
      <c r="B198" s="220"/>
      <c r="C198" s="70" t="s">
        <v>161</v>
      </c>
      <c r="D198" s="82"/>
      <c r="E198" s="136"/>
      <c r="F198" s="137"/>
      <c r="G198" s="137"/>
      <c r="H198" s="116"/>
      <c r="I198" s="82"/>
      <c r="J198" s="136"/>
      <c r="K198" s="137"/>
      <c r="L198" s="137"/>
      <c r="M198" s="116"/>
      <c r="N198" s="82"/>
      <c r="O198" s="136"/>
      <c r="P198" s="135"/>
      <c r="Q198" s="135"/>
      <c r="R198" s="116"/>
      <c r="S198" s="82"/>
      <c r="T198" s="136"/>
      <c r="U198" s="137"/>
      <c r="V198" s="135"/>
      <c r="W198" s="116"/>
      <c r="X198" s="82"/>
      <c r="Y198" s="136"/>
      <c r="Z198" s="135"/>
      <c r="AA198" s="135"/>
      <c r="AB198" s="116"/>
      <c r="AC198" s="82"/>
      <c r="AD198" s="136"/>
      <c r="AE198" s="135"/>
      <c r="AF198" s="135"/>
      <c r="AG198" s="116"/>
      <c r="AH198" s="82"/>
      <c r="AI198" s="136"/>
      <c r="AJ198" s="135"/>
      <c r="AK198" s="135"/>
      <c r="AL198" s="116"/>
      <c r="AM198" s="82"/>
      <c r="AN198" s="136"/>
      <c r="AO198" s="135"/>
      <c r="AP198" s="135"/>
      <c r="AQ198" s="116"/>
      <c r="AR198" s="82"/>
      <c r="AS198" s="136"/>
      <c r="AT198" s="135"/>
      <c r="AU198" s="135"/>
      <c r="AV198" s="116"/>
      <c r="AW198" s="82"/>
      <c r="AX198" s="136">
        <f>Debt!DA75</f>
        <v>8.3999999999999986</v>
      </c>
      <c r="AY198" s="135">
        <f>Debt!DB75</f>
        <v>8.3999999999999986</v>
      </c>
      <c r="AZ198" s="135">
        <f>Debt!DC75</f>
        <v>6.6</v>
      </c>
      <c r="BA198" s="116">
        <f>Debt!DD75</f>
        <v>3</v>
      </c>
      <c r="BB198" s="82">
        <f>Debt!DE75</f>
        <v>26.4</v>
      </c>
      <c r="BC198" s="136">
        <f>Debt!DF75</f>
        <v>0</v>
      </c>
      <c r="BD198" s="135">
        <f>Debt!DG75</f>
        <v>0</v>
      </c>
      <c r="BE198" s="135">
        <f>Debt!DH75</f>
        <v>2.25</v>
      </c>
      <c r="BF198" s="116">
        <f>Debt!DI75</f>
        <v>2.25</v>
      </c>
      <c r="BG198" s="82">
        <f>Debt!DJ75</f>
        <v>4.5</v>
      </c>
      <c r="BH198" s="136">
        <f>Debt!DK75</f>
        <v>2.25</v>
      </c>
      <c r="BI198" s="135">
        <f>Debt!DL75</f>
        <v>2.25</v>
      </c>
      <c r="BJ198" s="135">
        <f>Debt!DM75</f>
        <v>6.1875</v>
      </c>
      <c r="BK198" s="116">
        <f>Debt!DN75</f>
        <v>6.1875</v>
      </c>
      <c r="BL198" s="82">
        <f>Debt!DO75</f>
        <v>16.875</v>
      </c>
      <c r="BM198" s="136">
        <f>Debt!DP75</f>
        <v>6.1875</v>
      </c>
      <c r="BN198" s="135">
        <f>Debt!DQ75</f>
        <v>6.1875</v>
      </c>
      <c r="BO198" s="135">
        <f>Debt!DR75</f>
        <v>6.1875</v>
      </c>
      <c r="BP198" s="116">
        <f>Debt!DS75</f>
        <v>6.1875</v>
      </c>
      <c r="BQ198" s="82">
        <f>Debt!DT75</f>
        <v>24.75</v>
      </c>
      <c r="BR198" s="220"/>
      <c r="BS198" s="220"/>
      <c r="BT198" s="220"/>
      <c r="BU198" s="615"/>
      <c r="BV198" s="952"/>
      <c r="BW198" s="956"/>
      <c r="BX198" s="956"/>
      <c r="BY198" s="615"/>
      <c r="BZ198" s="956"/>
      <c r="CA198" s="956"/>
      <c r="CB198" s="956"/>
      <c r="CC198" s="615"/>
      <c r="CD198" s="615"/>
      <c r="CE198" s="615"/>
      <c r="CF198" s="220"/>
      <c r="CG198" s="220"/>
      <c r="CH198" s="220"/>
      <c r="CI198" s="220"/>
      <c r="CJ198" s="220"/>
      <c r="CK198" s="220"/>
      <c r="CL198" s="220"/>
      <c r="CM198" s="220"/>
      <c r="CN198" s="220"/>
      <c r="CO198" s="220"/>
      <c r="CP198" s="220"/>
      <c r="CQ198" s="220"/>
      <c r="CR198" s="220"/>
      <c r="CS198" s="220"/>
      <c r="CT198" s="220"/>
      <c r="CU198" s="220"/>
      <c r="CV198" s="220"/>
      <c r="CW198" s="220"/>
      <c r="CX198" s="220"/>
      <c r="CY198" s="220"/>
      <c r="CZ198" s="220"/>
    </row>
    <row r="199" spans="1:134" x14ac:dyDescent="0.2">
      <c r="A199" s="220"/>
      <c r="B199" s="220"/>
      <c r="C199" s="70" t="s">
        <v>162</v>
      </c>
      <c r="D199" s="82"/>
      <c r="E199" s="136"/>
      <c r="F199" s="137"/>
      <c r="G199" s="137"/>
      <c r="H199" s="116"/>
      <c r="I199" s="82"/>
      <c r="J199" s="136"/>
      <c r="K199" s="137"/>
      <c r="L199" s="137"/>
      <c r="M199" s="116"/>
      <c r="N199" s="82"/>
      <c r="O199" s="136"/>
      <c r="P199" s="135"/>
      <c r="Q199" s="135"/>
      <c r="R199" s="116"/>
      <c r="S199" s="82"/>
      <c r="T199" s="136"/>
      <c r="U199" s="137"/>
      <c r="V199" s="135"/>
      <c r="W199" s="116"/>
      <c r="X199" s="82"/>
      <c r="Y199" s="136"/>
      <c r="Z199" s="135"/>
      <c r="AA199" s="135"/>
      <c r="AB199" s="116"/>
      <c r="AC199" s="82"/>
      <c r="AD199" s="136"/>
      <c r="AE199" s="135"/>
      <c r="AF199" s="135"/>
      <c r="AG199" s="116"/>
      <c r="AH199" s="82"/>
      <c r="AI199" s="136"/>
      <c r="AJ199" s="135"/>
      <c r="AK199" s="135"/>
      <c r="AL199" s="116"/>
      <c r="AM199" s="82"/>
      <c r="AN199" s="136"/>
      <c r="AO199" s="135"/>
      <c r="AP199" s="135"/>
      <c r="AQ199" s="116"/>
      <c r="AR199" s="82"/>
      <c r="AS199" s="136"/>
      <c r="AT199" s="135"/>
      <c r="AU199" s="135"/>
      <c r="AV199" s="116"/>
      <c r="AW199" s="82"/>
      <c r="AX199" s="136">
        <f>Debt!DA66</f>
        <v>-6.5625</v>
      </c>
      <c r="AY199" s="135">
        <f>Debt!DB66</f>
        <v>-6.5625</v>
      </c>
      <c r="AZ199" s="135">
        <f>Debt!DC66</f>
        <v>-4.375</v>
      </c>
      <c r="BA199" s="116">
        <f>Debt!DD66</f>
        <v>0</v>
      </c>
      <c r="BB199" s="82">
        <f>Debt!DE66</f>
        <v>-17.5</v>
      </c>
      <c r="BC199" s="136">
        <f>Debt!DF66</f>
        <v>0</v>
      </c>
      <c r="BD199" s="135">
        <f>Debt!DG66</f>
        <v>0</v>
      </c>
      <c r="BE199" s="135">
        <f>Debt!DH66</f>
        <v>0</v>
      </c>
      <c r="BF199" s="116">
        <f>Debt!DI66</f>
        <v>0</v>
      </c>
      <c r="BG199" s="82">
        <f>Debt!DJ66</f>
        <v>0</v>
      </c>
      <c r="BH199" s="136">
        <f>Debt!DK66</f>
        <v>0</v>
      </c>
      <c r="BI199" s="135">
        <f>Debt!DL66</f>
        <v>0</v>
      </c>
      <c r="BJ199" s="135">
        <f>Debt!DM66</f>
        <v>-1.0999999999999999</v>
      </c>
      <c r="BK199" s="116">
        <f>Debt!DN66</f>
        <v>-1.65</v>
      </c>
      <c r="BL199" s="82">
        <f>Debt!DO66</f>
        <v>-2.75</v>
      </c>
      <c r="BM199" s="136">
        <f>Debt!DP66</f>
        <v>-1.65</v>
      </c>
      <c r="BN199" s="135">
        <f>Debt!DQ66</f>
        <v>-1.65</v>
      </c>
      <c r="BO199" s="135">
        <f>Debt!DR66</f>
        <v>-0.54999999999999993</v>
      </c>
      <c r="BP199" s="116">
        <f>Debt!DS66</f>
        <v>0</v>
      </c>
      <c r="BQ199" s="82">
        <f>Debt!DT66</f>
        <v>-3.8499999999999996</v>
      </c>
      <c r="BR199" s="220"/>
      <c r="BS199" s="220"/>
      <c r="BT199" s="220"/>
      <c r="BU199" s="931"/>
      <c r="BV199" s="950"/>
      <c r="BW199" s="615"/>
      <c r="BX199" s="615"/>
      <c r="BY199" s="615"/>
      <c r="BZ199" s="615"/>
      <c r="CA199" s="615"/>
      <c r="CB199" s="956"/>
      <c r="CC199" s="615"/>
      <c r="CD199" s="615"/>
      <c r="CE199" s="615"/>
      <c r="CF199" s="220"/>
      <c r="CG199" s="220"/>
      <c r="CH199" s="220"/>
      <c r="CI199" s="220"/>
      <c r="CJ199" s="220"/>
      <c r="CK199" s="220"/>
      <c r="CL199" s="220"/>
      <c r="CM199" s="220"/>
      <c r="CN199" s="220"/>
      <c r="CO199" s="220"/>
      <c r="CP199" s="220"/>
      <c r="CQ199" s="220"/>
      <c r="CR199" s="220"/>
      <c r="CS199" s="220"/>
      <c r="CT199" s="220"/>
      <c r="CU199" s="220"/>
      <c r="CV199" s="220"/>
      <c r="CW199" s="220"/>
      <c r="CX199" s="220"/>
      <c r="CY199" s="220"/>
      <c r="CZ199" s="220"/>
    </row>
    <row r="200" spans="1:134" x14ac:dyDescent="0.2">
      <c r="A200" s="289"/>
      <c r="B200" s="289"/>
      <c r="C200" s="20"/>
      <c r="D200" s="289"/>
      <c r="E200" s="291"/>
      <c r="F200" s="292"/>
      <c r="G200" s="292"/>
      <c r="H200" s="293"/>
      <c r="I200" s="289"/>
      <c r="J200" s="291"/>
      <c r="K200" s="292"/>
      <c r="L200" s="292"/>
      <c r="M200" s="293"/>
      <c r="N200" s="289"/>
      <c r="O200" s="291"/>
      <c r="P200" s="292"/>
      <c r="Q200" s="292"/>
      <c r="R200" s="293"/>
      <c r="S200" s="289"/>
      <c r="T200" s="291"/>
      <c r="U200" s="714"/>
      <c r="V200" s="292"/>
      <c r="W200" s="293"/>
      <c r="X200" s="289"/>
      <c r="Y200" s="291"/>
      <c r="Z200" s="292"/>
      <c r="AA200" s="292"/>
      <c r="AB200" s="293"/>
      <c r="AC200" s="289"/>
      <c r="AD200" s="291"/>
      <c r="AE200" s="292"/>
      <c r="AF200" s="292"/>
      <c r="AG200" s="293"/>
      <c r="AH200" s="289"/>
      <c r="AI200" s="291"/>
      <c r="AJ200" s="292"/>
      <c r="AK200" s="292"/>
      <c r="AL200" s="293"/>
      <c r="AM200" s="289"/>
      <c r="AN200" s="291"/>
      <c r="AO200" s="292"/>
      <c r="AP200" s="292"/>
      <c r="AQ200" s="293"/>
      <c r="AR200" s="289"/>
      <c r="AS200" s="291"/>
      <c r="AT200" s="292"/>
      <c r="AU200" s="292"/>
      <c r="AV200" s="293"/>
      <c r="AW200" s="289"/>
      <c r="AX200" s="291"/>
      <c r="AY200" s="292"/>
      <c r="AZ200" s="292"/>
      <c r="BA200" s="293"/>
      <c r="BB200" s="289"/>
      <c r="BC200" s="291"/>
      <c r="BD200" s="292"/>
      <c r="BE200" s="292"/>
      <c r="BF200" s="293"/>
      <c r="BG200" s="289"/>
      <c r="BH200" s="291"/>
      <c r="BI200" s="292"/>
      <c r="BJ200" s="292"/>
      <c r="BK200" s="293"/>
      <c r="BL200" s="289"/>
      <c r="BM200" s="291"/>
      <c r="BN200" s="292"/>
      <c r="BO200" s="292"/>
      <c r="BP200" s="293"/>
      <c r="BQ200" s="289"/>
      <c r="BR200" s="289"/>
      <c r="BS200" s="289"/>
      <c r="BT200" s="289"/>
      <c r="BU200" s="615"/>
      <c r="BV200" s="949"/>
      <c r="BW200" s="956"/>
      <c r="BX200" s="956"/>
      <c r="BY200" s="956"/>
      <c r="BZ200" s="956"/>
      <c r="CA200" s="956"/>
      <c r="CB200" s="956"/>
      <c r="CC200" s="928"/>
      <c r="CD200" s="928"/>
      <c r="CE200" s="928"/>
      <c r="CF200" s="289"/>
      <c r="CG200" s="289"/>
      <c r="CH200" s="289"/>
      <c r="CI200" s="289"/>
      <c r="CJ200" s="289"/>
      <c r="CK200" s="289"/>
      <c r="CL200" s="289"/>
      <c r="CM200" s="289"/>
      <c r="CN200" s="289"/>
      <c r="CO200" s="289"/>
      <c r="CP200" s="289"/>
      <c r="CQ200" s="289"/>
      <c r="CR200" s="289"/>
      <c r="CS200" s="289"/>
      <c r="CT200" s="289"/>
      <c r="CU200" s="289"/>
      <c r="CV200" s="289"/>
      <c r="CW200" s="289"/>
      <c r="CX200" s="289"/>
      <c r="CY200" s="289"/>
      <c r="CZ200" s="289"/>
    </row>
    <row r="201" spans="1:134" x14ac:dyDescent="0.2">
      <c r="A201" s="289"/>
      <c r="B201" s="289"/>
      <c r="C201" s="70" t="s">
        <v>164</v>
      </c>
      <c r="D201" s="289"/>
      <c r="E201" s="291"/>
      <c r="F201" s="292"/>
      <c r="G201" s="292"/>
      <c r="H201" s="293"/>
      <c r="I201" s="289"/>
      <c r="J201" s="291"/>
      <c r="K201" s="292"/>
      <c r="L201" s="292"/>
      <c r="M201" s="293"/>
      <c r="N201" s="289"/>
      <c r="O201" s="291"/>
      <c r="P201" s="292"/>
      <c r="Q201" s="208"/>
      <c r="R201" s="209"/>
      <c r="S201" s="88"/>
      <c r="T201" s="207"/>
      <c r="U201" s="628"/>
      <c r="V201" s="208"/>
      <c r="W201" s="209"/>
      <c r="X201" s="88"/>
      <c r="Y201" s="207"/>
      <c r="Z201" s="208"/>
      <c r="AA201" s="208"/>
      <c r="AB201" s="209"/>
      <c r="AC201" s="88"/>
      <c r="AD201" s="207"/>
      <c r="AE201" s="208"/>
      <c r="AF201" s="208"/>
      <c r="AG201" s="209"/>
      <c r="AH201" s="88"/>
      <c r="AI201" s="207"/>
      <c r="AJ201" s="208"/>
      <c r="AK201" s="208"/>
      <c r="AL201" s="856"/>
      <c r="AM201" s="857"/>
      <c r="AN201" s="858"/>
      <c r="AO201" s="208"/>
      <c r="AP201" s="208"/>
      <c r="AQ201" s="856"/>
      <c r="AR201" s="857"/>
      <c r="AS201" s="858"/>
      <c r="AT201" s="208"/>
      <c r="AU201" s="208"/>
      <c r="AV201" s="856"/>
      <c r="AW201" s="857"/>
      <c r="AX201" s="858">
        <v>0.02</v>
      </c>
      <c r="AY201" s="855">
        <v>0.02</v>
      </c>
      <c r="AZ201" s="855">
        <v>0.02</v>
      </c>
      <c r="BA201" s="856">
        <v>0.02</v>
      </c>
      <c r="BB201" s="857">
        <v>0.02</v>
      </c>
      <c r="BC201" s="858">
        <v>0.02</v>
      </c>
      <c r="BD201" s="855">
        <v>0.02</v>
      </c>
      <c r="BE201" s="855">
        <v>0.02</v>
      </c>
      <c r="BF201" s="856">
        <v>0.02</v>
      </c>
      <c r="BG201" s="857">
        <v>0.02</v>
      </c>
      <c r="BH201" s="858">
        <v>0.02</v>
      </c>
      <c r="BI201" s="855">
        <v>0.02</v>
      </c>
      <c r="BJ201" s="855">
        <v>0.02</v>
      </c>
      <c r="BK201" s="856">
        <v>0.02</v>
      </c>
      <c r="BL201" s="857">
        <v>0.02</v>
      </c>
      <c r="BM201" s="858">
        <v>0.02</v>
      </c>
      <c r="BN201" s="855">
        <v>0.02</v>
      </c>
      <c r="BO201" s="855">
        <v>0.02</v>
      </c>
      <c r="BP201" s="856">
        <v>0.02</v>
      </c>
      <c r="BQ201" s="857">
        <v>0.02</v>
      </c>
      <c r="BR201" s="289"/>
      <c r="BS201" s="289"/>
      <c r="BT201" s="289"/>
      <c r="BU201" s="615"/>
      <c r="BV201" s="951"/>
      <c r="BW201" s="956"/>
      <c r="BX201" s="956"/>
      <c r="BY201" s="615"/>
      <c r="BZ201" s="956"/>
      <c r="CA201" s="956"/>
      <c r="CB201" s="956"/>
      <c r="CC201" s="928"/>
      <c r="CD201" s="928"/>
      <c r="CE201" s="928"/>
      <c r="CF201" s="289"/>
      <c r="CG201" s="289"/>
      <c r="CH201" s="289"/>
      <c r="CI201" s="289"/>
      <c r="CJ201" s="289"/>
      <c r="CK201" s="289"/>
      <c r="CL201" s="289"/>
      <c r="CM201" s="289"/>
      <c r="CN201" s="289"/>
      <c r="CO201" s="289"/>
      <c r="CP201" s="289"/>
      <c r="CQ201" s="289"/>
      <c r="CR201" s="289"/>
      <c r="CS201" s="289"/>
      <c r="CT201" s="289"/>
      <c r="CU201" s="289"/>
      <c r="CV201" s="289"/>
      <c r="CW201" s="289"/>
      <c r="CX201" s="289"/>
      <c r="CY201" s="289"/>
      <c r="CZ201" s="289"/>
    </row>
    <row r="202" spans="1:134" x14ac:dyDescent="0.2">
      <c r="A202" s="289"/>
      <c r="B202" s="289"/>
      <c r="C202" s="289"/>
      <c r="D202" s="289"/>
      <c r="E202" s="291"/>
      <c r="F202" s="292"/>
      <c r="G202" s="292"/>
      <c r="H202" s="293"/>
      <c r="I202" s="289"/>
      <c r="J202" s="291"/>
      <c r="K202" s="292"/>
      <c r="L202" s="292"/>
      <c r="M202" s="293"/>
      <c r="N202" s="289"/>
      <c r="O202" s="291"/>
      <c r="P202" s="292"/>
      <c r="Q202" s="292"/>
      <c r="R202" s="293"/>
      <c r="S202" s="289"/>
      <c r="T202" s="291"/>
      <c r="U202" s="292"/>
      <c r="V202" s="292"/>
      <c r="W202" s="293"/>
      <c r="X202" s="289"/>
      <c r="Y202" s="291"/>
      <c r="Z202" s="292"/>
      <c r="AA202" s="292"/>
      <c r="AB202" s="293"/>
      <c r="AC202" s="289"/>
      <c r="AD202" s="291"/>
      <c r="AE202" s="292"/>
      <c r="AF202" s="292"/>
      <c r="AG202" s="293"/>
      <c r="AH202" s="289"/>
      <c r="AI202" s="291"/>
      <c r="AJ202" s="292"/>
      <c r="AK202" s="292"/>
      <c r="AL202" s="293"/>
      <c r="AM202" s="289"/>
      <c r="AN202" s="291"/>
      <c r="AO202" s="292"/>
      <c r="AP202" s="292"/>
      <c r="AQ202" s="293"/>
      <c r="AR202" s="289"/>
      <c r="AS202" s="291"/>
      <c r="AT202" s="292"/>
      <c r="AU202" s="292"/>
      <c r="AV202" s="293"/>
      <c r="AW202" s="289"/>
      <c r="AX202" s="291"/>
      <c r="AY202" s="292"/>
      <c r="AZ202" s="292"/>
      <c r="BA202" s="293"/>
      <c r="BB202" s="289"/>
      <c r="BC202" s="291"/>
      <c r="BD202" s="292"/>
      <c r="BE202" s="292"/>
      <c r="BF202" s="293"/>
      <c r="BG202" s="289"/>
      <c r="BH202" s="291"/>
      <c r="BI202" s="292"/>
      <c r="BJ202" s="292"/>
      <c r="BK202" s="293"/>
      <c r="BL202" s="289"/>
      <c r="BM202" s="291"/>
      <c r="BN202" s="292"/>
      <c r="BO202" s="292"/>
      <c r="BP202" s="293"/>
      <c r="BQ202" s="289"/>
      <c r="BR202" s="289"/>
      <c r="BS202" s="289"/>
      <c r="BT202" s="289"/>
      <c r="BU202" s="928"/>
      <c r="BV202" s="949"/>
      <c r="BW202" s="956"/>
      <c r="BX202" s="956"/>
      <c r="BY202" s="615"/>
      <c r="BZ202" s="956"/>
      <c r="CA202" s="615"/>
      <c r="CB202" s="956"/>
      <c r="CC202" s="928"/>
      <c r="CD202" s="928"/>
      <c r="CE202" s="928"/>
      <c r="CF202" s="289"/>
      <c r="CG202" s="289"/>
      <c r="CH202" s="289"/>
      <c r="CI202" s="289"/>
      <c r="CJ202" s="289"/>
      <c r="CK202" s="289"/>
      <c r="CL202" s="349"/>
      <c r="CM202" s="349"/>
      <c r="CN202" s="349"/>
      <c r="CO202" s="346"/>
      <c r="CP202" s="349"/>
      <c r="CQ202" s="349"/>
      <c r="CR202" s="349"/>
      <c r="CS202" s="349"/>
      <c r="CT202" s="346"/>
      <c r="CU202" s="349"/>
      <c r="CV202" s="349"/>
      <c r="CW202" s="349"/>
      <c r="CX202" s="349"/>
      <c r="CY202" s="346"/>
      <c r="CZ202" s="289"/>
    </row>
    <row r="203" spans="1:134" x14ac:dyDescent="0.2">
      <c r="A203" s="289"/>
      <c r="B203" s="289"/>
      <c r="C203" s="289"/>
      <c r="D203" s="289"/>
      <c r="E203" s="291"/>
      <c r="F203" s="292"/>
      <c r="G203" s="292"/>
      <c r="H203" s="293"/>
      <c r="I203" s="289"/>
      <c r="J203" s="291"/>
      <c r="K203" s="292"/>
      <c r="L203" s="292"/>
      <c r="M203" s="293"/>
      <c r="N203" s="289"/>
      <c r="O203" s="291"/>
      <c r="P203" s="292"/>
      <c r="Q203" s="292"/>
      <c r="R203" s="293"/>
      <c r="S203" s="289"/>
      <c r="T203" s="291"/>
      <c r="U203" s="292"/>
      <c r="V203" s="292"/>
      <c r="W203" s="293"/>
      <c r="X203" s="289"/>
      <c r="Y203" s="291"/>
      <c r="Z203" s="292"/>
      <c r="AA203" s="292"/>
      <c r="AB203" s="293"/>
      <c r="AC203" s="289"/>
      <c r="AD203" s="291"/>
      <c r="AE203" s="292"/>
      <c r="AF203" s="292"/>
      <c r="AG203" s="293"/>
      <c r="AH203" s="289"/>
      <c r="AI203" s="291"/>
      <c r="AJ203" s="292"/>
      <c r="AK203" s="292"/>
      <c r="AL203" s="293"/>
      <c r="AM203" s="289"/>
      <c r="AN203" s="291"/>
      <c r="AO203" s="292"/>
      <c r="AP203" s="292"/>
      <c r="AQ203" s="293"/>
      <c r="AR203" s="289"/>
      <c r="AS203" s="291"/>
      <c r="AT203" s="292"/>
      <c r="AU203" s="292"/>
      <c r="AV203" s="293"/>
      <c r="AW203" s="289"/>
      <c r="AX203" s="291"/>
      <c r="AY203" s="292"/>
      <c r="AZ203" s="292"/>
      <c r="BA203" s="293"/>
      <c r="BB203" s="289"/>
      <c r="BC203" s="291"/>
      <c r="BD203" s="292"/>
      <c r="BE203" s="292"/>
      <c r="BF203" s="293"/>
      <c r="BG203" s="289"/>
      <c r="BH203" s="291"/>
      <c r="BI203" s="292"/>
      <c r="BJ203" s="292"/>
      <c r="BK203" s="293"/>
      <c r="BL203" s="289"/>
      <c r="BM203" s="291"/>
      <c r="BN203" s="292"/>
      <c r="BO203" s="292"/>
      <c r="BP203" s="293"/>
      <c r="BQ203" s="289"/>
      <c r="BR203" s="289"/>
      <c r="BS203" s="289"/>
      <c r="BT203" s="289"/>
      <c r="BU203" s="928"/>
      <c r="BV203" s="952"/>
      <c r="BW203" s="956"/>
      <c r="BX203" s="956"/>
      <c r="BY203" s="615"/>
      <c r="BZ203" s="956"/>
      <c r="CA203" s="956"/>
      <c r="CB203" s="956"/>
      <c r="CC203" s="931"/>
      <c r="CD203" s="928"/>
      <c r="CE203" s="928"/>
      <c r="CF203" s="289"/>
      <c r="CG203" s="289"/>
      <c r="CH203" s="289"/>
      <c r="CI203" s="289"/>
      <c r="CJ203" s="289"/>
      <c r="CK203" s="289"/>
      <c r="CL203" s="7" t="s">
        <v>171</v>
      </c>
      <c r="CM203" s="7"/>
      <c r="CN203" s="7"/>
      <c r="CO203" s="20"/>
      <c r="CP203" s="20"/>
      <c r="CQ203" s="20"/>
      <c r="CR203" s="20"/>
      <c r="CS203" s="20"/>
      <c r="CT203" s="20"/>
      <c r="CU203" s="20"/>
      <c r="CV203" s="20"/>
      <c r="CW203" s="20"/>
      <c r="CX203" s="20"/>
    </row>
    <row r="204" spans="1:134" x14ac:dyDescent="0.2">
      <c r="A204" s="289"/>
      <c r="B204" s="347" t="s">
        <v>297</v>
      </c>
      <c r="C204" s="347"/>
      <c r="D204" s="348"/>
      <c r="E204" s="291"/>
      <c r="F204" s="292"/>
      <c r="G204" s="292"/>
      <c r="H204" s="293"/>
      <c r="I204" s="289"/>
      <c r="J204" s="291"/>
      <c r="K204" s="292"/>
      <c r="L204" s="292"/>
      <c r="M204" s="293"/>
      <c r="N204" s="289"/>
      <c r="O204" s="291"/>
      <c r="P204" s="292"/>
      <c r="Q204" s="292"/>
      <c r="R204" s="293"/>
      <c r="S204" s="289"/>
      <c r="T204" s="291"/>
      <c r="U204" s="292"/>
      <c r="V204" s="292"/>
      <c r="W204" s="293"/>
      <c r="X204" s="289"/>
      <c r="Y204" s="291"/>
      <c r="Z204" s="292"/>
      <c r="AA204" s="292"/>
      <c r="AB204" s="293"/>
      <c r="AC204" s="289"/>
      <c r="AD204" s="291"/>
      <c r="AE204" s="292"/>
      <c r="AF204" s="292"/>
      <c r="AG204" s="293"/>
      <c r="AH204" s="289"/>
      <c r="AI204" s="291"/>
      <c r="AJ204" s="292"/>
      <c r="AK204" s="292"/>
      <c r="AL204" s="293"/>
      <c r="AM204" s="289"/>
      <c r="AN204" s="291"/>
      <c r="AO204" s="292"/>
      <c r="AP204" s="292"/>
      <c r="AQ204" s="293"/>
      <c r="AR204" s="289"/>
      <c r="AS204" s="291"/>
      <c r="AT204" s="292"/>
      <c r="AU204" s="292"/>
      <c r="AV204" s="293"/>
      <c r="AW204" s="289"/>
      <c r="AX204" s="291"/>
      <c r="AY204" s="292"/>
      <c r="AZ204" s="292"/>
      <c r="BA204" s="293"/>
      <c r="BB204" s="289"/>
      <c r="BC204" s="291"/>
      <c r="BD204" s="292"/>
      <c r="BE204" s="292"/>
      <c r="BF204" s="293"/>
      <c r="BG204" s="289"/>
      <c r="BH204" s="291"/>
      <c r="BI204" s="292"/>
      <c r="BJ204" s="292"/>
      <c r="BK204" s="293"/>
      <c r="BL204" s="289"/>
      <c r="BM204" s="291"/>
      <c r="BN204" s="292"/>
      <c r="BO204" s="292"/>
      <c r="BP204" s="293"/>
      <c r="BQ204" s="289"/>
      <c r="BR204" s="289"/>
      <c r="BS204" s="289"/>
      <c r="BT204" s="289"/>
      <c r="BU204" s="931"/>
      <c r="BV204" s="950"/>
      <c r="BW204" s="615"/>
      <c r="BX204" s="615"/>
      <c r="BY204" s="615"/>
      <c r="BZ204" s="615"/>
      <c r="CA204" s="615"/>
      <c r="CB204" s="956"/>
      <c r="CC204" s="929"/>
      <c r="CD204" s="928"/>
      <c r="CE204" s="928"/>
      <c r="CF204" s="289"/>
      <c r="CG204" s="289"/>
      <c r="CH204" s="289"/>
      <c r="CI204" s="289"/>
      <c r="CJ204" s="289"/>
      <c r="CK204" s="289"/>
      <c r="CL204" s="218" t="s">
        <v>101</v>
      </c>
      <c r="CM204" s="218" t="s">
        <v>102</v>
      </c>
      <c r="CN204" s="218" t="s">
        <v>103</v>
      </c>
      <c r="CO204" s="218" t="s">
        <v>104</v>
      </c>
      <c r="CP204" s="218" t="s">
        <v>173</v>
      </c>
      <c r="CQ204" s="218" t="s">
        <v>105</v>
      </c>
      <c r="CR204" s="218" t="s">
        <v>106</v>
      </c>
      <c r="CS204" s="218" t="s">
        <v>107</v>
      </c>
      <c r="CT204" s="218" t="s">
        <v>108</v>
      </c>
      <c r="CU204" s="218" t="s">
        <v>174</v>
      </c>
      <c r="CV204" s="218" t="s">
        <v>109</v>
      </c>
      <c r="CW204" s="218" t="s">
        <v>110</v>
      </c>
      <c r="CX204" s="218" t="s">
        <v>479</v>
      </c>
      <c r="CY204" s="218" t="s">
        <v>175</v>
      </c>
      <c r="CZ204" s="218" t="s">
        <v>176</v>
      </c>
      <c r="DA204" s="218" t="s">
        <v>508</v>
      </c>
      <c r="DB204" s="218" t="s">
        <v>509</v>
      </c>
      <c r="DC204" s="218" t="s">
        <v>510</v>
      </c>
      <c r="DD204" s="218" t="s">
        <v>522</v>
      </c>
      <c r="DE204" s="218" t="s">
        <v>525</v>
      </c>
      <c r="DF204" s="218" t="s">
        <v>524</v>
      </c>
      <c r="DG204" s="218" t="s">
        <v>527</v>
      </c>
      <c r="DH204" s="218" t="s">
        <v>528</v>
      </c>
      <c r="DI204" s="218" t="s">
        <v>537</v>
      </c>
      <c r="DJ204" s="218" t="s">
        <v>540</v>
      </c>
      <c r="DK204" s="218" t="s">
        <v>539</v>
      </c>
      <c r="DL204" s="218" t="s">
        <v>543</v>
      </c>
      <c r="DM204" s="218" t="s">
        <v>544</v>
      </c>
      <c r="DN204" s="218" t="s">
        <v>550</v>
      </c>
      <c r="DO204" s="218" t="s">
        <v>552</v>
      </c>
      <c r="DP204" s="218" t="s">
        <v>553</v>
      </c>
      <c r="DQ204" s="218" t="s">
        <v>554</v>
      </c>
      <c r="DR204" s="218" t="s">
        <v>569</v>
      </c>
      <c r="DS204" s="218" t="s">
        <v>570</v>
      </c>
      <c r="DT204" s="218" t="s">
        <v>573</v>
      </c>
      <c r="DU204" s="218" t="s">
        <v>574</v>
      </c>
      <c r="DV204" s="218" t="s">
        <v>589</v>
      </c>
      <c r="DW204" s="218" t="s">
        <v>597</v>
      </c>
      <c r="DX204" s="218" t="s">
        <v>605</v>
      </c>
      <c r="DY204" s="218" t="s">
        <v>606</v>
      </c>
      <c r="DZ204" s="218" t="s">
        <v>631</v>
      </c>
      <c r="EA204" s="218" t="s">
        <v>638</v>
      </c>
      <c r="EB204" s="218" t="s">
        <v>640</v>
      </c>
      <c r="EC204" s="218" t="s">
        <v>664</v>
      </c>
      <c r="ED204" s="218" t="s">
        <v>666</v>
      </c>
    </row>
    <row r="205" spans="1:134" x14ac:dyDescent="0.2">
      <c r="A205" s="220"/>
      <c r="B205" s="220"/>
      <c r="C205" s="70" t="s">
        <v>177</v>
      </c>
      <c r="D205" s="82"/>
      <c r="E205" s="136">
        <f t="shared" ref="E205:E210" si="420">+CL205</f>
        <v>76.198999999999998</v>
      </c>
      <c r="F205" s="135">
        <f t="shared" ref="F205:G210" si="421">+CM205-CL205</f>
        <v>49.897999999999996</v>
      </c>
      <c r="G205" s="135">
        <f t="shared" si="421"/>
        <v>92.548999999999992</v>
      </c>
      <c r="H205" s="116">
        <f t="shared" ref="H205:H210" si="422">+CP205-CN205</f>
        <v>75.123999999999995</v>
      </c>
      <c r="I205" s="223">
        <f t="shared" ref="I205:I211" si="423">CP205</f>
        <v>293.77</v>
      </c>
      <c r="J205" s="136">
        <f t="shared" ref="J205:J210" si="424">+CQ205</f>
        <v>64.138999999999996</v>
      </c>
      <c r="K205" s="135">
        <f t="shared" ref="K205:L210" si="425">+CR205-CQ205</f>
        <v>44.040000000000006</v>
      </c>
      <c r="L205" s="135">
        <f t="shared" si="425"/>
        <v>109.78700000000001</v>
      </c>
      <c r="M205" s="116">
        <f t="shared" ref="M205:M210" si="426">+CU205-CS205</f>
        <v>56.259000000000015</v>
      </c>
      <c r="N205" s="223">
        <f t="shared" ref="N205:N211" si="427">CU205</f>
        <v>274.22500000000002</v>
      </c>
      <c r="O205" s="136">
        <f t="shared" ref="O205:O210" si="428">+CV205</f>
        <v>92.174999999999997</v>
      </c>
      <c r="P205" s="135">
        <f t="shared" ref="P205:Q210" si="429">+CW205-CV205</f>
        <v>65.222999999999999</v>
      </c>
      <c r="Q205" s="135">
        <f t="shared" si="429"/>
        <v>141.90200000000002</v>
      </c>
      <c r="R205" s="116">
        <f t="shared" ref="R205:R210" si="430">+CZ205-CX205</f>
        <v>53.680999999999983</v>
      </c>
      <c r="S205" s="82">
        <f t="shared" ref="S205:S211" si="431">CZ205</f>
        <v>352.98099999999999</v>
      </c>
      <c r="T205" s="136">
        <f t="shared" ref="T205:T210" si="432">+DA205</f>
        <v>76.986000000000004</v>
      </c>
      <c r="U205" s="135">
        <f t="shared" ref="U205:U210" si="433">+DB205-DA205</f>
        <v>64.311999999999998</v>
      </c>
      <c r="V205" s="135">
        <f t="shared" ref="V205:V210" si="434">+DC205-DB205</f>
        <v>136.01100000000002</v>
      </c>
      <c r="W205" s="116">
        <f t="shared" ref="W205:W210" si="435">+DE205-DC205</f>
        <v>62.831999999999994</v>
      </c>
      <c r="X205" s="82">
        <f t="shared" ref="X205:X211" si="436">DE205</f>
        <v>340.14100000000002</v>
      </c>
      <c r="Y205" s="136">
        <f t="shared" ref="Y205:Y210" si="437">+DF205</f>
        <v>101.965</v>
      </c>
      <c r="Z205" s="135">
        <f t="shared" ref="Z205:AA210" si="438">+DG205-DF205</f>
        <v>77.700999999999993</v>
      </c>
      <c r="AA205" s="135">
        <f t="shared" si="438"/>
        <v>155.10599999999999</v>
      </c>
      <c r="AB205" s="116">
        <f t="shared" ref="AB205:AB210" si="439">+DJ205-DH205</f>
        <v>58.574000000000012</v>
      </c>
      <c r="AC205" s="82">
        <f t="shared" ref="AC205:AC211" si="440">DJ205</f>
        <v>393.346</v>
      </c>
      <c r="AD205" s="136">
        <f t="shared" ref="AD205:AD210" si="441">+DK205</f>
        <v>108.364</v>
      </c>
      <c r="AE205" s="135">
        <f t="shared" ref="AE205:AF210" si="442">+DL205-DK205</f>
        <v>75.265999999999991</v>
      </c>
      <c r="AF205" s="135">
        <f t="shared" si="442"/>
        <v>134.46899999999999</v>
      </c>
      <c r="AG205" s="116">
        <f t="shared" ref="AG205:AG210" si="443">+DO205-DM205</f>
        <v>86.816000000000031</v>
      </c>
      <c r="AH205" s="82">
        <f t="shared" ref="AH205:AH211" si="444">DO205</f>
        <v>404.91500000000002</v>
      </c>
      <c r="AI205" s="136">
        <f t="shared" ref="AI205:AI210" si="445">+DP205</f>
        <v>6.9240000000000004</v>
      </c>
      <c r="AJ205" s="135">
        <f t="shared" ref="AJ205:AK210" si="446">+DQ205-DP205</f>
        <v>74.180999999999997</v>
      </c>
      <c r="AK205" s="135">
        <f t="shared" si="446"/>
        <v>175.54899999999998</v>
      </c>
      <c r="AL205" s="116">
        <f t="shared" ref="AL205:AL210" si="447">+DT205-DR205</f>
        <v>100.185</v>
      </c>
      <c r="AM205" s="82">
        <f t="shared" ref="AM205:AM211" si="448">DT205</f>
        <v>356.839</v>
      </c>
      <c r="AN205" s="136">
        <f t="shared" ref="AN205:AN210" si="449">+DU205</f>
        <v>94.629000000000005</v>
      </c>
      <c r="AO205" s="135">
        <f t="shared" ref="AO205:AP210" si="450">+DV205-DU205</f>
        <v>78.176000000000002</v>
      </c>
      <c r="AP205" s="135">
        <f t="shared" si="450"/>
        <v>206.55200000000002</v>
      </c>
      <c r="AQ205" s="116">
        <f t="shared" ref="AQ205:AQ210" si="451">+DY205-DW205</f>
        <v>109.387</v>
      </c>
      <c r="AR205" s="82">
        <f t="shared" ref="AR205:AR211" si="452">DY205</f>
        <v>488.74400000000003</v>
      </c>
      <c r="AS205" s="136">
        <f t="shared" ref="AS205:AS210" si="453">+DZ205</f>
        <v>94.165999999999997</v>
      </c>
      <c r="AT205" s="135">
        <f t="shared" ref="AT205:AT210" si="454">+EA205-DZ205</f>
        <v>87.662000000000006</v>
      </c>
      <c r="AU205" s="135">
        <f t="shared" ref="AU205:AU210" si="455">+EB205-EA205</f>
        <v>229.00300000000001</v>
      </c>
      <c r="AV205" s="116">
        <f t="shared" ref="AV205:AV210" si="456">+ED205-EB205</f>
        <v>79.289999999999964</v>
      </c>
      <c r="AW205" s="82">
        <f t="shared" ref="AW205:AW211" si="457">ED205</f>
        <v>490.12099999999998</v>
      </c>
      <c r="AX205" s="136">
        <f>+AX43</f>
        <v>104.03486099210838</v>
      </c>
      <c r="AY205" s="135">
        <f>+AY43</f>
        <v>89.297914667891447</v>
      </c>
      <c r="AZ205" s="135">
        <f>+AZ43</f>
        <v>206.12594211245832</v>
      </c>
      <c r="BA205" s="116">
        <f>+BA43</f>
        <v>102.10081118051528</v>
      </c>
      <c r="BB205" s="82">
        <f>SUM(AX205:BA205)</f>
        <v>501.55952895297344</v>
      </c>
      <c r="BC205" s="136">
        <f>+BC43</f>
        <v>122.00146159106185</v>
      </c>
      <c r="BD205" s="135">
        <f>+BD43</f>
        <v>108.23048769357636</v>
      </c>
      <c r="BE205" s="135">
        <f>+BE43</f>
        <v>226.98433687426763</v>
      </c>
      <c r="BF205" s="116">
        <f>+BF43</f>
        <v>115.61592078969716</v>
      </c>
      <c r="BG205" s="82">
        <f>SUM(BC205:BF205)</f>
        <v>572.83220694860302</v>
      </c>
      <c r="BH205" s="136">
        <f>+BH43</f>
        <v>127.9208215224958</v>
      </c>
      <c r="BI205" s="135">
        <f>+BI43</f>
        <v>111.51382994697462</v>
      </c>
      <c r="BJ205" s="135">
        <f>+BJ43</f>
        <v>234.6206017857771</v>
      </c>
      <c r="BK205" s="116">
        <f>+BK43</f>
        <v>119.54821250944417</v>
      </c>
      <c r="BL205" s="82">
        <f>SUM(BH205:BK205)</f>
        <v>593.60346576469169</v>
      </c>
      <c r="BM205" s="136">
        <f>+BM43</f>
        <v>130.87433437269539</v>
      </c>
      <c r="BN205" s="135">
        <f>+BN43</f>
        <v>118.62293899454701</v>
      </c>
      <c r="BO205" s="135">
        <f>+BO43</f>
        <v>243.85425622814921</v>
      </c>
      <c r="BP205" s="116">
        <f>+BP43</f>
        <v>124.7983955586717</v>
      </c>
      <c r="BQ205" s="82">
        <f>SUM(BM205:BP205)</f>
        <v>618.14992515406334</v>
      </c>
      <c r="BR205" s="220"/>
      <c r="BS205" s="220"/>
      <c r="BT205" s="220"/>
      <c r="BU205" s="928"/>
      <c r="BV205" s="949"/>
      <c r="BW205" s="956"/>
      <c r="BX205" s="928"/>
      <c r="BY205" s="928"/>
      <c r="BZ205" s="928"/>
      <c r="CA205" s="928"/>
      <c r="CB205" s="928"/>
      <c r="CC205" s="615"/>
      <c r="CD205" s="615"/>
      <c r="CE205" s="615"/>
      <c r="CF205" s="220"/>
      <c r="CG205" s="220"/>
      <c r="CH205" s="220"/>
      <c r="CI205" s="220"/>
      <c r="CJ205" s="220"/>
      <c r="CK205" s="220"/>
      <c r="CL205" s="117">
        <v>76.198999999999998</v>
      </c>
      <c r="CM205" s="117">
        <v>126.09699999999999</v>
      </c>
      <c r="CN205" s="117">
        <v>218.64599999999999</v>
      </c>
      <c r="CO205" s="82">
        <f t="shared" ref="CO205:CO210" si="458">CP205-CN205</f>
        <v>75.123999999999995</v>
      </c>
      <c r="CP205" s="117">
        <v>293.77</v>
      </c>
      <c r="CQ205" s="117">
        <v>64.138999999999996</v>
      </c>
      <c r="CR205" s="117">
        <v>108.179</v>
      </c>
      <c r="CS205" s="117">
        <v>217.96600000000001</v>
      </c>
      <c r="CT205" s="82">
        <f t="shared" ref="CT205:CT210" si="459">CU205-CS205</f>
        <v>56.259000000000015</v>
      </c>
      <c r="CU205" s="117">
        <v>274.22500000000002</v>
      </c>
      <c r="CV205" s="117">
        <v>92.174999999999997</v>
      </c>
      <c r="CW205" s="117">
        <v>157.398</v>
      </c>
      <c r="CX205" s="117">
        <v>299.3</v>
      </c>
      <c r="CY205" s="82">
        <f t="shared" ref="CY205:CY210" si="460">CZ205-CX205</f>
        <v>53.680999999999983</v>
      </c>
      <c r="CZ205" s="117">
        <v>352.98099999999999</v>
      </c>
      <c r="DA205" s="117">
        <v>76.986000000000004</v>
      </c>
      <c r="DB205" s="117">
        <v>141.298</v>
      </c>
      <c r="DC205" s="117">
        <v>277.30900000000003</v>
      </c>
      <c r="DD205" s="82">
        <f t="shared" ref="DD205:DD210" si="461">DE205-DC205</f>
        <v>62.831999999999994</v>
      </c>
      <c r="DE205" s="117">
        <v>340.14100000000002</v>
      </c>
      <c r="DF205" s="117">
        <v>101.965</v>
      </c>
      <c r="DG205" s="117">
        <v>179.666</v>
      </c>
      <c r="DH205" s="117">
        <v>334.77199999999999</v>
      </c>
      <c r="DI205" s="82">
        <f t="shared" ref="DI205:DI210" si="462">DJ205-DH205</f>
        <v>58.574000000000012</v>
      </c>
      <c r="DJ205" s="117">
        <v>393.346</v>
      </c>
      <c r="DK205" s="117">
        <v>108.364</v>
      </c>
      <c r="DL205" s="117">
        <v>183.63</v>
      </c>
      <c r="DM205" s="117">
        <v>318.09899999999999</v>
      </c>
      <c r="DN205" s="82">
        <f t="shared" ref="DN205:DN210" si="463">DO205-DM205</f>
        <v>86.816000000000031</v>
      </c>
      <c r="DO205" s="117">
        <v>404.91500000000002</v>
      </c>
      <c r="DP205" s="117">
        <v>6.9240000000000004</v>
      </c>
      <c r="DQ205" s="117">
        <v>81.105000000000004</v>
      </c>
      <c r="DR205" s="117">
        <v>256.654</v>
      </c>
      <c r="DS205" s="82">
        <f t="shared" ref="DS205:DS210" si="464">DT205-DR205</f>
        <v>100.185</v>
      </c>
      <c r="DT205" s="117">
        <v>356.839</v>
      </c>
      <c r="DU205" s="117">
        <v>94.629000000000005</v>
      </c>
      <c r="DV205" s="117">
        <v>172.80500000000001</v>
      </c>
      <c r="DW205" s="117">
        <v>379.35700000000003</v>
      </c>
      <c r="DX205" s="82">
        <f t="shared" ref="DX205:DX210" si="465">DY205-DW205</f>
        <v>109.387</v>
      </c>
      <c r="DY205" s="117">
        <v>488.74400000000003</v>
      </c>
      <c r="DZ205" s="117">
        <v>94.165999999999997</v>
      </c>
      <c r="EA205" s="117">
        <v>181.828</v>
      </c>
      <c r="EB205" s="117">
        <v>410.83100000000002</v>
      </c>
      <c r="EC205" s="82">
        <f t="shared" ref="EC205:EC210" si="466">ED205-EB205</f>
        <v>79.289999999999964</v>
      </c>
      <c r="ED205" s="117">
        <v>490.12099999999998</v>
      </c>
    </row>
    <row r="206" spans="1:134" x14ac:dyDescent="0.2">
      <c r="A206" s="220"/>
      <c r="B206" s="220"/>
      <c r="C206" s="70" t="s">
        <v>178</v>
      </c>
      <c r="D206" s="82"/>
      <c r="E206" s="136">
        <f t="shared" si="420"/>
        <v>106.53400000000001</v>
      </c>
      <c r="F206" s="135">
        <f t="shared" si="421"/>
        <v>97.314999999999984</v>
      </c>
      <c r="G206" s="135">
        <f t="shared" si="421"/>
        <v>92.091999999999985</v>
      </c>
      <c r="H206" s="116">
        <f t="shared" si="422"/>
        <v>98.771000000000015</v>
      </c>
      <c r="I206" s="223">
        <f t="shared" si="423"/>
        <v>394.71199999999999</v>
      </c>
      <c r="J206" s="136">
        <f t="shared" si="424"/>
        <v>97.572999999999993</v>
      </c>
      <c r="K206" s="135">
        <f t="shared" si="425"/>
        <v>95.911000000000016</v>
      </c>
      <c r="L206" s="135">
        <f t="shared" si="425"/>
        <v>106.97099999999998</v>
      </c>
      <c r="M206" s="116">
        <f t="shared" si="426"/>
        <v>101.14699999999999</v>
      </c>
      <c r="N206" s="223">
        <f t="shared" si="427"/>
        <v>401.60199999999998</v>
      </c>
      <c r="O206" s="136">
        <f t="shared" si="428"/>
        <v>101.78700000000001</v>
      </c>
      <c r="P206" s="135">
        <f t="shared" si="429"/>
        <v>105.70599999999999</v>
      </c>
      <c r="Q206" s="135">
        <f t="shared" si="429"/>
        <v>112.80200000000002</v>
      </c>
      <c r="R206" s="116">
        <f t="shared" si="430"/>
        <v>66.014999999999986</v>
      </c>
      <c r="S206" s="82">
        <f>CZ206</f>
        <v>386.31</v>
      </c>
      <c r="T206" s="136">
        <f t="shared" si="432"/>
        <v>100.173</v>
      </c>
      <c r="U206" s="135">
        <f t="shared" si="433"/>
        <v>101.11699999999999</v>
      </c>
      <c r="V206" s="135">
        <f t="shared" si="434"/>
        <v>107.131</v>
      </c>
      <c r="W206" s="116">
        <f t="shared" si="435"/>
        <v>95.903999999999996</v>
      </c>
      <c r="X206" s="82">
        <f t="shared" si="436"/>
        <v>404.32499999999999</v>
      </c>
      <c r="Y206" s="136">
        <f t="shared" si="437"/>
        <v>110.327</v>
      </c>
      <c r="Z206" s="135">
        <f t="shared" si="438"/>
        <v>105.048</v>
      </c>
      <c r="AA206" s="135">
        <f t="shared" si="438"/>
        <v>90.627999999999986</v>
      </c>
      <c r="AB206" s="116">
        <f t="shared" si="439"/>
        <v>113.84899999999999</v>
      </c>
      <c r="AC206" s="82">
        <f t="shared" si="440"/>
        <v>419.85199999999998</v>
      </c>
      <c r="AD206" s="136">
        <f t="shared" si="441"/>
        <v>100.51300000000001</v>
      </c>
      <c r="AE206" s="135">
        <f t="shared" si="442"/>
        <v>103.28999999999999</v>
      </c>
      <c r="AF206" s="135">
        <f t="shared" si="442"/>
        <v>104.255</v>
      </c>
      <c r="AG206" s="116">
        <f t="shared" si="443"/>
        <v>108.322</v>
      </c>
      <c r="AH206" s="82">
        <f t="shared" si="444"/>
        <v>416.38</v>
      </c>
      <c r="AI206" s="136">
        <f t="shared" si="445"/>
        <v>119.459</v>
      </c>
      <c r="AJ206" s="135">
        <f t="shared" si="446"/>
        <v>117.64400000000001</v>
      </c>
      <c r="AK206" s="135">
        <f t="shared" si="446"/>
        <v>121.10699999999997</v>
      </c>
      <c r="AL206" s="116">
        <f t="shared" si="447"/>
        <v>126.911</v>
      </c>
      <c r="AM206" s="82">
        <f t="shared" si="448"/>
        <v>485.12099999999998</v>
      </c>
      <c r="AN206" s="136">
        <f t="shared" si="449"/>
        <v>147.31</v>
      </c>
      <c r="AO206" s="135">
        <f t="shared" si="450"/>
        <v>148.97500000000002</v>
      </c>
      <c r="AP206" s="135">
        <f t="shared" si="450"/>
        <v>150.99899999999997</v>
      </c>
      <c r="AQ206" s="116">
        <f t="shared" si="451"/>
        <v>155.60000000000002</v>
      </c>
      <c r="AR206" s="82">
        <f t="shared" si="452"/>
        <v>602.88400000000001</v>
      </c>
      <c r="AS206" s="136">
        <f t="shared" si="453"/>
        <v>173.726</v>
      </c>
      <c r="AT206" s="135">
        <f t="shared" si="454"/>
        <v>174.71600000000001</v>
      </c>
      <c r="AU206" s="135">
        <f t="shared" si="455"/>
        <v>178.34199999999998</v>
      </c>
      <c r="AV206" s="116">
        <f t="shared" si="456"/>
        <v>180.17899999999997</v>
      </c>
      <c r="AW206" s="82">
        <f t="shared" si="457"/>
        <v>706.96299999999997</v>
      </c>
      <c r="AX206" s="136">
        <f>AX21+(AS206-AS21)</f>
        <v>186.08834799999994</v>
      </c>
      <c r="AY206" s="135">
        <f>AY21+(AT206-AT21)</f>
        <v>186.57023894299999</v>
      </c>
      <c r="AZ206" s="135">
        <f>AZ21+(AU206-AU21)</f>
        <v>189.0110187991192</v>
      </c>
      <c r="BA206" s="116">
        <f>BA21+(AV206-AV21)</f>
        <v>191.38517151243275</v>
      </c>
      <c r="BB206" s="82">
        <f>SUM(AX206:BA206)</f>
        <v>753.05477725455182</v>
      </c>
      <c r="BC206" s="136">
        <f>BC21+(AX206-AX21)</f>
        <v>191.976733942224</v>
      </c>
      <c r="BD206" s="135">
        <f>BD21+(AY206-AY21)</f>
        <v>192.41505508610777</v>
      </c>
      <c r="BE206" s="135">
        <f>BE21+(AZ206-AZ21)</f>
        <v>196.78739231058319</v>
      </c>
      <c r="BF206" s="116">
        <f>BF21+(BA206-BA21)</f>
        <v>201.06422149173881</v>
      </c>
      <c r="BG206" s="82">
        <f>SUM(BC206:BF206)</f>
        <v>782.24340283065385</v>
      </c>
      <c r="BH206" s="136">
        <f>BH21+(BC206-BC21)</f>
        <v>202.03644412099055</v>
      </c>
      <c r="BI206" s="135">
        <f>BI21+(BD206-BD21)</f>
        <v>207.75051133079279</v>
      </c>
      <c r="BJ206" s="135">
        <f>BJ21+(BE206-BE21)</f>
        <v>210.11580154685615</v>
      </c>
      <c r="BK206" s="116">
        <f>BK21+(BF206-BF21)</f>
        <v>212.41647142263153</v>
      </c>
      <c r="BL206" s="82">
        <f>SUM(BH206:BK206)</f>
        <v>832.31922842127096</v>
      </c>
      <c r="BM206" s="136">
        <f>BM21+(BH206-BH21)</f>
        <v>214.32316875215238</v>
      </c>
      <c r="BN206" s="135">
        <f>BN21+(BI206-BI21)</f>
        <v>216.08683645795492</v>
      </c>
      <c r="BO206" s="135">
        <f>BO21+(BJ206-BJ21)</f>
        <v>218.84528747537644</v>
      </c>
      <c r="BP206" s="116">
        <f>BP21+(BK206-BK21)</f>
        <v>221.53332135170251</v>
      </c>
      <c r="BQ206" s="82">
        <f>SUM(BM206:BP206)</f>
        <v>870.78861403718622</v>
      </c>
      <c r="BR206" s="220"/>
      <c r="BS206" s="220"/>
      <c r="BT206" s="220"/>
      <c r="BU206" s="928"/>
      <c r="BV206" s="951"/>
      <c r="BW206" s="521"/>
      <c r="BX206" s="521"/>
      <c r="BY206" s="521"/>
      <c r="BZ206" s="521"/>
      <c r="CA206" s="929"/>
      <c r="CB206" s="929"/>
      <c r="CC206" s="930"/>
      <c r="CD206" s="930"/>
      <c r="CE206" s="930"/>
      <c r="CF206" s="220"/>
      <c r="CG206" s="220"/>
      <c r="CH206" s="220"/>
      <c r="CI206" s="220"/>
      <c r="CJ206" s="220"/>
      <c r="CK206" s="220"/>
      <c r="CL206" s="117">
        <v>106.53400000000001</v>
      </c>
      <c r="CM206" s="117">
        <v>203.84899999999999</v>
      </c>
      <c r="CN206" s="117">
        <v>295.94099999999997</v>
      </c>
      <c r="CO206" s="82">
        <f t="shared" si="458"/>
        <v>98.771000000000015</v>
      </c>
      <c r="CP206" s="117">
        <v>394.71199999999999</v>
      </c>
      <c r="CQ206" s="117">
        <v>97.572999999999993</v>
      </c>
      <c r="CR206" s="117">
        <v>193.48400000000001</v>
      </c>
      <c r="CS206" s="117">
        <v>300.45499999999998</v>
      </c>
      <c r="CT206" s="82">
        <f t="shared" si="459"/>
        <v>101.14699999999999</v>
      </c>
      <c r="CU206" s="117">
        <v>401.60199999999998</v>
      </c>
      <c r="CV206" s="117">
        <v>101.78700000000001</v>
      </c>
      <c r="CW206" s="117">
        <v>207.49299999999999</v>
      </c>
      <c r="CX206" s="117">
        <v>320.29500000000002</v>
      </c>
      <c r="CY206" s="82">
        <f t="shared" si="460"/>
        <v>66.014999999999986</v>
      </c>
      <c r="CZ206" s="117">
        <v>386.31</v>
      </c>
      <c r="DA206" s="117">
        <v>100.173</v>
      </c>
      <c r="DB206" s="117">
        <v>201.29</v>
      </c>
      <c r="DC206" s="117">
        <v>308.42099999999999</v>
      </c>
      <c r="DD206" s="82">
        <f t="shared" si="461"/>
        <v>95.903999999999996</v>
      </c>
      <c r="DE206" s="117">
        <v>404.32499999999999</v>
      </c>
      <c r="DF206" s="117">
        <v>110.327</v>
      </c>
      <c r="DG206" s="117">
        <v>215.375</v>
      </c>
      <c r="DH206" s="117">
        <v>306.00299999999999</v>
      </c>
      <c r="DI206" s="82">
        <f t="shared" si="462"/>
        <v>113.84899999999999</v>
      </c>
      <c r="DJ206" s="117">
        <v>419.85199999999998</v>
      </c>
      <c r="DK206" s="117">
        <v>100.51300000000001</v>
      </c>
      <c r="DL206" s="117">
        <v>203.803</v>
      </c>
      <c r="DM206" s="117">
        <v>308.05799999999999</v>
      </c>
      <c r="DN206" s="82">
        <f t="shared" si="463"/>
        <v>108.322</v>
      </c>
      <c r="DO206" s="117">
        <v>416.38</v>
      </c>
      <c r="DP206" s="117">
        <v>119.459</v>
      </c>
      <c r="DQ206" s="117">
        <v>237.10300000000001</v>
      </c>
      <c r="DR206" s="117">
        <v>358.21</v>
      </c>
      <c r="DS206" s="82">
        <f t="shared" si="464"/>
        <v>126.911</v>
      </c>
      <c r="DT206" s="117">
        <v>485.12099999999998</v>
      </c>
      <c r="DU206" s="117">
        <v>147.31</v>
      </c>
      <c r="DV206" s="117">
        <v>296.28500000000003</v>
      </c>
      <c r="DW206" s="117">
        <v>447.28399999999999</v>
      </c>
      <c r="DX206" s="82">
        <f t="shared" si="465"/>
        <v>155.60000000000002</v>
      </c>
      <c r="DY206" s="117">
        <v>602.88400000000001</v>
      </c>
      <c r="DZ206" s="117">
        <v>173.726</v>
      </c>
      <c r="EA206" s="117">
        <v>348.44200000000001</v>
      </c>
      <c r="EB206" s="117">
        <v>526.78399999999999</v>
      </c>
      <c r="EC206" s="82">
        <f t="shared" si="466"/>
        <v>180.17899999999997</v>
      </c>
      <c r="ED206" s="117">
        <v>706.96299999999997</v>
      </c>
    </row>
    <row r="207" spans="1:134" x14ac:dyDescent="0.2">
      <c r="A207" s="220"/>
      <c r="B207" s="220"/>
      <c r="C207" s="70" t="s">
        <v>179</v>
      </c>
      <c r="D207" s="82"/>
      <c r="E207" s="136">
        <f t="shared" si="420"/>
        <v>-6.7060000000000004</v>
      </c>
      <c r="F207" s="135">
        <f t="shared" si="421"/>
        <v>-7.665</v>
      </c>
      <c r="G207" s="135">
        <f t="shared" si="421"/>
        <v>-6.8759999999999994</v>
      </c>
      <c r="H207" s="116">
        <f t="shared" si="422"/>
        <v>-7.6009999999999991</v>
      </c>
      <c r="I207" s="223">
        <f t="shared" si="423"/>
        <v>-28.847999999999999</v>
      </c>
      <c r="J207" s="136">
        <f t="shared" si="424"/>
        <v>-9.4450000000000003</v>
      </c>
      <c r="K207" s="135">
        <f t="shared" si="425"/>
        <v>-8.0560000000000009</v>
      </c>
      <c r="L207" s="135">
        <f t="shared" si="425"/>
        <v>-9.1969999999999992</v>
      </c>
      <c r="M207" s="116">
        <f t="shared" si="426"/>
        <v>-11.643000000000001</v>
      </c>
      <c r="N207" s="223">
        <f t="shared" si="427"/>
        <v>-38.341000000000001</v>
      </c>
      <c r="O207" s="136">
        <f t="shared" si="428"/>
        <v>-9.593</v>
      </c>
      <c r="P207" s="135">
        <f t="shared" si="429"/>
        <v>-10.146000000000001</v>
      </c>
      <c r="Q207" s="135">
        <f t="shared" si="429"/>
        <v>-8.6999999999999993</v>
      </c>
      <c r="R207" s="116">
        <f t="shared" si="430"/>
        <v>-8.7250000000000014</v>
      </c>
      <c r="S207" s="82">
        <f t="shared" si="431"/>
        <v>-37.164000000000001</v>
      </c>
      <c r="T207" s="136">
        <f t="shared" si="432"/>
        <v>-8.0350000000000001</v>
      </c>
      <c r="U207" s="135">
        <f t="shared" si="433"/>
        <v>-9.1789999999999985</v>
      </c>
      <c r="V207" s="135">
        <f t="shared" si="434"/>
        <v>-9.8860000000000028</v>
      </c>
      <c r="W207" s="116">
        <f t="shared" si="435"/>
        <v>-10.009</v>
      </c>
      <c r="X207" s="82">
        <f t="shared" si="436"/>
        <v>-37.109000000000002</v>
      </c>
      <c r="Y207" s="136">
        <f t="shared" si="437"/>
        <v>-10.262</v>
      </c>
      <c r="Z207" s="135">
        <f t="shared" si="438"/>
        <v>-12.338999999999999</v>
      </c>
      <c r="AA207" s="135">
        <f t="shared" si="438"/>
        <v>-9.2910000000000004</v>
      </c>
      <c r="AB207" s="116">
        <f t="shared" si="439"/>
        <v>-8.1720000000000006</v>
      </c>
      <c r="AC207" s="82">
        <f t="shared" si="440"/>
        <v>-40.064</v>
      </c>
      <c r="AD207" s="136">
        <f t="shared" si="441"/>
        <v>-5.2640000000000002</v>
      </c>
      <c r="AE207" s="135">
        <f t="shared" si="442"/>
        <v>-5.9950000000000001</v>
      </c>
      <c r="AF207" s="135">
        <f t="shared" si="442"/>
        <v>-6.2959999999999994</v>
      </c>
      <c r="AG207" s="116">
        <f t="shared" si="443"/>
        <v>-6.2330000000000005</v>
      </c>
      <c r="AH207" s="82">
        <f t="shared" si="444"/>
        <v>-23.788</v>
      </c>
      <c r="AI207" s="136">
        <f t="shared" si="445"/>
        <v>-5.93</v>
      </c>
      <c r="AJ207" s="135">
        <f t="shared" si="446"/>
        <v>-5.6840000000000011</v>
      </c>
      <c r="AK207" s="135">
        <f t="shared" si="446"/>
        <v>-7.4559999999999995</v>
      </c>
      <c r="AL207" s="116">
        <f t="shared" si="447"/>
        <v>-7.7489999999999988</v>
      </c>
      <c r="AM207" s="82">
        <f t="shared" si="448"/>
        <v>-26.818999999999999</v>
      </c>
      <c r="AN207" s="136">
        <f t="shared" si="449"/>
        <v>-5.6479999999999997</v>
      </c>
      <c r="AO207" s="135">
        <f t="shared" si="450"/>
        <v>-7.3800000000000008</v>
      </c>
      <c r="AP207" s="135">
        <f t="shared" si="450"/>
        <v>-7.9829999999999988</v>
      </c>
      <c r="AQ207" s="116">
        <f t="shared" si="451"/>
        <v>-6.7210000000000001</v>
      </c>
      <c r="AR207" s="82">
        <f t="shared" si="452"/>
        <v>-27.731999999999999</v>
      </c>
      <c r="AS207" s="136">
        <f t="shared" si="453"/>
        <v>-6.2830000000000004</v>
      </c>
      <c r="AT207" s="135">
        <f t="shared" si="454"/>
        <v>-6.4249999999999998</v>
      </c>
      <c r="AU207" s="135">
        <f t="shared" si="455"/>
        <v>-10.682999999999998</v>
      </c>
      <c r="AV207" s="116">
        <f t="shared" si="456"/>
        <v>-6.1230000000000011</v>
      </c>
      <c r="AW207" s="82">
        <f t="shared" si="457"/>
        <v>-29.513999999999999</v>
      </c>
      <c r="AX207" s="136">
        <f>+-AX28</f>
        <v>-9.0419999999999998</v>
      </c>
      <c r="AY207" s="135">
        <f>+-AY28</f>
        <v>-9.0419999999999998</v>
      </c>
      <c r="AZ207" s="135">
        <f>+-AZ28</f>
        <v>-9.0419999999999998</v>
      </c>
      <c r="BA207" s="116">
        <f>+-BA28</f>
        <v>-9.0419999999999998</v>
      </c>
      <c r="BB207" s="82">
        <f>SUM(AX207:BA207)</f>
        <v>-36.167999999999999</v>
      </c>
      <c r="BC207" s="136">
        <f>+-BC28</f>
        <v>-12.606</v>
      </c>
      <c r="BD207" s="135">
        <f>+-BD28</f>
        <v>-12.606</v>
      </c>
      <c r="BE207" s="135">
        <f>+-BE28</f>
        <v>-12.606</v>
      </c>
      <c r="BF207" s="116">
        <f>+-BF28</f>
        <v>-12.606</v>
      </c>
      <c r="BG207" s="82">
        <f>SUM(BC207:BF207)</f>
        <v>-50.423999999999999</v>
      </c>
      <c r="BH207" s="136">
        <f>+-BH28</f>
        <v>-9.57</v>
      </c>
      <c r="BI207" s="135">
        <f>+-BI28</f>
        <v>-9.57</v>
      </c>
      <c r="BJ207" s="135">
        <f>+-BJ28</f>
        <v>-9.57</v>
      </c>
      <c r="BK207" s="116">
        <f>+-BK28</f>
        <v>-9.57</v>
      </c>
      <c r="BL207" s="82">
        <f>SUM(BH207:BK207)</f>
        <v>-38.28</v>
      </c>
      <c r="BM207" s="136">
        <f>+-BM28</f>
        <v>-10.494</v>
      </c>
      <c r="BN207" s="135">
        <f>+-BN28</f>
        <v>-10.494</v>
      </c>
      <c r="BO207" s="135">
        <f>+-BO28</f>
        <v>-10.494</v>
      </c>
      <c r="BP207" s="116">
        <f>+-BP28</f>
        <v>-10.494</v>
      </c>
      <c r="BQ207" s="82">
        <f>SUM(BM207:BP207)</f>
        <v>-41.975999999999999</v>
      </c>
      <c r="BR207" s="220"/>
      <c r="BS207" s="220"/>
      <c r="BT207" s="220"/>
      <c r="BU207" s="928"/>
      <c r="BV207" s="949"/>
      <c r="BW207" s="615"/>
      <c r="BX207" s="615"/>
      <c r="BY207" s="615"/>
      <c r="BZ207" s="615"/>
      <c r="CA207" s="958"/>
      <c r="CB207" s="615"/>
      <c r="CC207" s="615"/>
      <c r="CD207" s="615"/>
      <c r="CE207" s="615"/>
      <c r="CF207" s="220"/>
      <c r="CG207" s="220"/>
      <c r="CH207" s="220"/>
      <c r="CI207" s="220"/>
      <c r="CJ207" s="220"/>
      <c r="CK207" s="220"/>
      <c r="CL207" s="117">
        <v>-6.7060000000000004</v>
      </c>
      <c r="CM207" s="117">
        <v>-14.371</v>
      </c>
      <c r="CN207" s="117">
        <v>-21.247</v>
      </c>
      <c r="CO207" s="82">
        <f t="shared" si="458"/>
        <v>-7.6009999999999991</v>
      </c>
      <c r="CP207" s="117">
        <v>-28.847999999999999</v>
      </c>
      <c r="CQ207" s="117">
        <v>-9.4450000000000003</v>
      </c>
      <c r="CR207" s="117">
        <v>-17.501000000000001</v>
      </c>
      <c r="CS207" s="117">
        <v>-26.698</v>
      </c>
      <c r="CT207" s="82">
        <f t="shared" si="459"/>
        <v>-11.643000000000001</v>
      </c>
      <c r="CU207" s="117">
        <v>-38.341000000000001</v>
      </c>
      <c r="CV207" s="117">
        <v>-9.593</v>
      </c>
      <c r="CW207" s="117">
        <v>-19.739000000000001</v>
      </c>
      <c r="CX207" s="117">
        <v>-28.439</v>
      </c>
      <c r="CY207" s="82">
        <f t="shared" si="460"/>
        <v>-8.7250000000000014</v>
      </c>
      <c r="CZ207" s="117">
        <v>-37.164000000000001</v>
      </c>
      <c r="DA207" s="117">
        <v>-8.0350000000000001</v>
      </c>
      <c r="DB207" s="117">
        <v>-17.213999999999999</v>
      </c>
      <c r="DC207" s="117">
        <v>-27.1</v>
      </c>
      <c r="DD207" s="82">
        <f t="shared" si="461"/>
        <v>-10.009</v>
      </c>
      <c r="DE207" s="117">
        <v>-37.109000000000002</v>
      </c>
      <c r="DF207" s="117">
        <v>-10.262</v>
      </c>
      <c r="DG207" s="117">
        <v>-22.600999999999999</v>
      </c>
      <c r="DH207" s="117">
        <v>-31.891999999999999</v>
      </c>
      <c r="DI207" s="82">
        <f t="shared" si="462"/>
        <v>-8.1720000000000006</v>
      </c>
      <c r="DJ207" s="117">
        <v>-40.064</v>
      </c>
      <c r="DK207" s="117">
        <v>-5.2640000000000002</v>
      </c>
      <c r="DL207" s="117">
        <v>-11.259</v>
      </c>
      <c r="DM207" s="117">
        <v>-17.555</v>
      </c>
      <c r="DN207" s="82">
        <f t="shared" si="463"/>
        <v>-6.2330000000000005</v>
      </c>
      <c r="DO207" s="117">
        <v>-23.788</v>
      </c>
      <c r="DP207" s="117">
        <v>-5.93</v>
      </c>
      <c r="DQ207" s="117">
        <v>-11.614000000000001</v>
      </c>
      <c r="DR207" s="117">
        <v>-19.07</v>
      </c>
      <c r="DS207" s="82">
        <f t="shared" si="464"/>
        <v>-7.7489999999999988</v>
      </c>
      <c r="DT207" s="117">
        <v>-26.818999999999999</v>
      </c>
      <c r="DU207" s="117">
        <v>-5.6479999999999997</v>
      </c>
      <c r="DV207" s="117">
        <v>-13.028</v>
      </c>
      <c r="DW207" s="117">
        <v>-21.010999999999999</v>
      </c>
      <c r="DX207" s="82">
        <f t="shared" si="465"/>
        <v>-6.7210000000000001</v>
      </c>
      <c r="DY207" s="117">
        <v>-27.731999999999999</v>
      </c>
      <c r="DZ207" s="117">
        <v>-6.2830000000000004</v>
      </c>
      <c r="EA207" s="117">
        <v>-12.708</v>
      </c>
      <c r="EB207" s="117">
        <v>-23.390999999999998</v>
      </c>
      <c r="EC207" s="82">
        <f t="shared" si="466"/>
        <v>-6.1230000000000011</v>
      </c>
      <c r="ED207" s="117">
        <v>-29.513999999999999</v>
      </c>
    </row>
    <row r="208" spans="1:134" x14ac:dyDescent="0.2">
      <c r="A208" s="220"/>
      <c r="B208" s="220"/>
      <c r="C208" s="70" t="s">
        <v>180</v>
      </c>
      <c r="D208" s="82"/>
      <c r="E208" s="136">
        <f t="shared" si="420"/>
        <v>13.451000000000001</v>
      </c>
      <c r="F208" s="135">
        <f t="shared" si="421"/>
        <v>44.064</v>
      </c>
      <c r="G208" s="135">
        <f t="shared" si="421"/>
        <v>81.827999999999989</v>
      </c>
      <c r="H208" s="116">
        <f t="shared" si="422"/>
        <v>38.004000000000019</v>
      </c>
      <c r="I208" s="223">
        <f t="shared" si="423"/>
        <v>177.34700000000001</v>
      </c>
      <c r="J208" s="136">
        <f t="shared" si="424"/>
        <v>23.065999999999999</v>
      </c>
      <c r="K208" s="135">
        <f t="shared" si="425"/>
        <v>45.706999999999994</v>
      </c>
      <c r="L208" s="135">
        <f t="shared" si="425"/>
        <v>105.83000000000001</v>
      </c>
      <c r="M208" s="116">
        <f t="shared" si="426"/>
        <v>77.144000000000005</v>
      </c>
      <c r="N208" s="223">
        <f t="shared" si="427"/>
        <v>251.74700000000001</v>
      </c>
      <c r="O208" s="136">
        <f t="shared" si="428"/>
        <v>52.161999999999999</v>
      </c>
      <c r="P208" s="135">
        <f t="shared" si="429"/>
        <v>33.259000000000007</v>
      </c>
      <c r="Q208" s="135">
        <f t="shared" si="429"/>
        <v>51.250999999999991</v>
      </c>
      <c r="R208" s="116">
        <f t="shared" si="430"/>
        <v>59.448000000000008</v>
      </c>
      <c r="S208" s="223">
        <f t="shared" si="431"/>
        <v>196.12</v>
      </c>
      <c r="T208" s="136">
        <f t="shared" si="432"/>
        <v>62.024999999999999</v>
      </c>
      <c r="U208" s="135">
        <f t="shared" si="433"/>
        <v>29.646999999999998</v>
      </c>
      <c r="V208" s="135">
        <f t="shared" si="434"/>
        <v>54.906000000000006</v>
      </c>
      <c r="W208" s="116">
        <f t="shared" si="435"/>
        <v>93.402999999999992</v>
      </c>
      <c r="X208" s="223">
        <f t="shared" si="436"/>
        <v>239.98099999999999</v>
      </c>
      <c r="Y208" s="136">
        <f t="shared" si="437"/>
        <v>53.338000000000001</v>
      </c>
      <c r="Z208" s="135">
        <f t="shared" si="438"/>
        <v>33.133000000000003</v>
      </c>
      <c r="AA208" s="135">
        <f t="shared" si="438"/>
        <v>20.147999999999996</v>
      </c>
      <c r="AB208" s="116">
        <f t="shared" si="439"/>
        <v>61.824999999999989</v>
      </c>
      <c r="AC208" s="223">
        <f t="shared" si="440"/>
        <v>168.44399999999999</v>
      </c>
      <c r="AD208" s="136">
        <f t="shared" si="441"/>
        <v>46.792000000000002</v>
      </c>
      <c r="AE208" s="135">
        <f t="shared" si="442"/>
        <v>28.393000000000001</v>
      </c>
      <c r="AF208" s="135">
        <f t="shared" si="442"/>
        <v>66.145999999999987</v>
      </c>
      <c r="AG208" s="116">
        <f t="shared" si="443"/>
        <v>26.140000000000015</v>
      </c>
      <c r="AH208" s="223">
        <f t="shared" si="444"/>
        <v>167.471</v>
      </c>
      <c r="AI208" s="136">
        <f t="shared" si="445"/>
        <v>9.5649999999999995</v>
      </c>
      <c r="AJ208" s="135">
        <f t="shared" si="446"/>
        <v>52.88</v>
      </c>
      <c r="AK208" s="135">
        <f t="shared" si="446"/>
        <v>88.241000000000014</v>
      </c>
      <c r="AL208" s="116">
        <f t="shared" si="447"/>
        <v>56.150000000000006</v>
      </c>
      <c r="AM208" s="223">
        <f t="shared" si="448"/>
        <v>206.83600000000001</v>
      </c>
      <c r="AN208" s="136">
        <f t="shared" si="449"/>
        <v>47.018000000000001</v>
      </c>
      <c r="AO208" s="135">
        <f t="shared" si="450"/>
        <v>3.9000000000001478E-2</v>
      </c>
      <c r="AP208" s="135">
        <f t="shared" si="450"/>
        <v>82.352999999999994</v>
      </c>
      <c r="AQ208" s="116">
        <f t="shared" si="451"/>
        <v>66.801999999999992</v>
      </c>
      <c r="AR208" s="223">
        <f t="shared" si="452"/>
        <v>196.21199999999999</v>
      </c>
      <c r="AS208" s="136">
        <f t="shared" si="453"/>
        <v>52.411000000000001</v>
      </c>
      <c r="AT208" s="135">
        <f t="shared" si="454"/>
        <v>38.516000000000005</v>
      </c>
      <c r="AU208" s="135">
        <f t="shared" si="455"/>
        <v>7.1979999999999933</v>
      </c>
      <c r="AV208" s="116">
        <f t="shared" si="456"/>
        <v>95.046999999999997</v>
      </c>
      <c r="AW208" s="223">
        <f t="shared" si="457"/>
        <v>193.172</v>
      </c>
      <c r="AX208" s="136">
        <f>AX41</f>
        <v>26.792858228543391</v>
      </c>
      <c r="AY208" s="135">
        <f>AY41</f>
        <v>22.636283624277073</v>
      </c>
      <c r="AZ208" s="135">
        <f>AZ41</f>
        <v>55.587778544539525</v>
      </c>
      <c r="BA208" s="116">
        <f>BA41</f>
        <v>26.247356999632743</v>
      </c>
      <c r="BB208" s="34">
        <f>SUM(AX208:BA208)</f>
        <v>131.26427739699272</v>
      </c>
      <c r="BC208" s="136">
        <f>BC41</f>
        <v>30.855130192350778</v>
      </c>
      <c r="BD208" s="135">
        <f>BD41</f>
        <v>26.971009349470261</v>
      </c>
      <c r="BE208" s="135">
        <f>BE41</f>
        <v>60.465684759408816</v>
      </c>
      <c r="BF208" s="116">
        <f>BF41</f>
        <v>29.054080222734907</v>
      </c>
      <c r="BG208" s="34">
        <f>SUM(BC208:BF208)</f>
        <v>147.34590452396475</v>
      </c>
      <c r="BH208" s="136">
        <f>BH41</f>
        <v>33.381000942242402</v>
      </c>
      <c r="BI208" s="135">
        <f>BI41</f>
        <v>28.753387933762074</v>
      </c>
      <c r="BJ208" s="135">
        <f>BJ41</f>
        <v>63.47581076009098</v>
      </c>
      <c r="BK208" s="116">
        <f>BK41</f>
        <v>31.019495835997152</v>
      </c>
      <c r="BL208" s="34">
        <f>SUM(BH208:BK208)</f>
        <v>156.62969547209261</v>
      </c>
      <c r="BM208" s="136">
        <f>BM41</f>
        <v>33.953427643580753</v>
      </c>
      <c r="BN208" s="135">
        <f>BN41</f>
        <v>30.497905870256851</v>
      </c>
      <c r="BO208" s="135">
        <f>BO41</f>
        <v>65.819559448965151</v>
      </c>
      <c r="BP208" s="116">
        <f>BP41</f>
        <v>32.239701311420042</v>
      </c>
      <c r="BQ208" s="34">
        <f>SUM(BM208:BP208)</f>
        <v>162.5105942742228</v>
      </c>
      <c r="BR208" s="220"/>
      <c r="BS208" s="220"/>
      <c r="BT208" s="220"/>
      <c r="BU208" s="928"/>
      <c r="BV208" s="951"/>
      <c r="BW208" s="615"/>
      <c r="BX208" s="615"/>
      <c r="BY208" s="615"/>
      <c r="BZ208" s="615"/>
      <c r="CA208" s="615"/>
      <c r="CB208" s="615"/>
      <c r="CC208" s="615"/>
      <c r="CD208" s="615"/>
      <c r="CE208" s="615"/>
      <c r="CF208" s="220"/>
      <c r="CG208" s="220"/>
      <c r="CH208" s="220"/>
      <c r="CI208" s="220"/>
      <c r="CJ208" s="220"/>
      <c r="CK208" s="220"/>
      <c r="CL208" s="117">
        <v>13.451000000000001</v>
      </c>
      <c r="CM208" s="117">
        <v>57.515000000000001</v>
      </c>
      <c r="CN208" s="117">
        <v>139.34299999999999</v>
      </c>
      <c r="CO208" s="82">
        <f t="shared" si="458"/>
        <v>38.004000000000019</v>
      </c>
      <c r="CP208" s="117">
        <v>177.34700000000001</v>
      </c>
      <c r="CQ208" s="117">
        <v>23.065999999999999</v>
      </c>
      <c r="CR208" s="117">
        <v>68.772999999999996</v>
      </c>
      <c r="CS208" s="117">
        <v>174.60300000000001</v>
      </c>
      <c r="CT208" s="82">
        <f t="shared" si="459"/>
        <v>77.144000000000005</v>
      </c>
      <c r="CU208" s="117">
        <v>251.74700000000001</v>
      </c>
      <c r="CV208" s="117">
        <v>52.161999999999999</v>
      </c>
      <c r="CW208" s="117">
        <v>85.421000000000006</v>
      </c>
      <c r="CX208" s="117">
        <v>136.672</v>
      </c>
      <c r="CY208" s="82">
        <f t="shared" si="460"/>
        <v>59.448000000000008</v>
      </c>
      <c r="CZ208" s="117">
        <v>196.12</v>
      </c>
      <c r="DA208" s="117">
        <v>62.024999999999999</v>
      </c>
      <c r="DB208" s="117">
        <v>91.671999999999997</v>
      </c>
      <c r="DC208" s="117">
        <v>146.578</v>
      </c>
      <c r="DD208" s="82">
        <f t="shared" si="461"/>
        <v>93.402999999999992</v>
      </c>
      <c r="DE208" s="117">
        <v>239.98099999999999</v>
      </c>
      <c r="DF208" s="117">
        <v>53.338000000000001</v>
      </c>
      <c r="DG208" s="117">
        <v>86.471000000000004</v>
      </c>
      <c r="DH208" s="117">
        <v>106.619</v>
      </c>
      <c r="DI208" s="82">
        <f t="shared" si="462"/>
        <v>61.824999999999989</v>
      </c>
      <c r="DJ208" s="117">
        <v>168.44399999999999</v>
      </c>
      <c r="DK208" s="117">
        <v>46.792000000000002</v>
      </c>
      <c r="DL208" s="117">
        <v>75.185000000000002</v>
      </c>
      <c r="DM208" s="117">
        <v>141.33099999999999</v>
      </c>
      <c r="DN208" s="82">
        <f t="shared" si="463"/>
        <v>26.140000000000015</v>
      </c>
      <c r="DO208" s="117">
        <v>167.471</v>
      </c>
      <c r="DP208" s="117">
        <v>9.5649999999999995</v>
      </c>
      <c r="DQ208" s="117">
        <v>62.445</v>
      </c>
      <c r="DR208" s="117">
        <v>150.68600000000001</v>
      </c>
      <c r="DS208" s="82">
        <f t="shared" si="464"/>
        <v>56.150000000000006</v>
      </c>
      <c r="DT208" s="117">
        <v>206.83600000000001</v>
      </c>
      <c r="DU208" s="117">
        <v>47.018000000000001</v>
      </c>
      <c r="DV208" s="117">
        <v>47.057000000000002</v>
      </c>
      <c r="DW208" s="117">
        <v>129.41</v>
      </c>
      <c r="DX208" s="82">
        <f t="shared" si="465"/>
        <v>66.801999999999992</v>
      </c>
      <c r="DY208" s="117">
        <v>196.21199999999999</v>
      </c>
      <c r="DZ208" s="117">
        <v>52.411000000000001</v>
      </c>
      <c r="EA208" s="117">
        <v>90.927000000000007</v>
      </c>
      <c r="EB208" s="117">
        <v>98.125</v>
      </c>
      <c r="EC208" s="82">
        <f t="shared" si="466"/>
        <v>95.046999999999997</v>
      </c>
      <c r="ED208" s="117">
        <v>193.172</v>
      </c>
    </row>
    <row r="209" spans="1:134" x14ac:dyDescent="0.2">
      <c r="A209" s="220"/>
      <c r="B209" s="220"/>
      <c r="C209" s="70" t="s">
        <v>97</v>
      </c>
      <c r="D209" s="82"/>
      <c r="E209" s="136">
        <f t="shared" si="420"/>
        <v>23.920999999999999</v>
      </c>
      <c r="F209" s="135">
        <f t="shared" si="421"/>
        <v>17.701999999999998</v>
      </c>
      <c r="G209" s="135">
        <f t="shared" si="421"/>
        <v>18.209000000000003</v>
      </c>
      <c r="H209" s="116">
        <f t="shared" si="422"/>
        <v>31.6</v>
      </c>
      <c r="I209" s="223">
        <f t="shared" si="423"/>
        <v>91.432000000000002</v>
      </c>
      <c r="J209" s="136">
        <f t="shared" si="424"/>
        <v>19.560000000000002</v>
      </c>
      <c r="K209" s="135">
        <f t="shared" si="425"/>
        <v>22.334000000000003</v>
      </c>
      <c r="L209" s="135">
        <f t="shared" si="425"/>
        <v>25.384</v>
      </c>
      <c r="M209" s="116">
        <f t="shared" si="426"/>
        <v>41.822999999999993</v>
      </c>
      <c r="N209" s="223">
        <f t="shared" si="427"/>
        <v>109.101</v>
      </c>
      <c r="O209" s="136">
        <f t="shared" si="428"/>
        <v>19.913</v>
      </c>
      <c r="P209" s="135">
        <f t="shared" si="429"/>
        <v>18.070999999999994</v>
      </c>
      <c r="Q209" s="200">
        <f t="shared" si="429"/>
        <v>35.998000000000005</v>
      </c>
      <c r="R209" s="116">
        <f t="shared" si="430"/>
        <v>39.980000000000004</v>
      </c>
      <c r="S209" s="223">
        <f t="shared" si="431"/>
        <v>113.962</v>
      </c>
      <c r="T209" s="136">
        <f t="shared" si="432"/>
        <v>24.963999999999999</v>
      </c>
      <c r="U209" s="135">
        <f t="shared" si="433"/>
        <v>22.824000000000005</v>
      </c>
      <c r="V209" s="200">
        <f t="shared" si="434"/>
        <v>-24.529999999999994</v>
      </c>
      <c r="W209" s="116">
        <f t="shared" si="435"/>
        <v>44.152999999999977</v>
      </c>
      <c r="X209" s="223">
        <f t="shared" si="436"/>
        <v>67.410999999999987</v>
      </c>
      <c r="Y209" s="136">
        <f t="shared" si="437"/>
        <v>26.244999999999997</v>
      </c>
      <c r="Z209" s="135">
        <f t="shared" si="438"/>
        <v>22.662000000000006</v>
      </c>
      <c r="AA209" s="200">
        <f t="shared" si="438"/>
        <v>20.673999999999999</v>
      </c>
      <c r="AB209" s="116">
        <f t="shared" si="439"/>
        <v>35.938000000000002</v>
      </c>
      <c r="AC209" s="223">
        <f t="shared" si="440"/>
        <v>105.51900000000001</v>
      </c>
      <c r="AD209" s="136">
        <f t="shared" si="441"/>
        <v>31.783999999999999</v>
      </c>
      <c r="AE209" s="135">
        <f t="shared" si="442"/>
        <v>26.640000000000008</v>
      </c>
      <c r="AF209" s="200">
        <f t="shared" si="442"/>
        <v>36.153000000000006</v>
      </c>
      <c r="AG209" s="116">
        <f t="shared" si="443"/>
        <v>40.445999999999984</v>
      </c>
      <c r="AH209" s="223">
        <f t="shared" si="444"/>
        <v>135.023</v>
      </c>
      <c r="AI209" s="136">
        <f t="shared" si="445"/>
        <v>158.643</v>
      </c>
      <c r="AJ209" s="135">
        <f t="shared" si="446"/>
        <v>20.613</v>
      </c>
      <c r="AK209" s="200">
        <f t="shared" si="446"/>
        <v>39.278999999999968</v>
      </c>
      <c r="AL209" s="116">
        <f t="shared" si="447"/>
        <v>40.881000000000029</v>
      </c>
      <c r="AM209" s="223">
        <f t="shared" si="448"/>
        <v>259.416</v>
      </c>
      <c r="AN209" s="136">
        <f t="shared" si="449"/>
        <v>27.22</v>
      </c>
      <c r="AO209" s="135">
        <f t="shared" si="450"/>
        <v>32.932000000000002</v>
      </c>
      <c r="AP209" s="200">
        <f t="shared" si="450"/>
        <v>30.935999999999993</v>
      </c>
      <c r="AQ209" s="116">
        <f t="shared" si="451"/>
        <v>43.003000000000014</v>
      </c>
      <c r="AR209" s="223">
        <f t="shared" si="452"/>
        <v>134.09100000000001</v>
      </c>
      <c r="AS209" s="136">
        <f t="shared" si="453"/>
        <v>32.182000000000002</v>
      </c>
      <c r="AT209" s="135">
        <f t="shared" si="454"/>
        <v>20.075000000000003</v>
      </c>
      <c r="AU209" s="200">
        <f t="shared" si="455"/>
        <v>30.380999999999986</v>
      </c>
      <c r="AV209" s="116">
        <f t="shared" si="456"/>
        <v>41.852999999999994</v>
      </c>
      <c r="AW209" s="223">
        <f t="shared" si="457"/>
        <v>124.49099999999999</v>
      </c>
      <c r="AX209" s="136">
        <f>+BB209/4</f>
        <v>0</v>
      </c>
      <c r="AY209" s="135">
        <f>(BB209-SUM(AX209:AX209))/3</f>
        <v>0</v>
      </c>
      <c r="AZ209" s="135">
        <f>(BB209-SUM(AX209:AY209))/2</f>
        <v>0</v>
      </c>
      <c r="BA209" s="116">
        <f>(BB209-SUM(AX209:AZ209))/1</f>
        <v>0</v>
      </c>
      <c r="BB209" s="34">
        <v>0</v>
      </c>
      <c r="BC209" s="136">
        <f>+BG209/4</f>
        <v>0</v>
      </c>
      <c r="BD209" s="135">
        <f>(BG209-SUM(BC209:BC209))/3</f>
        <v>0</v>
      </c>
      <c r="BE209" s="135">
        <f>(BG209-SUM(BC209:BD209))/2</f>
        <v>0</v>
      </c>
      <c r="BF209" s="116">
        <f>(BG209-SUM(BC209:BE209))/1</f>
        <v>0</v>
      </c>
      <c r="BG209" s="34">
        <v>0</v>
      </c>
      <c r="BH209" s="136">
        <f>+BL209/4</f>
        <v>0</v>
      </c>
      <c r="BI209" s="135">
        <f>(BL209-SUM(BH209:BH209))/3</f>
        <v>0</v>
      </c>
      <c r="BJ209" s="135">
        <f>(BL209-SUM(BH209:BI209))/2</f>
        <v>0</v>
      </c>
      <c r="BK209" s="116">
        <f>(BL209-SUM(BH209:BJ209))/1</f>
        <v>0</v>
      </c>
      <c r="BL209" s="34">
        <v>0</v>
      </c>
      <c r="BM209" s="136">
        <f>+BQ209/4</f>
        <v>0</v>
      </c>
      <c r="BN209" s="135">
        <f>(BQ209-SUM(BM209:BM209))/3</f>
        <v>0</v>
      </c>
      <c r="BO209" s="135">
        <f>(BQ209-SUM(BM209:BN209))/2</f>
        <v>0</v>
      </c>
      <c r="BP209" s="116">
        <f>(BQ209-SUM(BM209:BO209))/1</f>
        <v>0</v>
      </c>
      <c r="BQ209" s="34">
        <v>0</v>
      </c>
      <c r="BR209" s="220"/>
      <c r="BS209" s="220"/>
      <c r="BT209" s="220"/>
      <c r="BU209" s="615"/>
      <c r="BV209" s="949"/>
      <c r="BW209" s="615"/>
      <c r="BX209" s="615"/>
      <c r="BY209" s="615"/>
      <c r="BZ209" s="615"/>
      <c r="CA209" s="615"/>
      <c r="CB209" s="615"/>
      <c r="CC209" s="615"/>
      <c r="CD209" s="615"/>
      <c r="CE209" s="615"/>
      <c r="CF209" s="220"/>
      <c r="CG209" s="220"/>
      <c r="CH209" s="220"/>
      <c r="CI209" s="220"/>
      <c r="CJ209" s="220"/>
      <c r="CK209" s="220"/>
      <c r="CL209" s="117">
        <f>19.29-0.876+5.507</f>
        <v>23.920999999999999</v>
      </c>
      <c r="CM209" s="117">
        <f>37.713-1.752+5.662</f>
        <v>41.622999999999998</v>
      </c>
      <c r="CN209" s="117">
        <f>59.52-2.628+2.94</f>
        <v>59.832000000000001</v>
      </c>
      <c r="CO209" s="82">
        <f t="shared" si="458"/>
        <v>31.6</v>
      </c>
      <c r="CP209" s="117">
        <f>80.104-3.12+19.408-4.96</f>
        <v>91.432000000000002</v>
      </c>
      <c r="CQ209" s="117">
        <f>25.98-0.779-5.641</f>
        <v>19.560000000000002</v>
      </c>
      <c r="CR209" s="117">
        <f>49.551-1.558-6.099</f>
        <v>41.894000000000005</v>
      </c>
      <c r="CS209" s="117">
        <f>78.15-2.338-8.534</f>
        <v>67.278000000000006</v>
      </c>
      <c r="CT209" s="82">
        <f t="shared" si="459"/>
        <v>41.822999999999993</v>
      </c>
      <c r="CU209" s="117">
        <f>-2.697+15.213-8.784+105.369</f>
        <v>109.101</v>
      </c>
      <c r="CV209" s="117">
        <f>25.551-0.673-4.965</f>
        <v>19.913</v>
      </c>
      <c r="CW209" s="117">
        <f>43.732-1.347-4.401</f>
        <v>37.983999999999995</v>
      </c>
      <c r="CX209" s="117">
        <f>75.292-2.021+0.711</f>
        <v>73.981999999999999</v>
      </c>
      <c r="CY209" s="82">
        <f t="shared" si="460"/>
        <v>39.980000000000004</v>
      </c>
      <c r="CZ209" s="117">
        <f>100.902-2.694+15.936-0.182</f>
        <v>113.962</v>
      </c>
      <c r="DA209" s="117">
        <f>26-0.675-0.361</f>
        <v>24.963999999999999</v>
      </c>
      <c r="DB209" s="117">
        <f>49.765-1.351-0.626</f>
        <v>47.788000000000004</v>
      </c>
      <c r="DC209" s="117">
        <f>79.171-2.026-53.887</f>
        <v>23.25800000000001</v>
      </c>
      <c r="DD209" s="82">
        <f t="shared" si="461"/>
        <v>44.152999999999977</v>
      </c>
      <c r="DE209" s="117">
        <f>102.651-2.7+11.241+10.1-53.881</f>
        <v>67.410999999999987</v>
      </c>
      <c r="DF209" s="117">
        <f>27.522-0.67-0.607</f>
        <v>26.244999999999997</v>
      </c>
      <c r="DG209" s="117">
        <f>49.485-1.339+0.761</f>
        <v>48.907000000000004</v>
      </c>
      <c r="DH209" s="117">
        <f>76.447-2.01-4.856</f>
        <v>69.581000000000003</v>
      </c>
      <c r="DI209" s="82">
        <f t="shared" si="462"/>
        <v>35.938000000000002</v>
      </c>
      <c r="DJ209" s="117">
        <f>98.089+13.418-4.175-1.813</f>
        <v>105.51900000000001</v>
      </c>
      <c r="DK209" s="117">
        <f>28.862-0.455+3.377</f>
        <v>31.783999999999999</v>
      </c>
      <c r="DL209" s="117">
        <f>60.466-0.91-1.132</f>
        <v>58.424000000000007</v>
      </c>
      <c r="DM209" s="117">
        <f>92.278-1.368+3.667</f>
        <v>94.577000000000012</v>
      </c>
      <c r="DN209" s="82">
        <f t="shared" si="463"/>
        <v>40.445999999999984</v>
      </c>
      <c r="DO209" s="117">
        <f>114.542-1.735+17.193+5.023</f>
        <v>135.023</v>
      </c>
      <c r="DP209" s="117">
        <f>28.465-0.433+124.226+6.385</f>
        <v>158.643</v>
      </c>
      <c r="DQ209" s="117">
        <f>49.454-0.866+124.226+6.442</f>
        <v>179.256</v>
      </c>
      <c r="DR209" s="117">
        <f>82.627-1.299+124.226+12.981</f>
        <v>218.53499999999997</v>
      </c>
      <c r="DS209" s="82">
        <f t="shared" si="464"/>
        <v>40.881000000000029</v>
      </c>
      <c r="DT209" s="117">
        <f>106.424+-1.729+14.42+124.226+16.075</f>
        <v>259.416</v>
      </c>
      <c r="DU209" s="117">
        <f>25.75-0.42+1.89</f>
        <v>27.22</v>
      </c>
      <c r="DV209" s="117">
        <f>58.267-0.84+2.725</f>
        <v>60.152000000000001</v>
      </c>
      <c r="DW209" s="117">
        <f>89.475-1.26+2.873</f>
        <v>91.087999999999994</v>
      </c>
      <c r="DX209" s="82">
        <f t="shared" si="465"/>
        <v>43.003000000000014</v>
      </c>
      <c r="DY209" s="117">
        <f>116.982-1.663+15.043+3.729</f>
        <v>134.09100000000001</v>
      </c>
      <c r="DZ209" s="117">
        <f>30.852-0.414+1.744</f>
        <v>32.182000000000002</v>
      </c>
      <c r="EA209" s="117">
        <f>57.003-0.827-2.973-0.946</f>
        <v>52.257000000000005</v>
      </c>
      <c r="EB209" s="117">
        <f>87.654-1.241-2.703-1.072</f>
        <v>82.637999999999991</v>
      </c>
      <c r="EC209" s="82">
        <f t="shared" si="466"/>
        <v>41.852999999999994</v>
      </c>
      <c r="ED209" s="117">
        <f>114.362-1.648+15.683-2.784-1.122</f>
        <v>124.49099999999999</v>
      </c>
    </row>
    <row r="210" spans="1:134" x14ac:dyDescent="0.2">
      <c r="A210" s="220"/>
      <c r="B210" s="220"/>
      <c r="C210" s="70" t="s">
        <v>181</v>
      </c>
      <c r="D210" s="82"/>
      <c r="E210" s="136">
        <f t="shared" si="420"/>
        <v>228.93</v>
      </c>
      <c r="F210" s="135">
        <f t="shared" si="421"/>
        <v>-82.913999999999959</v>
      </c>
      <c r="G210" s="135">
        <f t="shared" si="421"/>
        <v>5.1999999999992497E-2</v>
      </c>
      <c r="H210" s="116">
        <f t="shared" si="422"/>
        <v>-13.404000000000053</v>
      </c>
      <c r="I210" s="223">
        <f t="shared" si="423"/>
        <v>132.66399999999999</v>
      </c>
      <c r="J210" s="136">
        <f t="shared" si="424"/>
        <v>72.844000000000023</v>
      </c>
      <c r="K210" s="135">
        <f t="shared" si="425"/>
        <v>-157.91000000000003</v>
      </c>
      <c r="L210" s="135">
        <f t="shared" si="425"/>
        <v>-58.743000000000023</v>
      </c>
      <c r="M210" s="116">
        <f t="shared" si="426"/>
        <v>19.771000000000015</v>
      </c>
      <c r="N210" s="223">
        <f t="shared" si="427"/>
        <v>-124.03800000000001</v>
      </c>
      <c r="O210" s="136">
        <f t="shared" si="428"/>
        <v>8.9119999999999919</v>
      </c>
      <c r="P210" s="135">
        <f t="shared" si="429"/>
        <v>73.827999999999975</v>
      </c>
      <c r="Q210" s="135">
        <f t="shared" si="429"/>
        <v>-14.636999999999958</v>
      </c>
      <c r="R210" s="116">
        <f t="shared" si="430"/>
        <v>-30.981000000000009</v>
      </c>
      <c r="S210" s="223">
        <f t="shared" si="431"/>
        <v>37.122</v>
      </c>
      <c r="T210" s="136">
        <f t="shared" si="432"/>
        <v>-123.42299999999997</v>
      </c>
      <c r="U210" s="135">
        <f t="shared" si="433"/>
        <v>-90.220000000000027</v>
      </c>
      <c r="V210" s="135">
        <f t="shared" si="434"/>
        <v>-7.5670000000000073</v>
      </c>
      <c r="W210" s="116">
        <f t="shared" si="435"/>
        <v>-78.564999999999969</v>
      </c>
      <c r="X210" s="223">
        <f t="shared" si="436"/>
        <v>-299.77499999999998</v>
      </c>
      <c r="Y210" s="136">
        <f t="shared" si="437"/>
        <v>24.802</v>
      </c>
      <c r="Z210" s="135">
        <f t="shared" si="438"/>
        <v>-66.17</v>
      </c>
      <c r="AA210" s="135">
        <f t="shared" si="438"/>
        <v>118.48499999999999</v>
      </c>
      <c r="AB210" s="116">
        <f t="shared" si="439"/>
        <v>-55.33299999999997</v>
      </c>
      <c r="AC210" s="223">
        <f t="shared" si="440"/>
        <v>21.784000000000002</v>
      </c>
      <c r="AD210" s="136">
        <f t="shared" si="441"/>
        <v>-86.906000000000006</v>
      </c>
      <c r="AE210" s="135">
        <f t="shared" si="442"/>
        <v>33.237999999999985</v>
      </c>
      <c r="AF210" s="135">
        <f t="shared" si="442"/>
        <v>80.15800000000003</v>
      </c>
      <c r="AG210" s="116">
        <f t="shared" si="443"/>
        <v>-14.394000000000045</v>
      </c>
      <c r="AH210" s="223">
        <f t="shared" si="444"/>
        <v>12.095999999999968</v>
      </c>
      <c r="AI210" s="136">
        <f t="shared" si="445"/>
        <v>126.68500000000002</v>
      </c>
      <c r="AJ210" s="135">
        <f t="shared" si="446"/>
        <v>-34.054000000000045</v>
      </c>
      <c r="AK210" s="135">
        <f t="shared" si="446"/>
        <v>-4.1979999999999791</v>
      </c>
      <c r="AL210" s="116">
        <f t="shared" si="447"/>
        <v>-49.978999999999985</v>
      </c>
      <c r="AM210" s="223">
        <f t="shared" si="448"/>
        <v>38.454000000000008</v>
      </c>
      <c r="AN210" s="136">
        <f t="shared" si="449"/>
        <v>2.2850000000000046</v>
      </c>
      <c r="AO210" s="135">
        <f t="shared" si="450"/>
        <v>43.490000000000023</v>
      </c>
      <c r="AP210" s="135">
        <f t="shared" si="450"/>
        <v>-30.421000000000031</v>
      </c>
      <c r="AQ210" s="116">
        <f t="shared" si="451"/>
        <v>-104.55299999999998</v>
      </c>
      <c r="AR210" s="223">
        <f t="shared" si="452"/>
        <v>-89.198999999999984</v>
      </c>
      <c r="AS210" s="136">
        <f t="shared" si="453"/>
        <v>-34.567000000000014</v>
      </c>
      <c r="AT210" s="135">
        <f t="shared" si="454"/>
        <v>-161.98399999999998</v>
      </c>
      <c r="AU210" s="135">
        <f t="shared" si="455"/>
        <v>33.18799999999996</v>
      </c>
      <c r="AV210" s="116">
        <f t="shared" si="456"/>
        <v>-49.170999999999992</v>
      </c>
      <c r="AW210" s="223">
        <f t="shared" si="457"/>
        <v>-212.53400000000002</v>
      </c>
      <c r="AX210" s="136">
        <f>+BB210/4</f>
        <v>0</v>
      </c>
      <c r="AY210" s="135">
        <f>(BB210-SUM(AX210:AX210))/3</f>
        <v>0</v>
      </c>
      <c r="AZ210" s="135">
        <f>(BB210-SUM(AX210:AY210))/2</f>
        <v>0</v>
      </c>
      <c r="BA210" s="116">
        <f>(BB210-SUM(AX210:AZ210))/1</f>
        <v>0</v>
      </c>
      <c r="BB210" s="34">
        <v>0</v>
      </c>
      <c r="BC210" s="136">
        <f>+BG210/4</f>
        <v>0</v>
      </c>
      <c r="BD210" s="135">
        <f>(BG210-SUM(BC210:BC210))/3</f>
        <v>0</v>
      </c>
      <c r="BE210" s="135">
        <f>(BG210-SUM(BC210:BD210))/2</f>
        <v>0</v>
      </c>
      <c r="BF210" s="116">
        <f>(BG210-SUM(BC210:BE210))/1</f>
        <v>0</v>
      </c>
      <c r="BG210" s="34">
        <v>0</v>
      </c>
      <c r="BH210" s="136">
        <f>+BL210/4</f>
        <v>0</v>
      </c>
      <c r="BI210" s="135">
        <f>(BL210-SUM(BH210:BH210))/3</f>
        <v>0</v>
      </c>
      <c r="BJ210" s="135">
        <f>(BL210-SUM(BH210:BI210))/2</f>
        <v>0</v>
      </c>
      <c r="BK210" s="116">
        <f>(BL210-SUM(BH210:BJ210))/1</f>
        <v>0</v>
      </c>
      <c r="BL210" s="34">
        <v>0</v>
      </c>
      <c r="BM210" s="136">
        <f>+BQ210/4</f>
        <v>0</v>
      </c>
      <c r="BN210" s="135">
        <f>(BQ210-SUM(BM210:BM210))/3</f>
        <v>0</v>
      </c>
      <c r="BO210" s="135">
        <f>(BQ210-SUM(BM210:BN210))/2</f>
        <v>0</v>
      </c>
      <c r="BP210" s="116">
        <f>(BQ210-SUM(BM210:BO210))/1</f>
        <v>0</v>
      </c>
      <c r="BQ210" s="34">
        <v>0</v>
      </c>
      <c r="BR210" s="220"/>
      <c r="BS210" s="220"/>
      <c r="BT210" s="220"/>
      <c r="BU210" s="615"/>
      <c r="BV210" s="952"/>
      <c r="BW210" s="615"/>
      <c r="BX210" s="615"/>
      <c r="BY210" s="615"/>
      <c r="BZ210" s="615"/>
      <c r="CA210" s="615"/>
      <c r="CB210" s="615"/>
      <c r="CC210" s="615"/>
      <c r="CD210" s="615"/>
      <c r="CE210" s="615"/>
      <c r="CF210" s="220"/>
      <c r="CG210" s="220"/>
      <c r="CH210" s="220"/>
      <c r="CI210" s="220"/>
      <c r="CJ210" s="220"/>
      <c r="CK210" s="220"/>
      <c r="CL210" s="117">
        <f>26.905+53.414+125.739+20.444-7.283-12.98+12.031+19.827-0.021-9.146</f>
        <v>228.93</v>
      </c>
      <c r="CM210" s="117">
        <f>88.107+75.265+126.879-13.764-3.327-103.856+8.721+0.699-0.023-32.685</f>
        <v>146.01600000000005</v>
      </c>
      <c r="CN210" s="117">
        <f>130.467+86.993+77.658+0.232-16.378-66.97-25.529-5.094-0.225-35.086</f>
        <v>146.06800000000004</v>
      </c>
      <c r="CO210" s="82">
        <f t="shared" si="458"/>
        <v>-13.404000000000053</v>
      </c>
      <c r="CP210" s="117">
        <f>74.818+19.113+89.984-13.589+39.229-70.879+19.066+0.044-25.122</f>
        <v>132.66399999999999</v>
      </c>
      <c r="CQ210" s="117">
        <f>10.695+56.276+50.03-2.726-88.089+38.095+9.449+0.311+0.144-1.341</f>
        <v>72.844000000000023</v>
      </c>
      <c r="CR210" s="117">
        <f>21.978+46.542+36.142-35.812-116.181-11.638-16.065+2.458-0.194-12.296</f>
        <v>-85.066000000000003</v>
      </c>
      <c r="CS210" s="117">
        <f>10.061+52.331-13.889+27.401-60.131-146.757+5.101-3.59+0.284-14.62</f>
        <v>-143.80900000000003</v>
      </c>
      <c r="CT210" s="82">
        <f t="shared" si="459"/>
        <v>19.771000000000015</v>
      </c>
      <c r="CU210" s="117">
        <f>-24.216-20.055-24.254-0.858-70.715+18.575+39.899+0.459-42.873</f>
        <v>-124.03800000000001</v>
      </c>
      <c r="CV210" s="117">
        <f>+-43.599+63.705+65.162-7.033-29.501+16.905+11.616-43.209-2.735-22.399</f>
        <v>8.9119999999999919</v>
      </c>
      <c r="CW210" s="117">
        <f>24.654+57.26+47.168-0.538+46.431-8.48-10.792-43.484-2.586-26.893</f>
        <v>82.739999999999966</v>
      </c>
      <c r="CX210" s="117">
        <f>-4.855+65.382-2.621+10.382-51.371+108.126+19.929-44.394-1.6-30.875</f>
        <v>68.103000000000009</v>
      </c>
      <c r="CY210" s="82">
        <f t="shared" si="460"/>
        <v>-30.981000000000009</v>
      </c>
      <c r="CZ210" s="117">
        <f>-8.195+18.09-21.675-0.614-33.806+75.39+91.532-39.925-7.33-36.345</f>
        <v>37.122</v>
      </c>
      <c r="DA210" s="117">
        <f>-86.112+63.486+67.42-31.155-63.414+20.904+8.531-77.603-23.427-2.053</f>
        <v>-123.42299999999997</v>
      </c>
      <c r="DB210" s="117">
        <f>-83.951+39.555+57.811-25.456-62.066-7.165-29.202-73.61-23.952-5.607</f>
        <v>-213.643</v>
      </c>
      <c r="DC210" s="117">
        <f>-153.483+54.977+36.492-20.088-13.584-0.381-34.971-70.987-16.248-2.937</f>
        <v>-221.21</v>
      </c>
      <c r="DD210" s="82">
        <f t="shared" si="461"/>
        <v>-78.564999999999969</v>
      </c>
      <c r="DE210" s="117">
        <f>-214.886+1.639+41.09-30.708-29.055-15.416+33.727-71.149-14.465-0.552</f>
        <v>-299.77499999999998</v>
      </c>
      <c r="DF210" s="117">
        <f>-25.251+25.672+33.946-23.131+11.242+19.685+38.294-69.407+17.652-3.9</f>
        <v>24.802</v>
      </c>
      <c r="DG210" s="117">
        <f>-61.455+6.608+3.551+44.212-14.054+29.939+10.159-66.292+15.662-9.698</f>
        <v>-41.368000000000002</v>
      </c>
      <c r="DH210" s="117">
        <f>-73.538+22.053-32.95+29.509+33.623+27.368+126.474-63.513+13.886-5.795</f>
        <v>77.116999999999976</v>
      </c>
      <c r="DI210" s="82">
        <f t="shared" si="462"/>
        <v>-55.33299999999997</v>
      </c>
      <c r="DJ210" s="117">
        <f>3.22-25.748-19.404+22.316+68.003+10.703+36.709-59.953-9.599-4.463</f>
        <v>21.784000000000002</v>
      </c>
      <c r="DK210" s="117">
        <f>-141.607+37.702+71.897-30.263-21.756+23.282+10.783-51.582+33.347-18.709</f>
        <v>-86.906000000000006</v>
      </c>
      <c r="DL210" s="117">
        <f>-42.406+46.614+39.086-7.177-88.173+67.529-33.407-47.456+33.355-21.633</f>
        <v>-53.668000000000021</v>
      </c>
      <c r="DM210" s="117">
        <f>-50.666+62.776-19.841-10.669-73.307+95.605+51.371-46.727+34.138-16.19</f>
        <v>26.490000000000013</v>
      </c>
      <c r="DN210" s="82">
        <f t="shared" si="463"/>
        <v>-14.394000000000045</v>
      </c>
      <c r="DO210" s="117">
        <f>-104.655+3.825-10.285-33.284-50.569+101.826+118.576-41.924+34.571-5.985</f>
        <v>12.095999999999968</v>
      </c>
      <c r="DP210" s="117">
        <f>10.584+57.484+27.059+14.042-8.405+37.558+42.288-32.33-0.115-21.48</f>
        <v>126.68500000000002</v>
      </c>
      <c r="DQ210" s="117">
        <f>78.369+40.527+5.774+37.783-35.275+15.32-2.478-29.92-0.033-17.436</f>
        <v>92.630999999999972</v>
      </c>
      <c r="DR210" s="117">
        <f>37.538+58.74-55.075+44.458-37.645+18.491+71.837-28.789-0.157-20.965</f>
        <v>88.432999999999993</v>
      </c>
      <c r="DS210" s="82">
        <f t="shared" si="464"/>
        <v>-49.978999999999985</v>
      </c>
      <c r="DT210" s="117">
        <f>66.539+24.485+-53.468+23.303+-39.696-6.459+77.998-22.265-0.219-31.764</f>
        <v>38.454000000000008</v>
      </c>
      <c r="DU210" s="117">
        <f>-45.382+40.322+35.378-14.146-4.057+51.517-12.118-48.074-0.043-1.112</f>
        <v>2.2850000000000046</v>
      </c>
      <c r="DV210" s="117">
        <f>-15.345+14.731+30.727+42.89-5.344+70.287-35.304-45.988-4.46-6.419</f>
        <v>45.775000000000027</v>
      </c>
      <c r="DW210" s="117">
        <f>-46.294+26.66+5.709+24.431+19.736+57.452-3.947-42.447-8.862-17.084</f>
        <v>15.353999999999996</v>
      </c>
      <c r="DX210" s="82">
        <f t="shared" si="465"/>
        <v>-104.55299999999998</v>
      </c>
      <c r="DY210" s="117">
        <f>-53.05-32.488-1.115-16.99+24.075+46.906+19.084-42.348-7.701-25.572</f>
        <v>-89.198999999999984</v>
      </c>
      <c r="DZ210" s="117">
        <f>-25.483+69.893+32.678-6.397-22.007+1.513-16.016-58.004+0.849-11.593</f>
        <v>-34.567000000000014</v>
      </c>
      <c r="EA210" s="117">
        <f>-23.008+45.497+18.901-56.145-17.828+2.613-94.5-57.698-2.505-11.878</f>
        <v>-196.55099999999999</v>
      </c>
      <c r="EB210" s="117">
        <f>-14.677+33.465-4.265+35.591-34.275-15.467-73.898-55.548-3.585-30.704</f>
        <v>-163.36300000000003</v>
      </c>
      <c r="EC210" s="82">
        <f t="shared" si="466"/>
        <v>-49.170999999999992</v>
      </c>
      <c r="ED210" s="117">
        <f>-29.825-18.126+7.641-25.274+46.525-36.447-71.801-56.653+5.51-34.084</f>
        <v>-212.53400000000002</v>
      </c>
    </row>
    <row r="211" spans="1:134" x14ac:dyDescent="0.2">
      <c r="A211" s="220"/>
      <c r="B211" s="220"/>
      <c r="C211" s="141" t="s">
        <v>182</v>
      </c>
      <c r="D211" s="82"/>
      <c r="E211" s="121">
        <f>SUM(E205:E210)</f>
        <v>442.32900000000001</v>
      </c>
      <c r="F211" s="122">
        <f>SUM(F205:F210)</f>
        <v>118.4</v>
      </c>
      <c r="G211" s="122">
        <f>SUM(G205:G210)</f>
        <v>277.85399999999993</v>
      </c>
      <c r="H211" s="123">
        <f>SUM(H205:H210)</f>
        <v>222.49399999999997</v>
      </c>
      <c r="I211" s="127">
        <f t="shared" si="423"/>
        <v>1061.077</v>
      </c>
      <c r="J211" s="121">
        <f>SUM(J205:J210)</f>
        <v>267.73700000000002</v>
      </c>
      <c r="K211" s="122">
        <f>SUM(K205:K210)</f>
        <v>42.025999999999982</v>
      </c>
      <c r="L211" s="122">
        <f>SUM(L205:L210)</f>
        <v>280.03199999999993</v>
      </c>
      <c r="M211" s="123">
        <f>SUM(M205:M210)</f>
        <v>284.50100000000003</v>
      </c>
      <c r="N211" s="127">
        <f t="shared" si="427"/>
        <v>874.29599999999994</v>
      </c>
      <c r="O211" s="121">
        <f>SUM(O205:O210)</f>
        <v>265.35599999999999</v>
      </c>
      <c r="P211" s="122">
        <f>SUM(P205:P210)</f>
        <v>285.94099999999992</v>
      </c>
      <c r="Q211" s="122">
        <f>SUM(Q205:Q210)</f>
        <v>318.6160000000001</v>
      </c>
      <c r="R211" s="123">
        <f>SUM(R205:R210)</f>
        <v>179.41800000000001</v>
      </c>
      <c r="S211" s="127">
        <f t="shared" si="431"/>
        <v>1049.3309999999999</v>
      </c>
      <c r="T211" s="121">
        <f>SUM(T205:T210)</f>
        <v>132.69000000000003</v>
      </c>
      <c r="U211" s="122">
        <f>SUM(U205:U210)</f>
        <v>118.50099999999995</v>
      </c>
      <c r="V211" s="122">
        <f>SUM(V205:V210)</f>
        <v>256.06500000000005</v>
      </c>
      <c r="W211" s="123">
        <f>SUM(W205:W210)</f>
        <v>207.71799999999999</v>
      </c>
      <c r="X211" s="127">
        <f t="shared" si="436"/>
        <v>714.97399999999993</v>
      </c>
      <c r="Y211" s="121">
        <f>SUM(Y205:Y210)</f>
        <v>306.41500000000002</v>
      </c>
      <c r="Z211" s="122">
        <f>SUM(Z205:Z210)</f>
        <v>160.03500000000003</v>
      </c>
      <c r="AA211" s="122">
        <f>SUM(AA205:AA210)</f>
        <v>395.75</v>
      </c>
      <c r="AB211" s="123">
        <f>SUM(AB205:AB210)</f>
        <v>206.68100000000004</v>
      </c>
      <c r="AC211" s="127">
        <f t="shared" si="440"/>
        <v>1068.8810000000001</v>
      </c>
      <c r="AD211" s="121">
        <f>SUM(AD205:AD210)</f>
        <v>195.28300000000002</v>
      </c>
      <c r="AE211" s="122">
        <f>SUM(AE205:AE210)</f>
        <v>260.83199999999999</v>
      </c>
      <c r="AF211" s="122">
        <f>SUM(AF205:AF210)</f>
        <v>414.88499999999999</v>
      </c>
      <c r="AG211" s="123">
        <f>SUM(AG205:AG210)</f>
        <v>241.09700000000001</v>
      </c>
      <c r="AH211" s="127">
        <f t="shared" si="444"/>
        <v>1112.097</v>
      </c>
      <c r="AI211" s="121">
        <f>SUM(AI205:AI210)</f>
        <v>415.346</v>
      </c>
      <c r="AJ211" s="122">
        <f>SUM(AJ205:AJ210)</f>
        <v>225.57999999999998</v>
      </c>
      <c r="AK211" s="122">
        <f>SUM(AK205:AK210)</f>
        <v>412.52199999999993</v>
      </c>
      <c r="AL211" s="123">
        <f>SUM(AL205:AL210)</f>
        <v>266.39900000000006</v>
      </c>
      <c r="AM211" s="127">
        <f t="shared" si="448"/>
        <v>1319.847</v>
      </c>
      <c r="AN211" s="121">
        <f>SUM(AN205:AN210)</f>
        <v>312.81400000000002</v>
      </c>
      <c r="AO211" s="122">
        <f>SUM(AO205:AO210)</f>
        <v>296.23200000000003</v>
      </c>
      <c r="AP211" s="122">
        <f>SUM(AP205:AP210)</f>
        <v>432.43599999999992</v>
      </c>
      <c r="AQ211" s="123">
        <f>SUM(AQ205:AQ210)</f>
        <v>263.51800000000003</v>
      </c>
      <c r="AR211" s="127">
        <f t="shared" si="452"/>
        <v>1305</v>
      </c>
      <c r="AS211" s="121">
        <f>SUM(AS205:AS210)</f>
        <v>311.63499999999999</v>
      </c>
      <c r="AT211" s="122">
        <f>SUM(AT205:AT210)</f>
        <v>152.56000000000006</v>
      </c>
      <c r="AU211" s="122">
        <f>SUM(AU205:AU210)</f>
        <v>467.42899999999997</v>
      </c>
      <c r="AV211" s="123">
        <f>SUM(AV205:AV210)</f>
        <v>341.07499999999993</v>
      </c>
      <c r="AW211" s="127">
        <f t="shared" si="457"/>
        <v>1272.6989999999998</v>
      </c>
      <c r="AX211" s="121">
        <f t="shared" ref="AX211:BG211" si="467">SUM(AX205:AX210)</f>
        <v>307.87406722065168</v>
      </c>
      <c r="AY211" s="122">
        <f t="shared" si="467"/>
        <v>289.46243723516858</v>
      </c>
      <c r="AZ211" s="122">
        <f t="shared" si="467"/>
        <v>441.68273945611702</v>
      </c>
      <c r="BA211" s="123">
        <f t="shared" si="467"/>
        <v>310.69133969258081</v>
      </c>
      <c r="BB211" s="86">
        <f t="shared" si="467"/>
        <v>1349.710583604518</v>
      </c>
      <c r="BC211" s="121">
        <f t="shared" si="467"/>
        <v>332.22732572563666</v>
      </c>
      <c r="BD211" s="122">
        <f t="shared" si="467"/>
        <v>315.01055212915441</v>
      </c>
      <c r="BE211" s="122">
        <f t="shared" si="467"/>
        <v>471.63141394425963</v>
      </c>
      <c r="BF211" s="123">
        <f t="shared" si="467"/>
        <v>333.12822250417088</v>
      </c>
      <c r="BG211" s="86">
        <f t="shared" si="467"/>
        <v>1451.9975143032216</v>
      </c>
      <c r="BH211" s="121">
        <f t="shared" ref="BH211:BQ211" si="468">SUM(BH205:BH210)</f>
        <v>353.76826658572878</v>
      </c>
      <c r="BI211" s="122">
        <f t="shared" si="468"/>
        <v>338.44772921152952</v>
      </c>
      <c r="BJ211" s="122">
        <f t="shared" si="468"/>
        <v>498.6422140927242</v>
      </c>
      <c r="BK211" s="123">
        <f t="shared" si="468"/>
        <v>353.41417976807281</v>
      </c>
      <c r="BL211" s="86">
        <f t="shared" si="468"/>
        <v>1544.2723896580553</v>
      </c>
      <c r="BM211" s="121">
        <f t="shared" si="468"/>
        <v>368.65693076842854</v>
      </c>
      <c r="BN211" s="122">
        <f t="shared" si="468"/>
        <v>354.71368132275876</v>
      </c>
      <c r="BO211" s="122">
        <f t="shared" si="468"/>
        <v>518.02510315249083</v>
      </c>
      <c r="BP211" s="123">
        <f t="shared" si="468"/>
        <v>368.07741822179423</v>
      </c>
      <c r="BQ211" s="86">
        <f t="shared" si="468"/>
        <v>1609.4731334654723</v>
      </c>
      <c r="BR211" s="220"/>
      <c r="BS211" s="220"/>
      <c r="BT211" s="220"/>
      <c r="BU211" s="931"/>
      <c r="BV211" s="950"/>
      <c r="BW211" s="615"/>
      <c r="BX211" s="615"/>
      <c r="BY211" s="615"/>
      <c r="BZ211" s="615"/>
      <c r="CA211" s="615"/>
      <c r="CB211" s="615"/>
      <c r="CC211" s="615"/>
      <c r="CD211" s="615"/>
      <c r="CE211" s="615"/>
      <c r="CF211" s="220"/>
      <c r="CG211" s="220"/>
      <c r="CH211" s="220"/>
      <c r="CI211" s="220"/>
      <c r="CJ211" s="220"/>
      <c r="CK211" s="220"/>
      <c r="CL211" s="86">
        <f t="shared" ref="CL211:CX211" si="469">SUM(CL205:CL210)</f>
        <v>442.32900000000001</v>
      </c>
      <c r="CM211" s="86">
        <f t="shared" si="469"/>
        <v>560.72900000000004</v>
      </c>
      <c r="CN211" s="86">
        <f t="shared" si="469"/>
        <v>838.58300000000008</v>
      </c>
      <c r="CO211" s="86">
        <f t="shared" si="469"/>
        <v>222.49399999999997</v>
      </c>
      <c r="CP211" s="86">
        <f t="shared" si="469"/>
        <v>1061.077</v>
      </c>
      <c r="CQ211" s="86">
        <f t="shared" si="469"/>
        <v>267.73700000000002</v>
      </c>
      <c r="CR211" s="86">
        <f t="shared" si="469"/>
        <v>309.76300000000003</v>
      </c>
      <c r="CS211" s="86">
        <f t="shared" si="469"/>
        <v>589.79500000000007</v>
      </c>
      <c r="CT211" s="86">
        <f t="shared" si="469"/>
        <v>284.50100000000003</v>
      </c>
      <c r="CU211" s="86">
        <f t="shared" si="469"/>
        <v>874.29599999999994</v>
      </c>
      <c r="CV211" s="86">
        <f t="shared" si="469"/>
        <v>265.35599999999999</v>
      </c>
      <c r="CW211" s="86">
        <f t="shared" si="469"/>
        <v>551.29699999999991</v>
      </c>
      <c r="CX211" s="86">
        <f t="shared" si="469"/>
        <v>869.91300000000001</v>
      </c>
      <c r="CY211" s="86">
        <f t="shared" ref="CY211:DH211" si="470">SUM(CY205:CY210)</f>
        <v>179.41800000000001</v>
      </c>
      <c r="CZ211" s="86">
        <f t="shared" si="470"/>
        <v>1049.3309999999999</v>
      </c>
      <c r="DA211" s="86">
        <f t="shared" si="470"/>
        <v>132.69000000000003</v>
      </c>
      <c r="DB211" s="86">
        <f t="shared" si="470"/>
        <v>251.19099999999995</v>
      </c>
      <c r="DC211" s="86">
        <f t="shared" si="470"/>
        <v>507.25599999999997</v>
      </c>
      <c r="DD211" s="86">
        <f t="shared" si="470"/>
        <v>207.71799999999999</v>
      </c>
      <c r="DE211" s="86">
        <f t="shared" si="470"/>
        <v>714.97399999999993</v>
      </c>
      <c r="DF211" s="86">
        <f t="shared" si="470"/>
        <v>306.41500000000002</v>
      </c>
      <c r="DG211" s="86">
        <f t="shared" si="470"/>
        <v>466.45</v>
      </c>
      <c r="DH211" s="86">
        <f t="shared" si="470"/>
        <v>862.19999999999993</v>
      </c>
      <c r="DI211" s="86">
        <f t="shared" ref="DI211:DQ211" si="471">SUM(DI205:DI210)</f>
        <v>206.68100000000004</v>
      </c>
      <c r="DJ211" s="86">
        <f t="shared" si="471"/>
        <v>1068.8810000000001</v>
      </c>
      <c r="DK211" s="86">
        <f t="shared" si="471"/>
        <v>195.28300000000002</v>
      </c>
      <c r="DL211" s="86">
        <f t="shared" si="471"/>
        <v>456.11500000000001</v>
      </c>
      <c r="DM211" s="86">
        <f t="shared" si="471"/>
        <v>871</v>
      </c>
      <c r="DN211" s="86">
        <f t="shared" si="471"/>
        <v>241.09700000000001</v>
      </c>
      <c r="DO211" s="86">
        <f t="shared" si="471"/>
        <v>1112.097</v>
      </c>
      <c r="DP211" s="86">
        <f t="shared" si="471"/>
        <v>415.346</v>
      </c>
      <c r="DQ211" s="86">
        <f t="shared" si="471"/>
        <v>640.92600000000004</v>
      </c>
      <c r="DR211" s="86">
        <f t="shared" ref="DR211:DW211" si="472">SUM(DR205:DR210)</f>
        <v>1053.4479999999999</v>
      </c>
      <c r="DS211" s="86">
        <f t="shared" si="472"/>
        <v>266.39900000000006</v>
      </c>
      <c r="DT211" s="86">
        <f t="shared" si="472"/>
        <v>1319.847</v>
      </c>
      <c r="DU211" s="86">
        <f t="shared" si="472"/>
        <v>312.81400000000002</v>
      </c>
      <c r="DV211" s="86">
        <f t="shared" si="472"/>
        <v>609.04600000000005</v>
      </c>
      <c r="DW211" s="86">
        <f t="shared" si="472"/>
        <v>1041.4820000000002</v>
      </c>
      <c r="DX211" s="86">
        <f t="shared" ref="DX211:ED211" si="473">SUM(DX205:DX210)</f>
        <v>263.51800000000003</v>
      </c>
      <c r="DY211" s="86">
        <f t="shared" si="473"/>
        <v>1305</v>
      </c>
      <c r="DZ211" s="86">
        <f t="shared" si="473"/>
        <v>311.63499999999999</v>
      </c>
      <c r="EA211" s="86">
        <f t="shared" si="473"/>
        <v>464.19500000000011</v>
      </c>
      <c r="EB211" s="86">
        <f t="shared" si="473"/>
        <v>931.62400000000002</v>
      </c>
      <c r="EC211" s="86">
        <f t="shared" si="473"/>
        <v>341.07499999999993</v>
      </c>
      <c r="ED211" s="86">
        <f t="shared" si="473"/>
        <v>1272.6989999999998</v>
      </c>
    </row>
    <row r="212" spans="1:134" x14ac:dyDescent="0.2">
      <c r="A212" s="220"/>
      <c r="B212" s="220"/>
      <c r="C212" s="70"/>
      <c r="D212" s="82"/>
      <c r="E212" s="136"/>
      <c r="F212" s="137"/>
      <c r="G212" s="137"/>
      <c r="H212" s="116"/>
      <c r="I212" s="223"/>
      <c r="J212" s="136"/>
      <c r="K212" s="137"/>
      <c r="L212" s="137"/>
      <c r="M212" s="116"/>
      <c r="N212" s="223"/>
      <c r="O212" s="136"/>
      <c r="P212" s="137"/>
      <c r="Q212" s="137"/>
      <c r="R212" s="116"/>
      <c r="S212" s="223"/>
      <c r="T212" s="136"/>
      <c r="U212" s="137"/>
      <c r="V212" s="137"/>
      <c r="W212" s="116"/>
      <c r="X212" s="223"/>
      <c r="Y212" s="136"/>
      <c r="Z212" s="137"/>
      <c r="AA212" s="137"/>
      <c r="AB212" s="116"/>
      <c r="AC212" s="223"/>
      <c r="AD212" s="136"/>
      <c r="AE212" s="137"/>
      <c r="AF212" s="137"/>
      <c r="AG212" s="116"/>
      <c r="AH212" s="223"/>
      <c r="AI212" s="136"/>
      <c r="AJ212" s="137"/>
      <c r="AK212" s="137"/>
      <c r="AL212" s="116"/>
      <c r="AM212" s="223"/>
      <c r="AN212" s="136"/>
      <c r="AO212" s="137"/>
      <c r="AP212" s="137"/>
      <c r="AQ212" s="116"/>
      <c r="AR212" s="223"/>
      <c r="AS212" s="136"/>
      <c r="AT212" s="137"/>
      <c r="AU212" s="137"/>
      <c r="AV212" s="116"/>
      <c r="AW212" s="223"/>
      <c r="AX212" s="136"/>
      <c r="AY212" s="137"/>
      <c r="AZ212" s="137"/>
      <c r="BA212" s="116"/>
      <c r="BB212" s="220"/>
      <c r="BC212" s="136"/>
      <c r="BD212" s="137"/>
      <c r="BE212" s="137"/>
      <c r="BF212" s="116"/>
      <c r="BG212" s="220"/>
      <c r="BH212" s="136"/>
      <c r="BI212" s="137"/>
      <c r="BJ212" s="137"/>
      <c r="BK212" s="116"/>
      <c r="BL212" s="220"/>
      <c r="BM212" s="136"/>
      <c r="BN212" s="137"/>
      <c r="BO212" s="137"/>
      <c r="BP212" s="116"/>
      <c r="BQ212" s="220"/>
      <c r="BR212" s="220"/>
      <c r="BS212" s="220"/>
      <c r="BT212" s="220"/>
      <c r="BU212" s="928"/>
      <c r="BV212" s="949"/>
      <c r="BW212" s="615"/>
      <c r="BX212" s="615"/>
      <c r="BY212" s="615"/>
      <c r="BZ212" s="615"/>
      <c r="CA212" s="615"/>
      <c r="CB212" s="615"/>
      <c r="CC212" s="615"/>
      <c r="CD212" s="615"/>
      <c r="CE212" s="615"/>
      <c r="CF212" s="220"/>
      <c r="CG212" s="220"/>
      <c r="CH212" s="220"/>
      <c r="CI212" s="220"/>
      <c r="CJ212" s="220"/>
      <c r="CK212" s="220"/>
      <c r="CL212" s="220"/>
      <c r="CM212" s="220"/>
      <c r="CN212" s="220"/>
      <c r="CO212" s="220"/>
      <c r="CP212" s="220"/>
      <c r="CQ212" s="220"/>
      <c r="CR212" s="220"/>
      <c r="CS212" s="220"/>
      <c r="CT212" s="220"/>
      <c r="CU212" s="220"/>
      <c r="CV212" s="220"/>
      <c r="CW212" s="220"/>
      <c r="CX212" s="117"/>
      <c r="CY212" s="220"/>
      <c r="CZ212" s="220"/>
      <c r="DA212" s="220"/>
      <c r="DB212" s="220"/>
      <c r="DC212" s="117"/>
      <c r="DD212" s="220"/>
      <c r="DE212" s="220"/>
      <c r="DF212" s="220"/>
      <c r="DG212" s="220"/>
      <c r="DH212" s="117"/>
      <c r="DI212" s="220"/>
      <c r="DJ212" s="773"/>
      <c r="DK212" s="220"/>
      <c r="DL212" s="220"/>
      <c r="DM212" s="117"/>
      <c r="DN212" s="220"/>
      <c r="DO212" s="773"/>
      <c r="DP212" s="220"/>
      <c r="DR212" s="117"/>
      <c r="DS212" s="220"/>
      <c r="DT212" s="773"/>
      <c r="DU212" s="220"/>
      <c r="DX212" s="220"/>
      <c r="DY212" s="773"/>
      <c r="DZ212" s="220"/>
      <c r="EC212" s="220"/>
      <c r="ED212" s="773"/>
    </row>
    <row r="213" spans="1:134" x14ac:dyDescent="0.2">
      <c r="A213" s="220"/>
      <c r="B213" s="220"/>
      <c r="C213" s="70" t="s">
        <v>183</v>
      </c>
      <c r="D213" s="82"/>
      <c r="E213" s="136">
        <f>+CL213</f>
        <v>-278.00299999999999</v>
      </c>
      <c r="F213" s="135">
        <f t="shared" ref="F213:G215" si="474">+CM213-CL213</f>
        <v>-217.96899999999999</v>
      </c>
      <c r="G213" s="135">
        <f t="shared" si="474"/>
        <v>-156.89100000000008</v>
      </c>
      <c r="H213" s="116">
        <f>+CP213-CN213</f>
        <v>-191.69299999999998</v>
      </c>
      <c r="I213" s="223">
        <f t="shared" ref="I213:I225" si="475">CP213</f>
        <v>-844.55600000000004</v>
      </c>
      <c r="J213" s="136">
        <f>+CQ213</f>
        <v>-288.33600000000001</v>
      </c>
      <c r="K213" s="135">
        <f t="shared" ref="K213:L215" si="476">+CR213-CQ213</f>
        <v>-286.96699999999998</v>
      </c>
      <c r="L213" s="135">
        <f t="shared" si="476"/>
        <v>-317.33500000000004</v>
      </c>
      <c r="M213" s="116">
        <f>+CU213-CS213</f>
        <v>-316.76400000000001</v>
      </c>
      <c r="N213" s="223">
        <f t="shared" ref="N213:N225" si="477">CU213</f>
        <v>-1209.402</v>
      </c>
      <c r="O213" s="136">
        <f>+CV213</f>
        <v>-303.37599999999998</v>
      </c>
      <c r="P213" s="135">
        <f t="shared" ref="P213:Q215" si="478">+CW213-CV213</f>
        <v>-318.98400000000004</v>
      </c>
      <c r="Q213" s="135">
        <f t="shared" si="478"/>
        <v>-187.59299999999996</v>
      </c>
      <c r="R213" s="116">
        <f>+CZ213-CX213</f>
        <v>-309.71100000000001</v>
      </c>
      <c r="S213" s="223">
        <f t="shared" ref="S213:S225" si="479">CZ213</f>
        <v>-1119.664</v>
      </c>
      <c r="T213" s="136">
        <f>+DA213</f>
        <v>-221.874</v>
      </c>
      <c r="U213" s="135">
        <f t="shared" ref="U213:V215" si="480">+DB213-DA213</f>
        <v>-247.15200000000002</v>
      </c>
      <c r="V213" s="135">
        <f t="shared" si="480"/>
        <v>-351.07199999999995</v>
      </c>
      <c r="W213" s="116">
        <f>+DE213-DC213</f>
        <v>-352.30500000000006</v>
      </c>
      <c r="X213" s="223">
        <f t="shared" ref="X213:X225" si="481">DE213</f>
        <v>-1172.403</v>
      </c>
      <c r="Y213" s="136">
        <f>+DF213</f>
        <v>-376.58800000000002</v>
      </c>
      <c r="Z213" s="135">
        <f t="shared" ref="Z213:AA215" si="482">+DG213-DF213</f>
        <v>-386.52100000000002</v>
      </c>
      <c r="AA213" s="135">
        <f t="shared" si="482"/>
        <v>-394.00099999999986</v>
      </c>
      <c r="AB213" s="116">
        <f>+DJ213-DH213</f>
        <v>-391.8420000000001</v>
      </c>
      <c r="AC213" s="223">
        <f>DJ213</f>
        <v>-1548.952</v>
      </c>
      <c r="AD213" s="136">
        <f>+DK213</f>
        <v>-323.44799999999998</v>
      </c>
      <c r="AE213" s="135">
        <f t="shared" ref="AE213:AF215" si="483">+DL213-DK213</f>
        <v>-266.98400000000004</v>
      </c>
      <c r="AF213" s="135">
        <f t="shared" si="483"/>
        <v>-274.06899999999996</v>
      </c>
      <c r="AG213" s="116">
        <f>+DO213-DM213</f>
        <v>-377.43900000000008</v>
      </c>
      <c r="AH213" s="223">
        <f>DO213</f>
        <v>-1241.94</v>
      </c>
      <c r="AI213" s="136">
        <f>+DP213</f>
        <v>-322.66000000000003</v>
      </c>
      <c r="AJ213" s="135">
        <f t="shared" ref="AJ213:AK215" si="484">+DQ213-DP213</f>
        <v>-288.07099999999997</v>
      </c>
      <c r="AK213" s="135">
        <f t="shared" si="484"/>
        <v>-296.58400000000006</v>
      </c>
      <c r="AL213" s="116">
        <f>+DT213-DR213</f>
        <v>-947.56299999999987</v>
      </c>
      <c r="AM213" s="223">
        <f>DT213</f>
        <v>-1854.8779999999999</v>
      </c>
      <c r="AN213" s="136">
        <f>+DU213</f>
        <v>-259.57</v>
      </c>
      <c r="AO213" s="135">
        <f t="shared" ref="AO213:AP215" si="485">+DV213-DU213</f>
        <v>-254.95599999999996</v>
      </c>
      <c r="AP213" s="135">
        <f t="shared" si="485"/>
        <v>-319.31900000000007</v>
      </c>
      <c r="AQ213" s="116">
        <f>+DY213-DW213</f>
        <v>-370.69200000000001</v>
      </c>
      <c r="AR213" s="223">
        <f>DY213</f>
        <v>-1204.537</v>
      </c>
      <c r="AS213" s="136">
        <f>+DZ213</f>
        <v>-277.125</v>
      </c>
      <c r="AT213" s="135">
        <f t="shared" ref="AT213:AT215" si="486">+EA213-DZ213</f>
        <v>-207.04700000000003</v>
      </c>
      <c r="AU213" s="135">
        <f t="shared" ref="AU213:AU215" si="487">+EB213-EA213</f>
        <v>-212.68499999999995</v>
      </c>
      <c r="AV213" s="116">
        <f>+ED213-EB213</f>
        <v>-319.82600000000002</v>
      </c>
      <c r="AW213" s="223">
        <f>ED213</f>
        <v>-1016.683</v>
      </c>
      <c r="AX213" s="136">
        <f>+-AX179</f>
        <v>-342.5</v>
      </c>
      <c r="AY213" s="135">
        <f>+-AY179</f>
        <v>-342.5</v>
      </c>
      <c r="AZ213" s="135">
        <f>+-AZ179</f>
        <v>-342.5</v>
      </c>
      <c r="BA213" s="116">
        <f>+-BA179</f>
        <v>-342.5</v>
      </c>
      <c r="BB213" s="82">
        <f>SUM(AX213:BA213)</f>
        <v>-1370</v>
      </c>
      <c r="BC213" s="136">
        <f>+-BC179</f>
        <v>-477.5</v>
      </c>
      <c r="BD213" s="135">
        <f>+-BD179</f>
        <v>-477.5</v>
      </c>
      <c r="BE213" s="135">
        <f>+-BE179</f>
        <v>-477.5</v>
      </c>
      <c r="BF213" s="116">
        <f>+-BF179</f>
        <v>-477.5</v>
      </c>
      <c r="BG213" s="82">
        <f>SUM(BC213:BF213)</f>
        <v>-1910</v>
      </c>
      <c r="BH213" s="136">
        <f>+-BH179</f>
        <v>-362.5</v>
      </c>
      <c r="BI213" s="135">
        <f>+-BI179</f>
        <v>-362.5</v>
      </c>
      <c r="BJ213" s="135">
        <f>+-BJ179</f>
        <v>-362.5</v>
      </c>
      <c r="BK213" s="116">
        <f>+-BK179</f>
        <v>-362.5</v>
      </c>
      <c r="BL213" s="82">
        <f>SUM(BH213:BK213)</f>
        <v>-1450</v>
      </c>
      <c r="BM213" s="136">
        <f>+-BM179</f>
        <v>-397.5</v>
      </c>
      <c r="BN213" s="135">
        <f>+-BN179</f>
        <v>-397.5</v>
      </c>
      <c r="BO213" s="135">
        <f>+-BO179</f>
        <v>-397.5</v>
      </c>
      <c r="BP213" s="116">
        <f>+-BP179</f>
        <v>-397.5</v>
      </c>
      <c r="BQ213" s="82">
        <f>SUM(BM213:BP213)</f>
        <v>-1590</v>
      </c>
      <c r="BR213" s="220"/>
      <c r="BS213" s="220"/>
      <c r="BT213" s="220"/>
      <c r="BU213" s="928"/>
      <c r="BV213" s="951"/>
      <c r="BW213" s="615"/>
      <c r="BX213" s="615"/>
      <c r="BY213" s="615"/>
      <c r="BZ213" s="615"/>
      <c r="CA213" s="615"/>
      <c r="CB213" s="615"/>
      <c r="CC213" s="615"/>
      <c r="CD213" s="615"/>
      <c r="CE213" s="615"/>
      <c r="CF213" s="220"/>
      <c r="CG213" s="220"/>
      <c r="CH213" s="220"/>
      <c r="CI213" s="220"/>
      <c r="CJ213" s="220"/>
      <c r="CK213" s="220"/>
      <c r="CL213" s="117">
        <v>-278.00299999999999</v>
      </c>
      <c r="CM213" s="117">
        <v>-495.97199999999998</v>
      </c>
      <c r="CN213" s="117">
        <v>-652.86300000000006</v>
      </c>
      <c r="CO213" s="82">
        <f>CP213-CN213</f>
        <v>-191.69299999999998</v>
      </c>
      <c r="CP213" s="117">
        <v>-844.55600000000004</v>
      </c>
      <c r="CQ213" s="117">
        <v>-288.33600000000001</v>
      </c>
      <c r="CR213" s="117">
        <v>-575.303</v>
      </c>
      <c r="CS213" s="117">
        <v>-892.63800000000003</v>
      </c>
      <c r="CT213" s="82">
        <f>CU213-CS213</f>
        <v>-316.76400000000001</v>
      </c>
      <c r="CU213" s="117">
        <v>-1209.402</v>
      </c>
      <c r="CV213" s="117">
        <v>-303.37599999999998</v>
      </c>
      <c r="CW213" s="117">
        <v>-622.36</v>
      </c>
      <c r="CX213" s="117">
        <v>-809.95299999999997</v>
      </c>
      <c r="CY213" s="82">
        <f>CZ213-CX213</f>
        <v>-309.71100000000001</v>
      </c>
      <c r="CZ213" s="117">
        <f>-1028.831-90.833</f>
        <v>-1119.664</v>
      </c>
      <c r="DA213" s="117">
        <v>-221.874</v>
      </c>
      <c r="DB213" s="117">
        <v>-469.02600000000001</v>
      </c>
      <c r="DC213" s="117">
        <v>-820.09799999999996</v>
      </c>
      <c r="DD213" s="82">
        <f>DE213-DC213</f>
        <v>-352.30500000000006</v>
      </c>
      <c r="DE213" s="117">
        <v>-1172.403</v>
      </c>
      <c r="DF213" s="117">
        <v>-376.58800000000002</v>
      </c>
      <c r="DG213" s="117">
        <v>-763.10900000000004</v>
      </c>
      <c r="DH213" s="117">
        <v>-1157.1099999999999</v>
      </c>
      <c r="DI213" s="82">
        <f>DJ213-DH213</f>
        <v>-391.8420000000001</v>
      </c>
      <c r="DJ213" s="117">
        <v>-1548.952</v>
      </c>
      <c r="DK213" s="117">
        <v>-323.44799999999998</v>
      </c>
      <c r="DL213" s="117">
        <v>-590.43200000000002</v>
      </c>
      <c r="DM213" s="117">
        <v>-864.50099999999998</v>
      </c>
      <c r="DN213" s="82">
        <f>DO213-DM213</f>
        <v>-377.43900000000008</v>
      </c>
      <c r="DO213" s="117">
        <v>-1241.94</v>
      </c>
      <c r="DP213" s="117">
        <v>-322.66000000000003</v>
      </c>
      <c r="DQ213" s="117">
        <v>-610.73099999999999</v>
      </c>
      <c r="DR213" s="117">
        <v>-907.31500000000005</v>
      </c>
      <c r="DS213" s="82">
        <f>DT213-DR213</f>
        <v>-947.56299999999987</v>
      </c>
      <c r="DT213" s="117">
        <v>-1854.8779999999999</v>
      </c>
      <c r="DU213" s="117">
        <v>-259.57</v>
      </c>
      <c r="DV213" s="117">
        <v>-514.52599999999995</v>
      </c>
      <c r="DW213" s="117">
        <v>-833.84500000000003</v>
      </c>
      <c r="DX213" s="82">
        <f>DY213-DW213</f>
        <v>-370.69200000000001</v>
      </c>
      <c r="DY213" s="117">
        <v>-1204.537</v>
      </c>
      <c r="DZ213" s="117">
        <v>-277.125</v>
      </c>
      <c r="EA213" s="117">
        <v>-484.17200000000003</v>
      </c>
      <c r="EB213" s="117">
        <v>-696.85699999999997</v>
      </c>
      <c r="EC213" s="82">
        <f>ED213-EB213</f>
        <v>-319.82600000000002</v>
      </c>
      <c r="ED213" s="117">
        <v>-1016.683</v>
      </c>
    </row>
    <row r="214" spans="1:134" x14ac:dyDescent="0.2">
      <c r="A214" s="220"/>
      <c r="B214" s="220"/>
      <c r="C214" s="70" t="s">
        <v>179</v>
      </c>
      <c r="D214" s="82"/>
      <c r="E214" s="136">
        <f>+CL214</f>
        <v>6.7060000000000004</v>
      </c>
      <c r="F214" s="135">
        <f t="shared" si="474"/>
        <v>7.665</v>
      </c>
      <c r="G214" s="135">
        <f t="shared" si="474"/>
        <v>6.8759999999999994</v>
      </c>
      <c r="H214" s="116">
        <f>+CP214-CN214</f>
        <v>7.6009999999999991</v>
      </c>
      <c r="I214" s="223">
        <f t="shared" si="475"/>
        <v>28.847999999999999</v>
      </c>
      <c r="J214" s="136">
        <f>+CQ214</f>
        <v>9.4450000000000003</v>
      </c>
      <c r="K214" s="135">
        <f t="shared" si="476"/>
        <v>8.0560000000000009</v>
      </c>
      <c r="L214" s="135">
        <f t="shared" si="476"/>
        <v>9.1969999999999992</v>
      </c>
      <c r="M214" s="116">
        <f>+CU214-CS214</f>
        <v>11.643000000000001</v>
      </c>
      <c r="N214" s="223">
        <f t="shared" si="477"/>
        <v>38.341000000000001</v>
      </c>
      <c r="O214" s="136">
        <f>+CV214</f>
        <v>9.593</v>
      </c>
      <c r="P214" s="135">
        <f t="shared" si="478"/>
        <v>10.146000000000001</v>
      </c>
      <c r="Q214" s="135">
        <f t="shared" si="478"/>
        <v>8.6999999999999993</v>
      </c>
      <c r="R214" s="116">
        <f>+CZ214-CX214</f>
        <v>8.7250000000000014</v>
      </c>
      <c r="S214" s="223">
        <f t="shared" si="479"/>
        <v>37.164000000000001</v>
      </c>
      <c r="T214" s="136">
        <f>+DA214</f>
        <v>8.0350000000000001</v>
      </c>
      <c r="U214" s="135">
        <f t="shared" si="480"/>
        <v>9.1789999999999985</v>
      </c>
      <c r="V214" s="135">
        <f t="shared" si="480"/>
        <v>9.8860000000000028</v>
      </c>
      <c r="W214" s="116">
        <f>+DE214-DC214</f>
        <v>10.009</v>
      </c>
      <c r="X214" s="223">
        <f t="shared" si="481"/>
        <v>37.109000000000002</v>
      </c>
      <c r="Y214" s="136">
        <f>+DF214</f>
        <v>10.262</v>
      </c>
      <c r="Z214" s="135">
        <f t="shared" si="482"/>
        <v>12.338999999999999</v>
      </c>
      <c r="AA214" s="135">
        <f t="shared" si="482"/>
        <v>9.2910000000000004</v>
      </c>
      <c r="AB214" s="116">
        <f>+DJ214-DH214</f>
        <v>8.1720000000000006</v>
      </c>
      <c r="AC214" s="223">
        <f>DJ214</f>
        <v>40.064</v>
      </c>
      <c r="AD214" s="136">
        <f>+DK214</f>
        <v>5.2640000000000002</v>
      </c>
      <c r="AE214" s="135">
        <f t="shared" si="483"/>
        <v>5.9950000000000001</v>
      </c>
      <c r="AF214" s="135">
        <f t="shared" si="483"/>
        <v>6.2959999999999994</v>
      </c>
      <c r="AG214" s="116">
        <f>+DO214-DM214</f>
        <v>6.2330000000000005</v>
      </c>
      <c r="AH214" s="223">
        <f>DO214</f>
        <v>23.788</v>
      </c>
      <c r="AI214" s="136">
        <f>+DP214</f>
        <v>5.93</v>
      </c>
      <c r="AJ214" s="135">
        <f t="shared" si="484"/>
        <v>5.6840000000000011</v>
      </c>
      <c r="AK214" s="135">
        <f t="shared" si="484"/>
        <v>7.4559999999999995</v>
      </c>
      <c r="AL214" s="116">
        <f>+DT214-DR214</f>
        <v>7.7489999999999988</v>
      </c>
      <c r="AM214" s="223">
        <f>DT214</f>
        <v>26.818999999999999</v>
      </c>
      <c r="AN214" s="136">
        <f>+DU214</f>
        <v>5.6479999999999997</v>
      </c>
      <c r="AO214" s="135">
        <f t="shared" si="485"/>
        <v>7.3800000000000008</v>
      </c>
      <c r="AP214" s="135">
        <f t="shared" si="485"/>
        <v>7.9829999999999988</v>
      </c>
      <c r="AQ214" s="116">
        <f>+DY214-DW214</f>
        <v>6.7210000000000001</v>
      </c>
      <c r="AR214" s="223">
        <f>DY214</f>
        <v>27.731999999999999</v>
      </c>
      <c r="AS214" s="136">
        <f>+DZ214</f>
        <v>6.2830000000000004</v>
      </c>
      <c r="AT214" s="135">
        <f t="shared" si="486"/>
        <v>6.4249999999999998</v>
      </c>
      <c r="AU214" s="135">
        <f t="shared" si="487"/>
        <v>10.682999999999998</v>
      </c>
      <c r="AV214" s="116">
        <f>+ED214-EB214</f>
        <v>6.1230000000000011</v>
      </c>
      <c r="AW214" s="223">
        <f>ED214</f>
        <v>29.513999999999999</v>
      </c>
      <c r="AX214" s="136">
        <f>AX28</f>
        <v>9.0419999999999998</v>
      </c>
      <c r="AY214" s="135">
        <f>AY28</f>
        <v>9.0419999999999998</v>
      </c>
      <c r="AZ214" s="135">
        <f>AZ28</f>
        <v>9.0419999999999998</v>
      </c>
      <c r="BA214" s="116">
        <f>BA28</f>
        <v>9.0419999999999998</v>
      </c>
      <c r="BB214" s="82">
        <f>SUM(AX214:BA214)</f>
        <v>36.167999999999999</v>
      </c>
      <c r="BC214" s="136">
        <f>BC28</f>
        <v>12.606</v>
      </c>
      <c r="BD214" s="135">
        <f>BD28</f>
        <v>12.606</v>
      </c>
      <c r="BE214" s="135">
        <f>BE28</f>
        <v>12.606</v>
      </c>
      <c r="BF214" s="116">
        <f>BF28</f>
        <v>12.606</v>
      </c>
      <c r="BG214" s="82">
        <f>SUM(BC214:BF214)</f>
        <v>50.423999999999999</v>
      </c>
      <c r="BH214" s="136">
        <f>BH28</f>
        <v>9.57</v>
      </c>
      <c r="BI214" s="135">
        <f>BI28</f>
        <v>9.57</v>
      </c>
      <c r="BJ214" s="135">
        <f>BJ28</f>
        <v>9.57</v>
      </c>
      <c r="BK214" s="116">
        <f>BK28</f>
        <v>9.57</v>
      </c>
      <c r="BL214" s="82">
        <f>SUM(BH214:BK214)</f>
        <v>38.28</v>
      </c>
      <c r="BM214" s="136">
        <f>BM28</f>
        <v>10.494</v>
      </c>
      <c r="BN214" s="135">
        <f>BN28</f>
        <v>10.494</v>
      </c>
      <c r="BO214" s="135">
        <f>BO28</f>
        <v>10.494</v>
      </c>
      <c r="BP214" s="116">
        <f>BP28</f>
        <v>10.494</v>
      </c>
      <c r="BQ214" s="82">
        <f>SUM(BM214:BP214)</f>
        <v>41.975999999999999</v>
      </c>
      <c r="BR214" s="220"/>
      <c r="BS214" s="220"/>
      <c r="BT214" s="220"/>
      <c r="BU214" s="615"/>
      <c r="BV214" s="949"/>
      <c r="BW214" s="615"/>
      <c r="BX214" s="615"/>
      <c r="BY214" s="615"/>
      <c r="BZ214" s="615"/>
      <c r="CA214" s="615"/>
      <c r="CB214" s="615"/>
      <c r="CC214" s="615"/>
      <c r="CD214" s="615"/>
      <c r="CE214" s="615"/>
      <c r="CF214" s="220"/>
      <c r="CG214" s="220"/>
      <c r="CH214" s="220"/>
      <c r="CI214" s="220"/>
      <c r="CJ214" s="220"/>
      <c r="CK214" s="220"/>
      <c r="CL214" s="117">
        <v>6.7060000000000004</v>
      </c>
      <c r="CM214" s="117">
        <v>14.371</v>
      </c>
      <c r="CN214" s="117">
        <v>21.247</v>
      </c>
      <c r="CO214" s="82">
        <f>CP214-CN214</f>
        <v>7.6009999999999991</v>
      </c>
      <c r="CP214" s="117">
        <v>28.847999999999999</v>
      </c>
      <c r="CQ214" s="117">
        <v>9.4450000000000003</v>
      </c>
      <c r="CR214" s="117">
        <v>17.501000000000001</v>
      </c>
      <c r="CS214" s="117">
        <v>26.698</v>
      </c>
      <c r="CT214" s="82">
        <f>CU214-CS214</f>
        <v>11.643000000000001</v>
      </c>
      <c r="CU214" s="117">
        <v>38.341000000000001</v>
      </c>
      <c r="CV214" s="117">
        <v>9.593</v>
      </c>
      <c r="CW214" s="117">
        <v>19.739000000000001</v>
      </c>
      <c r="CX214" s="117">
        <v>28.439</v>
      </c>
      <c r="CY214" s="82">
        <f>CZ214-CX214</f>
        <v>8.7250000000000014</v>
      </c>
      <c r="CZ214" s="117">
        <v>37.164000000000001</v>
      </c>
      <c r="DA214" s="117">
        <v>8.0350000000000001</v>
      </c>
      <c r="DB214" s="117">
        <v>17.213999999999999</v>
      </c>
      <c r="DC214" s="117">
        <v>27.1</v>
      </c>
      <c r="DD214" s="82">
        <f>DE214-DC214</f>
        <v>10.009</v>
      </c>
      <c r="DE214" s="117">
        <v>37.109000000000002</v>
      </c>
      <c r="DF214" s="117">
        <v>10.262</v>
      </c>
      <c r="DG214" s="117">
        <v>22.600999999999999</v>
      </c>
      <c r="DH214" s="117">
        <v>31.891999999999999</v>
      </c>
      <c r="DI214" s="82">
        <f>DJ214-DH214</f>
        <v>8.1720000000000006</v>
      </c>
      <c r="DJ214" s="117">
        <v>40.064</v>
      </c>
      <c r="DK214" s="117">
        <v>5.2640000000000002</v>
      </c>
      <c r="DL214" s="117">
        <v>11.259</v>
      </c>
      <c r="DM214" s="117">
        <v>17.555</v>
      </c>
      <c r="DN214" s="82">
        <f>DO214-DM214</f>
        <v>6.2330000000000005</v>
      </c>
      <c r="DO214" s="117">
        <v>23.788</v>
      </c>
      <c r="DP214" s="117">
        <v>5.93</v>
      </c>
      <c r="DQ214" s="117">
        <v>11.614000000000001</v>
      </c>
      <c r="DR214" s="117">
        <v>19.07</v>
      </c>
      <c r="DS214" s="82">
        <f>DT214-DR214</f>
        <v>7.7489999999999988</v>
      </c>
      <c r="DT214" s="117">
        <v>26.818999999999999</v>
      </c>
      <c r="DU214" s="117">
        <v>5.6479999999999997</v>
      </c>
      <c r="DV214" s="117">
        <v>13.028</v>
      </c>
      <c r="DW214" s="117">
        <v>21.010999999999999</v>
      </c>
      <c r="DX214" s="82">
        <f>DY214-DW214</f>
        <v>6.7210000000000001</v>
      </c>
      <c r="DY214" s="117">
        <v>27.731999999999999</v>
      </c>
      <c r="DZ214" s="117">
        <v>6.2830000000000004</v>
      </c>
      <c r="EA214" s="117">
        <v>12.708</v>
      </c>
      <c r="EB214" s="117">
        <v>23.390999999999998</v>
      </c>
      <c r="EC214" s="82">
        <f>ED214-EB214</f>
        <v>6.1230000000000011</v>
      </c>
      <c r="ED214" s="117">
        <v>29.513999999999999</v>
      </c>
    </row>
    <row r="215" spans="1:134" x14ac:dyDescent="0.2">
      <c r="A215" s="220"/>
      <c r="B215" s="220"/>
      <c r="C215" s="70" t="s">
        <v>184</v>
      </c>
      <c r="D215" s="82"/>
      <c r="E215" s="136">
        <f>+CL215</f>
        <v>-2.2640000000000224</v>
      </c>
      <c r="F215" s="135">
        <f t="shared" si="474"/>
        <v>-0.19799999999993201</v>
      </c>
      <c r="G215" s="135">
        <f t="shared" si="474"/>
        <v>-0.71600000000021646</v>
      </c>
      <c r="H215" s="116">
        <f>+CP215-CN215</f>
        <v>-5.0579999999997405</v>
      </c>
      <c r="I215" s="223">
        <f t="shared" si="475"/>
        <v>-8.2359999999999118</v>
      </c>
      <c r="J215" s="136">
        <f>+CQ215</f>
        <v>12.005000000000001</v>
      </c>
      <c r="K215" s="135">
        <f t="shared" si="476"/>
        <v>17.920000000000115</v>
      </c>
      <c r="L215" s="135">
        <f t="shared" si="476"/>
        <v>-5.6179999999997605</v>
      </c>
      <c r="M215" s="116">
        <f>+CU215-CS215</f>
        <v>-33.363000000000412</v>
      </c>
      <c r="N215" s="223">
        <f t="shared" si="477"/>
        <v>-9.0560000000000542</v>
      </c>
      <c r="O215" s="136">
        <f>+CV215</f>
        <v>-58.826999999999956</v>
      </c>
      <c r="P215" s="135">
        <f t="shared" si="478"/>
        <v>102.57799999999997</v>
      </c>
      <c r="Q215" s="200">
        <f t="shared" si="478"/>
        <v>-100.27399999999972</v>
      </c>
      <c r="R215" s="116">
        <f>+CZ215-CX215</f>
        <v>93.828999999999667</v>
      </c>
      <c r="S215" s="223">
        <f t="shared" si="479"/>
        <v>37.305999999999962</v>
      </c>
      <c r="T215" s="136">
        <f>+DA215</f>
        <v>83.744</v>
      </c>
      <c r="U215" s="135">
        <f t="shared" si="480"/>
        <v>33.882000000000005</v>
      </c>
      <c r="V215" s="200">
        <f t="shared" si="480"/>
        <v>33.658999999999992</v>
      </c>
      <c r="W215" s="116">
        <f>+DE215-DC215</f>
        <v>23.380999999999972</v>
      </c>
      <c r="X215" s="223">
        <f t="shared" si="481"/>
        <v>174.66599999999997</v>
      </c>
      <c r="Y215" s="136">
        <f>+DF215</f>
        <v>19.924999999999947</v>
      </c>
      <c r="Z215" s="135">
        <f t="shared" si="482"/>
        <v>25.677000000000007</v>
      </c>
      <c r="AA215" s="200">
        <f t="shared" si="482"/>
        <v>38.597000000000115</v>
      </c>
      <c r="AB215" s="116">
        <f>+DJ215-DH215</f>
        <v>-18.505000000000209</v>
      </c>
      <c r="AC215" s="223">
        <f>DJ215</f>
        <v>65.693999999999861</v>
      </c>
      <c r="AD215" s="136">
        <f>+DK215</f>
        <v>1.5359999999999996</v>
      </c>
      <c r="AE215" s="135">
        <f t="shared" si="483"/>
        <v>-9.4999999999972662E-2</v>
      </c>
      <c r="AF215" s="200">
        <f t="shared" si="483"/>
        <v>-9.2730000000000476</v>
      </c>
      <c r="AG215" s="116">
        <f>+DO215-DM215</f>
        <v>3.6270000000000113</v>
      </c>
      <c r="AH215" s="223">
        <f>DO215</f>
        <v>-4.2050000000000098</v>
      </c>
      <c r="AI215" s="136">
        <f>+DP215</f>
        <v>20.281999999999954</v>
      </c>
      <c r="AJ215" s="135">
        <f t="shared" si="484"/>
        <v>2.3729999999999727</v>
      </c>
      <c r="AK215" s="200">
        <f t="shared" si="484"/>
        <v>-33.254999999999974</v>
      </c>
      <c r="AL215" s="116">
        <f>+DT215-DR215</f>
        <v>14.124000000000194</v>
      </c>
      <c r="AM215" s="223">
        <f>DT215</f>
        <v>3.5240000000001492</v>
      </c>
      <c r="AN215" s="136">
        <f>+DU215</f>
        <v>-7.1770000000000032</v>
      </c>
      <c r="AO215" s="135">
        <f t="shared" si="485"/>
        <v>-151.30999999999995</v>
      </c>
      <c r="AP215" s="200">
        <f t="shared" si="485"/>
        <v>83.885999999999996</v>
      </c>
      <c r="AQ215" s="116">
        <f>+DY215-DW215</f>
        <v>46.125999999999927</v>
      </c>
      <c r="AR215" s="223">
        <f>DY215</f>
        <v>-28.475000000000016</v>
      </c>
      <c r="AS215" s="136">
        <f>+DZ215</f>
        <v>-9.658000000000019</v>
      </c>
      <c r="AT215" s="135">
        <f t="shared" si="486"/>
        <v>-5.8739999999999277</v>
      </c>
      <c r="AU215" s="200">
        <f t="shared" si="487"/>
        <v>-4.4590000000000742</v>
      </c>
      <c r="AV215" s="116">
        <f>+ED215-EB215</f>
        <v>-5.1449999999998681</v>
      </c>
      <c r="AW215" s="223">
        <f>ED215</f>
        <v>-25.135999999999889</v>
      </c>
      <c r="AX215" s="136">
        <f>+BB215/4</f>
        <v>0</v>
      </c>
      <c r="AY215" s="135">
        <f>(BB215-SUM(AX215:AX215))/3</f>
        <v>0</v>
      </c>
      <c r="AZ215" s="135">
        <f>(BB215-SUM(AX215:AY215))/2</f>
        <v>0</v>
      </c>
      <c r="BA215" s="116">
        <f>(BB215-SUM(AX215:AZ215))/1</f>
        <v>0</v>
      </c>
      <c r="BB215" s="34">
        <v>0</v>
      </c>
      <c r="BC215" s="136">
        <f>+BG215/4</f>
        <v>0</v>
      </c>
      <c r="BD215" s="135">
        <f>(BG215-SUM(BC215:BC215))/3</f>
        <v>0</v>
      </c>
      <c r="BE215" s="135">
        <f>(BG215-SUM(BC215:BD215))/2</f>
        <v>0</v>
      </c>
      <c r="BF215" s="116">
        <f>(BG215-SUM(BC215:BE215))/1</f>
        <v>0</v>
      </c>
      <c r="BG215" s="34">
        <v>0</v>
      </c>
      <c r="BH215" s="136">
        <f>+BL215/4</f>
        <v>0</v>
      </c>
      <c r="BI215" s="135">
        <f>(BL215-SUM(BH215:BH215))/3</f>
        <v>0</v>
      </c>
      <c r="BJ215" s="135">
        <f>(BL215-SUM(BH215:BI215))/2</f>
        <v>0</v>
      </c>
      <c r="BK215" s="116">
        <f>(BL215-SUM(BH215:BJ215))/1</f>
        <v>0</v>
      </c>
      <c r="BL215" s="34">
        <v>0</v>
      </c>
      <c r="BM215" s="136">
        <f>+BQ215/4</f>
        <v>0</v>
      </c>
      <c r="BN215" s="135">
        <f>(BQ215-SUM(BM215:BM215))/3</f>
        <v>0</v>
      </c>
      <c r="BO215" s="135">
        <f>(BQ215-SUM(BM215:BN215))/2</f>
        <v>0</v>
      </c>
      <c r="BP215" s="116">
        <f>(BQ215-SUM(BM215:BO215))/1</f>
        <v>0</v>
      </c>
      <c r="BQ215" s="34">
        <v>0</v>
      </c>
      <c r="BR215" s="220"/>
      <c r="BS215" s="220"/>
      <c r="BT215" s="220"/>
      <c r="BU215" s="615"/>
      <c r="BV215" s="952"/>
      <c r="BW215" s="615"/>
      <c r="BX215" s="615"/>
      <c r="BY215" s="615"/>
      <c r="BZ215" s="615"/>
      <c r="CA215" s="615"/>
      <c r="CB215" s="615"/>
      <c r="CC215" s="615"/>
      <c r="CD215" s="615"/>
      <c r="CE215" s="615"/>
      <c r="CF215" s="220"/>
      <c r="CG215" s="220"/>
      <c r="CH215" s="220"/>
      <c r="CI215" s="220"/>
      <c r="CJ215" s="220"/>
      <c r="CK215" s="220"/>
      <c r="CL215" s="117">
        <v>-2.2640000000000224</v>
      </c>
      <c r="CM215" s="117">
        <v>-2.4619999999999544</v>
      </c>
      <c r="CN215" s="117">
        <v>-3.1780000000001709</v>
      </c>
      <c r="CO215" s="82">
        <f>CP215-CN215</f>
        <v>-5.0579999999997405</v>
      </c>
      <c r="CP215" s="117">
        <v>-8.2359999999999118</v>
      </c>
      <c r="CQ215" s="117">
        <v>12.005000000000001</v>
      </c>
      <c r="CR215" s="117">
        <v>29.925000000000118</v>
      </c>
      <c r="CS215" s="117">
        <v>24.307000000000357</v>
      </c>
      <c r="CT215" s="82">
        <f>CU215-CS215</f>
        <v>-33.363000000000412</v>
      </c>
      <c r="CU215" s="117">
        <v>-9.0560000000000542</v>
      </c>
      <c r="CV215" s="117">
        <v>-58.826999999999956</v>
      </c>
      <c r="CW215" s="117">
        <v>43.751000000000019</v>
      </c>
      <c r="CX215" s="117">
        <f>101.261-90.833-1741.907+1741.909-432+432-111.3+148.3-100.007-3.946</f>
        <v>-56.522999999999698</v>
      </c>
      <c r="CY215" s="82">
        <f>CZ215-CX215</f>
        <v>93.828999999999667</v>
      </c>
      <c r="CZ215" s="117">
        <f>101.261-2098.642+2098.642-432+432-111.3+148.3-95.287-5.668</f>
        <v>37.305999999999962</v>
      </c>
      <c r="DA215" s="117">
        <f>-213.618+213.618+86.232-2.488</f>
        <v>83.744</v>
      </c>
      <c r="DB215" s="117">
        <f>24-371.361+371.361+94.959-1.333</f>
        <v>117.626</v>
      </c>
      <c r="DC215" s="117">
        <f>56.892-501.009+501.009+95.287-0.894</f>
        <v>151.285</v>
      </c>
      <c r="DD215" s="82">
        <f>DE215-DC215</f>
        <v>23.380999999999972</v>
      </c>
      <c r="DE215" s="117">
        <f>97.835-1102.025+1087.076+95.287-3.507</f>
        <v>174.66599999999997</v>
      </c>
      <c r="DF215" s="117">
        <f>23.5-586.239+584.948+20-20-2.284</f>
        <v>19.924999999999947</v>
      </c>
      <c r="DG215" s="117">
        <f>50-890.7+887.5+20-20-1.198</f>
        <v>45.601999999999954</v>
      </c>
      <c r="DH215" s="117">
        <f>90-1177.398+1172.597+29-29-1</f>
        <v>84.199000000000069</v>
      </c>
      <c r="DI215" s="82">
        <f>DJ215-DH215</f>
        <v>-18.505000000000209</v>
      </c>
      <c r="DJ215" s="117">
        <f>90-1481.881+1461.291-29+29-3.716</f>
        <v>65.693999999999861</v>
      </c>
      <c r="DK215" s="117">
        <f>4.26-229.548+227.901-1.077</f>
        <v>1.5359999999999996</v>
      </c>
      <c r="DL215" s="117">
        <f>6-404.78+401.488-236+236-1.267</f>
        <v>1.4410000000000269</v>
      </c>
      <c r="DM215" s="117">
        <f>6-499.493+494.554-397+389-0.893</f>
        <v>-7.8320000000000212</v>
      </c>
      <c r="DN215" s="82">
        <f>DO215-DM215</f>
        <v>3.6270000000000113</v>
      </c>
      <c r="DO215" s="117">
        <f>6-595.569+588.43-432+432-3.066</f>
        <v>-4.2050000000000098</v>
      </c>
      <c r="DP215" s="117">
        <f>24.241-387.826+386.111-15+15-2.244</f>
        <v>20.281999999999954</v>
      </c>
      <c r="DQ215" s="117">
        <f>27.237-640.1+636.669-39+39-1.151</f>
        <v>22.654999999999927</v>
      </c>
      <c r="DR215" s="117">
        <f>27.237-773.26+753.924-187.9+169.9-0.501</f>
        <v>-10.600000000000046</v>
      </c>
      <c r="DS215" s="82">
        <f>DT215-DR215</f>
        <v>14.124000000000194</v>
      </c>
      <c r="DT215" s="117">
        <f>27.237-1257.924+1236.873-385.9+385.9-2.662</f>
        <v>3.5240000000001492</v>
      </c>
      <c r="DU215" s="117">
        <f>-109.373+104.28-2.084</f>
        <v>-7.1770000000000032</v>
      </c>
      <c r="DV215" s="117">
        <f>-279.566+262.321-237+97-1.242</f>
        <v>-158.48699999999994</v>
      </c>
      <c r="DW215" s="117">
        <f>-349.717+327.378-492+441-1.262</f>
        <v>-74.600999999999942</v>
      </c>
      <c r="DX215" s="82">
        <f>DY215-DW215</f>
        <v>46.125999999999927</v>
      </c>
      <c r="DY215" s="117">
        <f>-506.298+478.866-747.5+747.5-1.043</f>
        <v>-28.475000000000016</v>
      </c>
      <c r="DZ215" s="117">
        <f>-172.751+167.658-87+87-4.565</f>
        <v>-9.658000000000019</v>
      </c>
      <c r="EA215" s="117">
        <f>-361.881+350.446-192+192-4.097</f>
        <v>-15.531999999999947</v>
      </c>
      <c r="EB215" s="117">
        <f>-965.086+948.558-122+122-3.463</f>
        <v>-19.991000000000021</v>
      </c>
      <c r="EC215" s="82">
        <f>ED215-EB215</f>
        <v>-5.1449999999998681</v>
      </c>
      <c r="ED215" s="117">
        <f>-1690.53+1668.91-122+122-3.516</f>
        <v>-25.135999999999889</v>
      </c>
    </row>
    <row r="216" spans="1:134" x14ac:dyDescent="0.2">
      <c r="A216" s="220"/>
      <c r="B216" s="220"/>
      <c r="C216" s="141" t="s">
        <v>185</v>
      </c>
      <c r="D216" s="82"/>
      <c r="E216" s="121">
        <f>SUM(E213:E215)</f>
        <v>-273.56099999999998</v>
      </c>
      <c r="F216" s="122">
        <f>SUM(F213:F215)</f>
        <v>-210.50199999999992</v>
      </c>
      <c r="G216" s="122">
        <f>SUM(G213:G215)</f>
        <v>-150.73100000000028</v>
      </c>
      <c r="H216" s="123">
        <f>SUM(H213:H215)</f>
        <v>-189.14999999999972</v>
      </c>
      <c r="I216" s="127">
        <f t="shared" si="475"/>
        <v>-823.94399999999996</v>
      </c>
      <c r="J216" s="121">
        <f>SUM(J213:J215)</f>
        <v>-266.88600000000002</v>
      </c>
      <c r="K216" s="122">
        <f>SUM(K213:K215)</f>
        <v>-260.99099999999987</v>
      </c>
      <c r="L216" s="122">
        <f>SUM(L213:L215)</f>
        <v>-313.7559999999998</v>
      </c>
      <c r="M216" s="123">
        <f>SUM(M213:M215)</f>
        <v>-338.48400000000038</v>
      </c>
      <c r="N216" s="127">
        <f t="shared" si="477"/>
        <v>-1180.1170000000002</v>
      </c>
      <c r="O216" s="121">
        <f>SUM(O213:O215)</f>
        <v>-352.6099999999999</v>
      </c>
      <c r="P216" s="122">
        <f>SUM(P213:P215)</f>
        <v>-206.26000000000005</v>
      </c>
      <c r="Q216" s="122">
        <f>SUM(Q213:Q215)</f>
        <v>-279.16699999999969</v>
      </c>
      <c r="R216" s="123">
        <f>SUM(R213:R215)</f>
        <v>-207.15700000000032</v>
      </c>
      <c r="S216" s="127">
        <f t="shared" si="479"/>
        <v>-1045.194</v>
      </c>
      <c r="T216" s="121">
        <f>SUM(T213:T215)</f>
        <v>-130.095</v>
      </c>
      <c r="U216" s="122">
        <f>SUM(U213:U215)</f>
        <v>-204.09100000000001</v>
      </c>
      <c r="V216" s="122">
        <f>SUM(V213:V215)</f>
        <v>-307.52699999999993</v>
      </c>
      <c r="W216" s="123">
        <f>SUM(W213:W215)</f>
        <v>-318.91500000000008</v>
      </c>
      <c r="X216" s="127">
        <f t="shared" si="481"/>
        <v>-960.62800000000016</v>
      </c>
      <c r="Y216" s="121">
        <f>SUM(Y213:Y215)</f>
        <v>-346.40100000000007</v>
      </c>
      <c r="Z216" s="122">
        <f>SUM(Z213:Z215)</f>
        <v>-348.505</v>
      </c>
      <c r="AA216" s="122">
        <f>SUM(AA213:AA215)</f>
        <v>-346.11299999999977</v>
      </c>
      <c r="AB216" s="123">
        <f>SUM(AB213:AB215)</f>
        <v>-402.1750000000003</v>
      </c>
      <c r="AC216" s="127">
        <f>DJ216</f>
        <v>-1443.194</v>
      </c>
      <c r="AD216" s="121">
        <f>SUM(AD213:AD215)</f>
        <v>-316.64799999999997</v>
      </c>
      <c r="AE216" s="122">
        <f>SUM(AE213:AE215)</f>
        <v>-261.084</v>
      </c>
      <c r="AF216" s="122">
        <f>SUM(AF213:AF215)</f>
        <v>-277.04599999999999</v>
      </c>
      <c r="AG216" s="123">
        <f>SUM(AG213:AG215)</f>
        <v>-367.57900000000006</v>
      </c>
      <c r="AH216" s="127">
        <f>DO216</f>
        <v>-1222.357</v>
      </c>
      <c r="AI216" s="121">
        <f>SUM(AI213:AI215)</f>
        <v>-296.44800000000009</v>
      </c>
      <c r="AJ216" s="122">
        <f>SUM(AJ213:AJ215)</f>
        <v>-280.01399999999995</v>
      </c>
      <c r="AK216" s="122">
        <f>SUM(AK213:AK215)</f>
        <v>-322.38300000000004</v>
      </c>
      <c r="AL216" s="123">
        <f>SUM(AL213:AL215)</f>
        <v>-925.6899999999996</v>
      </c>
      <c r="AM216" s="127">
        <f>DT216</f>
        <v>-1824.5349999999999</v>
      </c>
      <c r="AN216" s="121">
        <f>SUM(AN213:AN215)</f>
        <v>-261.09899999999999</v>
      </c>
      <c r="AO216" s="122">
        <f>SUM(AO213:AO215)</f>
        <v>-398.88599999999991</v>
      </c>
      <c r="AP216" s="122">
        <f>SUM(AP213:AP215)</f>
        <v>-227.45000000000007</v>
      </c>
      <c r="AQ216" s="123">
        <f>SUM(AQ213:AQ215)</f>
        <v>-317.84500000000008</v>
      </c>
      <c r="AR216" s="127">
        <f>DY216</f>
        <v>-1205.28</v>
      </c>
      <c r="AS216" s="121">
        <f>SUM(AS213:AS215)</f>
        <v>-280.5</v>
      </c>
      <c r="AT216" s="122">
        <f>SUM(AT213:AT215)</f>
        <v>-206.49599999999995</v>
      </c>
      <c r="AU216" s="122">
        <f>SUM(AU213:AU215)</f>
        <v>-206.46100000000001</v>
      </c>
      <c r="AV216" s="123">
        <f>SUM(AV213:AV215)</f>
        <v>-318.8479999999999</v>
      </c>
      <c r="AW216" s="127">
        <f>ED216</f>
        <v>-1012.3049999999998</v>
      </c>
      <c r="AX216" s="121">
        <f t="shared" ref="AX216:BG216" si="488">SUM(AX213:AX215)</f>
        <v>-333.45800000000003</v>
      </c>
      <c r="AY216" s="122">
        <f t="shared" si="488"/>
        <v>-333.45800000000003</v>
      </c>
      <c r="AZ216" s="122">
        <f t="shared" si="488"/>
        <v>-333.45800000000003</v>
      </c>
      <c r="BA216" s="123">
        <f t="shared" si="488"/>
        <v>-333.45800000000003</v>
      </c>
      <c r="BB216" s="86">
        <f t="shared" si="488"/>
        <v>-1333.8320000000001</v>
      </c>
      <c r="BC216" s="121">
        <f t="shared" si="488"/>
        <v>-464.89400000000001</v>
      </c>
      <c r="BD216" s="122">
        <f t="shared" si="488"/>
        <v>-464.89400000000001</v>
      </c>
      <c r="BE216" s="122">
        <f t="shared" si="488"/>
        <v>-464.89400000000001</v>
      </c>
      <c r="BF216" s="123">
        <f t="shared" si="488"/>
        <v>-464.89400000000001</v>
      </c>
      <c r="BG216" s="86">
        <f t="shared" si="488"/>
        <v>-1859.576</v>
      </c>
      <c r="BH216" s="121">
        <f t="shared" ref="BH216:BQ216" si="489">SUM(BH213:BH215)</f>
        <v>-352.93</v>
      </c>
      <c r="BI216" s="122">
        <f t="shared" si="489"/>
        <v>-352.93</v>
      </c>
      <c r="BJ216" s="122">
        <f t="shared" si="489"/>
        <v>-352.93</v>
      </c>
      <c r="BK216" s="123">
        <f t="shared" si="489"/>
        <v>-352.93</v>
      </c>
      <c r="BL216" s="86">
        <f t="shared" si="489"/>
        <v>-1411.72</v>
      </c>
      <c r="BM216" s="121">
        <f t="shared" si="489"/>
        <v>-387.00599999999997</v>
      </c>
      <c r="BN216" s="122">
        <f t="shared" si="489"/>
        <v>-387.00599999999997</v>
      </c>
      <c r="BO216" s="122">
        <f t="shared" si="489"/>
        <v>-387.00599999999997</v>
      </c>
      <c r="BP216" s="123">
        <f t="shared" si="489"/>
        <v>-387.00599999999997</v>
      </c>
      <c r="BQ216" s="86">
        <f t="shared" si="489"/>
        <v>-1548.0239999999999</v>
      </c>
      <c r="BR216" s="220"/>
      <c r="BS216" s="220"/>
      <c r="BT216" s="220"/>
      <c r="BU216" s="931"/>
      <c r="BV216" s="950"/>
      <c r="BW216" s="615"/>
      <c r="BX216" s="615"/>
      <c r="BY216" s="615"/>
      <c r="BZ216" s="615"/>
      <c r="CA216" s="615"/>
      <c r="CB216" s="615"/>
      <c r="CC216" s="615"/>
      <c r="CD216" s="615"/>
      <c r="CE216" s="615"/>
      <c r="CF216" s="220"/>
      <c r="CG216" s="220"/>
      <c r="CH216" s="220"/>
      <c r="CI216" s="220"/>
      <c r="CJ216" s="220"/>
      <c r="CK216" s="220"/>
      <c r="CL216" s="86">
        <f t="shared" ref="CL216:CX216" si="490">SUM(CL213:CL215)</f>
        <v>-273.56099999999998</v>
      </c>
      <c r="CM216" s="86">
        <f t="shared" si="490"/>
        <v>-484.06299999999993</v>
      </c>
      <c r="CN216" s="86">
        <f t="shared" si="490"/>
        <v>-634.79400000000032</v>
      </c>
      <c r="CO216" s="86">
        <f t="shared" si="490"/>
        <v>-189.14999999999972</v>
      </c>
      <c r="CP216" s="86">
        <f t="shared" si="490"/>
        <v>-823.94399999999996</v>
      </c>
      <c r="CQ216" s="86">
        <f t="shared" si="490"/>
        <v>-266.88600000000002</v>
      </c>
      <c r="CR216" s="86">
        <f t="shared" si="490"/>
        <v>-527.87699999999995</v>
      </c>
      <c r="CS216" s="86">
        <f t="shared" si="490"/>
        <v>-841.6329999999997</v>
      </c>
      <c r="CT216" s="86">
        <f t="shared" si="490"/>
        <v>-338.48400000000038</v>
      </c>
      <c r="CU216" s="86">
        <f t="shared" si="490"/>
        <v>-1180.1170000000002</v>
      </c>
      <c r="CV216" s="86">
        <f t="shared" si="490"/>
        <v>-352.6099999999999</v>
      </c>
      <c r="CW216" s="86">
        <f t="shared" si="490"/>
        <v>-558.87</v>
      </c>
      <c r="CX216" s="86">
        <f t="shared" si="490"/>
        <v>-838.03699999999969</v>
      </c>
      <c r="CY216" s="86">
        <f t="shared" ref="CY216:DH216" si="491">SUM(CY213:CY215)</f>
        <v>-207.15700000000032</v>
      </c>
      <c r="CZ216" s="86">
        <f t="shared" si="491"/>
        <v>-1045.194</v>
      </c>
      <c r="DA216" s="86">
        <f t="shared" si="491"/>
        <v>-130.095</v>
      </c>
      <c r="DB216" s="86">
        <f t="shared" si="491"/>
        <v>-334.18600000000004</v>
      </c>
      <c r="DC216" s="86">
        <f t="shared" si="491"/>
        <v>-641.71299999999997</v>
      </c>
      <c r="DD216" s="86">
        <f t="shared" si="491"/>
        <v>-318.91500000000008</v>
      </c>
      <c r="DE216" s="86">
        <f t="shared" si="491"/>
        <v>-960.62800000000016</v>
      </c>
      <c r="DF216" s="86">
        <f t="shared" si="491"/>
        <v>-346.40100000000007</v>
      </c>
      <c r="DG216" s="86">
        <f t="shared" si="491"/>
        <v>-694.90600000000006</v>
      </c>
      <c r="DH216" s="86">
        <f t="shared" si="491"/>
        <v>-1041.0189999999998</v>
      </c>
      <c r="DI216" s="86">
        <f t="shared" ref="DI216:DQ216" si="492">SUM(DI213:DI215)</f>
        <v>-402.1750000000003</v>
      </c>
      <c r="DJ216" s="86">
        <f t="shared" si="492"/>
        <v>-1443.194</v>
      </c>
      <c r="DK216" s="86">
        <f t="shared" si="492"/>
        <v>-316.64799999999997</v>
      </c>
      <c r="DL216" s="86">
        <f t="shared" si="492"/>
        <v>-577.73199999999997</v>
      </c>
      <c r="DM216" s="86">
        <f t="shared" si="492"/>
        <v>-854.77800000000002</v>
      </c>
      <c r="DN216" s="86">
        <f t="shared" si="492"/>
        <v>-367.57900000000006</v>
      </c>
      <c r="DO216" s="86">
        <f t="shared" si="492"/>
        <v>-1222.357</v>
      </c>
      <c r="DP216" s="86">
        <f t="shared" si="492"/>
        <v>-296.44800000000009</v>
      </c>
      <c r="DQ216" s="86">
        <f t="shared" si="492"/>
        <v>-576.46199999999999</v>
      </c>
      <c r="DR216" s="86">
        <f t="shared" ref="DR216:DW216" si="493">SUM(DR213:DR215)</f>
        <v>-898.84500000000003</v>
      </c>
      <c r="DS216" s="86">
        <f t="shared" si="493"/>
        <v>-925.6899999999996</v>
      </c>
      <c r="DT216" s="86">
        <f t="shared" si="493"/>
        <v>-1824.5349999999999</v>
      </c>
      <c r="DU216" s="86">
        <f t="shared" si="493"/>
        <v>-261.09899999999999</v>
      </c>
      <c r="DV216" s="86">
        <f t="shared" si="493"/>
        <v>-659.9849999999999</v>
      </c>
      <c r="DW216" s="86">
        <f t="shared" si="493"/>
        <v>-887.43499999999995</v>
      </c>
      <c r="DX216" s="86">
        <f t="shared" ref="DX216:ED216" si="494">SUM(DX213:DX215)</f>
        <v>-317.84500000000008</v>
      </c>
      <c r="DY216" s="86">
        <f t="shared" si="494"/>
        <v>-1205.28</v>
      </c>
      <c r="DZ216" s="86">
        <f t="shared" si="494"/>
        <v>-280.5</v>
      </c>
      <c r="EA216" s="86">
        <f t="shared" si="494"/>
        <v>-486.99599999999992</v>
      </c>
      <c r="EB216" s="86">
        <f t="shared" si="494"/>
        <v>-693.45699999999999</v>
      </c>
      <c r="EC216" s="86">
        <f t="shared" si="494"/>
        <v>-318.8479999999999</v>
      </c>
      <c r="ED216" s="86">
        <f t="shared" si="494"/>
        <v>-1012.3049999999998</v>
      </c>
    </row>
    <row r="217" spans="1:134" x14ac:dyDescent="0.2">
      <c r="A217" s="220"/>
      <c r="B217" s="220"/>
      <c r="C217" s="70"/>
      <c r="D217" s="82"/>
      <c r="E217" s="136"/>
      <c r="F217" s="137"/>
      <c r="G217" s="137"/>
      <c r="H217" s="116"/>
      <c r="I217" s="223"/>
      <c r="J217" s="136"/>
      <c r="K217" s="137"/>
      <c r="L217" s="137"/>
      <c r="M217" s="116"/>
      <c r="N217" s="223"/>
      <c r="O217" s="136"/>
      <c r="P217" s="137"/>
      <c r="Q217" s="137"/>
      <c r="R217" s="116"/>
      <c r="S217" s="223"/>
      <c r="T217" s="136"/>
      <c r="U217" s="137"/>
      <c r="V217" s="137"/>
      <c r="W217" s="116"/>
      <c r="X217" s="223"/>
      <c r="Y217" s="136"/>
      <c r="Z217" s="137"/>
      <c r="AA217" s="137"/>
      <c r="AB217" s="116"/>
      <c r="AC217" s="223"/>
      <c r="AD217" s="136"/>
      <c r="AE217" s="137"/>
      <c r="AF217" s="137"/>
      <c r="AG217" s="116"/>
      <c r="AH217" s="223"/>
      <c r="AI217" s="136"/>
      <c r="AJ217" s="137"/>
      <c r="AK217" s="137"/>
      <c r="AL217" s="116"/>
      <c r="AM217" s="223"/>
      <c r="AN217" s="136"/>
      <c r="AO217" s="137"/>
      <c r="AP217" s="137"/>
      <c r="AQ217" s="116"/>
      <c r="AR217" s="223"/>
      <c r="AS217" s="136"/>
      <c r="AT217" s="137"/>
      <c r="AU217" s="137"/>
      <c r="AV217" s="116"/>
      <c r="AW217" s="223"/>
      <c r="AX217" s="136"/>
      <c r="AY217" s="137"/>
      <c r="AZ217" s="137"/>
      <c r="BA217" s="116"/>
      <c r="BB217" s="220"/>
      <c r="BC217" s="136"/>
      <c r="BD217" s="137"/>
      <c r="BE217" s="137"/>
      <c r="BF217" s="116"/>
      <c r="BG217" s="220"/>
      <c r="BH217" s="136"/>
      <c r="BI217" s="137"/>
      <c r="BJ217" s="137"/>
      <c r="BK217" s="116"/>
      <c r="BL217" s="220"/>
      <c r="BM217" s="136"/>
      <c r="BN217" s="137"/>
      <c r="BO217" s="137"/>
      <c r="BP217" s="116"/>
      <c r="BQ217" s="220"/>
      <c r="BR217" s="220"/>
      <c r="BS217" s="220"/>
      <c r="BT217" s="220"/>
      <c r="BU217" s="615"/>
      <c r="BV217" s="949"/>
      <c r="BW217" s="615"/>
      <c r="BX217" s="615"/>
      <c r="BY217" s="615"/>
      <c r="BZ217" s="615"/>
      <c r="CA217" s="615"/>
      <c r="CB217" s="615"/>
      <c r="CC217" s="615"/>
      <c r="CD217" s="615"/>
      <c r="CE217" s="615"/>
      <c r="CF217" s="220"/>
      <c r="CG217" s="220"/>
      <c r="CH217" s="220"/>
      <c r="CI217" s="220"/>
      <c r="CJ217" s="220"/>
      <c r="CK217" s="220"/>
      <c r="CL217" s="220"/>
      <c r="CM217" s="220"/>
      <c r="CN217" s="220"/>
      <c r="CO217" s="220"/>
      <c r="CP217" s="220"/>
      <c r="CQ217" s="220"/>
      <c r="CR217" s="220"/>
      <c r="CS217" s="220"/>
      <c r="CT217" s="220"/>
      <c r="CU217" s="220"/>
      <c r="CV217" s="220"/>
      <c r="CW217" s="220"/>
      <c r="CX217" s="117"/>
      <c r="CY217" s="220"/>
      <c r="CZ217" s="220"/>
      <c r="DA217" s="220"/>
      <c r="DB217" s="220"/>
      <c r="DC217" s="117"/>
      <c r="DD217" s="220"/>
      <c r="DE217" s="220"/>
      <c r="DF217" s="220"/>
      <c r="DG217" s="220"/>
      <c r="DH217" s="117"/>
      <c r="DI217" s="220"/>
      <c r="DJ217" s="220"/>
      <c r="DK217" s="220"/>
      <c r="DL217" s="220"/>
      <c r="DM217" s="117"/>
      <c r="DN217" s="220"/>
      <c r="DO217" s="220"/>
      <c r="DP217" s="220"/>
      <c r="DR217" s="117"/>
      <c r="DS217" s="220"/>
      <c r="DT217" s="220"/>
      <c r="DU217" s="220"/>
      <c r="DX217" s="220"/>
      <c r="DY217" s="220"/>
      <c r="DZ217" s="220"/>
      <c r="EC217" s="220"/>
      <c r="ED217" s="220"/>
    </row>
    <row r="218" spans="1:134" x14ac:dyDescent="0.2">
      <c r="A218" s="220"/>
      <c r="B218" s="220"/>
      <c r="C218" s="70" t="s">
        <v>186</v>
      </c>
      <c r="D218" s="82"/>
      <c r="E218" s="136">
        <f>+CL218</f>
        <v>0</v>
      </c>
      <c r="F218" s="135">
        <f t="shared" ref="F218:G222" si="495">+CM218-CL218</f>
        <v>0</v>
      </c>
      <c r="G218" s="135">
        <f t="shared" si="495"/>
        <v>0</v>
      </c>
      <c r="H218" s="116">
        <f>+CP218-CN218</f>
        <v>295.33999999999997</v>
      </c>
      <c r="I218" s="223">
        <f t="shared" si="475"/>
        <v>295.33999999999997</v>
      </c>
      <c r="J218" s="136">
        <f>+CQ218</f>
        <v>0</v>
      </c>
      <c r="K218" s="135">
        <f t="shared" ref="K218:L222" si="496">+CR218-CQ218</f>
        <v>0</v>
      </c>
      <c r="L218" s="135">
        <f t="shared" si="496"/>
        <v>493.60899999999998</v>
      </c>
      <c r="M218" s="116">
        <f>+CU218-CS218</f>
        <v>-0.21899999999999409</v>
      </c>
      <c r="N218" s="223">
        <f t="shared" si="477"/>
        <v>493.39</v>
      </c>
      <c r="O218" s="136">
        <f>+CV218</f>
        <v>0</v>
      </c>
      <c r="P218" s="135">
        <f t="shared" ref="P218:Q222" si="497">+CW218-CV218</f>
        <v>0</v>
      </c>
      <c r="Q218" s="135">
        <f t="shared" si="497"/>
        <v>0</v>
      </c>
      <c r="R218" s="116">
        <f>+CZ218-CX218</f>
        <v>0</v>
      </c>
      <c r="S218" s="223">
        <f t="shared" si="479"/>
        <v>0</v>
      </c>
      <c r="T218" s="136">
        <f>+DA218</f>
        <v>0</v>
      </c>
      <c r="U218" s="135">
        <f t="shared" ref="U218:V222" si="498">+DB218-DA218</f>
        <v>0</v>
      </c>
      <c r="V218" s="135">
        <f t="shared" si="498"/>
        <v>786.85199999999998</v>
      </c>
      <c r="W218" s="116">
        <f>+DE218-DC218</f>
        <v>-0.48899999999991905</v>
      </c>
      <c r="X218" s="223">
        <f t="shared" si="481"/>
        <v>786.36300000000006</v>
      </c>
      <c r="Y218" s="136">
        <f>+DF218</f>
        <v>5.1999999999999998E-2</v>
      </c>
      <c r="Z218" s="135">
        <f t="shared" ref="Z218:AA222" si="499">+DG218-DF218</f>
        <v>395.09799999999996</v>
      </c>
      <c r="AA218" s="135">
        <f t="shared" si="499"/>
        <v>-0.34399999999999409</v>
      </c>
      <c r="AB218" s="116">
        <f>+DJ218-DH218</f>
        <v>-1.799999999997226E-2</v>
      </c>
      <c r="AC218" s="223">
        <f t="shared" ref="AC218:AC225" si="500">DJ218</f>
        <v>394.78800000000001</v>
      </c>
      <c r="AD218" s="136">
        <f>+DK218</f>
        <v>0</v>
      </c>
      <c r="AE218" s="135">
        <f t="shared" ref="AE218:AF222" si="501">+DL218-DK218</f>
        <v>295.53399999999999</v>
      </c>
      <c r="AF218" s="135">
        <f t="shared" si="501"/>
        <v>-0.17799999999999727</v>
      </c>
      <c r="AG218" s="116">
        <f>+DO218-DM218</f>
        <v>-1.9000000000005457E-2</v>
      </c>
      <c r="AH218" s="223">
        <f t="shared" ref="AH218:AH225" si="502">DO218</f>
        <v>295.33699999999999</v>
      </c>
      <c r="AI218" s="136">
        <f>+DP218</f>
        <v>0</v>
      </c>
      <c r="AJ218" s="135">
        <f t="shared" ref="AJ218:AK222" si="503">+DQ218-DP218</f>
        <v>-4.5999999999999999E-2</v>
      </c>
      <c r="AK218" s="135">
        <f t="shared" si="503"/>
        <v>588.04900000000009</v>
      </c>
      <c r="AL218" s="116">
        <f>+DT218-DR218</f>
        <v>-0.45800000000008367</v>
      </c>
      <c r="AM218" s="223">
        <f t="shared" ref="AM218:AM225" si="504">DT218</f>
        <v>587.54499999999996</v>
      </c>
      <c r="AN218" s="136">
        <f>+DU218</f>
        <v>0</v>
      </c>
      <c r="AO218" s="135">
        <f t="shared" ref="AO218:AP222" si="505">+DV218-DU218</f>
        <v>343.10300000000001</v>
      </c>
      <c r="AP218" s="135">
        <f t="shared" si="505"/>
        <v>-0.53300000000001546</v>
      </c>
      <c r="AQ218" s="116">
        <f>+DY218-DW218</f>
        <v>-6.7000000000007276E-2</v>
      </c>
      <c r="AR218" s="223">
        <f t="shared" ref="AR218:AR225" si="506">DY218</f>
        <v>342.50299999999999</v>
      </c>
      <c r="AS218" s="136">
        <f>+DZ218</f>
        <v>0</v>
      </c>
      <c r="AT218" s="135">
        <f t="shared" ref="AT218:AT222" si="507">+EA218-DZ218</f>
        <v>0</v>
      </c>
      <c r="AU218" s="135">
        <f t="shared" ref="AU218:AU222" si="508">+EB218-EA218</f>
        <v>586.26400000000001</v>
      </c>
      <c r="AV218" s="116">
        <f>+ED218-EB218</f>
        <v>-1.0159999999999627</v>
      </c>
      <c r="AW218" s="223">
        <f t="shared" ref="AW218:AW225" si="509">ED218</f>
        <v>585.24800000000005</v>
      </c>
      <c r="AX218" s="136">
        <f t="shared" ref="AX218:BA219" si="510">+AX192</f>
        <v>300</v>
      </c>
      <c r="AY218" s="135">
        <f t="shared" si="510"/>
        <v>0</v>
      </c>
      <c r="AZ218" s="135">
        <f t="shared" si="510"/>
        <v>0</v>
      </c>
      <c r="BA218" s="116">
        <f t="shared" si="510"/>
        <v>0</v>
      </c>
      <c r="BB218" s="82">
        <f>SUM(AX218:BA218)</f>
        <v>300</v>
      </c>
      <c r="BC218" s="136">
        <f t="shared" ref="BC218:BF219" si="511">+BC192</f>
        <v>0</v>
      </c>
      <c r="BD218" s="135">
        <f t="shared" si="511"/>
        <v>0</v>
      </c>
      <c r="BE218" s="135">
        <f t="shared" si="511"/>
        <v>200</v>
      </c>
      <c r="BF218" s="116">
        <f t="shared" si="511"/>
        <v>0</v>
      </c>
      <c r="BG218" s="82">
        <f>SUM(BC218:BF218)</f>
        <v>200</v>
      </c>
      <c r="BH218" s="136">
        <f t="shared" ref="BH218:BK219" si="512">+BH192</f>
        <v>0</v>
      </c>
      <c r="BI218" s="135">
        <f t="shared" si="512"/>
        <v>0</v>
      </c>
      <c r="BJ218" s="135">
        <f t="shared" si="512"/>
        <v>550</v>
      </c>
      <c r="BK218" s="116">
        <f t="shared" si="512"/>
        <v>0</v>
      </c>
      <c r="BL218" s="82">
        <f>SUM(BH218:BK218)</f>
        <v>550</v>
      </c>
      <c r="BM218" s="136">
        <f t="shared" ref="BM218:BP218" si="513">+BM192</f>
        <v>0</v>
      </c>
      <c r="BN218" s="135">
        <f t="shared" si="513"/>
        <v>0</v>
      </c>
      <c r="BO218" s="135">
        <f t="shared" si="513"/>
        <v>550</v>
      </c>
      <c r="BP218" s="116">
        <f t="shared" si="513"/>
        <v>0</v>
      </c>
      <c r="BQ218" s="82">
        <f>SUM(BM218:BP218)</f>
        <v>550</v>
      </c>
      <c r="BR218" s="220"/>
      <c r="BS218" s="220"/>
      <c r="BT218" s="220"/>
      <c r="BU218" s="615"/>
      <c r="BV218" s="951"/>
      <c r="BW218" s="615"/>
      <c r="BX218" s="615"/>
      <c r="BY218" s="615"/>
      <c r="BZ218" s="615"/>
      <c r="CA218" s="615"/>
      <c r="CB218" s="615"/>
      <c r="CC218" s="615"/>
      <c r="CD218" s="615"/>
      <c r="CE218" s="615"/>
      <c r="CF218" s="220"/>
      <c r="CG218" s="220"/>
      <c r="CH218" s="220"/>
      <c r="CI218" s="220"/>
      <c r="CJ218" s="220"/>
      <c r="CK218" s="220"/>
      <c r="CL218" s="117">
        <v>0</v>
      </c>
      <c r="CM218" s="117">
        <v>0</v>
      </c>
      <c r="CN218" s="117">
        <v>0</v>
      </c>
      <c r="CO218" s="82">
        <f>CP218-CN218</f>
        <v>295.33999999999997</v>
      </c>
      <c r="CP218" s="117">
        <v>295.33999999999997</v>
      </c>
      <c r="CQ218" s="219"/>
      <c r="CR218" s="219"/>
      <c r="CS218" s="117">
        <v>493.60899999999998</v>
      </c>
      <c r="CT218" s="82">
        <f>CU218-CS218</f>
        <v>-0.21899999999999409</v>
      </c>
      <c r="CU218" s="117">
        <v>493.39</v>
      </c>
      <c r="CV218" s="117">
        <v>0</v>
      </c>
      <c r="CW218" s="117">
        <v>0</v>
      </c>
      <c r="CX218" s="117">
        <v>0</v>
      </c>
      <c r="CY218" s="82">
        <f>CZ218-CX218</f>
        <v>0</v>
      </c>
      <c r="CZ218" s="117">
        <v>0</v>
      </c>
      <c r="DA218" s="117">
        <v>0</v>
      </c>
      <c r="DB218" s="117">
        <v>0</v>
      </c>
      <c r="DC218" s="117">
        <v>786.85199999999998</v>
      </c>
      <c r="DD218" s="82">
        <f>DE218-DC218</f>
        <v>-0.48899999999991905</v>
      </c>
      <c r="DE218" s="117">
        <v>786.36300000000006</v>
      </c>
      <c r="DF218" s="117">
        <v>5.1999999999999998E-2</v>
      </c>
      <c r="DG218" s="117">
        <v>395.15</v>
      </c>
      <c r="DH218" s="117">
        <v>394.80599999999998</v>
      </c>
      <c r="DI218" s="82">
        <f>DJ218-DH218</f>
        <v>-1.799999999997226E-2</v>
      </c>
      <c r="DJ218" s="117">
        <v>394.78800000000001</v>
      </c>
      <c r="DK218" s="117">
        <v>0</v>
      </c>
      <c r="DL218" s="117">
        <v>295.53399999999999</v>
      </c>
      <c r="DM218" s="117">
        <v>295.35599999999999</v>
      </c>
      <c r="DN218" s="82">
        <f>DO218-DM218</f>
        <v>-1.9000000000005457E-2</v>
      </c>
      <c r="DO218" s="117">
        <v>295.33699999999999</v>
      </c>
      <c r="DP218" s="117">
        <v>0</v>
      </c>
      <c r="DQ218" s="117">
        <v>-4.5999999999999999E-2</v>
      </c>
      <c r="DR218" s="117">
        <v>588.00300000000004</v>
      </c>
      <c r="DS218" s="82">
        <f>DT218-DR218</f>
        <v>-0.45800000000008367</v>
      </c>
      <c r="DT218" s="117">
        <v>587.54499999999996</v>
      </c>
      <c r="DU218" s="117">
        <v>0</v>
      </c>
      <c r="DV218" s="117">
        <v>343.10300000000001</v>
      </c>
      <c r="DW218" s="117">
        <v>342.57</v>
      </c>
      <c r="DX218" s="82">
        <f>DY218-DW218</f>
        <v>-6.7000000000007276E-2</v>
      </c>
      <c r="DY218" s="117">
        <v>342.50299999999999</v>
      </c>
      <c r="DZ218" s="117">
        <v>0</v>
      </c>
      <c r="EA218" s="117">
        <v>0</v>
      </c>
      <c r="EB218" s="117">
        <v>586.26400000000001</v>
      </c>
      <c r="EC218" s="82">
        <f>ED218-EB218</f>
        <v>-1.0159999999999627</v>
      </c>
      <c r="ED218" s="117">
        <v>585.24800000000005</v>
      </c>
    </row>
    <row r="219" spans="1:134" x14ac:dyDescent="0.2">
      <c r="A219" s="220"/>
      <c r="B219" s="220"/>
      <c r="C219" s="70" t="s">
        <v>187</v>
      </c>
      <c r="D219" s="82"/>
      <c r="E219" s="136">
        <f>+CL219</f>
        <v>-3.0000000000000001E-3</v>
      </c>
      <c r="F219" s="135">
        <f t="shared" si="495"/>
        <v>-3.1000000000000003E-2</v>
      </c>
      <c r="G219" s="135">
        <f t="shared" si="495"/>
        <v>-249.99</v>
      </c>
      <c r="H219" s="116">
        <f>+CP219-CN219</f>
        <v>-1.6999999999995907E-2</v>
      </c>
      <c r="I219" s="223">
        <f t="shared" si="475"/>
        <v>-250.041</v>
      </c>
      <c r="J219" s="136">
        <f>+CQ219</f>
        <v>-8.5000000000000006E-2</v>
      </c>
      <c r="K219" s="135">
        <f t="shared" si="496"/>
        <v>-5.9999999999999915E-3</v>
      </c>
      <c r="L219" s="135">
        <f t="shared" si="496"/>
        <v>-174.93799999999999</v>
      </c>
      <c r="M219" s="116">
        <f>+CU219-CS219</f>
        <v>-4.9999999999954525E-3</v>
      </c>
      <c r="N219" s="223">
        <f t="shared" si="477"/>
        <v>-175.03399999999999</v>
      </c>
      <c r="O219" s="136">
        <f>+CV219</f>
        <v>-0.03</v>
      </c>
      <c r="P219" s="135">
        <f t="shared" si="497"/>
        <v>0</v>
      </c>
      <c r="Q219" s="135">
        <f t="shared" si="497"/>
        <v>0</v>
      </c>
      <c r="R219" s="116">
        <f>+CZ219-CX219</f>
        <v>-4.0000000000000036E-3</v>
      </c>
      <c r="S219" s="223">
        <f t="shared" si="479"/>
        <v>-3.4000000000000002E-2</v>
      </c>
      <c r="T219" s="136">
        <f>+DA219</f>
        <v>0</v>
      </c>
      <c r="U219" s="135">
        <f t="shared" si="498"/>
        <v>0</v>
      </c>
      <c r="V219" s="135">
        <f t="shared" si="498"/>
        <v>-648.86900000000003</v>
      </c>
      <c r="W219" s="116">
        <f>+DE219-DC219</f>
        <v>-4.9999999999954525E-3</v>
      </c>
      <c r="X219" s="223">
        <f t="shared" si="481"/>
        <v>-648.87400000000002</v>
      </c>
      <c r="Y219" s="136">
        <f>+DF219</f>
        <v>0</v>
      </c>
      <c r="Z219" s="135">
        <f t="shared" si="499"/>
        <v>0</v>
      </c>
      <c r="AA219" s="135">
        <f t="shared" si="499"/>
        <v>0</v>
      </c>
      <c r="AB219" s="116">
        <f>+DJ219-DH219</f>
        <v>0</v>
      </c>
      <c r="AC219" s="223">
        <f t="shared" si="500"/>
        <v>0</v>
      </c>
      <c r="AD219" s="136">
        <f>+DK219</f>
        <v>0</v>
      </c>
      <c r="AE219" s="135">
        <f t="shared" si="501"/>
        <v>0</v>
      </c>
      <c r="AF219" s="135">
        <f t="shared" si="501"/>
        <v>0</v>
      </c>
      <c r="AG219" s="116">
        <f>+DO219-DM219</f>
        <v>0</v>
      </c>
      <c r="AH219" s="223">
        <f t="shared" si="502"/>
        <v>0</v>
      </c>
      <c r="AI219" s="136">
        <f>+DP219</f>
        <v>-3.3000000000000002E-2</v>
      </c>
      <c r="AJ219" s="135">
        <f t="shared" si="503"/>
        <v>3.3000000000000002E-2</v>
      </c>
      <c r="AK219" s="135">
        <f t="shared" si="503"/>
        <v>-250.01300000000001</v>
      </c>
      <c r="AL219" s="116">
        <f>+DT219-DR219</f>
        <v>0</v>
      </c>
      <c r="AM219" s="223">
        <f t="shared" si="504"/>
        <v>-250.01300000000001</v>
      </c>
      <c r="AN219" s="136">
        <f>+DU219</f>
        <v>0</v>
      </c>
      <c r="AO219" s="135">
        <f t="shared" si="505"/>
        <v>0</v>
      </c>
      <c r="AP219" s="135">
        <f t="shared" si="505"/>
        <v>-1.0999999999999999E-2</v>
      </c>
      <c r="AQ219" s="116">
        <f>+DY219-DW219</f>
        <v>0</v>
      </c>
      <c r="AR219" s="223">
        <f t="shared" si="506"/>
        <v>-1.0999999999999999E-2</v>
      </c>
      <c r="AS219" s="136">
        <f>+DZ219</f>
        <v>-0.01</v>
      </c>
      <c r="AT219" s="135">
        <f t="shared" si="507"/>
        <v>0.01</v>
      </c>
      <c r="AU219" s="135">
        <f t="shared" si="508"/>
        <v>-507.86500000000001</v>
      </c>
      <c r="AV219" s="116">
        <f>+ED219-EB219</f>
        <v>0</v>
      </c>
      <c r="AW219" s="223">
        <f t="shared" si="509"/>
        <v>-507.86500000000001</v>
      </c>
      <c r="AX219" s="136">
        <f t="shared" si="510"/>
        <v>0</v>
      </c>
      <c r="AY219" s="135">
        <f t="shared" si="510"/>
        <v>0</v>
      </c>
      <c r="AZ219" s="135">
        <f t="shared" si="510"/>
        <v>0</v>
      </c>
      <c r="BA219" s="116">
        <f t="shared" si="510"/>
        <v>0</v>
      </c>
      <c r="BB219" s="82">
        <f>SUM(AX219:BA219)</f>
        <v>0</v>
      </c>
      <c r="BC219" s="136">
        <f t="shared" si="511"/>
        <v>0</v>
      </c>
      <c r="BD219" s="135">
        <f t="shared" si="511"/>
        <v>0</v>
      </c>
      <c r="BE219" s="135">
        <f t="shared" si="511"/>
        <v>0</v>
      </c>
      <c r="BF219" s="116">
        <f t="shared" si="511"/>
        <v>0</v>
      </c>
      <c r="BG219" s="82">
        <f>SUM(BC219:BF219)</f>
        <v>0</v>
      </c>
      <c r="BH219" s="136">
        <f t="shared" si="512"/>
        <v>0</v>
      </c>
      <c r="BI219" s="135">
        <f t="shared" si="512"/>
        <v>0</v>
      </c>
      <c r="BJ219" s="135">
        <f t="shared" si="512"/>
        <v>-300</v>
      </c>
      <c r="BK219" s="116">
        <f t="shared" si="512"/>
        <v>0</v>
      </c>
      <c r="BL219" s="82">
        <f>SUM(BH219:BK219)</f>
        <v>-300</v>
      </c>
      <c r="BM219" s="136">
        <f t="shared" ref="BM219:BP219" si="514">+BM193</f>
        <v>0</v>
      </c>
      <c r="BN219" s="135">
        <f t="shared" si="514"/>
        <v>0</v>
      </c>
      <c r="BO219" s="135">
        <f t="shared" si="514"/>
        <v>0</v>
      </c>
      <c r="BP219" s="116">
        <f t="shared" si="514"/>
        <v>0</v>
      </c>
      <c r="BQ219" s="82">
        <f>SUM(BM219:BP219)</f>
        <v>0</v>
      </c>
      <c r="BR219" s="220"/>
      <c r="BS219" s="220"/>
      <c r="BT219" s="220"/>
      <c r="BU219" s="615"/>
      <c r="BV219" s="949"/>
      <c r="BW219" s="615"/>
      <c r="BX219" s="615"/>
      <c r="BY219" s="615"/>
      <c r="BZ219" s="615"/>
      <c r="CA219" s="615"/>
      <c r="CB219" s="615"/>
      <c r="CC219" s="615"/>
      <c r="CD219" s="615"/>
      <c r="CE219" s="615"/>
      <c r="CF219" s="220"/>
      <c r="CG219" s="220"/>
      <c r="CH219" s="220"/>
      <c r="CI219" s="220"/>
      <c r="CJ219" s="220"/>
      <c r="CK219" s="220"/>
      <c r="CL219" s="117">
        <v>-3.0000000000000001E-3</v>
      </c>
      <c r="CM219" s="117">
        <v>-3.4000000000000002E-2</v>
      </c>
      <c r="CN219" s="117">
        <v>-250.024</v>
      </c>
      <c r="CO219" s="82">
        <f>CP219-CN219</f>
        <v>-1.6999999999995907E-2</v>
      </c>
      <c r="CP219" s="117">
        <v>-250.041</v>
      </c>
      <c r="CQ219" s="117">
        <v>-8.5000000000000006E-2</v>
      </c>
      <c r="CR219" s="117">
        <v>-9.0999999999999998E-2</v>
      </c>
      <c r="CS219" s="117">
        <v>-175.029</v>
      </c>
      <c r="CT219" s="82">
        <f>CU219-CS219</f>
        <v>-4.9999999999954525E-3</v>
      </c>
      <c r="CU219" s="117">
        <v>-175.03399999999999</v>
      </c>
      <c r="CV219" s="117">
        <v>-0.03</v>
      </c>
      <c r="CW219" s="117">
        <v>-0.03</v>
      </c>
      <c r="CX219" s="117">
        <v>-0.03</v>
      </c>
      <c r="CY219" s="82">
        <f>CZ219-CX219</f>
        <v>-4.0000000000000036E-3</v>
      </c>
      <c r="CZ219" s="117">
        <v>-3.4000000000000002E-2</v>
      </c>
      <c r="DA219" s="117">
        <v>0</v>
      </c>
      <c r="DB219" s="117">
        <v>0</v>
      </c>
      <c r="DC219" s="117">
        <v>-648.86900000000003</v>
      </c>
      <c r="DD219" s="82">
        <f>DE219-DC219</f>
        <v>-4.9999999999954525E-3</v>
      </c>
      <c r="DE219" s="117">
        <v>-648.87400000000002</v>
      </c>
      <c r="DF219" s="117">
        <v>0</v>
      </c>
      <c r="DG219" s="117">
        <v>0</v>
      </c>
      <c r="DH219" s="117">
        <v>0</v>
      </c>
      <c r="DI219" s="82">
        <f>DJ219-DH219</f>
        <v>0</v>
      </c>
      <c r="DJ219" s="117">
        <v>0</v>
      </c>
      <c r="DK219" s="117">
        <v>0</v>
      </c>
      <c r="DL219" s="117">
        <v>0</v>
      </c>
      <c r="DM219" s="117">
        <v>0</v>
      </c>
      <c r="DN219" s="82">
        <f>DO219-DM219</f>
        <v>0</v>
      </c>
      <c r="DO219" s="117">
        <v>0</v>
      </c>
      <c r="DP219" s="117">
        <v>-3.3000000000000002E-2</v>
      </c>
      <c r="DQ219" s="117">
        <v>0</v>
      </c>
      <c r="DR219" s="117">
        <v>-250.01300000000001</v>
      </c>
      <c r="DS219" s="82">
        <f>DT219-DR219</f>
        <v>0</v>
      </c>
      <c r="DT219" s="117">
        <v>-250.01300000000001</v>
      </c>
      <c r="DU219" s="117">
        <v>0</v>
      </c>
      <c r="DV219" s="117">
        <v>0</v>
      </c>
      <c r="DW219" s="117">
        <v>-1.0999999999999999E-2</v>
      </c>
      <c r="DX219" s="82">
        <f>DY219-DW219</f>
        <v>0</v>
      </c>
      <c r="DY219" s="117">
        <v>-1.0999999999999999E-2</v>
      </c>
      <c r="DZ219" s="117">
        <v>-0.01</v>
      </c>
      <c r="EA219" s="117">
        <v>0</v>
      </c>
      <c r="EB219" s="117">
        <v>-507.86500000000001</v>
      </c>
      <c r="EC219" s="82">
        <f>ED219-EB219</f>
        <v>0</v>
      </c>
      <c r="ED219" s="117">
        <v>-507.86500000000001</v>
      </c>
    </row>
    <row r="220" spans="1:134" x14ac:dyDescent="0.2">
      <c r="A220" s="220"/>
      <c r="B220" s="220"/>
      <c r="C220" s="70" t="s">
        <v>188</v>
      </c>
      <c r="D220" s="82"/>
      <c r="E220" s="136">
        <f>+CL220</f>
        <v>-65</v>
      </c>
      <c r="F220" s="135">
        <f t="shared" si="495"/>
        <v>0</v>
      </c>
      <c r="G220" s="135">
        <f t="shared" si="495"/>
        <v>122</v>
      </c>
      <c r="H220" s="116">
        <f>+CP220-CN220</f>
        <v>-122</v>
      </c>
      <c r="I220" s="223">
        <f t="shared" si="475"/>
        <v>-65</v>
      </c>
      <c r="J220" s="136">
        <f>+CQ220</f>
        <v>0</v>
      </c>
      <c r="K220" s="135">
        <f t="shared" si="496"/>
        <v>45</v>
      </c>
      <c r="L220" s="135">
        <f t="shared" si="496"/>
        <v>-45</v>
      </c>
      <c r="M220" s="116">
        <f>+CU220-CS220</f>
        <v>0</v>
      </c>
      <c r="N220" s="223">
        <f t="shared" si="477"/>
        <v>0</v>
      </c>
      <c r="O220" s="136">
        <f>+CV220</f>
        <v>8</v>
      </c>
      <c r="P220" s="135">
        <f t="shared" si="497"/>
        <v>-3</v>
      </c>
      <c r="Q220" s="200">
        <f t="shared" si="497"/>
        <v>-5</v>
      </c>
      <c r="R220" s="116">
        <f>+CZ220-CX220</f>
        <v>91</v>
      </c>
      <c r="S220" s="223">
        <f t="shared" si="479"/>
        <v>91</v>
      </c>
      <c r="T220" s="136">
        <f>+DA220</f>
        <v>-22</v>
      </c>
      <c r="U220" s="135">
        <f t="shared" si="498"/>
        <v>-4</v>
      </c>
      <c r="V220" s="200">
        <f t="shared" si="498"/>
        <v>0</v>
      </c>
      <c r="W220" s="116">
        <f>+DE220-DC220</f>
        <v>156</v>
      </c>
      <c r="X220" s="223">
        <f t="shared" si="481"/>
        <v>130</v>
      </c>
      <c r="Y220" s="136">
        <f>+DF220</f>
        <v>4</v>
      </c>
      <c r="Z220" s="135">
        <f t="shared" si="499"/>
        <v>-200</v>
      </c>
      <c r="AA220" s="200">
        <f t="shared" si="499"/>
        <v>8</v>
      </c>
      <c r="AB220" s="116">
        <f>+DJ220-DH220</f>
        <v>132</v>
      </c>
      <c r="AC220" s="223">
        <f t="shared" si="500"/>
        <v>-56</v>
      </c>
      <c r="AD220" s="136">
        <f>+DK220</f>
        <v>115</v>
      </c>
      <c r="AE220" s="135">
        <f t="shared" si="501"/>
        <v>-219</v>
      </c>
      <c r="AF220" s="200">
        <f t="shared" si="501"/>
        <v>-27</v>
      </c>
      <c r="AG220" s="116">
        <f>+DO220-DM220</f>
        <v>108</v>
      </c>
      <c r="AH220" s="223">
        <f t="shared" si="502"/>
        <v>-23</v>
      </c>
      <c r="AI220" s="136">
        <f>+DP220</f>
        <v>-66</v>
      </c>
      <c r="AJ220" s="135">
        <f t="shared" si="503"/>
        <v>41</v>
      </c>
      <c r="AK220" s="200">
        <f t="shared" si="503"/>
        <v>-117</v>
      </c>
      <c r="AL220" s="116">
        <f>+DT220-DR220</f>
        <v>223</v>
      </c>
      <c r="AM220" s="223">
        <f t="shared" si="504"/>
        <v>81</v>
      </c>
      <c r="AN220" s="136">
        <f>+DU220</f>
        <v>-57</v>
      </c>
      <c r="AO220" s="135">
        <f t="shared" si="505"/>
        <v>-166</v>
      </c>
      <c r="AP220" s="200">
        <f t="shared" si="505"/>
        <v>0</v>
      </c>
      <c r="AQ220" s="116">
        <f>+DY220-DW220</f>
        <v>85</v>
      </c>
      <c r="AR220" s="223">
        <f t="shared" si="506"/>
        <v>-138</v>
      </c>
      <c r="AS220" s="136">
        <f>+DZ220</f>
        <v>-46</v>
      </c>
      <c r="AT220" s="135">
        <f t="shared" si="507"/>
        <v>135</v>
      </c>
      <c r="AU220" s="200">
        <f t="shared" si="508"/>
        <v>-124</v>
      </c>
      <c r="AV220" s="116">
        <f>+ED220-EB220</f>
        <v>55</v>
      </c>
      <c r="AW220" s="223">
        <f t="shared" si="509"/>
        <v>20</v>
      </c>
      <c r="AX220" s="148">
        <v>0</v>
      </c>
      <c r="AY220" s="221">
        <v>0</v>
      </c>
      <c r="AZ220" s="221">
        <v>0</v>
      </c>
      <c r="BA220" s="150">
        <v>0</v>
      </c>
      <c r="BB220" s="82">
        <f>SUM(AX220:BA220)</f>
        <v>0</v>
      </c>
      <c r="BC220" s="148">
        <v>0</v>
      </c>
      <c r="BD220" s="221">
        <v>0</v>
      </c>
      <c r="BE220" s="221">
        <v>0</v>
      </c>
      <c r="BF220" s="150">
        <v>0</v>
      </c>
      <c r="BG220" s="82">
        <f>SUM(BC220:BF220)</f>
        <v>0</v>
      </c>
      <c r="BH220" s="148">
        <v>0</v>
      </c>
      <c r="BI220" s="221">
        <v>0</v>
      </c>
      <c r="BJ220" s="221">
        <v>0</v>
      </c>
      <c r="BK220" s="150">
        <v>0</v>
      </c>
      <c r="BL220" s="82">
        <f>SUM(BH220:BK220)</f>
        <v>0</v>
      </c>
      <c r="BM220" s="148">
        <v>0</v>
      </c>
      <c r="BN220" s="221">
        <v>0</v>
      </c>
      <c r="BO220" s="221">
        <v>0</v>
      </c>
      <c r="BP220" s="150">
        <v>0</v>
      </c>
      <c r="BQ220" s="82">
        <f>SUM(BM220:BP220)</f>
        <v>0</v>
      </c>
      <c r="BR220" s="220"/>
      <c r="BS220" s="220"/>
      <c r="BT220" s="220"/>
      <c r="BU220" s="615"/>
      <c r="BV220" s="952"/>
      <c r="BW220" s="615"/>
      <c r="BX220" s="615"/>
      <c r="BY220" s="615"/>
      <c r="BZ220" s="615"/>
      <c r="CA220" s="615"/>
      <c r="CB220" s="615"/>
      <c r="CC220" s="615"/>
      <c r="CD220" s="615"/>
      <c r="CE220" s="615"/>
      <c r="CF220" s="220"/>
      <c r="CG220" s="220"/>
      <c r="CH220" s="220"/>
      <c r="CI220" s="220"/>
      <c r="CJ220" s="220"/>
      <c r="CK220" s="220"/>
      <c r="CL220" s="313">
        <v>-65</v>
      </c>
      <c r="CM220" s="313">
        <v>-65</v>
      </c>
      <c r="CN220" s="313">
        <v>57</v>
      </c>
      <c r="CO220" s="82">
        <f>CP220-CN220</f>
        <v>-122</v>
      </c>
      <c r="CP220" s="313">
        <v>-65</v>
      </c>
      <c r="CQ220" s="313"/>
      <c r="CR220" s="313">
        <v>45</v>
      </c>
      <c r="CS220" s="313">
        <v>0</v>
      </c>
      <c r="CT220" s="82">
        <f>CU220-CS220</f>
        <v>0</v>
      </c>
      <c r="CU220" s="313">
        <v>0</v>
      </c>
      <c r="CV220" s="313">
        <v>8</v>
      </c>
      <c r="CW220" s="313">
        <v>5</v>
      </c>
      <c r="CX220" s="117">
        <v>0</v>
      </c>
      <c r="CY220" s="82">
        <f>CZ220-CX220</f>
        <v>91</v>
      </c>
      <c r="CZ220" s="313">
        <f>26+627.6-562.6</f>
        <v>91</v>
      </c>
      <c r="DA220" s="313">
        <f>2+229-253</f>
        <v>-22</v>
      </c>
      <c r="DB220" s="313">
        <v>-26</v>
      </c>
      <c r="DC220" s="117">
        <v>-26</v>
      </c>
      <c r="DD220" s="82">
        <f>DE220-DC220</f>
        <v>156</v>
      </c>
      <c r="DE220" s="313">
        <f>195+1147-1212</f>
        <v>130</v>
      </c>
      <c r="DF220" s="313">
        <f>-176+238-58</f>
        <v>4</v>
      </c>
      <c r="DG220" s="313">
        <v>-196</v>
      </c>
      <c r="DH220" s="117">
        <v>-188</v>
      </c>
      <c r="DI220" s="82">
        <f>DJ220-DH220</f>
        <v>132</v>
      </c>
      <c r="DJ220" s="313">
        <f>-90+997-963</f>
        <v>-56</v>
      </c>
      <c r="DK220" s="313">
        <f>-1+273-157</f>
        <v>115</v>
      </c>
      <c r="DL220" s="313">
        <v>-104</v>
      </c>
      <c r="DM220" s="117">
        <v>-131</v>
      </c>
      <c r="DN220" s="82">
        <f>DO220-DM220</f>
        <v>108</v>
      </c>
      <c r="DO220" s="313">
        <f>11+340-374</f>
        <v>-23</v>
      </c>
      <c r="DP220" s="313">
        <f>-66+31-31</f>
        <v>-66</v>
      </c>
      <c r="DQ220" s="313">
        <f>-25+144.5-144.5</f>
        <v>-25</v>
      </c>
      <c r="DR220" s="117">
        <v>-142</v>
      </c>
      <c r="DS220" s="82">
        <f>DT220-DR220</f>
        <v>223</v>
      </c>
      <c r="DT220" s="313">
        <f>81+294.5-294.5</f>
        <v>81</v>
      </c>
      <c r="DU220" s="313">
        <f>-150+310-217</f>
        <v>-57</v>
      </c>
      <c r="DV220" s="313">
        <f>-223+424-424</f>
        <v>-223</v>
      </c>
      <c r="DW220" s="313">
        <f>-223+424-424</f>
        <v>-223</v>
      </c>
      <c r="DX220" s="82">
        <f>DY220-DW220</f>
        <v>85</v>
      </c>
      <c r="DY220" s="313">
        <f>-138+424-424</f>
        <v>-138</v>
      </c>
      <c r="DZ220" s="313">
        <f>-46+25-25</f>
        <v>-46</v>
      </c>
      <c r="EA220" s="313">
        <f>-2+465-374</f>
        <v>89</v>
      </c>
      <c r="EB220" s="313">
        <f>-85+516-466</f>
        <v>-35</v>
      </c>
      <c r="EC220" s="82">
        <f>ED220-EB220</f>
        <v>55</v>
      </c>
      <c r="ED220" s="313">
        <f>-65+838-753</f>
        <v>20</v>
      </c>
    </row>
    <row r="221" spans="1:134" x14ac:dyDescent="0.2">
      <c r="A221" s="220"/>
      <c r="B221" s="220"/>
      <c r="C221" s="70" t="s">
        <v>298</v>
      </c>
      <c r="D221" s="82"/>
      <c r="E221" s="136">
        <f>+CL221</f>
        <v>61.585000000000001</v>
      </c>
      <c r="F221" s="135">
        <f t="shared" si="495"/>
        <v>-44.527999999999999</v>
      </c>
      <c r="G221" s="135">
        <f t="shared" si="495"/>
        <v>-58.575000000000003</v>
      </c>
      <c r="H221" s="116">
        <f>+CP221-CN221</f>
        <v>-78.453999999999994</v>
      </c>
      <c r="I221" s="223">
        <f t="shared" si="475"/>
        <v>-119.97199999999999</v>
      </c>
      <c r="J221" s="136">
        <f>+CQ221</f>
        <v>-8.4149999999999991</v>
      </c>
      <c r="K221" s="135">
        <f t="shared" si="496"/>
        <v>103.75500000000002</v>
      </c>
      <c r="L221" s="135">
        <f t="shared" si="496"/>
        <v>-58.477999999999994</v>
      </c>
      <c r="M221" s="116">
        <f>+CU221-CS221</f>
        <v>-57.292000000000002</v>
      </c>
      <c r="N221" s="223">
        <f t="shared" si="477"/>
        <v>-20.429999999999978</v>
      </c>
      <c r="O221" s="136">
        <f>+CV221</f>
        <v>66.628</v>
      </c>
      <c r="P221" s="135">
        <f t="shared" si="497"/>
        <v>-57.635000000000005</v>
      </c>
      <c r="Q221" s="135">
        <f t="shared" si="497"/>
        <v>-116.50299999999999</v>
      </c>
      <c r="R221" s="116">
        <f>+CZ221-CX221</f>
        <v>4.0000000000048885E-3</v>
      </c>
      <c r="S221" s="223">
        <f t="shared" si="479"/>
        <v>-107.50599999999999</v>
      </c>
      <c r="T221" s="136">
        <f>+DA221</f>
        <v>41.945999999999998</v>
      </c>
      <c r="U221" s="135">
        <f t="shared" si="498"/>
        <v>-12.405999999999992</v>
      </c>
      <c r="V221" s="135">
        <f t="shared" si="498"/>
        <v>-59.02300000000001</v>
      </c>
      <c r="W221" s="116">
        <f>+DE221-DC221</f>
        <v>10.485000000000014</v>
      </c>
      <c r="X221" s="223">
        <f t="shared" si="481"/>
        <v>-18.99799999999999</v>
      </c>
      <c r="Y221" s="136">
        <f>+DF221</f>
        <v>61.243000000000002</v>
      </c>
      <c r="Z221" s="135">
        <f t="shared" si="499"/>
        <v>-58.690000000000005</v>
      </c>
      <c r="AA221" s="135">
        <f t="shared" si="499"/>
        <v>-69.205999999999989</v>
      </c>
      <c r="AB221" s="116">
        <f>+DJ221-DH221</f>
        <v>116.25599999999997</v>
      </c>
      <c r="AC221" s="223">
        <f t="shared" si="500"/>
        <v>49.60299999999998</v>
      </c>
      <c r="AD221" s="136">
        <f>+DK221</f>
        <v>36.247999999999998</v>
      </c>
      <c r="AE221" s="135">
        <f t="shared" si="501"/>
        <v>-59.74</v>
      </c>
      <c r="AF221" s="135">
        <f t="shared" si="501"/>
        <v>-73.721000000000004</v>
      </c>
      <c r="AG221" s="116">
        <f>+DO221-DM221</f>
        <v>-67.187000000000026</v>
      </c>
      <c r="AH221" s="223">
        <f t="shared" si="502"/>
        <v>-164.40000000000003</v>
      </c>
      <c r="AI221" s="136">
        <f>+DP221</f>
        <v>-1.967000000000013</v>
      </c>
      <c r="AJ221" s="135">
        <f t="shared" si="503"/>
        <v>-5.768999999999977</v>
      </c>
      <c r="AK221" s="135">
        <f t="shared" si="503"/>
        <v>-65.066000000000003</v>
      </c>
      <c r="AL221" s="116">
        <f>+DT221-DR221</f>
        <v>160.96599999999998</v>
      </c>
      <c r="AM221" s="223">
        <f t="shared" si="504"/>
        <v>88.163999999999987</v>
      </c>
      <c r="AN221" s="136">
        <f>+DU221</f>
        <v>16.375999999999991</v>
      </c>
      <c r="AO221" s="135">
        <f t="shared" si="505"/>
        <v>-82.227999999999994</v>
      </c>
      <c r="AP221" s="135">
        <f t="shared" si="505"/>
        <v>-143.72900000000001</v>
      </c>
      <c r="AQ221" s="116">
        <f>+DY221-DW221</f>
        <v>-89.640999999999963</v>
      </c>
      <c r="AR221" s="223">
        <f t="shared" si="506"/>
        <v>-299.22199999999998</v>
      </c>
      <c r="AS221" s="136">
        <f>+DZ221</f>
        <v>5.8999999999997499E-2</v>
      </c>
      <c r="AT221" s="135">
        <f t="shared" si="507"/>
        <v>-85.687000000000012</v>
      </c>
      <c r="AU221" s="135">
        <f t="shared" si="508"/>
        <v>-209.25799999999995</v>
      </c>
      <c r="AV221" s="116">
        <f>+ED221-EB221</f>
        <v>-66.705000000000041</v>
      </c>
      <c r="AW221" s="223">
        <f t="shared" si="509"/>
        <v>-361.59100000000001</v>
      </c>
      <c r="AX221" s="136">
        <f>+BB221/4</f>
        <v>-62.5</v>
      </c>
      <c r="AY221" s="135">
        <f>(BB221-SUM(AX221:AX221))/3</f>
        <v>-62.5</v>
      </c>
      <c r="AZ221" s="135">
        <f>(BB221-SUM(AX221:AY221))/2</f>
        <v>-62.5</v>
      </c>
      <c r="BA221" s="116">
        <f>(BB221-SUM(AX221:AZ221))/1</f>
        <v>-62.5</v>
      </c>
      <c r="BB221" s="853">
        <v>-250</v>
      </c>
      <c r="BC221" s="136">
        <f>+BG221/4</f>
        <v>0</v>
      </c>
      <c r="BD221" s="135">
        <f>(BG221-SUM(BC221:BC221))/3</f>
        <v>0</v>
      </c>
      <c r="BE221" s="135">
        <f>(BG221-SUM(BC221:BD221))/2</f>
        <v>0</v>
      </c>
      <c r="BF221" s="116">
        <f>(BG221-SUM(BC221:BE221))/1</f>
        <v>0</v>
      </c>
      <c r="BG221" s="853">
        <v>0</v>
      </c>
      <c r="BH221" s="136">
        <f>+BL221/4</f>
        <v>-106.25</v>
      </c>
      <c r="BI221" s="135">
        <f>(BL221-SUM(BH221:BH221))/3</f>
        <v>-106.25</v>
      </c>
      <c r="BJ221" s="135">
        <f>(BL221-SUM(BH221:BI221))/2</f>
        <v>-106.25</v>
      </c>
      <c r="BK221" s="116">
        <f>(BL221-SUM(BH221:BJ221))/1</f>
        <v>-106.25</v>
      </c>
      <c r="BL221" s="853">
        <v>-425</v>
      </c>
      <c r="BM221" s="136">
        <f>+BQ221/4</f>
        <v>-106.25</v>
      </c>
      <c r="BN221" s="135">
        <f>(BQ221-SUM(BM221:BM221))/3</f>
        <v>-106.25</v>
      </c>
      <c r="BO221" s="135">
        <f>(BQ221-SUM(BM221:BN221))/2</f>
        <v>-106.25</v>
      </c>
      <c r="BP221" s="116">
        <f>(BQ221-SUM(BM221:BO221))/1</f>
        <v>-106.25</v>
      </c>
      <c r="BQ221" s="853">
        <v>-425</v>
      </c>
      <c r="BR221" s="220"/>
      <c r="BS221" s="220"/>
      <c r="BT221" s="220"/>
      <c r="BU221" s="931"/>
      <c r="BV221" s="950"/>
      <c r="BW221" s="615"/>
      <c r="BX221" s="615"/>
      <c r="BY221" s="615"/>
      <c r="BZ221" s="615"/>
      <c r="CA221" s="615"/>
      <c r="CB221" s="615"/>
      <c r="CC221" s="615"/>
      <c r="CD221" s="615"/>
      <c r="CE221" s="615"/>
      <c r="CF221" s="220"/>
      <c r="CG221" s="220"/>
      <c r="CH221" s="220"/>
      <c r="CI221" s="220"/>
      <c r="CJ221" s="220"/>
      <c r="CK221" s="220"/>
      <c r="CL221" s="313">
        <f>120-58.415</f>
        <v>61.585000000000001</v>
      </c>
      <c r="CM221" s="313">
        <f>132.728-115.671</f>
        <v>17.057000000000002</v>
      </c>
      <c r="CN221" s="313">
        <f>132.728-174.246</f>
        <v>-41.518000000000001</v>
      </c>
      <c r="CO221" s="82">
        <f>CP221-CN221</f>
        <v>-78.453999999999994</v>
      </c>
      <c r="CP221" s="313">
        <f>112.736-232.708</f>
        <v>-119.97199999999999</v>
      </c>
      <c r="CQ221" s="313">
        <f>50-58.415</f>
        <v>-8.4149999999999991</v>
      </c>
      <c r="CR221" s="313">
        <f>211.431-116.091</f>
        <v>95.340000000000018</v>
      </c>
      <c r="CS221" s="313">
        <f>211.431-174.569</f>
        <v>36.862000000000023</v>
      </c>
      <c r="CT221" s="82">
        <f>CU221-CS221</f>
        <v>-57.292000000000002</v>
      </c>
      <c r="CU221" s="313">
        <f>212.794-233.224</f>
        <v>-20.429999999999978</v>
      </c>
      <c r="CV221" s="313">
        <f>125-58.372</f>
        <v>66.628</v>
      </c>
      <c r="CW221" s="313">
        <f>125-116.007</f>
        <v>8.992999999999995</v>
      </c>
      <c r="CX221" s="117">
        <f>125-232.51</f>
        <v>-107.50999999999999</v>
      </c>
      <c r="CY221" s="82">
        <f>CZ221-CX221</f>
        <v>4.0000000000048885E-3</v>
      </c>
      <c r="CZ221" s="313">
        <f>125.004-232.51</f>
        <v>-107.50599999999999</v>
      </c>
      <c r="DA221" s="313">
        <f>100-58.054</f>
        <v>41.945999999999998</v>
      </c>
      <c r="DB221" s="313">
        <f>145.621-116.081</f>
        <v>29.540000000000006</v>
      </c>
      <c r="DC221" s="117">
        <f>145.621-175.104</f>
        <v>-29.483000000000004</v>
      </c>
      <c r="DD221" s="82">
        <f>DE221-DC221</f>
        <v>10.485000000000014</v>
      </c>
      <c r="DE221" s="313">
        <f>215.11-234.108</f>
        <v>-18.99799999999999</v>
      </c>
      <c r="DF221" s="313">
        <f>120-58.757</f>
        <v>61.243000000000002</v>
      </c>
      <c r="DG221" s="313">
        <f>120-117.447</f>
        <v>2.5529999999999973</v>
      </c>
      <c r="DH221" s="117">
        <f>110.102-176.755</f>
        <v>-66.652999999999992</v>
      </c>
      <c r="DI221" s="82">
        <f>DJ221-DH221</f>
        <v>116.25599999999997</v>
      </c>
      <c r="DJ221" s="313">
        <f>285.102-235.499</f>
        <v>49.60299999999998</v>
      </c>
      <c r="DK221" s="313">
        <f>95-58.752</f>
        <v>36.247999999999998</v>
      </c>
      <c r="DL221" s="313">
        <f>95-118.492</f>
        <v>-23.492000000000004</v>
      </c>
      <c r="DM221" s="117">
        <f>95.028-192.241</f>
        <v>-97.213000000000008</v>
      </c>
      <c r="DN221" s="82">
        <f>DO221-DM221</f>
        <v>-67.187000000000026</v>
      </c>
      <c r="DO221" s="313">
        <f>95.051-259.451</f>
        <v>-164.40000000000003</v>
      </c>
      <c r="DP221" s="313">
        <f>75.835-77.802</f>
        <v>-1.967000000000013</v>
      </c>
      <c r="DQ221" s="313">
        <f>125.935-133.671</f>
        <v>-7.73599999999999</v>
      </c>
      <c r="DR221" s="117">
        <f>125.957-198.759</f>
        <v>-72.801999999999992</v>
      </c>
      <c r="DS221" s="82">
        <f>DT221-DR221</f>
        <v>160.96599999999998</v>
      </c>
      <c r="DT221" s="313">
        <f>347.304-259.14</f>
        <v>88.163999999999987</v>
      </c>
      <c r="DU221" s="313">
        <f>89.874-73.498</f>
        <v>16.375999999999991</v>
      </c>
      <c r="DV221" s="313">
        <f>89.874-155.726</f>
        <v>-65.852000000000004</v>
      </c>
      <c r="DW221" s="313">
        <f>96.628-306.209</f>
        <v>-209.58100000000002</v>
      </c>
      <c r="DX221" s="82">
        <f>DY221-DW221</f>
        <v>-89.640999999999963</v>
      </c>
      <c r="DY221" s="313">
        <f>96.672-395.894</f>
        <v>-299.22199999999998</v>
      </c>
      <c r="DZ221" s="313">
        <f>89.487-89.428</f>
        <v>5.8999999999997499E-2</v>
      </c>
      <c r="EA221" s="313">
        <f>89.487-175.115</f>
        <v>-85.628000000000014</v>
      </c>
      <c r="EB221" s="313">
        <f>123.247-418.133</f>
        <v>-294.88599999999997</v>
      </c>
      <c r="EC221" s="82">
        <f>ED221-EB221</f>
        <v>-66.705000000000041</v>
      </c>
      <c r="ED221" s="313">
        <f>145.003-506.594</f>
        <v>-361.59100000000001</v>
      </c>
    </row>
    <row r="222" spans="1:134" x14ac:dyDescent="0.2">
      <c r="A222" s="220"/>
      <c r="B222" s="220"/>
      <c r="C222" s="70" t="s">
        <v>97</v>
      </c>
      <c r="D222" s="82"/>
      <c r="E222" s="136">
        <f>+CL222</f>
        <v>-63.5</v>
      </c>
      <c r="F222" s="135">
        <f t="shared" si="495"/>
        <v>38</v>
      </c>
      <c r="G222" s="135">
        <f t="shared" si="495"/>
        <v>79</v>
      </c>
      <c r="H222" s="116">
        <f>+CP222-CN222</f>
        <v>-117</v>
      </c>
      <c r="I222" s="223">
        <f t="shared" si="475"/>
        <v>-63.5</v>
      </c>
      <c r="J222" s="136">
        <f>+CQ222</f>
        <v>0</v>
      </c>
      <c r="K222" s="135">
        <f t="shared" si="496"/>
        <v>60</v>
      </c>
      <c r="L222" s="135">
        <f t="shared" si="496"/>
        <v>-60</v>
      </c>
      <c r="M222" s="116">
        <f>+CU222-CS222</f>
        <v>0</v>
      </c>
      <c r="N222" s="223">
        <f t="shared" si="477"/>
        <v>0</v>
      </c>
      <c r="O222" s="136">
        <f>+CV222</f>
        <v>0</v>
      </c>
      <c r="P222" s="135">
        <f t="shared" si="497"/>
        <v>0</v>
      </c>
      <c r="Q222" s="135">
        <f t="shared" si="497"/>
        <v>69</v>
      </c>
      <c r="R222" s="116">
        <f>+CZ222-CX222</f>
        <v>-69</v>
      </c>
      <c r="S222" s="223">
        <f t="shared" si="479"/>
        <v>0</v>
      </c>
      <c r="T222" s="136">
        <f>+DA222</f>
        <v>0</v>
      </c>
      <c r="U222" s="135">
        <f t="shared" si="498"/>
        <v>80</v>
      </c>
      <c r="V222" s="135">
        <f t="shared" si="498"/>
        <v>-25</v>
      </c>
      <c r="W222" s="116">
        <f>+DE222-DC222</f>
        <v>-55</v>
      </c>
      <c r="X222" s="223">
        <f t="shared" si="481"/>
        <v>0</v>
      </c>
      <c r="Y222" s="136">
        <f>+DF222</f>
        <v>0</v>
      </c>
      <c r="Z222" s="135">
        <f t="shared" si="499"/>
        <v>20</v>
      </c>
      <c r="AA222" s="135">
        <f t="shared" si="499"/>
        <v>35</v>
      </c>
      <c r="AB222" s="116">
        <f>+DJ222-DH222</f>
        <v>-55</v>
      </c>
      <c r="AC222" s="223">
        <f t="shared" si="500"/>
        <v>0</v>
      </c>
      <c r="AD222" s="136">
        <f>+DK222</f>
        <v>0</v>
      </c>
      <c r="AE222" s="135">
        <f t="shared" si="501"/>
        <v>-34</v>
      </c>
      <c r="AF222" s="135">
        <f t="shared" si="501"/>
        <v>0</v>
      </c>
      <c r="AG222" s="116">
        <f>+DO222-DM222</f>
        <v>34</v>
      </c>
      <c r="AH222" s="223">
        <f t="shared" si="502"/>
        <v>0</v>
      </c>
      <c r="AI222" s="136">
        <f>+DP222</f>
        <v>0</v>
      </c>
      <c r="AJ222" s="135">
        <f t="shared" si="503"/>
        <v>0</v>
      </c>
      <c r="AK222" s="135">
        <f t="shared" si="503"/>
        <v>0</v>
      </c>
      <c r="AL222" s="116">
        <f>+DT222-DR222</f>
        <v>0</v>
      </c>
      <c r="AM222" s="223">
        <f t="shared" si="504"/>
        <v>0</v>
      </c>
      <c r="AN222" s="136">
        <f>+DU222</f>
        <v>0</v>
      </c>
      <c r="AO222" s="135">
        <f t="shared" si="505"/>
        <v>0</v>
      </c>
      <c r="AP222" s="135">
        <f t="shared" si="505"/>
        <v>0</v>
      </c>
      <c r="AQ222" s="116">
        <f>+DY222-DW222</f>
        <v>0</v>
      </c>
      <c r="AR222" s="223">
        <f t="shared" si="506"/>
        <v>0</v>
      </c>
      <c r="AS222" s="136">
        <f>+DZ222</f>
        <v>0</v>
      </c>
      <c r="AT222" s="135">
        <f t="shared" si="507"/>
        <v>0</v>
      </c>
      <c r="AU222" s="135">
        <f t="shared" si="508"/>
        <v>0</v>
      </c>
      <c r="AV222" s="116">
        <f>+ED222-EB222</f>
        <v>0</v>
      </c>
      <c r="AW222" s="223">
        <f t="shared" si="509"/>
        <v>0</v>
      </c>
      <c r="AX222" s="136">
        <f>+BB222/4</f>
        <v>0</v>
      </c>
      <c r="AY222" s="135">
        <f>(BB222-SUM(AX222:AX222))/3</f>
        <v>0</v>
      </c>
      <c r="AZ222" s="135">
        <f>(BB222-SUM(AX222:AY222))/2</f>
        <v>0</v>
      </c>
      <c r="BA222" s="116">
        <f>(BB222-SUM(AX222:AZ222))/1</f>
        <v>0</v>
      </c>
      <c r="BB222" s="34">
        <v>0</v>
      </c>
      <c r="BC222" s="136">
        <f>+BG222/4</f>
        <v>0</v>
      </c>
      <c r="BD222" s="135">
        <f>(BG222-SUM(BC222:BC222))/3</f>
        <v>0</v>
      </c>
      <c r="BE222" s="135">
        <f>(BG222-SUM(BC222:BD222))/2</f>
        <v>0</v>
      </c>
      <c r="BF222" s="116">
        <f>(BG222-SUM(BC222:BE222))/1</f>
        <v>0</v>
      </c>
      <c r="BG222" s="34">
        <v>0</v>
      </c>
      <c r="BH222" s="136">
        <f>+BL222/4</f>
        <v>0</v>
      </c>
      <c r="BI222" s="135">
        <f>(BL222-SUM(BH222:BH222))/3</f>
        <v>0</v>
      </c>
      <c r="BJ222" s="135">
        <f>(BL222-SUM(BH222:BI222))/2</f>
        <v>0</v>
      </c>
      <c r="BK222" s="116">
        <f>(BL222-SUM(BH222:BJ222))/1</f>
        <v>0</v>
      </c>
      <c r="BL222" s="34">
        <v>0</v>
      </c>
      <c r="BM222" s="136">
        <f>+BQ222/4</f>
        <v>0</v>
      </c>
      <c r="BN222" s="135">
        <f>(BQ222-SUM(BM222:BM222))/3</f>
        <v>0</v>
      </c>
      <c r="BO222" s="135">
        <f>(BQ222-SUM(BM222:BN222))/2</f>
        <v>0</v>
      </c>
      <c r="BP222" s="116">
        <f>(BQ222-SUM(BM222:BO222))/1</f>
        <v>0</v>
      </c>
      <c r="BQ222" s="34">
        <v>0</v>
      </c>
      <c r="BR222" s="220"/>
      <c r="BS222" s="220"/>
      <c r="BT222" s="220"/>
      <c r="BU222" s="931"/>
      <c r="BV222" s="950"/>
      <c r="BW222" s="959"/>
      <c r="BX222" s="959"/>
      <c r="BY222" s="959"/>
      <c r="BZ222" s="959"/>
      <c r="CA222" s="959"/>
      <c r="CB222" s="959"/>
      <c r="CC222" s="615"/>
      <c r="CD222" s="615"/>
      <c r="CE222" s="615"/>
      <c r="CF222" s="220"/>
      <c r="CG222" s="220"/>
      <c r="CH222" s="220"/>
      <c r="CI222" s="220"/>
      <c r="CJ222" s="220"/>
      <c r="CK222" s="220"/>
      <c r="CL222" s="219">
        <v>-63.5</v>
      </c>
      <c r="CM222" s="219">
        <v>-25.5</v>
      </c>
      <c r="CN222" s="219">
        <v>53.5</v>
      </c>
      <c r="CO222" s="82">
        <f>CP222-CN222</f>
        <v>-117</v>
      </c>
      <c r="CP222" s="117">
        <v>-63.5</v>
      </c>
      <c r="CQ222" s="117">
        <v>0</v>
      </c>
      <c r="CR222" s="117">
        <v>60</v>
      </c>
      <c r="CS222" s="117">
        <v>0</v>
      </c>
      <c r="CT222" s="82">
        <f>CU222-CS222</f>
        <v>0</v>
      </c>
      <c r="CU222" s="219">
        <v>0</v>
      </c>
      <c r="CV222" s="219">
        <v>0</v>
      </c>
      <c r="CW222" s="117">
        <v>0</v>
      </c>
      <c r="CX222" s="117">
        <f>253.6-184.6</f>
        <v>69</v>
      </c>
      <c r="CY222" s="82">
        <f>CZ222-CX222</f>
        <v>-69</v>
      </c>
      <c r="CZ222" s="219">
        <v>0</v>
      </c>
      <c r="DA222" s="219">
        <v>0</v>
      </c>
      <c r="DB222" s="117">
        <f>555-475</f>
        <v>80</v>
      </c>
      <c r="DC222" s="117">
        <f>889-834</f>
        <v>55</v>
      </c>
      <c r="DD222" s="82">
        <f>DE222-DC222</f>
        <v>-55</v>
      </c>
      <c r="DE222" s="219">
        <v>0</v>
      </c>
      <c r="DF222" s="219">
        <v>0</v>
      </c>
      <c r="DG222" s="117">
        <f>526-506</f>
        <v>20</v>
      </c>
      <c r="DH222" s="117">
        <f>718-663</f>
        <v>55</v>
      </c>
      <c r="DI222" s="82">
        <f>DJ222-DH222</f>
        <v>-55</v>
      </c>
      <c r="DJ222" s="219">
        <v>0</v>
      </c>
      <c r="DK222" s="219">
        <v>0</v>
      </c>
      <c r="DL222" s="117">
        <f>313-347</f>
        <v>-34</v>
      </c>
      <c r="DM222" s="117">
        <f>333-367</f>
        <v>-34</v>
      </c>
      <c r="DN222" s="82">
        <f>DO222-DM222</f>
        <v>34</v>
      </c>
      <c r="DO222" s="219">
        <v>0</v>
      </c>
      <c r="DP222" s="219">
        <v>0</v>
      </c>
      <c r="DQ222" s="219">
        <v>0</v>
      </c>
      <c r="DR222" s="117">
        <f>213.5-213.5</f>
        <v>0</v>
      </c>
      <c r="DS222" s="82">
        <f>DT222-DR222</f>
        <v>0</v>
      </c>
      <c r="DT222" s="219">
        <v>0</v>
      </c>
      <c r="DU222" s="219">
        <v>0</v>
      </c>
      <c r="DV222" s="219">
        <v>0</v>
      </c>
      <c r="DW222" s="219">
        <v>0</v>
      </c>
      <c r="DX222" s="82">
        <f>DY222-DW222</f>
        <v>0</v>
      </c>
      <c r="DY222" s="219">
        <v>0</v>
      </c>
      <c r="DZ222" s="219">
        <v>0</v>
      </c>
      <c r="EA222" s="219">
        <v>0</v>
      </c>
      <c r="EB222" s="219">
        <v>0</v>
      </c>
      <c r="EC222" s="82">
        <f>ED222-EB222</f>
        <v>0</v>
      </c>
      <c r="ED222" s="219">
        <v>0</v>
      </c>
    </row>
    <row r="223" spans="1:134" x14ac:dyDescent="0.2">
      <c r="A223" s="220"/>
      <c r="B223" s="220"/>
      <c r="C223" s="141" t="s">
        <v>192</v>
      </c>
      <c r="D223" s="82"/>
      <c r="E223" s="121">
        <f>SUM(E218:E222)</f>
        <v>-66.918000000000006</v>
      </c>
      <c r="F223" s="122">
        <f>SUM(F218:F222)</f>
        <v>-6.5589999999999975</v>
      </c>
      <c r="G223" s="122">
        <f>SUM(G218:G222)</f>
        <v>-107.565</v>
      </c>
      <c r="H223" s="123">
        <f>SUM(H218:H222)</f>
        <v>-22.131000000000014</v>
      </c>
      <c r="I223" s="127">
        <f t="shared" si="475"/>
        <v>-203.173</v>
      </c>
      <c r="J223" s="121">
        <f>SUM(J218:J222)</f>
        <v>-8.5</v>
      </c>
      <c r="K223" s="122">
        <f>SUM(K218:K222)</f>
        <v>208.74900000000002</v>
      </c>
      <c r="L223" s="122">
        <f>SUM(L218:L222)</f>
        <v>155.19299999999998</v>
      </c>
      <c r="M223" s="123">
        <f>SUM(M218:M222)</f>
        <v>-57.515999999999991</v>
      </c>
      <c r="N223" s="127">
        <f t="shared" si="477"/>
        <v>297.92600000000004</v>
      </c>
      <c r="O223" s="121">
        <f>SUM(O218:O222)</f>
        <v>74.597999999999999</v>
      </c>
      <c r="P223" s="122">
        <f>SUM(P218:P222)</f>
        <v>-60.635000000000005</v>
      </c>
      <c r="Q223" s="122">
        <f>SUM(Q218:Q222)</f>
        <v>-52.502999999999986</v>
      </c>
      <c r="R223" s="123">
        <f>SUM(R218:R222)</f>
        <v>22</v>
      </c>
      <c r="S223" s="127">
        <f t="shared" si="479"/>
        <v>-16.539999999999992</v>
      </c>
      <c r="T223" s="121">
        <f>SUM(T218:T222)</f>
        <v>19.945999999999998</v>
      </c>
      <c r="U223" s="122">
        <f>SUM(U218:U222)</f>
        <v>63.594000000000008</v>
      </c>
      <c r="V223" s="122">
        <f>SUM(V218:V222)</f>
        <v>53.959999999999937</v>
      </c>
      <c r="W223" s="123">
        <f>SUM(W218:W222)</f>
        <v>110.9910000000001</v>
      </c>
      <c r="X223" s="127">
        <f t="shared" si="481"/>
        <v>248.49100000000004</v>
      </c>
      <c r="Y223" s="121">
        <f>SUM(Y218:Y222)</f>
        <v>65.295000000000002</v>
      </c>
      <c r="Z223" s="122">
        <f>SUM(Z218:Z222)</f>
        <v>156.40799999999996</v>
      </c>
      <c r="AA223" s="122">
        <f>SUM(AA218:AA222)</f>
        <v>-26.549999999999983</v>
      </c>
      <c r="AB223" s="123">
        <f>SUM(AB218:AB222)</f>
        <v>193.238</v>
      </c>
      <c r="AC223" s="127">
        <f t="shared" si="500"/>
        <v>388.39099999999996</v>
      </c>
      <c r="AD223" s="121">
        <f>SUM(AD218:AD222)</f>
        <v>151.24799999999999</v>
      </c>
      <c r="AE223" s="122">
        <f>SUM(AE218:AE222)</f>
        <v>-17.20600000000001</v>
      </c>
      <c r="AF223" s="122">
        <f>SUM(AF218:AF222)</f>
        <v>-100.899</v>
      </c>
      <c r="AG223" s="123">
        <f>SUM(AG218:AG222)</f>
        <v>74.793999999999969</v>
      </c>
      <c r="AH223" s="127">
        <f t="shared" si="502"/>
        <v>107.93699999999995</v>
      </c>
      <c r="AI223" s="121">
        <f>SUM(AI218:AI222)</f>
        <v>-68.000000000000014</v>
      </c>
      <c r="AJ223" s="122">
        <f>SUM(AJ218:AJ222)</f>
        <v>35.218000000000025</v>
      </c>
      <c r="AK223" s="122">
        <f>SUM(AK218:AK222)</f>
        <v>155.97000000000006</v>
      </c>
      <c r="AL223" s="123">
        <f>SUM(AL218:AL222)</f>
        <v>383.50799999999992</v>
      </c>
      <c r="AM223" s="127">
        <f t="shared" si="504"/>
        <v>506.69599999999991</v>
      </c>
      <c r="AN223" s="121">
        <f>SUM(AN218:AN222)</f>
        <v>-40.624000000000009</v>
      </c>
      <c r="AO223" s="122">
        <f>SUM(AO218:AO222)</f>
        <v>94.875000000000014</v>
      </c>
      <c r="AP223" s="122">
        <f>SUM(AP218:AP222)</f>
        <v>-144.27300000000002</v>
      </c>
      <c r="AQ223" s="123">
        <f>SUM(AQ218:AQ222)</f>
        <v>-4.70799999999997</v>
      </c>
      <c r="AR223" s="127">
        <f t="shared" si="506"/>
        <v>-94.730000000000018</v>
      </c>
      <c r="AS223" s="121">
        <f>SUM(AS218:AS222)</f>
        <v>-45.951000000000001</v>
      </c>
      <c r="AT223" s="122">
        <f>SUM(AT218:AT222)</f>
        <v>49.322999999999979</v>
      </c>
      <c r="AU223" s="122">
        <f>SUM(AU218:AU222)</f>
        <v>-254.85899999999995</v>
      </c>
      <c r="AV223" s="123">
        <f>SUM(AV218:AV222)</f>
        <v>-12.721000000000004</v>
      </c>
      <c r="AW223" s="127">
        <f t="shared" si="509"/>
        <v>-264.20799999999997</v>
      </c>
      <c r="AX223" s="121">
        <f t="shared" ref="AX223:BF223" si="515">SUM(AX218:AX222)</f>
        <v>237.5</v>
      </c>
      <c r="AY223" s="122">
        <f t="shared" si="515"/>
        <v>-62.5</v>
      </c>
      <c r="AZ223" s="122">
        <f t="shared" si="515"/>
        <v>-62.5</v>
      </c>
      <c r="BA223" s="123">
        <f t="shared" si="515"/>
        <v>-62.5</v>
      </c>
      <c r="BB223" s="86">
        <f>SUM(BB218:BB222)</f>
        <v>50</v>
      </c>
      <c r="BC223" s="121">
        <f t="shared" si="515"/>
        <v>0</v>
      </c>
      <c r="BD223" s="122">
        <f t="shared" si="515"/>
        <v>0</v>
      </c>
      <c r="BE223" s="122">
        <f t="shared" si="515"/>
        <v>200</v>
      </c>
      <c r="BF223" s="123">
        <f t="shared" si="515"/>
        <v>0</v>
      </c>
      <c r="BG223" s="86">
        <f t="shared" ref="BG223:BL223" si="516">SUM(BG218:BG222)</f>
        <v>200</v>
      </c>
      <c r="BH223" s="121">
        <f t="shared" si="516"/>
        <v>-106.25</v>
      </c>
      <c r="BI223" s="122">
        <f t="shared" si="516"/>
        <v>-106.25</v>
      </c>
      <c r="BJ223" s="122">
        <f t="shared" si="516"/>
        <v>143.75</v>
      </c>
      <c r="BK223" s="123">
        <f t="shared" si="516"/>
        <v>-106.25</v>
      </c>
      <c r="BL223" s="86">
        <f t="shared" si="516"/>
        <v>-175</v>
      </c>
      <c r="BM223" s="121">
        <f t="shared" ref="BM223:BQ223" si="517">SUM(BM218:BM222)</f>
        <v>-106.25</v>
      </c>
      <c r="BN223" s="122">
        <f t="shared" si="517"/>
        <v>-106.25</v>
      </c>
      <c r="BO223" s="122">
        <f t="shared" si="517"/>
        <v>443.75</v>
      </c>
      <c r="BP223" s="123">
        <f t="shared" si="517"/>
        <v>-106.25</v>
      </c>
      <c r="BQ223" s="86">
        <f t="shared" si="517"/>
        <v>125</v>
      </c>
      <c r="BR223" s="220"/>
      <c r="BS223" s="220"/>
      <c r="BT223" s="220"/>
      <c r="BU223" s="931"/>
      <c r="BV223" s="950"/>
      <c r="BW223" s="959"/>
      <c r="BX223" s="959"/>
      <c r="BY223" s="959"/>
      <c r="BZ223" s="931"/>
      <c r="CA223" s="960"/>
      <c r="CB223" s="960"/>
      <c r="CC223" s="615"/>
      <c r="CD223" s="615"/>
      <c r="CE223" s="615"/>
      <c r="CF223" s="220"/>
      <c r="CG223" s="220"/>
      <c r="CH223" s="220"/>
      <c r="CI223" s="220"/>
      <c r="CJ223" s="220"/>
      <c r="CK223" s="220"/>
      <c r="CL223" s="86">
        <f t="shared" ref="CL223:CX223" si="518">SUM(CL218:CL222)</f>
        <v>-66.918000000000006</v>
      </c>
      <c r="CM223" s="86">
        <f t="shared" si="518"/>
        <v>-73.477000000000004</v>
      </c>
      <c r="CN223" s="86">
        <f t="shared" si="518"/>
        <v>-181.042</v>
      </c>
      <c r="CO223" s="86">
        <f t="shared" si="518"/>
        <v>-22.131000000000014</v>
      </c>
      <c r="CP223" s="86">
        <f t="shared" si="518"/>
        <v>-203.173</v>
      </c>
      <c r="CQ223" s="86">
        <f t="shared" si="518"/>
        <v>-8.5</v>
      </c>
      <c r="CR223" s="86">
        <f t="shared" si="518"/>
        <v>200.24900000000002</v>
      </c>
      <c r="CS223" s="86">
        <f t="shared" si="518"/>
        <v>355.44200000000001</v>
      </c>
      <c r="CT223" s="86">
        <f t="shared" si="518"/>
        <v>-57.515999999999991</v>
      </c>
      <c r="CU223" s="86">
        <f t="shared" si="518"/>
        <v>297.92600000000004</v>
      </c>
      <c r="CV223" s="86">
        <f t="shared" si="518"/>
        <v>74.597999999999999</v>
      </c>
      <c r="CW223" s="86">
        <f t="shared" si="518"/>
        <v>13.962999999999994</v>
      </c>
      <c r="CX223" s="86">
        <f t="shared" si="518"/>
        <v>-38.539999999999992</v>
      </c>
      <c r="CY223" s="86">
        <f t="shared" ref="CY223:DH223" si="519">SUM(CY218:CY222)</f>
        <v>22</v>
      </c>
      <c r="CZ223" s="86">
        <f t="shared" si="519"/>
        <v>-16.539999999999992</v>
      </c>
      <c r="DA223" s="86">
        <f t="shared" si="519"/>
        <v>19.945999999999998</v>
      </c>
      <c r="DB223" s="86">
        <f t="shared" si="519"/>
        <v>83.54</v>
      </c>
      <c r="DC223" s="86">
        <f t="shared" si="519"/>
        <v>137.49999999999994</v>
      </c>
      <c r="DD223" s="86">
        <f t="shared" si="519"/>
        <v>110.9910000000001</v>
      </c>
      <c r="DE223" s="86">
        <f t="shared" si="519"/>
        <v>248.49100000000004</v>
      </c>
      <c r="DF223" s="86">
        <f t="shared" si="519"/>
        <v>65.295000000000002</v>
      </c>
      <c r="DG223" s="86">
        <f t="shared" si="519"/>
        <v>221.70299999999997</v>
      </c>
      <c r="DH223" s="86">
        <f t="shared" si="519"/>
        <v>195.15299999999999</v>
      </c>
      <c r="DI223" s="86">
        <f t="shared" ref="DI223:DQ223" si="520">SUM(DI218:DI222)</f>
        <v>193.238</v>
      </c>
      <c r="DJ223" s="86">
        <f t="shared" si="520"/>
        <v>388.39099999999996</v>
      </c>
      <c r="DK223" s="86">
        <f t="shared" si="520"/>
        <v>151.24799999999999</v>
      </c>
      <c r="DL223" s="86">
        <f t="shared" si="520"/>
        <v>134.04199999999997</v>
      </c>
      <c r="DM223" s="86">
        <f t="shared" si="520"/>
        <v>33.142999999999986</v>
      </c>
      <c r="DN223" s="86">
        <f t="shared" si="520"/>
        <v>74.793999999999969</v>
      </c>
      <c r="DO223" s="86">
        <f t="shared" si="520"/>
        <v>107.93699999999995</v>
      </c>
      <c r="DP223" s="86">
        <f t="shared" si="520"/>
        <v>-68.000000000000014</v>
      </c>
      <c r="DQ223" s="86">
        <f t="shared" si="520"/>
        <v>-32.781999999999989</v>
      </c>
      <c r="DR223" s="86">
        <f t="shared" ref="DR223:DW223" si="521">SUM(DR218:DR222)</f>
        <v>123.18800000000002</v>
      </c>
      <c r="DS223" s="86">
        <f t="shared" si="521"/>
        <v>383.50799999999992</v>
      </c>
      <c r="DT223" s="86">
        <f t="shared" si="521"/>
        <v>506.69599999999991</v>
      </c>
      <c r="DU223" s="86">
        <f t="shared" si="521"/>
        <v>-40.624000000000009</v>
      </c>
      <c r="DV223" s="86">
        <f t="shared" si="521"/>
        <v>54.251000000000005</v>
      </c>
      <c r="DW223" s="86">
        <f t="shared" si="521"/>
        <v>-90.022000000000048</v>
      </c>
      <c r="DX223" s="86">
        <f t="shared" ref="DX223:ED223" si="522">SUM(DX218:DX222)</f>
        <v>-4.70799999999997</v>
      </c>
      <c r="DY223" s="86">
        <f t="shared" si="522"/>
        <v>-94.730000000000018</v>
      </c>
      <c r="DZ223" s="86">
        <f t="shared" si="522"/>
        <v>-45.951000000000001</v>
      </c>
      <c r="EA223" s="86">
        <f t="shared" si="522"/>
        <v>3.3719999999999857</v>
      </c>
      <c r="EB223" s="86">
        <f t="shared" si="522"/>
        <v>-251.48699999999997</v>
      </c>
      <c r="EC223" s="86">
        <f t="shared" si="522"/>
        <v>-12.721000000000004</v>
      </c>
      <c r="ED223" s="86">
        <f t="shared" si="522"/>
        <v>-264.20799999999997</v>
      </c>
    </row>
    <row r="224" spans="1:134" x14ac:dyDescent="0.2">
      <c r="A224" s="220"/>
      <c r="B224" s="220"/>
      <c r="C224" s="70"/>
      <c r="D224" s="82"/>
      <c r="E224" s="136"/>
      <c r="F224" s="137"/>
      <c r="G224" s="137"/>
      <c r="H224" s="116"/>
      <c r="I224" s="223">
        <f t="shared" si="475"/>
        <v>0</v>
      </c>
      <c r="J224" s="136"/>
      <c r="K224" s="137"/>
      <c r="L224" s="137"/>
      <c r="M224" s="116"/>
      <c r="N224" s="223">
        <f t="shared" si="477"/>
        <v>0</v>
      </c>
      <c r="O224" s="136"/>
      <c r="P224" s="137"/>
      <c r="Q224" s="137"/>
      <c r="R224" s="116"/>
      <c r="S224" s="223">
        <f t="shared" si="479"/>
        <v>0</v>
      </c>
      <c r="T224" s="136"/>
      <c r="U224" s="137"/>
      <c r="V224" s="137"/>
      <c r="W224" s="116"/>
      <c r="X224" s="223">
        <f t="shared" si="481"/>
        <v>0</v>
      </c>
      <c r="Y224" s="136"/>
      <c r="Z224" s="137"/>
      <c r="AA224" s="137"/>
      <c r="AB224" s="116"/>
      <c r="AC224" s="223">
        <f t="shared" si="500"/>
        <v>0</v>
      </c>
      <c r="AD224" s="136"/>
      <c r="AE224" s="137"/>
      <c r="AF224" s="137"/>
      <c r="AG224" s="116"/>
      <c r="AH224" s="223">
        <f t="shared" si="502"/>
        <v>0</v>
      </c>
      <c r="AI224" s="136"/>
      <c r="AJ224" s="137"/>
      <c r="AK224" s="137"/>
      <c r="AL224" s="116"/>
      <c r="AM224" s="223">
        <f t="shared" si="504"/>
        <v>0</v>
      </c>
      <c r="AN224" s="136"/>
      <c r="AO224" s="137"/>
      <c r="AP224" s="137"/>
      <c r="AQ224" s="116"/>
      <c r="AR224" s="223">
        <f t="shared" si="506"/>
        <v>0</v>
      </c>
      <c r="AS224" s="136"/>
      <c r="AT224" s="137"/>
      <c r="AU224" s="137"/>
      <c r="AV224" s="116"/>
      <c r="AW224" s="223">
        <f t="shared" si="509"/>
        <v>0</v>
      </c>
      <c r="AX224" s="136"/>
      <c r="AY224" s="137"/>
      <c r="AZ224" s="137"/>
      <c r="BA224" s="116"/>
      <c r="BB224" s="220"/>
      <c r="BC224" s="136"/>
      <c r="BD224" s="137"/>
      <c r="BE224" s="137"/>
      <c r="BF224" s="116"/>
      <c r="BG224" s="220"/>
      <c r="BH224" s="136"/>
      <c r="BI224" s="137"/>
      <c r="BJ224" s="137"/>
      <c r="BK224" s="116"/>
      <c r="BL224" s="220"/>
      <c r="BM224" s="136"/>
      <c r="BN224" s="137"/>
      <c r="BO224" s="137"/>
      <c r="BP224" s="116"/>
      <c r="BQ224" s="220"/>
      <c r="BR224" s="220"/>
      <c r="BS224" s="220"/>
      <c r="BT224" s="220"/>
      <c r="BU224" s="931"/>
      <c r="BV224" s="950"/>
      <c r="BW224" s="959"/>
      <c r="BX224" s="959"/>
      <c r="BY224" s="959"/>
      <c r="BZ224" s="959"/>
      <c r="CA224" s="959"/>
      <c r="CB224" s="959"/>
      <c r="CC224" s="615"/>
      <c r="CD224" s="615"/>
      <c r="CE224" s="615"/>
      <c r="CF224" s="220"/>
      <c r="CG224" s="220"/>
      <c r="CH224" s="220"/>
      <c r="CI224" s="220"/>
      <c r="CJ224" s="220"/>
      <c r="CK224" s="220"/>
      <c r="CL224" s="85"/>
      <c r="CM224" s="85"/>
      <c r="CN224" s="85"/>
      <c r="CO224" s="85"/>
      <c r="CP224" s="85"/>
      <c r="CQ224" s="85"/>
      <c r="CR224" s="85"/>
      <c r="CS224" s="85"/>
      <c r="CT224" s="85"/>
      <c r="CU224" s="85"/>
      <c r="CV224" s="85"/>
      <c r="CW224" s="85"/>
      <c r="CX224" s="85"/>
      <c r="CY224" s="85"/>
      <c r="CZ224" s="85"/>
      <c r="DA224" s="85"/>
      <c r="DB224" s="85"/>
      <c r="DC224" s="85"/>
      <c r="DD224" s="85"/>
      <c r="DE224" s="85"/>
      <c r="DF224" s="85"/>
      <c r="DG224" s="85"/>
      <c r="DH224" s="85"/>
      <c r="DI224" s="85"/>
      <c r="DJ224" s="85"/>
      <c r="DK224" s="85"/>
      <c r="DL224" s="85"/>
      <c r="DM224" s="85"/>
      <c r="DN224" s="85"/>
      <c r="DO224" s="85"/>
      <c r="DR224" s="85"/>
      <c r="DS224" s="85"/>
      <c r="DT224" s="85"/>
      <c r="DX224" s="85"/>
      <c r="DY224" s="85"/>
      <c r="EC224" s="85"/>
      <c r="ED224" s="85"/>
    </row>
    <row r="225" spans="1:134" ht="12.75" customHeight="1" x14ac:dyDescent="0.2">
      <c r="A225" s="220"/>
      <c r="B225" s="220"/>
      <c r="C225" s="141" t="s">
        <v>193</v>
      </c>
      <c r="D225" s="82"/>
      <c r="E225" s="121">
        <f>+E211+E216+E223</f>
        <v>101.85000000000002</v>
      </c>
      <c r="F225" s="122">
        <f>+F211+F216+F223</f>
        <v>-98.660999999999916</v>
      </c>
      <c r="G225" s="122">
        <f>+G211+G216+G223</f>
        <v>19.557999999999652</v>
      </c>
      <c r="H225" s="123">
        <f>+H211+H216+H223</f>
        <v>11.213000000000235</v>
      </c>
      <c r="I225" s="127">
        <f t="shared" si="475"/>
        <v>33.960000000000036</v>
      </c>
      <c r="J225" s="121">
        <f>+J211+J216+J223</f>
        <v>-7.6490000000000009</v>
      </c>
      <c r="K225" s="122">
        <f>+K211+K216+K223</f>
        <v>-10.215999999999866</v>
      </c>
      <c r="L225" s="122">
        <f>+L211+L216+L223</f>
        <v>121.46900000000011</v>
      </c>
      <c r="M225" s="123">
        <f>+M211+M216+M223</f>
        <v>-111.49900000000034</v>
      </c>
      <c r="N225" s="127">
        <f t="shared" si="477"/>
        <v>-7.8950000000002092</v>
      </c>
      <c r="O225" s="121">
        <f>+O211+O216+O223</f>
        <v>-12.655999999999906</v>
      </c>
      <c r="P225" s="122">
        <f>+P211+P216+P223</f>
        <v>19.045999999999864</v>
      </c>
      <c r="Q225" s="122">
        <f>+Q211+Q216+Q223</f>
        <v>-13.053999999999576</v>
      </c>
      <c r="R225" s="123">
        <f>+R211+R216+R223</f>
        <v>-5.739000000000317</v>
      </c>
      <c r="S225" s="127">
        <f t="shared" si="479"/>
        <v>-12.403000000000048</v>
      </c>
      <c r="T225" s="121">
        <f>+T211+T216+T223</f>
        <v>22.541000000000025</v>
      </c>
      <c r="U225" s="122">
        <f>+U211+U216+U223</f>
        <v>-21.996000000000052</v>
      </c>
      <c r="V225" s="122">
        <f>+V211+V216+V223</f>
        <v>2.4980000000000615</v>
      </c>
      <c r="W225" s="123">
        <f>+W211+W216+W223</f>
        <v>-0.20599999999998886</v>
      </c>
      <c r="X225" s="127">
        <f t="shared" si="481"/>
        <v>2.8369999999998186</v>
      </c>
      <c r="Y225" s="121">
        <f>+Y211+Y216+Y223</f>
        <v>25.308999999999955</v>
      </c>
      <c r="Z225" s="122">
        <f>+Z211+Z216+Z223</f>
        <v>-32.062000000000012</v>
      </c>
      <c r="AA225" s="122">
        <f>+AA211+AA216+AA223</f>
        <v>23.087000000000245</v>
      </c>
      <c r="AB225" s="123">
        <f>+AB211+AB216+AB223</f>
        <v>-2.256000000000256</v>
      </c>
      <c r="AC225" s="127">
        <f t="shared" si="500"/>
        <v>14.078000000000088</v>
      </c>
      <c r="AD225" s="121">
        <f>+AD211+AD216+AD223</f>
        <v>29.883000000000038</v>
      </c>
      <c r="AE225" s="122">
        <f>+AE211+AE216+AE223</f>
        <v>-17.45800000000002</v>
      </c>
      <c r="AF225" s="122">
        <f>+AF211+AF216+AF223</f>
        <v>36.94</v>
      </c>
      <c r="AG225" s="123">
        <f>+AG211+AG216+AG223</f>
        <v>-51.688000000000088</v>
      </c>
      <c r="AH225" s="127">
        <f t="shared" si="502"/>
        <v>-2.3230000000000359</v>
      </c>
      <c r="AI225" s="121">
        <f>+AI211+AI216+AI223</f>
        <v>50.897999999999897</v>
      </c>
      <c r="AJ225" s="122">
        <f>+AJ211+AJ216+AJ223</f>
        <v>-19.215999999999944</v>
      </c>
      <c r="AK225" s="122">
        <f>+AK211+AK216+AK223</f>
        <v>246.10899999999995</v>
      </c>
      <c r="AL225" s="123">
        <f>+AL211+AL216+AL223</f>
        <v>-275.78299999999956</v>
      </c>
      <c r="AM225" s="127">
        <f t="shared" si="504"/>
        <v>2.0080000000000382</v>
      </c>
      <c r="AN225" s="121">
        <f>+AN211+AN216+AN223</f>
        <v>11.091000000000022</v>
      </c>
      <c r="AO225" s="122">
        <f>+AO211+AO216+AO223</f>
        <v>-7.7789999999998685</v>
      </c>
      <c r="AP225" s="122">
        <f>+AP211+AP216+AP223</f>
        <v>60.712999999999823</v>
      </c>
      <c r="AQ225" s="123">
        <f>+AQ211+AQ216+AQ223</f>
        <v>-59.035000000000025</v>
      </c>
      <c r="AR225" s="127">
        <f t="shared" si="506"/>
        <v>4.9900000000000091</v>
      </c>
      <c r="AS225" s="121">
        <f>+AS211+AS216+AS223</f>
        <v>-14.81600000000001</v>
      </c>
      <c r="AT225" s="122">
        <f>+AT211+AT216+AT223</f>
        <v>-4.6129999999999143</v>
      </c>
      <c r="AU225" s="122">
        <f>+AU211+AU216+AU223</f>
        <v>6.1090000000000089</v>
      </c>
      <c r="AV225" s="123">
        <f>+AV211+AV216+AV223</f>
        <v>9.5060000000000286</v>
      </c>
      <c r="AW225" s="127">
        <f t="shared" si="509"/>
        <v>-3.8139999999999645</v>
      </c>
      <c r="AX225" s="121">
        <f t="shared" ref="AX225:BG225" si="523">+AX211+AX216+AX223</f>
        <v>211.91606722065166</v>
      </c>
      <c r="AY225" s="122">
        <f t="shared" si="523"/>
        <v>-106.49556276483145</v>
      </c>
      <c r="AZ225" s="122">
        <f t="shared" si="523"/>
        <v>45.724739456116993</v>
      </c>
      <c r="BA225" s="123">
        <f t="shared" si="523"/>
        <v>-85.266660307419215</v>
      </c>
      <c r="BB225" s="86">
        <f t="shared" si="523"/>
        <v>65.878583604517871</v>
      </c>
      <c r="BC225" s="121">
        <f t="shared" si="523"/>
        <v>-132.66667427436334</v>
      </c>
      <c r="BD225" s="122">
        <f t="shared" si="523"/>
        <v>-149.8834478708456</v>
      </c>
      <c r="BE225" s="122">
        <f t="shared" si="523"/>
        <v>206.73741394425963</v>
      </c>
      <c r="BF225" s="123">
        <f t="shared" si="523"/>
        <v>-131.76577749582913</v>
      </c>
      <c r="BG225" s="86">
        <f t="shared" si="523"/>
        <v>-207.57848569677844</v>
      </c>
      <c r="BH225" s="121">
        <f t="shared" ref="BH225:BQ225" si="524">+BH211+BH216+BH223</f>
        <v>-105.41173341427123</v>
      </c>
      <c r="BI225" s="122">
        <f t="shared" si="524"/>
        <v>-120.73227078847049</v>
      </c>
      <c r="BJ225" s="122">
        <f t="shared" si="524"/>
        <v>289.4622140927242</v>
      </c>
      <c r="BK225" s="123">
        <f t="shared" si="524"/>
        <v>-105.76582023192719</v>
      </c>
      <c r="BL225" s="86">
        <f t="shared" si="524"/>
        <v>-42.44761034194471</v>
      </c>
      <c r="BM225" s="121">
        <f t="shared" si="524"/>
        <v>-124.59906923157143</v>
      </c>
      <c r="BN225" s="122">
        <f t="shared" si="524"/>
        <v>-138.54231867724121</v>
      </c>
      <c r="BO225" s="122">
        <f t="shared" si="524"/>
        <v>574.76910315249086</v>
      </c>
      <c r="BP225" s="123">
        <f t="shared" si="524"/>
        <v>-125.17858177820574</v>
      </c>
      <c r="BQ225" s="86">
        <f t="shared" si="524"/>
        <v>186.44913346547241</v>
      </c>
      <c r="BR225" s="220"/>
      <c r="BS225" s="220"/>
      <c r="BT225" s="220"/>
      <c r="BU225" s="931"/>
      <c r="BV225" s="931"/>
      <c r="BW225" s="931"/>
      <c r="BX225" s="931"/>
      <c r="BY225" s="931"/>
      <c r="BZ225" s="931"/>
      <c r="CA225" s="931"/>
      <c r="CB225" s="931"/>
      <c r="CC225" s="615"/>
      <c r="CD225" s="615"/>
      <c r="CE225" s="615"/>
      <c r="CF225" s="220"/>
      <c r="CG225" s="220"/>
      <c r="CH225" s="220"/>
      <c r="CI225" s="220"/>
      <c r="CJ225" s="220"/>
      <c r="CK225" s="220"/>
      <c r="CL225" s="86">
        <f t="shared" ref="CL225:CX225" si="525">CL211+CL216+CL223</f>
        <v>101.85000000000002</v>
      </c>
      <c r="CM225" s="86">
        <f t="shared" si="525"/>
        <v>3.1890000000001066</v>
      </c>
      <c r="CN225" s="86">
        <f t="shared" si="525"/>
        <v>22.746999999999758</v>
      </c>
      <c r="CO225" s="86">
        <f t="shared" si="525"/>
        <v>11.213000000000235</v>
      </c>
      <c r="CP225" s="86">
        <f t="shared" si="525"/>
        <v>33.960000000000036</v>
      </c>
      <c r="CQ225" s="86">
        <f t="shared" si="525"/>
        <v>-7.6490000000000009</v>
      </c>
      <c r="CR225" s="86">
        <f t="shared" si="525"/>
        <v>-17.864999999999895</v>
      </c>
      <c r="CS225" s="86">
        <f t="shared" si="525"/>
        <v>103.60400000000038</v>
      </c>
      <c r="CT225" s="86">
        <f t="shared" si="525"/>
        <v>-111.49900000000034</v>
      </c>
      <c r="CU225" s="86">
        <f t="shared" si="525"/>
        <v>-7.8950000000002092</v>
      </c>
      <c r="CV225" s="86">
        <f t="shared" si="525"/>
        <v>-12.655999999999906</v>
      </c>
      <c r="CW225" s="86">
        <f t="shared" si="525"/>
        <v>6.3899999999999011</v>
      </c>
      <c r="CX225" s="86">
        <f t="shared" si="525"/>
        <v>-6.6639999999996746</v>
      </c>
      <c r="CY225" s="86">
        <f t="shared" ref="CY225:DF225" si="526">CY211+CY216+CY223</f>
        <v>-5.739000000000317</v>
      </c>
      <c r="CZ225" s="86">
        <f t="shared" si="526"/>
        <v>-12.403000000000048</v>
      </c>
      <c r="DA225" s="86">
        <f t="shared" si="526"/>
        <v>22.541000000000025</v>
      </c>
      <c r="DB225" s="86">
        <f t="shared" si="526"/>
        <v>0.54499999999991644</v>
      </c>
      <c r="DC225" s="86">
        <f t="shared" si="526"/>
        <v>3.0429999999999495</v>
      </c>
      <c r="DD225" s="86">
        <f t="shared" si="526"/>
        <v>-0.20599999999998886</v>
      </c>
      <c r="DE225" s="86">
        <f t="shared" si="526"/>
        <v>2.8369999999998186</v>
      </c>
      <c r="DF225" s="86">
        <f t="shared" si="526"/>
        <v>25.308999999999955</v>
      </c>
      <c r="DG225" s="86">
        <f t="shared" ref="DG225:DM225" si="527">DG211+DG216+DG223</f>
        <v>-6.7530000000000996</v>
      </c>
      <c r="DH225" s="86">
        <f t="shared" si="527"/>
        <v>16.334000000000145</v>
      </c>
      <c r="DI225" s="86">
        <f t="shared" si="527"/>
        <v>-2.256000000000256</v>
      </c>
      <c r="DJ225" s="86">
        <f t="shared" si="527"/>
        <v>14.078000000000088</v>
      </c>
      <c r="DK225" s="86">
        <f t="shared" si="527"/>
        <v>29.883000000000038</v>
      </c>
      <c r="DL225" s="86">
        <f t="shared" si="527"/>
        <v>12.425000000000011</v>
      </c>
      <c r="DM225" s="86">
        <f t="shared" si="527"/>
        <v>49.364999999999966</v>
      </c>
      <c r="DN225" s="86">
        <f t="shared" ref="DN225:DT225" si="528">DN211+DN216+DN223</f>
        <v>-51.688000000000088</v>
      </c>
      <c r="DO225" s="86">
        <f t="shared" si="528"/>
        <v>-2.3230000000000359</v>
      </c>
      <c r="DP225" s="86">
        <f t="shared" si="528"/>
        <v>50.897999999999897</v>
      </c>
      <c r="DQ225" s="86">
        <f t="shared" si="528"/>
        <v>31.682000000000066</v>
      </c>
      <c r="DR225" s="86">
        <f t="shared" si="528"/>
        <v>277.79099999999983</v>
      </c>
      <c r="DS225" s="86">
        <f t="shared" si="528"/>
        <v>-275.78299999999956</v>
      </c>
      <c r="DT225" s="86">
        <f t="shared" si="528"/>
        <v>2.0080000000000382</v>
      </c>
      <c r="DU225" s="86">
        <f t="shared" ref="DU225:DZ225" si="529">DU211+DU216+DU223</f>
        <v>11.091000000000022</v>
      </c>
      <c r="DV225" s="86">
        <f t="shared" si="529"/>
        <v>3.3120000000001539</v>
      </c>
      <c r="DW225" s="86">
        <f t="shared" si="529"/>
        <v>64.025000000000205</v>
      </c>
      <c r="DX225" s="86">
        <f t="shared" si="529"/>
        <v>-59.035000000000025</v>
      </c>
      <c r="DY225" s="86">
        <f t="shared" si="529"/>
        <v>4.9900000000000091</v>
      </c>
      <c r="DZ225" s="86">
        <f t="shared" si="529"/>
        <v>-14.81600000000001</v>
      </c>
      <c r="EA225" s="86">
        <f>EA211+EA216+EA223</f>
        <v>-19.428999999999832</v>
      </c>
      <c r="EB225" s="86">
        <f>EB211+EB216+EB223</f>
        <v>-13.319999999999936</v>
      </c>
      <c r="EC225" s="86">
        <f t="shared" ref="EC225:ED225" si="530">EC211+EC216+EC223</f>
        <v>9.5060000000000286</v>
      </c>
      <c r="ED225" s="86">
        <f t="shared" si="530"/>
        <v>-3.8139999999999645</v>
      </c>
    </row>
    <row r="226" spans="1:134" ht="12.75" customHeight="1" x14ac:dyDescent="0.2">
      <c r="A226" s="220"/>
      <c r="B226" s="220"/>
      <c r="C226" s="70" t="s">
        <v>194</v>
      </c>
      <c r="D226" s="82"/>
      <c r="E226" s="222">
        <f>CL226</f>
        <v>12.343</v>
      </c>
      <c r="F226" s="135">
        <f>+E228</f>
        <v>114.19300000000003</v>
      </c>
      <c r="G226" s="135">
        <f>+F228</f>
        <v>15.53200000000011</v>
      </c>
      <c r="H226" s="116">
        <f>+G228</f>
        <v>35.089999999999762</v>
      </c>
      <c r="I226" s="223">
        <f>+E226</f>
        <v>12.343</v>
      </c>
      <c r="J226" s="136">
        <f>+I228</f>
        <v>46.30300000000004</v>
      </c>
      <c r="K226" s="135">
        <f>+J228</f>
        <v>38.654000000000039</v>
      </c>
      <c r="L226" s="135">
        <f>+K228</f>
        <v>28.438000000000173</v>
      </c>
      <c r="M226" s="116">
        <f>+L228</f>
        <v>149.90700000000027</v>
      </c>
      <c r="N226" s="82">
        <f>+J226</f>
        <v>46.30300000000004</v>
      </c>
      <c r="O226" s="136">
        <f>+N228</f>
        <v>38.407999999999831</v>
      </c>
      <c r="P226" s="135">
        <f>+O228</f>
        <v>25.751999999999924</v>
      </c>
      <c r="Q226" s="135">
        <f>+P228</f>
        <v>44.797999999999789</v>
      </c>
      <c r="R226" s="116">
        <f>+Q228</f>
        <v>31.744000000000213</v>
      </c>
      <c r="S226" s="82">
        <f>+O226</f>
        <v>38.407999999999831</v>
      </c>
      <c r="T226" s="136">
        <f>+S228</f>
        <v>26.004999999999782</v>
      </c>
      <c r="U226" s="135">
        <f>+T228</f>
        <v>48.545999999999808</v>
      </c>
      <c r="V226" s="135">
        <f>+U228</f>
        <v>26.549999999999756</v>
      </c>
      <c r="W226" s="116">
        <f>+V228</f>
        <v>29.047999999999817</v>
      </c>
      <c r="X226" s="82">
        <f>+T226</f>
        <v>26.004999999999782</v>
      </c>
      <c r="Y226" s="136">
        <f>+X228</f>
        <v>28.841999999999601</v>
      </c>
      <c r="Z226" s="135">
        <f>+Y228</f>
        <v>54.150999999999556</v>
      </c>
      <c r="AA226" s="135">
        <f>+Z228</f>
        <v>22.088999999999544</v>
      </c>
      <c r="AB226" s="116">
        <f>+AA228</f>
        <v>45.175999999999789</v>
      </c>
      <c r="AC226" s="82">
        <f>+Y226</f>
        <v>28.841999999999601</v>
      </c>
      <c r="AD226" s="136">
        <f>+AC228</f>
        <v>42.919999999999689</v>
      </c>
      <c r="AE226" s="135">
        <f>+AD228</f>
        <v>72.802999999999727</v>
      </c>
      <c r="AF226" s="135">
        <f>+AE228</f>
        <v>55.344999999999708</v>
      </c>
      <c r="AG226" s="116">
        <f>+AF228</f>
        <v>92.284999999999712</v>
      </c>
      <c r="AH226" s="82">
        <f>+AD226</f>
        <v>42.919999999999689</v>
      </c>
      <c r="AI226" s="136">
        <f>+AH228</f>
        <v>40.596999999999653</v>
      </c>
      <c r="AJ226" s="135">
        <f>+AI228</f>
        <v>91.49499999999955</v>
      </c>
      <c r="AK226" s="135">
        <f>+AJ228</f>
        <v>72.278999999999598</v>
      </c>
      <c r="AL226" s="116">
        <f>+AK228</f>
        <v>318.38799999999958</v>
      </c>
      <c r="AM226" s="82">
        <f>+AI226</f>
        <v>40.596999999999653</v>
      </c>
      <c r="AN226" s="136">
        <f>+AM228</f>
        <v>42.604999999999691</v>
      </c>
      <c r="AO226" s="135">
        <f>+AN228</f>
        <v>53.695999999999714</v>
      </c>
      <c r="AP226" s="135">
        <f>+AO228</f>
        <v>45.916999999999845</v>
      </c>
      <c r="AQ226" s="116">
        <f>+AP228</f>
        <v>106.62999999999967</v>
      </c>
      <c r="AR226" s="82">
        <f>+AN226</f>
        <v>42.604999999999691</v>
      </c>
      <c r="AS226" s="136">
        <f>+AR228</f>
        <v>47.5949999999997</v>
      </c>
      <c r="AT226" s="135">
        <f>+AS228</f>
        <v>32.778999999999691</v>
      </c>
      <c r="AU226" s="135">
        <f>+AT228</f>
        <v>28.165999999999777</v>
      </c>
      <c r="AV226" s="116">
        <f>+AU228</f>
        <v>34.274999999999785</v>
      </c>
      <c r="AW226" s="82">
        <f>+AS226</f>
        <v>47.5949999999997</v>
      </c>
      <c r="AX226" s="136">
        <f>+AW228</f>
        <v>43.780999999999736</v>
      </c>
      <c r="AY226" s="135">
        <f>+AX228</f>
        <v>150.69706722065138</v>
      </c>
      <c r="AZ226" s="135">
        <f>+AY228</f>
        <v>44.201504455819929</v>
      </c>
      <c r="BA226" s="116">
        <f>+AZ228</f>
        <v>89.926243911936922</v>
      </c>
      <c r="BB226" s="82">
        <f>+AW228</f>
        <v>43.780999999999736</v>
      </c>
      <c r="BC226" s="136">
        <f>+BB228</f>
        <v>4.6595836045176071</v>
      </c>
      <c r="BD226" s="135">
        <f>+BC228</f>
        <v>0</v>
      </c>
      <c r="BE226" s="135">
        <f>+BD228</f>
        <v>0</v>
      </c>
      <c r="BF226" s="116">
        <f>+BE228</f>
        <v>0</v>
      </c>
      <c r="BG226" s="82">
        <f>+BB228</f>
        <v>4.6595836045176071</v>
      </c>
      <c r="BH226" s="136">
        <f>+BG228</f>
        <v>0</v>
      </c>
      <c r="BI226" s="135">
        <f>+BH228</f>
        <v>0</v>
      </c>
      <c r="BJ226" s="135">
        <f>+BI228</f>
        <v>0</v>
      </c>
      <c r="BK226" s="116">
        <f>+BJ228</f>
        <v>0</v>
      </c>
      <c r="BL226" s="82">
        <f>+BG228</f>
        <v>0</v>
      </c>
      <c r="BM226" s="136">
        <f>+BL228</f>
        <v>0</v>
      </c>
      <c r="BN226" s="135">
        <f>+BM228</f>
        <v>0</v>
      </c>
      <c r="BO226" s="135">
        <f>+BN228</f>
        <v>0</v>
      </c>
      <c r="BP226" s="116">
        <f>+BO228</f>
        <v>66.26120280947265</v>
      </c>
      <c r="BQ226" s="82">
        <f>+BL228</f>
        <v>0</v>
      </c>
      <c r="BR226" s="220"/>
      <c r="BS226" s="220"/>
      <c r="BT226" s="220"/>
      <c r="BU226" s="615"/>
      <c r="BV226" s="929"/>
      <c r="BW226" s="615"/>
      <c r="BX226" s="615"/>
      <c r="BY226" s="615"/>
      <c r="BZ226" s="615"/>
      <c r="CA226" s="615"/>
      <c r="CB226" s="615"/>
      <c r="CC226" s="615"/>
      <c r="CD226" s="615"/>
      <c r="CE226" s="615"/>
      <c r="CF226" s="220"/>
      <c r="CG226" s="220"/>
      <c r="CH226" s="220"/>
      <c r="CI226" s="220"/>
      <c r="CJ226" s="220"/>
      <c r="CK226" s="220"/>
      <c r="CL226" s="117">
        <v>12.343</v>
      </c>
      <c r="CM226" s="82">
        <f>CL226</f>
        <v>12.343</v>
      </c>
      <c r="CN226" s="82">
        <f>CM226</f>
        <v>12.343</v>
      </c>
      <c r="CO226" s="82">
        <f>+CN228</f>
        <v>35.089999999999762</v>
      </c>
      <c r="CP226" s="82">
        <f>+CL226</f>
        <v>12.343</v>
      </c>
      <c r="CQ226" s="82">
        <f>CP228</f>
        <v>46.30300000000004</v>
      </c>
      <c r="CR226" s="82">
        <f>CQ226</f>
        <v>46.30300000000004</v>
      </c>
      <c r="CS226" s="82">
        <f>CR226</f>
        <v>46.30300000000004</v>
      </c>
      <c r="CT226" s="82">
        <f>+CS228</f>
        <v>149.90700000000044</v>
      </c>
      <c r="CU226" s="82">
        <f>+CQ226</f>
        <v>46.30300000000004</v>
      </c>
      <c r="CV226" s="82">
        <f>CU228</f>
        <v>38.407999999999831</v>
      </c>
      <c r="CW226" s="82">
        <f>CV226</f>
        <v>38.407999999999831</v>
      </c>
      <c r="CX226" s="82">
        <f>CW226</f>
        <v>38.407999999999831</v>
      </c>
      <c r="CY226" s="82">
        <f>+CX228</f>
        <v>31.744000000000156</v>
      </c>
      <c r="CZ226" s="82">
        <f>+CV226</f>
        <v>38.407999999999831</v>
      </c>
      <c r="DA226" s="82">
        <f>CZ228</f>
        <v>26.004999999999782</v>
      </c>
      <c r="DB226" s="82">
        <f>DA226</f>
        <v>26.004999999999782</v>
      </c>
      <c r="DC226" s="82">
        <f>DB226</f>
        <v>26.004999999999782</v>
      </c>
      <c r="DD226" s="82">
        <f>+DC228</f>
        <v>29.047999999999732</v>
      </c>
      <c r="DE226" s="82">
        <f>+DA226</f>
        <v>26.004999999999782</v>
      </c>
      <c r="DF226" s="82">
        <f>DE228</f>
        <v>28.841999999999601</v>
      </c>
      <c r="DG226" s="82">
        <f>DF226</f>
        <v>28.841999999999601</v>
      </c>
      <c r="DH226" s="82">
        <f>DG226</f>
        <v>28.841999999999601</v>
      </c>
      <c r="DI226" s="82">
        <f>+DH228</f>
        <v>45.175999999999746</v>
      </c>
      <c r="DJ226" s="82">
        <f>+DF226</f>
        <v>28.841999999999601</v>
      </c>
      <c r="DK226" s="82">
        <f>DJ228</f>
        <v>42.919999999999689</v>
      </c>
      <c r="DL226" s="82">
        <f>DK226</f>
        <v>42.919999999999689</v>
      </c>
      <c r="DM226" s="82">
        <f>DL226</f>
        <v>42.919999999999689</v>
      </c>
      <c r="DN226" s="82">
        <f>+DM228</f>
        <v>92.284999999999656</v>
      </c>
      <c r="DO226" s="82">
        <f>+DK226</f>
        <v>42.919999999999689</v>
      </c>
      <c r="DP226" s="82">
        <f>DO228</f>
        <v>40.596999999999653</v>
      </c>
      <c r="DQ226" s="82">
        <f>DP226</f>
        <v>40.596999999999653</v>
      </c>
      <c r="DR226" s="82">
        <f>DQ226</f>
        <v>40.596999999999653</v>
      </c>
      <c r="DS226" s="82">
        <f>+DR228</f>
        <v>318.38799999999947</v>
      </c>
      <c r="DT226" s="82">
        <f>+DP226</f>
        <v>40.596999999999653</v>
      </c>
      <c r="DU226" s="82">
        <f>DT228</f>
        <v>42.604999999999691</v>
      </c>
      <c r="DV226" s="82">
        <f>DU226</f>
        <v>42.604999999999691</v>
      </c>
      <c r="DW226" s="82">
        <f>DV226</f>
        <v>42.604999999999691</v>
      </c>
      <c r="DX226" s="82">
        <f>+DW228</f>
        <v>106.6299999999999</v>
      </c>
      <c r="DY226" s="82">
        <f>+DU226</f>
        <v>42.604999999999691</v>
      </c>
      <c r="DZ226" s="82">
        <f>DY228</f>
        <v>47.5949999999997</v>
      </c>
      <c r="EA226" s="82">
        <f>DZ226</f>
        <v>47.5949999999997</v>
      </c>
      <c r="EB226" s="82">
        <f>EA226</f>
        <v>47.5949999999997</v>
      </c>
      <c r="EC226" s="82">
        <f>+EB228</f>
        <v>34.274999999999764</v>
      </c>
      <c r="ED226" s="82">
        <f>+DZ226</f>
        <v>47.5949999999997</v>
      </c>
    </row>
    <row r="227" spans="1:134" x14ac:dyDescent="0.2">
      <c r="A227" s="220"/>
      <c r="B227" s="220"/>
      <c r="C227" s="70" t="s">
        <v>188</v>
      </c>
      <c r="D227" s="82"/>
      <c r="E227" s="114"/>
      <c r="F227" s="133"/>
      <c r="G227" s="133"/>
      <c r="H227" s="132"/>
      <c r="I227" s="223"/>
      <c r="J227" s="114"/>
      <c r="K227" s="133"/>
      <c r="L227" s="133"/>
      <c r="M227" s="132"/>
      <c r="N227" s="223"/>
      <c r="O227" s="114"/>
      <c r="P227" s="115"/>
      <c r="Q227" s="135"/>
      <c r="R227" s="132"/>
      <c r="S227" s="223"/>
      <c r="T227" s="114">
        <v>0</v>
      </c>
      <c r="U227" s="115"/>
      <c r="V227" s="135"/>
      <c r="W227" s="132"/>
      <c r="X227" s="223"/>
      <c r="Y227" s="114">
        <v>0</v>
      </c>
      <c r="Z227" s="115"/>
      <c r="AA227" s="135"/>
      <c r="AB227" s="132"/>
      <c r="AC227" s="223"/>
      <c r="AD227" s="114">
        <v>0</v>
      </c>
      <c r="AE227" s="115"/>
      <c r="AF227" s="135"/>
      <c r="AG227" s="132"/>
      <c r="AH227" s="223"/>
      <c r="AI227" s="114">
        <v>0</v>
      </c>
      <c r="AJ227" s="115"/>
      <c r="AK227" s="135"/>
      <c r="AL227" s="132"/>
      <c r="AM227" s="223"/>
      <c r="AN227" s="114">
        <v>0</v>
      </c>
      <c r="AO227" s="115"/>
      <c r="AP227" s="135"/>
      <c r="AQ227" s="132"/>
      <c r="AR227" s="223"/>
      <c r="AS227" s="114">
        <v>0</v>
      </c>
      <c r="AT227" s="115"/>
      <c r="AU227" s="135"/>
      <c r="AV227" s="132"/>
      <c r="AW227" s="223"/>
      <c r="AX227" s="136">
        <f>IF((AX225+AX226)&gt;=AW234,-AW234,-(AX225+AX226))</f>
        <v>-105</v>
      </c>
      <c r="AY227" s="135">
        <f>IF((AY225+AY226)&gt;=AX234,-AX234,-(AY225+AY226))</f>
        <v>0</v>
      </c>
      <c r="AZ227" s="135">
        <f>IF((AZ225+AZ226)&gt;=AY234,-AY234,-(AZ225+AZ226))</f>
        <v>0</v>
      </c>
      <c r="BA227" s="116">
        <f>IF((BA225+BA226)&gt;=AZ234,-AZ234,-(BA225+BA226))</f>
        <v>0</v>
      </c>
      <c r="BB227" s="82">
        <f>SUM(AX227:BA227)</f>
        <v>-105</v>
      </c>
      <c r="BC227" s="136">
        <f>IF((BC225+BC226)&gt;=BB234,-BB234,-(BC225+BC226))</f>
        <v>128.00709066984575</v>
      </c>
      <c r="BD227" s="135">
        <f>IF((BD225+BD226)&gt;=BC234,-BC234,-(BD225+BD226))</f>
        <v>149.8834478708456</v>
      </c>
      <c r="BE227" s="135">
        <f>IF((BE225+BE226)&gt;=BD234,-BD234,-(BE225+BE226))</f>
        <v>-206.73741394425963</v>
      </c>
      <c r="BF227" s="116">
        <f>IF((BF225+BF226)&gt;=BE234,-BE234,-(BF225+BF226))</f>
        <v>131.76577749582913</v>
      </c>
      <c r="BG227" s="82">
        <f>SUM(BC227:BF227)</f>
        <v>202.91890209226085</v>
      </c>
      <c r="BH227" s="136">
        <f>IF((BH225+BH226)&gt;=BG234,-BG234,-(BH225+BH226))</f>
        <v>105.41173341427123</v>
      </c>
      <c r="BI227" s="135">
        <f>IF((BI225+BI226)&gt;=BH234,-BH234,-(BI225+BI226))</f>
        <v>120.73227078847049</v>
      </c>
      <c r="BJ227" s="135">
        <f>IF((BJ225+BJ226)&gt;=BI234,-BI234,-(BJ225+BJ226))</f>
        <v>-289.4622140927242</v>
      </c>
      <c r="BK227" s="116">
        <f>IF((BK225+BK226)&gt;=BJ234,-BJ234,-(BK225+BK226))</f>
        <v>105.76582023192719</v>
      </c>
      <c r="BL227" s="82">
        <f>SUM(BH227:BK227)</f>
        <v>42.44761034194471</v>
      </c>
      <c r="BM227" s="136">
        <f>IF((BM225+BM226)&gt;=BL234,-BL234,-(BM225+BM226))</f>
        <v>124.59906923157143</v>
      </c>
      <c r="BN227" s="135">
        <f>IF((BN225+BN226)&gt;=BM234,-BM234,-(BN225+BN226))</f>
        <v>138.54231867724121</v>
      </c>
      <c r="BO227" s="135">
        <f>IF((BO225+BO226)&gt;=BN234,-BN234,-(BO225+BO226))</f>
        <v>-508.50790034301821</v>
      </c>
      <c r="BP227" s="116">
        <f>IF((BP225+BP226)&gt;=BO234,-BO234,-(BP225+BP226))</f>
        <v>58.91737896873309</v>
      </c>
      <c r="BQ227" s="82">
        <f>SUM(BM227:BP227)</f>
        <v>-186.44913346547247</v>
      </c>
      <c r="BR227" s="220"/>
      <c r="BS227" s="220"/>
      <c r="BT227" s="220"/>
      <c r="BU227" s="931"/>
      <c r="BV227" s="929"/>
      <c r="BW227" s="931"/>
      <c r="BX227" s="931"/>
      <c r="BY227" s="931"/>
      <c r="BZ227" s="931"/>
      <c r="CA227" s="931"/>
      <c r="CB227" s="931"/>
      <c r="CC227" s="615"/>
      <c r="CD227" s="615"/>
      <c r="CE227" s="615"/>
      <c r="CF227" s="220"/>
      <c r="CG227" s="220"/>
      <c r="CH227" s="220"/>
      <c r="CI227" s="220"/>
      <c r="CJ227" s="220"/>
      <c r="CK227" s="220"/>
      <c r="CL227" s="220"/>
      <c r="CM227" s="220"/>
      <c r="CN227" s="220"/>
      <c r="CO227" s="220"/>
      <c r="CP227" s="220"/>
      <c r="CQ227" s="220"/>
      <c r="CR227" s="220"/>
      <c r="CS227" s="220"/>
      <c r="CT227" s="220"/>
      <c r="CU227" s="220"/>
      <c r="CV227" s="220"/>
      <c r="CW227" s="220"/>
      <c r="CX227" s="220"/>
      <c r="CY227" s="220"/>
      <c r="CZ227" s="220"/>
      <c r="DA227" s="220"/>
      <c r="DB227" s="220"/>
      <c r="DC227" s="220"/>
      <c r="DD227" s="220"/>
      <c r="DE227" s="220"/>
      <c r="DF227" s="220"/>
      <c r="DG227" s="220"/>
      <c r="DH227" s="220"/>
      <c r="DI227" s="220"/>
      <c r="DJ227" s="220"/>
      <c r="DK227" s="220"/>
      <c r="DL227" s="220"/>
      <c r="DM227" s="220"/>
      <c r="DN227" s="220"/>
      <c r="DO227" s="220"/>
      <c r="DP227" s="220"/>
      <c r="DQ227" s="220"/>
      <c r="DR227" s="220"/>
      <c r="DS227" s="220"/>
      <c r="DT227" s="220"/>
      <c r="DU227" s="220"/>
      <c r="DV227" s="220"/>
      <c r="DW227" s="220"/>
      <c r="DX227" s="220"/>
      <c r="DY227" s="220"/>
      <c r="DZ227" s="220"/>
      <c r="EA227" s="220"/>
      <c r="EB227" s="220"/>
      <c r="EC227" s="220"/>
      <c r="ED227" s="220"/>
    </row>
    <row r="228" spans="1:134" x14ac:dyDescent="0.2">
      <c r="A228" s="220"/>
      <c r="B228" s="220"/>
      <c r="C228" s="141" t="s">
        <v>195</v>
      </c>
      <c r="D228" s="82"/>
      <c r="E228" s="121">
        <f t="shared" ref="E228:AD228" si="531">E227+E226+E225</f>
        <v>114.19300000000003</v>
      </c>
      <c r="F228" s="122">
        <f t="shared" si="531"/>
        <v>15.53200000000011</v>
      </c>
      <c r="G228" s="122">
        <f t="shared" si="531"/>
        <v>35.089999999999762</v>
      </c>
      <c r="H228" s="123">
        <f t="shared" si="531"/>
        <v>46.302999999999997</v>
      </c>
      <c r="I228" s="127">
        <f t="shared" si="531"/>
        <v>46.30300000000004</v>
      </c>
      <c r="J228" s="121">
        <f t="shared" si="531"/>
        <v>38.654000000000039</v>
      </c>
      <c r="K228" s="122">
        <f t="shared" si="531"/>
        <v>28.438000000000173</v>
      </c>
      <c r="L228" s="122">
        <f t="shared" si="531"/>
        <v>149.90700000000027</v>
      </c>
      <c r="M228" s="123">
        <f t="shared" si="531"/>
        <v>38.40799999999993</v>
      </c>
      <c r="N228" s="127">
        <f t="shared" si="531"/>
        <v>38.407999999999831</v>
      </c>
      <c r="O228" s="121">
        <f t="shared" si="531"/>
        <v>25.751999999999924</v>
      </c>
      <c r="P228" s="122">
        <f t="shared" si="531"/>
        <v>44.797999999999789</v>
      </c>
      <c r="Q228" s="122">
        <f t="shared" si="531"/>
        <v>31.744000000000213</v>
      </c>
      <c r="R228" s="123">
        <f>R227+R226+R225</f>
        <v>26.004999999999896</v>
      </c>
      <c r="S228" s="127">
        <f>S227+S226+S225</f>
        <v>26.004999999999782</v>
      </c>
      <c r="T228" s="121">
        <f t="shared" si="531"/>
        <v>48.545999999999808</v>
      </c>
      <c r="U228" s="122">
        <f t="shared" si="531"/>
        <v>26.549999999999756</v>
      </c>
      <c r="V228" s="122">
        <f>V227+V226+V225</f>
        <v>29.047999999999817</v>
      </c>
      <c r="W228" s="123">
        <f>W227+W226+W225</f>
        <v>28.841999999999828</v>
      </c>
      <c r="X228" s="127">
        <f>X227+X226+X225</f>
        <v>28.841999999999601</v>
      </c>
      <c r="Y228" s="121">
        <f t="shared" si="531"/>
        <v>54.150999999999556</v>
      </c>
      <c r="Z228" s="122">
        <f t="shared" si="531"/>
        <v>22.088999999999544</v>
      </c>
      <c r="AA228" s="122">
        <f>AA227+AA226+AA225</f>
        <v>45.175999999999789</v>
      </c>
      <c r="AB228" s="123">
        <f>AB227+AB226+AB225</f>
        <v>42.919999999999533</v>
      </c>
      <c r="AC228" s="127">
        <f>AC227+AC226+AC225</f>
        <v>42.919999999999689</v>
      </c>
      <c r="AD228" s="121">
        <f t="shared" si="531"/>
        <v>72.802999999999727</v>
      </c>
      <c r="AE228" s="122">
        <f t="shared" ref="AE228:AJ228" si="532">AE227+AE226+AE225</f>
        <v>55.344999999999708</v>
      </c>
      <c r="AF228" s="122">
        <f t="shared" si="532"/>
        <v>92.284999999999712</v>
      </c>
      <c r="AG228" s="123">
        <f t="shared" si="532"/>
        <v>40.596999999999625</v>
      </c>
      <c r="AH228" s="127">
        <f t="shared" si="532"/>
        <v>40.596999999999653</v>
      </c>
      <c r="AI228" s="121">
        <f t="shared" si="532"/>
        <v>91.49499999999955</v>
      </c>
      <c r="AJ228" s="122">
        <f t="shared" si="532"/>
        <v>72.278999999999598</v>
      </c>
      <c r="AK228" s="122">
        <f t="shared" ref="AK228:AP228" si="533">AK227+AK226+AK225</f>
        <v>318.38799999999958</v>
      </c>
      <c r="AL228" s="123">
        <f t="shared" si="533"/>
        <v>42.605000000000018</v>
      </c>
      <c r="AM228" s="127">
        <f t="shared" si="533"/>
        <v>42.604999999999691</v>
      </c>
      <c r="AN228" s="121">
        <f t="shared" si="533"/>
        <v>53.695999999999714</v>
      </c>
      <c r="AO228" s="122">
        <f t="shared" si="533"/>
        <v>45.916999999999845</v>
      </c>
      <c r="AP228" s="122">
        <f t="shared" si="533"/>
        <v>106.62999999999967</v>
      </c>
      <c r="AQ228" s="123">
        <f t="shared" ref="AQ228:AU228" si="534">AQ227+AQ226+AQ225</f>
        <v>47.594999999999644</v>
      </c>
      <c r="AR228" s="127">
        <f t="shared" si="534"/>
        <v>47.5949999999997</v>
      </c>
      <c r="AS228" s="121">
        <f t="shared" si="534"/>
        <v>32.778999999999691</v>
      </c>
      <c r="AT228" s="122">
        <f t="shared" si="534"/>
        <v>28.165999999999777</v>
      </c>
      <c r="AU228" s="122">
        <f t="shared" si="534"/>
        <v>34.274999999999785</v>
      </c>
      <c r="AV228" s="123">
        <f t="shared" ref="AV228:AW228" si="535">AV227+AV226+AV225</f>
        <v>43.780999999999814</v>
      </c>
      <c r="AW228" s="127">
        <f t="shared" si="535"/>
        <v>43.780999999999736</v>
      </c>
      <c r="AX228" s="121">
        <f t="shared" ref="AX228:BF228" si="536">AX227+AX226+AX225</f>
        <v>150.69706722065138</v>
      </c>
      <c r="AY228" s="122">
        <f t="shared" si="536"/>
        <v>44.201504455819929</v>
      </c>
      <c r="AZ228" s="122">
        <f t="shared" si="536"/>
        <v>89.926243911936922</v>
      </c>
      <c r="BA228" s="123">
        <f t="shared" si="536"/>
        <v>4.6595836045177066</v>
      </c>
      <c r="BB228" s="86">
        <f t="shared" si="536"/>
        <v>4.6595836045176071</v>
      </c>
      <c r="BC228" s="121">
        <f t="shared" si="536"/>
        <v>0</v>
      </c>
      <c r="BD228" s="122">
        <f t="shared" si="536"/>
        <v>0</v>
      </c>
      <c r="BE228" s="122">
        <f t="shared" si="536"/>
        <v>0</v>
      </c>
      <c r="BF228" s="123">
        <f t="shared" si="536"/>
        <v>0</v>
      </c>
      <c r="BG228" s="86">
        <f t="shared" ref="BG228:BL228" si="537">BG227+BG226+BG225</f>
        <v>0</v>
      </c>
      <c r="BH228" s="121">
        <f t="shared" si="537"/>
        <v>0</v>
      </c>
      <c r="BI228" s="122">
        <f t="shared" si="537"/>
        <v>0</v>
      </c>
      <c r="BJ228" s="122">
        <f t="shared" si="537"/>
        <v>0</v>
      </c>
      <c r="BK228" s="123">
        <f t="shared" si="537"/>
        <v>0</v>
      </c>
      <c r="BL228" s="86">
        <f t="shared" si="537"/>
        <v>0</v>
      </c>
      <c r="BM228" s="121">
        <f t="shared" ref="BM228:BQ228" si="538">BM227+BM226+BM225</f>
        <v>0</v>
      </c>
      <c r="BN228" s="122">
        <f t="shared" si="538"/>
        <v>0</v>
      </c>
      <c r="BO228" s="122">
        <f t="shared" si="538"/>
        <v>66.26120280947265</v>
      </c>
      <c r="BP228" s="123">
        <f t="shared" si="538"/>
        <v>0</v>
      </c>
      <c r="BQ228" s="86">
        <f t="shared" si="538"/>
        <v>0</v>
      </c>
      <c r="BR228" s="220"/>
      <c r="BS228" s="220"/>
      <c r="BT228" s="220"/>
      <c r="BU228" s="615"/>
      <c r="BV228" s="929"/>
      <c r="BW228" s="615"/>
      <c r="BX228" s="615"/>
      <c r="BY228" s="615"/>
      <c r="BZ228" s="615"/>
      <c r="CA228" s="615"/>
      <c r="CB228" s="615"/>
      <c r="CC228" s="615"/>
      <c r="CD228" s="615"/>
      <c r="CE228" s="615"/>
      <c r="CF228" s="220"/>
      <c r="CG228" s="220"/>
      <c r="CH228" s="220"/>
      <c r="CI228" s="220"/>
      <c r="CJ228" s="220"/>
      <c r="CK228" s="220"/>
      <c r="CL228" s="127">
        <f t="shared" ref="CL228:CX228" si="539">CL225+CL226+CL227</f>
        <v>114.19300000000003</v>
      </c>
      <c r="CM228" s="127">
        <f t="shared" si="539"/>
        <v>15.532000000000107</v>
      </c>
      <c r="CN228" s="127">
        <f t="shared" si="539"/>
        <v>35.089999999999762</v>
      </c>
      <c r="CO228" s="127">
        <f t="shared" si="539"/>
        <v>46.302999999999997</v>
      </c>
      <c r="CP228" s="127">
        <f t="shared" si="539"/>
        <v>46.30300000000004</v>
      </c>
      <c r="CQ228" s="127">
        <f t="shared" si="539"/>
        <v>38.654000000000039</v>
      </c>
      <c r="CR228" s="127">
        <f t="shared" si="539"/>
        <v>28.438000000000144</v>
      </c>
      <c r="CS228" s="127">
        <f t="shared" si="539"/>
        <v>149.90700000000044</v>
      </c>
      <c r="CT228" s="127">
        <f t="shared" si="539"/>
        <v>38.408000000000101</v>
      </c>
      <c r="CU228" s="127">
        <f t="shared" si="539"/>
        <v>38.407999999999831</v>
      </c>
      <c r="CV228" s="127">
        <f t="shared" si="539"/>
        <v>25.751999999999924</v>
      </c>
      <c r="CW228" s="127">
        <f t="shared" si="539"/>
        <v>44.797999999999732</v>
      </c>
      <c r="CX228" s="85">
        <f t="shared" si="539"/>
        <v>31.744000000000156</v>
      </c>
      <c r="CY228" s="127">
        <f t="shared" ref="CY228:DH228" si="540">CY225+CY226+CY227</f>
        <v>26.004999999999839</v>
      </c>
      <c r="CZ228" s="127">
        <f t="shared" si="540"/>
        <v>26.004999999999782</v>
      </c>
      <c r="DA228" s="127">
        <f t="shared" si="540"/>
        <v>48.545999999999808</v>
      </c>
      <c r="DB228" s="127">
        <f t="shared" si="540"/>
        <v>26.549999999999699</v>
      </c>
      <c r="DC228" s="85">
        <f t="shared" si="540"/>
        <v>29.047999999999732</v>
      </c>
      <c r="DD228" s="127">
        <f t="shared" si="540"/>
        <v>28.841999999999743</v>
      </c>
      <c r="DE228" s="127">
        <f t="shared" si="540"/>
        <v>28.841999999999601</v>
      </c>
      <c r="DF228" s="127">
        <f t="shared" si="540"/>
        <v>54.150999999999556</v>
      </c>
      <c r="DG228" s="127">
        <f t="shared" si="540"/>
        <v>22.088999999999501</v>
      </c>
      <c r="DH228" s="85">
        <f t="shared" si="540"/>
        <v>45.175999999999746</v>
      </c>
      <c r="DI228" s="127">
        <f t="shared" ref="DI228:DQ228" si="541">DI225+DI226+DI227</f>
        <v>42.91999999999949</v>
      </c>
      <c r="DJ228" s="127">
        <f t="shared" si="541"/>
        <v>42.919999999999689</v>
      </c>
      <c r="DK228" s="127">
        <f t="shared" si="541"/>
        <v>72.802999999999727</v>
      </c>
      <c r="DL228" s="127">
        <f t="shared" si="541"/>
        <v>55.3449999999997</v>
      </c>
      <c r="DM228" s="85">
        <f t="shared" si="541"/>
        <v>92.284999999999656</v>
      </c>
      <c r="DN228" s="127">
        <f t="shared" si="541"/>
        <v>40.596999999999568</v>
      </c>
      <c r="DO228" s="127">
        <f t="shared" si="541"/>
        <v>40.596999999999653</v>
      </c>
      <c r="DP228" s="127">
        <f t="shared" si="541"/>
        <v>91.49499999999955</v>
      </c>
      <c r="DQ228" s="127">
        <f t="shared" si="541"/>
        <v>72.278999999999712</v>
      </c>
      <c r="DR228" s="85">
        <f t="shared" ref="DR228:DW228" si="542">DR225+DR226+DR227</f>
        <v>318.38799999999947</v>
      </c>
      <c r="DS228" s="127">
        <f t="shared" si="542"/>
        <v>42.604999999999905</v>
      </c>
      <c r="DT228" s="127">
        <f t="shared" si="542"/>
        <v>42.604999999999691</v>
      </c>
      <c r="DU228" s="127">
        <f t="shared" si="542"/>
        <v>53.695999999999714</v>
      </c>
      <c r="DV228" s="127">
        <f t="shared" si="542"/>
        <v>45.916999999999845</v>
      </c>
      <c r="DW228" s="127">
        <f t="shared" si="542"/>
        <v>106.6299999999999</v>
      </c>
      <c r="DX228" s="127">
        <f t="shared" ref="DX228:ED228" si="543">DX225+DX226+DX227</f>
        <v>47.594999999999871</v>
      </c>
      <c r="DY228" s="127">
        <f t="shared" si="543"/>
        <v>47.5949999999997</v>
      </c>
      <c r="DZ228" s="127">
        <f t="shared" si="543"/>
        <v>32.778999999999691</v>
      </c>
      <c r="EA228" s="127">
        <f t="shared" si="543"/>
        <v>28.165999999999869</v>
      </c>
      <c r="EB228" s="127">
        <f t="shared" si="543"/>
        <v>34.274999999999764</v>
      </c>
      <c r="EC228" s="127">
        <f t="shared" si="543"/>
        <v>43.780999999999793</v>
      </c>
      <c r="ED228" s="127">
        <f t="shared" si="543"/>
        <v>43.780999999999736</v>
      </c>
    </row>
    <row r="229" spans="1:134" x14ac:dyDescent="0.2">
      <c r="A229" s="289"/>
      <c r="B229" s="289"/>
      <c r="C229" s="289"/>
      <c r="D229" s="289"/>
      <c r="E229" s="291"/>
      <c r="F229" s="292"/>
      <c r="G229" s="292"/>
      <c r="H229" s="293"/>
      <c r="I229" s="289"/>
      <c r="J229" s="291"/>
      <c r="K229" s="292"/>
      <c r="L229" s="292"/>
      <c r="M229" s="293"/>
      <c r="N229" s="289"/>
      <c r="O229" s="291"/>
      <c r="P229" s="292"/>
      <c r="Q229" s="292"/>
      <c r="R229" s="293"/>
      <c r="S229" s="289"/>
      <c r="T229" s="291"/>
      <c r="U229" s="292"/>
      <c r="V229" s="292"/>
      <c r="W229" s="293"/>
      <c r="X229" s="289"/>
      <c r="Y229" s="291"/>
      <c r="Z229" s="292"/>
      <c r="AA229" s="292"/>
      <c r="AB229" s="293"/>
      <c r="AC229" s="289"/>
      <c r="AD229" s="291"/>
      <c r="AE229" s="292"/>
      <c r="AF229" s="292"/>
      <c r="AG229" s="293"/>
      <c r="AH229" s="289"/>
      <c r="AI229" s="291"/>
      <c r="AJ229" s="292"/>
      <c r="AK229" s="292"/>
      <c r="AL229" s="293"/>
      <c r="AM229" s="289"/>
      <c r="AN229" s="291"/>
      <c r="AO229" s="292"/>
      <c r="AP229" s="292"/>
      <c r="AQ229" s="293"/>
      <c r="AR229" s="289"/>
      <c r="AS229" s="291"/>
      <c r="AT229" s="292"/>
      <c r="AU229" s="292"/>
      <c r="AV229" s="293"/>
      <c r="AW229" s="289"/>
      <c r="AX229" s="291"/>
      <c r="AY229" s="292"/>
      <c r="AZ229" s="292"/>
      <c r="BA229" s="293"/>
      <c r="BB229" s="289"/>
      <c r="BC229" s="291"/>
      <c r="BD229" s="292"/>
      <c r="BE229" s="292"/>
      <c r="BF229" s="293"/>
      <c r="BG229" s="289"/>
      <c r="BH229" s="291"/>
      <c r="BI229" s="292"/>
      <c r="BJ229" s="292"/>
      <c r="BK229" s="293"/>
      <c r="BL229" s="289"/>
      <c r="BM229" s="291"/>
      <c r="BN229" s="292"/>
      <c r="BO229" s="292"/>
      <c r="BP229" s="293"/>
      <c r="BQ229" s="289"/>
      <c r="BR229" s="289"/>
      <c r="BS229" s="289"/>
      <c r="BT229" s="289"/>
      <c r="BU229" s="289"/>
      <c r="BV229" s="289"/>
      <c r="BW229" s="289"/>
      <c r="BX229" s="289"/>
      <c r="BY229" s="289"/>
      <c r="BZ229" s="289"/>
      <c r="CA229" s="289"/>
      <c r="CB229" s="289"/>
      <c r="CC229" s="289"/>
      <c r="CD229" s="289"/>
      <c r="CE229" s="289"/>
      <c r="CF229" s="289"/>
      <c r="CG229" s="289"/>
      <c r="CH229" s="289"/>
      <c r="CI229" s="289"/>
      <c r="CJ229" s="289"/>
      <c r="CK229" s="289"/>
      <c r="CL229" s="289"/>
      <c r="CM229" s="289"/>
      <c r="CN229" s="289"/>
      <c r="CO229" s="289"/>
      <c r="CP229" s="289"/>
      <c r="CQ229" s="289"/>
      <c r="CR229" s="289"/>
      <c r="CS229" s="289"/>
      <c r="CT229" s="289"/>
      <c r="CU229" s="289"/>
      <c r="CV229" s="289"/>
      <c r="CW229" s="289"/>
      <c r="CX229" s="289"/>
      <c r="CY229" s="289"/>
      <c r="CZ229" s="289"/>
    </row>
    <row r="230" spans="1:134" x14ac:dyDescent="0.2">
      <c r="A230" s="289"/>
      <c r="B230" s="289"/>
      <c r="C230" s="289"/>
      <c r="D230" s="289"/>
      <c r="E230" s="291"/>
      <c r="F230" s="292"/>
      <c r="G230" s="292"/>
      <c r="H230" s="293"/>
      <c r="I230" s="289"/>
      <c r="J230" s="291"/>
      <c r="K230" s="292"/>
      <c r="L230" s="292"/>
      <c r="M230" s="293"/>
      <c r="N230" s="289"/>
      <c r="O230" s="291"/>
      <c r="P230" s="292"/>
      <c r="Q230" s="292"/>
      <c r="R230" s="293"/>
      <c r="S230" s="289"/>
      <c r="T230" s="291"/>
      <c r="U230" s="292"/>
      <c r="V230" s="292"/>
      <c r="W230" s="293"/>
      <c r="X230" s="289"/>
      <c r="Y230" s="291"/>
      <c r="Z230" s="292"/>
      <c r="AA230" s="292"/>
      <c r="AB230" s="293"/>
      <c r="AC230" s="704"/>
      <c r="AD230" s="701"/>
      <c r="AE230" s="794"/>
      <c r="AF230" s="794"/>
      <c r="AG230" s="293"/>
      <c r="AH230" s="289"/>
      <c r="AI230" s="291"/>
      <c r="AJ230" s="292"/>
      <c r="AK230" s="794"/>
      <c r="AL230" s="942"/>
      <c r="AM230" s="943"/>
      <c r="AN230" s="774"/>
      <c r="AO230" s="794"/>
      <c r="AP230" s="794"/>
      <c r="AQ230" s="293"/>
      <c r="AR230" s="289"/>
      <c r="AS230" s="291"/>
      <c r="AT230" s="292"/>
      <c r="AU230" s="292"/>
      <c r="AV230" s="293"/>
      <c r="AW230" s="289"/>
      <c r="AX230" s="291"/>
      <c r="AY230" s="292"/>
      <c r="AZ230" s="292"/>
      <c r="BA230" s="293"/>
      <c r="BB230" s="289"/>
      <c r="BC230" s="291"/>
      <c r="BD230" s="292"/>
      <c r="BE230" s="292"/>
      <c r="BF230" s="293"/>
      <c r="BG230" s="289"/>
      <c r="BH230" s="291"/>
      <c r="BI230" s="292"/>
      <c r="BJ230" s="292"/>
      <c r="BK230" s="293"/>
      <c r="BL230" s="289"/>
      <c r="BM230" s="291"/>
      <c r="BN230" s="292"/>
      <c r="BO230" s="292"/>
      <c r="BP230" s="293"/>
      <c r="BQ230" s="289"/>
      <c r="BR230" s="289"/>
      <c r="BS230" s="289"/>
      <c r="BT230" s="289"/>
      <c r="BU230" s="289"/>
      <c r="BV230" s="289"/>
      <c r="BW230" s="289"/>
      <c r="BX230" s="289"/>
      <c r="BY230" s="289"/>
      <c r="BZ230" s="289"/>
      <c r="CA230" s="289"/>
      <c r="CB230" s="289"/>
      <c r="CC230" s="289"/>
      <c r="CD230" s="289"/>
      <c r="CE230" s="289"/>
      <c r="CF230" s="289"/>
      <c r="CG230" s="289"/>
      <c r="CH230" s="289"/>
      <c r="CI230" s="289"/>
      <c r="CJ230" s="289"/>
      <c r="CK230" s="289"/>
      <c r="CL230" s="289"/>
      <c r="CM230" s="289"/>
      <c r="CN230" s="289"/>
      <c r="CO230" s="289"/>
      <c r="CP230" s="289"/>
      <c r="CQ230" s="289"/>
      <c r="CR230" s="289"/>
      <c r="CS230" s="289"/>
      <c r="CT230" s="289"/>
      <c r="CU230" s="289"/>
      <c r="CV230" s="289"/>
      <c r="CW230" s="289"/>
      <c r="CX230" s="289"/>
      <c r="CY230" s="289"/>
      <c r="CZ230" s="289"/>
    </row>
    <row r="231" spans="1:134" x14ac:dyDescent="0.2">
      <c r="A231" s="289"/>
      <c r="B231" s="347" t="s">
        <v>230</v>
      </c>
      <c r="C231" s="347"/>
      <c r="D231" s="348"/>
      <c r="E231" s="701"/>
      <c r="F231" s="702"/>
      <c r="G231" s="702"/>
      <c r="H231" s="703"/>
      <c r="I231" s="704"/>
      <c r="J231" s="701"/>
      <c r="K231" s="702"/>
      <c r="L231" s="702"/>
      <c r="M231" s="703"/>
      <c r="N231" s="704"/>
      <c r="O231" s="701"/>
      <c r="P231" s="702"/>
      <c r="Q231" s="702"/>
      <c r="R231" s="703"/>
      <c r="S231" s="704"/>
      <c r="T231" s="291"/>
      <c r="U231" s="292"/>
      <c r="V231" s="292"/>
      <c r="W231" s="293"/>
      <c r="X231" s="289"/>
      <c r="Y231" s="291"/>
      <c r="Z231" s="292"/>
      <c r="AA231" s="292"/>
      <c r="AB231" s="293"/>
      <c r="AC231" s="289"/>
      <c r="AD231" s="291"/>
      <c r="AE231" s="292"/>
      <c r="AF231" s="292"/>
      <c r="AG231" s="293"/>
      <c r="AH231" s="289"/>
      <c r="AI231" s="291"/>
      <c r="AJ231" s="292"/>
      <c r="AK231" s="292"/>
      <c r="AL231" s="293"/>
      <c r="AM231" s="289"/>
      <c r="AN231" s="291"/>
      <c r="AO231" s="292"/>
      <c r="AP231" s="292"/>
      <c r="AQ231" s="293"/>
      <c r="AR231" s="289"/>
      <c r="AS231" s="291"/>
      <c r="AT231" s="292"/>
      <c r="AU231" s="292"/>
      <c r="AV231" s="293"/>
      <c r="AW231" s="289"/>
      <c r="AX231" s="291"/>
      <c r="AY231" s="292"/>
      <c r="AZ231" s="292"/>
      <c r="BA231" s="293"/>
      <c r="BB231" s="289"/>
      <c r="BC231" s="291"/>
      <c r="BD231" s="292"/>
      <c r="BE231" s="292"/>
      <c r="BF231" s="293"/>
      <c r="BG231" s="289"/>
      <c r="BH231" s="291"/>
      <c r="BI231" s="292"/>
      <c r="BJ231" s="292"/>
      <c r="BK231" s="293"/>
      <c r="BL231" s="289"/>
      <c r="BM231" s="291"/>
      <c r="BN231" s="292"/>
      <c r="BO231" s="292"/>
      <c r="BP231" s="293"/>
      <c r="BQ231" s="289"/>
      <c r="BR231" s="289"/>
      <c r="BS231" s="289"/>
      <c r="BT231" s="289"/>
      <c r="BU231" s="289"/>
      <c r="BV231" s="289"/>
      <c r="BW231" s="289"/>
      <c r="BX231" s="289"/>
      <c r="BY231" s="289"/>
      <c r="BZ231" s="289"/>
      <c r="CA231" s="289"/>
      <c r="CB231" s="289"/>
      <c r="CC231" s="289"/>
      <c r="CD231" s="289"/>
      <c r="CE231" s="289"/>
      <c r="CF231" s="289"/>
      <c r="CG231" s="289"/>
      <c r="CH231" s="289"/>
      <c r="CI231" s="289"/>
      <c r="CJ231" s="289"/>
      <c r="CK231" s="289"/>
      <c r="CL231" s="289"/>
      <c r="CM231" s="289"/>
      <c r="CN231" s="289"/>
      <c r="CO231" s="289"/>
      <c r="CP231" s="289"/>
      <c r="CQ231" s="289"/>
      <c r="CR231" s="289"/>
      <c r="CS231" s="289"/>
      <c r="CT231" s="289"/>
      <c r="CU231" s="289"/>
      <c r="CV231" s="289"/>
      <c r="CW231" s="289"/>
      <c r="CX231" s="289"/>
      <c r="CY231" s="289"/>
      <c r="CZ231" s="289"/>
    </row>
    <row r="232" spans="1:134" x14ac:dyDescent="0.2">
      <c r="A232" s="220"/>
      <c r="B232" s="220"/>
      <c r="C232" s="70" t="s">
        <v>231</v>
      </c>
      <c r="D232" s="82"/>
      <c r="E232" s="114">
        <v>114.193</v>
      </c>
      <c r="F232" s="115">
        <v>15.532</v>
      </c>
      <c r="G232" s="115">
        <v>35.090000000000003</v>
      </c>
      <c r="H232" s="119">
        <f>I232</f>
        <v>46.302999999999997</v>
      </c>
      <c r="I232" s="117">
        <v>46.302999999999997</v>
      </c>
      <c r="J232" s="114">
        <v>38.654000000000003</v>
      </c>
      <c r="K232" s="115">
        <v>28.437999999999999</v>
      </c>
      <c r="L232" s="115">
        <v>149.90700000000001</v>
      </c>
      <c r="M232" s="119">
        <f>N232</f>
        <v>38.408000000000001</v>
      </c>
      <c r="N232" s="117">
        <v>38.408000000000001</v>
      </c>
      <c r="O232" s="114">
        <v>25.751999999999999</v>
      </c>
      <c r="P232" s="115">
        <v>44.798000000000002</v>
      </c>
      <c r="Q232" s="115">
        <v>31.744</v>
      </c>
      <c r="R232" s="119">
        <f>S232</f>
        <v>26.004999999999999</v>
      </c>
      <c r="S232" s="117">
        <v>26.004999999999999</v>
      </c>
      <c r="T232" s="114">
        <v>48.545999999999999</v>
      </c>
      <c r="U232" s="115">
        <v>26.55</v>
      </c>
      <c r="V232" s="115">
        <v>29.047999999999998</v>
      </c>
      <c r="W232" s="119">
        <f>X232</f>
        <v>28.841999999999999</v>
      </c>
      <c r="X232" s="117">
        <v>28.841999999999999</v>
      </c>
      <c r="Y232" s="114">
        <v>54.151000000000003</v>
      </c>
      <c r="Z232" s="115">
        <v>22.088999999999999</v>
      </c>
      <c r="AA232" s="115">
        <v>45.176000000000002</v>
      </c>
      <c r="AB232" s="119">
        <f>AC232</f>
        <v>42.92</v>
      </c>
      <c r="AC232" s="117">
        <v>42.92</v>
      </c>
      <c r="AD232" s="114">
        <v>72.802999999999997</v>
      </c>
      <c r="AE232" s="115">
        <v>55.344999999999999</v>
      </c>
      <c r="AF232" s="115">
        <v>92.284999999999997</v>
      </c>
      <c r="AG232" s="119">
        <f>AH232</f>
        <v>40.597000000000001</v>
      </c>
      <c r="AH232" s="117">
        <v>40.597000000000001</v>
      </c>
      <c r="AI232" s="114">
        <v>91.495000000000005</v>
      </c>
      <c r="AJ232" s="115">
        <v>72.278999999999996</v>
      </c>
      <c r="AK232" s="115">
        <v>318.38799999999998</v>
      </c>
      <c r="AL232" s="119">
        <f>AM232</f>
        <v>42.604999999999997</v>
      </c>
      <c r="AM232" s="117">
        <v>42.604999999999997</v>
      </c>
      <c r="AN232" s="114">
        <v>53.695999999999998</v>
      </c>
      <c r="AO232" s="115">
        <v>45.917000000000002</v>
      </c>
      <c r="AP232" s="115">
        <v>106.63</v>
      </c>
      <c r="AQ232" s="119">
        <f>AR232</f>
        <v>47.594999999999999</v>
      </c>
      <c r="AR232" s="117">
        <v>47.594999999999999</v>
      </c>
      <c r="AS232" s="114">
        <v>32.779000000000003</v>
      </c>
      <c r="AT232" s="115">
        <v>28.166</v>
      </c>
      <c r="AU232" s="115">
        <v>34.274999999999999</v>
      </c>
      <c r="AV232" s="119">
        <f>AW232</f>
        <v>43.780999999999999</v>
      </c>
      <c r="AW232" s="117">
        <v>43.780999999999999</v>
      </c>
      <c r="AX232" s="136">
        <f t="shared" ref="AX232:BG232" si="544">+AX228</f>
        <v>150.69706722065138</v>
      </c>
      <c r="AY232" s="135">
        <f t="shared" si="544"/>
        <v>44.201504455819929</v>
      </c>
      <c r="AZ232" s="135">
        <f t="shared" si="544"/>
        <v>89.926243911936922</v>
      </c>
      <c r="BA232" s="116">
        <f t="shared" si="544"/>
        <v>4.6595836045177066</v>
      </c>
      <c r="BB232" s="82">
        <f t="shared" si="544"/>
        <v>4.6595836045176071</v>
      </c>
      <c r="BC232" s="136">
        <f t="shared" si="544"/>
        <v>0</v>
      </c>
      <c r="BD232" s="135">
        <f t="shared" si="544"/>
        <v>0</v>
      </c>
      <c r="BE232" s="135">
        <f t="shared" si="544"/>
        <v>0</v>
      </c>
      <c r="BF232" s="116">
        <f t="shared" si="544"/>
        <v>0</v>
      </c>
      <c r="BG232" s="82">
        <f t="shared" si="544"/>
        <v>0</v>
      </c>
      <c r="BH232" s="136">
        <f t="shared" ref="BH232:BQ232" si="545">+BH228</f>
        <v>0</v>
      </c>
      <c r="BI232" s="135">
        <f t="shared" si="545"/>
        <v>0</v>
      </c>
      <c r="BJ232" s="135">
        <f t="shared" si="545"/>
        <v>0</v>
      </c>
      <c r="BK232" s="116">
        <f t="shared" si="545"/>
        <v>0</v>
      </c>
      <c r="BL232" s="82">
        <f t="shared" si="545"/>
        <v>0</v>
      </c>
      <c r="BM232" s="136">
        <f t="shared" si="545"/>
        <v>0</v>
      </c>
      <c r="BN232" s="135">
        <f t="shared" si="545"/>
        <v>0</v>
      </c>
      <c r="BO232" s="135">
        <f t="shared" si="545"/>
        <v>66.26120280947265</v>
      </c>
      <c r="BP232" s="116">
        <f t="shared" si="545"/>
        <v>0</v>
      </c>
      <c r="BQ232" s="82">
        <f t="shared" si="545"/>
        <v>0</v>
      </c>
      <c r="BR232" s="220"/>
      <c r="BS232" s="220"/>
      <c r="BT232" s="220"/>
      <c r="BU232" s="220"/>
      <c r="BV232" s="220"/>
      <c r="BW232" s="220"/>
      <c r="BX232" s="220"/>
      <c r="BY232" s="220"/>
      <c r="BZ232" s="220"/>
      <c r="CA232" s="220"/>
      <c r="CB232" s="220"/>
      <c r="CC232" s="220"/>
      <c r="CD232" s="220"/>
      <c r="CE232" s="220"/>
      <c r="CF232" s="220"/>
      <c r="CG232" s="220"/>
      <c r="CH232" s="220"/>
      <c r="CI232" s="220"/>
      <c r="CJ232" s="220"/>
      <c r="CK232" s="220"/>
      <c r="CL232" s="220"/>
      <c r="CM232" s="220"/>
      <c r="CN232" s="220"/>
      <c r="CO232" s="220"/>
      <c r="CP232" s="220"/>
      <c r="CQ232" s="220"/>
      <c r="CR232" s="220"/>
      <c r="CS232" s="220"/>
      <c r="CT232" s="220"/>
      <c r="CU232" s="220"/>
      <c r="CV232" s="220"/>
      <c r="CW232" s="220"/>
      <c r="CX232" s="220"/>
      <c r="CY232" s="220"/>
      <c r="CZ232" s="220"/>
    </row>
    <row r="233" spans="1:134" x14ac:dyDescent="0.2">
      <c r="A233" s="220"/>
      <c r="B233" s="220"/>
      <c r="C233" s="70"/>
      <c r="D233" s="82"/>
      <c r="E233" s="351"/>
      <c r="F233" s="352"/>
      <c r="G233" s="352"/>
      <c r="H233" s="353"/>
      <c r="I233" s="354"/>
      <c r="J233" s="351"/>
      <c r="K233" s="352"/>
      <c r="L233" s="352"/>
      <c r="M233" s="353"/>
      <c r="N233" s="354"/>
      <c r="O233" s="351"/>
      <c r="P233" s="337"/>
      <c r="Q233" s="135"/>
      <c r="R233" s="353"/>
      <c r="S233" s="354"/>
      <c r="T233" s="351"/>
      <c r="U233" s="337"/>
      <c r="V233" s="337"/>
      <c r="W233" s="353"/>
      <c r="X233" s="354"/>
      <c r="Y233" s="351"/>
      <c r="Z233" s="337"/>
      <c r="AA233" s="337"/>
      <c r="AB233" s="353"/>
      <c r="AC233" s="354"/>
      <c r="AD233" s="351"/>
      <c r="AE233" s="337"/>
      <c r="AF233" s="337"/>
      <c r="AG233" s="353"/>
      <c r="AH233" s="354"/>
      <c r="AI233" s="351"/>
      <c r="AJ233" s="337"/>
      <c r="AK233" s="337"/>
      <c r="AL233" s="353"/>
      <c r="AM233" s="354"/>
      <c r="AN233" s="351"/>
      <c r="AO233" s="337"/>
      <c r="AP233" s="137"/>
      <c r="AQ233" s="353"/>
      <c r="AR233" s="354"/>
      <c r="AS233" s="351"/>
      <c r="AT233" s="337"/>
      <c r="AU233" s="137"/>
      <c r="AV233" s="353"/>
      <c r="AW233" s="354"/>
      <c r="AX233" s="136"/>
      <c r="AY233" s="137"/>
      <c r="AZ233" s="137"/>
      <c r="BA233" s="116"/>
      <c r="BB233" s="220"/>
      <c r="BC233" s="136"/>
      <c r="BD233" s="137"/>
      <c r="BE233" s="137"/>
      <c r="BF233" s="116"/>
      <c r="BG233" s="220"/>
      <c r="BH233" s="136"/>
      <c r="BI233" s="137"/>
      <c r="BJ233" s="137"/>
      <c r="BK233" s="116"/>
      <c r="BL233" s="220"/>
      <c r="BM233" s="136"/>
      <c r="BN233" s="137"/>
      <c r="BO233" s="137"/>
      <c r="BP233" s="116"/>
      <c r="BQ233" s="220"/>
      <c r="BR233" s="220"/>
      <c r="BS233" s="220"/>
      <c r="BT233" s="220"/>
      <c r="BU233" s="220"/>
      <c r="BV233" s="220"/>
      <c r="BW233" s="220"/>
      <c r="BX233" s="220"/>
      <c r="BY233" s="220"/>
      <c r="BZ233" s="220"/>
      <c r="CA233" s="220"/>
      <c r="CB233" s="220"/>
      <c r="CC233" s="220"/>
      <c r="CD233" s="220"/>
      <c r="CE233" s="220"/>
      <c r="CF233" s="220"/>
      <c r="CG233" s="220"/>
      <c r="CH233" s="220"/>
      <c r="CI233" s="220"/>
      <c r="CJ233" s="220"/>
      <c r="CK233" s="220"/>
      <c r="CL233" s="220"/>
      <c r="CM233" s="220"/>
      <c r="CN233" s="220"/>
      <c r="CO233" s="220"/>
      <c r="CP233" s="220"/>
      <c r="CQ233" s="220"/>
      <c r="CR233" s="220"/>
      <c r="CS233" s="220"/>
      <c r="CT233" s="220"/>
      <c r="CU233" s="220"/>
      <c r="CV233" s="220"/>
      <c r="CW233" s="220"/>
      <c r="CX233" s="220"/>
      <c r="CY233" s="220"/>
      <c r="CZ233" s="220"/>
    </row>
    <row r="234" spans="1:134" x14ac:dyDescent="0.2">
      <c r="A234" s="220"/>
      <c r="B234" s="220"/>
      <c r="C234" s="70" t="s">
        <v>232</v>
      </c>
      <c r="D234" s="82"/>
      <c r="E234" s="114">
        <v>0</v>
      </c>
      <c r="F234" s="115">
        <v>0</v>
      </c>
      <c r="G234" s="115">
        <v>122</v>
      </c>
      <c r="H234" s="119">
        <f>I234</f>
        <v>0</v>
      </c>
      <c r="I234" s="117">
        <v>0</v>
      </c>
      <c r="J234" s="114">
        <v>0</v>
      </c>
      <c r="K234" s="115">
        <v>45</v>
      </c>
      <c r="L234" s="115">
        <v>0</v>
      </c>
      <c r="M234" s="119">
        <f>N234</f>
        <v>0</v>
      </c>
      <c r="N234" s="117">
        <v>0</v>
      </c>
      <c r="O234" s="114">
        <v>8</v>
      </c>
      <c r="P234" s="115">
        <v>5</v>
      </c>
      <c r="Q234" s="115">
        <v>0</v>
      </c>
      <c r="R234" s="119">
        <f>S234</f>
        <v>91</v>
      </c>
      <c r="S234" s="117">
        <f>26+65</f>
        <v>91</v>
      </c>
      <c r="T234" s="114">
        <f>28+41</f>
        <v>69</v>
      </c>
      <c r="U234" s="115">
        <v>145</v>
      </c>
      <c r="V234" s="115">
        <v>120</v>
      </c>
      <c r="W234" s="119">
        <f>X234</f>
        <v>221</v>
      </c>
      <c r="X234" s="117">
        <v>221</v>
      </c>
      <c r="Y234" s="114">
        <f>45+180</f>
        <v>225</v>
      </c>
      <c r="Z234" s="115">
        <f>25+20</f>
        <v>45</v>
      </c>
      <c r="AA234" s="115">
        <f>33+55</f>
        <v>88</v>
      </c>
      <c r="AB234" s="119">
        <f>AC234</f>
        <v>165</v>
      </c>
      <c r="AC234" s="117">
        <f>131+34</f>
        <v>165</v>
      </c>
      <c r="AD234" s="114">
        <f>130+150</f>
        <v>280</v>
      </c>
      <c r="AE234" s="115">
        <v>27</v>
      </c>
      <c r="AF234" s="115">
        <v>0</v>
      </c>
      <c r="AG234" s="119">
        <f>AH234</f>
        <v>142</v>
      </c>
      <c r="AH234" s="117">
        <v>142</v>
      </c>
      <c r="AI234" s="114">
        <v>76</v>
      </c>
      <c r="AJ234" s="115">
        <v>117</v>
      </c>
      <c r="AK234" s="115">
        <v>0</v>
      </c>
      <c r="AL234" s="119">
        <f>AM234</f>
        <v>233</v>
      </c>
      <c r="AM234" s="117">
        <v>233</v>
      </c>
      <c r="AN234" s="114">
        <v>73</v>
      </c>
      <c r="AO234" s="115">
        <v>0</v>
      </c>
      <c r="AP234" s="115">
        <v>0</v>
      </c>
      <c r="AQ234" s="119">
        <f>AR234</f>
        <v>85</v>
      </c>
      <c r="AR234" s="117">
        <v>85</v>
      </c>
      <c r="AS234" s="114">
        <v>39</v>
      </c>
      <c r="AT234" s="115">
        <v>83</v>
      </c>
      <c r="AU234" s="115">
        <v>0</v>
      </c>
      <c r="AV234" s="119">
        <f>AW234</f>
        <v>105</v>
      </c>
      <c r="AW234" s="117">
        <f>20+85</f>
        <v>105</v>
      </c>
      <c r="AX234" s="136">
        <f>+AW234+AX227</f>
        <v>0</v>
      </c>
      <c r="AY234" s="135">
        <f>+AX234+AY227</f>
        <v>0</v>
      </c>
      <c r="AZ234" s="135">
        <f>+AY234+AZ227</f>
        <v>0</v>
      </c>
      <c r="BA234" s="116">
        <f>+AZ234+BA227</f>
        <v>0</v>
      </c>
      <c r="BB234" s="82">
        <f>+BA234</f>
        <v>0</v>
      </c>
      <c r="BC234" s="136">
        <f>+BB234+BC227</f>
        <v>128.00709066984575</v>
      </c>
      <c r="BD234" s="135">
        <f>+BC234+BD227</f>
        <v>277.89053854069135</v>
      </c>
      <c r="BE234" s="135">
        <f>+BD234+BE227</f>
        <v>71.153124596431724</v>
      </c>
      <c r="BF234" s="116">
        <f>+BE234+BF227</f>
        <v>202.91890209226085</v>
      </c>
      <c r="BG234" s="82">
        <f>+BF234</f>
        <v>202.91890209226085</v>
      </c>
      <c r="BH234" s="136">
        <f>+BG234+BH227</f>
        <v>308.33063550653208</v>
      </c>
      <c r="BI234" s="135">
        <f>+BH234+BI227</f>
        <v>429.06290629500256</v>
      </c>
      <c r="BJ234" s="135">
        <f>+BI234+BJ227</f>
        <v>139.60069220227837</v>
      </c>
      <c r="BK234" s="116">
        <f>+BJ234+BK227</f>
        <v>245.36651243420556</v>
      </c>
      <c r="BL234" s="82">
        <f>+BK234</f>
        <v>245.36651243420556</v>
      </c>
      <c r="BM234" s="136">
        <f>+BL234+BM227</f>
        <v>369.96558166577699</v>
      </c>
      <c r="BN234" s="135">
        <f>+BM234+BN227</f>
        <v>508.50790034301821</v>
      </c>
      <c r="BO234" s="135">
        <f>+BN234+BO227</f>
        <v>0</v>
      </c>
      <c r="BP234" s="116">
        <f>+BO234+BP227</f>
        <v>58.91737896873309</v>
      </c>
      <c r="BQ234" s="82">
        <f>+BP234</f>
        <v>58.91737896873309</v>
      </c>
      <c r="BR234" s="220"/>
      <c r="BS234" s="220"/>
      <c r="BT234" s="220"/>
      <c r="BU234" s="220"/>
      <c r="BV234" s="220"/>
      <c r="BW234" s="220"/>
      <c r="BX234" s="220"/>
      <c r="BY234" s="220"/>
      <c r="BZ234" s="220"/>
      <c r="CA234" s="220"/>
      <c r="CB234" s="220"/>
      <c r="CC234" s="220"/>
      <c r="CD234" s="220"/>
      <c r="CE234" s="220"/>
      <c r="CF234" s="220"/>
      <c r="CG234" s="220"/>
      <c r="CH234" s="220"/>
      <c r="CI234" s="220"/>
      <c r="CJ234" s="220"/>
      <c r="CK234" s="220"/>
      <c r="CL234" s="220"/>
      <c r="CM234" s="220"/>
      <c r="CN234" s="220"/>
      <c r="CO234" s="220"/>
      <c r="CP234" s="220"/>
      <c r="CQ234" s="220"/>
      <c r="CR234" s="220"/>
      <c r="CS234" s="220"/>
      <c r="CT234" s="220"/>
      <c r="CU234" s="220"/>
      <c r="CV234" s="220"/>
      <c r="CW234" s="220"/>
      <c r="CX234" s="220"/>
      <c r="CY234" s="220"/>
      <c r="CZ234" s="220"/>
    </row>
    <row r="235" spans="1:134" x14ac:dyDescent="0.2">
      <c r="A235" s="220"/>
      <c r="B235" s="220"/>
      <c r="C235" s="70" t="s">
        <v>299</v>
      </c>
      <c r="D235" s="82"/>
      <c r="E235" s="114">
        <f>2712.957+250.064</f>
        <v>2963.0209999999997</v>
      </c>
      <c r="F235" s="115">
        <f>250.043+2713.225</f>
        <v>2963.268</v>
      </c>
      <c r="G235" s="115">
        <f>175.048+2538.48</f>
        <v>2713.5280000000002</v>
      </c>
      <c r="H235" s="116">
        <f>+I235</f>
        <v>3013.1779999999999</v>
      </c>
      <c r="I235" s="117">
        <f>2838.141+175.037</f>
        <v>3013.1779999999999</v>
      </c>
      <c r="J235" s="114">
        <f>2838.369+175.023</f>
        <v>3013.3920000000003</v>
      </c>
      <c r="K235" s="115">
        <f>175.027+2838.597</f>
        <v>3013.6240000000003</v>
      </c>
      <c r="L235" s="115">
        <f>0.024+3337.638</f>
        <v>3337.6619999999998</v>
      </c>
      <c r="M235" s="116">
        <f>+N235</f>
        <v>3337.9119999999998</v>
      </c>
      <c r="N235" s="117">
        <f>3337.893+0.019</f>
        <v>3337.9119999999998</v>
      </c>
      <c r="O235" s="114">
        <f>0.005+3338.136</f>
        <v>3338.1410000000001</v>
      </c>
      <c r="P235" s="115">
        <f>0.005+3338.388</f>
        <v>3338.393</v>
      </c>
      <c r="Q235" s="115">
        <f>2888.643+450.005</f>
        <v>3338.6480000000001</v>
      </c>
      <c r="R235" s="116">
        <f>+S235</f>
        <v>3338.8969999999999</v>
      </c>
      <c r="S235" s="117">
        <f>2888.897+450</f>
        <v>3338.8969999999999</v>
      </c>
      <c r="T235" s="114">
        <f>2889.144+450.005</f>
        <v>3339.1489999999999</v>
      </c>
      <c r="U235" s="115">
        <f>2889.396+450.005</f>
        <v>3339.4010000000003</v>
      </c>
      <c r="V235" s="115">
        <f>3488.456+0.005</f>
        <v>3488.4610000000002</v>
      </c>
      <c r="W235" s="116">
        <f>+X235</f>
        <v>3488.64</v>
      </c>
      <c r="X235" s="117">
        <f>0.002+3488.638</f>
        <v>3488.64</v>
      </c>
      <c r="Y235" s="114">
        <f>0.006+3488.867</f>
        <v>3488.873</v>
      </c>
      <c r="Z235" s="115">
        <f>0.009+3888.328</f>
        <v>3888.337</v>
      </c>
      <c r="AA235" s="115">
        <f>0.014+3888.526</f>
        <v>3888.54</v>
      </c>
      <c r="AB235" s="116">
        <f>+AC235</f>
        <v>3888.732</v>
      </c>
      <c r="AC235" s="117">
        <f>0.002+3888.73</f>
        <v>3888.732</v>
      </c>
      <c r="AD235" s="114">
        <f>0.014+3888.916</f>
        <v>3888.9300000000003</v>
      </c>
      <c r="AE235" s="115">
        <f>0.013+4188.248</f>
        <v>4188.2609999999995</v>
      </c>
      <c r="AF235" s="115">
        <f>250.013+3938.458</f>
        <v>4188.4710000000005</v>
      </c>
      <c r="AG235" s="116">
        <f>+AH235</f>
        <v>4188.6819999999998</v>
      </c>
      <c r="AH235" s="117">
        <f>250.013+3938.669</f>
        <v>4188.6819999999998</v>
      </c>
      <c r="AI235" s="114">
        <f>3938.875+250.013</f>
        <v>4188.8879999999999</v>
      </c>
      <c r="AJ235" s="115">
        <f>250.011+3939.072</f>
        <v>4189.0830000000005</v>
      </c>
      <c r="AK235" s="115">
        <f>0.011+4533.857</f>
        <v>4533.8680000000004</v>
      </c>
      <c r="AL235" s="116">
        <f>+AM235</f>
        <v>4534.1220000000003</v>
      </c>
      <c r="AM235" s="117">
        <f>0.011+4534.111</f>
        <v>4534.1220000000003</v>
      </c>
      <c r="AN235" s="114">
        <f>0.11+4497.432</f>
        <v>4497.5419999999995</v>
      </c>
      <c r="AO235" s="115">
        <f>0.01+4841.577</f>
        <v>4841.5870000000004</v>
      </c>
      <c r="AP235" s="115">
        <f>0.01+4842.126</f>
        <v>4842.1360000000004</v>
      </c>
      <c r="AQ235" s="116">
        <f>+AR235</f>
        <v>4843.165</v>
      </c>
      <c r="AR235" s="117">
        <f>0.01+4843.155</f>
        <v>4843.165</v>
      </c>
      <c r="AS235" s="114">
        <f>500.004+4344.223</f>
        <v>4844.2269999999999</v>
      </c>
      <c r="AT235" s="115">
        <f>500.007+4345.325</f>
        <v>4845.3319999999994</v>
      </c>
      <c r="AU235" s="115">
        <f>4932.97+0.007</f>
        <v>4932.9769999999999</v>
      </c>
      <c r="AV235" s="116">
        <f>+AW235</f>
        <v>4933.018</v>
      </c>
      <c r="AW235" s="117">
        <f>4933.011+0.007</f>
        <v>4933.018</v>
      </c>
      <c r="AX235" s="136">
        <f>+AW235+AX218+AX219</f>
        <v>5233.018</v>
      </c>
      <c r="AY235" s="135">
        <f>+AX235+AY218+AY219</f>
        <v>5233.018</v>
      </c>
      <c r="AZ235" s="135">
        <f>+AY235+AZ218+AZ219</f>
        <v>5233.018</v>
      </c>
      <c r="BA235" s="116">
        <f>+AZ235+BA218+BA219</f>
        <v>5233.018</v>
      </c>
      <c r="BB235" s="82">
        <f>+BA235</f>
        <v>5233.018</v>
      </c>
      <c r="BC235" s="136">
        <f>+BB235+BC218+BC219</f>
        <v>5233.018</v>
      </c>
      <c r="BD235" s="135">
        <f>+BC235+BD218+BD219</f>
        <v>5233.018</v>
      </c>
      <c r="BE235" s="135">
        <f>+BD235+BE218+BE219</f>
        <v>5433.018</v>
      </c>
      <c r="BF235" s="116">
        <f>+BE235+BF218+BF219</f>
        <v>5433.018</v>
      </c>
      <c r="BG235" s="82">
        <f>+BF235</f>
        <v>5433.018</v>
      </c>
      <c r="BH235" s="136">
        <f>+BG235+BH218+BH219</f>
        <v>5433.018</v>
      </c>
      <c r="BI235" s="135">
        <f>+BH235+BI218+BI219</f>
        <v>5433.018</v>
      </c>
      <c r="BJ235" s="135">
        <f>+BI235+BJ218+BJ219</f>
        <v>5683.018</v>
      </c>
      <c r="BK235" s="116">
        <f>+BJ235+BK218+BK219</f>
        <v>5683.018</v>
      </c>
      <c r="BL235" s="82">
        <f>+BK235</f>
        <v>5683.018</v>
      </c>
      <c r="BM235" s="136">
        <f>+BL235+BM218+BM219</f>
        <v>5683.018</v>
      </c>
      <c r="BN235" s="135">
        <f>+BM235+BN218+BN219</f>
        <v>5683.018</v>
      </c>
      <c r="BO235" s="135">
        <f>+BN235+BO218+BO219</f>
        <v>6233.018</v>
      </c>
      <c r="BP235" s="116">
        <f>+BO235+BP218+BP219</f>
        <v>6233.018</v>
      </c>
      <c r="BQ235" s="82">
        <f>+BP235</f>
        <v>6233.018</v>
      </c>
      <c r="BR235" s="220"/>
      <c r="BS235" s="220"/>
      <c r="BT235" s="220"/>
      <c r="BU235" s="220"/>
      <c r="BV235" s="220"/>
      <c r="BW235" s="220"/>
      <c r="BX235" s="220"/>
      <c r="BY235" s="220"/>
      <c r="BZ235" s="220"/>
      <c r="CA235" s="220"/>
      <c r="CB235" s="220"/>
      <c r="CC235" s="220"/>
      <c r="CD235" s="220"/>
      <c r="CE235" s="220"/>
      <c r="CF235" s="220"/>
      <c r="CG235" s="220"/>
      <c r="CH235" s="220"/>
      <c r="CI235" s="220"/>
      <c r="CJ235" s="220"/>
      <c r="CK235" s="220"/>
      <c r="CL235" s="220"/>
      <c r="CM235" s="220"/>
      <c r="CN235" s="220"/>
      <c r="CO235" s="220"/>
      <c r="CP235" s="220"/>
      <c r="CQ235" s="220"/>
      <c r="CR235" s="220"/>
      <c r="CS235" s="220"/>
      <c r="CT235" s="220"/>
      <c r="CU235" s="220"/>
      <c r="CV235" s="220"/>
      <c r="CW235" s="220"/>
      <c r="CX235" s="220"/>
      <c r="CY235" s="220"/>
      <c r="CZ235" s="220"/>
    </row>
    <row r="236" spans="1:134" x14ac:dyDescent="0.2">
      <c r="A236" s="220"/>
      <c r="B236" s="220"/>
      <c r="C236" s="141" t="s">
        <v>48</v>
      </c>
      <c r="D236" s="82"/>
      <c r="E236" s="121">
        <f>SUM(E234:E235)</f>
        <v>2963.0209999999997</v>
      </c>
      <c r="F236" s="122">
        <f>SUM(F234:F235)</f>
        <v>2963.268</v>
      </c>
      <c r="G236" s="122">
        <f>SUM(G234:G235)</f>
        <v>2835.5280000000002</v>
      </c>
      <c r="H236" s="123">
        <f>+I236</f>
        <v>3013.1779999999999</v>
      </c>
      <c r="I236" s="86">
        <f>SUM(I234:I235)</f>
        <v>3013.1779999999999</v>
      </c>
      <c r="J236" s="121">
        <f>SUM(J234:J235)</f>
        <v>3013.3920000000003</v>
      </c>
      <c r="K236" s="122">
        <f>SUM(K234:K235)</f>
        <v>3058.6240000000003</v>
      </c>
      <c r="L236" s="122">
        <f>SUM(L234:L235)</f>
        <v>3337.6619999999998</v>
      </c>
      <c r="M236" s="123">
        <f>+N236</f>
        <v>3337.9119999999998</v>
      </c>
      <c r="N236" s="86">
        <f>SUM(N234:N235)</f>
        <v>3337.9119999999998</v>
      </c>
      <c r="O236" s="121">
        <f>SUM(O234:O235)</f>
        <v>3346.1410000000001</v>
      </c>
      <c r="P236" s="122">
        <f>SUM(P234:P235)</f>
        <v>3343.393</v>
      </c>
      <c r="Q236" s="122">
        <f>SUM(Q234:Q235)</f>
        <v>3338.6480000000001</v>
      </c>
      <c r="R236" s="123">
        <f>+S236</f>
        <v>3429.8969999999999</v>
      </c>
      <c r="S236" s="86">
        <f>SUM(S234:S235)</f>
        <v>3429.8969999999999</v>
      </c>
      <c r="T236" s="121">
        <f>SUM(T234:T235)</f>
        <v>3408.1489999999999</v>
      </c>
      <c r="U236" s="122">
        <f>SUM(U234:U235)</f>
        <v>3484.4010000000003</v>
      </c>
      <c r="V236" s="122">
        <f>SUM(V234:V235)</f>
        <v>3608.4610000000002</v>
      </c>
      <c r="W236" s="123">
        <f>+X236</f>
        <v>3709.64</v>
      </c>
      <c r="X236" s="86">
        <f>SUM(X234:X235)</f>
        <v>3709.64</v>
      </c>
      <c r="Y236" s="121">
        <f>SUM(Y234:Y235)</f>
        <v>3713.873</v>
      </c>
      <c r="Z236" s="122">
        <f>SUM(Z234:Z235)</f>
        <v>3933.337</v>
      </c>
      <c r="AA236" s="122">
        <f>SUM(AA234:AA235)</f>
        <v>3976.54</v>
      </c>
      <c r="AB236" s="123">
        <f>+AC236</f>
        <v>4053.732</v>
      </c>
      <c r="AC236" s="86">
        <f>SUM(AC234:AC235)</f>
        <v>4053.732</v>
      </c>
      <c r="AD236" s="121">
        <f>SUM(AD234:AD235)</f>
        <v>4168.93</v>
      </c>
      <c r="AE236" s="122">
        <f>SUM(AE234:AE235)</f>
        <v>4215.2609999999995</v>
      </c>
      <c r="AF236" s="122">
        <f>SUM(AF234:AF235)</f>
        <v>4188.4710000000005</v>
      </c>
      <c r="AG236" s="123">
        <f>+AH236</f>
        <v>4330.6819999999998</v>
      </c>
      <c r="AH236" s="86">
        <f>SUM(AH234:AH235)</f>
        <v>4330.6819999999998</v>
      </c>
      <c r="AI236" s="121">
        <f>SUM(AI234:AI235)</f>
        <v>4264.8879999999999</v>
      </c>
      <c r="AJ236" s="122">
        <f>SUM(AJ234:AJ235)</f>
        <v>4306.0830000000005</v>
      </c>
      <c r="AK236" s="122">
        <f>SUM(AK234:AK235)</f>
        <v>4533.8680000000004</v>
      </c>
      <c r="AL236" s="123">
        <f>+AM236</f>
        <v>4767.1220000000003</v>
      </c>
      <c r="AM236" s="86">
        <f>SUM(AM234:AM235)</f>
        <v>4767.1220000000003</v>
      </c>
      <c r="AN236" s="121">
        <f>SUM(AN234:AN235)</f>
        <v>4570.5419999999995</v>
      </c>
      <c r="AO236" s="122">
        <f>SUM(AO234:AO235)</f>
        <v>4841.5870000000004</v>
      </c>
      <c r="AP236" s="122">
        <f>SUM(AP234:AP235)</f>
        <v>4842.1360000000004</v>
      </c>
      <c r="AQ236" s="123">
        <f>+AR236</f>
        <v>4928.165</v>
      </c>
      <c r="AR236" s="86">
        <f t="shared" ref="AR236:AU236" si="546">SUM(AR234:AR235)</f>
        <v>4928.165</v>
      </c>
      <c r="AS236" s="121">
        <f>SUM(AS234:AS235)</f>
        <v>4883.2269999999999</v>
      </c>
      <c r="AT236" s="122">
        <f>SUM(AT234:AT235)</f>
        <v>4928.3319999999994</v>
      </c>
      <c r="AU236" s="122">
        <f t="shared" si="546"/>
        <v>4932.9769999999999</v>
      </c>
      <c r="AV236" s="123">
        <f>+AW236</f>
        <v>5038.018</v>
      </c>
      <c r="AW236" s="86">
        <f t="shared" ref="AW236" si="547">SUM(AW234:AW235)</f>
        <v>5038.018</v>
      </c>
      <c r="AX236" s="121">
        <f t="shared" ref="AX236:BG236" si="548">SUM(AX234:AX235)</f>
        <v>5233.018</v>
      </c>
      <c r="AY236" s="122">
        <f t="shared" si="548"/>
        <v>5233.018</v>
      </c>
      <c r="AZ236" s="122">
        <f t="shared" si="548"/>
        <v>5233.018</v>
      </c>
      <c r="BA236" s="123">
        <f t="shared" si="548"/>
        <v>5233.018</v>
      </c>
      <c r="BB236" s="86">
        <f t="shared" si="548"/>
        <v>5233.018</v>
      </c>
      <c r="BC236" s="121">
        <f t="shared" si="548"/>
        <v>5361.0250906698457</v>
      </c>
      <c r="BD236" s="122">
        <f t="shared" si="548"/>
        <v>5510.9085385406916</v>
      </c>
      <c r="BE236" s="122">
        <f t="shared" si="548"/>
        <v>5504.1711245964316</v>
      </c>
      <c r="BF236" s="123">
        <f t="shared" si="548"/>
        <v>5635.9369020922604</v>
      </c>
      <c r="BG236" s="86">
        <f t="shared" si="548"/>
        <v>5635.9369020922604</v>
      </c>
      <c r="BH236" s="121">
        <f t="shared" ref="BH236:BQ236" si="549">SUM(BH234:BH235)</f>
        <v>5741.3486355065324</v>
      </c>
      <c r="BI236" s="122">
        <f t="shared" si="549"/>
        <v>5862.0809062950029</v>
      </c>
      <c r="BJ236" s="122">
        <f t="shared" si="549"/>
        <v>5822.618692202278</v>
      </c>
      <c r="BK236" s="123">
        <f t="shared" si="549"/>
        <v>5928.384512434206</v>
      </c>
      <c r="BL236" s="86">
        <f t="shared" si="549"/>
        <v>5928.384512434206</v>
      </c>
      <c r="BM236" s="121">
        <f t="shared" si="549"/>
        <v>6052.9835816657769</v>
      </c>
      <c r="BN236" s="122">
        <f t="shared" si="549"/>
        <v>6191.5259003430183</v>
      </c>
      <c r="BO236" s="122">
        <f t="shared" si="549"/>
        <v>6233.018</v>
      </c>
      <c r="BP236" s="123">
        <f t="shared" si="549"/>
        <v>6291.9353789687329</v>
      </c>
      <c r="BQ236" s="86">
        <f t="shared" si="549"/>
        <v>6291.9353789687329</v>
      </c>
      <c r="BR236" s="220"/>
      <c r="BS236" s="220"/>
      <c r="BT236" s="220"/>
      <c r="BU236" s="220"/>
      <c r="BV236" s="220"/>
      <c r="BW236" s="220"/>
      <c r="BX236" s="220"/>
      <c r="BY236" s="220"/>
      <c r="BZ236" s="220"/>
      <c r="CA236" s="220"/>
      <c r="CB236" s="220"/>
      <c r="CC236" s="220"/>
      <c r="CD236" s="220"/>
      <c r="CE236" s="220"/>
      <c r="CF236" s="220"/>
      <c r="CG236" s="220"/>
      <c r="CH236" s="220"/>
      <c r="CI236" s="220"/>
      <c r="CJ236" s="220"/>
      <c r="CK236" s="220"/>
      <c r="CL236" s="220"/>
      <c r="CM236" s="220"/>
      <c r="CN236" s="220"/>
      <c r="CO236" s="220"/>
      <c r="CP236" s="220"/>
      <c r="CQ236" s="220"/>
      <c r="CR236" s="220"/>
      <c r="CS236" s="220"/>
      <c r="CT236" s="220"/>
      <c r="CU236" s="220"/>
      <c r="CV236" s="220"/>
      <c r="CW236" s="220"/>
      <c r="CX236" s="220"/>
      <c r="CY236" s="220"/>
      <c r="CZ236" s="220"/>
    </row>
    <row r="237" spans="1:134" x14ac:dyDescent="0.2">
      <c r="A237" s="45"/>
      <c r="B237" s="45"/>
      <c r="C237" s="248" t="s">
        <v>234</v>
      </c>
      <c r="D237" s="45"/>
      <c r="E237" s="249">
        <f t="shared" ref="E237:AA237" si="550">+E236/E245</f>
        <v>0.48036219344500741</v>
      </c>
      <c r="F237" s="250">
        <f t="shared" si="550"/>
        <v>0.479942314952649</v>
      </c>
      <c r="G237" s="250">
        <f t="shared" si="550"/>
        <v>0.46678247081630081</v>
      </c>
      <c r="H237" s="251">
        <f t="shared" si="550"/>
        <v>0.48177031577994772</v>
      </c>
      <c r="I237" s="252">
        <f t="shared" si="550"/>
        <v>0.48177031577994772</v>
      </c>
      <c r="J237" s="249">
        <f t="shared" si="550"/>
        <v>0.47745139715984275</v>
      </c>
      <c r="K237" s="250">
        <f t="shared" si="550"/>
        <v>0.47029214898423483</v>
      </c>
      <c r="L237" s="250">
        <f t="shared" si="550"/>
        <v>0.48837289949488233</v>
      </c>
      <c r="M237" s="251">
        <f t="shared" si="550"/>
        <v>0.48842148637102778</v>
      </c>
      <c r="N237" s="252">
        <f t="shared" si="550"/>
        <v>0.48842148637102778</v>
      </c>
      <c r="O237" s="249">
        <f t="shared" si="550"/>
        <v>0.477881352458636</v>
      </c>
      <c r="P237" s="250">
        <f t="shared" si="550"/>
        <v>0.47720299710486158</v>
      </c>
      <c r="Q237" s="250">
        <f t="shared" si="550"/>
        <v>0.47208801700431335</v>
      </c>
      <c r="R237" s="251">
        <f t="shared" si="550"/>
        <v>0.47939255924065294</v>
      </c>
      <c r="S237" s="252">
        <f>+S236/S245</f>
        <v>0.47939255924065294</v>
      </c>
      <c r="T237" s="249">
        <f t="shared" si="550"/>
        <v>0.46916335641971324</v>
      </c>
      <c r="U237" s="250">
        <f t="shared" si="550"/>
        <v>0.47248434431629049</v>
      </c>
      <c r="V237" s="250">
        <f t="shared" si="550"/>
        <v>0.47664594552004108</v>
      </c>
      <c r="W237" s="251">
        <f>+W236/W245</f>
        <v>0.4789098489299457</v>
      </c>
      <c r="X237" s="252">
        <f>+X236/X245</f>
        <v>0.4789098489299457</v>
      </c>
      <c r="Y237" s="249">
        <f>+Y236/Y245</f>
        <v>0.46929624763716926</v>
      </c>
      <c r="Z237" s="250">
        <f t="shared" si="550"/>
        <v>0.48251407426817</v>
      </c>
      <c r="AA237" s="250">
        <f t="shared" si="550"/>
        <v>0.48015621794538199</v>
      </c>
      <c r="AB237" s="251">
        <f t="shared" ref="AB237:AJ237" si="551">+AB236/AB245</f>
        <v>0.47498033282691976</v>
      </c>
      <c r="AC237" s="252">
        <f t="shared" si="551"/>
        <v>0.47498033282691976</v>
      </c>
      <c r="AD237" s="249">
        <f t="shared" si="551"/>
        <v>0.47408796805032394</v>
      </c>
      <c r="AE237" s="250">
        <f t="shared" si="551"/>
        <v>0.47675087085058732</v>
      </c>
      <c r="AF237" s="250">
        <f t="shared" si="551"/>
        <v>0.47155204800913814</v>
      </c>
      <c r="AG237" s="251">
        <f t="shared" si="551"/>
        <v>0.47938360755181481</v>
      </c>
      <c r="AH237" s="252">
        <f t="shared" si="551"/>
        <v>0.47938360755181481</v>
      </c>
      <c r="AI237" s="249">
        <f t="shared" si="551"/>
        <v>0.47413205430305311</v>
      </c>
      <c r="AJ237" s="250">
        <f t="shared" si="551"/>
        <v>0.47341677518798603</v>
      </c>
      <c r="AK237" s="250">
        <f t="shared" ref="AK237:AP237" si="552">+AK236/AK245</f>
        <v>0.48052512941912634</v>
      </c>
      <c r="AL237" s="251">
        <f t="shared" si="552"/>
        <v>0.47987037087181872</v>
      </c>
      <c r="AM237" s="252">
        <f t="shared" si="552"/>
        <v>0.47987037087181872</v>
      </c>
      <c r="AN237" s="249">
        <f t="shared" si="552"/>
        <v>0.46518327777919133</v>
      </c>
      <c r="AO237" s="250">
        <f t="shared" si="552"/>
        <v>0.47931820920074442</v>
      </c>
      <c r="AP237" s="250">
        <f t="shared" si="552"/>
        <v>0.47711973605239932</v>
      </c>
      <c r="AQ237" s="251">
        <f t="shared" ref="AQ237:AU237" si="553">+AQ236/AQ245</f>
        <v>0.47921941582697491</v>
      </c>
      <c r="AR237" s="252">
        <f t="shared" si="553"/>
        <v>0.47921941582697491</v>
      </c>
      <c r="AS237" s="249">
        <f t="shared" si="553"/>
        <v>0.47375414418589629</v>
      </c>
      <c r="AT237" s="250">
        <f t="shared" si="553"/>
        <v>0.47450373747615476</v>
      </c>
      <c r="AU237" s="250">
        <f t="shared" si="553"/>
        <v>0.47552857614242822</v>
      </c>
      <c r="AV237" s="251">
        <f t="shared" ref="AV237:AW237" si="554">+AV236/AV245</f>
        <v>0.47919111914980883</v>
      </c>
      <c r="AW237" s="252">
        <f t="shared" si="554"/>
        <v>0.47919111914980883</v>
      </c>
      <c r="AX237" s="249">
        <f t="shared" ref="AX237:BG237" si="555">+AX236/AX245</f>
        <v>0.48678680864090651</v>
      </c>
      <c r="AY237" s="250">
        <f t="shared" si="555"/>
        <v>0.48557636350254407</v>
      </c>
      <c r="AZ237" s="250">
        <f t="shared" si="555"/>
        <v>0.4791901115613208</v>
      </c>
      <c r="BA237" s="251">
        <f t="shared" si="555"/>
        <v>0.47745871907071968</v>
      </c>
      <c r="BB237" s="252">
        <f t="shared" si="555"/>
        <v>0.47745871907071968</v>
      </c>
      <c r="BC237" s="249">
        <f t="shared" si="555"/>
        <v>0.47822929955934496</v>
      </c>
      <c r="BD237" s="250">
        <f t="shared" si="555"/>
        <v>0.48053529699580882</v>
      </c>
      <c r="BE237" s="250">
        <f t="shared" si="555"/>
        <v>0.47090414917376067</v>
      </c>
      <c r="BF237" s="251">
        <f t="shared" si="555"/>
        <v>0.47218371008548865</v>
      </c>
      <c r="BG237" s="252">
        <f t="shared" si="555"/>
        <v>0.47218371008548865</v>
      </c>
      <c r="BH237" s="249">
        <f t="shared" ref="BH237:BQ237" si="556">+BH236/BH245</f>
        <v>0.47594773992279743</v>
      </c>
      <c r="BI237" s="250">
        <f t="shared" si="556"/>
        <v>0.48093295811956333</v>
      </c>
      <c r="BJ237" s="250">
        <f t="shared" si="556"/>
        <v>0.47423626863071938</v>
      </c>
      <c r="BK237" s="251">
        <f t="shared" si="556"/>
        <v>0.47821316123361973</v>
      </c>
      <c r="BL237" s="252">
        <f t="shared" si="556"/>
        <v>0.47821316123361973</v>
      </c>
      <c r="BM237" s="249">
        <f t="shared" si="556"/>
        <v>0.48245656463356212</v>
      </c>
      <c r="BN237" s="250">
        <f t="shared" si="556"/>
        <v>0.4876335201659498</v>
      </c>
      <c r="BO237" s="250">
        <f t="shared" si="556"/>
        <v>0.48407335946859037</v>
      </c>
      <c r="BP237" s="251">
        <f t="shared" si="556"/>
        <v>0.48572681316026156</v>
      </c>
      <c r="BQ237" s="252">
        <f t="shared" si="556"/>
        <v>0.48572681316026156</v>
      </c>
      <c r="BR237" s="45"/>
      <c r="BS237" s="45"/>
      <c r="BT237" s="45"/>
      <c r="BU237" s="45"/>
      <c r="BV237" s="45"/>
      <c r="BW237" s="45"/>
      <c r="BX237" s="45"/>
      <c r="BY237" s="45"/>
      <c r="BZ237" s="45"/>
      <c r="CA237" s="45"/>
      <c r="CB237" s="45"/>
      <c r="CC237" s="45"/>
      <c r="CD237" s="45"/>
      <c r="CE237" s="45"/>
      <c r="CF237" s="45"/>
      <c r="CG237" s="45"/>
      <c r="CH237" s="45"/>
      <c r="CI237" s="45"/>
      <c r="CJ237" s="45"/>
      <c r="CK237" s="45"/>
      <c r="CL237" s="45"/>
      <c r="CM237" s="45"/>
      <c r="CN237" s="45"/>
      <c r="CO237" s="45"/>
      <c r="CP237" s="45"/>
      <c r="CQ237" s="45"/>
      <c r="CR237" s="45"/>
      <c r="CS237" s="45"/>
      <c r="CT237" s="45"/>
      <c r="CU237" s="45"/>
      <c r="CV237" s="45"/>
      <c r="CW237" s="45"/>
      <c r="CX237" s="45"/>
      <c r="CY237" s="45"/>
      <c r="CZ237" s="45"/>
    </row>
    <row r="238" spans="1:134" x14ac:dyDescent="0.2">
      <c r="A238" s="289"/>
      <c r="B238" s="289"/>
      <c r="C238" s="355"/>
      <c r="D238" s="289"/>
      <c r="E238" s="291"/>
      <c r="F238" s="292"/>
      <c r="G238" s="292"/>
      <c r="H238" s="293"/>
      <c r="I238" s="289"/>
      <c r="J238" s="291"/>
      <c r="K238" s="292"/>
      <c r="L238" s="292"/>
      <c r="M238" s="293"/>
      <c r="N238" s="289"/>
      <c r="O238" s="291"/>
      <c r="P238" s="292"/>
      <c r="Q238" s="292"/>
      <c r="R238" s="293"/>
      <c r="S238" s="289"/>
      <c r="T238" s="291"/>
      <c r="U238" s="292"/>
      <c r="V238" s="292"/>
      <c r="W238" s="293"/>
      <c r="X238" s="289"/>
      <c r="Y238" s="291"/>
      <c r="Z238" s="292"/>
      <c r="AA238" s="292"/>
      <c r="AB238" s="293"/>
      <c r="AC238" s="289"/>
      <c r="AD238" s="291"/>
      <c r="AE238" s="292"/>
      <c r="AF238" s="292"/>
      <c r="AG238" s="293"/>
      <c r="AH238" s="289"/>
      <c r="AI238" s="291"/>
      <c r="AJ238" s="292"/>
      <c r="AK238" s="292"/>
      <c r="AL238" s="293"/>
      <c r="AM238" s="289"/>
      <c r="AN238" s="291"/>
      <c r="AO238" s="292"/>
      <c r="AP238" s="292"/>
      <c r="AQ238" s="293"/>
      <c r="AR238" s="289"/>
      <c r="AS238" s="291"/>
      <c r="AT238" s="292"/>
      <c r="AU238" s="292"/>
      <c r="AV238" s="293"/>
      <c r="AW238" s="289"/>
      <c r="AX238" s="291"/>
      <c r="AY238" s="292"/>
      <c r="AZ238" s="292"/>
      <c r="BA238" s="293"/>
      <c r="BB238" s="289"/>
      <c r="BC238" s="291"/>
      <c r="BD238" s="292"/>
      <c r="BE238" s="292"/>
      <c r="BF238" s="293"/>
      <c r="BG238" s="289"/>
      <c r="BH238" s="291"/>
      <c r="BI238" s="292"/>
      <c r="BJ238" s="292"/>
      <c r="BK238" s="293"/>
      <c r="BL238" s="289"/>
      <c r="BM238" s="291"/>
      <c r="BN238" s="292"/>
      <c r="BO238" s="292"/>
      <c r="BP238" s="293"/>
      <c r="BQ238" s="289"/>
      <c r="BR238" s="289"/>
      <c r="BS238" s="289"/>
      <c r="BT238" s="289"/>
      <c r="BU238" s="289"/>
      <c r="BV238" s="289"/>
      <c r="BW238" s="289"/>
      <c r="BX238" s="289"/>
      <c r="BY238" s="289"/>
      <c r="BZ238" s="289"/>
      <c r="CA238" s="289"/>
      <c r="CB238" s="289"/>
      <c r="CC238" s="289"/>
      <c r="CD238" s="289"/>
      <c r="CE238" s="289"/>
      <c r="CF238" s="289"/>
      <c r="CG238" s="289"/>
      <c r="CH238" s="289"/>
      <c r="CI238" s="289"/>
      <c r="CJ238" s="289"/>
      <c r="CK238" s="289"/>
      <c r="CL238" s="289"/>
      <c r="CM238" s="289"/>
      <c r="CN238" s="289"/>
      <c r="CO238" s="289"/>
      <c r="CP238" s="289"/>
      <c r="CQ238" s="289"/>
      <c r="CR238" s="289"/>
      <c r="CS238" s="289"/>
      <c r="CT238" s="289"/>
      <c r="CU238" s="289"/>
      <c r="CV238" s="289"/>
      <c r="CW238" s="289"/>
      <c r="CX238" s="289"/>
      <c r="CY238" s="289"/>
      <c r="CZ238" s="289"/>
    </row>
    <row r="239" spans="1:134" x14ac:dyDescent="0.2">
      <c r="A239" s="220"/>
      <c r="B239" s="220"/>
      <c r="C239" s="141" t="s">
        <v>235</v>
      </c>
      <c r="D239" s="82"/>
      <c r="E239" s="235">
        <v>0</v>
      </c>
      <c r="F239" s="236">
        <v>0</v>
      </c>
      <c r="G239" s="236">
        <v>0</v>
      </c>
      <c r="H239" s="119">
        <f>I239</f>
        <v>0</v>
      </c>
      <c r="I239" s="237">
        <v>0</v>
      </c>
      <c r="J239" s="235">
        <v>0</v>
      </c>
      <c r="K239" s="236">
        <v>0</v>
      </c>
      <c r="L239" s="236">
        <v>0</v>
      </c>
      <c r="M239" s="119">
        <f>N239</f>
        <v>0</v>
      </c>
      <c r="N239" s="237">
        <v>0</v>
      </c>
      <c r="O239" s="235">
        <v>0</v>
      </c>
      <c r="P239" s="236">
        <v>0</v>
      </c>
      <c r="Q239" s="236">
        <v>0</v>
      </c>
      <c r="R239" s="119">
        <f>S239</f>
        <v>0</v>
      </c>
      <c r="S239" s="237">
        <v>0</v>
      </c>
      <c r="T239" s="235">
        <v>0</v>
      </c>
      <c r="U239" s="236">
        <v>0</v>
      </c>
      <c r="V239" s="236">
        <v>0</v>
      </c>
      <c r="W239" s="119">
        <f>X239</f>
        <v>0</v>
      </c>
      <c r="X239" s="237">
        <v>0</v>
      </c>
      <c r="Y239" s="235">
        <v>0</v>
      </c>
      <c r="Z239" s="236">
        <v>0</v>
      </c>
      <c r="AA239" s="236">
        <v>0</v>
      </c>
      <c r="AB239" s="119">
        <f>AC239</f>
        <v>0</v>
      </c>
      <c r="AC239" s="237">
        <v>0</v>
      </c>
      <c r="AD239" s="235">
        <v>0</v>
      </c>
      <c r="AE239" s="236">
        <v>0</v>
      </c>
      <c r="AF239" s="236">
        <v>0</v>
      </c>
      <c r="AG239" s="119">
        <f>AH239</f>
        <v>0</v>
      </c>
      <c r="AH239" s="237">
        <v>0</v>
      </c>
      <c r="AI239" s="235">
        <v>0</v>
      </c>
      <c r="AJ239" s="236">
        <v>0</v>
      </c>
      <c r="AK239" s="236">
        <v>0</v>
      </c>
      <c r="AL239" s="119">
        <f>AM239</f>
        <v>0</v>
      </c>
      <c r="AM239" s="237">
        <v>0</v>
      </c>
      <c r="AN239" s="235">
        <v>0</v>
      </c>
      <c r="AO239" s="236">
        <v>0</v>
      </c>
      <c r="AP239" s="236">
        <v>0</v>
      </c>
      <c r="AQ239" s="119">
        <f>AR239</f>
        <v>0</v>
      </c>
      <c r="AR239" s="237">
        <v>0</v>
      </c>
      <c r="AS239" s="235">
        <v>0</v>
      </c>
      <c r="AT239" s="236">
        <v>0</v>
      </c>
      <c r="AU239" s="236">
        <v>0</v>
      </c>
      <c r="AV239" s="119">
        <f>AW239</f>
        <v>0</v>
      </c>
      <c r="AW239" s="237">
        <v>0</v>
      </c>
      <c r="AX239" s="121">
        <f t="shared" ref="AX239:BG239" si="557">+AW239</f>
        <v>0</v>
      </c>
      <c r="AY239" s="122">
        <f t="shared" si="557"/>
        <v>0</v>
      </c>
      <c r="AZ239" s="122">
        <f t="shared" si="557"/>
        <v>0</v>
      </c>
      <c r="BA239" s="123">
        <f t="shared" si="557"/>
        <v>0</v>
      </c>
      <c r="BB239" s="86">
        <f t="shared" si="557"/>
        <v>0</v>
      </c>
      <c r="BC239" s="121">
        <f t="shared" si="557"/>
        <v>0</v>
      </c>
      <c r="BD239" s="122">
        <f t="shared" si="557"/>
        <v>0</v>
      </c>
      <c r="BE239" s="122">
        <f t="shared" si="557"/>
        <v>0</v>
      </c>
      <c r="BF239" s="123">
        <f t="shared" si="557"/>
        <v>0</v>
      </c>
      <c r="BG239" s="86">
        <f t="shared" si="557"/>
        <v>0</v>
      </c>
      <c r="BH239" s="121">
        <f t="shared" ref="BH239:BQ239" si="558">+BG239</f>
        <v>0</v>
      </c>
      <c r="BI239" s="122">
        <f t="shared" si="558"/>
        <v>0</v>
      </c>
      <c r="BJ239" s="122">
        <f t="shared" si="558"/>
        <v>0</v>
      </c>
      <c r="BK239" s="123">
        <f t="shared" si="558"/>
        <v>0</v>
      </c>
      <c r="BL239" s="86">
        <f t="shared" si="558"/>
        <v>0</v>
      </c>
      <c r="BM239" s="121">
        <f t="shared" si="558"/>
        <v>0</v>
      </c>
      <c r="BN239" s="122">
        <f t="shared" si="558"/>
        <v>0</v>
      </c>
      <c r="BO239" s="122">
        <f t="shared" si="558"/>
        <v>0</v>
      </c>
      <c r="BP239" s="123">
        <f t="shared" si="558"/>
        <v>0</v>
      </c>
      <c r="BQ239" s="86">
        <f t="shared" si="558"/>
        <v>0</v>
      </c>
      <c r="BR239" s="220"/>
      <c r="BS239" s="220"/>
      <c r="BT239" s="220"/>
      <c r="BU239" s="220"/>
      <c r="BV239" s="220"/>
      <c r="BW239" s="220"/>
      <c r="BX239" s="220"/>
      <c r="BY239" s="220"/>
      <c r="BZ239" s="220"/>
      <c r="CA239" s="220"/>
      <c r="CB239" s="220"/>
      <c r="CC239" s="220"/>
      <c r="CD239" s="220"/>
      <c r="CE239" s="220"/>
      <c r="CF239" s="220"/>
      <c r="CG239" s="220"/>
      <c r="CH239" s="220"/>
      <c r="CI239" s="220"/>
      <c r="CJ239" s="220"/>
      <c r="CK239" s="220"/>
      <c r="CL239" s="220"/>
      <c r="CM239" s="220"/>
      <c r="CN239" s="220"/>
      <c r="CO239" s="220"/>
      <c r="CP239" s="220"/>
      <c r="CQ239" s="220"/>
      <c r="CR239" s="220"/>
      <c r="CS239" s="220"/>
      <c r="CT239" s="220"/>
      <c r="CU239" s="220"/>
      <c r="CV239" s="220"/>
      <c r="CW239" s="220"/>
      <c r="CX239" s="220"/>
      <c r="CY239" s="220"/>
      <c r="CZ239" s="220"/>
    </row>
    <row r="240" spans="1:134" x14ac:dyDescent="0.2">
      <c r="A240" s="45"/>
      <c r="B240" s="45"/>
      <c r="C240" s="248" t="s">
        <v>234</v>
      </c>
      <c r="D240" s="45"/>
      <c r="E240" s="249">
        <f t="shared" ref="E240:AA240" si="559">+E239/E245</f>
        <v>0</v>
      </c>
      <c r="F240" s="250">
        <f t="shared" si="559"/>
        <v>0</v>
      </c>
      <c r="G240" s="250">
        <f t="shared" si="559"/>
        <v>0</v>
      </c>
      <c r="H240" s="251">
        <f t="shared" si="559"/>
        <v>0</v>
      </c>
      <c r="I240" s="252">
        <f t="shared" si="559"/>
        <v>0</v>
      </c>
      <c r="J240" s="249">
        <f t="shared" si="559"/>
        <v>0</v>
      </c>
      <c r="K240" s="250">
        <f t="shared" si="559"/>
        <v>0</v>
      </c>
      <c r="L240" s="250">
        <f t="shared" si="559"/>
        <v>0</v>
      </c>
      <c r="M240" s="251">
        <f t="shared" si="559"/>
        <v>0</v>
      </c>
      <c r="N240" s="252">
        <f t="shared" si="559"/>
        <v>0</v>
      </c>
      <c r="O240" s="249">
        <f t="shared" si="559"/>
        <v>0</v>
      </c>
      <c r="P240" s="250">
        <f t="shared" si="559"/>
        <v>0</v>
      </c>
      <c r="Q240" s="250">
        <f t="shared" si="559"/>
        <v>0</v>
      </c>
      <c r="R240" s="251">
        <f t="shared" si="559"/>
        <v>0</v>
      </c>
      <c r="S240" s="252">
        <f t="shared" si="559"/>
        <v>0</v>
      </c>
      <c r="T240" s="249">
        <f t="shared" si="559"/>
        <v>0</v>
      </c>
      <c r="U240" s="250">
        <f t="shared" si="559"/>
        <v>0</v>
      </c>
      <c r="V240" s="250">
        <f t="shared" si="559"/>
        <v>0</v>
      </c>
      <c r="W240" s="251">
        <f>+W239/W245</f>
        <v>0</v>
      </c>
      <c r="X240" s="252">
        <f>+X239/X245</f>
        <v>0</v>
      </c>
      <c r="Y240" s="249">
        <f>+Y239/Y245</f>
        <v>0</v>
      </c>
      <c r="Z240" s="250">
        <f t="shared" si="559"/>
        <v>0</v>
      </c>
      <c r="AA240" s="250">
        <f t="shared" si="559"/>
        <v>0</v>
      </c>
      <c r="AB240" s="251">
        <f t="shared" ref="AB240:AJ240" si="560">+AB239/AB245</f>
        <v>0</v>
      </c>
      <c r="AC240" s="252">
        <f t="shared" si="560"/>
        <v>0</v>
      </c>
      <c r="AD240" s="249">
        <f t="shared" si="560"/>
        <v>0</v>
      </c>
      <c r="AE240" s="250">
        <f t="shared" si="560"/>
        <v>0</v>
      </c>
      <c r="AF240" s="250">
        <f t="shared" si="560"/>
        <v>0</v>
      </c>
      <c r="AG240" s="251">
        <f t="shared" si="560"/>
        <v>0</v>
      </c>
      <c r="AH240" s="252">
        <f t="shared" si="560"/>
        <v>0</v>
      </c>
      <c r="AI240" s="249">
        <f t="shared" si="560"/>
        <v>0</v>
      </c>
      <c r="AJ240" s="250">
        <f t="shared" si="560"/>
        <v>0</v>
      </c>
      <c r="AK240" s="250">
        <f t="shared" ref="AK240:AP240" si="561">+AK239/AK245</f>
        <v>0</v>
      </c>
      <c r="AL240" s="251">
        <f t="shared" si="561"/>
        <v>0</v>
      </c>
      <c r="AM240" s="252">
        <f t="shared" si="561"/>
        <v>0</v>
      </c>
      <c r="AN240" s="249">
        <f t="shared" si="561"/>
        <v>0</v>
      </c>
      <c r="AO240" s="250">
        <f t="shared" si="561"/>
        <v>0</v>
      </c>
      <c r="AP240" s="250">
        <f t="shared" si="561"/>
        <v>0</v>
      </c>
      <c r="AQ240" s="251">
        <f t="shared" ref="AQ240:AU240" si="562">+AQ239/AQ245</f>
        <v>0</v>
      </c>
      <c r="AR240" s="252">
        <f t="shared" si="562"/>
        <v>0</v>
      </c>
      <c r="AS240" s="249">
        <f t="shared" si="562"/>
        <v>0</v>
      </c>
      <c r="AT240" s="250">
        <f t="shared" si="562"/>
        <v>0</v>
      </c>
      <c r="AU240" s="250">
        <f t="shared" si="562"/>
        <v>0</v>
      </c>
      <c r="AV240" s="251">
        <f t="shared" ref="AV240:AW240" si="563">+AV239/AV245</f>
        <v>0</v>
      </c>
      <c r="AW240" s="252">
        <f t="shared" si="563"/>
        <v>0</v>
      </c>
      <c r="AX240" s="249">
        <f t="shared" ref="AX240:BG240" si="564">+AX239/AX245</f>
        <v>0</v>
      </c>
      <c r="AY240" s="250">
        <f t="shared" si="564"/>
        <v>0</v>
      </c>
      <c r="AZ240" s="250">
        <f t="shared" si="564"/>
        <v>0</v>
      </c>
      <c r="BA240" s="251">
        <f t="shared" si="564"/>
        <v>0</v>
      </c>
      <c r="BB240" s="252">
        <f t="shared" si="564"/>
        <v>0</v>
      </c>
      <c r="BC240" s="249">
        <f t="shared" si="564"/>
        <v>0</v>
      </c>
      <c r="BD240" s="250">
        <f t="shared" si="564"/>
        <v>0</v>
      </c>
      <c r="BE240" s="250">
        <f t="shared" si="564"/>
        <v>0</v>
      </c>
      <c r="BF240" s="251">
        <f t="shared" si="564"/>
        <v>0</v>
      </c>
      <c r="BG240" s="252">
        <f t="shared" si="564"/>
        <v>0</v>
      </c>
      <c r="BH240" s="249">
        <f t="shared" ref="BH240:BQ240" si="565">+BH239/BH245</f>
        <v>0</v>
      </c>
      <c r="BI240" s="250">
        <f t="shared" si="565"/>
        <v>0</v>
      </c>
      <c r="BJ240" s="250">
        <f t="shared" si="565"/>
        <v>0</v>
      </c>
      <c r="BK240" s="251">
        <f t="shared" si="565"/>
        <v>0</v>
      </c>
      <c r="BL240" s="252">
        <f t="shared" si="565"/>
        <v>0</v>
      </c>
      <c r="BM240" s="249">
        <f t="shared" si="565"/>
        <v>0</v>
      </c>
      <c r="BN240" s="250">
        <f t="shared" si="565"/>
        <v>0</v>
      </c>
      <c r="BO240" s="250">
        <f t="shared" si="565"/>
        <v>0</v>
      </c>
      <c r="BP240" s="251">
        <f t="shared" si="565"/>
        <v>0</v>
      </c>
      <c r="BQ240" s="252">
        <f t="shared" si="565"/>
        <v>0</v>
      </c>
      <c r="BR240" s="45"/>
      <c r="BS240" s="45"/>
      <c r="BT240" s="45"/>
      <c r="BU240" s="45"/>
      <c r="BV240" s="45"/>
      <c r="BW240" s="45"/>
      <c r="BX240" s="45"/>
      <c r="BY240" s="45"/>
      <c r="BZ240" s="45"/>
      <c r="CA240" s="45"/>
      <c r="CB240" s="45"/>
      <c r="CC240" s="45"/>
      <c r="CD240" s="45"/>
      <c r="CE240" s="45"/>
      <c r="CF240" s="45"/>
      <c r="CG240" s="45"/>
      <c r="CH240" s="45"/>
      <c r="CI240" s="45"/>
      <c r="CJ240" s="45"/>
      <c r="CK240" s="45"/>
      <c r="CL240" s="45"/>
      <c r="CM240" s="45"/>
      <c r="CN240" s="45"/>
      <c r="CO240" s="45"/>
      <c r="CP240" s="45"/>
      <c r="CQ240" s="45"/>
      <c r="CR240" s="45"/>
      <c r="CS240" s="45"/>
      <c r="CT240" s="45"/>
      <c r="CU240" s="45"/>
      <c r="CV240" s="45"/>
      <c r="CW240" s="45"/>
      <c r="CX240" s="45"/>
      <c r="CY240" s="45"/>
      <c r="CZ240" s="45"/>
    </row>
    <row r="241" spans="1:104" x14ac:dyDescent="0.2">
      <c r="A241" s="20"/>
      <c r="B241" s="20"/>
      <c r="C241" s="70"/>
      <c r="D241" s="20"/>
      <c r="E241" s="203"/>
      <c r="F241" s="204"/>
      <c r="G241" s="204"/>
      <c r="H241" s="205"/>
      <c r="I241" s="206"/>
      <c r="J241" s="203"/>
      <c r="K241" s="204"/>
      <c r="L241" s="204"/>
      <c r="M241" s="205"/>
      <c r="N241" s="206"/>
      <c r="O241" s="203"/>
      <c r="P241" s="204"/>
      <c r="Q241" s="204"/>
      <c r="R241" s="205"/>
      <c r="S241" s="206"/>
      <c r="T241" s="203"/>
      <c r="U241" s="204"/>
      <c r="V241" s="204"/>
      <c r="W241" s="205"/>
      <c r="X241" s="206"/>
      <c r="Y241" s="203"/>
      <c r="Z241" s="204"/>
      <c r="AA241" s="204"/>
      <c r="AB241" s="205"/>
      <c r="AC241" s="206"/>
      <c r="AD241" s="203"/>
      <c r="AE241" s="204"/>
      <c r="AF241" s="204"/>
      <c r="AG241" s="205"/>
      <c r="AH241" s="206"/>
      <c r="AI241" s="203"/>
      <c r="AJ241" s="204"/>
      <c r="AK241" s="204"/>
      <c r="AL241" s="205"/>
      <c r="AM241" s="206"/>
      <c r="AN241" s="203"/>
      <c r="AO241" s="204"/>
      <c r="AP241" s="204"/>
      <c r="AQ241" s="205"/>
      <c r="AR241" s="206"/>
      <c r="AS241" s="203"/>
      <c r="AT241" s="204"/>
      <c r="AU241" s="204"/>
      <c r="AV241" s="205"/>
      <c r="AW241" s="206"/>
      <c r="AX241" s="203"/>
      <c r="AY241" s="204"/>
      <c r="AZ241" s="204"/>
      <c r="BA241" s="205"/>
      <c r="BB241" s="206"/>
      <c r="BC241" s="203"/>
      <c r="BD241" s="204"/>
      <c r="BE241" s="204"/>
      <c r="BF241" s="205"/>
      <c r="BG241" s="206"/>
      <c r="BH241" s="203"/>
      <c r="BI241" s="204"/>
      <c r="BJ241" s="204"/>
      <c r="BK241" s="205"/>
      <c r="BL241" s="206"/>
      <c r="BM241" s="203"/>
      <c r="BN241" s="204"/>
      <c r="BO241" s="204"/>
      <c r="BP241" s="205"/>
      <c r="BQ241" s="206"/>
      <c r="BR241" s="20"/>
      <c r="BS241" s="20"/>
      <c r="BT241" s="20"/>
      <c r="BU241" s="20"/>
      <c r="BV241" s="20"/>
      <c r="BW241" s="20"/>
      <c r="BX241" s="20"/>
      <c r="BY241" s="20"/>
      <c r="BZ241" s="20"/>
      <c r="CA241" s="20"/>
      <c r="CB241" s="20"/>
      <c r="CC241" s="20"/>
      <c r="CD241" s="20"/>
      <c r="CE241" s="20"/>
      <c r="CF241" s="20"/>
      <c r="CG241" s="20"/>
      <c r="CH241" s="20"/>
      <c r="CI241" s="20"/>
      <c r="CJ241" s="20"/>
      <c r="CK241" s="20"/>
      <c r="CL241" s="20"/>
      <c r="CM241" s="20"/>
      <c r="CN241" s="20"/>
      <c r="CO241" s="20"/>
      <c r="CP241" s="20"/>
      <c r="CQ241" s="20"/>
      <c r="CR241" s="20"/>
      <c r="CS241" s="20"/>
      <c r="CT241" s="20"/>
      <c r="CU241" s="20"/>
      <c r="CV241" s="20"/>
      <c r="CW241" s="20"/>
      <c r="CX241" s="20"/>
      <c r="CY241" s="20"/>
      <c r="CZ241" s="20"/>
    </row>
    <row r="242" spans="1:104" x14ac:dyDescent="0.2">
      <c r="A242" s="220"/>
      <c r="B242" s="220"/>
      <c r="C242" s="141" t="s">
        <v>51</v>
      </c>
      <c r="D242" s="117"/>
      <c r="E242" s="235">
        <v>3205.2849999999999</v>
      </c>
      <c r="F242" s="236">
        <v>3210.9490000000001</v>
      </c>
      <c r="G242" s="236">
        <v>3239.096</v>
      </c>
      <c r="H242" s="123">
        <f>+I242</f>
        <v>3241.2089999999998</v>
      </c>
      <c r="I242" s="237">
        <v>3241.2089999999998</v>
      </c>
      <c r="J242" s="235">
        <v>3298.0189999999998</v>
      </c>
      <c r="K242" s="236">
        <v>3445.0439999999999</v>
      </c>
      <c r="L242" s="236">
        <v>3496.587</v>
      </c>
      <c r="M242" s="123">
        <f>+N242</f>
        <v>3496.1689999999999</v>
      </c>
      <c r="N242" s="237">
        <v>3496.1689999999999</v>
      </c>
      <c r="O242" s="235">
        <v>3655.8919999999998</v>
      </c>
      <c r="P242" s="236">
        <v>3662.835</v>
      </c>
      <c r="Q242" s="236">
        <v>3733.44</v>
      </c>
      <c r="R242" s="123">
        <f>+S242</f>
        <v>3724.7759999999998</v>
      </c>
      <c r="S242" s="237">
        <v>3724.7759999999998</v>
      </c>
      <c r="T242" s="235">
        <v>3856.163</v>
      </c>
      <c r="U242" s="236">
        <v>3890.2370000000001</v>
      </c>
      <c r="V242" s="236">
        <v>3962.0659999999998</v>
      </c>
      <c r="W242" s="123">
        <f>+X242</f>
        <v>4036.3690000000001</v>
      </c>
      <c r="X242" s="237">
        <v>4036.3690000000001</v>
      </c>
      <c r="Y242" s="235">
        <v>4199.8339999999998</v>
      </c>
      <c r="Z242" s="236">
        <v>4218.4189999999999</v>
      </c>
      <c r="AA242" s="236">
        <f>4305.223</f>
        <v>4305.223</v>
      </c>
      <c r="AB242" s="123">
        <f>+AC242</f>
        <v>4480.7939999999999</v>
      </c>
      <c r="AC242" s="237">
        <v>4480.7939999999999</v>
      </c>
      <c r="AD242" s="235">
        <v>4624.6490000000003</v>
      </c>
      <c r="AE242" s="236">
        <v>4626.3819999999996</v>
      </c>
      <c r="AF242" s="236">
        <v>4693.8379999999997</v>
      </c>
      <c r="AG242" s="123">
        <f>+AH242</f>
        <v>4703.1729999999998</v>
      </c>
      <c r="AH242" s="237">
        <v>4703.1729999999998</v>
      </c>
      <c r="AI242" s="235">
        <v>4730.26</v>
      </c>
      <c r="AJ242" s="236">
        <v>4789.6719999999996</v>
      </c>
      <c r="AK242" s="236">
        <v>4901.3680000000004</v>
      </c>
      <c r="AL242" s="123">
        <f>+AM242</f>
        <v>5167.0649999999996</v>
      </c>
      <c r="AM242" s="237">
        <v>5167.0649999999996</v>
      </c>
      <c r="AN242" s="235">
        <v>5254.7079999999996</v>
      </c>
      <c r="AO242" s="236">
        <v>5259.4</v>
      </c>
      <c r="AP242" s="236">
        <v>5306.5450000000001</v>
      </c>
      <c r="AQ242" s="123">
        <f>+AR242</f>
        <v>5355.5690000000004</v>
      </c>
      <c r="AR242" s="237">
        <v>5355.5690000000004</v>
      </c>
      <c r="AS242" s="235">
        <v>5424.2860000000001</v>
      </c>
      <c r="AT242" s="236">
        <v>5457.9549999999999</v>
      </c>
      <c r="AU242" s="236">
        <v>5440.6940000000004</v>
      </c>
      <c r="AV242" s="123">
        <f>+AW242</f>
        <v>5475.57</v>
      </c>
      <c r="AW242" s="237">
        <v>5475.57</v>
      </c>
      <c r="AX242" s="121">
        <f>+AW242+AX205+AX221</f>
        <v>5517.1048609921081</v>
      </c>
      <c r="AY242" s="122">
        <f>+AX242+AY205+AY221</f>
        <v>5543.9027756599999</v>
      </c>
      <c r="AZ242" s="122">
        <f>+AY242+AZ205+AZ221</f>
        <v>5687.5287177724585</v>
      </c>
      <c r="BA242" s="123">
        <f>+AZ242+BA205+BA221</f>
        <v>5727.1295289529735</v>
      </c>
      <c r="BB242" s="86">
        <f>+BA242</f>
        <v>5727.1295289529735</v>
      </c>
      <c r="BC242" s="121">
        <f>+BB242+BC205+BC221</f>
        <v>5849.1309905440357</v>
      </c>
      <c r="BD242" s="122">
        <f>+BC242+BD205+BD221</f>
        <v>5957.3614782376117</v>
      </c>
      <c r="BE242" s="122">
        <f>+BD242+BE205+BE221</f>
        <v>6184.3458151118793</v>
      </c>
      <c r="BF242" s="123">
        <f>+BE242+BF205+BF221</f>
        <v>6299.9617359015765</v>
      </c>
      <c r="BG242" s="86">
        <f>+BF242</f>
        <v>6299.9617359015765</v>
      </c>
      <c r="BH242" s="121">
        <f>+BG242+BH205+BH221</f>
        <v>6321.6325574240727</v>
      </c>
      <c r="BI242" s="122">
        <f>+BH242+BI205+BI221</f>
        <v>6326.8963873710472</v>
      </c>
      <c r="BJ242" s="122">
        <f>+BI242+BJ205+BJ221</f>
        <v>6455.2669891568239</v>
      </c>
      <c r="BK242" s="123">
        <f>+BJ242+BK205+BK221</f>
        <v>6468.565201666268</v>
      </c>
      <c r="BL242" s="86">
        <f>+BK242</f>
        <v>6468.565201666268</v>
      </c>
      <c r="BM242" s="121">
        <f>+BL242+BM205+BM221</f>
        <v>6493.1895360389635</v>
      </c>
      <c r="BN242" s="122">
        <f>+BM242+BN205+BN221</f>
        <v>6505.562475033511</v>
      </c>
      <c r="BO242" s="122">
        <f>+BN242+BO205+BO221</f>
        <v>6643.1667312616601</v>
      </c>
      <c r="BP242" s="123">
        <f>+BO242+BP205+BP221</f>
        <v>6661.7151268203315</v>
      </c>
      <c r="BQ242" s="86">
        <f>+BP242</f>
        <v>6661.7151268203315</v>
      </c>
      <c r="BR242" s="220"/>
      <c r="BS242" s="220"/>
      <c r="BT242" s="220"/>
      <c r="BU242" s="220"/>
      <c r="BV242" s="220"/>
      <c r="BW242" s="220"/>
      <c r="BX242" s="220"/>
      <c r="BY242" s="220"/>
      <c r="BZ242" s="220"/>
      <c r="CA242" s="220"/>
      <c r="CB242" s="220"/>
      <c r="CC242" s="220"/>
      <c r="CD242" s="220"/>
      <c r="CE242" s="220"/>
      <c r="CF242" s="220"/>
      <c r="CG242" s="220"/>
      <c r="CH242" s="220"/>
      <c r="CI242" s="220"/>
      <c r="CJ242" s="220"/>
      <c r="CK242" s="220"/>
      <c r="CL242" s="220"/>
      <c r="CM242" s="220"/>
      <c r="CN242" s="220"/>
      <c r="CO242" s="220"/>
      <c r="CP242" s="220"/>
      <c r="CQ242" s="220"/>
      <c r="CR242" s="220"/>
      <c r="CS242" s="220"/>
      <c r="CT242" s="220"/>
      <c r="CU242" s="220"/>
      <c r="CV242" s="220"/>
      <c r="CW242" s="220"/>
      <c r="CX242" s="220"/>
      <c r="CY242" s="220"/>
      <c r="CZ242" s="220"/>
    </row>
    <row r="243" spans="1:104" x14ac:dyDescent="0.2">
      <c r="A243" s="45"/>
      <c r="B243" s="45"/>
      <c r="C243" s="248" t="s">
        <v>234</v>
      </c>
      <c r="D243" s="45"/>
      <c r="E243" s="249">
        <f t="shared" ref="E243:AA243" si="566">+E242/E245</f>
        <v>0.51963780655499259</v>
      </c>
      <c r="F243" s="250">
        <f t="shared" si="566"/>
        <v>0.52005768504735095</v>
      </c>
      <c r="G243" s="250">
        <f t="shared" si="566"/>
        <v>0.53321752918369925</v>
      </c>
      <c r="H243" s="251">
        <f t="shared" si="566"/>
        <v>0.51822968422005222</v>
      </c>
      <c r="I243" s="252">
        <f t="shared" si="566"/>
        <v>0.51822968422005222</v>
      </c>
      <c r="J243" s="249">
        <f t="shared" si="566"/>
        <v>0.52254860284015725</v>
      </c>
      <c r="K243" s="250">
        <f t="shared" si="566"/>
        <v>0.52970785101576523</v>
      </c>
      <c r="L243" s="250">
        <f t="shared" si="566"/>
        <v>0.51162710050511773</v>
      </c>
      <c r="M243" s="251">
        <f t="shared" si="566"/>
        <v>0.51157851362897222</v>
      </c>
      <c r="N243" s="252">
        <f t="shared" si="566"/>
        <v>0.51157851362897222</v>
      </c>
      <c r="O243" s="249">
        <f t="shared" si="566"/>
        <v>0.52211864754136406</v>
      </c>
      <c r="P243" s="250">
        <f t="shared" si="566"/>
        <v>0.52279700289513842</v>
      </c>
      <c r="Q243" s="250">
        <f t="shared" si="566"/>
        <v>0.52791198299568676</v>
      </c>
      <c r="R243" s="251">
        <f t="shared" si="566"/>
        <v>0.52060744075934706</v>
      </c>
      <c r="S243" s="252">
        <f t="shared" si="566"/>
        <v>0.52060744075934706</v>
      </c>
      <c r="T243" s="249">
        <f t="shared" si="566"/>
        <v>0.5308366435802867</v>
      </c>
      <c r="U243" s="250">
        <f t="shared" si="566"/>
        <v>0.52751565568370939</v>
      </c>
      <c r="V243" s="250">
        <f t="shared" si="566"/>
        <v>0.52335405447995886</v>
      </c>
      <c r="W243" s="251">
        <f>+W242/W245</f>
        <v>0.5210901510700543</v>
      </c>
      <c r="X243" s="252">
        <f>+X242/X245</f>
        <v>0.5210901510700543</v>
      </c>
      <c r="Y243" s="249">
        <f>+Y242/Y245</f>
        <v>0.53070375236283063</v>
      </c>
      <c r="Z243" s="250">
        <f t="shared" si="566"/>
        <v>0.51748592573183005</v>
      </c>
      <c r="AA243" s="250">
        <f t="shared" si="566"/>
        <v>0.51984378205461812</v>
      </c>
      <c r="AB243" s="251">
        <f t="shared" ref="AB243:AJ243" si="567">+AB242/AB245</f>
        <v>0.52501966717308024</v>
      </c>
      <c r="AC243" s="252">
        <f t="shared" si="567"/>
        <v>0.52501966717308024</v>
      </c>
      <c r="AD243" s="249">
        <f t="shared" si="567"/>
        <v>0.52591203194967595</v>
      </c>
      <c r="AE243" s="250">
        <f t="shared" si="567"/>
        <v>0.52324912914941257</v>
      </c>
      <c r="AF243" s="250">
        <f t="shared" si="567"/>
        <v>0.5284479519908617</v>
      </c>
      <c r="AG243" s="251">
        <f t="shared" si="567"/>
        <v>0.52061639244818514</v>
      </c>
      <c r="AH243" s="252">
        <f t="shared" si="567"/>
        <v>0.52061639244818514</v>
      </c>
      <c r="AI243" s="249">
        <f t="shared" si="567"/>
        <v>0.52586794569694684</v>
      </c>
      <c r="AJ243" s="250">
        <f t="shared" si="567"/>
        <v>0.52658322481201381</v>
      </c>
      <c r="AK243" s="250">
        <f t="shared" ref="AK243:AP243" si="568">+AK242/AK245</f>
        <v>0.5194748705808736</v>
      </c>
      <c r="AL243" s="251">
        <f t="shared" si="568"/>
        <v>0.52012962912818128</v>
      </c>
      <c r="AM243" s="252">
        <f t="shared" si="568"/>
        <v>0.52012962912818128</v>
      </c>
      <c r="AN243" s="249">
        <f t="shared" si="568"/>
        <v>0.53481672222080856</v>
      </c>
      <c r="AO243" s="250">
        <f t="shared" si="568"/>
        <v>0.52068179079925547</v>
      </c>
      <c r="AP243" s="250">
        <f t="shared" si="568"/>
        <v>0.52288026394760068</v>
      </c>
      <c r="AQ243" s="251">
        <f t="shared" ref="AQ243:AU243" si="569">+AQ242/AQ245</f>
        <v>0.52078058417302509</v>
      </c>
      <c r="AR243" s="252">
        <f t="shared" si="569"/>
        <v>0.52078058417302509</v>
      </c>
      <c r="AS243" s="249">
        <f t="shared" si="569"/>
        <v>0.52624585581410377</v>
      </c>
      <c r="AT243" s="250">
        <f t="shared" si="569"/>
        <v>0.52549626252384507</v>
      </c>
      <c r="AU243" s="250">
        <f t="shared" si="569"/>
        <v>0.52447142385757173</v>
      </c>
      <c r="AV243" s="251">
        <f t="shared" ref="AV243:AW243" si="570">+AV242/AV245</f>
        <v>0.52080888085019117</v>
      </c>
      <c r="AW243" s="252">
        <f t="shared" si="570"/>
        <v>0.52080888085019117</v>
      </c>
      <c r="AX243" s="249">
        <f t="shared" ref="AX243:BG243" si="571">+AX242/AX245</f>
        <v>0.51321319135909338</v>
      </c>
      <c r="AY243" s="250">
        <f t="shared" si="571"/>
        <v>0.51442363649745582</v>
      </c>
      <c r="AZ243" s="250">
        <f t="shared" si="571"/>
        <v>0.52080988843867926</v>
      </c>
      <c r="BA243" s="251">
        <f t="shared" si="571"/>
        <v>0.52254128092928032</v>
      </c>
      <c r="BB243" s="252">
        <f t="shared" si="571"/>
        <v>0.52254128092928032</v>
      </c>
      <c r="BC243" s="249">
        <f t="shared" si="571"/>
        <v>0.5217707004406551</v>
      </c>
      <c r="BD243" s="250">
        <f t="shared" si="571"/>
        <v>0.51946470300419112</v>
      </c>
      <c r="BE243" s="250">
        <f t="shared" si="571"/>
        <v>0.52909585082623922</v>
      </c>
      <c r="BF243" s="251">
        <f t="shared" si="571"/>
        <v>0.52781628991451146</v>
      </c>
      <c r="BG243" s="252">
        <f t="shared" si="571"/>
        <v>0.52781628991451146</v>
      </c>
      <c r="BH243" s="249">
        <f t="shared" ref="BH243:BQ243" si="572">+BH242/BH245</f>
        <v>0.52405226007720251</v>
      </c>
      <c r="BI243" s="250">
        <f t="shared" si="572"/>
        <v>0.51906704188043662</v>
      </c>
      <c r="BJ243" s="250">
        <f t="shared" si="572"/>
        <v>0.52576373136928067</v>
      </c>
      <c r="BK243" s="251">
        <f t="shared" si="572"/>
        <v>0.52178683876638021</v>
      </c>
      <c r="BL243" s="252">
        <f t="shared" si="572"/>
        <v>0.52178683876638021</v>
      </c>
      <c r="BM243" s="249">
        <f t="shared" si="572"/>
        <v>0.51754343536643788</v>
      </c>
      <c r="BN243" s="250">
        <f t="shared" si="572"/>
        <v>0.51236647983405015</v>
      </c>
      <c r="BO243" s="250">
        <f t="shared" si="572"/>
        <v>0.51592664053140969</v>
      </c>
      <c r="BP243" s="251">
        <f t="shared" si="572"/>
        <v>0.51427318683973844</v>
      </c>
      <c r="BQ243" s="252">
        <f t="shared" si="572"/>
        <v>0.51427318683973844</v>
      </c>
      <c r="BR243" s="45"/>
      <c r="BS243" s="45"/>
      <c r="BT243" s="45"/>
      <c r="BU243" s="45"/>
      <c r="BV243" s="45"/>
      <c r="BW243" s="45"/>
      <c r="BX243" s="45"/>
      <c r="BY243" s="45"/>
      <c r="BZ243" s="45"/>
      <c r="CA243" s="45"/>
      <c r="CB243" s="45"/>
      <c r="CC243" s="45"/>
      <c r="CD243" s="45"/>
      <c r="CE243" s="45"/>
      <c r="CF243" s="45"/>
      <c r="CG243" s="45"/>
      <c r="CH243" s="45"/>
      <c r="CI243" s="45"/>
      <c r="CJ243" s="45"/>
      <c r="CK243" s="45"/>
      <c r="CL243" s="45"/>
      <c r="CM243" s="45"/>
      <c r="CN243" s="45"/>
      <c r="CO243" s="45"/>
      <c r="CP243" s="45"/>
      <c r="CQ243" s="45"/>
      <c r="CR243" s="45"/>
      <c r="CS243" s="45"/>
      <c r="CT243" s="45"/>
      <c r="CU243" s="45"/>
      <c r="CV243" s="45"/>
      <c r="CW243" s="45"/>
      <c r="CX243" s="45"/>
      <c r="CY243" s="45"/>
      <c r="CZ243" s="45"/>
    </row>
    <row r="244" spans="1:104" x14ac:dyDescent="0.2">
      <c r="A244" s="20"/>
      <c r="B244" s="20"/>
      <c r="C244" s="70"/>
      <c r="D244" s="20"/>
      <c r="E244" s="203"/>
      <c r="F244" s="204"/>
      <c r="G244" s="204"/>
      <c r="H244" s="205"/>
      <c r="I244" s="206"/>
      <c r="J244" s="203"/>
      <c r="K244" s="204"/>
      <c r="L244" s="204"/>
      <c r="M244" s="205"/>
      <c r="N244" s="206"/>
      <c r="O244" s="203"/>
      <c r="P244" s="204"/>
      <c r="Q244" s="204"/>
      <c r="R244" s="205"/>
      <c r="S244" s="206"/>
      <c r="T244" s="203"/>
      <c r="U244" s="204"/>
      <c r="V244" s="204"/>
      <c r="W244" s="205"/>
      <c r="X244" s="206"/>
      <c r="Y244" s="203"/>
      <c r="Z244" s="204"/>
      <c r="AA244" s="204"/>
      <c r="AB244" s="205"/>
      <c r="AC244" s="206"/>
      <c r="AD244" s="203"/>
      <c r="AE244" s="204"/>
      <c r="AF244" s="204"/>
      <c r="AG244" s="205"/>
      <c r="AH244" s="206"/>
      <c r="AI244" s="203"/>
      <c r="AJ244" s="204"/>
      <c r="AK244" s="204"/>
      <c r="AL244" s="205"/>
      <c r="AM244" s="206"/>
      <c r="AN244" s="203"/>
      <c r="AO244" s="204"/>
      <c r="AP244" s="204"/>
      <c r="AQ244" s="205"/>
      <c r="AR244" s="206"/>
      <c r="AS244" s="203"/>
      <c r="AT244" s="204"/>
      <c r="AU244" s="204"/>
      <c r="AV244" s="205"/>
      <c r="AW244" s="206"/>
      <c r="AX244" s="203"/>
      <c r="AY244" s="204"/>
      <c r="AZ244" s="204"/>
      <c r="BA244" s="205"/>
      <c r="BB244" s="206"/>
      <c r="BC244" s="203"/>
      <c r="BD244" s="204"/>
      <c r="BE244" s="204"/>
      <c r="BF244" s="205"/>
      <c r="BG244" s="206"/>
      <c r="BH244" s="203"/>
      <c r="BI244" s="204"/>
      <c r="BJ244" s="204"/>
      <c r="BK244" s="205"/>
      <c r="BL244" s="206"/>
      <c r="BM244" s="203"/>
      <c r="BN244" s="204"/>
      <c r="BO244" s="204"/>
      <c r="BP244" s="205"/>
      <c r="BQ244" s="206"/>
      <c r="BR244" s="20"/>
      <c r="BS244" s="20"/>
      <c r="BT244" s="20"/>
      <c r="BU244" s="20"/>
      <c r="BV244" s="20"/>
      <c r="BW244" s="20"/>
      <c r="BX244" s="20"/>
      <c r="BY244" s="20"/>
      <c r="BZ244" s="20"/>
      <c r="CA244" s="20"/>
      <c r="CB244" s="20"/>
      <c r="CC244" s="20"/>
      <c r="CD244" s="20"/>
      <c r="CE244" s="20"/>
      <c r="CF244" s="20"/>
      <c r="CG244" s="20"/>
      <c r="CH244" s="20"/>
      <c r="CI244" s="20"/>
      <c r="CJ244" s="20"/>
      <c r="CK244" s="20"/>
      <c r="CL244" s="20"/>
      <c r="CM244" s="20"/>
      <c r="CN244" s="20"/>
      <c r="CO244" s="20"/>
      <c r="CP244" s="20"/>
      <c r="CQ244" s="20"/>
      <c r="CR244" s="20"/>
      <c r="CS244" s="20"/>
      <c r="CT244" s="20"/>
      <c r="CU244" s="20"/>
      <c r="CV244" s="20"/>
      <c r="CW244" s="20"/>
      <c r="CX244" s="20"/>
      <c r="CY244" s="20"/>
      <c r="CZ244" s="20"/>
    </row>
    <row r="245" spans="1:104" x14ac:dyDescent="0.2">
      <c r="A245" s="220"/>
      <c r="B245" s="220"/>
      <c r="C245" s="141" t="s">
        <v>54</v>
      </c>
      <c r="D245" s="82"/>
      <c r="E245" s="121">
        <f>+E242+E239+E236</f>
        <v>6168.3059999999996</v>
      </c>
      <c r="F245" s="122">
        <f>+F242+F239+F236</f>
        <v>6174.2170000000006</v>
      </c>
      <c r="G245" s="122">
        <f>+G242+G239+G236</f>
        <v>6074.6239999999998</v>
      </c>
      <c r="H245" s="123">
        <f>+I245</f>
        <v>6254.3869999999997</v>
      </c>
      <c r="I245" s="86">
        <f>+I242+I239+I236</f>
        <v>6254.3869999999997</v>
      </c>
      <c r="J245" s="121">
        <f>+J242+J239+J236</f>
        <v>6311.4110000000001</v>
      </c>
      <c r="K245" s="122">
        <f>+K242+K239+K236</f>
        <v>6503.6679999999997</v>
      </c>
      <c r="L245" s="122">
        <f>+L242+L239+L236</f>
        <v>6834.2489999999998</v>
      </c>
      <c r="M245" s="123">
        <f>+N245</f>
        <v>6834.0810000000001</v>
      </c>
      <c r="N245" s="86">
        <f>+N242+N239+N236</f>
        <v>6834.0810000000001</v>
      </c>
      <c r="O245" s="121">
        <f>+O242+O239+O236</f>
        <v>7002.0329999999994</v>
      </c>
      <c r="P245" s="122">
        <f>+P242+P239+P236</f>
        <v>7006.2280000000001</v>
      </c>
      <c r="Q245" s="122">
        <f>+Q242+Q239+Q236</f>
        <v>7072.0879999999997</v>
      </c>
      <c r="R245" s="123">
        <f>+S245</f>
        <v>7154.6729999999998</v>
      </c>
      <c r="S245" s="86">
        <f>+S242+S239+S236</f>
        <v>7154.6729999999998</v>
      </c>
      <c r="T245" s="121">
        <f>+T242+T239+T236</f>
        <v>7264.3119999999999</v>
      </c>
      <c r="U245" s="122">
        <f>+U242+U239+U236</f>
        <v>7374.6380000000008</v>
      </c>
      <c r="V245" s="122">
        <f>+V242+V239+V236</f>
        <v>7570.527</v>
      </c>
      <c r="W245" s="123">
        <f>+X245</f>
        <v>7746.009</v>
      </c>
      <c r="X245" s="86">
        <f>+X242+X239+X236</f>
        <v>7746.009</v>
      </c>
      <c r="Y245" s="121">
        <f>+Y242+Y239+Y236</f>
        <v>7913.7070000000003</v>
      </c>
      <c r="Z245" s="122">
        <f>+Z242+Z239+Z236</f>
        <v>8151.7559999999994</v>
      </c>
      <c r="AA245" s="122">
        <f>+AA242+AA239+AA236</f>
        <v>8281.762999999999</v>
      </c>
      <c r="AB245" s="123">
        <f>+AC245</f>
        <v>8534.5259999999998</v>
      </c>
      <c r="AC245" s="86">
        <f>+AC242+AC239+AC236</f>
        <v>8534.5259999999998</v>
      </c>
      <c r="AD245" s="121">
        <f>+AD242+AD239+AD236</f>
        <v>8793.5790000000015</v>
      </c>
      <c r="AE245" s="122">
        <f>+AE242+AE239+AE236</f>
        <v>8841.643</v>
      </c>
      <c r="AF245" s="122">
        <f>+AF242+AF239+AF236</f>
        <v>8882.3090000000011</v>
      </c>
      <c r="AG245" s="123">
        <f>+AH245</f>
        <v>9033.8549999999996</v>
      </c>
      <c r="AH245" s="86">
        <f>+AH242+AH239+AH236</f>
        <v>9033.8549999999996</v>
      </c>
      <c r="AI245" s="121">
        <f>+AI242+AI239+AI236</f>
        <v>8995.148000000001</v>
      </c>
      <c r="AJ245" s="122">
        <f>+AJ242+AJ239+AJ236</f>
        <v>9095.755000000001</v>
      </c>
      <c r="AK245" s="122">
        <f>+AK242+AK239+AK236</f>
        <v>9435.2360000000008</v>
      </c>
      <c r="AL245" s="123">
        <f>+AM245</f>
        <v>9934.1869999999999</v>
      </c>
      <c r="AM245" s="86">
        <f>+AM242+AM239+AM236</f>
        <v>9934.1869999999999</v>
      </c>
      <c r="AN245" s="121">
        <f>+AN242+AN239+AN236</f>
        <v>9825.25</v>
      </c>
      <c r="AO245" s="122">
        <f>+AO242+AO239+AO236</f>
        <v>10100.987000000001</v>
      </c>
      <c r="AP245" s="122">
        <f>+AP242+AP239+AP236</f>
        <v>10148.681</v>
      </c>
      <c r="AQ245" s="123">
        <f>+AR245</f>
        <v>10283.734</v>
      </c>
      <c r="AR245" s="86">
        <f>+AR242+AR239+AR236</f>
        <v>10283.734</v>
      </c>
      <c r="AS245" s="121">
        <f>+AS242+AS239+AS236</f>
        <v>10307.512999999999</v>
      </c>
      <c r="AT245" s="122">
        <f>+AT242+AT239+AT236</f>
        <v>10386.287</v>
      </c>
      <c r="AU245" s="122">
        <f>+AU242+AU239+AU236</f>
        <v>10373.671</v>
      </c>
      <c r="AV245" s="123">
        <f>+AW245</f>
        <v>10513.588</v>
      </c>
      <c r="AW245" s="86">
        <f>+AW242+AW239+AW236</f>
        <v>10513.588</v>
      </c>
      <c r="AX245" s="121">
        <f>+AX242+AX239+AX236</f>
        <v>10750.122860992109</v>
      </c>
      <c r="AY245" s="122">
        <f>+AY242+AY239+AY236</f>
        <v>10776.920775660001</v>
      </c>
      <c r="AZ245" s="122">
        <f>+AZ242+AZ239+AZ236</f>
        <v>10920.546717772459</v>
      </c>
      <c r="BA245" s="123">
        <f>+BB245</f>
        <v>10960.147528952974</v>
      </c>
      <c r="BB245" s="86">
        <f>+BB242+BB239+BB236</f>
        <v>10960.147528952974</v>
      </c>
      <c r="BC245" s="121">
        <f>+BC242+BC239+BC236</f>
        <v>11210.156081213881</v>
      </c>
      <c r="BD245" s="122">
        <f>+BD242+BD239+BD236</f>
        <v>11468.270016778304</v>
      </c>
      <c r="BE245" s="122">
        <f>+BE242+BE239+BE236</f>
        <v>11688.516939708312</v>
      </c>
      <c r="BF245" s="123">
        <f>+BG245</f>
        <v>11935.898637993836</v>
      </c>
      <c r="BG245" s="86">
        <f>+BG242+BG239+BG236</f>
        <v>11935.898637993836</v>
      </c>
      <c r="BH245" s="121">
        <f>+BH242+BH239+BH236</f>
        <v>12062.981192930605</v>
      </c>
      <c r="BI245" s="122">
        <f>+BI242+BI239+BI236</f>
        <v>12188.97729366605</v>
      </c>
      <c r="BJ245" s="122">
        <f>+BJ242+BJ239+BJ236</f>
        <v>12277.885681359101</v>
      </c>
      <c r="BK245" s="123">
        <f>+BL245</f>
        <v>12396.949714100474</v>
      </c>
      <c r="BL245" s="86">
        <f>+BL242+BL239+BL236</f>
        <v>12396.949714100474</v>
      </c>
      <c r="BM245" s="121">
        <f>+BM242+BM239+BM236</f>
        <v>12546.17311770474</v>
      </c>
      <c r="BN245" s="122">
        <f>+BN242+BN239+BN236</f>
        <v>12697.08837537653</v>
      </c>
      <c r="BO245" s="122">
        <f>+BO242+BO239+BO236</f>
        <v>12876.184731261659</v>
      </c>
      <c r="BP245" s="123">
        <f>+BQ245</f>
        <v>12953.650505789064</v>
      </c>
      <c r="BQ245" s="86">
        <f>+BQ242+BQ239+BQ236</f>
        <v>12953.650505789064</v>
      </c>
      <c r="BR245" s="220"/>
      <c r="BS245" s="220"/>
      <c r="BT245" s="220"/>
      <c r="BU245" s="220"/>
      <c r="BV245" s="220"/>
      <c r="BW245" s="220"/>
      <c r="BX245" s="220"/>
      <c r="BY245" s="220"/>
      <c r="BZ245" s="220"/>
      <c r="CA245" s="220"/>
      <c r="CB245" s="220"/>
      <c r="CC245" s="220"/>
      <c r="CD245" s="220"/>
      <c r="CE245" s="220"/>
      <c r="CF245" s="220"/>
      <c r="CG245" s="220"/>
      <c r="CH245" s="220"/>
      <c r="CI245" s="220"/>
      <c r="CJ245" s="220"/>
      <c r="CK245" s="220"/>
      <c r="CL245" s="220"/>
      <c r="CM245" s="220"/>
      <c r="CN245" s="220"/>
      <c r="CO245" s="220"/>
      <c r="CP245" s="220"/>
      <c r="CQ245" s="220"/>
      <c r="CR245" s="220"/>
      <c r="CS245" s="220"/>
      <c r="CT245" s="220"/>
      <c r="CU245" s="220"/>
      <c r="CV245" s="220"/>
      <c r="CW245" s="220"/>
      <c r="CX245" s="220"/>
      <c r="CY245" s="220"/>
      <c r="CZ245" s="220"/>
    </row>
    <row r="246" spans="1:104" x14ac:dyDescent="0.2">
      <c r="A246" s="45"/>
      <c r="B246" s="45"/>
      <c r="C246" s="248" t="s">
        <v>234</v>
      </c>
      <c r="D246" s="45"/>
      <c r="E246" s="249">
        <f t="shared" ref="E246:AA246" si="573">(E236+E239+E242)/E245</f>
        <v>1</v>
      </c>
      <c r="F246" s="250">
        <f t="shared" si="573"/>
        <v>1</v>
      </c>
      <c r="G246" s="250">
        <f t="shared" si="573"/>
        <v>1</v>
      </c>
      <c r="H246" s="251">
        <f t="shared" si="573"/>
        <v>1</v>
      </c>
      <c r="I246" s="252">
        <f t="shared" si="573"/>
        <v>1</v>
      </c>
      <c r="J246" s="249">
        <f t="shared" si="573"/>
        <v>1</v>
      </c>
      <c r="K246" s="250">
        <f t="shared" si="573"/>
        <v>1</v>
      </c>
      <c r="L246" s="250">
        <f t="shared" si="573"/>
        <v>1</v>
      </c>
      <c r="M246" s="251">
        <f t="shared" si="573"/>
        <v>1</v>
      </c>
      <c r="N246" s="252">
        <f t="shared" si="573"/>
        <v>1</v>
      </c>
      <c r="O246" s="249">
        <f t="shared" si="573"/>
        <v>1</v>
      </c>
      <c r="P246" s="250">
        <f t="shared" si="573"/>
        <v>1</v>
      </c>
      <c r="Q246" s="250">
        <f t="shared" si="573"/>
        <v>1</v>
      </c>
      <c r="R246" s="251">
        <f t="shared" si="573"/>
        <v>1</v>
      </c>
      <c r="S246" s="252">
        <f t="shared" si="573"/>
        <v>1</v>
      </c>
      <c r="T246" s="249">
        <f t="shared" si="573"/>
        <v>1</v>
      </c>
      <c r="U246" s="250">
        <f t="shared" si="573"/>
        <v>1</v>
      </c>
      <c r="V246" s="250">
        <f t="shared" si="573"/>
        <v>1</v>
      </c>
      <c r="W246" s="251">
        <f>(W236+W239+W242)/W245</f>
        <v>1</v>
      </c>
      <c r="X246" s="252">
        <f>(X236+X239+X242)/X245</f>
        <v>1</v>
      </c>
      <c r="Y246" s="249">
        <f>(Y236+Y239+Y242)/Y245</f>
        <v>1</v>
      </c>
      <c r="Z246" s="250">
        <f t="shared" si="573"/>
        <v>1</v>
      </c>
      <c r="AA246" s="250">
        <f t="shared" si="573"/>
        <v>1</v>
      </c>
      <c r="AB246" s="251">
        <f t="shared" ref="AB246:AJ246" si="574">(AB236+AB239+AB242)/AB245</f>
        <v>1</v>
      </c>
      <c r="AC246" s="252">
        <f t="shared" si="574"/>
        <v>1</v>
      </c>
      <c r="AD246" s="249">
        <f t="shared" si="574"/>
        <v>1</v>
      </c>
      <c r="AE246" s="250">
        <f t="shared" si="574"/>
        <v>1</v>
      </c>
      <c r="AF246" s="250">
        <f t="shared" si="574"/>
        <v>1</v>
      </c>
      <c r="AG246" s="251">
        <f t="shared" si="574"/>
        <v>1</v>
      </c>
      <c r="AH246" s="252">
        <f t="shared" si="574"/>
        <v>1</v>
      </c>
      <c r="AI246" s="249">
        <f t="shared" si="574"/>
        <v>1</v>
      </c>
      <c r="AJ246" s="250">
        <f t="shared" si="574"/>
        <v>1</v>
      </c>
      <c r="AK246" s="250">
        <f t="shared" ref="AK246:AP246" si="575">(AK236+AK239+AK242)/AK245</f>
        <v>1</v>
      </c>
      <c r="AL246" s="251">
        <f t="shared" si="575"/>
        <v>1</v>
      </c>
      <c r="AM246" s="252">
        <f t="shared" si="575"/>
        <v>1</v>
      </c>
      <c r="AN246" s="249">
        <f t="shared" si="575"/>
        <v>1</v>
      </c>
      <c r="AO246" s="250">
        <f t="shared" si="575"/>
        <v>1</v>
      </c>
      <c r="AP246" s="250">
        <f t="shared" si="575"/>
        <v>1</v>
      </c>
      <c r="AQ246" s="251">
        <f t="shared" ref="AQ246:AU246" si="576">(AQ236+AQ239+AQ242)/AQ245</f>
        <v>1</v>
      </c>
      <c r="AR246" s="252">
        <f t="shared" si="576"/>
        <v>1</v>
      </c>
      <c r="AS246" s="249">
        <f t="shared" si="576"/>
        <v>1</v>
      </c>
      <c r="AT246" s="250">
        <f t="shared" si="576"/>
        <v>1</v>
      </c>
      <c r="AU246" s="250">
        <f t="shared" si="576"/>
        <v>1</v>
      </c>
      <c r="AV246" s="251">
        <f t="shared" ref="AV246:AW246" si="577">(AV236+AV239+AV242)/AV245</f>
        <v>1</v>
      </c>
      <c r="AW246" s="252">
        <f t="shared" si="577"/>
        <v>1</v>
      </c>
      <c r="AX246" s="249">
        <f t="shared" ref="AX246:BG246" si="578">(AX236+AX239+AX242)/AX245</f>
        <v>1</v>
      </c>
      <c r="AY246" s="250">
        <f t="shared" si="578"/>
        <v>1</v>
      </c>
      <c r="AZ246" s="250">
        <f t="shared" si="578"/>
        <v>1</v>
      </c>
      <c r="BA246" s="251">
        <f t="shared" si="578"/>
        <v>1</v>
      </c>
      <c r="BB246" s="252">
        <f t="shared" si="578"/>
        <v>1</v>
      </c>
      <c r="BC246" s="249">
        <f t="shared" si="578"/>
        <v>1</v>
      </c>
      <c r="BD246" s="250">
        <f t="shared" si="578"/>
        <v>1</v>
      </c>
      <c r="BE246" s="250">
        <f t="shared" si="578"/>
        <v>1</v>
      </c>
      <c r="BF246" s="251">
        <f t="shared" si="578"/>
        <v>1</v>
      </c>
      <c r="BG246" s="252">
        <f t="shared" si="578"/>
        <v>1</v>
      </c>
      <c r="BH246" s="249">
        <f t="shared" ref="BH246:BQ246" si="579">(BH236+BH239+BH242)/BH245</f>
        <v>1</v>
      </c>
      <c r="BI246" s="250">
        <f t="shared" si="579"/>
        <v>1</v>
      </c>
      <c r="BJ246" s="250">
        <f t="shared" si="579"/>
        <v>1</v>
      </c>
      <c r="BK246" s="251">
        <f t="shared" si="579"/>
        <v>1</v>
      </c>
      <c r="BL246" s="252">
        <f t="shared" si="579"/>
        <v>1</v>
      </c>
      <c r="BM246" s="249">
        <f t="shared" si="579"/>
        <v>1</v>
      </c>
      <c r="BN246" s="250">
        <f t="shared" si="579"/>
        <v>1</v>
      </c>
      <c r="BO246" s="250">
        <f t="shared" si="579"/>
        <v>1</v>
      </c>
      <c r="BP246" s="251">
        <f t="shared" si="579"/>
        <v>1</v>
      </c>
      <c r="BQ246" s="252">
        <f t="shared" si="579"/>
        <v>1</v>
      </c>
      <c r="BR246" s="45"/>
      <c r="BS246" s="45"/>
      <c r="BT246" s="45"/>
      <c r="BU246" s="45"/>
      <c r="BV246" s="45"/>
      <c r="BW246" s="45"/>
      <c r="BX246" s="45"/>
      <c r="BY246" s="45"/>
      <c r="BZ246" s="45"/>
      <c r="CA246" s="45"/>
      <c r="CB246" s="45"/>
      <c r="CC246" s="45"/>
      <c r="CD246" s="45"/>
      <c r="CE246" s="45"/>
      <c r="CF246" s="45"/>
      <c r="CG246" s="45"/>
      <c r="CH246" s="45"/>
      <c r="CI246" s="45"/>
      <c r="CJ246" s="45"/>
      <c r="CK246" s="45"/>
      <c r="CL246" s="45"/>
      <c r="CM246" s="45"/>
      <c r="CN246" s="45"/>
      <c r="CO246" s="45"/>
      <c r="CP246" s="45"/>
      <c r="CQ246" s="45"/>
      <c r="CR246" s="45"/>
      <c r="CS246" s="45"/>
      <c r="CT246" s="45"/>
      <c r="CU246" s="45"/>
      <c r="CV246" s="45"/>
      <c r="CW246" s="45"/>
      <c r="CX246" s="45"/>
      <c r="CY246" s="45"/>
      <c r="CZ246" s="45"/>
    </row>
    <row r="247" spans="1:104" x14ac:dyDescent="0.2">
      <c r="A247" s="20"/>
      <c r="B247" s="20"/>
      <c r="C247" s="20"/>
      <c r="D247" s="20"/>
      <c r="E247" s="203"/>
      <c r="F247" s="204"/>
      <c r="G247" s="204"/>
      <c r="H247" s="205"/>
      <c r="I247" s="206"/>
      <c r="J247" s="203"/>
      <c r="K247" s="204"/>
      <c r="L247" s="204"/>
      <c r="M247" s="205"/>
      <c r="N247" s="206"/>
      <c r="O247" s="203"/>
      <c r="P247" s="204"/>
      <c r="Q247" s="204"/>
      <c r="R247" s="205"/>
      <c r="S247" s="206"/>
      <c r="T247" s="203"/>
      <c r="U247" s="204"/>
      <c r="V247" s="204"/>
      <c r="W247" s="205"/>
      <c r="X247" s="206"/>
      <c r="Y247" s="203"/>
      <c r="Z247" s="204"/>
      <c r="AA247" s="204"/>
      <c r="AB247" s="205"/>
      <c r="AC247" s="206"/>
      <c r="AD247" s="203"/>
      <c r="AE247" s="204"/>
      <c r="AF247" s="204"/>
      <c r="AG247" s="205"/>
      <c r="AH247" s="206"/>
      <c r="AI247" s="203"/>
      <c r="AJ247" s="204"/>
      <c r="AK247" s="204"/>
      <c r="AL247" s="205"/>
      <c r="AM247" s="206"/>
      <c r="AN247" s="203"/>
      <c r="AO247" s="204"/>
      <c r="AP247" s="204"/>
      <c r="AQ247" s="205"/>
      <c r="AR247" s="206"/>
      <c r="AS247" s="203"/>
      <c r="AT247" s="204"/>
      <c r="AU247" s="204"/>
      <c r="AV247" s="205"/>
      <c r="AW247" s="206"/>
      <c r="AX247" s="203"/>
      <c r="AY247" s="204"/>
      <c r="AZ247" s="204"/>
      <c r="BA247" s="205"/>
      <c r="BB247" s="206"/>
      <c r="BC247" s="203"/>
      <c r="BD247" s="204"/>
      <c r="BE247" s="204"/>
      <c r="BF247" s="205"/>
      <c r="BG247" s="206"/>
      <c r="BH247" s="203"/>
      <c r="BI247" s="204"/>
      <c r="BJ247" s="204"/>
      <c r="BK247" s="205"/>
      <c r="BL247" s="206"/>
      <c r="BM247" s="203"/>
      <c r="BN247" s="204"/>
      <c r="BO247" s="204"/>
      <c r="BP247" s="205"/>
      <c r="BQ247" s="206"/>
      <c r="BR247" s="20"/>
      <c r="BS247" s="20"/>
      <c r="BT247" s="20"/>
      <c r="BU247" s="20"/>
      <c r="BV247" s="20"/>
      <c r="BW247" s="20"/>
      <c r="BX247" s="20"/>
      <c r="BY247" s="20"/>
      <c r="BZ247" s="20"/>
      <c r="CA247" s="20"/>
      <c r="CB247" s="20"/>
      <c r="CC247" s="20"/>
      <c r="CD247" s="20"/>
      <c r="CE247" s="20"/>
      <c r="CF247" s="20"/>
      <c r="CG247" s="20"/>
      <c r="CH247" s="20"/>
      <c r="CI247" s="20"/>
      <c r="CJ247" s="20"/>
      <c r="CK247" s="20"/>
      <c r="CL247" s="20"/>
      <c r="CM247" s="20"/>
      <c r="CN247" s="20"/>
      <c r="CO247" s="20"/>
      <c r="CP247" s="20"/>
      <c r="CQ247" s="20"/>
      <c r="CR247" s="20"/>
      <c r="CS247" s="20"/>
      <c r="CT247" s="20"/>
      <c r="CU247" s="20"/>
      <c r="CV247" s="20"/>
      <c r="CW247" s="20"/>
      <c r="CX247" s="20"/>
      <c r="CY247" s="20"/>
      <c r="CZ247" s="20"/>
    </row>
    <row r="248" spans="1:104" x14ac:dyDescent="0.2">
      <c r="A248" s="20"/>
      <c r="B248" s="20"/>
      <c r="C248" s="20"/>
      <c r="D248" s="20"/>
      <c r="E248" s="203"/>
      <c r="F248" s="204"/>
      <c r="G248" s="204"/>
      <c r="H248" s="205"/>
      <c r="I248" s="206"/>
      <c r="J248" s="203"/>
      <c r="K248" s="204"/>
      <c r="L248" s="204"/>
      <c r="M248" s="205"/>
      <c r="N248" s="206"/>
      <c r="O248" s="203"/>
      <c r="P248" s="204"/>
      <c r="Q248" s="204"/>
      <c r="R248" s="205"/>
      <c r="S248" s="206"/>
      <c r="T248" s="203"/>
      <c r="U248" s="204"/>
      <c r="V248" s="204"/>
      <c r="W248" s="205"/>
      <c r="X248" s="206"/>
      <c r="Y248" s="203"/>
      <c r="Z248" s="204"/>
      <c r="AA248" s="204"/>
      <c r="AB248" s="205"/>
      <c r="AC248" s="206"/>
      <c r="AD248" s="203"/>
      <c r="AE248" s="204"/>
      <c r="AF248" s="204"/>
      <c r="AG248" s="205"/>
      <c r="AH248" s="206"/>
      <c r="AI248" s="203"/>
      <c r="AJ248" s="204"/>
      <c r="AK248" s="204"/>
      <c r="AL248" s="205"/>
      <c r="AM248" s="206"/>
      <c r="AN248" s="203"/>
      <c r="AO248" s="204"/>
      <c r="AP248" s="204"/>
      <c r="AQ248" s="205"/>
      <c r="AR248" s="206"/>
      <c r="AS248" s="203"/>
      <c r="AT248" s="204"/>
      <c r="AU248" s="204"/>
      <c r="AV248" s="205"/>
      <c r="AW248" s="206"/>
      <c r="AX248" s="203"/>
      <c r="AY248" s="204"/>
      <c r="AZ248" s="204"/>
      <c r="BA248" s="205"/>
      <c r="BB248" s="206"/>
      <c r="BC248" s="203"/>
      <c r="BD248" s="204"/>
      <c r="BE248" s="204"/>
      <c r="BF248" s="205"/>
      <c r="BG248" s="206"/>
      <c r="BH248" s="203"/>
      <c r="BI248" s="204"/>
      <c r="BJ248" s="204"/>
      <c r="BK248" s="205"/>
      <c r="BL248" s="206"/>
      <c r="BM248" s="203"/>
      <c r="BN248" s="204"/>
      <c r="BO248" s="204"/>
      <c r="BP248" s="205"/>
      <c r="BQ248" s="206"/>
      <c r="BR248" s="20"/>
      <c r="BS248" s="20"/>
      <c r="BT248" s="20"/>
      <c r="BU248" s="20"/>
      <c r="BV248" s="20"/>
      <c r="BW248" s="20"/>
      <c r="BX248" s="20"/>
      <c r="BY248" s="20"/>
      <c r="BZ248" s="20"/>
      <c r="CA248" s="20"/>
      <c r="CB248" s="20"/>
      <c r="CC248" s="20"/>
      <c r="CD248" s="20"/>
      <c r="CE248" s="20"/>
      <c r="CF248" s="20"/>
      <c r="CG248" s="20"/>
      <c r="CH248" s="20"/>
      <c r="CI248" s="20"/>
      <c r="CJ248" s="20"/>
      <c r="CK248" s="20"/>
      <c r="CL248" s="20"/>
      <c r="CM248" s="20"/>
      <c r="CN248" s="20"/>
      <c r="CO248" s="20"/>
      <c r="CP248" s="20"/>
      <c r="CQ248" s="20"/>
      <c r="CR248" s="20"/>
      <c r="CS248" s="20"/>
      <c r="CT248" s="20"/>
      <c r="CU248" s="20"/>
      <c r="CV248" s="20"/>
      <c r="CW248" s="20"/>
      <c r="CX248" s="20"/>
      <c r="CY248" s="20"/>
      <c r="CZ248" s="20"/>
    </row>
    <row r="249" spans="1:104" x14ac:dyDescent="0.2">
      <c r="A249" s="20"/>
      <c r="B249" s="16" t="s">
        <v>236</v>
      </c>
      <c r="C249" s="16"/>
      <c r="D249" s="17"/>
      <c r="E249" s="203"/>
      <c r="F249" s="204"/>
      <c r="G249" s="204"/>
      <c r="H249" s="205"/>
      <c r="I249" s="206"/>
      <c r="J249" s="203"/>
      <c r="K249" s="204"/>
      <c r="L249" s="204"/>
      <c r="M249" s="205"/>
      <c r="N249" s="206"/>
      <c r="O249" s="203"/>
      <c r="P249" s="204"/>
      <c r="Q249" s="204"/>
      <c r="R249" s="205"/>
      <c r="S249" s="206"/>
      <c r="T249" s="203"/>
      <c r="U249" s="204"/>
      <c r="V249" s="204"/>
      <c r="W249" s="205"/>
      <c r="X249" s="206"/>
      <c r="Y249" s="203"/>
      <c r="Z249" s="204"/>
      <c r="AA249" s="204"/>
      <c r="AB249" s="205"/>
      <c r="AC249" s="206"/>
      <c r="AD249" s="203"/>
      <c r="AE249" s="204"/>
      <c r="AF249" s="204"/>
      <c r="AG249" s="205"/>
      <c r="AH249" s="206"/>
      <c r="AI249" s="203"/>
      <c r="AJ249" s="204"/>
      <c r="AK249" s="204"/>
      <c r="AL249" s="205"/>
      <c r="AM249" s="206"/>
      <c r="AN249" s="203"/>
      <c r="AO249" s="204"/>
      <c r="AP249" s="204"/>
      <c r="AQ249" s="205"/>
      <c r="AR249" s="206"/>
      <c r="AS249" s="203"/>
      <c r="AT249" s="204"/>
      <c r="AU249" s="204"/>
      <c r="AV249" s="205"/>
      <c r="AW249" s="206"/>
      <c r="AX249" s="203"/>
      <c r="AY249" s="204"/>
      <c r="AZ249" s="204"/>
      <c r="BA249" s="205"/>
      <c r="BB249" s="206"/>
      <c r="BC249" s="203"/>
      <c r="BD249" s="204"/>
      <c r="BE249" s="204"/>
      <c r="BF249" s="205"/>
      <c r="BG249" s="206"/>
      <c r="BH249" s="203"/>
      <c r="BI249" s="204"/>
      <c r="BJ249" s="204"/>
      <c r="BK249" s="205"/>
      <c r="BL249" s="206"/>
      <c r="BM249" s="203"/>
      <c r="BN249" s="204"/>
      <c r="BO249" s="204"/>
      <c r="BP249" s="205"/>
      <c r="BQ249" s="206"/>
      <c r="BR249" s="20"/>
      <c r="BS249" s="20"/>
      <c r="BT249" s="20"/>
      <c r="BU249" s="20"/>
      <c r="BV249" s="20"/>
      <c r="BW249" s="20"/>
      <c r="BX249" s="20"/>
      <c r="BY249" s="20"/>
      <c r="BZ249" s="20"/>
      <c r="CA249" s="20"/>
      <c r="CB249" s="20"/>
      <c r="CC249" s="20"/>
      <c r="CD249" s="20"/>
      <c r="CE249" s="20"/>
      <c r="CF249" s="20"/>
      <c r="CG249" s="20"/>
      <c r="CH249" s="20"/>
      <c r="CI249" s="20"/>
      <c r="CJ249" s="20"/>
      <c r="CK249" s="20"/>
      <c r="CL249" s="20"/>
      <c r="CM249" s="20"/>
      <c r="CN249" s="20"/>
      <c r="CO249" s="20"/>
      <c r="CP249" s="20"/>
      <c r="CQ249" s="20"/>
      <c r="CR249" s="20"/>
      <c r="CS249" s="20"/>
      <c r="CT249" s="20"/>
      <c r="CU249" s="20"/>
      <c r="CV249" s="20"/>
      <c r="CW249" s="20"/>
      <c r="CX249" s="20"/>
      <c r="CY249" s="20"/>
      <c r="CZ249" s="20"/>
    </row>
    <row r="250" spans="1:104" x14ac:dyDescent="0.2">
      <c r="A250" s="220"/>
      <c r="B250" s="220"/>
      <c r="C250" s="70" t="s">
        <v>237</v>
      </c>
      <c r="D250" s="82"/>
      <c r="E250" s="136"/>
      <c r="F250" s="135"/>
      <c r="G250" s="122"/>
      <c r="H250" s="116">
        <f>SUM(E49:H49)+SUM(E21:H21)</f>
        <v>683.13699999999972</v>
      </c>
      <c r="I250" s="82">
        <f>I49+I21</f>
        <v>683.13699999999972</v>
      </c>
      <c r="J250" s="136">
        <f>SUM(J49,F49:H49)+SUM(J21,F21:H21)</f>
        <v>663.34999999999991</v>
      </c>
      <c r="K250" s="135">
        <f>SUM(J49:K49,G49:H49)+SUM(J21:K21,G21:H21)</f>
        <v>659.64199999999983</v>
      </c>
      <c r="L250" s="135">
        <f>SUM(J49:L49,H49)+SUM(J21:L21,H21)</f>
        <v>691.77399999999966</v>
      </c>
      <c r="M250" s="116">
        <f>SUM(J49:M49)+SUM(J21:M21)</f>
        <v>675.3610000000001</v>
      </c>
      <c r="N250" s="82">
        <f>N49+N21</f>
        <v>675.3610000000001</v>
      </c>
      <c r="O250" s="136">
        <f>SUM(O49,K49:M49)+SUM(O21,K21:M21)</f>
        <v>707.58799999999997</v>
      </c>
      <c r="P250" s="135">
        <f>SUM(O49:P49,L49:M49)+SUM(O21:P21,L21:M21)</f>
        <v>733.86800000000017</v>
      </c>
      <c r="Q250" s="135">
        <f>SUM(O49:Q49,M49)+SUM(O21:Q21,M21)</f>
        <v>771.74900000000002</v>
      </c>
      <c r="R250" s="116">
        <f>SUM(O49:R49)+SUM(O21:R21)</f>
        <v>734.00600000000031</v>
      </c>
      <c r="S250" s="82">
        <f>S49+S21</f>
        <v>734.00600000000031</v>
      </c>
      <c r="T250" s="136">
        <f>SUM(T49,P49:R49)+SUM(T21,P21:R21)</f>
        <v>717.32400000000075</v>
      </c>
      <c r="U250" s="135">
        <f>SUM(T49:U49,Q49:R49)+SUM(T21:U21,Q21:R21)</f>
        <v>711.98100000000068</v>
      </c>
      <c r="V250" s="135">
        <f>SUM(T49:V49,R49)+SUM(T21:V21,R21)</f>
        <v>700.54500000000075</v>
      </c>
      <c r="W250" s="116">
        <f>SUM(T49:W49)+SUM(T21:W21)</f>
        <v>739.57300000000009</v>
      </c>
      <c r="X250" s="82">
        <f>X49+X21</f>
        <v>739.57300000000009</v>
      </c>
      <c r="Y250" s="136">
        <f>SUM(Y49,U49:W49)+SUM(Y21,U21:W21)</f>
        <v>774.65699999999993</v>
      </c>
      <c r="Z250" s="135">
        <f>SUM(Y49:Z49,V49:W49)+SUM(Y21:Z21,V21:W21)</f>
        <v>791.85800000000006</v>
      </c>
      <c r="AA250" s="135">
        <f>SUM(Y49:AA49,W49)+SUM(Y21:AA21,W21)</f>
        <v>794.29</v>
      </c>
      <c r="AB250" s="116">
        <f>SUM(Y49:AB49)+SUM(Y21:AB21)</f>
        <v>807.93399999999997</v>
      </c>
      <c r="AC250" s="82">
        <f>AC49+AC21</f>
        <v>807.93399999999997</v>
      </c>
      <c r="AD250" s="136">
        <f>SUM(AD49,Z49:AB49)+SUM(AD21,Z21:AB21)</f>
        <v>804.43299999999977</v>
      </c>
      <c r="AE250" s="135">
        <f>SUM(AD49:AE49,AA49:AB49)+SUM(AD21:AE21,AA21:AB21)</f>
        <v>800.16899999999976</v>
      </c>
      <c r="AF250" s="135">
        <f>SUM(AD49:AF49,AB49)+SUM(AD21:AF21,AB21)</f>
        <v>793.14499999999987</v>
      </c>
      <c r="AG250" s="116">
        <f>SUM(AD49:AG49)+SUM(AD21:AG21)</f>
        <v>815.75499999999988</v>
      </c>
      <c r="AH250" s="82">
        <f>AH49+AH21</f>
        <v>815.75499999999988</v>
      </c>
      <c r="AI250" s="136">
        <f>SUM(AI49,AE49:AG49)+SUM(AI21,AE21:AG21)</f>
        <v>812.35600000000022</v>
      </c>
      <c r="AJ250" s="135">
        <f>SUM(AI49:AJ49,AF49:AG49)+SUM(AI21:AJ21,AF21:AG21)</f>
        <v>825.61000000000035</v>
      </c>
      <c r="AK250" s="135">
        <f>SUM(AI49:AK49,AG49)+SUM(AI21:AK21,AG21)</f>
        <v>883.4790000000005</v>
      </c>
      <c r="AL250" s="116">
        <f>SUM(AI49:AL49)+SUM(AI21:AL21)</f>
        <v>915.33200000000011</v>
      </c>
      <c r="AM250" s="82">
        <f>AM49+AM21</f>
        <v>915.33200000000011</v>
      </c>
      <c r="AN250" s="136">
        <f>SUM(AN49,AJ49:AL49)+SUM(AN21,AJ21:AL21)</f>
        <v>951.60799999999972</v>
      </c>
      <c r="AO250" s="135">
        <f>SUM(AN49:AO49,AK49:AL49)+SUM(AN21:AO21,AK21:AL21)</f>
        <v>986.80199999999968</v>
      </c>
      <c r="AP250" s="135">
        <f>SUM(AN49:AP49,AL49)+SUM(AN21:AP21,AL21)</f>
        <v>1047.5829999999994</v>
      </c>
      <c r="AQ250" s="116">
        <f>SUM(AN49:AQ49)+SUM(AN21:AQ21)</f>
        <v>1085.4020000000005</v>
      </c>
      <c r="AR250" s="82">
        <f>AR49+AR21</f>
        <v>1085.4020000000005</v>
      </c>
      <c r="AS250" s="136">
        <f>SUM(AS49,AO49:AQ49)+SUM(AS21,AO21:AQ21)</f>
        <v>1111.3210000000004</v>
      </c>
      <c r="AT250" s="135">
        <f>SUM(AS49:AT49,AP49:AQ49)+SUM(AS21:AT21,AP21:AQ21)</f>
        <v>1146.5150000000003</v>
      </c>
      <c r="AU250" s="135">
        <f>SUM(AS49:AU49,AQ49)+SUM(AS21:AU21,AQ21)</f>
        <v>1196.2970000000005</v>
      </c>
      <c r="AV250" s="116">
        <f>SUM(AS49:AV49)+SUM(AS21:AV21)</f>
        <v>1190.7580000000012</v>
      </c>
      <c r="AW250" s="82">
        <f>AW49+AW21</f>
        <v>1190.7580000000012</v>
      </c>
      <c r="AX250" s="136">
        <f>SUM(AX49,AT49:AV49)+SUM(AX21,AT21:AV21)</f>
        <v>1212.9892089921095</v>
      </c>
      <c r="AY250" s="135">
        <f>SUM(AX49:AY49,AU49:AV49)+SUM(AX21:AY21,AU21:AV21)</f>
        <v>1226.4793626030009</v>
      </c>
      <c r="AZ250" s="135">
        <f>SUM(AX49:AZ49,AV49)+SUM(AX21:AZ21,AV21)</f>
        <v>1214.2713235145784</v>
      </c>
      <c r="BA250" s="116">
        <f>SUM(AX49:BA49)+SUM(AX21:BA21)</f>
        <v>1248.2883062075252</v>
      </c>
      <c r="BB250" s="82">
        <f>BB49+BB21</f>
        <v>1248.2883062075252</v>
      </c>
      <c r="BC250" s="136">
        <f>SUM(BC49,AY49:BA49)+SUM(BC21,AY21:BA21)</f>
        <v>1272.1432927487028</v>
      </c>
      <c r="BD250" s="135">
        <f>SUM(BC49:BD49,AZ49:BA49)+SUM(BC21:BD21,AZ21:BA21)</f>
        <v>1296.9206819174956</v>
      </c>
      <c r="BE250" s="135">
        <f>SUM(BC49:BE49,BA49)+SUM(BC21:BE21,BA21)</f>
        <v>1325.5554501907686</v>
      </c>
      <c r="BF250" s="116">
        <f>SUM(BC49:BF49)+SUM(BC21:BF21)</f>
        <v>1348.7496097792566</v>
      </c>
      <c r="BG250" s="82">
        <f>BG49+BG21</f>
        <v>1348.7496097792566</v>
      </c>
      <c r="BH250" s="136">
        <f>SUM(BH49,BD49:BF49)+SUM(BH21,BD21:BF21)</f>
        <v>1364.7286798894572</v>
      </c>
      <c r="BI250" s="135">
        <f>SUM(BH49:BI49,BE49:BF49)+SUM(BH21:BI21,BE21:BF21)</f>
        <v>1383.3474783875404</v>
      </c>
      <c r="BJ250" s="135">
        <f>SUM(BH49:BJ49,BF49)+SUM(BH21:BJ21,BF21)</f>
        <v>1404.3121525353231</v>
      </c>
      <c r="BK250" s="116">
        <f>SUM(BH49:BK49)+SUM(BH21:BK21)</f>
        <v>1419.5966941859626</v>
      </c>
      <c r="BL250" s="82">
        <f>BL49+BL21</f>
        <v>1419.5966941859626</v>
      </c>
      <c r="BM250" s="136">
        <f>SUM(BM49,BI49:BK49)+SUM(BM21,BI21:BK21)</f>
        <v>1434.8369316673241</v>
      </c>
      <c r="BN250" s="135">
        <f>SUM(BM49:BN49,BJ49:BK49)+SUM(BM21:BN21,BJ21:BK21)</f>
        <v>1450.2823658420587</v>
      </c>
      <c r="BO250" s="135">
        <f>SUM(BM49:BO49,BK49)+SUM(BM21:BO21,BK21)</f>
        <v>1468.2455062129511</v>
      </c>
      <c r="BP250" s="116">
        <f>SUM(BM49:BP49)+SUM(BM21:BP21)</f>
        <v>1482.6125391912497</v>
      </c>
      <c r="BQ250" s="82">
        <f>BQ49+BQ21</f>
        <v>1482.6125391912497</v>
      </c>
      <c r="BR250" s="220"/>
      <c r="BS250" s="220"/>
      <c r="BT250" s="220"/>
      <c r="BU250" s="220"/>
      <c r="BV250" s="220"/>
      <c r="BW250" s="220"/>
      <c r="BX250" s="220"/>
      <c r="BY250" s="220"/>
      <c r="BZ250" s="220"/>
      <c r="CA250" s="220"/>
      <c r="CB250" s="220"/>
      <c r="CC250" s="220"/>
      <c r="CD250" s="220"/>
      <c r="CE250" s="220"/>
      <c r="CF250" s="220"/>
      <c r="CG250" s="220"/>
      <c r="CH250" s="220"/>
      <c r="CI250" s="220"/>
      <c r="CJ250" s="220"/>
      <c r="CK250" s="220"/>
      <c r="CL250" s="220"/>
      <c r="CM250" s="220"/>
      <c r="CN250" s="220"/>
      <c r="CO250" s="220"/>
      <c r="CP250" s="220"/>
      <c r="CQ250" s="220"/>
      <c r="CR250" s="220"/>
      <c r="CS250" s="220"/>
      <c r="CT250" s="220"/>
      <c r="CU250" s="220"/>
      <c r="CV250" s="220"/>
      <c r="CW250" s="220"/>
      <c r="CX250" s="220"/>
      <c r="CY250" s="220"/>
      <c r="CZ250" s="220"/>
    </row>
    <row r="251" spans="1:104" x14ac:dyDescent="0.2">
      <c r="A251" s="220"/>
      <c r="B251" s="220"/>
      <c r="C251" s="70" t="s">
        <v>238</v>
      </c>
      <c r="D251" s="82"/>
      <c r="E251" s="136"/>
      <c r="F251" s="135"/>
      <c r="G251" s="122"/>
      <c r="H251" s="116">
        <f>SUM(E32:H32)</f>
        <v>645.93900000000008</v>
      </c>
      <c r="I251" s="82">
        <f>+I32</f>
        <v>645.93899999999974</v>
      </c>
      <c r="J251" s="136">
        <f>SUM(J32,F32:H32)</f>
        <v>631.33400000000017</v>
      </c>
      <c r="K251" s="135">
        <f>SUM(J32:K32,G32:H32)</f>
        <v>623.94200000000023</v>
      </c>
      <c r="L251" s="135">
        <f>SUM(J32:L32,H32)</f>
        <v>650.28100000000006</v>
      </c>
      <c r="M251" s="116">
        <f>SUM(J32:M32)</f>
        <v>637.71599999999989</v>
      </c>
      <c r="N251" s="82">
        <f>+N32</f>
        <v>637.71600000000012</v>
      </c>
      <c r="O251" s="136">
        <f>SUM(O32,K32:M32)</f>
        <v>673.94699999999966</v>
      </c>
      <c r="P251" s="135">
        <f>SUM(O32:P32,L32:M32)</f>
        <v>703.30199999999991</v>
      </c>
      <c r="Q251" s="135">
        <f>SUM(O32:Q32,M32)</f>
        <v>739.33799999999985</v>
      </c>
      <c r="R251" s="116">
        <f>SUM(O32:R32)</f>
        <v>731.8159999999998</v>
      </c>
      <c r="S251" s="82">
        <f>+S32</f>
        <v>731.81600000000037</v>
      </c>
      <c r="T251" s="136">
        <f>SUM(T32,P32:R32)</f>
        <v>687.63400000000024</v>
      </c>
      <c r="U251" s="135">
        <f>SUM(T32:U32,Q32:R32)</f>
        <v>690.61500000000001</v>
      </c>
      <c r="V251" s="135">
        <f>SUM(T32:V32,R32)</f>
        <v>695.2470000000003</v>
      </c>
      <c r="W251" s="116">
        <f>SUM(T32:W32)</f>
        <v>696.37400000000014</v>
      </c>
      <c r="X251" s="82">
        <f>+X32</f>
        <v>696.37400000000002</v>
      </c>
      <c r="Y251" s="136">
        <f>SUM(Y32,U32:W32)</f>
        <v>740.96300000000008</v>
      </c>
      <c r="Z251" s="135">
        <f>SUM(Y32:Z32,V32:W32)</f>
        <v>746.57000000000016</v>
      </c>
      <c r="AA251" s="135">
        <f>SUM(Y32:AA32,W32)</f>
        <v>749.92899999999997</v>
      </c>
      <c r="AB251" s="116">
        <f>SUM(Y32:AB32)</f>
        <v>749.01299999999935</v>
      </c>
      <c r="AC251" s="82">
        <f>+AC32</f>
        <v>749.01299999999992</v>
      </c>
      <c r="AD251" s="136">
        <f>SUM(AD32,Z32:AB32)</f>
        <v>772.26799999999912</v>
      </c>
      <c r="AE251" s="135">
        <f>SUM(AD32:AE32,AA32:AB32)</f>
        <v>779.70599999999911</v>
      </c>
      <c r="AF251" s="135">
        <f>SUM(AD32:AF32,AB32)</f>
        <v>765.59899999999925</v>
      </c>
      <c r="AG251" s="116">
        <f>SUM(AD32:AG32)</f>
        <v>791.96099999999979</v>
      </c>
      <c r="AH251" s="82">
        <f>+AH32</f>
        <v>791.9609999999999</v>
      </c>
      <c r="AI251" s="136">
        <f>SUM(AI32,AE32:AG32)</f>
        <v>639.74400000000014</v>
      </c>
      <c r="AJ251" s="135">
        <f>SUM(AI32:AJ32,AF32:AG32)</f>
        <v>638.82000000000028</v>
      </c>
      <c r="AK251" s="135">
        <f>SUM(AI32:AK32,AG32)</f>
        <v>698.11300000000051</v>
      </c>
      <c r="AL251" s="116">
        <f>SUM(AI32:AL32)</f>
        <v>733.61100000000056</v>
      </c>
      <c r="AM251" s="82">
        <f>+AM32</f>
        <v>733.6110000000001</v>
      </c>
      <c r="AN251" s="136">
        <f>SUM(AN32,AJ32:AL32)</f>
        <v>867.27400000000034</v>
      </c>
      <c r="AO251" s="135">
        <f>SUM(AN32:AO32,AK32:AL32)</f>
        <v>873.84600000000023</v>
      </c>
      <c r="AP251" s="135">
        <f>SUM(AN32:AP32,AL32)</f>
        <v>910.96100000000001</v>
      </c>
      <c r="AQ251" s="116">
        <f>SUM(AN32:AQ32)</f>
        <v>927.23900000000003</v>
      </c>
      <c r="AR251" s="82">
        <f>+AR32</f>
        <v>927.23900000000037</v>
      </c>
      <c r="AS251" s="136">
        <f>SUM(AS32,AO32:AQ32)</f>
        <v>922.05000000000007</v>
      </c>
      <c r="AT251" s="135">
        <f>SUM(AS32:AT32,AP32:AQ32)</f>
        <v>931.423</v>
      </c>
      <c r="AU251" s="135">
        <f>SUM(AS32:AU32,AQ32)</f>
        <v>925.59799999999996</v>
      </c>
      <c r="AV251" s="116">
        <f>SUM(AS32:AV32)</f>
        <v>903.14700000000039</v>
      </c>
      <c r="AW251" s="82">
        <f>+AW32</f>
        <v>903.14700000000119</v>
      </c>
      <c r="AX251" s="136">
        <f>SUM(AX32,AT32:AV32)</f>
        <v>902.70931422065223</v>
      </c>
      <c r="AY251" s="135">
        <f>SUM(AX32:AY32,AU32:AV32)</f>
        <v>894.17328484476911</v>
      </c>
      <c r="AZ251" s="135">
        <f>SUM(AX32:AZ32,AV32)</f>
        <v>863.07178924062737</v>
      </c>
      <c r="BA251" s="116">
        <f>SUM(AX32:BA32)</f>
        <v>855.23119431099599</v>
      </c>
      <c r="BB251" s="82">
        <f>+BB32</f>
        <v>855.23119431099519</v>
      </c>
      <c r="BC251" s="136">
        <f>SUM(BC32,AY32:BA32)</f>
        <v>876.26436058279717</v>
      </c>
      <c r="BD251" s="135">
        <f>SUM(BC32:BD32,AZ32:BA32)</f>
        <v>898.92139854816412</v>
      </c>
      <c r="BE251" s="135">
        <f>SUM(BC32:BE32,BA32)</f>
        <v>927.16116782732593</v>
      </c>
      <c r="BF251" s="116">
        <f>SUM(BC32:BF32)</f>
        <v>944.73961524160188</v>
      </c>
      <c r="BG251" s="82">
        <f>+BG32</f>
        <v>944.73961524160268</v>
      </c>
      <c r="BH251" s="136">
        <f>SUM(BH32,BD32:BF32)</f>
        <v>956.96860498003957</v>
      </c>
      <c r="BI251" s="135">
        <f>SUM(BH32:BI32,BE32:BF32)</f>
        <v>965.59572630255877</v>
      </c>
      <c r="BJ251" s="135">
        <f>SUM(BH32:BJ32,BF32)</f>
        <v>984.27836612324336</v>
      </c>
      <c r="BK251" s="116">
        <f>SUM(BH32:BK32)</f>
        <v>995.5561824068036</v>
      </c>
      <c r="BL251" s="82">
        <f>+BL32</f>
        <v>995.55618240680337</v>
      </c>
      <c r="BM251" s="136">
        <f>SUM(BM32,BI32:BK32)</f>
        <v>1002.9520013429799</v>
      </c>
      <c r="BN251" s="135">
        <f>SUM(BM32:BN32,BJ32:BK32)</f>
        <v>1015.6948417039009</v>
      </c>
      <c r="BO251" s="135">
        <f>SUM(BM32:BO32,BK32)</f>
        <v>1034.4014808758509</v>
      </c>
      <c r="BP251" s="116">
        <f>SUM(BM32:BP32)</f>
        <v>1045.3140838313057</v>
      </c>
      <c r="BQ251" s="82">
        <f>+BQ32</f>
        <v>1045.3140838313063</v>
      </c>
      <c r="BR251" s="220"/>
      <c r="BS251" s="220"/>
      <c r="BT251" s="220"/>
      <c r="BU251" s="220"/>
      <c r="BV251" s="220"/>
      <c r="BW251" s="220"/>
      <c r="BX251" s="220"/>
      <c r="BY251" s="220"/>
      <c r="BZ251" s="220"/>
      <c r="CA251" s="220"/>
      <c r="CB251" s="220"/>
      <c r="CC251" s="220"/>
      <c r="CD251" s="220"/>
      <c r="CE251" s="220"/>
      <c r="CF251" s="220"/>
      <c r="CG251" s="220"/>
      <c r="CH251" s="220"/>
      <c r="CI251" s="220"/>
      <c r="CJ251" s="220"/>
      <c r="CK251" s="220"/>
      <c r="CL251" s="220"/>
      <c r="CM251" s="220"/>
      <c r="CN251" s="220"/>
      <c r="CO251" s="220"/>
      <c r="CP251" s="220"/>
      <c r="CQ251" s="220"/>
      <c r="CR251" s="220"/>
      <c r="CS251" s="220"/>
      <c r="CT251" s="220"/>
      <c r="CU251" s="220"/>
      <c r="CV251" s="220"/>
      <c r="CW251" s="220"/>
      <c r="CX251" s="220"/>
      <c r="CY251" s="220"/>
      <c r="CZ251" s="220"/>
    </row>
    <row r="252" spans="1:104" x14ac:dyDescent="0.2">
      <c r="A252" s="220"/>
      <c r="B252" s="220"/>
      <c r="C252" s="70" t="s">
        <v>239</v>
      </c>
      <c r="D252" s="82"/>
      <c r="E252" s="136"/>
      <c r="F252" s="135"/>
      <c r="G252" s="122"/>
      <c r="H252" s="116">
        <f>SUM(E33:H33)</f>
        <v>1035.306</v>
      </c>
      <c r="I252" s="82">
        <f>+I33</f>
        <v>1035.3059999999998</v>
      </c>
      <c r="J252" s="136">
        <f>SUM(J33,F33:H33)</f>
        <v>1012.9740000000002</v>
      </c>
      <c r="K252" s="135">
        <f>SUM(J33:K33,G33:H33)</f>
        <v>1007.7320000000002</v>
      </c>
      <c r="L252" s="135">
        <f>SUM(J33:L33,H33)</f>
        <v>1048.9650000000001</v>
      </c>
      <c r="M252" s="116">
        <f>SUM(J33:M33)</f>
        <v>1038.8519999999999</v>
      </c>
      <c r="N252" s="82">
        <f>+N33</f>
        <v>1038.8520000000001</v>
      </c>
      <c r="O252" s="136">
        <f>SUM(O33,K33:M33)</f>
        <v>1079.2739999999999</v>
      </c>
      <c r="P252" s="135">
        <f>SUM(O33:P33,L33:M33)</f>
        <v>1113.7260000000001</v>
      </c>
      <c r="Q252" s="135">
        <f>SUM(O33:Q33,M33)</f>
        <v>1155.5279999999998</v>
      </c>
      <c r="R252" s="116">
        <f>SUM(O33:R33)</f>
        <v>1112.8409999999999</v>
      </c>
      <c r="S252" s="82">
        <f>+S33</f>
        <v>1112.8410000000003</v>
      </c>
      <c r="T252" s="136">
        <f>SUM(T33,P33:R33)</f>
        <v>1067.1660000000002</v>
      </c>
      <c r="U252" s="135">
        <f>SUM(T33:U33,Q33:R33)</f>
        <v>1065.7150000000001</v>
      </c>
      <c r="V252" s="135">
        <f>SUM(T33:V33,R33)</f>
        <v>1064.8020000000004</v>
      </c>
      <c r="W252" s="116">
        <f>SUM(T33:W33)</f>
        <v>1095.8060000000003</v>
      </c>
      <c r="X252" s="82">
        <f>+X33</f>
        <v>1095.806</v>
      </c>
      <c r="Y252" s="136">
        <f>SUM(Y33,U33:W33)</f>
        <v>1150.5000000000002</v>
      </c>
      <c r="Z252" s="135">
        <f>SUM(Y33:Z33,V33:W33)</f>
        <v>1159.9190000000003</v>
      </c>
      <c r="AA252" s="135">
        <f>SUM(Y33:AA33,W33)</f>
        <v>1146.615</v>
      </c>
      <c r="AB252" s="116">
        <f>SUM(Y33:AB33)</f>
        <v>1163.6009999999994</v>
      </c>
      <c r="AC252" s="82">
        <f>+AC33</f>
        <v>1163.6009999999999</v>
      </c>
      <c r="AD252" s="136">
        <f>SUM(AD33,Z33:AB33)</f>
        <v>1176.9559999999992</v>
      </c>
      <c r="AE252" s="135">
        <f>SUM(AD33:AE33,AA33:AB33)</f>
        <v>1182.5649999999991</v>
      </c>
      <c r="AF252" s="135">
        <f>SUM(AD33:AF33,AB33)</f>
        <v>1182.0709999999992</v>
      </c>
      <c r="AG252" s="116">
        <f>SUM(AD33:AG33)</f>
        <v>1202.8009999999997</v>
      </c>
      <c r="AH252" s="82">
        <f>+AH33</f>
        <v>1202.8009999999999</v>
      </c>
      <c r="AI252" s="136">
        <f>SUM(AI33,AE33:AG33)</f>
        <v>1069.4740000000002</v>
      </c>
      <c r="AJ252" s="135">
        <f>SUM(AI33:AJ33,AF33:AG33)</f>
        <v>1082.8890000000004</v>
      </c>
      <c r="AK252" s="135">
        <f>SUM(AI33:AK33,AG33)</f>
        <v>1158.9710000000005</v>
      </c>
      <c r="AL252" s="116">
        <f>SUM(AI33:AL33)</f>
        <v>1212.9530000000004</v>
      </c>
      <c r="AM252" s="82">
        <f>+AM33</f>
        <v>1212.953</v>
      </c>
      <c r="AN252" s="136">
        <f>SUM(AN33,AJ33:AL33)</f>
        <v>1374.3380000000002</v>
      </c>
      <c r="AO252" s="135">
        <f>SUM(AN33:AO33,AK33:AL33)</f>
        <v>1412.1090000000004</v>
      </c>
      <c r="AP252" s="135">
        <f>SUM(AN33:AP33,AL33)</f>
        <v>1479.002</v>
      </c>
      <c r="AQ252" s="116">
        <f>SUM(AN33:AQ33)</f>
        <v>1523.8969999999999</v>
      </c>
      <c r="AR252" s="82">
        <f>+AR33</f>
        <v>1523.8970000000004</v>
      </c>
      <c r="AS252" s="136">
        <f>SUM(AS33,AO33:AQ33)</f>
        <v>1545.0900000000001</v>
      </c>
      <c r="AT252" s="135">
        <f>SUM(AS33:AT33,AP33:AQ33)</f>
        <v>1580.1710000000003</v>
      </c>
      <c r="AU252" s="135">
        <f>SUM(AS33:AU33,AQ33)</f>
        <v>1601.6770000000001</v>
      </c>
      <c r="AV252" s="116">
        <f>SUM(AS33:AV33)</f>
        <v>1603.7840000000003</v>
      </c>
      <c r="AW252" s="82">
        <f>+AW33</f>
        <v>1603.784000000001</v>
      </c>
      <c r="AX252" s="136">
        <f>SUM(AX33,AT33:AV33)</f>
        <v>1615.7086622206521</v>
      </c>
      <c r="AY252" s="135">
        <f>SUM(AX33:AY33,AU33:AV33)</f>
        <v>1619.0268717877689</v>
      </c>
      <c r="AZ252" s="135">
        <f>SUM(AX33:AZ33,AV33)</f>
        <v>1598.5943949827463</v>
      </c>
      <c r="BA252" s="116">
        <f>SUM(AX33:BA33)</f>
        <v>1601.9599715655477</v>
      </c>
      <c r="BB252" s="82">
        <f>+BB33</f>
        <v>1601.959971565547</v>
      </c>
      <c r="BC252" s="136">
        <f>SUM(BC33,AY33:BA33)</f>
        <v>1628.8815237795729</v>
      </c>
      <c r="BD252" s="135">
        <f>SUM(BC33:BD33,AZ33:BA33)</f>
        <v>1657.3833778880478</v>
      </c>
      <c r="BE252" s="135">
        <f>SUM(BC33:BE33,BA33)</f>
        <v>1693.3995206786735</v>
      </c>
      <c r="BF252" s="116">
        <f>SUM(BC33:BF33)</f>
        <v>1720.6570180722556</v>
      </c>
      <c r="BG252" s="82">
        <f>+BG33</f>
        <v>1720.6570180722563</v>
      </c>
      <c r="BH252" s="136">
        <f>SUM(BH33,BD33:BF33)</f>
        <v>1742.9457179894598</v>
      </c>
      <c r="BI252" s="135">
        <f>SUM(BH33:BI33,BE33:BF33)</f>
        <v>1766.9082955566641</v>
      </c>
      <c r="BJ252" s="135">
        <f>SUM(BH33:BJ33,BF33)</f>
        <v>1798.9193446136214</v>
      </c>
      <c r="BK252" s="116">
        <f>SUM(BH33:BK33)</f>
        <v>1821.5494108280745</v>
      </c>
      <c r="BL252" s="82">
        <f>+BL33</f>
        <v>1821.5494108280743</v>
      </c>
      <c r="BM252" s="136">
        <f>SUM(BM33,BI33:BK33)</f>
        <v>1841.2319543954127</v>
      </c>
      <c r="BN252" s="135">
        <f>SUM(BM33:BN33,BJ33:BK33)</f>
        <v>1862.3111198834958</v>
      </c>
      <c r="BO252" s="135">
        <f>SUM(BM33:BO33,BK33)</f>
        <v>1889.7472449839661</v>
      </c>
      <c r="BP252" s="116">
        <f>SUM(BM33:BP33)</f>
        <v>1909.776697868492</v>
      </c>
      <c r="BQ252" s="82">
        <f>+BQ33</f>
        <v>1909.7766978684926</v>
      </c>
      <c r="BR252" s="220"/>
      <c r="BS252" s="220"/>
      <c r="BT252" s="220"/>
      <c r="BU252" s="220"/>
      <c r="BV252" s="220"/>
      <c r="BW252" s="220"/>
      <c r="BX252" s="220"/>
      <c r="BY252" s="220"/>
      <c r="BZ252" s="220"/>
      <c r="CA252" s="220"/>
      <c r="CB252" s="220"/>
      <c r="CC252" s="220"/>
      <c r="CD252" s="220"/>
      <c r="CE252" s="220"/>
      <c r="CF252" s="220"/>
      <c r="CG252" s="220"/>
      <c r="CH252" s="220"/>
      <c r="CI252" s="220"/>
      <c r="CJ252" s="220"/>
      <c r="CK252" s="220"/>
      <c r="CL252" s="220"/>
      <c r="CM252" s="220"/>
      <c r="CN252" s="220"/>
      <c r="CO252" s="220"/>
      <c r="CP252" s="220"/>
      <c r="CQ252" s="220"/>
      <c r="CR252" s="220"/>
      <c r="CS252" s="220"/>
      <c r="CT252" s="220"/>
      <c r="CU252" s="220"/>
      <c r="CV252" s="220"/>
      <c r="CW252" s="220"/>
      <c r="CX252" s="220"/>
      <c r="CY252" s="220"/>
      <c r="CZ252" s="220"/>
    </row>
    <row r="253" spans="1:104" x14ac:dyDescent="0.2">
      <c r="A253" s="220"/>
      <c r="B253" s="220"/>
      <c r="C253" s="70" t="s">
        <v>240</v>
      </c>
      <c r="D253" s="82"/>
      <c r="E253" s="136"/>
      <c r="F253" s="135"/>
      <c r="G253" s="122"/>
      <c r="H253" s="116">
        <f>SUM(E35:H35)</f>
        <v>194.80799999999999</v>
      </c>
      <c r="I253" s="82">
        <f>+SUM(I35:I35)</f>
        <v>194.80799999999999</v>
      </c>
      <c r="J253" s="136">
        <f>SUM(J35:J35,F35:H35)</f>
        <v>194.90399999999997</v>
      </c>
      <c r="K253" s="135">
        <f>SUM(J35:K35,G35:H35)</f>
        <v>194.42899999999997</v>
      </c>
      <c r="L253" s="135">
        <f>SUM(J35:L35,H35:H35)</f>
        <v>197.18499999999997</v>
      </c>
      <c r="M253" s="116">
        <f>SUM(J35:M35)</f>
        <v>201.43100000000001</v>
      </c>
      <c r="N253" s="82">
        <f>+SUM(N35:N35)</f>
        <v>201.43100000000001</v>
      </c>
      <c r="O253" s="136">
        <f>SUM(O35:O35,K35:M35)</f>
        <v>202.86500000000001</v>
      </c>
      <c r="P253" s="135">
        <f>SUM(O35:P35,L35:M35)</f>
        <v>205.82599999999999</v>
      </c>
      <c r="Q253" s="135">
        <f>SUM(O35:Q35,M35:M35)</f>
        <v>207.48800000000003</v>
      </c>
      <c r="R253" s="116">
        <f>SUM(O35:R35)</f>
        <v>208.00299999999999</v>
      </c>
      <c r="S253" s="82">
        <f>+SUM(S35:S35)</f>
        <v>208.00299999999999</v>
      </c>
      <c r="T253" s="136">
        <f>SUM(T35:T35,P35:R35)</f>
        <v>208.50799999999998</v>
      </c>
      <c r="U253" s="135">
        <f>SUM(T35:U35,Q35:R35)</f>
        <v>208.47699999999998</v>
      </c>
      <c r="V253" s="135">
        <f>SUM(T35:V35,R35:R35)</f>
        <v>208.48799999999994</v>
      </c>
      <c r="W253" s="116">
        <f>SUM(T35:W35)</f>
        <v>201.15799999999999</v>
      </c>
      <c r="X253" s="82">
        <f>+SUM(X35:X35)</f>
        <v>201.15799999999999</v>
      </c>
      <c r="Y253" s="136">
        <f>SUM(Y35:Y35,U35:W35)</f>
        <v>194.15200000000002</v>
      </c>
      <c r="Z253" s="135">
        <f>SUM(Y35:Z35,V35:W35)</f>
        <v>188.34700000000001</v>
      </c>
      <c r="AA253" s="135">
        <f>SUM(Y35:AA35,W35:W35)</f>
        <v>186.57400000000001</v>
      </c>
      <c r="AB253" s="116">
        <f>SUM(Y35:AB35)</f>
        <v>191.88900000000001</v>
      </c>
      <c r="AC253" s="82">
        <f>+SUM(AC35:AC35)</f>
        <v>191.88900000000001</v>
      </c>
      <c r="AD253" s="136">
        <f>SUM(AD35:AD35,Z35:AB35)</f>
        <v>194.227</v>
      </c>
      <c r="AE253" s="135">
        <f>SUM(AD35:AE35,AA35:AB35)</f>
        <v>196.83900000000003</v>
      </c>
      <c r="AF253" s="135">
        <f>SUM(AD35:AF35,AB35:AB35)</f>
        <v>197.715</v>
      </c>
      <c r="AG253" s="116">
        <f>SUM(AD35:AG35)</f>
        <v>199.667</v>
      </c>
      <c r="AH253" s="82">
        <f>+SUM(AH35:AH35)</f>
        <v>199.667</v>
      </c>
      <c r="AI253" s="136">
        <f>SUM(AI35:AI35,AE35:AG35)</f>
        <v>203.97800000000001</v>
      </c>
      <c r="AJ253" s="135">
        <f>SUM(AI35:AJ35,AF35:AG35)</f>
        <v>203.983</v>
      </c>
      <c r="AK253" s="135">
        <f>SUM(AI35:AK35,AG35:AG35)</f>
        <v>205.95200000000003</v>
      </c>
      <c r="AL253" s="116">
        <f>SUM(AI35:AL35)</f>
        <v>208.76300000000001</v>
      </c>
      <c r="AM253" s="82">
        <f>+SUM(AM35:AM35)</f>
        <v>208.76300000000001</v>
      </c>
      <c r="AN253" s="136">
        <f>SUM(AN35:AN35,AJ35:AL35)</f>
        <v>211.01500000000001</v>
      </c>
      <c r="AO253" s="135">
        <f>SUM(AN35:AO35,AK35:AL35)</f>
        <v>218.05699999999999</v>
      </c>
      <c r="AP253" s="135">
        <f>SUM(AN35:AP35,AL35:AL35)</f>
        <v>222.76400000000001</v>
      </c>
      <c r="AQ253" s="116">
        <f>SUM(AN35:AQ35)</f>
        <v>226.547</v>
      </c>
      <c r="AR253" s="82">
        <f>+SUM(AR35:AR35)</f>
        <v>226.547</v>
      </c>
      <c r="AS253" s="136">
        <f>SUM(AS35:AS35,AO35:AQ35)</f>
        <v>229.79599999999999</v>
      </c>
      <c r="AT253" s="135">
        <f>SUM(AS35:AT35,AP35:AQ35)</f>
        <v>231.36699999999999</v>
      </c>
      <c r="AU253" s="135">
        <f>SUM(AS35:AU35,AQ35:AQ35)</f>
        <v>231.08499999999998</v>
      </c>
      <c r="AV253" s="116">
        <f>SUM(AS35:AV35)</f>
        <v>228.40100000000001</v>
      </c>
      <c r="AW253" s="82">
        <f>+SUM(AW35:AW35)</f>
        <v>228.40100000000001</v>
      </c>
      <c r="AX253" s="136">
        <f>SUM(AX35:AX35,AT35:AV35)</f>
        <v>230.54099500000001</v>
      </c>
      <c r="AY253" s="135">
        <f>SUM(AX35:AY35,AU35:AV35)</f>
        <v>231.65716733194839</v>
      </c>
      <c r="AZ253" s="135">
        <f>SUM(AX35:AZ35,AV35:AV35)</f>
        <v>233.85735107080882</v>
      </c>
      <c r="BA253" s="116">
        <f>SUM(AX35:BA35)</f>
        <v>236.21698796102896</v>
      </c>
      <c r="BB253" s="82">
        <f>+SUM(BB35:BB35)</f>
        <v>236.21698796102896</v>
      </c>
      <c r="BC253" s="136">
        <f>SUM(BC35:BC35,AY35:BA35)</f>
        <v>236.58208167006933</v>
      </c>
      <c r="BD253" s="135">
        <f>SUM(BC35:BD35,AZ35:BA35)</f>
        <v>237.33262088455808</v>
      </c>
      <c r="BE253" s="135">
        <f>SUM(BC35:BE35,BA35:BA35)</f>
        <v>241.19688918704139</v>
      </c>
      <c r="BF253" s="116">
        <f>SUM(BC35:BF35)</f>
        <v>243.81430376903486</v>
      </c>
      <c r="BG253" s="82">
        <f>+SUM(BG35:BG35)</f>
        <v>243.81430376903486</v>
      </c>
      <c r="BH253" s="136">
        <f>SUM(BH35:BH35,BD35:BF35)</f>
        <v>246.43886282614693</v>
      </c>
      <c r="BI253" s="135">
        <f>SUM(BH35:BI35,BE35:BF35)</f>
        <v>248.84106331097612</v>
      </c>
      <c r="BJ253" s="135">
        <f>SUM(BH35:BJ35,BF35:BF35)</f>
        <v>255.71811221946902</v>
      </c>
      <c r="BK253" s="116">
        <f>SUM(BH35:BK35)</f>
        <v>259.93902117001909</v>
      </c>
      <c r="BL253" s="82">
        <f>+SUM(BL35:BL35)</f>
        <v>259.93902117001909</v>
      </c>
      <c r="BM253" s="136">
        <f>SUM(BM35:BM35,BI35:BK35)</f>
        <v>264.16170055465744</v>
      </c>
      <c r="BN253" s="135">
        <f>SUM(BM35:BN35,BJ35:BK35)</f>
        <v>268.40371393151133</v>
      </c>
      <c r="BO253" s="135">
        <f>SUM(BM35:BO35,BK35:BK35)</f>
        <v>275.88574997221502</v>
      </c>
      <c r="BP253" s="116">
        <f>SUM(BM35:BP35)</f>
        <v>280.68076440302031</v>
      </c>
      <c r="BQ253" s="82">
        <f>+SUM(BQ35:BQ35)</f>
        <v>280.68076440302031</v>
      </c>
      <c r="BR253" s="220"/>
      <c r="BS253" s="220"/>
      <c r="BT253" s="220"/>
      <c r="BU253" s="220"/>
      <c r="BV253" s="220"/>
      <c r="BW253" s="220"/>
      <c r="BX253" s="220"/>
      <c r="BY253" s="220"/>
      <c r="BZ253" s="220"/>
      <c r="CA253" s="220"/>
      <c r="CB253" s="220"/>
      <c r="CC253" s="220"/>
      <c r="CD253" s="220"/>
      <c r="CE253" s="220"/>
      <c r="CF253" s="220"/>
      <c r="CG253" s="220"/>
      <c r="CH253" s="220"/>
      <c r="CI253" s="220"/>
      <c r="CJ253" s="220"/>
      <c r="CK253" s="220"/>
      <c r="CL253" s="220"/>
      <c r="CM253" s="220"/>
      <c r="CN253" s="220"/>
      <c r="CO253" s="220"/>
      <c r="CP253" s="220"/>
      <c r="CQ253" s="220"/>
      <c r="CR253" s="220"/>
      <c r="CS253" s="220"/>
      <c r="CT253" s="220"/>
      <c r="CU253" s="220"/>
      <c r="CV253" s="220"/>
      <c r="CW253" s="220"/>
      <c r="CX253" s="220"/>
      <c r="CY253" s="220"/>
      <c r="CZ253" s="220"/>
    </row>
    <row r="254" spans="1:104" x14ac:dyDescent="0.2">
      <c r="A254" s="220"/>
      <c r="B254" s="220"/>
      <c r="C254" s="70" t="s">
        <v>241</v>
      </c>
      <c r="D254" s="82"/>
      <c r="E254" s="136"/>
      <c r="F254" s="135"/>
      <c r="G254" s="122"/>
      <c r="H254" s="116">
        <f>SUM(E49:H49)</f>
        <v>293.76999999999975</v>
      </c>
      <c r="I254" s="82">
        <f>I49</f>
        <v>293.76999999999975</v>
      </c>
      <c r="J254" s="136">
        <f>SUM(J49,F49:H49)</f>
        <v>281.70999999999987</v>
      </c>
      <c r="K254" s="135">
        <f>SUM(J49:K49,G49:H49)</f>
        <v>275.85199999999986</v>
      </c>
      <c r="L254" s="135">
        <f>SUM(J49:L49,H49)</f>
        <v>293.08999999999975</v>
      </c>
      <c r="M254" s="116">
        <f>SUM(J49:M49)</f>
        <v>274.22500000000014</v>
      </c>
      <c r="N254" s="82">
        <f>N49</f>
        <v>274.22500000000014</v>
      </c>
      <c r="O254" s="136">
        <f>SUM(O49,K49:M49)</f>
        <v>302.26099999999991</v>
      </c>
      <c r="P254" s="135">
        <f>SUM(O49:P49,L49:M49)</f>
        <v>323.44400000000013</v>
      </c>
      <c r="Q254" s="135">
        <f>SUM(O49:Q49,M49)</f>
        <v>355.55900000000003</v>
      </c>
      <c r="R254" s="116">
        <f>SUM(O49:R49)</f>
        <v>352.98100000000034</v>
      </c>
      <c r="S254" s="82">
        <f>S49</f>
        <v>352.98100000000034</v>
      </c>
      <c r="T254" s="136">
        <f>SUM(T49,P49:R49)</f>
        <v>337.79200000000071</v>
      </c>
      <c r="U254" s="135">
        <f>SUM(T49:U49,Q49:R49)</f>
        <v>336.8810000000006</v>
      </c>
      <c r="V254" s="135">
        <f>SUM(T49:V49,R49)</f>
        <v>330.9900000000008</v>
      </c>
      <c r="W254" s="116">
        <f>SUM(T49:W49)</f>
        <v>340.14100000000008</v>
      </c>
      <c r="X254" s="82">
        <f>X49</f>
        <v>340.14100000000008</v>
      </c>
      <c r="Y254" s="136">
        <f>SUM(Y49,U49:W49)</f>
        <v>365.11999999999995</v>
      </c>
      <c r="Z254" s="135">
        <f>SUM(Y49:Z49,V49:W49)</f>
        <v>378.50900000000007</v>
      </c>
      <c r="AA254" s="135">
        <f>SUM(Y49:AA49,W49)</f>
        <v>397.60399999999993</v>
      </c>
      <c r="AB254" s="116">
        <f>SUM(Y49:AB49)</f>
        <v>393.346</v>
      </c>
      <c r="AC254" s="82">
        <f>AC49</f>
        <v>393.346</v>
      </c>
      <c r="AD254" s="136">
        <f>SUM(AD49,Z49:AB49)</f>
        <v>399.74499999999972</v>
      </c>
      <c r="AE254" s="135">
        <f>SUM(AD49:AE49,AA49:AB49)</f>
        <v>397.30999999999972</v>
      </c>
      <c r="AF254" s="135">
        <f>SUM(AD49:AF49,AB49)</f>
        <v>376.67299999999983</v>
      </c>
      <c r="AG254" s="116">
        <f>SUM(AD49:AG49)</f>
        <v>404.91499999999985</v>
      </c>
      <c r="AH254" s="82">
        <f>AH49</f>
        <v>404.91499999999985</v>
      </c>
      <c r="AI254" s="136">
        <f>SUM(AI49,AE49:AG49)</f>
        <v>382.62600000000026</v>
      </c>
      <c r="AJ254" s="135">
        <f>SUM(AI49:AJ49,AF49:AG49)</f>
        <v>381.54100000000034</v>
      </c>
      <c r="AK254" s="135">
        <f>SUM(AI49:AK49,AG49)</f>
        <v>422.62100000000055</v>
      </c>
      <c r="AL254" s="116">
        <f>SUM(AI49:AL49)</f>
        <v>435.99000000000007</v>
      </c>
      <c r="AM254" s="82">
        <f>AM49</f>
        <v>435.99000000000007</v>
      </c>
      <c r="AN254" s="136">
        <f>SUM(AN49,AJ49:AL49)</f>
        <v>444.54399999999976</v>
      </c>
      <c r="AO254" s="135">
        <f>SUM(AN49:AO49,AK49:AL49)</f>
        <v>448.5389999999997</v>
      </c>
      <c r="AP254" s="135">
        <f>SUM(AN49:AP49,AL49)</f>
        <v>479.54199999999952</v>
      </c>
      <c r="AQ254" s="116">
        <f>SUM(AN49:AQ49)</f>
        <v>488.74400000000037</v>
      </c>
      <c r="AR254" s="82">
        <f>AR49</f>
        <v>488.74400000000037</v>
      </c>
      <c r="AS254" s="136">
        <f>SUM(AS49,AO49:AQ49)</f>
        <v>488.28100000000035</v>
      </c>
      <c r="AT254" s="135">
        <f>SUM(AS49:AT49,AP49:AQ49)</f>
        <v>497.76700000000039</v>
      </c>
      <c r="AU254" s="135">
        <f>SUM(AS49:AU49,AQ49)</f>
        <v>520.2180000000003</v>
      </c>
      <c r="AV254" s="116">
        <f>SUM(AS49:AV49)</f>
        <v>490.12100000000117</v>
      </c>
      <c r="AW254" s="82">
        <f>AW49</f>
        <v>490.12100000000117</v>
      </c>
      <c r="AX254" s="136">
        <f>SUM(AX49,AT49:AV49)</f>
        <v>499.98986099210964</v>
      </c>
      <c r="AY254" s="135">
        <f>SUM(AX49:AY49,AU49:AV49)</f>
        <v>501.62577566000095</v>
      </c>
      <c r="AZ254" s="135">
        <f>SUM(AX49:AZ49,AV49)</f>
        <v>478.74871777245932</v>
      </c>
      <c r="BA254" s="116">
        <f>SUM(AX49:BA49)</f>
        <v>501.55952895297344</v>
      </c>
      <c r="BB254" s="82">
        <f>BB49</f>
        <v>501.55952895297344</v>
      </c>
      <c r="BC254" s="136">
        <f>SUM(BC49,AY49:BA49)</f>
        <v>519.52612955192694</v>
      </c>
      <c r="BD254" s="135">
        <f>SUM(BC49:BD49,AZ49:BA49)</f>
        <v>538.4587025776118</v>
      </c>
      <c r="BE254" s="135">
        <f>SUM(BC49:BE49,BA49)</f>
        <v>559.31709733942114</v>
      </c>
      <c r="BF254" s="116">
        <f>SUM(BC49:BF49)</f>
        <v>572.83220694860302</v>
      </c>
      <c r="BG254" s="82">
        <f>BG49</f>
        <v>572.83220694860302</v>
      </c>
      <c r="BH254" s="136">
        <f>SUM(BH49,BD49:BF49)</f>
        <v>578.75156688003699</v>
      </c>
      <c r="BI254" s="135">
        <f>SUM(BH49:BI49,BE49:BF49)</f>
        <v>582.03490913343524</v>
      </c>
      <c r="BJ254" s="135">
        <f>SUM(BH49:BJ49,BF49)</f>
        <v>589.67117404494468</v>
      </c>
      <c r="BK254" s="116">
        <f>SUM(BH49:BK49)</f>
        <v>593.60346576469169</v>
      </c>
      <c r="BL254" s="82">
        <f>BL49</f>
        <v>593.60346576469169</v>
      </c>
      <c r="BM254" s="136">
        <f>SUM(BM49,BI49:BK49)</f>
        <v>596.55697861489125</v>
      </c>
      <c r="BN254" s="135">
        <f>SUM(BM49:BN49,BJ49:BK49)</f>
        <v>603.66608766246372</v>
      </c>
      <c r="BO254" s="135">
        <f>SUM(BM49:BO49,BK49)</f>
        <v>612.89974210483581</v>
      </c>
      <c r="BP254" s="116">
        <f>SUM(BM49:BP49)</f>
        <v>618.14992515406334</v>
      </c>
      <c r="BQ254" s="82">
        <f>BQ49</f>
        <v>618.14992515406334</v>
      </c>
      <c r="BR254" s="220"/>
      <c r="BS254" s="220"/>
      <c r="BT254" s="220"/>
      <c r="BU254" s="220"/>
      <c r="BV254" s="220"/>
      <c r="BW254" s="220"/>
      <c r="BX254" s="220"/>
      <c r="BY254" s="220"/>
      <c r="BZ254" s="220"/>
      <c r="CA254" s="220"/>
      <c r="CB254" s="220"/>
      <c r="CC254" s="220"/>
      <c r="CD254" s="220"/>
      <c r="CE254" s="220"/>
      <c r="CF254" s="220"/>
      <c r="CG254" s="220"/>
      <c r="CH254" s="220"/>
      <c r="CI254" s="220"/>
      <c r="CJ254" s="220"/>
      <c r="CK254" s="220"/>
      <c r="CL254" s="220"/>
      <c r="CM254" s="220"/>
      <c r="CN254" s="220"/>
      <c r="CO254" s="220"/>
      <c r="CP254" s="220"/>
      <c r="CQ254" s="220"/>
      <c r="CR254" s="220"/>
      <c r="CS254" s="220"/>
      <c r="CT254" s="220"/>
      <c r="CU254" s="220"/>
      <c r="CV254" s="220"/>
      <c r="CW254" s="220"/>
      <c r="CX254" s="220"/>
      <c r="CY254" s="220"/>
      <c r="CZ254" s="220"/>
    </row>
    <row r="255" spans="1:104" x14ac:dyDescent="0.2">
      <c r="A255" s="289"/>
      <c r="B255" s="289"/>
      <c r="C255" s="289"/>
      <c r="D255" s="289"/>
      <c r="E255" s="291"/>
      <c r="F255" s="292"/>
      <c r="G255" s="292"/>
      <c r="H255" s="293"/>
      <c r="I255" s="289"/>
      <c r="J255" s="291"/>
      <c r="K255" s="292"/>
      <c r="L255" s="292"/>
      <c r="M255" s="293"/>
      <c r="N255" s="289"/>
      <c r="O255" s="291"/>
      <c r="P255" s="292"/>
      <c r="Q255" s="292"/>
      <c r="R255" s="293"/>
      <c r="S255" s="289"/>
      <c r="T255" s="291"/>
      <c r="U255" s="292"/>
      <c r="V255" s="292"/>
      <c r="W255" s="293"/>
      <c r="X255" s="289"/>
      <c r="Y255" s="291"/>
      <c r="Z255" s="292"/>
      <c r="AA255" s="292"/>
      <c r="AB255" s="293"/>
      <c r="AC255" s="289"/>
      <c r="AD255" s="291"/>
      <c r="AE255" s="292"/>
      <c r="AF255" s="292"/>
      <c r="AG255" s="293"/>
      <c r="AH255" s="289"/>
      <c r="AI255" s="291"/>
      <c r="AJ255" s="292"/>
      <c r="AK255" s="292"/>
      <c r="AL255" s="293"/>
      <c r="AM255" s="289"/>
      <c r="AN255" s="291"/>
      <c r="AO255" s="292"/>
      <c r="AP255" s="292"/>
      <c r="AQ255" s="293"/>
      <c r="AR255" s="289"/>
      <c r="AS255" s="291"/>
      <c r="AT255" s="292"/>
      <c r="AU255" s="292"/>
      <c r="AV255" s="293"/>
      <c r="AW255" s="289"/>
      <c r="AX255" s="291"/>
      <c r="AY255" s="292"/>
      <c r="AZ255" s="292"/>
      <c r="BA255" s="293"/>
      <c r="BB255" s="289"/>
      <c r="BC255" s="291"/>
      <c r="BD255" s="292"/>
      <c r="BE255" s="292"/>
      <c r="BF255" s="293"/>
      <c r="BG255" s="289"/>
      <c r="BH255" s="291"/>
      <c r="BI255" s="292"/>
      <c r="BJ255" s="292"/>
      <c r="BK255" s="293"/>
      <c r="BL255" s="289"/>
      <c r="BM255" s="291"/>
      <c r="BN255" s="292"/>
      <c r="BO255" s="292"/>
      <c r="BP255" s="293"/>
      <c r="BQ255" s="289"/>
      <c r="BR255" s="289"/>
      <c r="BS255" s="289"/>
      <c r="BT255" s="289"/>
      <c r="BU255" s="289"/>
      <c r="BV255" s="289"/>
      <c r="BW255" s="289"/>
      <c r="BX255" s="289"/>
      <c r="BY255" s="289"/>
      <c r="BZ255" s="289"/>
      <c r="CA255" s="289"/>
      <c r="CB255" s="289"/>
      <c r="CC255" s="289"/>
      <c r="CD255" s="289"/>
      <c r="CE255" s="289"/>
      <c r="CF255" s="289"/>
      <c r="CG255" s="289"/>
      <c r="CH255" s="289"/>
      <c r="CI255" s="289"/>
      <c r="CJ255" s="289"/>
      <c r="CK255" s="289"/>
      <c r="CL255" s="289"/>
      <c r="CM255" s="289"/>
      <c r="CN255" s="289"/>
      <c r="CO255" s="289"/>
      <c r="CP255" s="289"/>
      <c r="CQ255" s="289"/>
      <c r="CR255" s="289"/>
      <c r="CS255" s="289"/>
      <c r="CT255" s="289"/>
      <c r="CU255" s="289"/>
      <c r="CV255" s="289"/>
      <c r="CW255" s="289"/>
      <c r="CX255" s="289"/>
      <c r="CY255" s="289"/>
      <c r="CZ255" s="289"/>
    </row>
    <row r="256" spans="1:104" x14ac:dyDescent="0.2">
      <c r="A256" s="289"/>
      <c r="B256" s="289"/>
      <c r="C256" s="141" t="s">
        <v>57</v>
      </c>
      <c r="D256" s="289"/>
      <c r="E256" s="291"/>
      <c r="F256" s="292"/>
      <c r="G256" s="292"/>
      <c r="H256" s="293"/>
      <c r="I256" s="289"/>
      <c r="J256" s="291"/>
      <c r="K256" s="292"/>
      <c r="L256" s="292"/>
      <c r="M256" s="293"/>
      <c r="N256" s="289"/>
      <c r="O256" s="291"/>
      <c r="P256" s="292"/>
      <c r="Q256" s="292"/>
      <c r="R256" s="293"/>
      <c r="S256" s="289"/>
      <c r="T256" s="291"/>
      <c r="U256" s="292"/>
      <c r="V256" s="292"/>
      <c r="W256" s="293"/>
      <c r="X256" s="289"/>
      <c r="Y256" s="291"/>
      <c r="Z256" s="292"/>
      <c r="AA256" s="292"/>
      <c r="AB256" s="293"/>
      <c r="AC256" s="289"/>
      <c r="AD256" s="291"/>
      <c r="AE256" s="292"/>
      <c r="AF256" s="292"/>
      <c r="AG256" s="293"/>
      <c r="AH256" s="289"/>
      <c r="AI256" s="291"/>
      <c r="AJ256" s="292"/>
      <c r="AK256" s="292"/>
      <c r="AL256" s="293"/>
      <c r="AM256" s="289"/>
      <c r="AN256" s="291"/>
      <c r="AO256" s="292"/>
      <c r="AP256" s="292"/>
      <c r="AQ256" s="293"/>
      <c r="AR256" s="289"/>
      <c r="AS256" s="291"/>
      <c r="AT256" s="292"/>
      <c r="AU256" s="292"/>
      <c r="AV256" s="293"/>
      <c r="AW256" s="289"/>
      <c r="AX256" s="291"/>
      <c r="AY256" s="292"/>
      <c r="AZ256" s="292"/>
      <c r="BA256" s="293"/>
      <c r="BB256" s="289"/>
      <c r="BC256" s="291"/>
      <c r="BD256" s="292"/>
      <c r="BE256" s="292"/>
      <c r="BF256" s="293"/>
      <c r="BG256" s="289"/>
      <c r="BH256" s="291"/>
      <c r="BI256" s="292"/>
      <c r="BJ256" s="292"/>
      <c r="BK256" s="293"/>
      <c r="BL256" s="289"/>
      <c r="BM256" s="291"/>
      <c r="BN256" s="292"/>
      <c r="BO256" s="292"/>
      <c r="BP256" s="293"/>
      <c r="BQ256" s="289"/>
      <c r="BR256" s="289"/>
      <c r="BS256" s="289"/>
      <c r="BT256" s="289"/>
      <c r="BU256" s="289"/>
      <c r="BV256" s="289"/>
      <c r="BW256" s="289"/>
      <c r="BX256" s="289"/>
      <c r="BY256" s="289"/>
      <c r="BZ256" s="289"/>
      <c r="CA256" s="289"/>
      <c r="CB256" s="289"/>
      <c r="CC256" s="289"/>
      <c r="CD256" s="289"/>
      <c r="CE256" s="289"/>
      <c r="CF256" s="289"/>
      <c r="CG256" s="289"/>
      <c r="CH256" s="289"/>
      <c r="CI256" s="289"/>
      <c r="CJ256" s="289"/>
      <c r="CK256" s="289"/>
      <c r="CL256" s="289"/>
      <c r="CM256" s="289"/>
      <c r="CN256" s="289"/>
      <c r="CO256" s="289"/>
      <c r="CP256" s="289"/>
      <c r="CQ256" s="289"/>
      <c r="CR256" s="289"/>
      <c r="CS256" s="289"/>
      <c r="CT256" s="289"/>
      <c r="CU256" s="289"/>
      <c r="CV256" s="289"/>
      <c r="CW256" s="289"/>
      <c r="CX256" s="289"/>
      <c r="CY256" s="289"/>
      <c r="CZ256" s="289"/>
    </row>
    <row r="257" spans="1:104" x14ac:dyDescent="0.2">
      <c r="A257" s="20"/>
      <c r="B257" s="20"/>
      <c r="C257" s="20" t="s">
        <v>242</v>
      </c>
      <c r="D257" s="20"/>
      <c r="E257" s="254">
        <f t="shared" ref="E257:AM257" si="580">E235/E245</f>
        <v>0.48036219344500741</v>
      </c>
      <c r="F257" s="255">
        <f t="shared" si="580"/>
        <v>0.479942314952649</v>
      </c>
      <c r="G257" s="255">
        <f t="shared" si="580"/>
        <v>0.44669892325846017</v>
      </c>
      <c r="H257" s="256">
        <f t="shared" si="580"/>
        <v>0.48177031577994772</v>
      </c>
      <c r="I257" s="79">
        <f t="shared" si="580"/>
        <v>0.48177031577994772</v>
      </c>
      <c r="J257" s="254">
        <f t="shared" si="580"/>
        <v>0.47745139715984275</v>
      </c>
      <c r="K257" s="255">
        <f t="shared" si="580"/>
        <v>0.4633729766033568</v>
      </c>
      <c r="L257" s="255">
        <f t="shared" si="580"/>
        <v>0.48837289949488233</v>
      </c>
      <c r="M257" s="256">
        <f t="shared" si="580"/>
        <v>0.48842148637102778</v>
      </c>
      <c r="N257" s="79">
        <f t="shared" si="580"/>
        <v>0.48842148637102778</v>
      </c>
      <c r="O257" s="254">
        <f t="shared" si="580"/>
        <v>0.4767388271377756</v>
      </c>
      <c r="P257" s="255">
        <f t="shared" si="580"/>
        <v>0.47648934633586004</v>
      </c>
      <c r="Q257" s="255">
        <f t="shared" si="580"/>
        <v>0.47208801700431335</v>
      </c>
      <c r="R257" s="256">
        <f t="shared" si="580"/>
        <v>0.46667359919873347</v>
      </c>
      <c r="S257" s="79">
        <f t="shared" si="580"/>
        <v>0.46667359919873347</v>
      </c>
      <c r="T257" s="254">
        <f t="shared" si="580"/>
        <v>0.45966486571612014</v>
      </c>
      <c r="U257" s="255">
        <f>U235/U245</f>
        <v>0.45282236226374772</v>
      </c>
      <c r="V257" s="255">
        <f>V235/V245</f>
        <v>0.46079500145762642</v>
      </c>
      <c r="W257" s="256">
        <f>W235/W245</f>
        <v>0.45037902744497199</v>
      </c>
      <c r="X257" s="79">
        <f>X235/X245</f>
        <v>0.45037902744497199</v>
      </c>
      <c r="Y257" s="254">
        <f t="shared" si="580"/>
        <v>0.4408645657464953</v>
      </c>
      <c r="Z257" s="255">
        <f t="shared" si="580"/>
        <v>0.47699379127638269</v>
      </c>
      <c r="AA257" s="255">
        <f t="shared" si="580"/>
        <v>0.46953046108660684</v>
      </c>
      <c r="AB257" s="256">
        <f t="shared" si="580"/>
        <v>0.45564709744864568</v>
      </c>
      <c r="AC257" s="79">
        <f t="shared" si="580"/>
        <v>0.45564709744864568</v>
      </c>
      <c r="AD257" s="254">
        <f t="shared" si="580"/>
        <v>0.44224655285407677</v>
      </c>
      <c r="AE257" s="255">
        <f t="shared" si="580"/>
        <v>0.47369713977368227</v>
      </c>
      <c r="AF257" s="255">
        <f t="shared" si="580"/>
        <v>0.47155204800913814</v>
      </c>
      <c r="AG257" s="256">
        <f>AG235/AG245</f>
        <v>0.46366495809374847</v>
      </c>
      <c r="AH257" s="79">
        <f>AH235/AH245</f>
        <v>0.46366495809374847</v>
      </c>
      <c r="AI257" s="254">
        <f>AI235/AI245</f>
        <v>0.46568305490915762</v>
      </c>
      <c r="AJ257" s="255">
        <f>AJ235/AJ245</f>
        <v>0.46055363188652287</v>
      </c>
      <c r="AK257" s="255">
        <f t="shared" si="580"/>
        <v>0.48052512941912634</v>
      </c>
      <c r="AL257" s="256">
        <f t="shared" si="580"/>
        <v>0.45641601069116178</v>
      </c>
      <c r="AM257" s="79">
        <f t="shared" si="580"/>
        <v>0.45641601069116178</v>
      </c>
      <c r="AN257" s="254">
        <f>AN235/AN245</f>
        <v>0.4577534413882598</v>
      </c>
      <c r="AO257" s="255">
        <f t="shared" ref="AO257:AW257" si="581">AO235/AO245</f>
        <v>0.47931820920074442</v>
      </c>
      <c r="AP257" s="255">
        <f t="shared" si="581"/>
        <v>0.47711973605239932</v>
      </c>
      <c r="AQ257" s="256">
        <f t="shared" si="581"/>
        <v>0.47095393560354631</v>
      </c>
      <c r="AR257" s="79">
        <f t="shared" si="581"/>
        <v>0.47095393560354631</v>
      </c>
      <c r="AS257" s="254">
        <f>AS235/AS245</f>
        <v>0.46997049627781212</v>
      </c>
      <c r="AT257" s="255">
        <f>AT235/AT245</f>
        <v>0.46651243124708563</v>
      </c>
      <c r="AU257" s="255">
        <f>AU235/AU245</f>
        <v>0.47552857614242822</v>
      </c>
      <c r="AV257" s="256">
        <f t="shared" si="581"/>
        <v>0.46920404337700888</v>
      </c>
      <c r="AW257" s="79">
        <f t="shared" si="581"/>
        <v>0.46920404337700888</v>
      </c>
      <c r="AX257" s="254">
        <f t="shared" ref="AX257:BG257" si="582">AX235/AX245</f>
        <v>0.48678680864090651</v>
      </c>
      <c r="AY257" s="255">
        <f t="shared" si="582"/>
        <v>0.48557636350254407</v>
      </c>
      <c r="AZ257" s="255">
        <f t="shared" si="582"/>
        <v>0.4791901115613208</v>
      </c>
      <c r="BA257" s="256">
        <f t="shared" si="582"/>
        <v>0.47745871907071968</v>
      </c>
      <c r="BB257" s="79">
        <f t="shared" si="582"/>
        <v>0.47745871907071968</v>
      </c>
      <c r="BC257" s="254">
        <f t="shared" si="582"/>
        <v>0.46681044956809803</v>
      </c>
      <c r="BD257" s="255">
        <f t="shared" si="582"/>
        <v>0.45630404519112228</v>
      </c>
      <c r="BE257" s="255">
        <f t="shared" si="582"/>
        <v>0.46481671096723254</v>
      </c>
      <c r="BF257" s="256">
        <f t="shared" si="582"/>
        <v>0.45518298745482405</v>
      </c>
      <c r="BG257" s="79">
        <f t="shared" si="582"/>
        <v>0.45518298745482405</v>
      </c>
      <c r="BH257" s="254">
        <f t="shared" ref="BH257:BQ257" si="583">BH235/BH245</f>
        <v>0.45038767060202067</v>
      </c>
      <c r="BI257" s="255">
        <f t="shared" si="583"/>
        <v>0.4457320634130022</v>
      </c>
      <c r="BJ257" s="255">
        <f t="shared" si="583"/>
        <v>0.46286617643200911</v>
      </c>
      <c r="BK257" s="256">
        <f t="shared" si="583"/>
        <v>0.45842067049252055</v>
      </c>
      <c r="BL257" s="79">
        <f t="shared" si="583"/>
        <v>0.45842067049252055</v>
      </c>
      <c r="BM257" s="254">
        <f t="shared" si="583"/>
        <v>0.45296824351804255</v>
      </c>
      <c r="BN257" s="255">
        <f t="shared" si="583"/>
        <v>0.44758434626800581</v>
      </c>
      <c r="BO257" s="255">
        <f t="shared" si="583"/>
        <v>0.48407335946859037</v>
      </c>
      <c r="BP257" s="256">
        <f t="shared" si="583"/>
        <v>0.48117849074393559</v>
      </c>
      <c r="BQ257" s="79">
        <f t="shared" si="583"/>
        <v>0.48117849074393559</v>
      </c>
      <c r="BR257" s="20"/>
      <c r="BS257" s="20"/>
      <c r="BT257" s="20"/>
      <c r="BU257" s="20"/>
      <c r="BV257" s="20"/>
      <c r="BW257" s="20"/>
      <c r="BX257" s="20"/>
      <c r="BY257" s="20"/>
      <c r="BZ257" s="20"/>
      <c r="CA257" s="20"/>
      <c r="CB257" s="20"/>
      <c r="CC257" s="20"/>
      <c r="CD257" s="20"/>
      <c r="CE257" s="20"/>
      <c r="CF257" s="20"/>
      <c r="CG257" s="20"/>
      <c r="CH257" s="20"/>
      <c r="CI257" s="20"/>
      <c r="CJ257" s="20"/>
      <c r="CK257" s="20"/>
      <c r="CL257" s="20"/>
      <c r="CM257" s="20"/>
      <c r="CN257" s="20"/>
      <c r="CO257" s="20"/>
      <c r="CP257" s="20"/>
      <c r="CQ257" s="20"/>
      <c r="CR257" s="20"/>
      <c r="CS257" s="20"/>
      <c r="CT257" s="20"/>
      <c r="CU257" s="20"/>
      <c r="CV257" s="20"/>
      <c r="CW257" s="20"/>
      <c r="CX257" s="20"/>
      <c r="CY257" s="20"/>
      <c r="CZ257" s="20"/>
    </row>
    <row r="258" spans="1:104" x14ac:dyDescent="0.2">
      <c r="A258" s="20"/>
      <c r="B258" s="20"/>
      <c r="C258" s="20" t="s">
        <v>243</v>
      </c>
      <c r="D258" s="20"/>
      <c r="E258" s="254">
        <f t="shared" ref="E258:AM258" si="584">+E236/E245</f>
        <v>0.48036219344500741</v>
      </c>
      <c r="F258" s="255">
        <f t="shared" si="584"/>
        <v>0.479942314952649</v>
      </c>
      <c r="G258" s="255">
        <f t="shared" si="584"/>
        <v>0.46678247081630081</v>
      </c>
      <c r="H258" s="256">
        <f t="shared" si="584"/>
        <v>0.48177031577994772</v>
      </c>
      <c r="I258" s="79">
        <f t="shared" si="584"/>
        <v>0.48177031577994772</v>
      </c>
      <c r="J258" s="254">
        <f t="shared" si="584"/>
        <v>0.47745139715984275</v>
      </c>
      <c r="K258" s="255">
        <f t="shared" si="584"/>
        <v>0.47029214898423483</v>
      </c>
      <c r="L258" s="255">
        <f t="shared" si="584"/>
        <v>0.48837289949488233</v>
      </c>
      <c r="M258" s="256">
        <f t="shared" si="584"/>
        <v>0.48842148637102778</v>
      </c>
      <c r="N258" s="79">
        <f t="shared" si="584"/>
        <v>0.48842148637102778</v>
      </c>
      <c r="O258" s="254">
        <f t="shared" si="584"/>
        <v>0.477881352458636</v>
      </c>
      <c r="P258" s="255">
        <f t="shared" si="584"/>
        <v>0.47720299710486158</v>
      </c>
      <c r="Q258" s="255">
        <f t="shared" si="584"/>
        <v>0.47208801700431335</v>
      </c>
      <c r="R258" s="256">
        <f t="shared" si="584"/>
        <v>0.47939255924065294</v>
      </c>
      <c r="S258" s="79">
        <f t="shared" si="584"/>
        <v>0.47939255924065294</v>
      </c>
      <c r="T258" s="254">
        <f t="shared" si="584"/>
        <v>0.46916335641971324</v>
      </c>
      <c r="U258" s="255">
        <f>+U236/U245</f>
        <v>0.47248434431629049</v>
      </c>
      <c r="V258" s="255">
        <f>+V236/V245</f>
        <v>0.47664594552004108</v>
      </c>
      <c r="W258" s="256">
        <f>+W236/W245</f>
        <v>0.4789098489299457</v>
      </c>
      <c r="X258" s="79">
        <f>+X236/X245</f>
        <v>0.4789098489299457</v>
      </c>
      <c r="Y258" s="254">
        <f t="shared" si="584"/>
        <v>0.46929624763716926</v>
      </c>
      <c r="Z258" s="255">
        <f t="shared" si="584"/>
        <v>0.48251407426817</v>
      </c>
      <c r="AA258" s="255">
        <f t="shared" si="584"/>
        <v>0.48015621794538199</v>
      </c>
      <c r="AB258" s="256">
        <f t="shared" si="584"/>
        <v>0.47498033282691976</v>
      </c>
      <c r="AC258" s="79">
        <f t="shared" si="584"/>
        <v>0.47498033282691976</v>
      </c>
      <c r="AD258" s="254">
        <f t="shared" si="584"/>
        <v>0.47408796805032394</v>
      </c>
      <c r="AE258" s="255">
        <f t="shared" si="584"/>
        <v>0.47675087085058732</v>
      </c>
      <c r="AF258" s="255">
        <f t="shared" si="584"/>
        <v>0.47155204800913814</v>
      </c>
      <c r="AG258" s="256">
        <f>+AG236/AG245</f>
        <v>0.47938360755181481</v>
      </c>
      <c r="AH258" s="79">
        <f>+AH236/AH245</f>
        <v>0.47938360755181481</v>
      </c>
      <c r="AI258" s="254">
        <f>+AI236/AI245</f>
        <v>0.47413205430305311</v>
      </c>
      <c r="AJ258" s="255">
        <f>+AJ236/AJ245</f>
        <v>0.47341677518798603</v>
      </c>
      <c r="AK258" s="255">
        <f t="shared" si="584"/>
        <v>0.48052512941912634</v>
      </c>
      <c r="AL258" s="256">
        <f t="shared" si="584"/>
        <v>0.47987037087181872</v>
      </c>
      <c r="AM258" s="79">
        <f t="shared" si="584"/>
        <v>0.47987037087181872</v>
      </c>
      <c r="AN258" s="254">
        <f>+AN236/AN245</f>
        <v>0.46518327777919133</v>
      </c>
      <c r="AO258" s="255">
        <f t="shared" ref="AO258:AW258" si="585">+AO236/AO245</f>
        <v>0.47931820920074442</v>
      </c>
      <c r="AP258" s="255">
        <f t="shared" si="585"/>
        <v>0.47711973605239932</v>
      </c>
      <c r="AQ258" s="256">
        <f t="shared" si="585"/>
        <v>0.47921941582697491</v>
      </c>
      <c r="AR258" s="79">
        <f t="shared" si="585"/>
        <v>0.47921941582697491</v>
      </c>
      <c r="AS258" s="254">
        <f>+AS236/AS245</f>
        <v>0.47375414418589629</v>
      </c>
      <c r="AT258" s="255">
        <f>+AT236/AT245</f>
        <v>0.47450373747615476</v>
      </c>
      <c r="AU258" s="255">
        <f>+AU236/AU245</f>
        <v>0.47552857614242822</v>
      </c>
      <c r="AV258" s="256">
        <f t="shared" si="585"/>
        <v>0.47919111914980883</v>
      </c>
      <c r="AW258" s="79">
        <f t="shared" si="585"/>
        <v>0.47919111914980883</v>
      </c>
      <c r="AX258" s="254">
        <f t="shared" ref="AX258:BG258" si="586">+AX236/AX245</f>
        <v>0.48678680864090651</v>
      </c>
      <c r="AY258" s="255">
        <f t="shared" si="586"/>
        <v>0.48557636350254407</v>
      </c>
      <c r="AZ258" s="255">
        <f t="shared" si="586"/>
        <v>0.4791901115613208</v>
      </c>
      <c r="BA258" s="256">
        <f t="shared" si="586"/>
        <v>0.47745871907071968</v>
      </c>
      <c r="BB258" s="79">
        <f t="shared" si="586"/>
        <v>0.47745871907071968</v>
      </c>
      <c r="BC258" s="254">
        <f t="shared" si="586"/>
        <v>0.47822929955934496</v>
      </c>
      <c r="BD258" s="255">
        <f t="shared" si="586"/>
        <v>0.48053529699580882</v>
      </c>
      <c r="BE258" s="255">
        <f t="shared" si="586"/>
        <v>0.47090414917376067</v>
      </c>
      <c r="BF258" s="256">
        <f t="shared" si="586"/>
        <v>0.47218371008548865</v>
      </c>
      <c r="BG258" s="79">
        <f t="shared" si="586"/>
        <v>0.47218371008548865</v>
      </c>
      <c r="BH258" s="254">
        <f t="shared" ref="BH258:BQ258" si="587">+BH236/BH245</f>
        <v>0.47594773992279743</v>
      </c>
      <c r="BI258" s="255">
        <f t="shared" si="587"/>
        <v>0.48093295811956333</v>
      </c>
      <c r="BJ258" s="255">
        <f t="shared" si="587"/>
        <v>0.47423626863071938</v>
      </c>
      <c r="BK258" s="256">
        <f t="shared" si="587"/>
        <v>0.47821316123361973</v>
      </c>
      <c r="BL258" s="79">
        <f t="shared" si="587"/>
        <v>0.47821316123361973</v>
      </c>
      <c r="BM258" s="254">
        <f t="shared" si="587"/>
        <v>0.48245656463356212</v>
      </c>
      <c r="BN258" s="255">
        <f t="shared" si="587"/>
        <v>0.4876335201659498</v>
      </c>
      <c r="BO258" s="255">
        <f t="shared" si="587"/>
        <v>0.48407335946859037</v>
      </c>
      <c r="BP258" s="256">
        <f t="shared" si="587"/>
        <v>0.48572681316026156</v>
      </c>
      <c r="BQ258" s="79">
        <f t="shared" si="587"/>
        <v>0.48572681316026156</v>
      </c>
      <c r="BR258" s="20"/>
      <c r="BS258" s="20"/>
      <c r="BT258" s="20"/>
      <c r="BU258" s="20"/>
      <c r="BV258" s="20"/>
      <c r="BW258" s="20"/>
      <c r="BX258" s="20"/>
      <c r="BY258" s="20"/>
      <c r="BZ258" s="20"/>
      <c r="CA258" s="20"/>
      <c r="CB258" s="20"/>
      <c r="CC258" s="20"/>
      <c r="CD258" s="20"/>
      <c r="CE258" s="20"/>
      <c r="CF258" s="20"/>
      <c r="CG258" s="20"/>
      <c r="CH258" s="20"/>
      <c r="CI258" s="20"/>
      <c r="CJ258" s="20"/>
      <c r="CK258" s="20"/>
      <c r="CL258" s="20"/>
      <c r="CM258" s="20"/>
      <c r="CN258" s="20"/>
      <c r="CO258" s="20"/>
      <c r="CP258" s="20"/>
      <c r="CQ258" s="20"/>
      <c r="CR258" s="20"/>
      <c r="CS258" s="20"/>
      <c r="CT258" s="20"/>
      <c r="CU258" s="20"/>
      <c r="CV258" s="20"/>
      <c r="CW258" s="20"/>
      <c r="CX258" s="20"/>
      <c r="CY258" s="20"/>
      <c r="CZ258" s="20"/>
    </row>
    <row r="259" spans="1:104" x14ac:dyDescent="0.2">
      <c r="A259" s="20"/>
      <c r="B259" s="20"/>
      <c r="C259" s="20" t="s">
        <v>61</v>
      </c>
      <c r="D259" s="20"/>
      <c r="E259" s="203"/>
      <c r="F259" s="204"/>
      <c r="G259" s="204"/>
      <c r="H259" s="257">
        <f>(H236-H232)/H252</f>
        <v>2.865698643686021</v>
      </c>
      <c r="I259" s="81">
        <f>(I236-I232)/I33</f>
        <v>2.8656986436860219</v>
      </c>
      <c r="J259" s="258">
        <f t="shared" ref="J259:AM259" si="588">(J236-J232)/J252</f>
        <v>2.9366380578376146</v>
      </c>
      <c r="K259" s="259">
        <f t="shared" si="588"/>
        <v>3.0069363680026036</v>
      </c>
      <c r="L259" s="259">
        <f t="shared" si="588"/>
        <v>3.0389526819293295</v>
      </c>
      <c r="M259" s="257">
        <f t="shared" si="588"/>
        <v>3.1761059323175971</v>
      </c>
      <c r="N259" s="81">
        <f t="shared" si="588"/>
        <v>3.1761059323175962</v>
      </c>
      <c r="O259" s="258">
        <f t="shared" si="588"/>
        <v>3.0765023525073341</v>
      </c>
      <c r="P259" s="259">
        <f t="shared" si="588"/>
        <v>2.9617652815863149</v>
      </c>
      <c r="Q259" s="259">
        <f t="shared" si="588"/>
        <v>2.8618120893652086</v>
      </c>
      <c r="R259" s="257">
        <f t="shared" si="588"/>
        <v>3.0587406466871729</v>
      </c>
      <c r="S259" s="81">
        <f t="shared" si="588"/>
        <v>3.0587406466871716</v>
      </c>
      <c r="T259" s="258">
        <f t="shared" si="588"/>
        <v>3.1481540828699561</v>
      </c>
      <c r="U259" s="259">
        <f>(U236-U232)/U252</f>
        <v>3.2446301309449521</v>
      </c>
      <c r="V259" s="259">
        <f>(V236-V232)/V252</f>
        <v>3.3615761427946222</v>
      </c>
      <c r="W259" s="257">
        <f>(W236-W232)/W252</f>
        <v>3.358986900966046</v>
      </c>
      <c r="X259" s="81">
        <f>(X236-X232)/X252</f>
        <v>3.3589869009660465</v>
      </c>
      <c r="Y259" s="258">
        <f t="shared" si="588"/>
        <v>3.1809839200347669</v>
      </c>
      <c r="Z259" s="259">
        <f t="shared" si="588"/>
        <v>3.3720009759302148</v>
      </c>
      <c r="AA259" s="259">
        <f t="shared" si="588"/>
        <v>3.4286696057525847</v>
      </c>
      <c r="AB259" s="257">
        <f t="shared" si="588"/>
        <v>3.4468963158333499</v>
      </c>
      <c r="AC259" s="81">
        <f t="shared" si="588"/>
        <v>3.4468963158333485</v>
      </c>
      <c r="AD259" s="258">
        <f t="shared" si="588"/>
        <v>3.4802719897770205</v>
      </c>
      <c r="AE259" s="259">
        <f t="shared" si="588"/>
        <v>3.5177060034754981</v>
      </c>
      <c r="AF259" s="259">
        <f t="shared" si="588"/>
        <v>3.4652622389010501</v>
      </c>
      <c r="AG259" s="257">
        <f>(AG236-AG232)/AG252</f>
        <v>3.5667454549838262</v>
      </c>
      <c r="AH259" s="81">
        <f>(AH236-AH232)/AH252</f>
        <v>3.5667454549838253</v>
      </c>
      <c r="AI259" s="258">
        <f>(AI236-AI232)/AI252</f>
        <v>3.9022856095613352</v>
      </c>
      <c r="AJ259" s="259">
        <f>(AJ236-AJ232)/AJ252</f>
        <v>3.9097303601754185</v>
      </c>
      <c r="AK259" s="259">
        <f t="shared" si="588"/>
        <v>3.6372609840970989</v>
      </c>
      <c r="AL259" s="257">
        <f t="shared" si="588"/>
        <v>3.8950536418146449</v>
      </c>
      <c r="AM259" s="81">
        <f t="shared" si="588"/>
        <v>3.8950536418146466</v>
      </c>
      <c r="AN259" s="258">
        <f>(AN236-AN232)/AN252</f>
        <v>3.2865612389383099</v>
      </c>
      <c r="AO259" s="259">
        <f t="shared" ref="AO259:AW259" si="589">(AO236-AO232)/AO252</f>
        <v>3.3961046916349935</v>
      </c>
      <c r="AP259" s="259">
        <f t="shared" si="589"/>
        <v>3.2018252848880531</v>
      </c>
      <c r="AQ259" s="257">
        <f t="shared" si="589"/>
        <v>3.2026902080652433</v>
      </c>
      <c r="AR259" s="81">
        <f t="shared" si="589"/>
        <v>3.2026902080652424</v>
      </c>
      <c r="AS259" s="258">
        <f>(AS236-AS232)/AS252</f>
        <v>3.1392656738442413</v>
      </c>
      <c r="AT259" s="259">
        <f>(AT236-AT232)/AT252</f>
        <v>3.1010352677020387</v>
      </c>
      <c r="AU259" s="259">
        <f>(AU236-AU232)/AU252</f>
        <v>3.0584830774244742</v>
      </c>
      <c r="AV259" s="257">
        <f t="shared" si="589"/>
        <v>3.1140334359240391</v>
      </c>
      <c r="AW259" s="81">
        <f t="shared" si="589"/>
        <v>3.1140334359240378</v>
      </c>
      <c r="AX259" s="258">
        <f t="shared" ref="AX259:BG259" si="590">(AX236-AX232)/AX252</f>
        <v>3.1455676704698341</v>
      </c>
      <c r="AY259" s="259">
        <f t="shared" si="590"/>
        <v>3.2048983163661529</v>
      </c>
      <c r="AZ259" s="259">
        <f t="shared" si="590"/>
        <v>3.2172587194286848</v>
      </c>
      <c r="BA259" s="257">
        <f t="shared" si="590"/>
        <v>3.2637260038938196</v>
      </c>
      <c r="BB259" s="81">
        <f t="shared" si="590"/>
        <v>3.2637260038938209</v>
      </c>
      <c r="BC259" s="258">
        <f t="shared" si="590"/>
        <v>3.2912308307300329</v>
      </c>
      <c r="BD259" s="259">
        <f t="shared" si="590"/>
        <v>3.325065649905981</v>
      </c>
      <c r="BE259" s="259">
        <f t="shared" si="590"/>
        <v>3.2503677114485616</v>
      </c>
      <c r="BF259" s="257">
        <f t="shared" si="590"/>
        <v>3.275456318660475</v>
      </c>
      <c r="BG259" s="81">
        <f t="shared" si="590"/>
        <v>3.2754563186604737</v>
      </c>
      <c r="BH259" s="258">
        <f t="shared" ref="BH259:BQ259" si="591">(BH236-BH232)/BH252</f>
        <v>3.2940490207172664</v>
      </c>
      <c r="BI259" s="259">
        <f t="shared" si="591"/>
        <v>3.3177052374685667</v>
      </c>
      <c r="BJ259" s="259">
        <f t="shared" si="591"/>
        <v>3.2367313796677646</v>
      </c>
      <c r="BK259" s="257">
        <f t="shared" si="591"/>
        <v>3.254583420682049</v>
      </c>
      <c r="BL259" s="81">
        <f t="shared" si="591"/>
        <v>3.2545834206820494</v>
      </c>
      <c r="BM259" s="258">
        <f t="shared" si="591"/>
        <v>3.2874639000349828</v>
      </c>
      <c r="BN259" s="259">
        <f t="shared" si="591"/>
        <v>3.3246463677510305</v>
      </c>
      <c r="BO259" s="259">
        <f t="shared" si="591"/>
        <v>3.2632706905959004</v>
      </c>
      <c r="BP259" s="257">
        <f t="shared" si="591"/>
        <v>3.294592182421737</v>
      </c>
      <c r="BQ259" s="81">
        <f t="shared" si="591"/>
        <v>3.2945921824217357</v>
      </c>
      <c r="BR259" s="20"/>
      <c r="BS259" s="20"/>
      <c r="BT259" s="20"/>
      <c r="BU259" s="20"/>
      <c r="BV259" s="20"/>
      <c r="BW259" s="20"/>
      <c r="BX259" s="20"/>
      <c r="BY259" s="20"/>
      <c r="BZ259" s="20"/>
      <c r="CA259" s="20"/>
      <c r="CB259" s="20"/>
      <c r="CC259" s="20"/>
      <c r="CD259" s="20"/>
      <c r="CE259" s="20"/>
      <c r="CF259" s="20"/>
      <c r="CG259" s="20"/>
      <c r="CH259" s="20"/>
      <c r="CI259" s="20"/>
      <c r="CJ259" s="20"/>
      <c r="CK259" s="20"/>
      <c r="CL259" s="20"/>
      <c r="CM259" s="20"/>
      <c r="CN259" s="20"/>
      <c r="CO259" s="20"/>
      <c r="CP259" s="20"/>
      <c r="CQ259" s="20"/>
      <c r="CR259" s="20"/>
      <c r="CS259" s="20"/>
      <c r="CT259" s="20"/>
      <c r="CU259" s="20"/>
      <c r="CV259" s="20"/>
      <c r="CW259" s="20"/>
      <c r="CX259" s="20"/>
      <c r="CY259" s="20"/>
      <c r="CZ259" s="20"/>
    </row>
    <row r="260" spans="1:104" x14ac:dyDescent="0.2">
      <c r="A260" s="20"/>
      <c r="B260" s="20"/>
      <c r="C260" s="20" t="s">
        <v>62</v>
      </c>
      <c r="D260" s="20"/>
      <c r="E260" s="203"/>
      <c r="F260" s="204"/>
      <c r="G260" s="204"/>
      <c r="H260" s="256">
        <f t="shared" ref="H260:AM260" si="592">H250/H236</f>
        <v>0.22671644356888301</v>
      </c>
      <c r="I260" s="79">
        <f t="shared" si="592"/>
        <v>0.22671644356888301</v>
      </c>
      <c r="J260" s="254">
        <f t="shared" si="592"/>
        <v>0.22013398854181596</v>
      </c>
      <c r="K260" s="255">
        <f t="shared" si="592"/>
        <v>0.21566626038375419</v>
      </c>
      <c r="L260" s="255">
        <f t="shared" si="592"/>
        <v>0.20726304820560013</v>
      </c>
      <c r="M260" s="256">
        <f t="shared" si="592"/>
        <v>0.20233037899141743</v>
      </c>
      <c r="N260" s="79">
        <f t="shared" si="592"/>
        <v>0.20233037899141743</v>
      </c>
      <c r="O260" s="254">
        <f t="shared" si="592"/>
        <v>0.21146389228666693</v>
      </c>
      <c r="P260" s="255">
        <f t="shared" si="592"/>
        <v>0.21949797705504562</v>
      </c>
      <c r="Q260" s="255">
        <f t="shared" si="592"/>
        <v>0.23115614464298123</v>
      </c>
      <c r="R260" s="256">
        <f t="shared" si="592"/>
        <v>0.21400234467682275</v>
      </c>
      <c r="S260" s="79">
        <f t="shared" si="592"/>
        <v>0.21400234467682275</v>
      </c>
      <c r="T260" s="254">
        <f t="shared" si="592"/>
        <v>0.21047319233988912</v>
      </c>
      <c r="U260" s="255">
        <f>U250/U236</f>
        <v>0.20433382954487747</v>
      </c>
      <c r="V260" s="255">
        <f>V250/V236</f>
        <v>0.19413955145974993</v>
      </c>
      <c r="W260" s="256">
        <f>W250/W236</f>
        <v>0.19936516750951577</v>
      </c>
      <c r="X260" s="79">
        <f>X250/X236</f>
        <v>0.19936516750951577</v>
      </c>
      <c r="Y260" s="254">
        <f t="shared" si="592"/>
        <v>0.20858467696660599</v>
      </c>
      <c r="Z260" s="255">
        <f t="shared" si="592"/>
        <v>0.2013196428376211</v>
      </c>
      <c r="AA260" s="255">
        <f t="shared" si="592"/>
        <v>0.19974399855150457</v>
      </c>
      <c r="AB260" s="256">
        <f t="shared" si="592"/>
        <v>0.19930621955274794</v>
      </c>
      <c r="AC260" s="79">
        <f t="shared" si="592"/>
        <v>0.19930621955274794</v>
      </c>
      <c r="AD260" s="254">
        <f t="shared" si="592"/>
        <v>0.19295910461437341</v>
      </c>
      <c r="AE260" s="255">
        <f t="shared" si="592"/>
        <v>0.1898266797714305</v>
      </c>
      <c r="AF260" s="255">
        <f t="shared" si="592"/>
        <v>0.18936385139111619</v>
      </c>
      <c r="AG260" s="256">
        <f>AG250/AG236</f>
        <v>0.18836640510663213</v>
      </c>
      <c r="AH260" s="79">
        <f>AH250/AH236</f>
        <v>0.18836640510663213</v>
      </c>
      <c r="AI260" s="254">
        <f>AI250/AI236</f>
        <v>0.19047534190815801</v>
      </c>
      <c r="AJ260" s="255">
        <f>AJ250/AJ236</f>
        <v>0.1917310929677854</v>
      </c>
      <c r="AK260" s="255">
        <f t="shared" si="592"/>
        <v>0.19486209126511853</v>
      </c>
      <c r="AL260" s="256">
        <f t="shared" si="592"/>
        <v>0.19200935071516945</v>
      </c>
      <c r="AM260" s="79">
        <f t="shared" si="592"/>
        <v>0.19200935071516945</v>
      </c>
      <c r="AN260" s="254">
        <f>AN250/AN236</f>
        <v>0.20820462868517559</v>
      </c>
      <c r="AO260" s="255">
        <f t="shared" ref="AO260:AW260" si="593">AO250/AO236</f>
        <v>0.20381788037682677</v>
      </c>
      <c r="AP260" s="255">
        <f t="shared" si="593"/>
        <v>0.21634728970850867</v>
      </c>
      <c r="AQ260" s="256">
        <f t="shared" si="593"/>
        <v>0.22024465495777851</v>
      </c>
      <c r="AR260" s="79">
        <f t="shared" si="593"/>
        <v>0.22024465495777851</v>
      </c>
      <c r="AS260" s="254">
        <f>AS250/AS236</f>
        <v>0.22757922169090242</v>
      </c>
      <c r="AT260" s="255">
        <f>AT250/AT236</f>
        <v>0.23263753334799694</v>
      </c>
      <c r="AU260" s="255">
        <f>AU250/AU236</f>
        <v>0.24251015157784042</v>
      </c>
      <c r="AV260" s="256">
        <f t="shared" si="593"/>
        <v>0.23635445526395521</v>
      </c>
      <c r="AW260" s="79">
        <f t="shared" si="593"/>
        <v>0.23635445526395521</v>
      </c>
      <c r="AX260" s="254">
        <f t="shared" ref="AX260:BG260" si="594">AX250/AX236</f>
        <v>0.23179534429121199</v>
      </c>
      <c r="AY260" s="255">
        <f t="shared" si="594"/>
        <v>0.23437323598027007</v>
      </c>
      <c r="AZ260" s="255">
        <f t="shared" si="594"/>
        <v>0.23204034909006208</v>
      </c>
      <c r="BA260" s="256">
        <f>BA250/BA236</f>
        <v>0.23854080116053972</v>
      </c>
      <c r="BB260" s="79">
        <f t="shared" si="594"/>
        <v>0.23854080116053972</v>
      </c>
      <c r="BC260" s="254">
        <f t="shared" si="594"/>
        <v>0.23729478434314732</v>
      </c>
      <c r="BD260" s="255">
        <f t="shared" si="594"/>
        <v>0.23533699985173859</v>
      </c>
      <c r="BE260" s="255">
        <f t="shared" si="594"/>
        <v>0.24082744162282183</v>
      </c>
      <c r="BF260" s="256">
        <f t="shared" si="594"/>
        <v>0.23931240416807234</v>
      </c>
      <c r="BG260" s="79">
        <f t="shared" si="594"/>
        <v>0.23931240416807234</v>
      </c>
      <c r="BH260" s="254">
        <f t="shared" ref="BH260:BQ260" si="595">BH250/BH236</f>
        <v>0.2377017607761166</v>
      </c>
      <c r="BI260" s="255">
        <f t="shared" si="595"/>
        <v>0.23598232445103767</v>
      </c>
      <c r="BJ260" s="255">
        <f t="shared" si="595"/>
        <v>0.24118222861064131</v>
      </c>
      <c r="BK260" s="256">
        <f t="shared" si="595"/>
        <v>0.2394575944270311</v>
      </c>
      <c r="BL260" s="79">
        <f t="shared" si="595"/>
        <v>0.2394575944270311</v>
      </c>
      <c r="BM260" s="254">
        <f t="shared" si="595"/>
        <v>0.23704622890658128</v>
      </c>
      <c r="BN260" s="255">
        <f t="shared" si="595"/>
        <v>0.23423666301092452</v>
      </c>
      <c r="BO260" s="255">
        <f t="shared" si="595"/>
        <v>0.23555932394434784</v>
      </c>
      <c r="BP260" s="256">
        <f t="shared" si="595"/>
        <v>0.23563696222103511</v>
      </c>
      <c r="BQ260" s="79">
        <f t="shared" si="595"/>
        <v>0.23563696222103511</v>
      </c>
      <c r="BR260" s="20"/>
      <c r="BS260" s="20"/>
      <c r="BT260" s="20"/>
      <c r="BU260" s="20"/>
      <c r="BV260" s="20"/>
      <c r="BW260" s="20"/>
      <c r="BX260" s="20"/>
      <c r="BY260" s="20"/>
      <c r="BZ260" s="20"/>
      <c r="CA260" s="20"/>
      <c r="CB260" s="20"/>
      <c r="CC260" s="20"/>
      <c r="CD260" s="20"/>
      <c r="CE260" s="20"/>
      <c r="CF260" s="20"/>
      <c r="CG260" s="20"/>
      <c r="CH260" s="20"/>
      <c r="CI260" s="20"/>
      <c r="CJ260" s="20"/>
      <c r="CK260" s="20"/>
      <c r="CL260" s="20"/>
      <c r="CM260" s="20"/>
      <c r="CN260" s="20"/>
      <c r="CO260" s="20"/>
      <c r="CP260" s="20"/>
      <c r="CQ260" s="20"/>
      <c r="CR260" s="20"/>
      <c r="CS260" s="20"/>
      <c r="CT260" s="20"/>
      <c r="CU260" s="20"/>
      <c r="CV260" s="20"/>
      <c r="CW260" s="20"/>
      <c r="CX260" s="20"/>
      <c r="CY260" s="20"/>
      <c r="CZ260" s="20"/>
    </row>
    <row r="261" spans="1:104" x14ac:dyDescent="0.2">
      <c r="A261" s="289"/>
      <c r="B261" s="289"/>
      <c r="C261" s="289"/>
      <c r="D261" s="289"/>
      <c r="E261" s="291"/>
      <c r="F261" s="292"/>
      <c r="G261" s="292"/>
      <c r="H261" s="293"/>
      <c r="I261" s="289"/>
      <c r="J261" s="291"/>
      <c r="K261" s="292"/>
      <c r="L261" s="292"/>
      <c r="M261" s="293"/>
      <c r="N261" s="289"/>
      <c r="O261" s="291"/>
      <c r="P261" s="292"/>
      <c r="Q261" s="292"/>
      <c r="R261" s="293"/>
      <c r="S261" s="289"/>
      <c r="T261" s="291"/>
      <c r="U261" s="292"/>
      <c r="V261" s="292"/>
      <c r="W261" s="293"/>
      <c r="X261" s="289"/>
      <c r="Y261" s="291"/>
      <c r="Z261" s="292"/>
      <c r="AA261" s="292"/>
      <c r="AB261" s="293"/>
      <c r="AC261" s="289"/>
      <c r="AD261" s="291"/>
      <c r="AE261" s="292"/>
      <c r="AF261" s="292"/>
      <c r="AG261" s="293"/>
      <c r="AH261" s="289"/>
      <c r="AI261" s="291"/>
      <c r="AJ261" s="292"/>
      <c r="AK261" s="292"/>
      <c r="AL261" s="293"/>
      <c r="AM261" s="289"/>
      <c r="AN261" s="291"/>
      <c r="AO261" s="292"/>
      <c r="AP261" s="292"/>
      <c r="AQ261" s="293"/>
      <c r="AR261" s="289"/>
      <c r="AS261" s="291"/>
      <c r="AT261" s="292"/>
      <c r="AU261" s="292"/>
      <c r="AV261" s="293"/>
      <c r="AW261" s="289"/>
      <c r="AX261" s="291"/>
      <c r="AY261" s="292"/>
      <c r="AZ261" s="292"/>
      <c r="BA261" s="293"/>
      <c r="BB261" s="289"/>
      <c r="BC261" s="291"/>
      <c r="BD261" s="292"/>
      <c r="BE261" s="292"/>
      <c r="BF261" s="293"/>
      <c r="BG261" s="289"/>
      <c r="BH261" s="291"/>
      <c r="BI261" s="292"/>
      <c r="BJ261" s="292"/>
      <c r="BK261" s="293"/>
      <c r="BL261" s="289"/>
      <c r="BM261" s="291"/>
      <c r="BN261" s="292"/>
      <c r="BO261" s="292"/>
      <c r="BP261" s="293"/>
      <c r="BQ261" s="289"/>
      <c r="BR261" s="289"/>
      <c r="BS261" s="289"/>
      <c r="BT261" s="289"/>
      <c r="BU261" s="289"/>
      <c r="BV261" s="289"/>
      <c r="BW261" s="289"/>
      <c r="BX261" s="289"/>
      <c r="BY261" s="289"/>
      <c r="BZ261" s="289"/>
      <c r="CA261" s="289"/>
      <c r="CB261" s="289"/>
      <c r="CC261" s="289"/>
      <c r="CD261" s="289"/>
      <c r="CE261" s="289"/>
      <c r="CF261" s="289"/>
      <c r="CG261" s="289"/>
      <c r="CH261" s="289"/>
      <c r="CI261" s="289"/>
      <c r="CJ261" s="289"/>
      <c r="CK261" s="289"/>
      <c r="CL261" s="289"/>
      <c r="CM261" s="289"/>
      <c r="CN261" s="289"/>
      <c r="CO261" s="289"/>
      <c r="CP261" s="289"/>
      <c r="CQ261" s="289"/>
      <c r="CR261" s="289"/>
      <c r="CS261" s="289"/>
      <c r="CT261" s="289"/>
      <c r="CU261" s="289"/>
      <c r="CV261" s="289"/>
      <c r="CW261" s="289"/>
      <c r="CX261" s="289"/>
      <c r="CY261" s="289"/>
      <c r="CZ261" s="289"/>
    </row>
    <row r="262" spans="1:104" x14ac:dyDescent="0.2">
      <c r="A262" s="289"/>
      <c r="B262" s="289"/>
      <c r="C262" s="141" t="s">
        <v>63</v>
      </c>
      <c r="D262" s="289"/>
      <c r="E262" s="291"/>
      <c r="F262" s="292"/>
      <c r="G262" s="292"/>
      <c r="H262" s="293"/>
      <c r="I262" s="289"/>
      <c r="J262" s="291"/>
      <c r="K262" s="292"/>
      <c r="L262" s="292"/>
      <c r="M262" s="293"/>
      <c r="N262" s="289"/>
      <c r="O262" s="291"/>
      <c r="P262" s="292"/>
      <c r="Q262" s="292"/>
      <c r="R262" s="293"/>
      <c r="S262" s="289"/>
      <c r="T262" s="291"/>
      <c r="U262" s="292"/>
      <c r="V262" s="292"/>
      <c r="W262" s="293"/>
      <c r="X262" s="289"/>
      <c r="Y262" s="291"/>
      <c r="Z262" s="292"/>
      <c r="AA262" s="292"/>
      <c r="AB262" s="293"/>
      <c r="AC262" s="289"/>
      <c r="AD262" s="291"/>
      <c r="AE262" s="292"/>
      <c r="AF262" s="292"/>
      <c r="AG262" s="293"/>
      <c r="AH262" s="289"/>
      <c r="AI262" s="291"/>
      <c r="AJ262" s="292"/>
      <c r="AK262" s="292"/>
      <c r="AL262" s="293"/>
      <c r="AM262" s="289"/>
      <c r="AN262" s="291"/>
      <c r="AO262" s="292"/>
      <c r="AP262" s="292"/>
      <c r="AQ262" s="293"/>
      <c r="AR262" s="289"/>
      <c r="AS262" s="291"/>
      <c r="AT262" s="292"/>
      <c r="AU262" s="292"/>
      <c r="AV262" s="293"/>
      <c r="AW262" s="289"/>
      <c r="AX262" s="291"/>
      <c r="AY262" s="292"/>
      <c r="AZ262" s="292"/>
      <c r="BA262" s="293"/>
      <c r="BB262" s="289"/>
      <c r="BC262" s="291"/>
      <c r="BD262" s="292"/>
      <c r="BE262" s="292"/>
      <c r="BF262" s="293"/>
      <c r="BG262" s="289"/>
      <c r="BH262" s="291"/>
      <c r="BI262" s="292"/>
      <c r="BJ262" s="292"/>
      <c r="BK262" s="293"/>
      <c r="BL262" s="289"/>
      <c r="BM262" s="291"/>
      <c r="BN262" s="292"/>
      <c r="BO262" s="292"/>
      <c r="BP262" s="293"/>
      <c r="BQ262" s="289"/>
      <c r="BR262" s="289"/>
      <c r="BS262" s="289"/>
      <c r="BT262" s="289"/>
      <c r="BU262" s="289"/>
      <c r="BV262" s="289"/>
      <c r="BW262" s="289"/>
      <c r="BX262" s="289"/>
      <c r="BY262" s="289"/>
      <c r="BZ262" s="289"/>
      <c r="CA262" s="289"/>
      <c r="CB262" s="289"/>
      <c r="CC262" s="289"/>
      <c r="CD262" s="289"/>
      <c r="CE262" s="289"/>
      <c r="CF262" s="289"/>
      <c r="CG262" s="289"/>
      <c r="CH262" s="289"/>
      <c r="CI262" s="289"/>
      <c r="CJ262" s="289"/>
      <c r="CK262" s="289"/>
      <c r="CL262" s="289"/>
      <c r="CM262" s="289"/>
      <c r="CN262" s="289"/>
      <c r="CO262" s="289"/>
      <c r="CP262" s="289"/>
      <c r="CQ262" s="289"/>
      <c r="CR262" s="289"/>
      <c r="CS262" s="289"/>
      <c r="CT262" s="289"/>
      <c r="CU262" s="289"/>
      <c r="CV262" s="289"/>
      <c r="CW262" s="289"/>
      <c r="CX262" s="289"/>
      <c r="CY262" s="289"/>
      <c r="CZ262" s="289"/>
    </row>
    <row r="263" spans="1:104" x14ac:dyDescent="0.2">
      <c r="A263" s="289"/>
      <c r="B263" s="289"/>
      <c r="C263" s="289" t="s">
        <v>65</v>
      </c>
      <c r="D263" s="289"/>
      <c r="E263" s="291"/>
      <c r="F263" s="292"/>
      <c r="G263" s="292"/>
      <c r="H263" s="257">
        <f t="shared" ref="H263:AM263" si="596">(H250+H253)/H253</f>
        <v>4.5067194365734453</v>
      </c>
      <c r="I263" s="81">
        <f t="shared" si="596"/>
        <v>4.5067194365734453</v>
      </c>
      <c r="J263" s="258">
        <f t="shared" si="596"/>
        <v>4.4034704264663631</v>
      </c>
      <c r="K263" s="259">
        <f t="shared" si="596"/>
        <v>4.3927140498588173</v>
      </c>
      <c r="L263" s="259">
        <f t="shared" si="596"/>
        <v>4.508248599031365</v>
      </c>
      <c r="M263" s="257">
        <f t="shared" si="596"/>
        <v>4.3528156043508703</v>
      </c>
      <c r="N263" s="81">
        <f t="shared" si="596"/>
        <v>4.3528156043508703</v>
      </c>
      <c r="O263" s="258">
        <f t="shared" si="596"/>
        <v>4.4879747615409258</v>
      </c>
      <c r="P263" s="259">
        <f t="shared" si="596"/>
        <v>4.5654776364502068</v>
      </c>
      <c r="Q263" s="259">
        <f t="shared" si="596"/>
        <v>4.7194873920419491</v>
      </c>
      <c r="R263" s="257">
        <f t="shared" si="596"/>
        <v>4.5288241034985086</v>
      </c>
      <c r="S263" s="81">
        <f t="shared" si="596"/>
        <v>4.5288241034985086</v>
      </c>
      <c r="T263" s="258">
        <f t="shared" si="596"/>
        <v>4.4402708768968138</v>
      </c>
      <c r="U263" s="259">
        <f>(U250+U253)/U253</f>
        <v>4.4151537100015865</v>
      </c>
      <c r="V263" s="259">
        <f>(V250+V253)/V253</f>
        <v>4.3601214458386144</v>
      </c>
      <c r="W263" s="257">
        <f>(W250+W253)/W253</f>
        <v>4.6765776156056438</v>
      </c>
      <c r="X263" s="81">
        <f>(X250+X253)/X253</f>
        <v>4.6765776156056438</v>
      </c>
      <c r="Y263" s="258">
        <f t="shared" si="596"/>
        <v>4.9899511722773902</v>
      </c>
      <c r="Z263" s="259">
        <f t="shared" si="596"/>
        <v>5.2042506649959916</v>
      </c>
      <c r="AA263" s="259">
        <f t="shared" si="596"/>
        <v>5.2572384147844824</v>
      </c>
      <c r="AB263" s="257">
        <f t="shared" si="596"/>
        <v>5.2104237345548725</v>
      </c>
      <c r="AC263" s="81">
        <f t="shared" si="596"/>
        <v>5.2104237345548725</v>
      </c>
      <c r="AD263" s="258">
        <f t="shared" si="596"/>
        <v>5.1417156214120574</v>
      </c>
      <c r="AE263" s="259">
        <f t="shared" si="596"/>
        <v>5.0650938076295837</v>
      </c>
      <c r="AF263" s="259">
        <f t="shared" si="596"/>
        <v>5.0115570391725459</v>
      </c>
      <c r="AG263" s="257">
        <f>(AG250+AG253)/AG253</f>
        <v>5.0855774865150467</v>
      </c>
      <c r="AH263" s="81">
        <f>(AH250+AH253)/AH253</f>
        <v>5.0855774865150467</v>
      </c>
      <c r="AI263" s="258">
        <f>(AI250+AI253)/AI253</f>
        <v>4.982566747394328</v>
      </c>
      <c r="AJ263" s="259">
        <f>(AJ250+AJ253)/AJ253</f>
        <v>5.0474451302314423</v>
      </c>
      <c r="AK263" s="259">
        <f t="shared" si="596"/>
        <v>5.2897325590428856</v>
      </c>
      <c r="AL263" s="257">
        <f t="shared" si="596"/>
        <v>5.3845509022192628</v>
      </c>
      <c r="AM263" s="81">
        <f t="shared" si="596"/>
        <v>5.3845509022192628</v>
      </c>
      <c r="AN263" s="258">
        <f>(AN250+AN253)/AN253</f>
        <v>5.5096699286780551</v>
      </c>
      <c r="AO263" s="259">
        <f t="shared" ref="AO263:AW263" si="597">(AO250+AO253)/AO253</f>
        <v>5.5254314238937514</v>
      </c>
      <c r="AP263" s="259">
        <f t="shared" si="597"/>
        <v>5.7026584187750231</v>
      </c>
      <c r="AQ263" s="257">
        <f t="shared" si="597"/>
        <v>5.7910676371790428</v>
      </c>
      <c r="AR263" s="81">
        <f t="shared" si="597"/>
        <v>5.7910676371790428</v>
      </c>
      <c r="AS263" s="258">
        <f>(AS250+AS253)/AS253</f>
        <v>5.8361198628348641</v>
      </c>
      <c r="AT263" s="259">
        <f>(AT250+AT253)/AT253</f>
        <v>5.9553955404184711</v>
      </c>
      <c r="AU263" s="259">
        <f>(AU250+AU253)/AU253</f>
        <v>6.1768699829067257</v>
      </c>
      <c r="AV263" s="257">
        <f t="shared" si="597"/>
        <v>6.2134535312892725</v>
      </c>
      <c r="AW263" s="81">
        <f t="shared" si="597"/>
        <v>6.2134535312892725</v>
      </c>
      <c r="AX263" s="258">
        <f t="shared" ref="AX263:BG263" si="598">(AX250+AX253)/AX253</f>
        <v>6.2614903002050006</v>
      </c>
      <c r="AY263" s="259">
        <f t="shared" si="598"/>
        <v>6.2943726141895819</v>
      </c>
      <c r="AZ263" s="259">
        <f t="shared" si="598"/>
        <v>6.1923590084064264</v>
      </c>
      <c r="BA263" s="257">
        <f t="shared" si="598"/>
        <v>6.2844984477300487</v>
      </c>
      <c r="BB263" s="81">
        <f t="shared" si="598"/>
        <v>6.2844984477300487</v>
      </c>
      <c r="BC263" s="258">
        <f t="shared" si="598"/>
        <v>6.3771751595406023</v>
      </c>
      <c r="BD263" s="259">
        <f t="shared" si="598"/>
        <v>6.4645698390881376</v>
      </c>
      <c r="BE263" s="259">
        <f t="shared" si="598"/>
        <v>6.4957402421672104</v>
      </c>
      <c r="BF263" s="257">
        <f t="shared" si="598"/>
        <v>6.5318723673280727</v>
      </c>
      <c r="BG263" s="81">
        <f t="shared" si="598"/>
        <v>6.5318723673280727</v>
      </c>
      <c r="BH263" s="258">
        <f t="shared" ref="BH263:BQ263" si="599">(BH250+BH253)/BH253</f>
        <v>6.5377981550426991</v>
      </c>
      <c r="BI263" s="259">
        <f t="shared" si="599"/>
        <v>6.5591607750798513</v>
      </c>
      <c r="BJ263" s="259">
        <f t="shared" si="599"/>
        <v>6.4916413246867632</v>
      </c>
      <c r="BK263" s="257">
        <f t="shared" si="599"/>
        <v>6.4612681381816959</v>
      </c>
      <c r="BL263" s="81">
        <f t="shared" si="599"/>
        <v>6.4612681381816959</v>
      </c>
      <c r="BM263" s="258">
        <f t="shared" si="599"/>
        <v>6.4316614734634605</v>
      </c>
      <c r="BN263" s="259">
        <f t="shared" si="599"/>
        <v>6.4033617664922762</v>
      </c>
      <c r="BO263" s="259">
        <f t="shared" si="599"/>
        <v>6.3219331058629198</v>
      </c>
      <c r="BP263" s="257">
        <f t="shared" si="599"/>
        <v>6.2822021571183084</v>
      </c>
      <c r="BQ263" s="81">
        <f t="shared" si="599"/>
        <v>6.2822021571183084</v>
      </c>
      <c r="BR263" s="289"/>
      <c r="BS263" s="289"/>
      <c r="BT263" s="289"/>
      <c r="BU263" s="289"/>
      <c r="BV263" s="289"/>
      <c r="BW263" s="289"/>
      <c r="BX263" s="289"/>
      <c r="BY263" s="289"/>
      <c r="BZ263" s="289"/>
      <c r="CA263" s="289"/>
      <c r="CB263" s="289"/>
      <c r="CC263" s="289"/>
      <c r="CD263" s="289"/>
      <c r="CE263" s="289"/>
      <c r="CF263" s="289"/>
      <c r="CG263" s="289"/>
      <c r="CH263" s="289"/>
      <c r="CI263" s="289"/>
      <c r="CJ263" s="289"/>
      <c r="CK263" s="289"/>
      <c r="CL263" s="289"/>
      <c r="CM263" s="289"/>
      <c r="CN263" s="289"/>
      <c r="CO263" s="289"/>
      <c r="CP263" s="289"/>
      <c r="CQ263" s="289"/>
      <c r="CR263" s="289"/>
      <c r="CS263" s="289"/>
      <c r="CT263" s="289"/>
      <c r="CU263" s="289"/>
      <c r="CV263" s="289"/>
      <c r="CW263" s="289"/>
      <c r="CX263" s="289"/>
      <c r="CY263" s="289"/>
      <c r="CZ263" s="289"/>
    </row>
    <row r="264" spans="1:104" x14ac:dyDescent="0.2">
      <c r="A264" s="289"/>
      <c r="B264" s="289"/>
      <c r="C264" s="289" t="s">
        <v>66</v>
      </c>
      <c r="D264" s="289"/>
      <c r="E264" s="291"/>
      <c r="F264" s="292"/>
      <c r="G264" s="292"/>
      <c r="H264" s="257">
        <f t="shared" ref="H264:AM264" si="600">H251/H253</f>
        <v>3.3157724528766792</v>
      </c>
      <c r="I264" s="81">
        <f t="shared" si="600"/>
        <v>3.3157724528766774</v>
      </c>
      <c r="J264" s="258">
        <f t="shared" si="600"/>
        <v>3.2392049419201263</v>
      </c>
      <c r="K264" s="259">
        <f t="shared" si="600"/>
        <v>3.2090994656146989</v>
      </c>
      <c r="L264" s="259">
        <f t="shared" si="600"/>
        <v>3.2978218424322345</v>
      </c>
      <c r="M264" s="257">
        <f t="shared" si="600"/>
        <v>3.1659277866862592</v>
      </c>
      <c r="N264" s="81">
        <f t="shared" si="600"/>
        <v>3.1659277866862601</v>
      </c>
      <c r="O264" s="258">
        <f t="shared" si="600"/>
        <v>3.3221452690212683</v>
      </c>
      <c r="P264" s="259">
        <f t="shared" si="600"/>
        <v>3.416973560191618</v>
      </c>
      <c r="Q264" s="259">
        <f t="shared" si="600"/>
        <v>3.5632807680444158</v>
      </c>
      <c r="R264" s="257">
        <f t="shared" si="600"/>
        <v>3.5182954092008281</v>
      </c>
      <c r="S264" s="81">
        <f t="shared" si="600"/>
        <v>3.5182954092008307</v>
      </c>
      <c r="T264" s="258">
        <f t="shared" si="600"/>
        <v>3.2978782588677666</v>
      </c>
      <c r="U264" s="259">
        <f>U251/U253</f>
        <v>3.312667584433775</v>
      </c>
      <c r="V264" s="259">
        <f>V251/V253</f>
        <v>3.3347099113618075</v>
      </c>
      <c r="W264" s="257">
        <f>W251/W253</f>
        <v>3.4618260273019228</v>
      </c>
      <c r="X264" s="81">
        <f>X251/X253</f>
        <v>3.4618260273019223</v>
      </c>
      <c r="Y264" s="258">
        <f t="shared" si="600"/>
        <v>3.8164067328690923</v>
      </c>
      <c r="Z264" s="259">
        <f t="shared" si="600"/>
        <v>3.9638008569289669</v>
      </c>
      <c r="AA264" s="259">
        <f t="shared" si="600"/>
        <v>4.0194721665398179</v>
      </c>
      <c r="AB264" s="257">
        <f t="shared" si="600"/>
        <v>3.9033660084736455</v>
      </c>
      <c r="AC264" s="81">
        <f t="shared" si="600"/>
        <v>3.9033660084736481</v>
      </c>
      <c r="AD264" s="258">
        <f t="shared" si="600"/>
        <v>3.9761104274894792</v>
      </c>
      <c r="AE264" s="259">
        <f t="shared" si="600"/>
        <v>3.961135750537236</v>
      </c>
      <c r="AF264" s="259">
        <f t="shared" si="600"/>
        <v>3.8722352881673077</v>
      </c>
      <c r="AG264" s="257">
        <f>AG251/AG253</f>
        <v>3.9664090711033859</v>
      </c>
      <c r="AH264" s="81">
        <f>AH251/AH253</f>
        <v>3.9664090711033868</v>
      </c>
      <c r="AI264" s="258">
        <f>AI251/AI253</f>
        <v>3.1363382325544915</v>
      </c>
      <c r="AJ264" s="259">
        <f>AJ251/AJ253</f>
        <v>3.1317315658657843</v>
      </c>
      <c r="AK264" s="259">
        <f t="shared" si="600"/>
        <v>3.3896878884400268</v>
      </c>
      <c r="AL264" s="257">
        <f t="shared" si="600"/>
        <v>3.5140853503733926</v>
      </c>
      <c r="AM264" s="81">
        <f t="shared" si="600"/>
        <v>3.5140853503733904</v>
      </c>
      <c r="AN264" s="258">
        <f>AN251/AN253</f>
        <v>4.1100111366490548</v>
      </c>
      <c r="AO264" s="259">
        <f t="shared" ref="AO264:AW264" si="601">AO251/AO253</f>
        <v>4.007420078236426</v>
      </c>
      <c r="AP264" s="259">
        <f t="shared" si="601"/>
        <v>4.0893546533551204</v>
      </c>
      <c r="AQ264" s="257">
        <f t="shared" si="601"/>
        <v>4.0929211157066749</v>
      </c>
      <c r="AR264" s="81">
        <f t="shared" si="601"/>
        <v>4.0929211157066758</v>
      </c>
      <c r="AS264" s="258">
        <f>AS251/AS253</f>
        <v>4.0124719316263127</v>
      </c>
      <c r="AT264" s="259">
        <f>AT251/AT253</f>
        <v>4.025738329148064</v>
      </c>
      <c r="AU264" s="259">
        <f>AU251/AU253</f>
        <v>4.0054438842850031</v>
      </c>
      <c r="AV264" s="257">
        <f t="shared" si="601"/>
        <v>3.9542164876686194</v>
      </c>
      <c r="AW264" s="81">
        <f t="shared" si="601"/>
        <v>3.954216487668623</v>
      </c>
      <c r="AX264" s="258">
        <f t="shared" ref="AX264:BG264" si="602">AX251/AX253</f>
        <v>3.9156129877059489</v>
      </c>
      <c r="AY264" s="259">
        <f t="shared" si="602"/>
        <v>3.8598990704374878</v>
      </c>
      <c r="AZ264" s="259">
        <f t="shared" si="602"/>
        <v>3.6905908037045241</v>
      </c>
      <c r="BA264" s="257">
        <f t="shared" si="602"/>
        <v>3.6205321289258499</v>
      </c>
      <c r="BB264" s="81">
        <f t="shared" si="602"/>
        <v>3.6205321289258463</v>
      </c>
      <c r="BC264" s="258">
        <f t="shared" si="602"/>
        <v>3.703849228128826</v>
      </c>
      <c r="BD264" s="259">
        <f t="shared" si="602"/>
        <v>3.7876015323886389</v>
      </c>
      <c r="BE264" s="259">
        <f t="shared" si="602"/>
        <v>3.8440013507319266</v>
      </c>
      <c r="BF264" s="257">
        <f t="shared" si="602"/>
        <v>3.8748326108732041</v>
      </c>
      <c r="BG264" s="81">
        <f t="shared" si="602"/>
        <v>3.8748326108732076</v>
      </c>
      <c r="BH264" s="258">
        <f t="shared" ref="BH264:BQ264" si="603">BH251/BH253</f>
        <v>3.8831886903127932</v>
      </c>
      <c r="BI264" s="259">
        <f t="shared" si="603"/>
        <v>3.8803713239878577</v>
      </c>
      <c r="BJ264" s="259">
        <f t="shared" si="603"/>
        <v>3.8490756778248483</v>
      </c>
      <c r="BK264" s="257">
        <f t="shared" si="603"/>
        <v>3.8299604958335101</v>
      </c>
      <c r="BL264" s="81">
        <f t="shared" si="603"/>
        <v>3.8299604958335092</v>
      </c>
      <c r="BM264" s="258">
        <f t="shared" si="603"/>
        <v>3.7967351029202661</v>
      </c>
      <c r="BN264" s="259">
        <f t="shared" si="603"/>
        <v>3.7842056163316582</v>
      </c>
      <c r="BO264" s="259">
        <f t="shared" si="603"/>
        <v>3.7493835074121349</v>
      </c>
      <c r="BP264" s="257">
        <f t="shared" si="603"/>
        <v>3.7242099082015234</v>
      </c>
      <c r="BQ264" s="81">
        <f t="shared" si="603"/>
        <v>3.7242099082015256</v>
      </c>
      <c r="BR264" s="289"/>
      <c r="BS264" s="289"/>
      <c r="BT264" s="289"/>
      <c r="BU264" s="289"/>
      <c r="BV264" s="289"/>
      <c r="BW264" s="289"/>
      <c r="BX264" s="289"/>
      <c r="BY264" s="289"/>
      <c r="BZ264" s="289"/>
      <c r="CA264" s="289"/>
      <c r="CB264" s="289"/>
      <c r="CC264" s="289"/>
      <c r="CD264" s="289"/>
      <c r="CE264" s="289"/>
      <c r="CF264" s="289"/>
      <c r="CG264" s="289"/>
      <c r="CH264" s="289"/>
      <c r="CI264" s="289"/>
      <c r="CJ264" s="289"/>
      <c r="CK264" s="289"/>
      <c r="CL264" s="289"/>
      <c r="CM264" s="289"/>
      <c r="CN264" s="289"/>
      <c r="CO264" s="289"/>
      <c r="CP264" s="289"/>
      <c r="CQ264" s="289"/>
      <c r="CR264" s="289"/>
      <c r="CS264" s="289"/>
      <c r="CT264" s="289"/>
      <c r="CU264" s="289"/>
      <c r="CV264" s="289"/>
      <c r="CW264" s="289"/>
      <c r="CX264" s="289"/>
      <c r="CY264" s="289"/>
      <c r="CZ264" s="289"/>
    </row>
    <row r="265" spans="1:104" x14ac:dyDescent="0.2">
      <c r="A265" s="289"/>
      <c r="B265" s="289"/>
      <c r="C265" s="289"/>
      <c r="D265" s="289"/>
      <c r="E265" s="291"/>
      <c r="F265" s="292"/>
      <c r="G265" s="292"/>
      <c r="H265" s="293"/>
      <c r="I265" s="289"/>
      <c r="J265" s="291"/>
      <c r="K265" s="292"/>
      <c r="L265" s="292"/>
      <c r="M265" s="293"/>
      <c r="N265" s="289"/>
      <c r="O265" s="291"/>
      <c r="P265" s="292"/>
      <c r="Q265" s="292"/>
      <c r="R265" s="293"/>
      <c r="S265" s="289"/>
      <c r="T265" s="291"/>
      <c r="U265" s="292"/>
      <c r="V265" s="292"/>
      <c r="W265" s="293"/>
      <c r="X265" s="289"/>
      <c r="Y265" s="291"/>
      <c r="Z265" s="292"/>
      <c r="AA265" s="292"/>
      <c r="AB265" s="293"/>
      <c r="AC265" s="289"/>
      <c r="AD265" s="291"/>
      <c r="AE265" s="292"/>
      <c r="AF265" s="292"/>
      <c r="AG265" s="293"/>
      <c r="AH265" s="289"/>
      <c r="AI265" s="291"/>
      <c r="AJ265" s="292"/>
      <c r="AK265" s="292"/>
      <c r="AL265" s="293"/>
      <c r="AM265" s="289"/>
      <c r="AN265" s="291"/>
      <c r="AO265" s="292"/>
      <c r="AP265" s="292"/>
      <c r="AQ265" s="293"/>
      <c r="AR265" s="289"/>
      <c r="AS265" s="291"/>
      <c r="AT265" s="292"/>
      <c r="AU265" s="292"/>
      <c r="AV265" s="293"/>
      <c r="AW265" s="289"/>
      <c r="AX265" s="291"/>
      <c r="AY265" s="292"/>
      <c r="AZ265" s="292"/>
      <c r="BA265" s="293"/>
      <c r="BB265" s="289"/>
      <c r="BC265" s="291"/>
      <c r="BD265" s="292"/>
      <c r="BE265" s="292"/>
      <c r="BF265" s="293"/>
      <c r="BG265" s="289"/>
      <c r="BH265" s="291"/>
      <c r="BI265" s="292"/>
      <c r="BJ265" s="292"/>
      <c r="BK265" s="293"/>
      <c r="BL265" s="289"/>
      <c r="BM265" s="291"/>
      <c r="BN265" s="292"/>
      <c r="BO265" s="292"/>
      <c r="BP265" s="293"/>
      <c r="BQ265" s="289"/>
      <c r="BR265" s="289"/>
      <c r="BS265" s="289"/>
      <c r="BT265" s="289"/>
      <c r="BU265" s="289"/>
      <c r="BV265" s="289"/>
      <c r="BW265" s="289"/>
      <c r="BX265" s="289"/>
      <c r="BY265" s="289"/>
      <c r="BZ265" s="289"/>
      <c r="CA265" s="289"/>
      <c r="CB265" s="289"/>
      <c r="CC265" s="289"/>
      <c r="CD265" s="289"/>
      <c r="CE265" s="289"/>
      <c r="CF265" s="289"/>
      <c r="CG265" s="289"/>
      <c r="CH265" s="289"/>
      <c r="CI265" s="289"/>
      <c r="CJ265" s="289"/>
      <c r="CK265" s="289"/>
      <c r="CL265" s="289"/>
      <c r="CM265" s="289"/>
      <c r="CN265" s="289"/>
      <c r="CO265" s="289"/>
      <c r="CP265" s="289"/>
      <c r="CQ265" s="289"/>
      <c r="CR265" s="289"/>
      <c r="CS265" s="289"/>
      <c r="CT265" s="289"/>
      <c r="CU265" s="289"/>
      <c r="CV265" s="289"/>
      <c r="CW265" s="289"/>
      <c r="CX265" s="289"/>
      <c r="CY265" s="289"/>
      <c r="CZ265" s="289"/>
    </row>
    <row r="266" spans="1:104" x14ac:dyDescent="0.2">
      <c r="A266" s="289"/>
      <c r="B266" s="289"/>
      <c r="C266" s="289"/>
      <c r="D266" s="289"/>
      <c r="E266" s="291"/>
      <c r="F266" s="292"/>
      <c r="G266" s="292"/>
      <c r="H266" s="293"/>
      <c r="I266" s="289"/>
      <c r="J266" s="291"/>
      <c r="K266" s="292"/>
      <c r="L266" s="292"/>
      <c r="M266" s="293"/>
      <c r="N266" s="289"/>
      <c r="O266" s="207">
        <f>(J277/N273)-1</f>
        <v>-4.2113560920918336E-2</v>
      </c>
      <c r="P266" s="292"/>
      <c r="Q266" s="292"/>
      <c r="R266" s="293"/>
      <c r="S266" s="289"/>
      <c r="T266" s="291"/>
      <c r="U266" s="292"/>
      <c r="V266" s="292"/>
      <c r="W266" s="293"/>
      <c r="X266" s="289"/>
      <c r="Y266" s="291"/>
      <c r="Z266" s="292"/>
      <c r="AA266" s="292"/>
      <c r="AB266" s="293"/>
      <c r="AC266" s="289"/>
      <c r="AD266" s="291"/>
      <c r="AE266" s="292"/>
      <c r="AF266" s="292"/>
      <c r="AG266" s="293"/>
      <c r="AH266" s="289"/>
      <c r="AI266" s="291"/>
      <c r="AJ266" s="292"/>
      <c r="AK266" s="292"/>
      <c r="AL266" s="293"/>
      <c r="AM266" s="289"/>
      <c r="AN266" s="291"/>
      <c r="AO266" s="292"/>
      <c r="AP266" s="292"/>
      <c r="AQ266" s="293"/>
      <c r="AR266" s="289"/>
      <c r="AS266" s="291"/>
      <c r="AT266" s="292"/>
      <c r="AU266" s="292"/>
      <c r="AV266" s="293"/>
      <c r="AW266" s="289"/>
      <c r="AX266" s="291"/>
      <c r="AY266" s="292"/>
      <c r="AZ266" s="292"/>
      <c r="BA266" s="293"/>
      <c r="BB266" s="289"/>
      <c r="BC266" s="291"/>
      <c r="BD266" s="292"/>
      <c r="BE266" s="292"/>
      <c r="BF266" s="293"/>
      <c r="BG266" s="289"/>
      <c r="BH266" s="291"/>
      <c r="BI266" s="292"/>
      <c r="BJ266" s="292"/>
      <c r="BK266" s="293"/>
      <c r="BL266" s="289"/>
      <c r="BM266" s="291"/>
      <c r="BN266" s="292"/>
      <c r="BO266" s="292"/>
      <c r="BP266" s="293"/>
      <c r="BQ266" s="289"/>
      <c r="BR266" s="289"/>
      <c r="BS266" s="289"/>
      <c r="BT266" s="289"/>
      <c r="BU266" s="289"/>
      <c r="BV266" s="289"/>
      <c r="BW266" s="289"/>
      <c r="BX266" s="289"/>
      <c r="BY266" s="289"/>
      <c r="BZ266" s="289"/>
      <c r="CA266" s="289"/>
      <c r="CB266" s="289"/>
      <c r="CC266" s="289"/>
      <c r="CD266" s="289"/>
      <c r="CE266" s="289"/>
      <c r="CF266" s="289"/>
      <c r="CG266" s="289"/>
      <c r="CH266" s="289"/>
      <c r="CI266" s="289"/>
      <c r="CJ266" s="289"/>
      <c r="CK266" s="289"/>
      <c r="CL266" s="289"/>
      <c r="CM266" s="289"/>
      <c r="CN266" s="289"/>
      <c r="CO266" s="289"/>
      <c r="CP266" s="289"/>
      <c r="CQ266" s="289"/>
      <c r="CR266" s="289"/>
      <c r="CS266" s="289"/>
      <c r="CT266" s="289"/>
      <c r="CU266" s="289"/>
      <c r="CV266" s="289"/>
      <c r="CW266" s="289"/>
      <c r="CX266" s="289"/>
      <c r="CY266" s="289"/>
      <c r="CZ266" s="289"/>
    </row>
    <row r="267" spans="1:104" x14ac:dyDescent="0.2">
      <c r="A267" s="289"/>
      <c r="B267" s="347" t="s">
        <v>300</v>
      </c>
      <c r="C267" s="347"/>
      <c r="D267" s="348"/>
      <c r="E267" s="291"/>
      <c r="F267" s="292"/>
      <c r="G267" s="292"/>
      <c r="H267" s="293"/>
      <c r="I267" s="289"/>
      <c r="J267" s="291"/>
      <c r="K267" s="292"/>
      <c r="L267" s="292"/>
      <c r="M267" s="293"/>
      <c r="N267" s="289"/>
      <c r="O267" s="291"/>
      <c r="P267" s="292"/>
      <c r="Q267" s="292"/>
      <c r="R267" s="293"/>
      <c r="S267" s="289"/>
      <c r="T267" s="291"/>
      <c r="U267" s="292"/>
      <c r="V267" s="292"/>
      <c r="W267" s="293"/>
      <c r="X267" s="289"/>
      <c r="Y267" s="291"/>
      <c r="Z267" s="292"/>
      <c r="AA267" s="292"/>
      <c r="AB267" s="293"/>
      <c r="AC267" s="289"/>
      <c r="AD267" s="291"/>
      <c r="AE267" s="292"/>
      <c r="AF267" s="292"/>
      <c r="AG267" s="293"/>
      <c r="AH267" s="289"/>
      <c r="AI267" s="291"/>
      <c r="AJ267" s="292"/>
      <c r="AK267" s="292"/>
      <c r="AL267" s="293"/>
      <c r="AM267" s="289"/>
      <c r="AN267" s="291"/>
      <c r="AO267" s="292"/>
      <c r="AP267" s="292"/>
      <c r="AQ267" s="293"/>
      <c r="AR267" s="289"/>
      <c r="AS267" s="291"/>
      <c r="AT267" s="292"/>
      <c r="AU267" s="292"/>
      <c r="AV267" s="293"/>
      <c r="AW267" s="289"/>
      <c r="AX267" s="291"/>
      <c r="AY267" s="292"/>
      <c r="AZ267" s="292"/>
      <c r="BA267" s="293"/>
      <c r="BB267" s="289"/>
      <c r="BC267" s="291"/>
      <c r="BD267" s="292"/>
      <c r="BE267" s="292"/>
      <c r="BF267" s="293"/>
      <c r="BG267" s="289"/>
      <c r="BH267" s="291"/>
      <c r="BI267" s="292"/>
      <c r="BJ267" s="292"/>
      <c r="BK267" s="293"/>
      <c r="BL267" s="289"/>
      <c r="BM267" s="291"/>
      <c r="BN267" s="292"/>
      <c r="BO267" s="292"/>
      <c r="BP267" s="293"/>
      <c r="BQ267" s="289"/>
      <c r="BR267" s="289"/>
      <c r="BS267" s="289"/>
      <c r="BT267" s="289"/>
      <c r="BU267" s="289"/>
      <c r="BV267" s="289"/>
      <c r="BW267" s="289"/>
      <c r="BX267" s="289"/>
      <c r="BY267" s="289"/>
      <c r="BZ267" s="289"/>
      <c r="CA267" s="289"/>
      <c r="CB267" s="289"/>
      <c r="CC267" s="289"/>
      <c r="CD267" s="289"/>
      <c r="CE267" s="289"/>
      <c r="CF267" s="289"/>
      <c r="CG267" s="289"/>
      <c r="CH267" s="289"/>
      <c r="CI267" s="289"/>
      <c r="CJ267" s="289"/>
      <c r="CK267" s="289"/>
      <c r="CL267" s="289"/>
      <c r="CM267" s="289"/>
      <c r="CN267" s="289"/>
      <c r="CO267" s="289"/>
      <c r="CP267" s="289"/>
      <c r="CQ267" s="289"/>
      <c r="CR267" s="289"/>
      <c r="CS267" s="289"/>
      <c r="CT267" s="289"/>
      <c r="CU267" s="289"/>
      <c r="CV267" s="289"/>
      <c r="CW267" s="289"/>
      <c r="CX267" s="289"/>
      <c r="CY267" s="289"/>
      <c r="CZ267" s="289"/>
    </row>
    <row r="268" spans="1:104" x14ac:dyDescent="0.2">
      <c r="A268" s="220"/>
      <c r="B268" s="220"/>
      <c r="C268" s="141" t="s">
        <v>301</v>
      </c>
      <c r="D268" s="82"/>
      <c r="E268" s="356">
        <v>5773</v>
      </c>
      <c r="F268" s="122">
        <f>+E273</f>
        <v>5933.5429999999997</v>
      </c>
      <c r="G268" s="122">
        <f>+F273</f>
        <v>6010.3399999999992</v>
      </c>
      <c r="H268" s="123">
        <f>+G273</f>
        <v>5994.6269999999995</v>
      </c>
      <c r="I268" s="127">
        <f>E268</f>
        <v>5773</v>
      </c>
      <c r="J268" s="121">
        <f>I273</f>
        <v>6050.8419999999996</v>
      </c>
      <c r="K268" s="122">
        <f>+J273</f>
        <v>6219.83</v>
      </c>
      <c r="L268" s="122">
        <f>+K273</f>
        <v>6361.8319999999994</v>
      </c>
      <c r="M268" s="123">
        <f>+L273</f>
        <v>6467.6669999999995</v>
      </c>
      <c r="N268" s="86">
        <f>+I273</f>
        <v>6050.8419999999996</v>
      </c>
      <c r="O268" s="121">
        <f>M273</f>
        <v>6607.360999999999</v>
      </c>
      <c r="P268" s="122">
        <f>+O273</f>
        <v>6758.101999999999</v>
      </c>
      <c r="Q268" s="122">
        <f>+P273</f>
        <v>6939.4719999999998</v>
      </c>
      <c r="R268" s="123">
        <f>+Q273</f>
        <v>6964.3779999999997</v>
      </c>
      <c r="S268" s="86">
        <f>+N273</f>
        <v>6607.360999999999</v>
      </c>
      <c r="T268" s="121">
        <f>+S273</f>
        <v>7149.8799999999992</v>
      </c>
      <c r="U268" s="122">
        <f>+T273</f>
        <v>7108.4989999999998</v>
      </c>
      <c r="V268" s="122">
        <f>+U273</f>
        <v>7123.8310000000001</v>
      </c>
      <c r="W268" s="123">
        <f>+V273</f>
        <v>7211.8560000000007</v>
      </c>
      <c r="X268" s="86">
        <f>+S273</f>
        <v>7149.8799999999992</v>
      </c>
      <c r="Y268" s="121">
        <f>+X273</f>
        <v>7273.87</v>
      </c>
      <c r="Z268" s="122">
        <f>+Y273</f>
        <v>7488.0349999999999</v>
      </c>
      <c r="AA268" s="122">
        <f>+Z273</f>
        <v>7737.6880000000001</v>
      </c>
      <c r="AB268" s="123">
        <f>+AA273</f>
        <v>8022.3130000000001</v>
      </c>
      <c r="AC268" s="86">
        <f>+X273</f>
        <v>7273.87</v>
      </c>
      <c r="AD268" s="121">
        <f>+AC273</f>
        <v>7995.7900000000009</v>
      </c>
      <c r="AE268" s="122">
        <f>+AD273</f>
        <v>8173.2610000000013</v>
      </c>
      <c r="AF268" s="122">
        <f>+AE273</f>
        <v>8309.9459999999999</v>
      </c>
      <c r="AG268" s="123">
        <f>+AF273</f>
        <v>8415.0279999999984</v>
      </c>
      <c r="AH268" s="86">
        <f>+AC273</f>
        <v>7995.7900000000009</v>
      </c>
      <c r="AI268" s="121">
        <f>+AH273</f>
        <v>8476.4190000000017</v>
      </c>
      <c r="AJ268" s="122">
        <f>+AI273</f>
        <v>8671.4390000000003</v>
      </c>
      <c r="AK268" s="122">
        <f>+AJ273</f>
        <v>8790.3850000000002</v>
      </c>
      <c r="AL268" s="123">
        <f>+AK273</f>
        <v>8879.0980000000018</v>
      </c>
      <c r="AM268" s="86">
        <f>+AH273</f>
        <v>8476.4190000000017</v>
      </c>
      <c r="AN268" s="121">
        <f>+AM273</f>
        <v>9319.1190000000024</v>
      </c>
      <c r="AO268" s="122">
        <f>+AN273</f>
        <v>9438.1240000000016</v>
      </c>
      <c r="AP268" s="122">
        <f>+AO273</f>
        <v>9597.8470000000016</v>
      </c>
      <c r="AQ268" s="123">
        <f>+AP273</f>
        <v>9737.6550000000025</v>
      </c>
      <c r="AR268" s="86">
        <f>+AM273</f>
        <v>9319.1190000000024</v>
      </c>
      <c r="AS268" s="121">
        <f>+AR273</f>
        <v>9939.7860000000037</v>
      </c>
      <c r="AT268" s="122">
        <f>+AS273</f>
        <v>10105.571000000004</v>
      </c>
      <c r="AU268" s="122">
        <f>+AT273</f>
        <v>10214.200000000004</v>
      </c>
      <c r="AV268" s="123">
        <f>+AU273</f>
        <v>10356.198000000004</v>
      </c>
      <c r="AW268" s="86">
        <f>+AR273</f>
        <v>9939.7860000000037</v>
      </c>
      <c r="AX268" s="121">
        <f>+AW273</f>
        <v>10515.660000000003</v>
      </c>
      <c r="AY268" s="122">
        <f>+AX273</f>
        <v>10676.325793771459</v>
      </c>
      <c r="AZ268" s="122">
        <f>+AY273</f>
        <v>10840.683271204181</v>
      </c>
      <c r="BA268" s="123">
        <f>+AZ273</f>
        <v>10969.687473860524</v>
      </c>
      <c r="BB268" s="86">
        <f>+AW273</f>
        <v>10515.660000000003</v>
      </c>
      <c r="BC268" s="121">
        <f>+BB273</f>
        <v>11125.666945348459</v>
      </c>
      <c r="BD268" s="122">
        <f>+BC273</f>
        <v>11296.632081213884</v>
      </c>
      <c r="BE268" s="122">
        <f>+BD273</f>
        <v>11471.060016778305</v>
      </c>
      <c r="BF268" s="123">
        <f>+BE273</f>
        <v>11607.659939708314</v>
      </c>
      <c r="BG268" s="86">
        <f>+BB273</f>
        <v>11125.666945348459</v>
      </c>
      <c r="BH268" s="121">
        <f>+BG273</f>
        <v>11771.403637993841</v>
      </c>
      <c r="BI268" s="122">
        <f>+BH273</f>
        <v>11952.783192930607</v>
      </c>
      <c r="BJ268" s="122">
        <f>+BI273</f>
        <v>12133.093293666052</v>
      </c>
      <c r="BK268" s="123">
        <f>+BJ273</f>
        <v>12276.354681359106</v>
      </c>
      <c r="BL268" s="86">
        <f>+BG273</f>
        <v>11771.403637993841</v>
      </c>
      <c r="BM268" s="121">
        <f>+BL273</f>
        <v>12449.780714100478</v>
      </c>
      <c r="BN268" s="122">
        <f>+BM273</f>
        <v>12640.051117704745</v>
      </c>
      <c r="BO268" s="122">
        <f>+BN273</f>
        <v>12832.030375376533</v>
      </c>
      <c r="BP268" s="123">
        <f>+BO273</f>
        <v>12985.968528452193</v>
      </c>
      <c r="BQ268" s="86">
        <f>+BL273</f>
        <v>12449.780714100478</v>
      </c>
      <c r="BR268" s="220"/>
      <c r="BS268" s="220"/>
      <c r="BT268" s="220"/>
      <c r="BU268" s="220"/>
      <c r="BV268" s="220"/>
      <c r="BW268" s="220"/>
      <c r="BX268" s="220"/>
      <c r="BY268" s="220"/>
      <c r="BZ268" s="220"/>
      <c r="CA268" s="220"/>
      <c r="CB268" s="220"/>
      <c r="CC268" s="220"/>
      <c r="CD268" s="220"/>
      <c r="CE268" s="220"/>
      <c r="CF268" s="220"/>
      <c r="CG268" s="220"/>
      <c r="CH268" s="220"/>
      <c r="CI268" s="220"/>
      <c r="CJ268" s="220"/>
      <c r="CK268" s="220"/>
      <c r="CL268" s="220"/>
      <c r="CM268" s="220"/>
      <c r="CN268" s="220"/>
      <c r="CO268" s="220"/>
      <c r="CP268" s="220"/>
      <c r="CQ268" s="220"/>
      <c r="CR268" s="220"/>
      <c r="CS268" s="220"/>
      <c r="CT268" s="220"/>
      <c r="CU268" s="220"/>
      <c r="CV268" s="220"/>
      <c r="CW268" s="220"/>
      <c r="CX268" s="220"/>
      <c r="CY268" s="220"/>
      <c r="CZ268" s="220"/>
    </row>
    <row r="269" spans="1:104" x14ac:dyDescent="0.2">
      <c r="A269" s="220"/>
      <c r="B269" s="220"/>
      <c r="C269" s="70" t="s">
        <v>302</v>
      </c>
      <c r="D269" s="82"/>
      <c r="E269" s="136">
        <f>E179</f>
        <v>278.00299999999999</v>
      </c>
      <c r="F269" s="135">
        <f>F179</f>
        <v>217.96899999999999</v>
      </c>
      <c r="G269" s="135">
        <f>G179</f>
        <v>156.89100000000008</v>
      </c>
      <c r="H269" s="116">
        <f>H179</f>
        <v>191.69299999999998</v>
      </c>
      <c r="I269" s="82">
        <f>SUM(E269:H269)</f>
        <v>844.55600000000004</v>
      </c>
      <c r="J269" s="136">
        <f>J179</f>
        <v>288.33600000000001</v>
      </c>
      <c r="K269" s="135">
        <f>K179</f>
        <v>286.96699999999998</v>
      </c>
      <c r="L269" s="135">
        <f>L179</f>
        <v>317.33500000000004</v>
      </c>
      <c r="M269" s="116">
        <f>M179</f>
        <v>316.76400000000001</v>
      </c>
      <c r="N269" s="82">
        <f>SUM(J269:M269)</f>
        <v>1209.402</v>
      </c>
      <c r="O269" s="136">
        <f t="shared" ref="O269:AL269" si="604">O179</f>
        <v>303.37599999999998</v>
      </c>
      <c r="P269" s="135">
        <f t="shared" si="604"/>
        <v>318.98400000000004</v>
      </c>
      <c r="Q269" s="135">
        <f t="shared" si="604"/>
        <v>187.59299999999996</v>
      </c>
      <c r="R269" s="116">
        <f t="shared" si="604"/>
        <v>309.71100000000001</v>
      </c>
      <c r="S269" s="82">
        <f>SUM(O269:R269)</f>
        <v>1119.664</v>
      </c>
      <c r="T269" s="136">
        <f t="shared" si="604"/>
        <v>221.874</v>
      </c>
      <c r="U269" s="135">
        <f>U179</f>
        <v>247.15200000000002</v>
      </c>
      <c r="V269" s="135">
        <f>V179</f>
        <v>351.07199999999995</v>
      </c>
      <c r="W269" s="116">
        <f>W179</f>
        <v>352.30500000000006</v>
      </c>
      <c r="X269" s="82">
        <f>SUM(T269:W269)</f>
        <v>1172.403</v>
      </c>
      <c r="Y269" s="136">
        <f t="shared" si="604"/>
        <v>376.58800000000002</v>
      </c>
      <c r="Z269" s="135">
        <f t="shared" si="604"/>
        <v>386.52100000000002</v>
      </c>
      <c r="AA269" s="135">
        <f t="shared" si="604"/>
        <v>394.00099999999986</v>
      </c>
      <c r="AB269" s="116">
        <f t="shared" si="604"/>
        <v>391.8420000000001</v>
      </c>
      <c r="AC269" s="82">
        <f>SUM(Y269:AB269)</f>
        <v>1548.952</v>
      </c>
      <c r="AD269" s="136">
        <f t="shared" si="604"/>
        <v>323.44799999999998</v>
      </c>
      <c r="AE269" s="135">
        <f t="shared" si="604"/>
        <v>266.98400000000004</v>
      </c>
      <c r="AF269" s="135">
        <f t="shared" si="604"/>
        <v>274.06899999999996</v>
      </c>
      <c r="AG269" s="116">
        <f>AG179</f>
        <v>377.43900000000008</v>
      </c>
      <c r="AH269" s="82">
        <f>SUM(AD269:AG269)</f>
        <v>1241.94</v>
      </c>
      <c r="AI269" s="136">
        <f>AI179</f>
        <v>322.66000000000003</v>
      </c>
      <c r="AJ269" s="135">
        <f>AJ179</f>
        <v>288.07099999999997</v>
      </c>
      <c r="AK269" s="135">
        <f t="shared" si="604"/>
        <v>296.58400000000006</v>
      </c>
      <c r="AL269" s="116">
        <f t="shared" si="604"/>
        <v>947.56299999999987</v>
      </c>
      <c r="AM269" s="82">
        <f>SUM(AI269:AL269)</f>
        <v>1854.8779999999999</v>
      </c>
      <c r="AN269" s="136">
        <f>AN179</f>
        <v>259.57</v>
      </c>
      <c r="AO269" s="135">
        <f>AO179</f>
        <v>254.95599999999996</v>
      </c>
      <c r="AP269" s="135">
        <f>AP179</f>
        <v>319.31900000000007</v>
      </c>
      <c r="AQ269" s="116">
        <f>AQ179</f>
        <v>370.69200000000001</v>
      </c>
      <c r="AR269" s="82">
        <f>SUM(AN269:AQ269)</f>
        <v>1204.537</v>
      </c>
      <c r="AS269" s="136">
        <f>AS179</f>
        <v>277.125</v>
      </c>
      <c r="AT269" s="135">
        <f>AT179</f>
        <v>207.04700000000003</v>
      </c>
      <c r="AU269" s="135">
        <f>AU179</f>
        <v>212.68499999999995</v>
      </c>
      <c r="AV269" s="116">
        <f>AV179</f>
        <v>319.82600000000002</v>
      </c>
      <c r="AW269" s="82">
        <f>SUM(AS269:AV269)</f>
        <v>1016.683</v>
      </c>
      <c r="AX269" s="136">
        <f>AX179</f>
        <v>342.5</v>
      </c>
      <c r="AY269" s="135">
        <f>AY179</f>
        <v>342.5</v>
      </c>
      <c r="AZ269" s="135">
        <f>AZ179</f>
        <v>342.5</v>
      </c>
      <c r="BA269" s="116">
        <f>BA179</f>
        <v>342.5</v>
      </c>
      <c r="BB269" s="82">
        <f>SUM(AX269:BA269)</f>
        <v>1370</v>
      </c>
      <c r="BC269" s="136">
        <f>BC179</f>
        <v>477.5</v>
      </c>
      <c r="BD269" s="135">
        <f>BD179</f>
        <v>477.5</v>
      </c>
      <c r="BE269" s="135">
        <f>BE179</f>
        <v>477.5</v>
      </c>
      <c r="BF269" s="116">
        <f>BF179</f>
        <v>477.5</v>
      </c>
      <c r="BG269" s="82">
        <f>SUM(BC269:BF269)</f>
        <v>1910</v>
      </c>
      <c r="BH269" s="136">
        <f>BH179</f>
        <v>362.5</v>
      </c>
      <c r="BI269" s="135">
        <f>BI179</f>
        <v>362.5</v>
      </c>
      <c r="BJ269" s="135">
        <f>BJ179</f>
        <v>362.5</v>
      </c>
      <c r="BK269" s="116">
        <f>BK179</f>
        <v>362.5</v>
      </c>
      <c r="BL269" s="82">
        <f>SUM(BH269:BK269)</f>
        <v>1450</v>
      </c>
      <c r="BM269" s="136">
        <f>BM179</f>
        <v>397.5</v>
      </c>
      <c r="BN269" s="135">
        <f>BN179</f>
        <v>397.5</v>
      </c>
      <c r="BO269" s="135">
        <f>BO179</f>
        <v>397.5</v>
      </c>
      <c r="BP269" s="116">
        <f>BP179</f>
        <v>397.5</v>
      </c>
      <c r="BQ269" s="82">
        <f>SUM(BM269:BP269)</f>
        <v>1590</v>
      </c>
      <c r="BR269" s="220"/>
      <c r="BS269" s="220"/>
      <c r="BT269" s="220"/>
      <c r="BU269" s="220"/>
      <c r="BV269" s="220"/>
      <c r="BW269" s="220"/>
      <c r="BX269" s="220"/>
      <c r="BY269" s="220"/>
      <c r="BZ269" s="220"/>
      <c r="CA269" s="220"/>
      <c r="CB269" s="220"/>
      <c r="CC269" s="220"/>
      <c r="CD269" s="220"/>
      <c r="CE269" s="220"/>
      <c r="CF269" s="220"/>
      <c r="CG269" s="220"/>
      <c r="CH269" s="220"/>
      <c r="CI269" s="220"/>
      <c r="CJ269" s="220"/>
      <c r="CK269" s="220"/>
      <c r="CL269" s="220"/>
      <c r="CM269" s="220"/>
      <c r="CN269" s="220"/>
      <c r="CO269" s="220"/>
      <c r="CP269" s="220"/>
      <c r="CQ269" s="220"/>
      <c r="CR269" s="220"/>
      <c r="CS269" s="220"/>
      <c r="CT269" s="220"/>
      <c r="CU269" s="220"/>
      <c r="CV269" s="220"/>
      <c r="CW269" s="220"/>
      <c r="CX269" s="220"/>
      <c r="CY269" s="220"/>
      <c r="CZ269" s="220"/>
    </row>
    <row r="270" spans="1:104" x14ac:dyDescent="0.2">
      <c r="A270" s="220"/>
      <c r="B270" s="220"/>
      <c r="C270" s="70" t="s">
        <v>178</v>
      </c>
      <c r="D270" s="82"/>
      <c r="E270" s="136">
        <f>+-E21</f>
        <v>-104.009</v>
      </c>
      <c r="F270" s="135">
        <f>+-F21</f>
        <v>-97.108000000000004</v>
      </c>
      <c r="G270" s="135">
        <f>+-G21</f>
        <v>-90.775999999999996</v>
      </c>
      <c r="H270" s="116">
        <f>+-H21</f>
        <v>-97.47399999999999</v>
      </c>
      <c r="I270" s="82">
        <f>SUM(E270:H270)</f>
        <v>-389.36700000000002</v>
      </c>
      <c r="J270" s="136">
        <f>+-J21</f>
        <v>-96.281999999999996</v>
      </c>
      <c r="K270" s="135">
        <f>+-K21</f>
        <v>-99.257999999999996</v>
      </c>
      <c r="L270" s="135">
        <f>+-L21</f>
        <v>-105.67</v>
      </c>
      <c r="M270" s="116">
        <f>+-M21</f>
        <v>-99.926000000000045</v>
      </c>
      <c r="N270" s="82">
        <f>SUM(J270:M270)</f>
        <v>-401.13600000000002</v>
      </c>
      <c r="O270" s="136">
        <f t="shared" ref="O270:AL270" si="605">+-O21</f>
        <v>-100.473</v>
      </c>
      <c r="P270" s="135">
        <f t="shared" si="605"/>
        <v>-104.355</v>
      </c>
      <c r="Q270" s="135">
        <f t="shared" si="605"/>
        <v>-111.43600000000001</v>
      </c>
      <c r="R270" s="116">
        <f t="shared" si="605"/>
        <v>-64.760999999999967</v>
      </c>
      <c r="S270" s="82">
        <f>SUM(O270:R270)</f>
        <v>-381.02499999999998</v>
      </c>
      <c r="T270" s="136">
        <f t="shared" si="605"/>
        <v>-98.98</v>
      </c>
      <c r="U270" s="135">
        <f>+-U21</f>
        <v>-99.923000000000002</v>
      </c>
      <c r="V270" s="135">
        <f>+-V21</f>
        <v>-105.89100000000001</v>
      </c>
      <c r="W270" s="116">
        <f>+-W21</f>
        <v>-94.637999999999977</v>
      </c>
      <c r="X270" s="82">
        <f>SUM(T270:W270)</f>
        <v>-399.43200000000002</v>
      </c>
      <c r="Y270" s="136">
        <f t="shared" si="605"/>
        <v>-109.08499999999999</v>
      </c>
      <c r="Z270" s="135">
        <f t="shared" si="605"/>
        <v>-103.735</v>
      </c>
      <c r="AA270" s="135">
        <f t="shared" si="605"/>
        <v>-89.227999999999994</v>
      </c>
      <c r="AB270" s="116">
        <f t="shared" si="605"/>
        <v>-112.54000000000002</v>
      </c>
      <c r="AC270" s="82">
        <f>SUM(Y270:AB270)</f>
        <v>-414.58800000000002</v>
      </c>
      <c r="AD270" s="136">
        <f t="shared" si="605"/>
        <v>-99.185000000000002</v>
      </c>
      <c r="AE270" s="135">
        <f t="shared" si="605"/>
        <v>-101.90600000000001</v>
      </c>
      <c r="AF270" s="135">
        <f t="shared" si="605"/>
        <v>-102.84099999999999</v>
      </c>
      <c r="AG270" s="116">
        <f>+-AG21</f>
        <v>-106.90799999999996</v>
      </c>
      <c r="AH270" s="82">
        <f>SUM(AD270:AG270)</f>
        <v>-410.84</v>
      </c>
      <c r="AI270" s="136">
        <f>+-AI21</f>
        <v>-118.075</v>
      </c>
      <c r="AJ270" s="135">
        <f>+-AJ21</f>
        <v>-116.245</v>
      </c>
      <c r="AK270" s="135">
        <f t="shared" si="605"/>
        <v>-119.63</v>
      </c>
      <c r="AL270" s="116">
        <f t="shared" si="605"/>
        <v>-125.392</v>
      </c>
      <c r="AM270" s="82">
        <f>SUM(AI270:AL270)</f>
        <v>-479.34199999999998</v>
      </c>
      <c r="AN270" s="136">
        <f>+-AN21</f>
        <v>-145.797</v>
      </c>
      <c r="AO270" s="135">
        <f>+-AO21</f>
        <v>-147.44399999999999</v>
      </c>
      <c r="AP270" s="135">
        <f>+-AP21</f>
        <v>-149.40799999999999</v>
      </c>
      <c r="AQ270" s="116">
        <f>+-AQ21</f>
        <v>-154.00900000000001</v>
      </c>
      <c r="AR270" s="82">
        <f>SUM(AN270:AQ270)</f>
        <v>-596.65800000000002</v>
      </c>
      <c r="AS270" s="136">
        <f>+-AS21</f>
        <v>-172.179</v>
      </c>
      <c r="AT270" s="135">
        <f>+-AT21</f>
        <v>-173.15199999999999</v>
      </c>
      <c r="AU270" s="135">
        <f>+-AU21</f>
        <v>-176.739</v>
      </c>
      <c r="AV270" s="116">
        <f>+-AV21</f>
        <v>-178.56699999999989</v>
      </c>
      <c r="AW270" s="82">
        <f>SUM(AS270:AV270)</f>
        <v>-700.63699999999994</v>
      </c>
      <c r="AX270" s="136">
        <f>+-AX21</f>
        <v>-184.54134799999994</v>
      </c>
      <c r="AY270" s="135">
        <f>+-AY21</f>
        <v>-185.00623894299997</v>
      </c>
      <c r="AZ270" s="135">
        <f>+-AZ21</f>
        <v>-187.40801879911922</v>
      </c>
      <c r="BA270" s="116">
        <f>+-BA21</f>
        <v>-189.77317151243267</v>
      </c>
      <c r="BB270" s="82">
        <f>SUM(AX270:BA270)</f>
        <v>-746.7287772545518</v>
      </c>
      <c r="BC270" s="136">
        <f>+-BC21</f>
        <v>-190.429733942224</v>
      </c>
      <c r="BD270" s="135">
        <f>+-BD21</f>
        <v>-190.85105508610775</v>
      </c>
      <c r="BE270" s="135">
        <f>+-BE21</f>
        <v>-195.18439231058321</v>
      </c>
      <c r="BF270" s="116">
        <f>+-BF21</f>
        <v>-199.45222149173873</v>
      </c>
      <c r="BG270" s="82">
        <f>SUM(BC270:BF270)</f>
        <v>-775.9174028306536</v>
      </c>
      <c r="BH270" s="136">
        <f>+-BH21</f>
        <v>-200.48944412099056</v>
      </c>
      <c r="BI270" s="135">
        <f>+-BI21</f>
        <v>-206.18651133079277</v>
      </c>
      <c r="BJ270" s="135">
        <f>+-BJ21</f>
        <v>-208.51280154685617</v>
      </c>
      <c r="BK270" s="116">
        <f>+-BK21</f>
        <v>-210.80447142263145</v>
      </c>
      <c r="BL270" s="82">
        <f>SUM(BH270:BK270)</f>
        <v>-825.99322842127094</v>
      </c>
      <c r="BM270" s="136">
        <f>+-BM21</f>
        <v>-212.77616875215239</v>
      </c>
      <c r="BN270" s="135">
        <f>+-BN21</f>
        <v>-214.5228364579549</v>
      </c>
      <c r="BO270" s="135">
        <f>+-BO21</f>
        <v>-217.24228747537646</v>
      </c>
      <c r="BP270" s="116">
        <f>+-BP21</f>
        <v>-219.92132135170243</v>
      </c>
      <c r="BQ270" s="82">
        <f>SUM(BM270:BP270)</f>
        <v>-864.4626140371862</v>
      </c>
      <c r="BR270" s="220"/>
      <c r="BS270" s="220"/>
      <c r="BT270" s="220"/>
      <c r="BU270" s="220"/>
      <c r="BV270" s="220"/>
      <c r="BW270" s="220"/>
      <c r="BX270" s="220"/>
      <c r="BY270" s="220"/>
      <c r="BZ270" s="220"/>
      <c r="CA270" s="220"/>
      <c r="CB270" s="220"/>
      <c r="CC270" s="220"/>
      <c r="CD270" s="220"/>
      <c r="CE270" s="220"/>
      <c r="CF270" s="220"/>
      <c r="CG270" s="220"/>
      <c r="CH270" s="220"/>
      <c r="CI270" s="220"/>
      <c r="CJ270" s="220"/>
      <c r="CK270" s="220"/>
      <c r="CL270" s="220"/>
      <c r="CM270" s="220"/>
      <c r="CN270" s="220"/>
      <c r="CO270" s="220"/>
      <c r="CP270" s="220"/>
      <c r="CQ270" s="220"/>
      <c r="CR270" s="220"/>
      <c r="CS270" s="220"/>
      <c r="CT270" s="220"/>
      <c r="CU270" s="220"/>
      <c r="CV270" s="220"/>
      <c r="CW270" s="220"/>
      <c r="CX270" s="220"/>
      <c r="CY270" s="220"/>
      <c r="CZ270" s="220"/>
    </row>
    <row r="271" spans="1:104" x14ac:dyDescent="0.2">
      <c r="A271" s="220"/>
      <c r="B271" s="220"/>
      <c r="C271" s="70" t="s">
        <v>303</v>
      </c>
      <c r="D271" s="82"/>
      <c r="E271" s="136">
        <f>+-E208</f>
        <v>-13.451000000000001</v>
      </c>
      <c r="F271" s="135">
        <f>+-F208</f>
        <v>-44.064</v>
      </c>
      <c r="G271" s="135">
        <f>+-G208</f>
        <v>-81.827999999999989</v>
      </c>
      <c r="H271" s="116">
        <f>+-H208</f>
        <v>-38.004000000000019</v>
      </c>
      <c r="I271" s="82">
        <f>SUM(E271:H271)</f>
        <v>-177.34700000000001</v>
      </c>
      <c r="J271" s="136">
        <f>+-J208</f>
        <v>-23.065999999999999</v>
      </c>
      <c r="K271" s="135">
        <f>+-K208</f>
        <v>-45.706999999999994</v>
      </c>
      <c r="L271" s="135">
        <f>+-L208</f>
        <v>-105.83000000000001</v>
      </c>
      <c r="M271" s="116">
        <f>+-M208</f>
        <v>-77.144000000000005</v>
      </c>
      <c r="N271" s="82">
        <f>SUM(J271:M271)</f>
        <v>-251.74700000000001</v>
      </c>
      <c r="O271" s="136">
        <f>+-O208</f>
        <v>-52.161999999999999</v>
      </c>
      <c r="P271" s="135">
        <f>+-P208</f>
        <v>-33.259000000000007</v>
      </c>
      <c r="Q271" s="135">
        <f>+-Q208</f>
        <v>-51.250999999999991</v>
      </c>
      <c r="R271" s="116">
        <f>+-R208</f>
        <v>-59.448000000000008</v>
      </c>
      <c r="S271" s="82">
        <f>SUM(O271:R271)</f>
        <v>-196.12</v>
      </c>
      <c r="T271" s="136">
        <f t="shared" ref="T271:AL271" si="606">+-T208</f>
        <v>-62.024999999999999</v>
      </c>
      <c r="U271" s="135">
        <f>+-U208</f>
        <v>-29.646999999999998</v>
      </c>
      <c r="V271" s="135">
        <f>+-V208</f>
        <v>-54.906000000000006</v>
      </c>
      <c r="W271" s="116">
        <f>+-W208</f>
        <v>-93.402999999999992</v>
      </c>
      <c r="X271" s="82">
        <f>SUM(T271:W271)</f>
        <v>-239.98099999999999</v>
      </c>
      <c r="Y271" s="136">
        <f t="shared" si="606"/>
        <v>-53.338000000000001</v>
      </c>
      <c r="Z271" s="135">
        <f t="shared" si="606"/>
        <v>-33.133000000000003</v>
      </c>
      <c r="AA271" s="135">
        <f t="shared" si="606"/>
        <v>-20.147999999999996</v>
      </c>
      <c r="AB271" s="116">
        <f t="shared" si="606"/>
        <v>-61.824999999999989</v>
      </c>
      <c r="AC271" s="82">
        <f>SUM(Y271:AB271)</f>
        <v>-168.44399999999999</v>
      </c>
      <c r="AD271" s="136">
        <f t="shared" si="606"/>
        <v>-46.792000000000002</v>
      </c>
      <c r="AE271" s="135">
        <f t="shared" si="606"/>
        <v>-28.393000000000001</v>
      </c>
      <c r="AF271" s="135">
        <f t="shared" si="606"/>
        <v>-66.145999999999987</v>
      </c>
      <c r="AG271" s="116">
        <f>+-AG208</f>
        <v>-26.140000000000015</v>
      </c>
      <c r="AH271" s="82">
        <f>SUM(AD271:AG271)</f>
        <v>-167.471</v>
      </c>
      <c r="AI271" s="136">
        <f>+-AI208</f>
        <v>-9.5649999999999995</v>
      </c>
      <c r="AJ271" s="135">
        <f>+-AJ208</f>
        <v>-52.88</v>
      </c>
      <c r="AK271" s="135">
        <f t="shared" si="606"/>
        <v>-88.241000000000014</v>
      </c>
      <c r="AL271" s="116">
        <f t="shared" si="606"/>
        <v>-56.150000000000006</v>
      </c>
      <c r="AM271" s="82">
        <f>SUM(AI271:AL271)</f>
        <v>-206.83600000000001</v>
      </c>
      <c r="AN271" s="136">
        <f>+-AN208</f>
        <v>-47.018000000000001</v>
      </c>
      <c r="AO271" s="135">
        <f>+-AO208</f>
        <v>-3.9000000000001478E-2</v>
      </c>
      <c r="AP271" s="135">
        <f>+-AP208</f>
        <v>-82.352999999999994</v>
      </c>
      <c r="AQ271" s="116">
        <f>+-AQ208</f>
        <v>-66.801999999999992</v>
      </c>
      <c r="AR271" s="82">
        <f>SUM(AN271:AQ271)</f>
        <v>-196.21199999999999</v>
      </c>
      <c r="AS271" s="136">
        <f>+-AS208</f>
        <v>-52.411000000000001</v>
      </c>
      <c r="AT271" s="135">
        <f>+-AT208</f>
        <v>-38.516000000000005</v>
      </c>
      <c r="AU271" s="135">
        <f>+-AU208</f>
        <v>-7.1979999999999933</v>
      </c>
      <c r="AV271" s="116">
        <f>+-AV208</f>
        <v>-95.046999999999997</v>
      </c>
      <c r="AW271" s="82">
        <f>SUM(AS271:AV271)</f>
        <v>-193.172</v>
      </c>
      <c r="AX271" s="136">
        <f>+-AX208</f>
        <v>-26.792858228543391</v>
      </c>
      <c r="AY271" s="135">
        <f>+-AY208</f>
        <v>-22.636283624277073</v>
      </c>
      <c r="AZ271" s="135">
        <f>+-AZ208</f>
        <v>-55.587778544539525</v>
      </c>
      <c r="BA271" s="116">
        <f>+-BA208</f>
        <v>-26.247356999632743</v>
      </c>
      <c r="BB271" s="82">
        <f>SUM(AX271:BA271)</f>
        <v>-131.26427739699272</v>
      </c>
      <c r="BC271" s="136">
        <f>+-BC208</f>
        <v>-30.855130192350778</v>
      </c>
      <c r="BD271" s="135">
        <f>+-BD208</f>
        <v>-26.971009349470261</v>
      </c>
      <c r="BE271" s="135">
        <f>+-BE208</f>
        <v>-60.465684759408816</v>
      </c>
      <c r="BF271" s="116">
        <f>+-BF208</f>
        <v>-29.054080222734907</v>
      </c>
      <c r="BG271" s="82">
        <f>SUM(BC271:BF271)</f>
        <v>-147.34590452396475</v>
      </c>
      <c r="BH271" s="136">
        <f>+-BH208</f>
        <v>-33.381000942242402</v>
      </c>
      <c r="BI271" s="135">
        <f>+-BI208</f>
        <v>-28.753387933762074</v>
      </c>
      <c r="BJ271" s="135">
        <f>+-BJ208</f>
        <v>-63.47581076009098</v>
      </c>
      <c r="BK271" s="116">
        <f>+-BK208</f>
        <v>-31.019495835997152</v>
      </c>
      <c r="BL271" s="82">
        <f>SUM(BH271:BK271)</f>
        <v>-156.62969547209261</v>
      </c>
      <c r="BM271" s="136">
        <f>+-BM208</f>
        <v>-33.953427643580753</v>
      </c>
      <c r="BN271" s="135">
        <f>+-BN208</f>
        <v>-30.497905870256851</v>
      </c>
      <c r="BO271" s="135">
        <f>+-BO208</f>
        <v>-65.819559448965151</v>
      </c>
      <c r="BP271" s="116">
        <f>+-BP208</f>
        <v>-32.239701311420042</v>
      </c>
      <c r="BQ271" s="82">
        <f>SUM(BM271:BP271)</f>
        <v>-162.5105942742228</v>
      </c>
      <c r="BR271" s="220"/>
      <c r="BS271" s="220"/>
      <c r="BT271" s="220"/>
      <c r="BU271" s="220"/>
      <c r="BV271" s="220"/>
      <c r="BW271" s="220"/>
      <c r="BX271" s="220"/>
      <c r="BY271" s="220"/>
      <c r="BZ271" s="220"/>
      <c r="CA271" s="220"/>
      <c r="CB271" s="220"/>
      <c r="CC271" s="220"/>
      <c r="CD271" s="220"/>
      <c r="CE271" s="220"/>
      <c r="CF271" s="220"/>
      <c r="CG271" s="220"/>
      <c r="CH271" s="220"/>
      <c r="CI271" s="220"/>
      <c r="CJ271" s="220"/>
      <c r="CK271" s="220"/>
      <c r="CL271" s="220"/>
      <c r="CM271" s="220"/>
      <c r="CN271" s="220"/>
      <c r="CO271" s="220"/>
      <c r="CP271" s="220"/>
      <c r="CQ271" s="220"/>
      <c r="CR271" s="220"/>
      <c r="CS271" s="220"/>
      <c r="CT271" s="220"/>
      <c r="CU271" s="220"/>
      <c r="CV271" s="220"/>
      <c r="CW271" s="220"/>
      <c r="CX271" s="220"/>
      <c r="CY271" s="220"/>
      <c r="CZ271" s="220"/>
    </row>
    <row r="272" spans="1:104" x14ac:dyDescent="0.2">
      <c r="A272" s="220"/>
      <c r="B272" s="220"/>
      <c r="C272" s="609" t="s">
        <v>304</v>
      </c>
      <c r="D272" s="82"/>
      <c r="E272" s="148">
        <v>0</v>
      </c>
      <c r="F272" s="149">
        <v>0</v>
      </c>
      <c r="G272" s="149">
        <v>0</v>
      </c>
      <c r="H272" s="150">
        <v>0</v>
      </c>
      <c r="I272" s="82">
        <f>SUM(E272:H272)</f>
        <v>0</v>
      </c>
      <c r="J272" s="148">
        <v>0</v>
      </c>
      <c r="K272" s="149">
        <v>0</v>
      </c>
      <c r="L272" s="149">
        <v>0</v>
      </c>
      <c r="M272" s="150">
        <v>0</v>
      </c>
      <c r="N272" s="82">
        <f>SUM(J272:M272)</f>
        <v>0</v>
      </c>
      <c r="O272" s="148">
        <v>0</v>
      </c>
      <c r="P272" s="149">
        <v>0</v>
      </c>
      <c r="Q272" s="149">
        <v>0</v>
      </c>
      <c r="R272" s="150">
        <v>0</v>
      </c>
      <c r="S272" s="82">
        <f>SUM(O272:R272)</f>
        <v>0</v>
      </c>
      <c r="T272" s="148">
        <f>U272</f>
        <v>-102.25</v>
      </c>
      <c r="U272" s="149">
        <f>V272</f>
        <v>-102.25</v>
      </c>
      <c r="V272" s="149">
        <f>W272</f>
        <v>-102.25</v>
      </c>
      <c r="W272" s="150">
        <f>X272/4</f>
        <v>-102.25</v>
      </c>
      <c r="X272" s="789">
        <v>-409</v>
      </c>
      <c r="Y272" s="148">
        <v>0</v>
      </c>
      <c r="Z272" s="149">
        <v>0</v>
      </c>
      <c r="AA272" s="149">
        <v>0</v>
      </c>
      <c r="AB272" s="150">
        <v>0</v>
      </c>
      <c r="AC272" s="798">
        <v>-244</v>
      </c>
      <c r="AD272" s="148">
        <v>0</v>
      </c>
      <c r="AE272" s="149">
        <v>0</v>
      </c>
      <c r="AF272" s="149">
        <v>0</v>
      </c>
      <c r="AG272" s="150">
        <v>0</v>
      </c>
      <c r="AH272" s="860">
        <v>-183</v>
      </c>
      <c r="AI272" s="148">
        <v>0</v>
      </c>
      <c r="AJ272" s="149">
        <v>0</v>
      </c>
      <c r="AK272" s="149">
        <v>0</v>
      </c>
      <c r="AL272" s="150">
        <v>0</v>
      </c>
      <c r="AM272" s="860">
        <v>-326</v>
      </c>
      <c r="AN272" s="148">
        <f>AR272/4</f>
        <v>52.25</v>
      </c>
      <c r="AO272" s="883">
        <f>AR272/4</f>
        <v>52.25</v>
      </c>
      <c r="AP272" s="883">
        <f>AR272/4</f>
        <v>52.25</v>
      </c>
      <c r="AQ272" s="849">
        <f>AR272/4</f>
        <v>52.25</v>
      </c>
      <c r="AR272" s="921">
        <v>209</v>
      </c>
      <c r="AS272" s="148">
        <f>AW272/4</f>
        <v>113.25</v>
      </c>
      <c r="AT272" s="883">
        <f>AW272/4</f>
        <v>113.25</v>
      </c>
      <c r="AU272" s="883">
        <f>AW272/4</f>
        <v>113.25</v>
      </c>
      <c r="AV272" s="849">
        <f>AW272/4</f>
        <v>113.25</v>
      </c>
      <c r="AW272" s="860">
        <v>453</v>
      </c>
      <c r="AX272" s="867">
        <f>BB272/4</f>
        <v>29.5</v>
      </c>
      <c r="AY272" s="883">
        <f>BB272/4</f>
        <v>29.5</v>
      </c>
      <c r="AZ272" s="883">
        <f>BB272/4</f>
        <v>29.5</v>
      </c>
      <c r="BA272" s="849">
        <f>BB272/4</f>
        <v>29.5</v>
      </c>
      <c r="BB272" s="860">
        <v>118</v>
      </c>
      <c r="BC272" s="867">
        <f>BG272/4</f>
        <v>-85.25</v>
      </c>
      <c r="BD272" s="883">
        <f>BG272/4</f>
        <v>-85.25</v>
      </c>
      <c r="BE272" s="883">
        <f>BG272/4</f>
        <v>-85.25</v>
      </c>
      <c r="BF272" s="849">
        <f>BG272/4</f>
        <v>-85.25</v>
      </c>
      <c r="BG272" s="860">
        <v>-341</v>
      </c>
      <c r="BH272" s="867">
        <f>BL272/4</f>
        <v>52.75</v>
      </c>
      <c r="BI272" s="883">
        <f>BL272/4</f>
        <v>52.75</v>
      </c>
      <c r="BJ272" s="883">
        <f>BL272/4</f>
        <v>52.75</v>
      </c>
      <c r="BK272" s="849">
        <f>BL272/4</f>
        <v>52.75</v>
      </c>
      <c r="BL272" s="860">
        <v>211</v>
      </c>
      <c r="BM272" s="867">
        <f>BQ272/4</f>
        <v>39.5</v>
      </c>
      <c r="BN272" s="883">
        <f>BQ272/4</f>
        <v>39.5</v>
      </c>
      <c r="BO272" s="883">
        <f>BQ272/4</f>
        <v>39.5</v>
      </c>
      <c r="BP272" s="849">
        <f>BQ272/4</f>
        <v>39.5</v>
      </c>
      <c r="BQ272" s="860">
        <v>158</v>
      </c>
      <c r="BR272" s="34"/>
      <c r="BS272" s="220"/>
      <c r="BT272" s="220"/>
      <c r="BU272" s="220"/>
      <c r="BV272" s="220"/>
      <c r="BW272" s="220"/>
      <c r="BX272" s="220"/>
      <c r="BY272" s="220"/>
      <c r="BZ272" s="220"/>
      <c r="CA272" s="220"/>
      <c r="CB272" s="220"/>
      <c r="CC272" s="220"/>
      <c r="CD272" s="220"/>
      <c r="CE272" s="220"/>
      <c r="CF272" s="220"/>
      <c r="CG272" s="220"/>
      <c r="CH272" s="220"/>
      <c r="CI272" s="220"/>
      <c r="CJ272" s="220"/>
      <c r="CK272" s="220"/>
      <c r="CL272" s="220"/>
      <c r="CM272" s="220"/>
      <c r="CN272" s="220"/>
      <c r="CO272" s="220"/>
      <c r="CP272" s="220"/>
      <c r="CQ272" s="220"/>
      <c r="CR272" s="220"/>
      <c r="CS272" s="220"/>
      <c r="CT272" s="220"/>
      <c r="CU272" s="220"/>
      <c r="CV272" s="220"/>
      <c r="CW272" s="220"/>
      <c r="CX272" s="220"/>
      <c r="CY272" s="220"/>
      <c r="CZ272" s="220"/>
    </row>
    <row r="273" spans="1:104" x14ac:dyDescent="0.2">
      <c r="A273" s="220"/>
      <c r="B273" s="220"/>
      <c r="C273" s="141" t="s">
        <v>305</v>
      </c>
      <c r="D273" s="82"/>
      <c r="E273" s="121">
        <f>SUM(E268:E272)</f>
        <v>5933.5429999999997</v>
      </c>
      <c r="F273" s="122">
        <f>SUM(F268:F272)</f>
        <v>6010.3399999999992</v>
      </c>
      <c r="G273" s="122">
        <f>SUM(G268:G272)</f>
        <v>5994.6269999999995</v>
      </c>
      <c r="H273" s="123">
        <f>SUM(H268:H272)</f>
        <v>6050.8419999999996</v>
      </c>
      <c r="I273" s="86">
        <f>H273</f>
        <v>6050.8419999999996</v>
      </c>
      <c r="J273" s="121">
        <f>SUM(J268:J272)</f>
        <v>6219.83</v>
      </c>
      <c r="K273" s="122">
        <f>SUM(K268:K272)</f>
        <v>6361.8319999999994</v>
      </c>
      <c r="L273" s="122">
        <f>SUM(L268:L272)</f>
        <v>6467.6669999999995</v>
      </c>
      <c r="M273" s="123">
        <f>SUM(M268:M272)</f>
        <v>6607.360999999999</v>
      </c>
      <c r="N273" s="86">
        <f>M273</f>
        <v>6607.360999999999</v>
      </c>
      <c r="O273" s="121">
        <f t="shared" ref="O273:AL273" si="607">SUM(O268:O272)</f>
        <v>6758.101999999999</v>
      </c>
      <c r="P273" s="122">
        <f t="shared" si="607"/>
        <v>6939.4719999999998</v>
      </c>
      <c r="Q273" s="122">
        <f t="shared" si="607"/>
        <v>6964.3779999999997</v>
      </c>
      <c r="R273" s="123">
        <f t="shared" si="607"/>
        <v>7149.8799999999992</v>
      </c>
      <c r="S273" s="86">
        <f t="shared" si="607"/>
        <v>7149.8799999999992</v>
      </c>
      <c r="T273" s="121">
        <f t="shared" si="607"/>
        <v>7108.4989999999998</v>
      </c>
      <c r="U273" s="122">
        <f t="shared" si="607"/>
        <v>7123.8310000000001</v>
      </c>
      <c r="V273" s="122">
        <f t="shared" si="607"/>
        <v>7211.8560000000007</v>
      </c>
      <c r="W273" s="123">
        <f>SUM(W268:W272)</f>
        <v>7273.8700000000008</v>
      </c>
      <c r="X273" s="86">
        <f>SUM(X268:X272)</f>
        <v>7273.87</v>
      </c>
      <c r="Y273" s="121">
        <f t="shared" si="607"/>
        <v>7488.0349999999999</v>
      </c>
      <c r="Z273" s="122">
        <f t="shared" si="607"/>
        <v>7737.6880000000001</v>
      </c>
      <c r="AA273" s="122">
        <f t="shared" si="607"/>
        <v>8022.3130000000001</v>
      </c>
      <c r="AB273" s="123">
        <f t="shared" si="607"/>
        <v>8239.7899999999991</v>
      </c>
      <c r="AC273" s="86">
        <f t="shared" si="607"/>
        <v>7995.7900000000009</v>
      </c>
      <c r="AD273" s="121">
        <f t="shared" si="607"/>
        <v>8173.2610000000013</v>
      </c>
      <c r="AE273" s="122">
        <f t="shared" si="607"/>
        <v>8309.9459999999999</v>
      </c>
      <c r="AF273" s="122">
        <f t="shared" si="607"/>
        <v>8415.0279999999984</v>
      </c>
      <c r="AG273" s="123">
        <f t="shared" si="607"/>
        <v>8659.4189999999999</v>
      </c>
      <c r="AH273" s="86">
        <f t="shared" si="607"/>
        <v>8476.4190000000017</v>
      </c>
      <c r="AI273" s="121">
        <f>SUM(AI268:AI272)</f>
        <v>8671.4390000000003</v>
      </c>
      <c r="AJ273" s="122">
        <f>SUM(AJ268:AJ272)</f>
        <v>8790.3850000000002</v>
      </c>
      <c r="AK273" s="122">
        <f t="shared" si="607"/>
        <v>8879.0980000000018</v>
      </c>
      <c r="AL273" s="123">
        <f t="shared" si="607"/>
        <v>9645.1190000000024</v>
      </c>
      <c r="AM273" s="86">
        <f t="shared" ref="AM273:AR273" si="608">SUM(AM268:AM272)</f>
        <v>9319.1190000000024</v>
      </c>
      <c r="AN273" s="121">
        <f>SUM(AN268:AN272)</f>
        <v>9438.1240000000016</v>
      </c>
      <c r="AO273" s="122">
        <f t="shared" si="608"/>
        <v>9597.8470000000016</v>
      </c>
      <c r="AP273" s="122">
        <f t="shared" si="608"/>
        <v>9737.6550000000025</v>
      </c>
      <c r="AQ273" s="123">
        <f t="shared" si="608"/>
        <v>9939.7860000000019</v>
      </c>
      <c r="AR273" s="86">
        <f t="shared" si="608"/>
        <v>9939.7860000000037</v>
      </c>
      <c r="AS273" s="121">
        <f>SUM(AS268:AS272)</f>
        <v>10105.571000000004</v>
      </c>
      <c r="AT273" s="122">
        <f t="shared" ref="AT273:AW273" si="609">SUM(AT268:AT272)</f>
        <v>10214.200000000004</v>
      </c>
      <c r="AU273" s="122">
        <f t="shared" si="609"/>
        <v>10356.198000000004</v>
      </c>
      <c r="AV273" s="123">
        <f t="shared" si="609"/>
        <v>10515.660000000005</v>
      </c>
      <c r="AW273" s="86">
        <f t="shared" si="609"/>
        <v>10515.660000000003</v>
      </c>
      <c r="AX273" s="121">
        <f t="shared" ref="AX273:BB273" si="610">SUM(AX268:AX272)</f>
        <v>10676.325793771459</v>
      </c>
      <c r="AY273" s="122">
        <f t="shared" si="610"/>
        <v>10840.683271204181</v>
      </c>
      <c r="AZ273" s="122">
        <f t="shared" si="610"/>
        <v>10969.687473860524</v>
      </c>
      <c r="BA273" s="123">
        <f t="shared" si="610"/>
        <v>11125.666945348459</v>
      </c>
      <c r="BB273" s="86">
        <f t="shared" si="610"/>
        <v>11125.666945348459</v>
      </c>
      <c r="BC273" s="121">
        <f t="shared" ref="BC273:BL273" si="611">SUM(BC268:BC272)</f>
        <v>11296.632081213884</v>
      </c>
      <c r="BD273" s="122">
        <f t="shared" si="611"/>
        <v>11471.060016778305</v>
      </c>
      <c r="BE273" s="122">
        <f t="shared" si="611"/>
        <v>11607.659939708314</v>
      </c>
      <c r="BF273" s="123">
        <f t="shared" si="611"/>
        <v>11771.403637993841</v>
      </c>
      <c r="BG273" s="86">
        <f t="shared" si="611"/>
        <v>11771.403637993841</v>
      </c>
      <c r="BH273" s="121">
        <f t="shared" si="611"/>
        <v>11952.783192930607</v>
      </c>
      <c r="BI273" s="122">
        <f t="shared" si="611"/>
        <v>12133.093293666052</v>
      </c>
      <c r="BJ273" s="122">
        <f t="shared" si="611"/>
        <v>12276.354681359106</v>
      </c>
      <c r="BK273" s="123">
        <f t="shared" si="611"/>
        <v>12449.780714100478</v>
      </c>
      <c r="BL273" s="86">
        <f t="shared" si="611"/>
        <v>12449.780714100478</v>
      </c>
      <c r="BM273" s="121">
        <f t="shared" ref="BM273:BQ273" si="612">SUM(BM268:BM272)</f>
        <v>12640.051117704745</v>
      </c>
      <c r="BN273" s="122">
        <f t="shared" si="612"/>
        <v>12832.030375376533</v>
      </c>
      <c r="BO273" s="122">
        <f t="shared" si="612"/>
        <v>12985.968528452193</v>
      </c>
      <c r="BP273" s="123">
        <f t="shared" si="612"/>
        <v>13170.807505789069</v>
      </c>
      <c r="BQ273" s="86">
        <f t="shared" si="612"/>
        <v>13170.807505789069</v>
      </c>
      <c r="BR273" s="220"/>
      <c r="BS273" s="220"/>
      <c r="BT273" s="220"/>
      <c r="BU273" s="220"/>
      <c r="BV273" s="220"/>
      <c r="BW273" s="220"/>
      <c r="BX273" s="220"/>
      <c r="BY273" s="220"/>
      <c r="BZ273" s="220"/>
      <c r="CA273" s="220"/>
      <c r="CB273" s="220"/>
      <c r="CC273" s="220"/>
      <c r="CD273" s="220"/>
      <c r="CE273" s="220"/>
      <c r="CF273" s="220"/>
      <c r="CG273" s="220"/>
      <c r="CH273" s="220"/>
      <c r="CI273" s="220"/>
      <c r="CJ273" s="220"/>
      <c r="CK273" s="220"/>
      <c r="CL273" s="220"/>
      <c r="CM273" s="220"/>
      <c r="CN273" s="220"/>
      <c r="CO273" s="220"/>
      <c r="CP273" s="220"/>
      <c r="CQ273" s="220"/>
      <c r="CR273" s="220"/>
      <c r="CS273" s="220"/>
      <c r="CT273" s="220"/>
      <c r="CU273" s="220"/>
      <c r="CV273" s="220"/>
      <c r="CW273" s="220"/>
      <c r="CX273" s="220"/>
      <c r="CY273" s="220"/>
      <c r="CZ273" s="220"/>
    </row>
    <row r="274" spans="1:104" x14ac:dyDescent="0.2">
      <c r="A274" s="220"/>
      <c r="B274" s="220"/>
      <c r="C274" s="141"/>
      <c r="D274" s="82"/>
      <c r="E274" s="121"/>
      <c r="F274" s="122"/>
      <c r="G274" s="122"/>
      <c r="H274" s="123"/>
      <c r="I274" s="86"/>
      <c r="J274" s="121"/>
      <c r="K274" s="122"/>
      <c r="L274" s="122"/>
      <c r="M274" s="123"/>
      <c r="N274" s="86"/>
      <c r="O274" s="121"/>
      <c r="P274" s="122"/>
      <c r="Q274" s="122"/>
      <c r="R274" s="123"/>
      <c r="S274" s="86"/>
      <c r="T274" s="121"/>
      <c r="U274" s="122"/>
      <c r="V274" s="122"/>
      <c r="W274" s="123"/>
      <c r="X274" s="86"/>
      <c r="Y274" s="121"/>
      <c r="Z274" s="122"/>
      <c r="AA274" s="122"/>
      <c r="AB274" s="123"/>
      <c r="AC274" s="86"/>
      <c r="AD274" s="121"/>
      <c r="AE274" s="122"/>
      <c r="AF274" s="122"/>
      <c r="AG274" s="123"/>
      <c r="AH274" s="86"/>
      <c r="AI274" s="121"/>
      <c r="AJ274" s="122"/>
      <c r="AK274" s="122"/>
      <c r="AL274" s="123"/>
      <c r="AM274" s="86"/>
      <c r="AN274" s="121"/>
      <c r="AO274" s="122"/>
      <c r="AP274" s="122"/>
      <c r="AQ274" s="123"/>
      <c r="AR274" s="86"/>
      <c r="AS274" s="121"/>
      <c r="AT274" s="122"/>
      <c r="AU274" s="122"/>
      <c r="AV274" s="123"/>
      <c r="AW274" s="86"/>
      <c r="AX274" s="121"/>
      <c r="AY274" s="122"/>
      <c r="AZ274" s="122"/>
      <c r="BA274" s="123"/>
      <c r="BB274" s="86"/>
      <c r="BC274" s="121"/>
      <c r="BD274" s="122"/>
      <c r="BE274" s="122"/>
      <c r="BF274" s="123"/>
      <c r="BG274" s="86"/>
      <c r="BH274" s="121"/>
      <c r="BI274" s="122"/>
      <c r="BJ274" s="122"/>
      <c r="BK274" s="123"/>
      <c r="BL274" s="86"/>
      <c r="BM274" s="121"/>
      <c r="BN274" s="122"/>
      <c r="BO274" s="122"/>
      <c r="BP274" s="123"/>
      <c r="BQ274" s="86"/>
      <c r="BR274" s="220"/>
      <c r="BS274" s="220"/>
      <c r="BT274" s="220"/>
      <c r="BU274" s="220"/>
      <c r="BV274" s="220"/>
      <c r="BW274" s="220"/>
      <c r="BX274" s="220"/>
      <c r="BY274" s="220"/>
      <c r="BZ274" s="220"/>
      <c r="CA274" s="220"/>
      <c r="CB274" s="220"/>
      <c r="CC274" s="220"/>
      <c r="CD274" s="220"/>
      <c r="CE274" s="220"/>
      <c r="CF274" s="220"/>
      <c r="CG274" s="220"/>
      <c r="CH274" s="220"/>
      <c r="CI274" s="220"/>
      <c r="CJ274" s="220"/>
      <c r="CK274" s="220"/>
      <c r="CL274" s="220"/>
      <c r="CM274" s="220"/>
      <c r="CN274" s="220"/>
      <c r="CO274" s="220"/>
      <c r="CP274" s="220"/>
      <c r="CQ274" s="220"/>
      <c r="CR274" s="220"/>
      <c r="CS274" s="220"/>
      <c r="CT274" s="220"/>
      <c r="CU274" s="220"/>
      <c r="CV274" s="220"/>
      <c r="CW274" s="220"/>
      <c r="CX274" s="220"/>
      <c r="CY274" s="220"/>
      <c r="CZ274" s="220"/>
    </row>
    <row r="275" spans="1:104" x14ac:dyDescent="0.2">
      <c r="A275" s="220"/>
      <c r="B275" s="220"/>
      <c r="C275" s="141" t="s">
        <v>517</v>
      </c>
      <c r="D275" s="82"/>
      <c r="E275" s="121"/>
      <c r="F275" s="122"/>
      <c r="G275" s="122"/>
      <c r="H275" s="123"/>
      <c r="I275" s="86">
        <f>AVERAGE(I273,I268)</f>
        <v>5911.9210000000003</v>
      </c>
      <c r="J275" s="121"/>
      <c r="K275" s="122"/>
      <c r="L275" s="122"/>
      <c r="M275" s="123"/>
      <c r="N275" s="86">
        <f>AVERAGE(N273,N268)</f>
        <v>6329.1014999999989</v>
      </c>
      <c r="O275" s="121"/>
      <c r="P275" s="122"/>
      <c r="Q275" s="122"/>
      <c r="R275" s="123"/>
      <c r="S275" s="86">
        <f>AVERAGE(S273,S268)</f>
        <v>6878.6204999999991</v>
      </c>
      <c r="T275" s="121"/>
      <c r="U275" s="122"/>
      <c r="V275" s="122"/>
      <c r="W275" s="123"/>
      <c r="X275" s="86">
        <f>AVERAGE(X273,X268)</f>
        <v>7211.875</v>
      </c>
      <c r="Y275" s="121"/>
      <c r="Z275" s="122"/>
      <c r="AA275" s="122"/>
      <c r="AB275" s="123"/>
      <c r="AC275" s="86">
        <f>AVERAGE(AC273,AC268)</f>
        <v>7634.83</v>
      </c>
      <c r="AD275" s="121"/>
      <c r="AE275" s="122"/>
      <c r="AF275" s="122"/>
      <c r="AG275" s="123"/>
      <c r="AH275" s="86">
        <f>AVERAGE(AH268,AH273)</f>
        <v>8236.1045000000013</v>
      </c>
      <c r="AI275" s="121"/>
      <c r="AJ275" s="122"/>
      <c r="AK275" s="122"/>
      <c r="AL275" s="123"/>
      <c r="AM275" s="86">
        <f>AVERAGE(AM273,AM268)</f>
        <v>8897.7690000000021</v>
      </c>
      <c r="AN275" s="121"/>
      <c r="AO275" s="863"/>
      <c r="AP275" s="122"/>
      <c r="AQ275" s="123"/>
      <c r="AR275" s="86">
        <f>AVERAGE(AR273,AR268)</f>
        <v>9629.4525000000031</v>
      </c>
      <c r="AS275" s="121"/>
      <c r="AT275" s="863"/>
      <c r="AU275" s="122"/>
      <c r="AV275" s="123"/>
      <c r="AW275" s="86">
        <f>AVERAGE(AW273,AW268)</f>
        <v>10227.723000000004</v>
      </c>
      <c r="AX275" s="121"/>
      <c r="AY275" s="122"/>
      <c r="AZ275" s="122"/>
      <c r="BA275" s="123"/>
      <c r="BB275" s="86">
        <f>AVERAGE(BB273,BB268)</f>
        <v>10820.66347267423</v>
      </c>
      <c r="BC275" s="121"/>
      <c r="BD275" s="122"/>
      <c r="BE275" s="122"/>
      <c r="BF275" s="123"/>
      <c r="BG275" s="86">
        <f>AVERAGE(BG273,BG268)</f>
        <v>11448.535291671149</v>
      </c>
      <c r="BH275" s="121"/>
      <c r="BI275" s="122"/>
      <c r="BJ275" s="122"/>
      <c r="BK275" s="123"/>
      <c r="BL275" s="86">
        <f>AVERAGE(BL273,BL268)</f>
        <v>12110.592176047159</v>
      </c>
      <c r="BM275" s="121"/>
      <c r="BN275" s="122"/>
      <c r="BO275" s="122"/>
      <c r="BP275" s="123"/>
      <c r="BQ275" s="86">
        <f>AVERAGE(BQ273,BQ268)</f>
        <v>12810.294109944774</v>
      </c>
      <c r="BR275" s="220"/>
      <c r="BS275" s="220"/>
      <c r="BT275" s="220"/>
      <c r="BU275" s="220"/>
      <c r="BV275" s="220"/>
      <c r="BW275" s="220"/>
      <c r="BX275" s="220"/>
      <c r="BY275" s="220"/>
      <c r="BZ275" s="220"/>
      <c r="CA275" s="220"/>
      <c r="CB275" s="220"/>
      <c r="CC275" s="220"/>
      <c r="CD275" s="220"/>
      <c r="CE275" s="220"/>
      <c r="CF275" s="220"/>
      <c r="CG275" s="220"/>
      <c r="CH275" s="220"/>
      <c r="CI275" s="220"/>
      <c r="CJ275" s="220"/>
      <c r="CK275" s="220"/>
      <c r="CL275" s="220"/>
      <c r="CM275" s="220"/>
      <c r="CN275" s="220"/>
      <c r="CO275" s="220"/>
      <c r="CP275" s="220"/>
      <c r="CQ275" s="220"/>
      <c r="CR275" s="220"/>
      <c r="CS275" s="220"/>
      <c r="CT275" s="220"/>
      <c r="CU275" s="220"/>
      <c r="CV275" s="220"/>
      <c r="CW275" s="220"/>
      <c r="CX275" s="220"/>
      <c r="CY275" s="220"/>
      <c r="CZ275" s="220"/>
    </row>
    <row r="276" spans="1:104" x14ac:dyDescent="0.2">
      <c r="A276" s="220"/>
      <c r="B276" s="220"/>
      <c r="C276" s="1001" t="s">
        <v>676</v>
      </c>
      <c r="D276" s="82"/>
      <c r="E276" s="121"/>
      <c r="F276" s="122"/>
      <c r="G276" s="122"/>
      <c r="H276" s="123"/>
      <c r="I276" s="86"/>
      <c r="J276" s="121"/>
      <c r="K276" s="122"/>
      <c r="L276" s="122"/>
      <c r="M276" s="123"/>
      <c r="N276" s="86"/>
      <c r="O276" s="121"/>
      <c r="P276" s="122"/>
      <c r="Q276" s="122"/>
      <c r="R276" s="123"/>
      <c r="S276" s="86"/>
      <c r="T276" s="121"/>
      <c r="U276" s="122"/>
      <c r="V276" s="122"/>
      <c r="W276" s="123"/>
      <c r="X276" s="86"/>
      <c r="Y276" s="121"/>
      <c r="Z276" s="122"/>
      <c r="AA276" s="122"/>
      <c r="AB276" s="123"/>
      <c r="AC276" s="86"/>
      <c r="AD276" s="121"/>
      <c r="AE276" s="122"/>
      <c r="AF276" s="122"/>
      <c r="AG276" s="123"/>
      <c r="AH276" s="86"/>
      <c r="AI276" s="121"/>
      <c r="AJ276" s="122"/>
      <c r="AK276" s="122"/>
      <c r="AL276" s="123"/>
      <c r="AM276" s="86"/>
      <c r="AN276" s="121"/>
      <c r="AO276" s="863"/>
      <c r="AP276" s="122"/>
      <c r="AQ276" s="123"/>
      <c r="AR276" s="86"/>
      <c r="AS276" s="121"/>
      <c r="AT276" s="863"/>
      <c r="AU276" s="122"/>
      <c r="AV276" s="123"/>
      <c r="AW276" s="859">
        <f>AR273*1.058</f>
        <v>10516.293588000004</v>
      </c>
      <c r="AX276" s="121"/>
      <c r="AY276" s="122"/>
      <c r="AZ276" s="122"/>
      <c r="BA276" s="123"/>
      <c r="BB276" s="859">
        <f>AW276*1.058</f>
        <v>11126.238616104005</v>
      </c>
      <c r="BC276" s="121"/>
      <c r="BD276" s="122"/>
      <c r="BE276" s="122"/>
      <c r="BF276" s="123"/>
      <c r="BG276" s="859">
        <f>BB276*1.058</f>
        <v>11771.560455838038</v>
      </c>
      <c r="BH276" s="121"/>
      <c r="BI276" s="122"/>
      <c r="BJ276" s="122"/>
      <c r="BK276" s="123"/>
      <c r="BL276" s="859">
        <f>BG276*1.058</f>
        <v>12454.310962276644</v>
      </c>
      <c r="BM276" s="121"/>
      <c r="BN276" s="122"/>
      <c r="BO276" s="122"/>
      <c r="BP276" s="123"/>
      <c r="BQ276" s="859">
        <f>BL276*1.058</f>
        <v>13176.66099808869</v>
      </c>
      <c r="BR276" s="220"/>
      <c r="BS276" s="220"/>
      <c r="BT276" s="220"/>
      <c r="BU276" s="220"/>
      <c r="BV276" s="220"/>
      <c r="BW276" s="220"/>
      <c r="BX276" s="220"/>
      <c r="BY276" s="220"/>
      <c r="BZ276" s="220"/>
      <c r="CA276" s="220"/>
      <c r="CB276" s="220"/>
      <c r="CC276" s="220"/>
      <c r="CD276" s="220"/>
      <c r="CE276" s="220"/>
      <c r="CF276" s="220"/>
      <c r="CG276" s="220"/>
      <c r="CH276" s="220"/>
      <c r="CI276" s="220"/>
      <c r="CJ276" s="220"/>
      <c r="CK276" s="220"/>
      <c r="CL276" s="220"/>
      <c r="CM276" s="220"/>
      <c r="CN276" s="220"/>
      <c r="CO276" s="220"/>
      <c r="CP276" s="220"/>
      <c r="CQ276" s="220"/>
      <c r="CR276" s="220"/>
      <c r="CS276" s="220"/>
      <c r="CT276" s="220"/>
      <c r="CU276" s="220"/>
      <c r="CV276" s="220"/>
      <c r="CW276" s="220"/>
      <c r="CX276" s="220"/>
      <c r="CY276" s="220"/>
      <c r="CZ276" s="220"/>
    </row>
    <row r="277" spans="1:104" x14ac:dyDescent="0.2">
      <c r="A277" s="220"/>
      <c r="B277" s="220"/>
      <c r="C277" s="393"/>
      <c r="D277" s="220"/>
      <c r="E277" s="136">
        <f>AVERAGE(E268,H273)</f>
        <v>5911.9210000000003</v>
      </c>
      <c r="F277" s="137"/>
      <c r="G277" s="137"/>
      <c r="H277" s="116"/>
      <c r="I277" s="82"/>
      <c r="J277" s="136">
        <f>AVERAGE(J268,M273)</f>
        <v>6329.1014999999989</v>
      </c>
      <c r="K277" s="137"/>
      <c r="L277" s="137"/>
      <c r="M277" s="116"/>
      <c r="N277" s="82"/>
      <c r="O277" s="136"/>
      <c r="P277" s="137"/>
      <c r="Q277" s="137"/>
      <c r="R277" s="116"/>
      <c r="S277" s="82"/>
      <c r="T277" s="136"/>
      <c r="U277" s="137"/>
      <c r="V277" s="137"/>
      <c r="W277" s="116"/>
      <c r="X277" s="82"/>
      <c r="Y277" s="136"/>
      <c r="Z277" s="137"/>
      <c r="AA277" s="137"/>
      <c r="AB277" s="116"/>
      <c r="AC277" s="82"/>
      <c r="AD277" s="136"/>
      <c r="AE277" s="137"/>
      <c r="AF277" s="137"/>
      <c r="AG277" s="116"/>
      <c r="AH277" s="82"/>
      <c r="AI277" s="136"/>
      <c r="AJ277" s="137"/>
      <c r="AK277" s="137"/>
      <c r="AL277" s="116"/>
      <c r="AM277" s="220"/>
      <c r="AN277" s="136"/>
      <c r="AO277" s="137"/>
      <c r="AP277" s="161"/>
      <c r="AQ277" s="116"/>
      <c r="AR277" s="220"/>
      <c r="AS277" s="136"/>
      <c r="AT277" s="137"/>
      <c r="AU277" s="137"/>
      <c r="AV277" s="116"/>
      <c r="AW277" s="220"/>
      <c r="AX277" s="136"/>
      <c r="AY277" s="137"/>
      <c r="AZ277" s="137"/>
      <c r="BA277" s="116"/>
      <c r="BB277" s="220"/>
      <c r="BC277" s="136"/>
      <c r="BD277" s="137"/>
      <c r="BE277" s="137"/>
      <c r="BF277" s="116"/>
      <c r="BG277" s="220"/>
      <c r="BH277" s="136"/>
      <c r="BI277" s="137"/>
      <c r="BJ277" s="137"/>
      <c r="BK277" s="116"/>
      <c r="BL277" s="220"/>
      <c r="BM277" s="136"/>
      <c r="BN277" s="137"/>
      <c r="BO277" s="137"/>
      <c r="BP277" s="116"/>
      <c r="BQ277" s="220"/>
      <c r="BR277" s="220"/>
      <c r="BS277" s="220"/>
      <c r="BT277" s="220"/>
      <c r="BU277" s="220"/>
      <c r="BV277" s="220"/>
      <c r="BW277" s="220"/>
      <c r="BX277" s="220"/>
      <c r="BY277" s="220"/>
      <c r="BZ277" s="220"/>
      <c r="CA277" s="220"/>
      <c r="CB277" s="220"/>
      <c r="CC277" s="220"/>
      <c r="CD277" s="220"/>
      <c r="CE277" s="220"/>
      <c r="CF277" s="220"/>
      <c r="CG277" s="220"/>
      <c r="CH277" s="220"/>
      <c r="CI277" s="220"/>
      <c r="CJ277" s="220"/>
      <c r="CK277" s="220"/>
      <c r="CL277" s="220"/>
      <c r="CM277" s="220"/>
      <c r="CN277" s="220"/>
      <c r="CO277" s="220"/>
      <c r="CP277" s="220"/>
      <c r="CQ277" s="220"/>
      <c r="CR277" s="220"/>
      <c r="CS277" s="220"/>
      <c r="CT277" s="220"/>
      <c r="CU277" s="220"/>
      <c r="CV277" s="220"/>
      <c r="CW277" s="220"/>
      <c r="CX277" s="220"/>
      <c r="CY277" s="220"/>
      <c r="CZ277" s="220"/>
    </row>
    <row r="278" spans="1:104" x14ac:dyDescent="0.2">
      <c r="A278" s="220"/>
      <c r="B278" s="220"/>
      <c r="C278" s="141" t="s">
        <v>306</v>
      </c>
      <c r="D278" s="82"/>
      <c r="E278" s="136"/>
      <c r="F278" s="137"/>
      <c r="G278" s="137"/>
      <c r="H278" s="116"/>
      <c r="I278" s="82"/>
      <c r="J278" s="136"/>
      <c r="K278" s="137"/>
      <c r="L278" s="137"/>
      <c r="M278" s="116"/>
      <c r="N278" s="82"/>
      <c r="O278" s="136"/>
      <c r="P278" s="137"/>
      <c r="Q278" s="137"/>
      <c r="R278" s="116"/>
      <c r="S278" s="82"/>
      <c r="T278" s="136"/>
      <c r="U278" s="137"/>
      <c r="V278" s="137"/>
      <c r="W278" s="116"/>
      <c r="X278" s="82"/>
      <c r="Y278" s="136"/>
      <c r="Z278" s="137"/>
      <c r="AA278" s="137"/>
      <c r="AB278" s="116"/>
      <c r="AC278" s="82"/>
      <c r="AD278" s="136"/>
      <c r="AE278" s="137"/>
      <c r="AF278" s="137"/>
      <c r="AG278" s="116"/>
      <c r="AH278" s="82"/>
      <c r="AI278" s="136"/>
      <c r="AJ278" s="137"/>
      <c r="AK278" s="137"/>
      <c r="AL278" s="116"/>
      <c r="AM278" s="220"/>
      <c r="AN278" s="136"/>
      <c r="AO278" s="137"/>
      <c r="AP278" s="137"/>
      <c r="AQ278" s="116"/>
      <c r="AR278" s="220"/>
      <c r="AS278" s="136"/>
      <c r="AT278" s="137"/>
      <c r="AU278" s="137"/>
      <c r="AV278" s="116"/>
      <c r="AW278" s="220"/>
      <c r="AX278" s="136"/>
      <c r="AY278" s="137"/>
      <c r="AZ278" s="137"/>
      <c r="BA278" s="116"/>
      <c r="BB278" s="220"/>
      <c r="BC278" s="136"/>
      <c r="BD278" s="137"/>
      <c r="BE278" s="137"/>
      <c r="BF278" s="116"/>
      <c r="BG278" s="220"/>
      <c r="BH278" s="136"/>
      <c r="BI278" s="137"/>
      <c r="BJ278" s="137"/>
      <c r="BK278" s="116"/>
      <c r="BL278" s="220"/>
      <c r="BM278" s="136"/>
      <c r="BN278" s="137"/>
      <c r="BO278" s="137"/>
      <c r="BP278" s="116"/>
      <c r="BQ278" s="220"/>
      <c r="BR278" s="220"/>
      <c r="BS278" s="220"/>
      <c r="BT278" s="220"/>
      <c r="BU278" s="220"/>
      <c r="BV278" s="220"/>
      <c r="BW278" s="220"/>
      <c r="BX278" s="220"/>
      <c r="BY278" s="220"/>
      <c r="BZ278" s="220"/>
      <c r="CA278" s="220"/>
      <c r="CB278" s="220"/>
      <c r="CC278" s="220"/>
      <c r="CD278" s="220"/>
      <c r="CE278" s="220"/>
      <c r="CF278" s="220"/>
      <c r="CG278" s="220"/>
      <c r="CH278" s="220"/>
      <c r="CI278" s="220"/>
      <c r="CJ278" s="220"/>
      <c r="CK278" s="220"/>
      <c r="CL278" s="220"/>
      <c r="CM278" s="220"/>
      <c r="CN278" s="220"/>
      <c r="CO278" s="220"/>
      <c r="CP278" s="220"/>
      <c r="CQ278" s="220"/>
      <c r="CR278" s="220"/>
      <c r="CS278" s="220"/>
      <c r="CT278" s="220"/>
      <c r="CU278" s="220"/>
      <c r="CV278" s="220"/>
      <c r="CW278" s="220"/>
      <c r="CX278" s="220"/>
      <c r="CY278" s="220"/>
      <c r="CZ278" s="220"/>
    </row>
    <row r="279" spans="1:104" x14ac:dyDescent="0.2">
      <c r="A279" s="289"/>
      <c r="B279" s="289"/>
      <c r="C279" s="70" t="s">
        <v>307</v>
      </c>
      <c r="D279" s="289"/>
      <c r="E279" s="357">
        <v>0.52</v>
      </c>
      <c r="F279" s="210">
        <v>0.52</v>
      </c>
      <c r="G279" s="210">
        <v>0.52</v>
      </c>
      <c r="H279" s="211">
        <v>0.52</v>
      </c>
      <c r="I279" s="36">
        <v>0.52</v>
      </c>
      <c r="J279" s="357">
        <v>0.52</v>
      </c>
      <c r="K279" s="210">
        <v>0.52</v>
      </c>
      <c r="L279" s="210">
        <v>0.52</v>
      </c>
      <c r="M279" s="211">
        <v>0.52</v>
      </c>
      <c r="N279" s="36">
        <v>0.52</v>
      </c>
      <c r="O279" s="357">
        <v>0.52</v>
      </c>
      <c r="P279" s="210">
        <v>0.52</v>
      </c>
      <c r="Q279" s="210">
        <v>0.52</v>
      </c>
      <c r="R279" s="211">
        <v>0.52</v>
      </c>
      <c r="S279" s="36">
        <v>0.52500000000000002</v>
      </c>
      <c r="T279" s="357">
        <v>0.52500000000000002</v>
      </c>
      <c r="U279" s="210">
        <v>0.52500000000000002</v>
      </c>
      <c r="V279" s="210">
        <v>0.52500000000000002</v>
      </c>
      <c r="W279" s="211">
        <v>0.52500000000000002</v>
      </c>
      <c r="X279" s="36">
        <v>0.52500000000000002</v>
      </c>
      <c r="Y279" s="357">
        <v>0.52500000000000002</v>
      </c>
      <c r="Z279" s="210">
        <v>0.52500000000000002</v>
      </c>
      <c r="AA279" s="210">
        <v>0.52500000000000002</v>
      </c>
      <c r="AB279" s="211">
        <v>0.52500000000000002</v>
      </c>
      <c r="AC279" s="36">
        <v>0.52559999999999996</v>
      </c>
      <c r="AD279" s="357">
        <v>0.52559999999999996</v>
      </c>
      <c r="AE279" s="210">
        <v>0.52559999999999996</v>
      </c>
      <c r="AF279" s="210">
        <v>0.52559999999999996</v>
      </c>
      <c r="AG279" s="211">
        <v>0.52559999999999996</v>
      </c>
      <c r="AH279" s="36">
        <v>0.52559999999999996</v>
      </c>
      <c r="AI279" s="357">
        <v>0.52559999999999996</v>
      </c>
      <c r="AJ279" s="210">
        <v>0.52559999999999996</v>
      </c>
      <c r="AK279" s="210">
        <v>0.52559999999999996</v>
      </c>
      <c r="AL279" s="211">
        <v>0.52559999999999996</v>
      </c>
      <c r="AM279" s="36">
        <v>0.52559999999999996</v>
      </c>
      <c r="AN279" s="357">
        <f>AR279</f>
        <v>0.52527760489322883</v>
      </c>
      <c r="AO279" s="210">
        <f>AR279</f>
        <v>0.52527760489322883</v>
      </c>
      <c r="AP279" s="210">
        <f>AR279</f>
        <v>0.52527760489322883</v>
      </c>
      <c r="AQ279" s="211">
        <f>AR279</f>
        <v>0.52527760489322883</v>
      </c>
      <c r="AR279" s="36">
        <f>AP295</f>
        <v>0.52527760489322883</v>
      </c>
      <c r="AS279" s="357">
        <f>AW279</f>
        <v>0.52527760489322883</v>
      </c>
      <c r="AT279" s="210">
        <f>AW279</f>
        <v>0.52527760489322883</v>
      </c>
      <c r="AU279" s="210">
        <f>AW279</f>
        <v>0.52527760489322883</v>
      </c>
      <c r="AV279" s="211">
        <f>AW279</f>
        <v>0.52527760489322883</v>
      </c>
      <c r="AW279" s="36">
        <f>AR279</f>
        <v>0.52527760489322883</v>
      </c>
      <c r="AX279" s="357">
        <f>BB279</f>
        <v>0.52527760489322883</v>
      </c>
      <c r="AY279" s="210">
        <f>BB279</f>
        <v>0.52527760489322883</v>
      </c>
      <c r="AZ279" s="210">
        <f>BB279</f>
        <v>0.52527760489322883</v>
      </c>
      <c r="BA279" s="211">
        <f>BB279</f>
        <v>0.52527760489322883</v>
      </c>
      <c r="BB279" s="36">
        <f>AW279</f>
        <v>0.52527760489322883</v>
      </c>
      <c r="BC279" s="357">
        <f>BG279</f>
        <v>0.52527760489322883</v>
      </c>
      <c r="BD279" s="210">
        <f>BG279</f>
        <v>0.52527760489322883</v>
      </c>
      <c r="BE279" s="210">
        <f>BG279</f>
        <v>0.52527760489322883</v>
      </c>
      <c r="BF279" s="211">
        <f>BG279</f>
        <v>0.52527760489322883</v>
      </c>
      <c r="BG279" s="36">
        <f>BB279</f>
        <v>0.52527760489322883</v>
      </c>
      <c r="BH279" s="357">
        <f>BL279</f>
        <v>0.52527760489322883</v>
      </c>
      <c r="BI279" s="210">
        <f>BL279</f>
        <v>0.52527760489322883</v>
      </c>
      <c r="BJ279" s="210">
        <f>BL279</f>
        <v>0.52527760489322883</v>
      </c>
      <c r="BK279" s="211">
        <f>BL279</f>
        <v>0.52527760489322883</v>
      </c>
      <c r="BL279" s="36">
        <f>BG279</f>
        <v>0.52527760489322883</v>
      </c>
      <c r="BM279" s="357">
        <f>BQ279</f>
        <v>0.52527760489322883</v>
      </c>
      <c r="BN279" s="210">
        <f>BQ279</f>
        <v>0.52527760489322883</v>
      </c>
      <c r="BO279" s="210">
        <f>BQ279</f>
        <v>0.52527760489322883</v>
      </c>
      <c r="BP279" s="211">
        <f>BQ279</f>
        <v>0.52527760489322883</v>
      </c>
      <c r="BQ279" s="36">
        <f>BL279</f>
        <v>0.52527760489322883</v>
      </c>
      <c r="BR279" s="289"/>
      <c r="BS279" s="289"/>
      <c r="BT279" s="289"/>
      <c r="BU279" s="289"/>
      <c r="BV279" s="289"/>
      <c r="BW279" s="289"/>
      <c r="BX279" s="289"/>
      <c r="BY279" s="289"/>
      <c r="BZ279" s="289"/>
      <c r="CA279" s="289"/>
      <c r="CB279" s="289"/>
      <c r="CC279" s="289"/>
      <c r="CD279" s="289"/>
      <c r="CE279" s="289"/>
      <c r="CF279" s="289"/>
      <c r="CG279" s="289"/>
      <c r="CH279" s="289"/>
      <c r="CI279" s="289"/>
      <c r="CJ279" s="289"/>
      <c r="CK279" s="289"/>
      <c r="CL279" s="289"/>
      <c r="CM279" s="289"/>
      <c r="CN279" s="289"/>
      <c r="CO279" s="289"/>
      <c r="CP279" s="289"/>
      <c r="CQ279" s="289"/>
      <c r="CR279" s="289"/>
      <c r="CS279" s="289"/>
      <c r="CT279" s="289"/>
      <c r="CU279" s="289"/>
      <c r="CV279" s="289"/>
      <c r="CW279" s="289"/>
      <c r="CX279" s="289"/>
      <c r="CY279" s="289"/>
      <c r="CZ279" s="289"/>
    </row>
    <row r="280" spans="1:104" x14ac:dyDescent="0.2">
      <c r="A280" s="289"/>
      <c r="B280" s="289"/>
      <c r="C280" s="70" t="s">
        <v>308</v>
      </c>
      <c r="D280" s="289"/>
      <c r="E280" s="344">
        <f t="shared" ref="E280:AJ280" si="613">+E243</f>
        <v>0.51963780655499259</v>
      </c>
      <c r="F280" s="342">
        <f t="shared" si="613"/>
        <v>0.52005768504735095</v>
      </c>
      <c r="G280" s="342">
        <f t="shared" si="613"/>
        <v>0.53321752918369925</v>
      </c>
      <c r="H280" s="343">
        <f t="shared" si="613"/>
        <v>0.51822968422005222</v>
      </c>
      <c r="I280" s="358">
        <f t="shared" si="613"/>
        <v>0.51822968422005222</v>
      </c>
      <c r="J280" s="344">
        <f t="shared" si="613"/>
        <v>0.52254860284015725</v>
      </c>
      <c r="K280" s="342">
        <f t="shared" si="613"/>
        <v>0.52970785101576523</v>
      </c>
      <c r="L280" s="342">
        <f t="shared" si="613"/>
        <v>0.51162710050511773</v>
      </c>
      <c r="M280" s="343">
        <f t="shared" si="613"/>
        <v>0.51157851362897222</v>
      </c>
      <c r="N280" s="358">
        <f t="shared" si="613"/>
        <v>0.51157851362897222</v>
      </c>
      <c r="O280" s="344">
        <f t="shared" si="613"/>
        <v>0.52211864754136406</v>
      </c>
      <c r="P280" s="342">
        <f t="shared" si="613"/>
        <v>0.52279700289513842</v>
      </c>
      <c r="Q280" s="342">
        <f t="shared" si="613"/>
        <v>0.52791198299568676</v>
      </c>
      <c r="R280" s="343">
        <f t="shared" si="613"/>
        <v>0.52060744075934706</v>
      </c>
      <c r="S280" s="358">
        <f t="shared" si="613"/>
        <v>0.52060744075934706</v>
      </c>
      <c r="T280" s="344">
        <f t="shared" si="613"/>
        <v>0.5308366435802867</v>
      </c>
      <c r="U280" s="342">
        <f t="shared" si="613"/>
        <v>0.52751565568370939</v>
      </c>
      <c r="V280" s="342">
        <f t="shared" si="613"/>
        <v>0.52335405447995886</v>
      </c>
      <c r="W280" s="343">
        <f t="shared" si="613"/>
        <v>0.5210901510700543</v>
      </c>
      <c r="X280" s="358">
        <f t="shared" si="613"/>
        <v>0.5210901510700543</v>
      </c>
      <c r="Y280" s="344">
        <f t="shared" si="613"/>
        <v>0.53070375236283063</v>
      </c>
      <c r="Z280" s="342">
        <f t="shared" si="613"/>
        <v>0.51748592573183005</v>
      </c>
      <c r="AA280" s="342">
        <f t="shared" si="613"/>
        <v>0.51984378205461812</v>
      </c>
      <c r="AB280" s="343">
        <f t="shared" si="613"/>
        <v>0.52501966717308024</v>
      </c>
      <c r="AC280" s="358">
        <f t="shared" si="613"/>
        <v>0.52501966717308024</v>
      </c>
      <c r="AD280" s="344">
        <f t="shared" si="613"/>
        <v>0.52591203194967595</v>
      </c>
      <c r="AE280" s="342">
        <f t="shared" si="613"/>
        <v>0.52324912914941257</v>
      </c>
      <c r="AF280" s="342">
        <f t="shared" si="613"/>
        <v>0.5284479519908617</v>
      </c>
      <c r="AG280" s="343">
        <f t="shared" si="613"/>
        <v>0.52061639244818514</v>
      </c>
      <c r="AH280" s="358">
        <f t="shared" si="613"/>
        <v>0.52061639244818514</v>
      </c>
      <c r="AI280" s="344">
        <f t="shared" si="613"/>
        <v>0.52586794569694684</v>
      </c>
      <c r="AJ280" s="342">
        <f t="shared" si="613"/>
        <v>0.52658322481201381</v>
      </c>
      <c r="AK280" s="342">
        <f t="shared" ref="AK280:BQ280" si="614">+AK243</f>
        <v>0.5194748705808736</v>
      </c>
      <c r="AL280" s="343">
        <f t="shared" si="614"/>
        <v>0.52012962912818128</v>
      </c>
      <c r="AM280" s="358">
        <f t="shared" si="614"/>
        <v>0.52012962912818128</v>
      </c>
      <c r="AN280" s="344">
        <f t="shared" si="614"/>
        <v>0.53481672222080856</v>
      </c>
      <c r="AO280" s="342">
        <f t="shared" si="614"/>
        <v>0.52068179079925547</v>
      </c>
      <c r="AP280" s="342">
        <f t="shared" si="614"/>
        <v>0.52288026394760068</v>
      </c>
      <c r="AQ280" s="343">
        <f t="shared" si="614"/>
        <v>0.52078058417302509</v>
      </c>
      <c r="AR280" s="358">
        <f t="shared" si="614"/>
        <v>0.52078058417302509</v>
      </c>
      <c r="AS280" s="344">
        <f t="shared" si="614"/>
        <v>0.52624585581410377</v>
      </c>
      <c r="AT280" s="342">
        <f t="shared" si="614"/>
        <v>0.52549626252384507</v>
      </c>
      <c r="AU280" s="342">
        <f t="shared" si="614"/>
        <v>0.52447142385757173</v>
      </c>
      <c r="AV280" s="343">
        <f t="shared" si="614"/>
        <v>0.52080888085019117</v>
      </c>
      <c r="AW280" s="358">
        <f t="shared" si="614"/>
        <v>0.52080888085019117</v>
      </c>
      <c r="AX280" s="344">
        <f t="shared" si="614"/>
        <v>0.51321319135909338</v>
      </c>
      <c r="AY280" s="342">
        <f t="shared" si="614"/>
        <v>0.51442363649745582</v>
      </c>
      <c r="AZ280" s="342">
        <f t="shared" si="614"/>
        <v>0.52080988843867926</v>
      </c>
      <c r="BA280" s="343">
        <f t="shared" si="614"/>
        <v>0.52254128092928032</v>
      </c>
      <c r="BB280" s="358">
        <f t="shared" si="614"/>
        <v>0.52254128092928032</v>
      </c>
      <c r="BC280" s="344">
        <f t="shared" si="614"/>
        <v>0.5217707004406551</v>
      </c>
      <c r="BD280" s="342">
        <f t="shared" si="614"/>
        <v>0.51946470300419112</v>
      </c>
      <c r="BE280" s="342">
        <f t="shared" si="614"/>
        <v>0.52909585082623922</v>
      </c>
      <c r="BF280" s="343">
        <f t="shared" si="614"/>
        <v>0.52781628991451146</v>
      </c>
      <c r="BG280" s="358">
        <f t="shared" si="614"/>
        <v>0.52781628991451146</v>
      </c>
      <c r="BH280" s="344">
        <f t="shared" si="614"/>
        <v>0.52405226007720251</v>
      </c>
      <c r="BI280" s="342">
        <f t="shared" si="614"/>
        <v>0.51906704188043662</v>
      </c>
      <c r="BJ280" s="342">
        <f t="shared" si="614"/>
        <v>0.52576373136928067</v>
      </c>
      <c r="BK280" s="343">
        <f t="shared" si="614"/>
        <v>0.52178683876638021</v>
      </c>
      <c r="BL280" s="358">
        <f t="shared" si="614"/>
        <v>0.52178683876638021</v>
      </c>
      <c r="BM280" s="344">
        <f t="shared" si="614"/>
        <v>0.51754343536643788</v>
      </c>
      <c r="BN280" s="342">
        <f t="shared" si="614"/>
        <v>0.51236647983405015</v>
      </c>
      <c r="BO280" s="342">
        <f t="shared" si="614"/>
        <v>0.51592664053140969</v>
      </c>
      <c r="BP280" s="343">
        <f t="shared" si="614"/>
        <v>0.51427318683973844</v>
      </c>
      <c r="BQ280" s="995">
        <f t="shared" si="614"/>
        <v>0.51427318683973844</v>
      </c>
      <c r="BR280" s="289"/>
      <c r="BS280" s="289"/>
      <c r="BT280" s="289"/>
      <c r="BU280" s="289"/>
      <c r="BV280" s="289"/>
      <c r="BW280" s="289"/>
      <c r="BX280" s="289"/>
      <c r="BY280" s="289"/>
      <c r="BZ280" s="289"/>
      <c r="CA280" s="289"/>
      <c r="CB280" s="289"/>
      <c r="CC280" s="289"/>
      <c r="CD280" s="289"/>
      <c r="CE280" s="289"/>
      <c r="CF280" s="289"/>
      <c r="CG280" s="289"/>
      <c r="CH280" s="289"/>
      <c r="CI280" s="289"/>
      <c r="CJ280" s="289"/>
      <c r="CK280" s="289"/>
      <c r="CL280" s="289"/>
      <c r="CM280" s="289"/>
      <c r="CN280" s="289"/>
      <c r="CO280" s="289"/>
      <c r="CP280" s="289"/>
      <c r="CQ280" s="289"/>
      <c r="CR280" s="289"/>
      <c r="CS280" s="289"/>
      <c r="CT280" s="289"/>
      <c r="CU280" s="289"/>
      <c r="CV280" s="289"/>
      <c r="CW280" s="289"/>
      <c r="CX280" s="289"/>
      <c r="CY280" s="289"/>
      <c r="CZ280" s="289"/>
    </row>
    <row r="281" spans="1:104" x14ac:dyDescent="0.2">
      <c r="A281" s="289"/>
      <c r="B281" s="289"/>
      <c r="C281" s="289"/>
      <c r="D281" s="289"/>
      <c r="E281" s="291"/>
      <c r="F281" s="292"/>
      <c r="G281" s="292"/>
      <c r="H281" s="293"/>
      <c r="I281" s="88"/>
      <c r="J281" s="207"/>
      <c r="K281" s="208"/>
      <c r="L281" s="208"/>
      <c r="M281" s="209"/>
      <c r="N281" s="88"/>
      <c r="O281" s="207"/>
      <c r="P281" s="208"/>
      <c r="Q281" s="208"/>
      <c r="R281" s="209"/>
      <c r="S281" s="88"/>
      <c r="T281" s="207"/>
      <c r="U281" s="208"/>
      <c r="V281" s="208"/>
      <c r="W281" s="209"/>
      <c r="X281" s="88"/>
      <c r="Y281" s="207"/>
      <c r="Z281" s="208"/>
      <c r="AA281" s="208"/>
      <c r="AB281" s="209"/>
      <c r="AC281" s="88"/>
      <c r="AD281" s="207"/>
      <c r="AE281" s="208"/>
      <c r="AF281" s="208"/>
      <c r="AG281" s="209"/>
      <c r="AH281" s="88"/>
      <c r="AI281" s="207"/>
      <c r="AJ281" s="208"/>
      <c r="AK281" s="208"/>
      <c r="AL281" s="209"/>
      <c r="AM281" s="88"/>
      <c r="AN281" s="207"/>
      <c r="AO281" s="208"/>
      <c r="AP281" s="208"/>
      <c r="AQ281" s="209"/>
      <c r="AR281" s="88"/>
      <c r="AS281" s="207"/>
      <c r="AT281" s="208"/>
      <c r="AU281" s="208"/>
      <c r="AV281" s="209"/>
      <c r="AW281" s="88"/>
      <c r="AX281" s="207"/>
      <c r="AY281" s="208"/>
      <c r="AZ281" s="208"/>
      <c r="BA281" s="209"/>
      <c r="BB281" s="88"/>
      <c r="BC281" s="207"/>
      <c r="BD281" s="208"/>
      <c r="BE281" s="208"/>
      <c r="BF281" s="209"/>
      <c r="BG281" s="88"/>
      <c r="BH281" s="207"/>
      <c r="BI281" s="208"/>
      <c r="BJ281" s="208"/>
      <c r="BK281" s="209"/>
      <c r="BL281" s="88"/>
      <c r="BM281" s="207"/>
      <c r="BN281" s="208"/>
      <c r="BO281" s="208"/>
      <c r="BP281" s="209"/>
      <c r="BQ281" s="995"/>
      <c r="BR281" s="289"/>
      <c r="BS281" s="289"/>
      <c r="BT281" s="289"/>
      <c r="BU281" s="289"/>
      <c r="BV281" s="289"/>
      <c r="BW281" s="289"/>
      <c r="BX281" s="289"/>
      <c r="BY281" s="289"/>
      <c r="BZ281" s="289"/>
      <c r="CA281" s="289"/>
      <c r="CB281" s="289"/>
      <c r="CC281" s="289"/>
      <c r="CD281" s="289"/>
      <c r="CE281" s="289"/>
      <c r="CF281" s="289"/>
      <c r="CG281" s="289"/>
      <c r="CH281" s="289"/>
      <c r="CI281" s="289"/>
      <c r="CJ281" s="289"/>
      <c r="CK281" s="289"/>
      <c r="CL281" s="289"/>
      <c r="CM281" s="289"/>
      <c r="CN281" s="289"/>
      <c r="CO281" s="289"/>
      <c r="CP281" s="289"/>
      <c r="CQ281" s="289"/>
      <c r="CR281" s="289"/>
      <c r="CS281" s="289"/>
      <c r="CT281" s="289"/>
      <c r="CU281" s="289"/>
      <c r="CV281" s="289"/>
      <c r="CW281" s="289"/>
      <c r="CX281" s="289"/>
      <c r="CY281" s="289"/>
      <c r="CZ281" s="289"/>
    </row>
    <row r="282" spans="1:104" x14ac:dyDescent="0.2">
      <c r="A282" s="289"/>
      <c r="B282" s="289"/>
      <c r="C282" s="141" t="s">
        <v>309</v>
      </c>
      <c r="D282" s="289"/>
      <c r="E282" s="291"/>
      <c r="F282" s="292"/>
      <c r="G282" s="292"/>
      <c r="H282" s="293"/>
      <c r="I282" s="36"/>
      <c r="J282" s="357"/>
      <c r="K282" s="210"/>
      <c r="L282" s="210"/>
      <c r="M282" s="211"/>
      <c r="N282" s="36"/>
      <c r="O282" s="357"/>
      <c r="P282" s="210"/>
      <c r="Q282" s="210"/>
      <c r="R282" s="211"/>
      <c r="S282" s="36"/>
      <c r="T282" s="357"/>
      <c r="U282" s="210"/>
      <c r="V282" s="210"/>
      <c r="W282" s="211"/>
      <c r="X282" s="36"/>
      <c r="Y282" s="357"/>
      <c r="Z282" s="210"/>
      <c r="AA282" s="210"/>
      <c r="AB282" s="211"/>
      <c r="AC282" s="36"/>
      <c r="AD282" s="357"/>
      <c r="AE282" s="210"/>
      <c r="AF282" s="210"/>
      <c r="AG282" s="211"/>
      <c r="AH282" s="36"/>
      <c r="AI282" s="357"/>
      <c r="AJ282" s="210"/>
      <c r="AK282" s="210"/>
      <c r="AL282" s="211"/>
      <c r="AM282" s="36"/>
      <c r="AN282" s="357"/>
      <c r="AO282" s="210"/>
      <c r="AP282" s="210"/>
      <c r="AQ282" s="211"/>
      <c r="AR282" s="36"/>
      <c r="AS282" s="357"/>
      <c r="AT282" s="210"/>
      <c r="AU282" s="210"/>
      <c r="AV282" s="211"/>
      <c r="AW282" s="36"/>
      <c r="AX282" s="357"/>
      <c r="AY282" s="210"/>
      <c r="AZ282" s="210"/>
      <c r="BA282" s="211"/>
      <c r="BB282" s="36"/>
      <c r="BC282" s="357"/>
      <c r="BD282" s="210"/>
      <c r="BE282" s="210"/>
      <c r="BF282" s="211"/>
      <c r="BG282" s="36"/>
      <c r="BH282" s="357"/>
      <c r="BI282" s="210"/>
      <c r="BJ282" s="210"/>
      <c r="BK282" s="211"/>
      <c r="BL282" s="36"/>
      <c r="BM282" s="357"/>
      <c r="BN282" s="210"/>
      <c r="BO282" s="210"/>
      <c r="BP282" s="211"/>
      <c r="BQ282" s="995"/>
      <c r="BR282" s="289"/>
      <c r="BS282" s="289"/>
      <c r="BT282" s="289"/>
      <c r="BU282" s="289"/>
      <c r="BV282" s="289"/>
      <c r="BW282" s="289"/>
      <c r="BX282" s="289"/>
      <c r="BY282" s="289"/>
      <c r="BZ282" s="289"/>
      <c r="CA282" s="289"/>
      <c r="CB282" s="289"/>
      <c r="CC282" s="289"/>
      <c r="CD282" s="289"/>
      <c r="CE282" s="289"/>
      <c r="CF282" s="289"/>
      <c r="CG282" s="289"/>
      <c r="CH282" s="289"/>
      <c r="CI282" s="289"/>
      <c r="CJ282" s="289"/>
      <c r="CK282" s="289"/>
      <c r="CL282" s="289"/>
      <c r="CM282" s="289"/>
      <c r="CN282" s="289"/>
      <c r="CO282" s="289"/>
      <c r="CP282" s="289"/>
      <c r="CQ282" s="289"/>
      <c r="CR282" s="289"/>
      <c r="CS282" s="289"/>
      <c r="CT282" s="289"/>
      <c r="CU282" s="289"/>
      <c r="CV282" s="289"/>
      <c r="CW282" s="289"/>
      <c r="CX282" s="289"/>
      <c r="CY282" s="289"/>
      <c r="CZ282" s="289"/>
    </row>
    <row r="283" spans="1:104" x14ac:dyDescent="0.2">
      <c r="A283" s="289"/>
      <c r="B283" s="289"/>
      <c r="C283" s="289" t="s">
        <v>310</v>
      </c>
      <c r="D283" s="289"/>
      <c r="E283" s="291"/>
      <c r="F283" s="292"/>
      <c r="G283" s="292"/>
      <c r="H283" s="293"/>
      <c r="I283" s="36">
        <v>0.105</v>
      </c>
      <c r="J283" s="357">
        <v>0.105</v>
      </c>
      <c r="K283" s="210">
        <v>0.105</v>
      </c>
      <c r="L283" s="210">
        <v>0.105</v>
      </c>
      <c r="M283" s="211">
        <v>0.105</v>
      </c>
      <c r="N283" s="36">
        <v>0.105</v>
      </c>
      <c r="O283" s="357">
        <v>0.105</v>
      </c>
      <c r="P283" s="210">
        <v>0.105</v>
      </c>
      <c r="Q283" s="210">
        <v>0.105</v>
      </c>
      <c r="R283" s="211">
        <v>0.105</v>
      </c>
      <c r="S283" s="36">
        <v>0.1037</v>
      </c>
      <c r="T283" s="357">
        <v>0.1037</v>
      </c>
      <c r="U283" s="210">
        <v>0.1037</v>
      </c>
      <c r="V283" s="210">
        <v>0.1037</v>
      </c>
      <c r="W283" s="211">
        <v>0.1037</v>
      </c>
      <c r="X283" s="36">
        <v>0.1037</v>
      </c>
      <c r="Y283" s="357">
        <v>0.1037</v>
      </c>
      <c r="Z283" s="210">
        <v>0.1037</v>
      </c>
      <c r="AA283" s="210">
        <v>0.1037</v>
      </c>
      <c r="AB283" s="211">
        <v>0.1037</v>
      </c>
      <c r="AC283" s="36">
        <v>9.8299999999999998E-2</v>
      </c>
      <c r="AD283" s="357">
        <v>9.8299999999999998E-2</v>
      </c>
      <c r="AE283" s="210">
        <v>9.8299999999999998E-2</v>
      </c>
      <c r="AF283" s="210">
        <v>9.8299999999999998E-2</v>
      </c>
      <c r="AG283" s="211">
        <v>9.8299999999999998E-2</v>
      </c>
      <c r="AH283" s="36">
        <v>9.8299999999999998E-2</v>
      </c>
      <c r="AI283" s="357">
        <v>9.8299999999999998E-2</v>
      </c>
      <c r="AJ283" s="210">
        <v>9.8299999999999998E-2</v>
      </c>
      <c r="AK283" s="210">
        <v>9.8299999999999998E-2</v>
      </c>
      <c r="AL283" s="211">
        <v>9.8299999999999998E-2</v>
      </c>
      <c r="AM283" s="36">
        <v>9.8299999999999998E-2</v>
      </c>
      <c r="AN283" s="357">
        <f>AR283</f>
        <v>9.3004120613799771E-2</v>
      </c>
      <c r="AO283" s="210">
        <f>AR283</f>
        <v>9.3004120613799771E-2</v>
      </c>
      <c r="AP283" s="210">
        <f>AR283</f>
        <v>9.3004120613799771E-2</v>
      </c>
      <c r="AQ283" s="211">
        <f>AR283</f>
        <v>9.3004120613799771E-2</v>
      </c>
      <c r="AR283" s="36">
        <f>AO295</f>
        <v>9.3004120613799771E-2</v>
      </c>
      <c r="AS283" s="357">
        <f>AW283</f>
        <v>9.3004120613799771E-2</v>
      </c>
      <c r="AT283" s="210">
        <f>AW283</f>
        <v>9.3004120613799771E-2</v>
      </c>
      <c r="AU283" s="210">
        <f>AW283</f>
        <v>9.3004120613799771E-2</v>
      </c>
      <c r="AV283" s="211">
        <f>AW283</f>
        <v>9.3004120613799771E-2</v>
      </c>
      <c r="AW283" s="36">
        <f>AR283</f>
        <v>9.3004120613799771E-2</v>
      </c>
      <c r="AX283" s="357">
        <f>BB283</f>
        <v>9.3004120613799771E-2</v>
      </c>
      <c r="AY283" s="210">
        <f>BB283</f>
        <v>9.3004120613799771E-2</v>
      </c>
      <c r="AZ283" s="210">
        <f>BB283</f>
        <v>9.3004120613799771E-2</v>
      </c>
      <c r="BA283" s="211">
        <f>BB283</f>
        <v>9.3004120613799771E-2</v>
      </c>
      <c r="BB283" s="36">
        <f>AW283</f>
        <v>9.3004120613799771E-2</v>
      </c>
      <c r="BC283" s="357">
        <f>BG283</f>
        <v>9.3004120613799771E-2</v>
      </c>
      <c r="BD283" s="210">
        <f>BG283</f>
        <v>9.3004120613799771E-2</v>
      </c>
      <c r="BE283" s="210">
        <f>BG283</f>
        <v>9.3004120613799771E-2</v>
      </c>
      <c r="BF283" s="211">
        <f>BG283</f>
        <v>9.3004120613799771E-2</v>
      </c>
      <c r="BG283" s="36">
        <f>BB283</f>
        <v>9.3004120613799771E-2</v>
      </c>
      <c r="BH283" s="357">
        <f>BL283</f>
        <v>9.3004120613799771E-2</v>
      </c>
      <c r="BI283" s="210">
        <f>BL283</f>
        <v>9.3004120613799771E-2</v>
      </c>
      <c r="BJ283" s="210">
        <f>BL283</f>
        <v>9.3004120613799771E-2</v>
      </c>
      <c r="BK283" s="211">
        <f>BL283</f>
        <v>9.3004120613799771E-2</v>
      </c>
      <c r="BL283" s="36">
        <f>BG283</f>
        <v>9.3004120613799771E-2</v>
      </c>
      <c r="BM283" s="357">
        <f>BQ283</f>
        <v>9.3004120613799771E-2</v>
      </c>
      <c r="BN283" s="210">
        <f>BQ283</f>
        <v>9.3004120613799771E-2</v>
      </c>
      <c r="BO283" s="210">
        <f>BQ283</f>
        <v>9.3004120613799771E-2</v>
      </c>
      <c r="BP283" s="211">
        <f>BQ283</f>
        <v>9.3004120613799771E-2</v>
      </c>
      <c r="BQ283" s="36">
        <f>BL283</f>
        <v>9.3004120613799771E-2</v>
      </c>
      <c r="BR283" s="289"/>
      <c r="BS283" s="289"/>
      <c r="BT283" s="289"/>
      <c r="BU283" s="289"/>
      <c r="BV283" s="289"/>
      <c r="BW283" s="289"/>
      <c r="BX283" s="289"/>
      <c r="BY283" s="289"/>
      <c r="BZ283" s="289"/>
      <c r="CA283" s="289"/>
      <c r="CB283" s="289"/>
      <c r="CC283" s="289"/>
      <c r="CD283" s="289"/>
      <c r="CE283" s="289"/>
      <c r="CF283" s="289"/>
      <c r="CG283" s="289"/>
      <c r="CH283" s="289"/>
      <c r="CI283" s="289"/>
      <c r="CJ283" s="289"/>
      <c r="CK283" s="289"/>
      <c r="CL283" s="289"/>
      <c r="CM283" s="289"/>
      <c r="CN283" s="289"/>
      <c r="CO283" s="289"/>
      <c r="CP283" s="289"/>
      <c r="CQ283" s="289"/>
      <c r="CR283" s="289"/>
      <c r="CS283" s="289"/>
      <c r="CT283" s="289"/>
      <c r="CU283" s="289"/>
      <c r="CV283" s="289"/>
      <c r="CW283" s="289"/>
      <c r="CX283" s="289"/>
      <c r="CY283" s="289"/>
      <c r="CZ283" s="289"/>
    </row>
    <row r="284" spans="1:104" x14ac:dyDescent="0.2">
      <c r="A284" s="289"/>
      <c r="B284" s="289"/>
      <c r="C284" s="289" t="s">
        <v>311</v>
      </c>
      <c r="D284" s="289"/>
      <c r="E284" s="291"/>
      <c r="F284" s="292"/>
      <c r="G284" s="292"/>
      <c r="H284" s="293"/>
      <c r="I284" s="358">
        <f t="shared" ref="I284:AN284" si="615">I254/(I280*(AVERAGE(I273,I268)))</f>
        <v>9.5886294435617442E-2</v>
      </c>
      <c r="J284" s="344">
        <f t="shared" si="615"/>
        <v>8.7869310995770347E-2</v>
      </c>
      <c r="K284" s="342">
        <f t="shared" si="615"/>
        <v>8.2781198344367632E-2</v>
      </c>
      <c r="L284" s="342">
        <f t="shared" si="615"/>
        <v>8.930335163695037E-2</v>
      </c>
      <c r="M284" s="343">
        <f t="shared" si="615"/>
        <v>8.1994008289665229E-2</v>
      </c>
      <c r="N284" s="358">
        <f t="shared" si="615"/>
        <v>8.4694008637687751E-2</v>
      </c>
      <c r="O284" s="344">
        <f t="shared" si="615"/>
        <v>8.6628121732643296E-2</v>
      </c>
      <c r="P284" s="342">
        <f t="shared" si="615"/>
        <v>9.0334230694655057E-2</v>
      </c>
      <c r="Q284" s="342">
        <f t="shared" si="615"/>
        <v>9.6882442187710999E-2</v>
      </c>
      <c r="R284" s="343">
        <f t="shared" si="615"/>
        <v>9.6075555023041992E-2</v>
      </c>
      <c r="S284" s="358">
        <f t="shared" si="615"/>
        <v>9.856883157665193E-2</v>
      </c>
      <c r="T284" s="344">
        <f t="shared" si="615"/>
        <v>8.9258237415230146E-2</v>
      </c>
      <c r="U284" s="342">
        <f t="shared" si="615"/>
        <v>8.9741878282341592E-2</v>
      </c>
      <c r="V284" s="342">
        <f t="shared" si="615"/>
        <v>8.8232943001617783E-2</v>
      </c>
      <c r="W284" s="343">
        <f t="shared" si="615"/>
        <v>9.0123043336730532E-2</v>
      </c>
      <c r="X284" s="358">
        <f t="shared" si="615"/>
        <v>9.0510284223035226E-2</v>
      </c>
      <c r="Y284" s="344">
        <f t="shared" si="615"/>
        <v>9.3211834191164619E-2</v>
      </c>
      <c r="Z284" s="342">
        <f t="shared" si="615"/>
        <v>9.6079279803073542E-2</v>
      </c>
      <c r="AA284" s="342">
        <f t="shared" si="615"/>
        <v>9.706253868240175E-2</v>
      </c>
      <c r="AB284" s="343">
        <f t="shared" si="615"/>
        <v>9.2140900854910709E-2</v>
      </c>
      <c r="AC284" s="358">
        <f t="shared" si="615"/>
        <v>9.8129547102905099E-2</v>
      </c>
      <c r="AD284" s="344">
        <f t="shared" si="615"/>
        <v>9.4018950339850735E-2</v>
      </c>
      <c r="AE284" s="342">
        <f t="shared" si="615"/>
        <v>9.2131738209520322E-2</v>
      </c>
      <c r="AF284" s="342">
        <f t="shared" si="615"/>
        <v>8.5236737072541591E-2</v>
      </c>
      <c r="AG284" s="343">
        <f t="shared" si="615"/>
        <v>9.1102307203969973E-2</v>
      </c>
      <c r="AH284" s="358">
        <f t="shared" si="615"/>
        <v>9.4433085200163691E-2</v>
      </c>
      <c r="AI284" s="344">
        <f t="shared" si="615"/>
        <v>8.486290525663974E-2</v>
      </c>
      <c r="AJ284" s="342">
        <f t="shared" si="615"/>
        <v>8.2987863299253214E-2</v>
      </c>
      <c r="AK284" s="342">
        <f t="shared" si="615"/>
        <v>9.2085803721183329E-2</v>
      </c>
      <c r="AL284" s="343">
        <f t="shared" si="615"/>
        <v>9.0501352601962667E-2</v>
      </c>
      <c r="AM284" s="358">
        <f t="shared" si="615"/>
        <v>9.4207137451661815E-2</v>
      </c>
      <c r="AN284" s="344">
        <f t="shared" si="615"/>
        <v>8.862796263244313E-2</v>
      </c>
      <c r="AO284" s="342">
        <f t="shared" ref="AO284:BQ284" si="616">AO254/(AO280*(AVERAGE(AO273,AO268)))</f>
        <v>9.0507127545570845E-2</v>
      </c>
      <c r="AP284" s="342">
        <f t="shared" si="616"/>
        <v>9.4863456362260304E-2</v>
      </c>
      <c r="AQ284" s="343">
        <f t="shared" si="616"/>
        <v>9.5386745471496573E-2</v>
      </c>
      <c r="AR284" s="358">
        <f t="shared" si="616"/>
        <v>9.7459697537185572E-2</v>
      </c>
      <c r="AS284" s="344">
        <f t="shared" si="616"/>
        <v>9.2575770843351363E-2</v>
      </c>
      <c r="AT284" s="342">
        <f t="shared" si="616"/>
        <v>9.3232570037970613E-2</v>
      </c>
      <c r="AU284" s="342">
        <f t="shared" si="616"/>
        <v>9.6438588607184156E-2</v>
      </c>
      <c r="AV284" s="343">
        <f t="shared" si="616"/>
        <v>9.0176591119203384E-2</v>
      </c>
      <c r="AW284" s="358">
        <f t="shared" si="616"/>
        <v>9.2012318126139817E-2</v>
      </c>
      <c r="AX284" s="344">
        <f t="shared" si="616"/>
        <v>9.194364744367553E-2</v>
      </c>
      <c r="AY284" s="342">
        <f t="shared" si="616"/>
        <v>9.0637312973974302E-2</v>
      </c>
      <c r="AZ284" s="342">
        <f t="shared" si="616"/>
        <v>8.4293745179320451E-2</v>
      </c>
      <c r="BA284" s="343">
        <f t="shared" si="616"/>
        <v>8.6882218863753052E-2</v>
      </c>
      <c r="BB284" s="358">
        <f t="shared" si="616"/>
        <v>8.8704977442916111E-2</v>
      </c>
      <c r="BC284" s="344">
        <f t="shared" si="616"/>
        <v>8.8813209110938526E-2</v>
      </c>
      <c r="BD284" s="342">
        <f t="shared" si="616"/>
        <v>9.1055743198594025E-2</v>
      </c>
      <c r="BE284" s="342">
        <f t="shared" si="616"/>
        <v>9.1609817437251495E-2</v>
      </c>
      <c r="BF284" s="343">
        <f t="shared" si="616"/>
        <v>9.2842648675671449E-2</v>
      </c>
      <c r="BG284" s="358">
        <f t="shared" si="616"/>
        <v>9.4797025593740702E-2</v>
      </c>
      <c r="BH284" s="344">
        <f t="shared" si="616"/>
        <v>9.3101406431004188E-2</v>
      </c>
      <c r="BI284" s="342">
        <f t="shared" si="616"/>
        <v>9.3109312493582883E-2</v>
      </c>
      <c r="BJ284" s="342">
        <f t="shared" si="616"/>
        <v>9.1894879311337344E-2</v>
      </c>
      <c r="BK284" s="343">
        <f t="shared" si="616"/>
        <v>9.2018904800175175E-2</v>
      </c>
      <c r="BL284" s="358">
        <f t="shared" si="616"/>
        <v>9.3937268547906586E-2</v>
      </c>
      <c r="BM284" s="344">
        <f t="shared" si="616"/>
        <v>9.188346649699132E-2</v>
      </c>
      <c r="BN284" s="342">
        <f t="shared" si="616"/>
        <v>9.2508498013801579E-2</v>
      </c>
      <c r="BO284" s="342">
        <f t="shared" si="616"/>
        <v>9.2025651861528071E-2</v>
      </c>
      <c r="BP284" s="343">
        <f t="shared" si="616"/>
        <v>9.1906392847949006E-2</v>
      </c>
      <c r="BQ284" s="358">
        <f t="shared" si="616"/>
        <v>9.3829810354336934E-2</v>
      </c>
      <c r="BR284" s="289"/>
      <c r="BS284" s="289"/>
      <c r="BT284" s="289"/>
      <c r="BU284" s="289"/>
      <c r="BV284" s="289"/>
      <c r="BW284" s="289"/>
      <c r="BX284" s="289"/>
      <c r="BY284" s="289"/>
      <c r="BZ284" s="289"/>
      <c r="CA284" s="289"/>
      <c r="CB284" s="289"/>
      <c r="CC284" s="289"/>
      <c r="CD284" s="289"/>
      <c r="CE284" s="289"/>
      <c r="CF284" s="289"/>
      <c r="CG284" s="289"/>
      <c r="CH284" s="289"/>
      <c r="CI284" s="289"/>
      <c r="CJ284" s="289"/>
      <c r="CK284" s="289"/>
      <c r="CL284" s="289"/>
      <c r="CM284" s="289"/>
      <c r="CN284" s="289"/>
      <c r="CO284" s="289"/>
      <c r="CP284" s="289"/>
      <c r="CQ284" s="289"/>
      <c r="CR284" s="289"/>
      <c r="CS284" s="289"/>
      <c r="CT284" s="289"/>
      <c r="CU284" s="289"/>
      <c r="CV284" s="289"/>
      <c r="CW284" s="289"/>
      <c r="CX284" s="289"/>
      <c r="CY284" s="289"/>
      <c r="CZ284" s="289"/>
    </row>
    <row r="285" spans="1:104" x14ac:dyDescent="0.2">
      <c r="A285" s="289"/>
      <c r="B285" s="289"/>
      <c r="C285" s="289" t="s">
        <v>312</v>
      </c>
      <c r="D285" s="289"/>
      <c r="E285" s="291"/>
      <c r="F285" s="292"/>
      <c r="G285" s="292"/>
      <c r="H285" s="293"/>
      <c r="I285" s="358">
        <f t="shared" ref="I285:AN285" si="617">(I254-I28+0.65*I36)/(I280*(AVERAGE(I273,I268)))</f>
        <v>8.2702377749626813E-2</v>
      </c>
      <c r="J285" s="344">
        <f t="shared" si="617"/>
        <v>8.384022345565581E-2</v>
      </c>
      <c r="K285" s="342">
        <f t="shared" si="617"/>
        <v>7.9557076352457845E-2</v>
      </c>
      <c r="L285" s="342">
        <f t="shared" si="617"/>
        <v>8.5686076858568411E-2</v>
      </c>
      <c r="M285" s="343">
        <f t="shared" si="617"/>
        <v>7.7436205878279429E-2</v>
      </c>
      <c r="N285" s="358">
        <f t="shared" si="617"/>
        <v>6.9011865555589011E-2</v>
      </c>
      <c r="O285" s="344">
        <f t="shared" si="617"/>
        <v>8.2887141117975488E-2</v>
      </c>
      <c r="P285" s="342">
        <f t="shared" si="617"/>
        <v>8.6418422605498937E-2</v>
      </c>
      <c r="Q285" s="342">
        <f t="shared" si="617"/>
        <v>9.3670061941254268E-2</v>
      </c>
      <c r="R285" s="343">
        <f t="shared" si="617"/>
        <v>9.2855081493212796E-2</v>
      </c>
      <c r="S285" s="358">
        <f t="shared" si="617"/>
        <v>8.4412398666042165E-2</v>
      </c>
      <c r="T285" s="344">
        <f t="shared" si="617"/>
        <v>8.6400294307009975E-2</v>
      </c>
      <c r="U285" s="342">
        <f t="shared" si="617"/>
        <v>8.644182017501123E-2</v>
      </c>
      <c r="V285" s="342">
        <f t="shared" si="617"/>
        <v>8.4600075063392469E-2</v>
      </c>
      <c r="W285" s="343">
        <f t="shared" si="617"/>
        <v>8.6527816412636516E-2</v>
      </c>
      <c r="X285" s="358">
        <f t="shared" si="617"/>
        <v>7.7098801165766145E-2</v>
      </c>
      <c r="Y285" s="344">
        <f t="shared" si="617"/>
        <v>8.983054376038338E-2</v>
      </c>
      <c r="Z285" s="342">
        <f t="shared" si="617"/>
        <v>9.205507518357435E-2</v>
      </c>
      <c r="AA285" s="342">
        <f t="shared" si="617"/>
        <v>9.4107202084505459E-2</v>
      </c>
      <c r="AB285" s="343">
        <f t="shared" si="617"/>
        <v>8.9655331735633309E-2</v>
      </c>
      <c r="AC285" s="358">
        <f t="shared" si="617"/>
        <v>8.520297144565038E-2</v>
      </c>
      <c r="AD285" s="344">
        <f t="shared" si="617"/>
        <v>9.2405555564196773E-2</v>
      </c>
      <c r="AE285" s="342">
        <f t="shared" si="617"/>
        <v>9.033007819588143E-2</v>
      </c>
      <c r="AF285" s="342">
        <f t="shared" si="617"/>
        <v>8.3399003576608705E-2</v>
      </c>
      <c r="AG285" s="343">
        <f t="shared" si="617"/>
        <v>8.9302445191104057E-2</v>
      </c>
      <c r="AH285" s="358">
        <f t="shared" si="617"/>
        <v>8.7261625671947105E-2</v>
      </c>
      <c r="AI285" s="344">
        <f t="shared" si="617"/>
        <v>8.3127592295632199E-2</v>
      </c>
      <c r="AJ285" s="342">
        <f t="shared" si="617"/>
        <v>8.1350035095617487E-2</v>
      </c>
      <c r="AK285" s="342">
        <f t="shared" si="617"/>
        <v>8.997569243850527E-2</v>
      </c>
      <c r="AL285" s="343">
        <f t="shared" si="617"/>
        <v>8.8414802288223127E-2</v>
      </c>
      <c r="AM285" s="358">
        <f t="shared" si="617"/>
        <v>8.6624963537206959E-2</v>
      </c>
      <c r="AN285" s="344">
        <f t="shared" si="617"/>
        <v>8.7151261886460177E-2</v>
      </c>
      <c r="AO285" s="342">
        <f t="shared" ref="AO285:BQ285" si="618">(AO254-AO28+0.65*AO36)/(AO280*(AVERAGE(AO273,AO268)))</f>
        <v>8.8588038819846518E-2</v>
      </c>
      <c r="AP285" s="342">
        <f t="shared" si="618"/>
        <v>9.2822507897250148E-2</v>
      </c>
      <c r="AQ285" s="343">
        <f t="shared" si="618"/>
        <v>9.3694959046609266E-2</v>
      </c>
      <c r="AR285" s="358">
        <f t="shared" si="618"/>
        <v>9.0300305013426313E-2</v>
      </c>
      <c r="AS285" s="344">
        <f t="shared" si="618"/>
        <v>9.0986734918151929E-2</v>
      </c>
      <c r="AT285" s="342">
        <f t="shared" si="618"/>
        <v>9.162763856825816E-2</v>
      </c>
      <c r="AU285" s="342">
        <f t="shared" si="618"/>
        <v>9.3809523019877203E-2</v>
      </c>
      <c r="AV285" s="343">
        <f t="shared" si="618"/>
        <v>8.8673792058150014E-2</v>
      </c>
      <c r="AW285" s="358">
        <f t="shared" si="618"/>
        <v>8.4634423485270005E-2</v>
      </c>
      <c r="AX285" s="344">
        <f t="shared" si="618"/>
        <v>8.9868242315241251E-2</v>
      </c>
      <c r="AY285" s="342">
        <f t="shared" si="618"/>
        <v>8.8598067380748671E-2</v>
      </c>
      <c r="AZ285" s="342">
        <f t="shared" si="618"/>
        <v>8.2306597787793284E-2</v>
      </c>
      <c r="BA285" s="343">
        <f t="shared" si="618"/>
        <v>8.4927200808216544E-2</v>
      </c>
      <c r="BB285" s="358">
        <f t="shared" si="618"/>
        <v>8.0720842839318421E-2</v>
      </c>
      <c r="BC285" s="344">
        <f t="shared" si="618"/>
        <v>8.6123376079791411E-2</v>
      </c>
      <c r="BD285" s="342">
        <f t="shared" si="618"/>
        <v>8.839495627295002E-2</v>
      </c>
      <c r="BE285" s="342">
        <f t="shared" si="618"/>
        <v>8.9032671113442444E-2</v>
      </c>
      <c r="BF285" s="343">
        <f t="shared" si="618"/>
        <v>9.0292442759735012E-2</v>
      </c>
      <c r="BG285" s="358">
        <f t="shared" si="618"/>
        <v>8.4381470288900154E-2</v>
      </c>
      <c r="BH285" s="344">
        <f t="shared" si="618"/>
        <v>9.1179846864514913E-2</v>
      </c>
      <c r="BI285" s="342">
        <f t="shared" si="618"/>
        <v>9.119843046363213E-2</v>
      </c>
      <c r="BJ285" s="342">
        <f t="shared" si="618"/>
        <v>9.0033344321705649E-2</v>
      </c>
      <c r="BK285" s="343">
        <f t="shared" si="618"/>
        <v>9.0167205672521664E-2</v>
      </c>
      <c r="BL285" s="358">
        <f t="shared" si="618"/>
        <v>8.6376058876826922E-2</v>
      </c>
      <c r="BM285" s="344">
        <f t="shared" si="618"/>
        <v>8.9866009190519236E-2</v>
      </c>
      <c r="BN285" s="342">
        <f t="shared" si="618"/>
        <v>9.0501237401819909E-2</v>
      </c>
      <c r="BO285" s="342">
        <f t="shared" si="618"/>
        <v>9.0058950693215456E-2</v>
      </c>
      <c r="BP285" s="343">
        <f t="shared" si="618"/>
        <v>8.995892268703716E-2</v>
      </c>
      <c r="BQ285" s="358">
        <f t="shared" si="618"/>
        <v>8.5876903044770303E-2</v>
      </c>
      <c r="BR285" s="289"/>
      <c r="BS285" s="289"/>
      <c r="BT285" s="289"/>
      <c r="BU285" s="289"/>
      <c r="BV285" s="289"/>
      <c r="BW285" s="289"/>
      <c r="BX285" s="289"/>
      <c r="BY285" s="289"/>
      <c r="BZ285" s="289"/>
      <c r="CA285" s="289"/>
      <c r="CB285" s="289"/>
      <c r="CC285" s="289"/>
      <c r="CD285" s="289"/>
      <c r="CE285" s="289"/>
      <c r="CF285" s="289"/>
      <c r="CG285" s="289"/>
      <c r="CH285" s="289"/>
      <c r="CI285" s="289"/>
      <c r="CJ285" s="289"/>
      <c r="CK285" s="289"/>
      <c r="CL285" s="289"/>
      <c r="CM285" s="289"/>
      <c r="CN285" s="289"/>
      <c r="CO285" s="289"/>
      <c r="CP285" s="289"/>
      <c r="CQ285" s="289"/>
      <c r="CR285" s="289"/>
      <c r="CS285" s="289"/>
      <c r="CT285" s="289"/>
      <c r="CU285" s="289"/>
      <c r="CV285" s="289"/>
      <c r="CW285" s="289"/>
      <c r="CX285" s="289"/>
      <c r="CY285" s="289"/>
      <c r="CZ285" s="289"/>
    </row>
    <row r="286" spans="1:104" x14ac:dyDescent="0.2">
      <c r="A286" s="289"/>
      <c r="B286" s="289"/>
      <c r="C286" s="289"/>
      <c r="D286" s="289"/>
      <c r="E286" s="291"/>
      <c r="F286" s="292"/>
      <c r="G286" s="292"/>
      <c r="H286" s="293"/>
      <c r="I286" s="289"/>
      <c r="J286" s="291"/>
      <c r="K286" s="292"/>
      <c r="L286" s="292"/>
      <c r="M286" s="293"/>
      <c r="N286" s="289"/>
      <c r="O286" s="291"/>
      <c r="P286" s="292"/>
      <c r="Q286" s="292"/>
      <c r="R286" s="293"/>
      <c r="S286" s="289"/>
      <c r="T286" s="291"/>
      <c r="U286" s="292"/>
      <c r="V286" s="292"/>
      <c r="W286" s="293"/>
      <c r="X286" s="289"/>
      <c r="Y286" s="291"/>
      <c r="Z286" s="292"/>
      <c r="AA286" s="292"/>
      <c r="AB286" s="293"/>
      <c r="AC286" s="289"/>
      <c r="AD286" s="291"/>
      <c r="AE286" s="292"/>
      <c r="AF286" s="292"/>
      <c r="AG286" s="293"/>
      <c r="AH286" s="289"/>
      <c r="AI286" s="291"/>
      <c r="AJ286" s="292"/>
      <c r="AK286" s="292"/>
      <c r="AL286" s="293"/>
      <c r="AM286" s="289"/>
      <c r="AN286" s="291"/>
      <c r="AO286" s="292"/>
      <c r="AP286" s="292"/>
      <c r="AQ286" s="293"/>
      <c r="AR286" s="289"/>
      <c r="AS286" s="291"/>
      <c r="AT286" s="292"/>
      <c r="AU286" s="292"/>
      <c r="AV286" s="293"/>
      <c r="AW286" s="289"/>
      <c r="AX286" s="291"/>
      <c r="AY286" s="292"/>
      <c r="AZ286" s="292"/>
      <c r="BA286" s="293"/>
      <c r="BB286" s="289"/>
      <c r="BC286" s="291"/>
      <c r="BD286" s="292"/>
      <c r="BE286" s="292"/>
      <c r="BF286" s="293"/>
      <c r="BG286" s="289"/>
      <c r="BH286" s="291"/>
      <c r="BI286" s="292"/>
      <c r="BJ286" s="292"/>
      <c r="BK286" s="293"/>
      <c r="BL286" s="289"/>
      <c r="BM286" s="291"/>
      <c r="BN286" s="292"/>
      <c r="BO286" s="292"/>
      <c r="BP286" s="293"/>
      <c r="BQ286" s="289"/>
      <c r="BR286" s="289"/>
      <c r="BS286" s="289"/>
      <c r="BT286" s="289"/>
      <c r="BU286" s="289"/>
      <c r="BV286" s="289"/>
      <c r="BW286" s="289"/>
      <c r="BX286" s="289"/>
      <c r="BY286" s="289"/>
      <c r="BZ286" s="289"/>
      <c r="CA286" s="289"/>
      <c r="CB286" s="289"/>
      <c r="CC286" s="289"/>
      <c r="CD286" s="289"/>
      <c r="CE286" s="289"/>
      <c r="CF286" s="289"/>
      <c r="CG286" s="289"/>
      <c r="CH286" s="289"/>
      <c r="CI286" s="289"/>
      <c r="CJ286" s="289"/>
      <c r="CK286" s="289"/>
      <c r="CL286" s="289"/>
      <c r="CM286" s="289"/>
      <c r="CN286" s="289"/>
      <c r="CO286" s="289"/>
      <c r="CP286" s="289"/>
      <c r="CQ286" s="289"/>
      <c r="CR286" s="289"/>
      <c r="CS286" s="289"/>
      <c r="CT286" s="289"/>
      <c r="CU286" s="289"/>
      <c r="CV286" s="289"/>
      <c r="CW286" s="289"/>
      <c r="CX286" s="289"/>
      <c r="CY286" s="289"/>
      <c r="CZ286" s="289"/>
    </row>
    <row r="287" spans="1:104" x14ac:dyDescent="0.2">
      <c r="A287" s="289"/>
      <c r="B287" s="289"/>
      <c r="C287" s="289"/>
      <c r="D287" s="289"/>
      <c r="E287" s="556"/>
      <c r="F287" s="557"/>
      <c r="G287" s="557"/>
      <c r="H287" s="558"/>
      <c r="I287" s="127"/>
      <c r="J287" s="559"/>
      <c r="K287" s="560"/>
      <c r="L287" s="560"/>
      <c r="M287" s="561"/>
      <c r="N287" s="127"/>
      <c r="O287" s="559"/>
      <c r="P287" s="560"/>
      <c r="Q287" s="560"/>
      <c r="R287" s="561"/>
      <c r="S287" s="127"/>
      <c r="T287" s="559"/>
      <c r="U287" s="560"/>
      <c r="V287" s="560"/>
      <c r="W287" s="561"/>
      <c r="X287" s="127"/>
      <c r="Y287" s="559"/>
      <c r="Z287" s="560"/>
      <c r="AA287" s="560"/>
      <c r="AB287" s="561"/>
      <c r="AC287" s="358"/>
      <c r="AD287" s="559"/>
      <c r="AE287" s="560"/>
      <c r="AF287" s="560"/>
      <c r="AG287" s="561"/>
      <c r="AH287" s="358"/>
      <c r="AI287" s="559"/>
      <c r="AJ287" s="560"/>
      <c r="AK287" s="560"/>
      <c r="AL287" s="561"/>
      <c r="AM287" s="358"/>
      <c r="AN287" s="559"/>
      <c r="AO287" s="560"/>
      <c r="AP287" s="560"/>
      <c r="AQ287" s="561"/>
      <c r="AR287" s="358"/>
      <c r="AS287" s="559"/>
      <c r="AT287" s="560"/>
      <c r="AU287" s="560"/>
      <c r="AV287" s="561"/>
      <c r="AW287" s="358"/>
      <c r="AX287" s="559"/>
      <c r="AY287" s="560"/>
      <c r="AZ287" s="560"/>
      <c r="BA287" s="561"/>
      <c r="BB287" s="358"/>
      <c r="BC287" s="559"/>
      <c r="BD287" s="560"/>
      <c r="BE287" s="560"/>
      <c r="BF287" s="561"/>
      <c r="BG287" s="358"/>
      <c r="BH287" s="559"/>
      <c r="BI287" s="560"/>
      <c r="BJ287" s="560"/>
      <c r="BK287" s="561"/>
      <c r="BL287" s="358"/>
      <c r="BM287" s="559"/>
      <c r="BN287" s="560"/>
      <c r="BO287" s="560"/>
      <c r="BP287" s="561"/>
      <c r="BQ287" s="358"/>
      <c r="BR287" s="289"/>
      <c r="BS287" s="289"/>
      <c r="BT287" s="757" t="s">
        <v>393</v>
      </c>
      <c r="BU287" s="336">
        <v>2012</v>
      </c>
      <c r="BV287" s="336">
        <v>2013</v>
      </c>
      <c r="BW287" s="336">
        <v>2014</v>
      </c>
      <c r="BX287" s="336">
        <v>2015</v>
      </c>
      <c r="BY287" s="336">
        <v>2016</v>
      </c>
      <c r="BZ287" s="289"/>
      <c r="CA287" s="289"/>
      <c r="CB287" s="289"/>
      <c r="CC287" s="289"/>
      <c r="CD287" s="289"/>
      <c r="CE287" s="289"/>
      <c r="CF287" s="289"/>
      <c r="CG287" s="289"/>
      <c r="CH287" s="289"/>
      <c r="CI287" s="289"/>
      <c r="CJ287" s="289"/>
      <c r="CK287" s="289"/>
      <c r="CL287" s="289"/>
      <c r="CM287" s="289"/>
      <c r="CN287" s="289"/>
      <c r="CO287" s="289"/>
      <c r="CP287" s="289"/>
      <c r="CQ287" s="289"/>
      <c r="CR287" s="289"/>
      <c r="CS287" s="289"/>
      <c r="CT287" s="289"/>
      <c r="CU287" s="289"/>
      <c r="CV287" s="289"/>
      <c r="CW287" s="289"/>
      <c r="CX287" s="289"/>
      <c r="CY287" s="289"/>
      <c r="CZ287" s="289"/>
    </row>
    <row r="288" spans="1:104" x14ac:dyDescent="0.2">
      <c r="AH288" s="42"/>
      <c r="BT288" s="54" t="s">
        <v>517</v>
      </c>
      <c r="BU288" s="224">
        <f>AVERAGE(S273,X273)</f>
        <v>7211.875</v>
      </c>
      <c r="BV288" s="224">
        <f>AVERAGE(X273,AC273)</f>
        <v>7634.83</v>
      </c>
      <c r="BW288" s="224">
        <f>AVERAGE(AC273,AH273)</f>
        <v>8236.1045000000013</v>
      </c>
      <c r="BX288" s="224">
        <f>AVERAGE(AH273,AM273)</f>
        <v>8897.7690000000021</v>
      </c>
      <c r="BY288" s="224">
        <f>AVERAGE(AM273,AR273)</f>
        <v>9629.4525000000031</v>
      </c>
    </row>
    <row r="289" spans="3:77" x14ac:dyDescent="0.2">
      <c r="AC289" s="804"/>
      <c r="AH289" s="224"/>
      <c r="AJ289" s="861"/>
      <c r="AM289" s="795"/>
      <c r="BT289" s="54" t="s">
        <v>521</v>
      </c>
      <c r="BU289" s="756">
        <v>0.10249999999999999</v>
      </c>
      <c r="BV289" s="756">
        <v>0.10249999999999999</v>
      </c>
      <c r="BW289" s="756">
        <v>0.10249999999999999</v>
      </c>
      <c r="BX289" s="756">
        <v>0.10249999999999999</v>
      </c>
      <c r="BY289" s="756">
        <v>0.10249999999999999</v>
      </c>
    </row>
    <row r="290" spans="3:77" x14ac:dyDescent="0.2">
      <c r="C290" s="846" t="s">
        <v>575</v>
      </c>
      <c r="X290">
        <v>6091</v>
      </c>
      <c r="AC290" s="805">
        <v>6719</v>
      </c>
      <c r="AH290">
        <v>7047</v>
      </c>
      <c r="AM290" s="909">
        <v>7742</v>
      </c>
      <c r="AN290" s="802">
        <f>AM290/$AM$295</f>
        <v>0.83077583431698676</v>
      </c>
      <c r="AO290" s="916">
        <v>9.1999999999999998E-2</v>
      </c>
      <c r="AP290" s="913">
        <v>0.52500000000000002</v>
      </c>
      <c r="AR290">
        <v>8251</v>
      </c>
      <c r="AS290" s="913">
        <v>9.1999999999999998E-2</v>
      </c>
      <c r="BG290" s="698"/>
      <c r="BL290" s="698"/>
      <c r="BQ290" s="698"/>
      <c r="BT290" s="54" t="s">
        <v>518</v>
      </c>
      <c r="BU290" s="755">
        <v>0.05</v>
      </c>
      <c r="BV290" s="755">
        <v>0.05</v>
      </c>
      <c r="BW290" s="755">
        <v>0.05</v>
      </c>
      <c r="BX290" s="755">
        <v>0.05</v>
      </c>
      <c r="BY290" s="755">
        <v>0.05</v>
      </c>
    </row>
    <row r="291" spans="3:77" x14ac:dyDescent="0.2">
      <c r="C291" s="846" t="s">
        <v>576</v>
      </c>
      <c r="X291">
        <v>423</v>
      </c>
      <c r="AC291">
        <v>436</v>
      </c>
      <c r="AH291">
        <v>453</v>
      </c>
      <c r="AM291" s="909">
        <v>471</v>
      </c>
      <c r="AN291" s="802">
        <f>AM291/$AM$295</f>
        <v>5.0541903637729368E-2</v>
      </c>
      <c r="AO291" s="914">
        <v>0.1009</v>
      </c>
      <c r="AP291" s="913">
        <v>0.52459999999999996</v>
      </c>
      <c r="AR291">
        <v>506</v>
      </c>
      <c r="AS291" s="913">
        <v>0.1009</v>
      </c>
      <c r="BT291" s="57" t="s">
        <v>519</v>
      </c>
      <c r="BU291" s="86">
        <f>+BU288*BU289*BU290</f>
        <v>36.960859374999998</v>
      </c>
      <c r="BV291" s="86">
        <f>+BV288*BV289*BV290</f>
        <v>39.12850375</v>
      </c>
      <c r="BW291" s="86">
        <f>+BW288*BW289*BW290</f>
        <v>42.210035562500003</v>
      </c>
      <c r="BX291" s="86">
        <f>+BX288*BX289*BX290</f>
        <v>45.60106612500001</v>
      </c>
      <c r="BY291" s="86">
        <f>+BY288*BY289*BY290</f>
        <v>49.35094406250002</v>
      </c>
    </row>
    <row r="292" spans="3:77" x14ac:dyDescent="0.2">
      <c r="C292" s="846" t="s">
        <v>577</v>
      </c>
      <c r="X292">
        <v>339</v>
      </c>
      <c r="AC292">
        <v>389</v>
      </c>
      <c r="AH292">
        <v>454</v>
      </c>
      <c r="AM292" s="909">
        <v>515</v>
      </c>
      <c r="AN292" s="802">
        <f>AM292/$AM$295</f>
        <v>5.5263440283292199E-2</v>
      </c>
      <c r="AO292" s="914">
        <v>0.1</v>
      </c>
      <c r="AP292" s="913">
        <v>0.52559999999999996</v>
      </c>
      <c r="AR292">
        <v>540</v>
      </c>
      <c r="AS292" s="968">
        <v>0.1</v>
      </c>
      <c r="BT292" s="52" t="s">
        <v>346</v>
      </c>
      <c r="BU292" s="224">
        <f>+X52</f>
        <v>488.43400000000003</v>
      </c>
      <c r="BV292" s="224">
        <f>+AC52</f>
        <v>496.53199999999998</v>
      </c>
      <c r="BW292" s="224">
        <f>+AH52</f>
        <v>504.11700000000002</v>
      </c>
      <c r="BX292" s="224">
        <f>+AM52</f>
        <v>508.16800000000001</v>
      </c>
      <c r="BY292" s="224">
        <v>515</v>
      </c>
    </row>
    <row r="293" spans="3:77" x14ac:dyDescent="0.2">
      <c r="C293" s="846" t="s">
        <v>578</v>
      </c>
      <c r="X293">
        <v>41</v>
      </c>
      <c r="AC293">
        <v>43</v>
      </c>
      <c r="AH293">
        <v>48</v>
      </c>
      <c r="AM293" s="909">
        <v>50</v>
      </c>
      <c r="AN293" s="802">
        <f>AM293/$AM$295</f>
        <v>5.3653825517759419E-3</v>
      </c>
      <c r="AO293" s="914">
        <v>0.1075</v>
      </c>
      <c r="AP293" s="913">
        <v>0.51590000000000003</v>
      </c>
      <c r="AR293">
        <v>53</v>
      </c>
      <c r="AS293" s="913">
        <v>0.1075</v>
      </c>
      <c r="BT293" s="57" t="s">
        <v>520</v>
      </c>
      <c r="BU293" s="55">
        <f>+BU291/BU292</f>
        <v>7.5672167324551523E-2</v>
      </c>
      <c r="BV293" s="55">
        <f>+BV291/BV292</f>
        <v>7.8803589194654119E-2</v>
      </c>
      <c r="BW293" s="55">
        <f>+BW291/BW292</f>
        <v>8.3730633092119491E-2</v>
      </c>
      <c r="BX293" s="55">
        <f>+BX291/BX292</f>
        <v>8.9736201659687362E-2</v>
      </c>
      <c r="BY293" s="55">
        <f>+BY291/BY292</f>
        <v>9.5827075849514595E-2</v>
      </c>
    </row>
    <row r="294" spans="3:77" x14ac:dyDescent="0.2">
      <c r="C294" s="846" t="s">
        <v>579</v>
      </c>
      <c r="X294">
        <v>380</v>
      </c>
      <c r="AC294">
        <v>409</v>
      </c>
      <c r="AH294">
        <v>474</v>
      </c>
      <c r="AM294" s="909">
        <v>541</v>
      </c>
      <c r="AN294" s="802">
        <f>AM294/$AM$295</f>
        <v>5.805343921021569E-2</v>
      </c>
      <c r="AO294" s="914">
        <v>9.2499999999999999E-2</v>
      </c>
      <c r="AP294" s="913">
        <v>0.53039999999999998</v>
      </c>
      <c r="AR294">
        <v>590</v>
      </c>
      <c r="AS294" t="s">
        <v>632</v>
      </c>
    </row>
    <row r="295" spans="3:77" x14ac:dyDescent="0.2">
      <c r="C295" s="846" t="s">
        <v>170</v>
      </c>
      <c r="X295">
        <f>SUM(X290:X294)</f>
        <v>7274</v>
      </c>
      <c r="AC295">
        <f t="shared" ref="AC295:AH295" si="619">SUM(AC290:AC294)</f>
        <v>7996</v>
      </c>
      <c r="AD295">
        <f t="shared" si="619"/>
        <v>0</v>
      </c>
      <c r="AE295">
        <f t="shared" si="619"/>
        <v>0</v>
      </c>
      <c r="AF295">
        <f t="shared" si="619"/>
        <v>0</v>
      </c>
      <c r="AG295">
        <f t="shared" si="619"/>
        <v>0</v>
      </c>
      <c r="AH295">
        <f t="shared" si="619"/>
        <v>8476</v>
      </c>
      <c r="AM295" s="909">
        <f>SUM(AM290:AM294)</f>
        <v>9319</v>
      </c>
      <c r="AN295" s="698"/>
      <c r="AO295" s="914">
        <f>SUMPRODUCT(AN290:AN294,AO290:AO294)</f>
        <v>9.3004120613799771E-2</v>
      </c>
      <c r="AP295" s="914">
        <f>SUMPRODUCT(AN290:AN294,AP290:AP294)</f>
        <v>0.52527760489322883</v>
      </c>
      <c r="AR295">
        <f>SUM(AR290:AR294)</f>
        <v>9940</v>
      </c>
    </row>
    <row r="296" spans="3:77" x14ac:dyDescent="0.2">
      <c r="AR296" s="795"/>
    </row>
    <row r="297" spans="3:77" x14ac:dyDescent="0.2">
      <c r="AR297" s="795"/>
      <c r="AS297" s="795"/>
    </row>
  </sheetData>
  <phoneticPr fontId="45" type="noConversion"/>
  <pageMargins left="0.25" right="0.25" top="0.75" bottom="0.75" header="0.3" footer="0.3"/>
  <pageSetup scale="77" orientation="portrait" r:id="rId1"/>
  <headerFooter alignWithMargins="0"/>
  <rowBreaks count="4" manualBreakCount="4">
    <brk id="80" max="69" man="1"/>
    <brk id="147" max="69" man="1"/>
    <brk id="203" max="69" man="1"/>
    <brk id="248" max="69" man="1"/>
  </row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ED289"/>
  <sheetViews>
    <sheetView zoomScale="80" zoomScaleNormal="80" workbookViewId="0">
      <pane xSplit="4" ySplit="5" topLeftCell="I6" activePane="bottomRight" state="frozen"/>
      <selection activeCell="E6" sqref="E6"/>
      <selection pane="topRight" activeCell="E6" sqref="E6"/>
      <selection pane="bottomLeft" activeCell="E6" sqref="E6"/>
      <selection pane="bottomRight" activeCell="I6" sqref="I6"/>
    </sheetView>
  </sheetViews>
  <sheetFormatPr defaultRowHeight="12.75" outlineLevelCol="1" x14ac:dyDescent="0.2"/>
  <cols>
    <col min="1" max="2" width="2.7109375" customWidth="1"/>
    <col min="3" max="3" width="44.140625" bestFit="1" customWidth="1"/>
    <col min="4" max="4" width="2.7109375" customWidth="1"/>
    <col min="5" max="8" width="9" hidden="1" customWidth="1" outlineLevel="1"/>
    <col min="9" max="9" width="9.5703125" bestFit="1" customWidth="1" collapsed="1"/>
    <col min="10" max="12" width="9" hidden="1" customWidth="1" outlineLevel="1"/>
    <col min="13" max="13" width="9.5703125" hidden="1" customWidth="1" outlineLevel="1"/>
    <col min="14" max="14" width="9.5703125" bestFit="1" customWidth="1" collapsed="1"/>
    <col min="15" max="18" width="9" hidden="1" customWidth="1" outlineLevel="1"/>
    <col min="19" max="19" width="9.5703125" bestFit="1" customWidth="1" collapsed="1"/>
    <col min="20" max="22" width="9" hidden="1" customWidth="1" outlineLevel="1"/>
    <col min="23" max="23" width="9.42578125" hidden="1" customWidth="1" outlineLevel="1"/>
    <col min="24" max="24" width="9.5703125" bestFit="1" customWidth="1" collapsed="1"/>
    <col min="25" max="28" width="9" hidden="1" customWidth="1" outlineLevel="1"/>
    <col min="29" max="29" width="9.5703125" bestFit="1" customWidth="1" collapsed="1"/>
    <col min="30" max="33" width="9" hidden="1" customWidth="1" outlineLevel="1"/>
    <col min="34" max="34" width="9.5703125" bestFit="1" customWidth="1" collapsed="1"/>
    <col min="35" max="38" width="9" hidden="1" customWidth="1" outlineLevel="1"/>
    <col min="39" max="39" width="9.5703125" bestFit="1" customWidth="1" collapsed="1"/>
    <col min="40" max="43" width="9" hidden="1" customWidth="1" outlineLevel="1"/>
    <col min="44" max="44" width="9.5703125" customWidth="1" collapsed="1"/>
    <col min="45" max="48" width="9" hidden="1" customWidth="1" outlineLevel="1"/>
    <col min="49" max="49" width="9.5703125" bestFit="1" customWidth="1" collapsed="1"/>
    <col min="50" max="53" width="9" hidden="1" customWidth="1" outlineLevel="1"/>
    <col min="54" max="54" width="9.5703125" bestFit="1" customWidth="1" collapsed="1"/>
    <col min="55" max="58" width="9" hidden="1" customWidth="1" outlineLevel="1"/>
    <col min="59" max="59" width="9.5703125" bestFit="1" customWidth="1" collapsed="1"/>
    <col min="60" max="63" width="9" hidden="1" customWidth="1" outlineLevel="1"/>
    <col min="64" max="64" width="9.5703125" bestFit="1" customWidth="1" collapsed="1"/>
    <col min="65" max="68" width="9" hidden="1" customWidth="1" outlineLevel="1"/>
    <col min="69" max="69" width="9.5703125" bestFit="1" customWidth="1" collapsed="1"/>
    <col min="70" max="70" width="6.28515625" bestFit="1" customWidth="1"/>
    <col min="90" max="92" width="11.42578125" customWidth="1"/>
    <col min="93" max="93" width="9.7109375" customWidth="1"/>
    <col min="94" max="97" width="11.42578125" customWidth="1"/>
    <col min="98" max="98" width="10.7109375" customWidth="1"/>
    <col min="99" max="101" width="11.42578125" customWidth="1"/>
    <col min="102" max="104" width="9.7109375" customWidth="1"/>
    <col min="128" max="131" width="9.140625" customWidth="1"/>
  </cols>
  <sheetData>
    <row r="1" spans="1:104" ht="15" customHeight="1" x14ac:dyDescent="0.25">
      <c r="A1" s="2"/>
      <c r="B1" s="2"/>
      <c r="C1" s="2"/>
      <c r="D1" s="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</row>
    <row r="2" spans="1:104" ht="15" customHeight="1" x14ac:dyDescent="0.25">
      <c r="A2" s="2"/>
      <c r="B2" s="2" t="str">
        <f>Cover!$B$2</f>
        <v>Xcel Energy</v>
      </c>
      <c r="C2" s="2"/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  <c r="CJ2" s="94"/>
      <c r="CK2" s="94"/>
      <c r="CL2" s="94"/>
      <c r="CM2" s="94"/>
      <c r="CN2" s="94"/>
      <c r="CO2" s="94"/>
      <c r="CP2" s="94"/>
      <c r="CQ2" s="94"/>
      <c r="CR2" s="94"/>
      <c r="CS2" s="94"/>
      <c r="CT2" s="94"/>
      <c r="CU2" s="94"/>
      <c r="CV2" s="94"/>
      <c r="CW2" s="94"/>
      <c r="CX2" s="94"/>
      <c r="CY2" s="94"/>
      <c r="CZ2" s="94"/>
    </row>
    <row r="3" spans="1:104" ht="15" customHeight="1" x14ac:dyDescent="0.25">
      <c r="A3" s="5"/>
      <c r="B3" s="6" t="s">
        <v>516</v>
      </c>
      <c r="C3" s="6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94"/>
      <c r="BS3" s="94"/>
      <c r="BT3" s="94"/>
      <c r="BU3" s="94"/>
      <c r="BV3" s="94"/>
      <c r="BW3" s="94"/>
      <c r="BX3" s="94"/>
      <c r="BY3" s="94"/>
      <c r="BZ3" s="94"/>
      <c r="CA3" s="94"/>
      <c r="CB3" s="94"/>
      <c r="CC3" s="94"/>
      <c r="CD3" s="94"/>
      <c r="CE3" s="94"/>
      <c r="CF3" s="94"/>
      <c r="CG3" s="94"/>
      <c r="CH3" s="94"/>
      <c r="CI3" s="94"/>
      <c r="CJ3" s="94"/>
      <c r="CK3" s="94"/>
      <c r="CL3" s="94"/>
      <c r="CM3" s="94"/>
      <c r="CN3" s="94"/>
      <c r="CO3" s="94"/>
      <c r="CP3" s="94"/>
      <c r="CQ3" s="94"/>
      <c r="CR3" s="94"/>
      <c r="CS3" s="94"/>
      <c r="CT3" s="94"/>
      <c r="CU3" s="94"/>
      <c r="CV3" s="94"/>
      <c r="CW3" s="94"/>
      <c r="CX3" s="94"/>
      <c r="CY3" s="94"/>
      <c r="CZ3" s="94"/>
    </row>
    <row r="4" spans="1:104" x14ac:dyDescent="0.2">
      <c r="A4" s="8"/>
      <c r="B4" s="9" t="s">
        <v>1</v>
      </c>
      <c r="C4" s="9"/>
      <c r="D4" s="263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95"/>
      <c r="BS4" s="95"/>
      <c r="BT4" s="95"/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H4" s="95"/>
      <c r="CI4" s="95"/>
      <c r="CJ4" s="95"/>
      <c r="CK4" s="95"/>
      <c r="CL4" s="95"/>
      <c r="CM4" s="95"/>
      <c r="CN4" s="95"/>
      <c r="CO4" s="95"/>
      <c r="CP4" s="95"/>
      <c r="CQ4" s="95"/>
      <c r="CR4" s="95"/>
      <c r="CS4" s="95"/>
      <c r="CT4" s="95"/>
      <c r="CU4" s="95"/>
      <c r="CV4" s="95"/>
      <c r="CW4" s="95"/>
      <c r="CX4" s="95"/>
      <c r="CY4" s="95"/>
      <c r="CZ4" s="95"/>
    </row>
    <row r="5" spans="1:104" x14ac:dyDescent="0.2">
      <c r="B5" s="264" t="s">
        <v>41</v>
      </c>
      <c r="C5" s="264"/>
      <c r="D5" s="265"/>
      <c r="E5" s="104" t="s">
        <v>101</v>
      </c>
      <c r="F5" s="105" t="s">
        <v>102</v>
      </c>
      <c r="G5" s="105" t="s">
        <v>103</v>
      </c>
      <c r="H5" s="106" t="s">
        <v>104</v>
      </c>
      <c r="I5" s="266">
        <v>2009</v>
      </c>
      <c r="J5" s="104" t="s">
        <v>105</v>
      </c>
      <c r="K5" s="105" t="s">
        <v>106</v>
      </c>
      <c r="L5" s="105" t="s">
        <v>107</v>
      </c>
      <c r="M5" s="106" t="s">
        <v>108</v>
      </c>
      <c r="N5" s="266" t="s">
        <v>3</v>
      </c>
      <c r="O5" s="104" t="s">
        <v>109</v>
      </c>
      <c r="P5" s="105" t="s">
        <v>110</v>
      </c>
      <c r="Q5" s="105" t="s">
        <v>479</v>
      </c>
      <c r="R5" s="106" t="s">
        <v>175</v>
      </c>
      <c r="S5" s="266">
        <v>2011</v>
      </c>
      <c r="T5" s="104" t="s">
        <v>508</v>
      </c>
      <c r="U5" s="105" t="s">
        <v>509</v>
      </c>
      <c r="V5" s="105" t="s">
        <v>510</v>
      </c>
      <c r="W5" s="106" t="s">
        <v>522</v>
      </c>
      <c r="X5" s="267" t="s">
        <v>523</v>
      </c>
      <c r="Y5" s="104" t="s">
        <v>524</v>
      </c>
      <c r="Z5" s="100" t="s">
        <v>527</v>
      </c>
      <c r="AA5" s="100" t="s">
        <v>528</v>
      </c>
      <c r="AB5" s="101" t="s">
        <v>537</v>
      </c>
      <c r="AC5" s="103" t="s">
        <v>538</v>
      </c>
      <c r="AD5" s="99" t="s">
        <v>539</v>
      </c>
      <c r="AE5" s="100" t="s">
        <v>543</v>
      </c>
      <c r="AF5" s="100" t="s">
        <v>544</v>
      </c>
      <c r="AG5" s="106" t="s">
        <v>550</v>
      </c>
      <c r="AH5" s="267" t="s">
        <v>551</v>
      </c>
      <c r="AI5" s="104" t="s">
        <v>553</v>
      </c>
      <c r="AJ5" s="105" t="s">
        <v>554</v>
      </c>
      <c r="AK5" s="105" t="s">
        <v>569</v>
      </c>
      <c r="AL5" s="106" t="s">
        <v>570</v>
      </c>
      <c r="AM5" s="267" t="s">
        <v>571</v>
      </c>
      <c r="AN5" s="372" t="s">
        <v>574</v>
      </c>
      <c r="AO5" s="373" t="s">
        <v>589</v>
      </c>
      <c r="AP5" s="373" t="s">
        <v>597</v>
      </c>
      <c r="AQ5" s="374" t="s">
        <v>605</v>
      </c>
      <c r="AR5" s="103" t="s">
        <v>604</v>
      </c>
      <c r="AS5" s="372" t="s">
        <v>631</v>
      </c>
      <c r="AT5" s="373" t="s">
        <v>638</v>
      </c>
      <c r="AU5" s="373" t="s">
        <v>640</v>
      </c>
      <c r="AV5" s="374" t="s">
        <v>664</v>
      </c>
      <c r="AW5" s="375" t="s">
        <v>665</v>
      </c>
      <c r="AX5" s="372" t="s">
        <v>529</v>
      </c>
      <c r="AY5" s="373" t="s">
        <v>530</v>
      </c>
      <c r="AZ5" s="373" t="s">
        <v>531</v>
      </c>
      <c r="BA5" s="374" t="s">
        <v>532</v>
      </c>
      <c r="BB5" s="375">
        <v>2018</v>
      </c>
      <c r="BC5" s="372" t="s">
        <v>555</v>
      </c>
      <c r="BD5" s="373" t="s">
        <v>556</v>
      </c>
      <c r="BE5" s="373" t="s">
        <v>557</v>
      </c>
      <c r="BF5" s="374" t="s">
        <v>558</v>
      </c>
      <c r="BG5" s="375">
        <v>2019</v>
      </c>
      <c r="BH5" s="372" t="s">
        <v>599</v>
      </c>
      <c r="BI5" s="373" t="s">
        <v>600</v>
      </c>
      <c r="BJ5" s="373" t="s">
        <v>601</v>
      </c>
      <c r="BK5" s="374" t="s">
        <v>602</v>
      </c>
      <c r="BL5" s="375">
        <v>2020</v>
      </c>
      <c r="BM5" s="372" t="s">
        <v>670</v>
      </c>
      <c r="BN5" s="373" t="s">
        <v>671</v>
      </c>
      <c r="BO5" s="373" t="s">
        <v>672</v>
      </c>
      <c r="BP5" s="374" t="s">
        <v>673</v>
      </c>
      <c r="BQ5" s="375">
        <v>2021</v>
      </c>
      <c r="BR5" s="268"/>
      <c r="BS5" s="268"/>
      <c r="BT5" s="268"/>
      <c r="BU5" s="268"/>
      <c r="BV5" s="268"/>
      <c r="BW5" s="268"/>
      <c r="BX5" s="268"/>
      <c r="BY5" s="268"/>
      <c r="BZ5" s="268"/>
      <c r="CA5" s="268"/>
      <c r="CB5" s="268"/>
      <c r="CC5" s="268"/>
      <c r="CD5" s="268"/>
      <c r="CE5" s="268"/>
      <c r="CF5" s="268"/>
      <c r="CG5" s="268"/>
      <c r="CH5" s="268"/>
      <c r="CI5" s="268"/>
      <c r="CJ5" s="268"/>
      <c r="CK5" s="268"/>
      <c r="CL5" s="268"/>
      <c r="CM5" s="268"/>
      <c r="CN5" s="268"/>
      <c r="CO5" s="268"/>
      <c r="CP5" s="268"/>
      <c r="CQ5" s="268"/>
      <c r="CR5" s="268"/>
      <c r="CS5" s="268"/>
      <c r="CT5" s="268"/>
      <c r="CU5" s="268"/>
      <c r="CV5" s="268"/>
      <c r="CW5" s="268"/>
      <c r="CX5" s="268"/>
      <c r="CY5" s="268"/>
      <c r="CZ5" s="268"/>
    </row>
    <row r="6" spans="1:104" x14ac:dyDescent="0.2">
      <c r="E6" s="120"/>
      <c r="F6" s="139"/>
      <c r="G6" s="139"/>
      <c r="H6" s="119"/>
      <c r="I6" s="42"/>
      <c r="J6" s="120"/>
      <c r="K6" s="139"/>
      <c r="L6" s="139"/>
      <c r="M6" s="119"/>
      <c r="N6" s="42"/>
      <c r="O6" s="120"/>
      <c r="P6" s="139"/>
      <c r="Q6" s="139"/>
      <c r="R6" s="119"/>
      <c r="S6" s="42"/>
      <c r="T6" s="120"/>
      <c r="U6" s="139"/>
      <c r="V6" s="139"/>
      <c r="W6" s="119"/>
      <c r="X6" s="42"/>
      <c r="Y6" s="120"/>
      <c r="Z6" s="139"/>
      <c r="AA6" s="139"/>
      <c r="AB6" s="119"/>
      <c r="AC6" s="42"/>
      <c r="AD6" s="120"/>
      <c r="AE6" s="139"/>
      <c r="AF6" s="139"/>
      <c r="AG6" s="119"/>
      <c r="AH6" s="42"/>
      <c r="AI6" s="120"/>
      <c r="AJ6" s="139"/>
      <c r="AK6" s="139"/>
      <c r="AL6" s="119"/>
      <c r="AM6" s="42"/>
      <c r="AN6" s="120"/>
      <c r="AO6" s="139"/>
      <c r="AP6" s="139"/>
      <c r="AQ6" s="119"/>
      <c r="AR6" s="42"/>
      <c r="AS6" s="120"/>
      <c r="AT6" s="139"/>
      <c r="AU6" s="139"/>
      <c r="AV6" s="119"/>
      <c r="AW6" s="42"/>
      <c r="AX6" s="120"/>
      <c r="AY6" s="139"/>
      <c r="AZ6" s="139"/>
      <c r="BA6" s="119"/>
      <c r="BB6" s="42"/>
      <c r="BC6" s="120"/>
      <c r="BD6" s="139"/>
      <c r="BE6" s="139"/>
      <c r="BF6" s="119"/>
      <c r="BG6" s="42"/>
      <c r="BH6" s="120"/>
      <c r="BI6" s="139"/>
      <c r="BJ6" s="139"/>
      <c r="BK6" s="119"/>
      <c r="BL6" s="42"/>
      <c r="BM6" s="120"/>
      <c r="BN6" s="139"/>
      <c r="BO6" s="139"/>
      <c r="BP6" s="119"/>
      <c r="BQ6" s="42"/>
    </row>
    <row r="7" spans="1:104" x14ac:dyDescent="0.2">
      <c r="B7" s="16" t="s">
        <v>111</v>
      </c>
      <c r="C7" s="16"/>
      <c r="D7" s="17"/>
      <c r="E7" s="120"/>
      <c r="F7" s="139"/>
      <c r="G7" s="139"/>
      <c r="H7" s="119"/>
      <c r="I7" s="42"/>
      <c r="J7" s="120"/>
      <c r="K7" s="139"/>
      <c r="L7" s="139"/>
      <c r="M7" s="119"/>
      <c r="N7" s="42"/>
      <c r="O7" s="120"/>
      <c r="P7" s="139"/>
      <c r="Q7" s="139"/>
      <c r="R7" s="119"/>
      <c r="S7" s="42"/>
      <c r="T7" s="120"/>
      <c r="U7" s="139"/>
      <c r="V7" s="139"/>
      <c r="W7" s="119"/>
      <c r="X7" s="42"/>
      <c r="Y7" s="120"/>
      <c r="Z7" s="139"/>
      <c r="AA7" s="139"/>
      <c r="AB7" s="119"/>
      <c r="AC7" s="42"/>
      <c r="AD7" s="120"/>
      <c r="AE7" s="139"/>
      <c r="AF7" s="139"/>
      <c r="AG7" s="119"/>
      <c r="AH7" s="42"/>
      <c r="AI7" s="120"/>
      <c r="AJ7" s="139"/>
      <c r="AK7" s="139"/>
      <c r="AL7" s="119"/>
      <c r="AM7" s="42"/>
      <c r="AN7" s="120"/>
      <c r="AO7" s="139"/>
      <c r="AP7" s="139"/>
      <c r="AQ7" s="119"/>
      <c r="AR7" s="42"/>
      <c r="AS7" s="120"/>
      <c r="AT7" s="139"/>
      <c r="AU7" s="139"/>
      <c r="AV7" s="119"/>
      <c r="AW7" s="42"/>
      <c r="AX7" s="120"/>
      <c r="AY7" s="139"/>
      <c r="AZ7" s="139"/>
      <c r="BA7" s="119"/>
      <c r="BB7" s="42"/>
      <c r="BC7" s="120"/>
      <c r="BD7" s="139"/>
      <c r="BE7" s="139"/>
      <c r="BF7" s="119"/>
      <c r="BG7" s="42"/>
      <c r="BH7" s="120"/>
      <c r="BI7" s="139"/>
      <c r="BJ7" s="139"/>
      <c r="BK7" s="119"/>
      <c r="BL7" s="42"/>
      <c r="BM7" s="120"/>
      <c r="BN7" s="139"/>
      <c r="BO7" s="139"/>
      <c r="BP7" s="119"/>
      <c r="BQ7" s="42"/>
    </row>
    <row r="8" spans="1:104" x14ac:dyDescent="0.2">
      <c r="A8" s="220"/>
      <c r="B8" s="220"/>
      <c r="C8" s="20" t="s">
        <v>112</v>
      </c>
      <c r="D8" s="42"/>
      <c r="E8" s="114">
        <v>597.34299999999996</v>
      </c>
      <c r="F8" s="115">
        <v>588.46699999999998</v>
      </c>
      <c r="G8" s="115">
        <v>771.66300000000001</v>
      </c>
      <c r="H8" s="131">
        <f>I8-SUM(E8:G8)</f>
        <v>721.10500000000002</v>
      </c>
      <c r="I8" s="117">
        <v>2678.578</v>
      </c>
      <c r="J8" s="114">
        <v>723.63400000000001</v>
      </c>
      <c r="K8" s="115">
        <v>773.62099999999998</v>
      </c>
      <c r="L8" s="115">
        <v>849.70699999999999</v>
      </c>
      <c r="M8" s="131">
        <f>N8-SUM(J8:L8)</f>
        <v>708.08300000000008</v>
      </c>
      <c r="N8" s="117">
        <v>3055.0450000000001</v>
      </c>
      <c r="O8" s="114">
        <v>704.15300000000002</v>
      </c>
      <c r="P8" s="115">
        <v>749.79100000000005</v>
      </c>
      <c r="Q8" s="115">
        <v>933.49</v>
      </c>
      <c r="R8" s="131">
        <f>S8-SUM(O8:Q8)</f>
        <v>726.93599999999969</v>
      </c>
      <c r="S8" s="117">
        <v>3114.37</v>
      </c>
      <c r="T8" s="114">
        <v>682.279</v>
      </c>
      <c r="U8" s="115">
        <v>714.65099999999995</v>
      </c>
      <c r="V8" s="115">
        <v>870.97500000000002</v>
      </c>
      <c r="W8" s="131">
        <f>X8-SUM(T8:V8)</f>
        <v>701.99400000000014</v>
      </c>
      <c r="X8" s="117">
        <v>2969.8989999999999</v>
      </c>
      <c r="Y8" s="114">
        <v>721.34799999999996</v>
      </c>
      <c r="Z8" s="115">
        <v>747.88199999999995</v>
      </c>
      <c r="AA8" s="115">
        <v>898.81100000000004</v>
      </c>
      <c r="AB8" s="131">
        <f>AC8-SUM(Y8:AA8)</f>
        <v>713.12999999999965</v>
      </c>
      <c r="AC8" s="117">
        <v>3081.1709999999998</v>
      </c>
      <c r="AD8" s="114">
        <v>734.26400000000001</v>
      </c>
      <c r="AE8" s="115">
        <v>761.56899999999996</v>
      </c>
      <c r="AF8" s="115">
        <v>881.10199999999998</v>
      </c>
      <c r="AG8" s="131">
        <f>AH8-SUM(AD8:AF8)</f>
        <v>749.00199999999995</v>
      </c>
      <c r="AH8" s="117">
        <v>3125.9369999999999</v>
      </c>
      <c r="AI8" s="114">
        <v>749.46100000000001</v>
      </c>
      <c r="AJ8" s="115">
        <v>751.53099999999995</v>
      </c>
      <c r="AK8" s="115">
        <v>884.30499999999995</v>
      </c>
      <c r="AL8" s="131">
        <f>AM8-SUM(AI8:AK8)</f>
        <v>729.96</v>
      </c>
      <c r="AM8" s="117">
        <v>3115.2570000000001</v>
      </c>
      <c r="AN8" s="114">
        <v>717.46199999999999</v>
      </c>
      <c r="AO8" s="115">
        <v>722.56899999999996</v>
      </c>
      <c r="AP8" s="115">
        <v>897.51599999999996</v>
      </c>
      <c r="AQ8" s="131">
        <f>AR8-SUM(AN8:AP8)</f>
        <v>711.80499999999984</v>
      </c>
      <c r="AR8" s="117">
        <v>3049.3519999999999</v>
      </c>
      <c r="AS8" s="114">
        <v>711.38800000000003</v>
      </c>
      <c r="AT8" s="115">
        <v>729.92</v>
      </c>
      <c r="AU8" s="115">
        <v>877.60400000000004</v>
      </c>
      <c r="AV8" s="131">
        <f>AW8-SUM(AS8:AU8)</f>
        <v>684.89599999999973</v>
      </c>
      <c r="AW8" s="117">
        <v>3003.808</v>
      </c>
      <c r="AX8" s="136">
        <f>+AX90</f>
        <v>703.74530487258164</v>
      </c>
      <c r="AY8" s="137">
        <f>+AY90</f>
        <v>716.24653417258151</v>
      </c>
      <c r="AZ8" s="137">
        <f>+AZ90</f>
        <v>847.10749001008151</v>
      </c>
      <c r="BA8" s="116">
        <f>+BA90</f>
        <v>681.54983669008152</v>
      </c>
      <c r="BB8" s="82">
        <f>SUM(AX8:BA8)</f>
        <v>2948.6491657453262</v>
      </c>
      <c r="BC8" s="136">
        <f>+BC90</f>
        <v>716.02327868798898</v>
      </c>
      <c r="BD8" s="137">
        <f>+BD90</f>
        <v>728.96659356123894</v>
      </c>
      <c r="BE8" s="137">
        <f>+BE90</f>
        <v>862.37666800083264</v>
      </c>
      <c r="BF8" s="116">
        <f>+BF90</f>
        <v>693.83724062253259</v>
      </c>
      <c r="BG8" s="82">
        <f>SUM(BC8:BF8)</f>
        <v>3001.2037808725931</v>
      </c>
      <c r="BH8" s="136">
        <f>+BH90</f>
        <v>728.36644743793488</v>
      </c>
      <c r="BI8" s="137">
        <f>+BI90</f>
        <v>741.754453098368</v>
      </c>
      <c r="BJ8" s="137">
        <f>+BJ90</f>
        <v>877.72901893656058</v>
      </c>
      <c r="BK8" s="116">
        <f>+BK90</f>
        <v>706.18986306481486</v>
      </c>
      <c r="BL8" s="82">
        <f>SUM(BH8:BK8)</f>
        <v>3054.0397825376785</v>
      </c>
      <c r="BM8" s="136">
        <f>+BM90</f>
        <v>740.91166385765905</v>
      </c>
      <c r="BN8" s="137">
        <f>+BN90</f>
        <v>754.66947203224311</v>
      </c>
      <c r="BO8" s="137">
        <f>+BO90</f>
        <v>892.75894049753117</v>
      </c>
      <c r="BP8" s="116">
        <f>+BP90</f>
        <v>718.75605681110608</v>
      </c>
      <c r="BQ8" s="82">
        <f>SUM(BM8:BP8)</f>
        <v>3107.0961331985395</v>
      </c>
      <c r="BR8" s="220"/>
      <c r="BS8" s="220"/>
      <c r="BT8" s="220"/>
      <c r="BU8" s="220"/>
      <c r="BV8" s="220"/>
      <c r="BW8" s="220"/>
      <c r="BX8" s="220"/>
      <c r="BY8" s="220"/>
      <c r="BZ8" s="220"/>
      <c r="CA8" s="220"/>
      <c r="CB8" s="220"/>
      <c r="CC8" s="220"/>
      <c r="CD8" s="220"/>
      <c r="CE8" s="220"/>
      <c r="CF8" s="220"/>
      <c r="CG8" s="220"/>
      <c r="CH8" s="220"/>
      <c r="CI8" s="220"/>
      <c r="CJ8" s="220"/>
      <c r="CK8" s="220"/>
      <c r="CL8" s="220"/>
      <c r="CM8" s="220"/>
      <c r="CN8" s="220"/>
      <c r="CO8" s="220"/>
      <c r="CP8" s="220"/>
      <c r="CQ8" s="220"/>
      <c r="CR8" s="220"/>
      <c r="CS8" s="220"/>
      <c r="CT8" s="220"/>
      <c r="CU8" s="220"/>
      <c r="CV8" s="220"/>
      <c r="CW8" s="220"/>
      <c r="CX8" s="220"/>
      <c r="CY8" s="220"/>
      <c r="CZ8" s="220"/>
    </row>
    <row r="9" spans="1:104" x14ac:dyDescent="0.2">
      <c r="A9" s="220"/>
      <c r="B9" s="220"/>
      <c r="C9" s="20" t="s">
        <v>113</v>
      </c>
      <c r="D9" s="42"/>
      <c r="E9" s="114">
        <v>395.12099999999998</v>
      </c>
      <c r="F9" s="115">
        <v>173.494</v>
      </c>
      <c r="G9" s="115">
        <v>109.398</v>
      </c>
      <c r="H9" s="131">
        <f>I9-SUM(E9:G9)</f>
        <v>415.94600000000003</v>
      </c>
      <c r="I9" s="117">
        <v>1093.9590000000001</v>
      </c>
      <c r="J9" s="114">
        <v>466.28300000000002</v>
      </c>
      <c r="K9" s="115">
        <v>165.89400000000001</v>
      </c>
      <c r="L9" s="115">
        <v>101.203</v>
      </c>
      <c r="M9" s="131">
        <f>N9-SUM(J9:L9)</f>
        <v>342.06599999999992</v>
      </c>
      <c r="N9" s="117">
        <v>1075.4459999999999</v>
      </c>
      <c r="O9" s="114">
        <v>428.19099999999997</v>
      </c>
      <c r="P9" s="115">
        <v>174.73</v>
      </c>
      <c r="Q9" s="115">
        <v>122.672</v>
      </c>
      <c r="R9" s="131">
        <f>S9-SUM(O9:Q9)</f>
        <v>362.15600000000006</v>
      </c>
      <c r="S9" s="117">
        <v>1087.749</v>
      </c>
      <c r="T9" s="114">
        <v>383.00400000000002</v>
      </c>
      <c r="U9" s="115">
        <v>147.398</v>
      </c>
      <c r="V9" s="115">
        <v>113.23</v>
      </c>
      <c r="W9" s="131">
        <f>X9-SUM(T9:V9)</f>
        <v>318.80299999999988</v>
      </c>
      <c r="X9" s="117">
        <v>962.43499999999995</v>
      </c>
      <c r="Y9" s="114">
        <v>383.92399999999998</v>
      </c>
      <c r="Z9" s="115">
        <v>209.29599999999999</v>
      </c>
      <c r="AA9" s="115">
        <v>137.34899999999999</v>
      </c>
      <c r="AB9" s="131">
        <f>AC9-SUM(Y9:AA9)</f>
        <v>350.13400000000001</v>
      </c>
      <c r="AC9" s="117">
        <v>1080.703</v>
      </c>
      <c r="AD9" s="114">
        <v>456.33699999999999</v>
      </c>
      <c r="AE9" s="115">
        <v>223.18700000000001</v>
      </c>
      <c r="AF9" s="115">
        <v>159.80799999999999</v>
      </c>
      <c r="AG9" s="131">
        <f>AH9-SUM(AD9:AF9)</f>
        <v>375.99200000000008</v>
      </c>
      <c r="AH9" s="117">
        <v>1215.3240000000001</v>
      </c>
      <c r="AI9" s="114">
        <v>373.20299999999997</v>
      </c>
      <c r="AJ9" s="115">
        <v>191.97499999999999</v>
      </c>
      <c r="AK9" s="115">
        <v>151.553</v>
      </c>
      <c r="AL9" s="131">
        <f>AM9-SUM(AI9:AK9)</f>
        <v>289.93500000000006</v>
      </c>
      <c r="AM9" s="117">
        <v>1006.6660000000001</v>
      </c>
      <c r="AN9" s="114">
        <v>328.49400000000003</v>
      </c>
      <c r="AO9" s="115">
        <v>178.48099999999999</v>
      </c>
      <c r="AP9" s="115">
        <v>152.76300000000001</v>
      </c>
      <c r="AQ9" s="131">
        <f>AR9-SUM(AN9:AP9)</f>
        <v>297.98299999999995</v>
      </c>
      <c r="AR9" s="117">
        <v>957.721</v>
      </c>
      <c r="AS9" s="114">
        <v>356.13600000000002</v>
      </c>
      <c r="AT9" s="115">
        <v>192.77699999999999</v>
      </c>
      <c r="AU9" s="115">
        <v>142.38900000000001</v>
      </c>
      <c r="AV9" s="131">
        <f>AW9-SUM(AS9:AU9)</f>
        <v>303.91200000000003</v>
      </c>
      <c r="AW9" s="117">
        <v>995.21400000000006</v>
      </c>
      <c r="AX9" s="136">
        <f>+AX117</f>
        <v>385.32744909495716</v>
      </c>
      <c r="AY9" s="137">
        <f>+AY117</f>
        <v>199.52908635896111</v>
      </c>
      <c r="AZ9" s="137">
        <f>+AZ117</f>
        <v>146.50796381867264</v>
      </c>
      <c r="BA9" s="116">
        <f>+BA117</f>
        <v>317.8070749064388</v>
      </c>
      <c r="BB9" s="82">
        <f>SUM(AX9:BA9)</f>
        <v>1049.1715741790297</v>
      </c>
      <c r="BC9" s="136">
        <f>+BC117</f>
        <v>392.17491674330051</v>
      </c>
      <c r="BD9" s="137">
        <f>+BD117</f>
        <v>201.7146639396569</v>
      </c>
      <c r="BE9" s="137">
        <f>+BE117</f>
        <v>147.94633755237584</v>
      </c>
      <c r="BF9" s="116">
        <f>+BF117</f>
        <v>322.41469521769721</v>
      </c>
      <c r="BG9" s="82">
        <f>SUM(BC9:BF9)</f>
        <v>1064.2506134530306</v>
      </c>
      <c r="BH9" s="136">
        <f>+BH117</f>
        <v>401.26312059722341</v>
      </c>
      <c r="BI9" s="137">
        <f>+BI117</f>
        <v>204.6474636948443</v>
      </c>
      <c r="BJ9" s="137">
        <f>+BJ117</f>
        <v>149.88291037151376</v>
      </c>
      <c r="BK9" s="116">
        <f>+BK117</f>
        <v>328.51805781191769</v>
      </c>
      <c r="BL9" s="82">
        <f>SUM(BH9:BK9)</f>
        <v>1084.3115524754992</v>
      </c>
      <c r="BM9" s="136">
        <f>+BM117</f>
        <v>410.33886107499654</v>
      </c>
      <c r="BN9" s="137">
        <f>+BN117</f>
        <v>207.57643896897628</v>
      </c>
      <c r="BO9" s="137">
        <f>+BO117</f>
        <v>151.8169856792083</v>
      </c>
      <c r="BP9" s="116">
        <f>+BP117</f>
        <v>334.61564017501485</v>
      </c>
      <c r="BQ9" s="82">
        <f>SUM(BM9:BP9)</f>
        <v>1104.3479258981961</v>
      </c>
      <c r="BR9" s="220"/>
      <c r="BS9" s="220"/>
      <c r="BT9" s="220"/>
      <c r="BU9" s="220"/>
      <c r="BV9" s="220"/>
      <c r="BW9" s="220"/>
      <c r="BX9" s="220"/>
      <c r="BY9" s="220"/>
      <c r="BZ9" s="220"/>
      <c r="CA9" s="220"/>
      <c r="CB9" s="220"/>
      <c r="CC9" s="220"/>
      <c r="CD9" s="220"/>
      <c r="CE9" s="220"/>
      <c r="CF9" s="220"/>
      <c r="CG9" s="220"/>
      <c r="CH9" s="220"/>
      <c r="CI9" s="220"/>
      <c r="CJ9" s="220"/>
      <c r="CK9" s="220"/>
      <c r="CL9" s="220"/>
      <c r="CM9" s="220"/>
      <c r="CN9" s="220"/>
      <c r="CO9" s="220"/>
      <c r="CP9" s="220"/>
      <c r="CQ9" s="220"/>
      <c r="CR9" s="220"/>
      <c r="CS9" s="220"/>
      <c r="CT9" s="220"/>
      <c r="CU9" s="220"/>
      <c r="CV9" s="220"/>
      <c r="CW9" s="220"/>
      <c r="CX9" s="220"/>
      <c r="CY9" s="220"/>
      <c r="CZ9" s="220"/>
    </row>
    <row r="10" spans="1:104" x14ac:dyDescent="0.2">
      <c r="A10" s="220"/>
      <c r="B10" s="220"/>
      <c r="C10" s="20" t="s">
        <v>313</v>
      </c>
      <c r="D10" s="42"/>
      <c r="E10" s="114">
        <v>10.013999999999999</v>
      </c>
      <c r="F10" s="115">
        <v>7.1319999999999997</v>
      </c>
      <c r="G10" s="115">
        <v>6.899</v>
      </c>
      <c r="H10" s="131">
        <f>I10-SUM(E10:G10)</f>
        <v>11.726999999999997</v>
      </c>
      <c r="I10" s="117">
        <v>35.771999999999998</v>
      </c>
      <c r="J10" s="114">
        <v>12.78</v>
      </c>
      <c r="K10" s="115">
        <v>7.7809999999999997</v>
      </c>
      <c r="L10" s="115">
        <v>4.0599999999999996</v>
      </c>
      <c r="M10" s="131">
        <f>N10-SUM(J10:L10)</f>
        <v>9.2579999999999991</v>
      </c>
      <c r="N10" s="117">
        <v>33.878999999999998</v>
      </c>
      <c r="O10" s="114">
        <v>12.103</v>
      </c>
      <c r="P10" s="115">
        <v>8.5790000000000006</v>
      </c>
      <c r="Q10" s="115">
        <v>7.7720000000000002</v>
      </c>
      <c r="R10" s="131">
        <f>S10-SUM(O10:Q10)</f>
        <v>10.228999999999999</v>
      </c>
      <c r="S10" s="117">
        <v>38.683</v>
      </c>
      <c r="T10" s="114">
        <v>10.769</v>
      </c>
      <c r="U10" s="115">
        <v>7.452</v>
      </c>
      <c r="V10" s="115">
        <v>8.0820000000000007</v>
      </c>
      <c r="W10" s="131">
        <f>X10-SUM(T10:V10)</f>
        <v>10.656000000000002</v>
      </c>
      <c r="X10" s="117">
        <v>36.959000000000003</v>
      </c>
      <c r="Y10" s="114">
        <v>12.185</v>
      </c>
      <c r="Z10" s="115">
        <v>9.2509999999999994</v>
      </c>
      <c r="AA10" s="115">
        <v>8.14</v>
      </c>
      <c r="AB10" s="131">
        <f>AC10-SUM(Y10:AA10)</f>
        <v>11.177999999999997</v>
      </c>
      <c r="AC10" s="117">
        <v>40.753999999999998</v>
      </c>
      <c r="AD10" s="114">
        <v>12.942</v>
      </c>
      <c r="AE10" s="115">
        <v>8.9480000000000004</v>
      </c>
      <c r="AF10" s="115">
        <v>8.2010000000000005</v>
      </c>
      <c r="AG10" s="131">
        <f>AH10-SUM(AD10:AF10)</f>
        <v>11.796999999999997</v>
      </c>
      <c r="AH10" s="117">
        <v>41.887999999999998</v>
      </c>
      <c r="AI10" s="114">
        <v>12.786</v>
      </c>
      <c r="AJ10" s="115">
        <v>9.0150000000000006</v>
      </c>
      <c r="AK10" s="115">
        <v>8.8460000000000001</v>
      </c>
      <c r="AL10" s="131">
        <f>AM10-SUM(AI10:AK10)</f>
        <v>10.943000000000001</v>
      </c>
      <c r="AM10" s="117">
        <v>41.59</v>
      </c>
      <c r="AN10" s="114">
        <v>11.885</v>
      </c>
      <c r="AO10" s="115">
        <v>8.8019999999999996</v>
      </c>
      <c r="AP10" s="115">
        <v>8.8979999999999997</v>
      </c>
      <c r="AQ10" s="131">
        <f>AR10-SUM(AN10:AP10)</f>
        <v>11.138000000000002</v>
      </c>
      <c r="AR10" s="117">
        <v>40.722999999999999</v>
      </c>
      <c r="AS10" s="114">
        <v>13.01</v>
      </c>
      <c r="AT10" s="115">
        <v>8.2189999999999994</v>
      </c>
      <c r="AU10" s="115">
        <v>10.3</v>
      </c>
      <c r="AV10" s="131">
        <f>AW10-SUM(AS10:AU10)</f>
        <v>11.958000000000002</v>
      </c>
      <c r="AW10" s="117">
        <v>43.487000000000002</v>
      </c>
      <c r="AX10" s="136">
        <f>+AS10</f>
        <v>13.01</v>
      </c>
      <c r="AY10" s="137">
        <f>+AT10</f>
        <v>8.2189999999999994</v>
      </c>
      <c r="AZ10" s="137">
        <f>+AU10</f>
        <v>10.3</v>
      </c>
      <c r="BA10" s="116">
        <f>+AV10</f>
        <v>11.958000000000002</v>
      </c>
      <c r="BB10" s="82">
        <f>SUM(AX10:BA10)</f>
        <v>43.487000000000002</v>
      </c>
      <c r="BC10" s="136">
        <f>+AX10</f>
        <v>13.01</v>
      </c>
      <c r="BD10" s="137">
        <f>+AY10</f>
        <v>8.2189999999999994</v>
      </c>
      <c r="BE10" s="137">
        <f>+AZ10</f>
        <v>10.3</v>
      </c>
      <c r="BF10" s="116">
        <f>+BA10</f>
        <v>11.958000000000002</v>
      </c>
      <c r="BG10" s="82">
        <f>SUM(BC10:BF10)</f>
        <v>43.487000000000002</v>
      </c>
      <c r="BH10" s="136">
        <f>+BC10</f>
        <v>13.01</v>
      </c>
      <c r="BI10" s="137">
        <f>+BD10</f>
        <v>8.2189999999999994</v>
      </c>
      <c r="BJ10" s="137">
        <f>+BE10</f>
        <v>10.3</v>
      </c>
      <c r="BK10" s="116">
        <f>+BF10</f>
        <v>11.958000000000002</v>
      </c>
      <c r="BL10" s="82">
        <f>SUM(BH10:BK10)</f>
        <v>43.487000000000002</v>
      </c>
      <c r="BM10" s="136">
        <f>+BH10</f>
        <v>13.01</v>
      </c>
      <c r="BN10" s="137">
        <f>+BI10</f>
        <v>8.2189999999999994</v>
      </c>
      <c r="BO10" s="137">
        <f>+BJ10</f>
        <v>10.3</v>
      </c>
      <c r="BP10" s="116">
        <f>+BK10</f>
        <v>11.958000000000002</v>
      </c>
      <c r="BQ10" s="82">
        <f>SUM(BM10:BP10)</f>
        <v>43.487000000000002</v>
      </c>
      <c r="BR10" s="220"/>
      <c r="BS10" s="220"/>
      <c r="BT10" s="220"/>
      <c r="BU10" s="220"/>
      <c r="BV10" s="220"/>
      <c r="BW10" s="220"/>
      <c r="BX10" s="220"/>
      <c r="BY10" s="220"/>
      <c r="BZ10" s="220"/>
      <c r="CA10" s="220"/>
      <c r="CB10" s="220"/>
      <c r="CC10" s="220"/>
      <c r="CD10" s="220"/>
      <c r="CE10" s="220"/>
      <c r="CF10" s="220"/>
      <c r="CG10" s="220"/>
      <c r="CH10" s="220"/>
      <c r="CI10" s="220"/>
      <c r="CJ10" s="220"/>
      <c r="CK10" s="220"/>
      <c r="CL10" s="220"/>
      <c r="CM10" s="220"/>
      <c r="CN10" s="220"/>
      <c r="CO10" s="220"/>
      <c r="CP10" s="220"/>
      <c r="CQ10" s="220"/>
      <c r="CR10" s="220"/>
      <c r="CS10" s="220"/>
      <c r="CT10" s="220"/>
      <c r="CU10" s="220"/>
      <c r="CV10" s="220"/>
      <c r="CW10" s="220"/>
      <c r="CX10" s="220"/>
      <c r="CY10" s="220"/>
      <c r="CZ10" s="220"/>
    </row>
    <row r="11" spans="1:104" x14ac:dyDescent="0.2">
      <c r="A11" s="85"/>
      <c r="B11" s="85"/>
      <c r="C11" s="26" t="s">
        <v>114</v>
      </c>
      <c r="D11" s="86"/>
      <c r="E11" s="121">
        <f t="shared" ref="E11:P11" si="0">SUM(E8:E10)</f>
        <v>1002.478</v>
      </c>
      <c r="F11" s="122">
        <f t="shared" si="0"/>
        <v>769.09299999999996</v>
      </c>
      <c r="G11" s="122">
        <f t="shared" si="0"/>
        <v>887.96</v>
      </c>
      <c r="H11" s="123">
        <f t="shared" si="0"/>
        <v>1148.778</v>
      </c>
      <c r="I11" s="86">
        <f t="shared" si="0"/>
        <v>3808.3090000000002</v>
      </c>
      <c r="J11" s="121">
        <f t="shared" si="0"/>
        <v>1202.6969999999999</v>
      </c>
      <c r="K11" s="122">
        <f t="shared" si="0"/>
        <v>947.29599999999994</v>
      </c>
      <c r="L11" s="122">
        <f t="shared" si="0"/>
        <v>954.96999999999991</v>
      </c>
      <c r="M11" s="123">
        <f t="shared" si="0"/>
        <v>1059.4069999999999</v>
      </c>
      <c r="N11" s="86">
        <f t="shared" si="0"/>
        <v>4164.37</v>
      </c>
      <c r="O11" s="121">
        <f t="shared" si="0"/>
        <v>1144.4470000000001</v>
      </c>
      <c r="P11" s="122">
        <f t="shared" si="0"/>
        <v>933.1</v>
      </c>
      <c r="Q11" s="122">
        <f t="shared" ref="Q11:V11" si="1">SUM(Q8:Q10)</f>
        <v>1063.934</v>
      </c>
      <c r="R11" s="123">
        <f t="shared" si="1"/>
        <v>1099.3209999999997</v>
      </c>
      <c r="S11" s="86">
        <f t="shared" si="1"/>
        <v>4240.8019999999997</v>
      </c>
      <c r="T11" s="121">
        <f t="shared" si="1"/>
        <v>1076.0519999999999</v>
      </c>
      <c r="U11" s="122">
        <f t="shared" si="1"/>
        <v>869.50099999999998</v>
      </c>
      <c r="V11" s="122">
        <f t="shared" si="1"/>
        <v>992.28700000000003</v>
      </c>
      <c r="W11" s="123">
        <f t="shared" ref="W11:AD11" si="2">SUM(W8:W10)</f>
        <v>1031.453</v>
      </c>
      <c r="X11" s="86">
        <f t="shared" si="2"/>
        <v>3969.2929999999997</v>
      </c>
      <c r="Y11" s="121">
        <f t="shared" si="2"/>
        <v>1117.4569999999999</v>
      </c>
      <c r="Z11" s="122">
        <f t="shared" si="2"/>
        <v>966.42899999999986</v>
      </c>
      <c r="AA11" s="122">
        <f t="shared" si="2"/>
        <v>1044.3000000000002</v>
      </c>
      <c r="AB11" s="123">
        <f t="shared" si="2"/>
        <v>1074.4419999999996</v>
      </c>
      <c r="AC11" s="86">
        <f t="shared" si="2"/>
        <v>4202.6279999999997</v>
      </c>
      <c r="AD11" s="121">
        <f t="shared" si="2"/>
        <v>1203.5430000000001</v>
      </c>
      <c r="AE11" s="122">
        <f t="shared" ref="AE11:AM11" si="3">SUM(AE8:AE10)</f>
        <v>993.70399999999995</v>
      </c>
      <c r="AF11" s="122">
        <f t="shared" si="3"/>
        <v>1049.1109999999999</v>
      </c>
      <c r="AG11" s="123">
        <f t="shared" si="3"/>
        <v>1136.7910000000002</v>
      </c>
      <c r="AH11" s="86">
        <f t="shared" si="3"/>
        <v>4383.1490000000003</v>
      </c>
      <c r="AI11" s="121">
        <f t="shared" si="3"/>
        <v>1135.45</v>
      </c>
      <c r="AJ11" s="122">
        <f t="shared" si="3"/>
        <v>952.52099999999996</v>
      </c>
      <c r="AK11" s="122">
        <f t="shared" si="3"/>
        <v>1044.704</v>
      </c>
      <c r="AL11" s="123">
        <f t="shared" si="3"/>
        <v>1030.8380000000002</v>
      </c>
      <c r="AM11" s="86">
        <f t="shared" si="3"/>
        <v>4163.5129999999999</v>
      </c>
      <c r="AN11" s="121">
        <f>SUM(AN8:AN10)</f>
        <v>1057.8410000000001</v>
      </c>
      <c r="AO11" s="122">
        <f>SUM(AO8:AO10)</f>
        <v>909.85199999999998</v>
      </c>
      <c r="AP11" s="122">
        <f t="shared" ref="AP11:AU11" si="4">SUM(AP8:AP10)</f>
        <v>1059.1769999999999</v>
      </c>
      <c r="AQ11" s="123">
        <f t="shared" si="4"/>
        <v>1020.9259999999998</v>
      </c>
      <c r="AR11" s="86">
        <f t="shared" si="4"/>
        <v>4047.7959999999998</v>
      </c>
      <c r="AS11" s="121">
        <f>SUM(AS8:AS10)</f>
        <v>1080.5340000000001</v>
      </c>
      <c r="AT11" s="122">
        <f>SUM(AT8:AT10)</f>
        <v>930.91599999999994</v>
      </c>
      <c r="AU11" s="130">
        <f t="shared" si="4"/>
        <v>1030.2930000000001</v>
      </c>
      <c r="AV11" s="123">
        <f t="shared" ref="AV11:AW11" si="5">SUM(AV8:AV10)</f>
        <v>1000.7659999999997</v>
      </c>
      <c r="AW11" s="86">
        <f t="shared" si="5"/>
        <v>4042.509</v>
      </c>
      <c r="AX11" s="121">
        <f t="shared" ref="AX11:BG11" si="6">SUM(AX8:AX10)</f>
        <v>1102.0827539675388</v>
      </c>
      <c r="AY11" s="130">
        <f t="shared" si="6"/>
        <v>923.99462053154264</v>
      </c>
      <c r="AZ11" s="130">
        <f t="shared" si="6"/>
        <v>1003.9154538287542</v>
      </c>
      <c r="BA11" s="123">
        <f t="shared" si="6"/>
        <v>1011.3149115965203</v>
      </c>
      <c r="BB11" s="86">
        <f t="shared" si="6"/>
        <v>4041.3077399243557</v>
      </c>
      <c r="BC11" s="121">
        <f t="shared" si="6"/>
        <v>1121.2081954312896</v>
      </c>
      <c r="BD11" s="130">
        <f t="shared" si="6"/>
        <v>938.90025750089592</v>
      </c>
      <c r="BE11" s="130">
        <f t="shared" si="6"/>
        <v>1020.6230055532085</v>
      </c>
      <c r="BF11" s="123">
        <f t="shared" si="6"/>
        <v>1028.2099358402299</v>
      </c>
      <c r="BG11" s="86">
        <f t="shared" si="6"/>
        <v>4108.9413943256241</v>
      </c>
      <c r="BH11" s="121">
        <f t="shared" ref="BH11:BQ11" si="7">SUM(BH8:BH10)</f>
        <v>1142.6395680351582</v>
      </c>
      <c r="BI11" s="130">
        <f t="shared" si="7"/>
        <v>954.62091679321236</v>
      </c>
      <c r="BJ11" s="130">
        <f t="shared" si="7"/>
        <v>1037.9119293080744</v>
      </c>
      <c r="BK11" s="123">
        <f t="shared" si="7"/>
        <v>1046.6659208767326</v>
      </c>
      <c r="BL11" s="86">
        <f t="shared" si="7"/>
        <v>4181.838335013178</v>
      </c>
      <c r="BM11" s="121">
        <f t="shared" si="7"/>
        <v>1164.2605249326555</v>
      </c>
      <c r="BN11" s="130">
        <f t="shared" si="7"/>
        <v>970.46491100121943</v>
      </c>
      <c r="BO11" s="130">
        <f t="shared" si="7"/>
        <v>1054.8759261767393</v>
      </c>
      <c r="BP11" s="123">
        <f t="shared" si="7"/>
        <v>1065.329696986121</v>
      </c>
      <c r="BQ11" s="86">
        <f t="shared" si="7"/>
        <v>4254.9310590967352</v>
      </c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</row>
    <row r="12" spans="1:104" x14ac:dyDescent="0.2">
      <c r="A12" s="220"/>
      <c r="B12" s="220"/>
      <c r="C12" s="20"/>
      <c r="D12" s="82"/>
      <c r="E12" s="114"/>
      <c r="F12" s="133"/>
      <c r="G12" s="133"/>
      <c r="H12" s="131"/>
      <c r="I12" s="117"/>
      <c r="J12" s="114"/>
      <c r="K12" s="133"/>
      <c r="L12" s="133"/>
      <c r="M12" s="131"/>
      <c r="N12" s="117"/>
      <c r="O12" s="114"/>
      <c r="P12" s="115"/>
      <c r="Q12" s="115"/>
      <c r="R12" s="131"/>
      <c r="S12" s="117"/>
      <c r="T12" s="114"/>
      <c r="U12" s="115"/>
      <c r="V12" s="115"/>
      <c r="W12" s="131"/>
      <c r="X12" s="117"/>
      <c r="Y12" s="114"/>
      <c r="Z12" s="115"/>
      <c r="AA12" s="115"/>
      <c r="AB12" s="131"/>
      <c r="AC12" s="117"/>
      <c r="AD12" s="114"/>
      <c r="AE12" s="115"/>
      <c r="AF12" s="115"/>
      <c r="AG12" s="131"/>
      <c r="AH12" s="117"/>
      <c r="AI12" s="114"/>
      <c r="AJ12" s="115"/>
      <c r="AK12" s="115"/>
      <c r="AL12" s="131"/>
      <c r="AM12" s="117"/>
      <c r="AN12" s="114"/>
      <c r="AO12" s="115"/>
      <c r="AP12" s="115"/>
      <c r="AQ12" s="131"/>
      <c r="AR12" s="117"/>
      <c r="AS12" s="114"/>
      <c r="AT12" s="115"/>
      <c r="AU12" s="137"/>
      <c r="AV12" s="131"/>
      <c r="AW12" s="117"/>
      <c r="AX12" s="136"/>
      <c r="AY12" s="137"/>
      <c r="AZ12" s="137"/>
      <c r="BA12" s="116"/>
      <c r="BB12" s="82"/>
      <c r="BC12" s="136"/>
      <c r="BD12" s="137"/>
      <c r="BE12" s="137"/>
      <c r="BF12" s="116"/>
      <c r="BG12" s="82"/>
      <c r="BH12" s="136"/>
      <c r="BI12" s="137"/>
      <c r="BJ12" s="137"/>
      <c r="BK12" s="116"/>
      <c r="BL12" s="82"/>
      <c r="BM12" s="136"/>
      <c r="BN12" s="137"/>
      <c r="BO12" s="137"/>
      <c r="BP12" s="116"/>
      <c r="BQ12" s="82"/>
      <c r="BR12" s="220"/>
      <c r="BS12" s="220"/>
      <c r="BT12" s="220"/>
      <c r="BU12" s="220"/>
      <c r="BV12" s="220"/>
      <c r="BW12" s="220"/>
      <c r="BX12" s="220"/>
      <c r="BY12" s="220"/>
      <c r="BZ12" s="220"/>
      <c r="CA12" s="220"/>
      <c r="CB12" s="220"/>
      <c r="CC12" s="220"/>
      <c r="CD12" s="220"/>
      <c r="CE12" s="220"/>
      <c r="CF12" s="220"/>
      <c r="CG12" s="220"/>
      <c r="CH12" s="220"/>
      <c r="CI12" s="220"/>
      <c r="CJ12" s="220"/>
      <c r="CK12" s="220"/>
      <c r="CL12" s="220"/>
      <c r="CM12" s="220"/>
      <c r="CN12" s="220"/>
      <c r="CO12" s="220"/>
      <c r="CP12" s="220"/>
      <c r="CQ12" s="220"/>
      <c r="CR12" s="220"/>
      <c r="CS12" s="220"/>
      <c r="CT12" s="220"/>
      <c r="CU12" s="220"/>
      <c r="CV12" s="220"/>
      <c r="CW12" s="220"/>
      <c r="CX12" s="220"/>
      <c r="CY12" s="220"/>
      <c r="CZ12" s="220"/>
    </row>
    <row r="13" spans="1:104" x14ac:dyDescent="0.2">
      <c r="A13" s="220"/>
      <c r="B13" s="220"/>
      <c r="C13" s="20" t="s">
        <v>115</v>
      </c>
      <c r="D13" s="82"/>
      <c r="E13" s="114">
        <v>307.26900000000001</v>
      </c>
      <c r="F13" s="115">
        <v>300.79899999999998</v>
      </c>
      <c r="G13" s="115">
        <v>397.904</v>
      </c>
      <c r="H13" s="131">
        <f>I13-SUM(E13:G13)</f>
        <v>393.56899999999996</v>
      </c>
      <c r="I13" s="117">
        <v>1399.5409999999999</v>
      </c>
      <c r="J13" s="114">
        <v>373.851</v>
      </c>
      <c r="K13" s="115">
        <v>408.113</v>
      </c>
      <c r="L13" s="115">
        <v>379.87099999999998</v>
      </c>
      <c r="M13" s="131">
        <f>N13-SUM(J13:L13)</f>
        <v>351.49900000000002</v>
      </c>
      <c r="N13" s="117">
        <v>1513.3340000000001</v>
      </c>
      <c r="O13" s="114">
        <v>323.79700000000003</v>
      </c>
      <c r="P13" s="115">
        <v>352.21600000000001</v>
      </c>
      <c r="Q13" s="115">
        <v>413.09300000000002</v>
      </c>
      <c r="R13" s="131">
        <f>S13-SUM(O13:Q13)</f>
        <v>336.06700000000001</v>
      </c>
      <c r="S13" s="117">
        <v>1425.173</v>
      </c>
      <c r="T13" s="114">
        <v>310.899</v>
      </c>
      <c r="U13" s="115">
        <v>294.69799999999998</v>
      </c>
      <c r="V13" s="115">
        <v>315.31900000000002</v>
      </c>
      <c r="W13" s="131">
        <f>X13-SUM(T13:V13)</f>
        <v>314.42700000000013</v>
      </c>
      <c r="X13" s="117">
        <v>1235.3430000000001</v>
      </c>
      <c r="Y13" s="114">
        <v>319.88099999999997</v>
      </c>
      <c r="Z13" s="115">
        <v>322.78699999999998</v>
      </c>
      <c r="AA13" s="115">
        <v>355.72699999999998</v>
      </c>
      <c r="AB13" s="131">
        <f>AC13-SUM(Y13:AA13)</f>
        <v>337.42300000000012</v>
      </c>
      <c r="AC13" s="117">
        <v>1335.818</v>
      </c>
      <c r="AD13" s="114">
        <v>334.47</v>
      </c>
      <c r="AE13" s="115">
        <v>349.07</v>
      </c>
      <c r="AF13" s="115">
        <v>368.86</v>
      </c>
      <c r="AG13" s="131">
        <f>AH13-SUM(AD13:AF13)</f>
        <v>353.09799999999996</v>
      </c>
      <c r="AH13" s="117">
        <v>1405.498</v>
      </c>
      <c r="AI13" s="114">
        <v>322.75799999999998</v>
      </c>
      <c r="AJ13" s="115">
        <v>296.00200000000001</v>
      </c>
      <c r="AK13" s="115">
        <v>311.34699999999998</v>
      </c>
      <c r="AL13" s="131">
        <f>AM13-SUM(AI13:AK13)</f>
        <v>316.55899999999997</v>
      </c>
      <c r="AM13" s="117">
        <v>1246.6659999999999</v>
      </c>
      <c r="AN13" s="114">
        <v>295.93</v>
      </c>
      <c r="AO13" s="115">
        <v>275.95499999999998</v>
      </c>
      <c r="AP13" s="115">
        <v>318.62400000000002</v>
      </c>
      <c r="AQ13" s="131">
        <f>AR13-SUM(AN13:AP13)</f>
        <v>305.9079999999999</v>
      </c>
      <c r="AR13" s="117">
        <v>1196.4169999999999</v>
      </c>
      <c r="AS13" s="114">
        <v>288.827</v>
      </c>
      <c r="AT13" s="115">
        <v>279.52199999999999</v>
      </c>
      <c r="AU13" s="115">
        <v>288.99700000000001</v>
      </c>
      <c r="AV13" s="131">
        <f>AW13-SUM(AS13:AU13)</f>
        <v>269.31400000000008</v>
      </c>
      <c r="AW13" s="117">
        <v>1126.6600000000001</v>
      </c>
      <c r="AX13" s="136">
        <f>+AX108</f>
        <v>292.28613369395379</v>
      </c>
      <c r="AY13" s="137">
        <f>+AY108</f>
        <v>278.43785494048433</v>
      </c>
      <c r="AZ13" s="137">
        <f>+AZ108</f>
        <v>291.15353576801891</v>
      </c>
      <c r="BA13" s="116">
        <f>+BA108</f>
        <v>270.57833088604082</v>
      </c>
      <c r="BB13" s="82">
        <f>SUM(AX13:BA13)</f>
        <v>1132.4558552884978</v>
      </c>
      <c r="BC13" s="136">
        <f>+BC108</f>
        <v>292.81889269393923</v>
      </c>
      <c r="BD13" s="137">
        <f>+BD108</f>
        <v>278.94653375685238</v>
      </c>
      <c r="BE13" s="137">
        <f>+BE108</f>
        <v>291.87777236344527</v>
      </c>
      <c r="BF13" s="116">
        <f>+BF108</f>
        <v>271.28389776105632</v>
      </c>
      <c r="BG13" s="82">
        <f>SUM(BC13:BF13)</f>
        <v>1134.9270965752933</v>
      </c>
      <c r="BH13" s="136">
        <f>+BH108</f>
        <v>293.35298359142473</v>
      </c>
      <c r="BI13" s="137">
        <f>+BI108</f>
        <v>279.45648427026129</v>
      </c>
      <c r="BJ13" s="137">
        <f>+BJ108</f>
        <v>292.60381955036013</v>
      </c>
      <c r="BK13" s="116">
        <f>+BK108</f>
        <v>271.99122855325942</v>
      </c>
      <c r="BL13" s="82">
        <f>SUM(BH13:BK13)</f>
        <v>1137.4045159653056</v>
      </c>
      <c r="BM13" s="136">
        <f>+BM108</f>
        <v>293.88840971615377</v>
      </c>
      <c r="BN13" s="137">
        <f>+BN108</f>
        <v>279.96770965995381</v>
      </c>
      <c r="BO13" s="137">
        <f>+BO108</f>
        <v>293.33168185524227</v>
      </c>
      <c r="BP13" s="116">
        <f>+BP108</f>
        <v>272.70032767244294</v>
      </c>
      <c r="BQ13" s="82">
        <f>SUM(BM13:BP13)</f>
        <v>1139.8881289037927</v>
      </c>
      <c r="BR13" s="220"/>
      <c r="BS13" s="220"/>
      <c r="BT13" s="220"/>
      <c r="BU13" s="220"/>
      <c r="BV13" s="220"/>
      <c r="BW13" s="220"/>
      <c r="BX13" s="220"/>
      <c r="BY13" s="220"/>
      <c r="BZ13" s="220"/>
      <c r="CA13" s="220"/>
      <c r="CB13" s="220"/>
      <c r="CC13" s="220"/>
      <c r="CD13" s="220"/>
      <c r="CE13" s="220"/>
      <c r="CF13" s="220"/>
      <c r="CG13" s="220"/>
      <c r="CH13" s="220"/>
      <c r="CI13" s="220"/>
      <c r="CJ13" s="220"/>
      <c r="CK13" s="220"/>
      <c r="CL13" s="220"/>
      <c r="CM13" s="220"/>
      <c r="CN13" s="220"/>
      <c r="CO13" s="220"/>
      <c r="CP13" s="220"/>
      <c r="CQ13" s="220"/>
      <c r="CR13" s="220"/>
      <c r="CS13" s="220"/>
      <c r="CT13" s="220"/>
      <c r="CU13" s="220"/>
      <c r="CV13" s="220"/>
      <c r="CW13" s="220"/>
      <c r="CX13" s="220"/>
      <c r="CY13" s="220"/>
      <c r="CZ13" s="220"/>
    </row>
    <row r="14" spans="1:104" x14ac:dyDescent="0.2">
      <c r="A14" s="220"/>
      <c r="B14" s="220"/>
      <c r="C14" s="20" t="s">
        <v>116</v>
      </c>
      <c r="D14" s="42"/>
      <c r="E14" s="114">
        <v>282.43599999999998</v>
      </c>
      <c r="F14" s="115">
        <v>92.366</v>
      </c>
      <c r="G14" s="115">
        <v>40.820999999999998</v>
      </c>
      <c r="H14" s="131">
        <f>I14-SUM(E14:G14)</f>
        <v>296.45600000000002</v>
      </c>
      <c r="I14" s="117">
        <v>712.07899999999995</v>
      </c>
      <c r="J14" s="114">
        <v>340.709</v>
      </c>
      <c r="K14" s="115">
        <v>82.120999999999995</v>
      </c>
      <c r="L14" s="115">
        <v>31.266999999999999</v>
      </c>
      <c r="M14" s="131">
        <f>N14-SUM(J14:L14)</f>
        <v>231.11300000000006</v>
      </c>
      <c r="N14" s="117">
        <v>685.21</v>
      </c>
      <c r="O14" s="114">
        <v>304.93799999999999</v>
      </c>
      <c r="P14" s="115">
        <v>94.022000000000006</v>
      </c>
      <c r="Q14" s="115">
        <v>51.103999999999999</v>
      </c>
      <c r="R14" s="131">
        <f>S14-SUM(O14:Q14)</f>
        <v>242.03200000000004</v>
      </c>
      <c r="S14" s="117">
        <v>692.096</v>
      </c>
      <c r="T14" s="114">
        <v>256.87700000000001</v>
      </c>
      <c r="U14" s="115">
        <v>57.091000000000001</v>
      </c>
      <c r="V14" s="115">
        <v>24.661999999999999</v>
      </c>
      <c r="W14" s="131">
        <f>X14-SUM(T14:V14)</f>
        <v>193.78700000000003</v>
      </c>
      <c r="X14" s="117">
        <v>532.41700000000003</v>
      </c>
      <c r="Y14" s="114">
        <v>249.62</v>
      </c>
      <c r="Z14" s="115">
        <v>109.697</v>
      </c>
      <c r="AA14" s="115">
        <v>43.881</v>
      </c>
      <c r="AB14" s="131">
        <f>AC14-SUM(Y14:AA14)</f>
        <v>217.92200000000003</v>
      </c>
      <c r="AC14" s="117">
        <v>621.12</v>
      </c>
      <c r="AD14" s="114">
        <v>309.80500000000001</v>
      </c>
      <c r="AE14" s="115">
        <v>117.28100000000001</v>
      </c>
      <c r="AF14" s="115">
        <v>60.073</v>
      </c>
      <c r="AG14" s="131">
        <f>AH14-SUM(AD14:AF14)</f>
        <v>238.59500000000003</v>
      </c>
      <c r="AH14" s="117">
        <v>725.75400000000002</v>
      </c>
      <c r="AI14" s="114">
        <v>228.744</v>
      </c>
      <c r="AJ14" s="115">
        <v>81.128</v>
      </c>
      <c r="AK14" s="115">
        <v>44.953000000000003</v>
      </c>
      <c r="AL14" s="131">
        <f>AM14-SUM(AI14:AK14)</f>
        <v>146.99899999999997</v>
      </c>
      <c r="AM14" s="117">
        <v>501.82400000000001</v>
      </c>
      <c r="AN14" s="114">
        <v>168.476</v>
      </c>
      <c r="AO14" s="115">
        <v>59.326999999999998</v>
      </c>
      <c r="AP14" s="115">
        <v>42.378999999999998</v>
      </c>
      <c r="AQ14" s="131">
        <f>AR14-SUM(AN14:AP14)</f>
        <v>155.22800000000001</v>
      </c>
      <c r="AR14" s="117">
        <v>425.41</v>
      </c>
      <c r="AS14" s="114">
        <v>196.40199999999999</v>
      </c>
      <c r="AT14" s="115">
        <v>70.257999999999996</v>
      </c>
      <c r="AU14" s="115">
        <v>37.243000000000002</v>
      </c>
      <c r="AV14" s="131">
        <f>AW14-SUM(AS14:AU14)</f>
        <v>154.81400000000002</v>
      </c>
      <c r="AW14" s="117">
        <v>458.71699999999998</v>
      </c>
      <c r="AX14" s="136">
        <f>+AX134</f>
        <v>205.92749699999996</v>
      </c>
      <c r="AY14" s="137">
        <f>+AY134</f>
        <v>70.433644999999999</v>
      </c>
      <c r="AZ14" s="137">
        <f>+AZ134</f>
        <v>37.1498925</v>
      </c>
      <c r="BA14" s="116">
        <f>+BA134</f>
        <v>155.97510500000004</v>
      </c>
      <c r="BB14" s="82">
        <f>SUM(AX14:BA14)</f>
        <v>469.48613950000004</v>
      </c>
      <c r="BC14" s="136">
        <f>+BC134</f>
        <v>205.4126782575</v>
      </c>
      <c r="BD14" s="137">
        <f>+BD134</f>
        <v>70.257560887500006</v>
      </c>
      <c r="BE14" s="137">
        <f>+BE134</f>
        <v>37.057017768750001</v>
      </c>
      <c r="BF14" s="116">
        <f>+BF134</f>
        <v>155.58516723750003</v>
      </c>
      <c r="BG14" s="82">
        <f>SUM(BC14:BF14)</f>
        <v>468.31242415125007</v>
      </c>
      <c r="BH14" s="136">
        <f>+BH134</f>
        <v>204.8991465618563</v>
      </c>
      <c r="BI14" s="137">
        <f>+BI134</f>
        <v>70.081916985281268</v>
      </c>
      <c r="BJ14" s="137">
        <f>+BJ134</f>
        <v>36.96437522432813</v>
      </c>
      <c r="BK14" s="116">
        <f>+BK134</f>
        <v>155.19620431940629</v>
      </c>
      <c r="BL14" s="82">
        <f>SUM(BH14:BK14)</f>
        <v>467.14164309087198</v>
      </c>
      <c r="BM14" s="136">
        <f>+BM134</f>
        <v>204.38689869545163</v>
      </c>
      <c r="BN14" s="137">
        <f>+BN134</f>
        <v>69.906712192818077</v>
      </c>
      <c r="BO14" s="137">
        <f>+BO134</f>
        <v>36.871964286267307</v>
      </c>
      <c r="BP14" s="116">
        <f>+BP134</f>
        <v>154.8082138086078</v>
      </c>
      <c r="BQ14" s="82">
        <f>SUM(BM14:BP14)</f>
        <v>465.9737889831448</v>
      </c>
      <c r="BR14" s="220"/>
      <c r="BS14" s="220"/>
      <c r="BT14" s="220"/>
      <c r="BU14" s="220"/>
      <c r="BV14" s="220"/>
      <c r="BW14" s="220"/>
      <c r="BX14" s="220"/>
      <c r="BY14" s="220"/>
      <c r="BZ14" s="220"/>
      <c r="CA14" s="220"/>
      <c r="CB14" s="220"/>
      <c r="CC14" s="220"/>
      <c r="CD14" s="220"/>
      <c r="CE14" s="220"/>
      <c r="CF14" s="220"/>
      <c r="CG14" s="220"/>
      <c r="CH14" s="220"/>
      <c r="CI14" s="220"/>
      <c r="CJ14" s="220"/>
      <c r="CK14" s="220"/>
      <c r="CL14" s="220"/>
      <c r="CM14" s="220"/>
      <c r="CN14" s="220"/>
      <c r="CO14" s="220"/>
      <c r="CP14" s="220"/>
      <c r="CQ14" s="220"/>
      <c r="CR14" s="220"/>
      <c r="CS14" s="220"/>
      <c r="CT14" s="220"/>
      <c r="CU14" s="220"/>
      <c r="CV14" s="220"/>
      <c r="CW14" s="220"/>
      <c r="CX14" s="220"/>
      <c r="CY14" s="220"/>
      <c r="CZ14" s="220"/>
    </row>
    <row r="15" spans="1:104" x14ac:dyDescent="0.2">
      <c r="A15" s="220"/>
      <c r="B15" s="220"/>
      <c r="C15" s="20" t="s">
        <v>314</v>
      </c>
      <c r="D15" s="42"/>
      <c r="E15" s="114">
        <v>4.008</v>
      </c>
      <c r="F15" s="115">
        <v>2.5419999999999998</v>
      </c>
      <c r="G15" s="115">
        <v>3.1709999999999998</v>
      </c>
      <c r="H15" s="131">
        <f>I15-SUM(E15:G15)</f>
        <v>5.7050000000000001</v>
      </c>
      <c r="I15" s="117">
        <v>15.426</v>
      </c>
      <c r="J15" s="114">
        <v>6.0730000000000004</v>
      </c>
      <c r="K15" s="115">
        <v>2.931</v>
      </c>
      <c r="L15" s="115">
        <v>3.3959999999999999</v>
      </c>
      <c r="M15" s="131">
        <f>N15-SUM(J15:L15)</f>
        <v>4.5949999999999989</v>
      </c>
      <c r="N15" s="117">
        <v>16.995000000000001</v>
      </c>
      <c r="O15" s="114">
        <v>5.1210000000000004</v>
      </c>
      <c r="P15" s="115">
        <v>3.9889999999999999</v>
      </c>
      <c r="Q15" s="115">
        <v>3.7930000000000001</v>
      </c>
      <c r="R15" s="131">
        <f>S15-SUM(O15:Q15)</f>
        <v>4.6490000000000009</v>
      </c>
      <c r="S15" s="117">
        <v>17.552</v>
      </c>
      <c r="T15" s="114">
        <v>4.1669999999999998</v>
      </c>
      <c r="U15" s="115">
        <v>2.9279999999999999</v>
      </c>
      <c r="V15" s="115">
        <v>3.65</v>
      </c>
      <c r="W15" s="131">
        <f>X15-SUM(T15:V15)</f>
        <v>4.6930000000000014</v>
      </c>
      <c r="X15" s="117">
        <v>15.438000000000001</v>
      </c>
      <c r="Y15" s="114">
        <v>4.8049999999999997</v>
      </c>
      <c r="Z15" s="115">
        <v>4.008</v>
      </c>
      <c r="AA15" s="115">
        <v>3.3980000000000001</v>
      </c>
      <c r="AB15" s="131">
        <f>AC15-SUM(Y15:AA15)</f>
        <v>4.828000000000003</v>
      </c>
      <c r="AC15" s="117">
        <v>17.039000000000001</v>
      </c>
      <c r="AD15" s="114">
        <v>4.9779999999999998</v>
      </c>
      <c r="AE15" s="115">
        <v>3.4350000000000001</v>
      </c>
      <c r="AF15" s="115">
        <v>3.5379999999999998</v>
      </c>
      <c r="AG15" s="131">
        <f>AH15-SUM(AD15:AF15)</f>
        <v>4.879999999999999</v>
      </c>
      <c r="AH15" s="117">
        <v>16.831</v>
      </c>
      <c r="AI15" s="114">
        <v>5.6929999999999996</v>
      </c>
      <c r="AJ15" s="115">
        <v>3.649</v>
      </c>
      <c r="AK15" s="115">
        <v>3.5960000000000001</v>
      </c>
      <c r="AL15" s="131">
        <f>AM15-SUM(AI15:AK15)</f>
        <v>4.8500000000000014</v>
      </c>
      <c r="AM15" s="117">
        <v>17.788</v>
      </c>
      <c r="AN15" s="114">
        <v>3.7810000000000001</v>
      </c>
      <c r="AO15" s="115">
        <v>3.4289999999999998</v>
      </c>
      <c r="AP15" s="115">
        <v>3.6640000000000001</v>
      </c>
      <c r="AQ15" s="131">
        <f>AR15-SUM(AN15:AP15)</f>
        <v>4.9979999999999993</v>
      </c>
      <c r="AR15" s="117">
        <v>15.872</v>
      </c>
      <c r="AS15" s="114">
        <v>4.3860000000000001</v>
      </c>
      <c r="AT15" s="115">
        <v>3.5070000000000001</v>
      </c>
      <c r="AU15" s="115">
        <v>4.0979999999999999</v>
      </c>
      <c r="AV15" s="131">
        <f>AW15-SUM(AS15:AU15)</f>
        <v>4.1550000000000011</v>
      </c>
      <c r="AW15" s="117">
        <v>16.146000000000001</v>
      </c>
      <c r="AX15" s="136">
        <f>+AS15</f>
        <v>4.3860000000000001</v>
      </c>
      <c r="AY15" s="137">
        <f>+AT15</f>
        <v>3.5070000000000001</v>
      </c>
      <c r="AZ15" s="137">
        <f>+AU15</f>
        <v>4.0979999999999999</v>
      </c>
      <c r="BA15" s="116">
        <f>+AV15</f>
        <v>4.1550000000000011</v>
      </c>
      <c r="BB15" s="82">
        <f>SUM(AX15:BA15)</f>
        <v>16.146000000000001</v>
      </c>
      <c r="BC15" s="136">
        <f>+AX15</f>
        <v>4.3860000000000001</v>
      </c>
      <c r="BD15" s="137">
        <f>+AY15</f>
        <v>3.5070000000000001</v>
      </c>
      <c r="BE15" s="137">
        <f>+AZ15</f>
        <v>4.0979999999999999</v>
      </c>
      <c r="BF15" s="116">
        <f>+BA15</f>
        <v>4.1550000000000011</v>
      </c>
      <c r="BG15" s="82">
        <f>SUM(BC15:BF15)</f>
        <v>16.146000000000001</v>
      </c>
      <c r="BH15" s="136">
        <f>+BC15</f>
        <v>4.3860000000000001</v>
      </c>
      <c r="BI15" s="137">
        <f>+BD15</f>
        <v>3.5070000000000001</v>
      </c>
      <c r="BJ15" s="137">
        <f>+BE15</f>
        <v>4.0979999999999999</v>
      </c>
      <c r="BK15" s="116">
        <f>+BF15</f>
        <v>4.1550000000000011</v>
      </c>
      <c r="BL15" s="82">
        <f>SUM(BH15:BK15)</f>
        <v>16.146000000000001</v>
      </c>
      <c r="BM15" s="136">
        <f>+BH15</f>
        <v>4.3860000000000001</v>
      </c>
      <c r="BN15" s="137">
        <f>+BI15</f>
        <v>3.5070000000000001</v>
      </c>
      <c r="BO15" s="137">
        <f>+BJ15</f>
        <v>4.0979999999999999</v>
      </c>
      <c r="BP15" s="116">
        <f>+BK15</f>
        <v>4.1550000000000011</v>
      </c>
      <c r="BQ15" s="82">
        <f>SUM(BM15:BP15)</f>
        <v>16.146000000000001</v>
      </c>
      <c r="BR15" s="220"/>
      <c r="BS15" s="220"/>
      <c r="BT15" s="220"/>
      <c r="BU15" s="220"/>
      <c r="BV15" s="220"/>
      <c r="BW15" s="220"/>
      <c r="BX15" s="220"/>
      <c r="BY15" s="220"/>
      <c r="BZ15" s="220"/>
      <c r="CA15" s="220"/>
      <c r="CB15" s="220"/>
      <c r="CC15" s="220"/>
      <c r="CD15" s="220"/>
      <c r="CE15" s="220"/>
      <c r="CF15" s="220"/>
      <c r="CG15" s="220"/>
      <c r="CH15" s="220"/>
      <c r="CI15" s="220"/>
      <c r="CJ15" s="220"/>
      <c r="CK15" s="220"/>
      <c r="CL15" s="220"/>
      <c r="CM15" s="220"/>
      <c r="CN15" s="220"/>
      <c r="CO15" s="220"/>
      <c r="CP15" s="220"/>
      <c r="CQ15" s="220"/>
      <c r="CR15" s="220"/>
      <c r="CS15" s="220"/>
      <c r="CT15" s="220"/>
      <c r="CU15" s="220"/>
      <c r="CV15" s="220"/>
      <c r="CW15" s="220"/>
      <c r="CX15" s="220"/>
      <c r="CY15" s="220"/>
      <c r="CZ15" s="220"/>
    </row>
    <row r="16" spans="1:104" x14ac:dyDescent="0.2">
      <c r="A16" s="85"/>
      <c r="B16" s="85"/>
      <c r="C16" s="26" t="s">
        <v>118</v>
      </c>
      <c r="D16" s="86"/>
      <c r="E16" s="121">
        <f t="shared" ref="E16:P16" si="8">SUM(E13:E15)</f>
        <v>593.71299999999997</v>
      </c>
      <c r="F16" s="122">
        <f t="shared" si="8"/>
        <v>395.70699999999994</v>
      </c>
      <c r="G16" s="122">
        <f t="shared" si="8"/>
        <v>441.89600000000002</v>
      </c>
      <c r="H16" s="123">
        <f t="shared" si="8"/>
        <v>695.73</v>
      </c>
      <c r="I16" s="86">
        <f t="shared" si="8"/>
        <v>2127.0459999999998</v>
      </c>
      <c r="J16" s="121">
        <f t="shared" si="8"/>
        <v>720.63299999999992</v>
      </c>
      <c r="K16" s="122">
        <f t="shared" si="8"/>
        <v>493.16499999999996</v>
      </c>
      <c r="L16" s="122">
        <f t="shared" si="8"/>
        <v>414.53399999999999</v>
      </c>
      <c r="M16" s="123">
        <f t="shared" si="8"/>
        <v>587.20700000000011</v>
      </c>
      <c r="N16" s="86">
        <f t="shared" si="8"/>
        <v>2215.5389999999998</v>
      </c>
      <c r="O16" s="121">
        <f t="shared" si="8"/>
        <v>633.85599999999999</v>
      </c>
      <c r="P16" s="122">
        <f t="shared" si="8"/>
        <v>450.22699999999998</v>
      </c>
      <c r="Q16" s="122">
        <f t="shared" ref="Q16:V16" si="9">SUM(Q13:Q15)</f>
        <v>467.99</v>
      </c>
      <c r="R16" s="123">
        <f t="shared" si="9"/>
        <v>582.74800000000005</v>
      </c>
      <c r="S16" s="86">
        <f t="shared" si="9"/>
        <v>2134.8210000000004</v>
      </c>
      <c r="T16" s="121">
        <f t="shared" si="9"/>
        <v>571.9430000000001</v>
      </c>
      <c r="U16" s="122">
        <f t="shared" si="9"/>
        <v>354.71699999999998</v>
      </c>
      <c r="V16" s="122">
        <f t="shared" si="9"/>
        <v>343.63099999999997</v>
      </c>
      <c r="W16" s="123">
        <f t="shared" ref="W16:AD16" si="10">SUM(W13:W15)</f>
        <v>512.90700000000015</v>
      </c>
      <c r="X16" s="86">
        <f t="shared" si="10"/>
        <v>1783.1980000000003</v>
      </c>
      <c r="Y16" s="121">
        <f t="shared" si="10"/>
        <v>574.30599999999993</v>
      </c>
      <c r="Z16" s="122">
        <f t="shared" si="10"/>
        <v>436.49199999999996</v>
      </c>
      <c r="AA16" s="122">
        <f t="shared" si="10"/>
        <v>403.00599999999997</v>
      </c>
      <c r="AB16" s="123">
        <f t="shared" si="10"/>
        <v>560.17300000000012</v>
      </c>
      <c r="AC16" s="86">
        <f t="shared" si="10"/>
        <v>1973.9770000000001</v>
      </c>
      <c r="AD16" s="121">
        <f t="shared" si="10"/>
        <v>649.25300000000004</v>
      </c>
      <c r="AE16" s="122">
        <f t="shared" ref="AE16:AM16" si="11">SUM(AE13:AE15)</f>
        <v>469.786</v>
      </c>
      <c r="AF16" s="122">
        <f t="shared" si="11"/>
        <v>432.471</v>
      </c>
      <c r="AG16" s="123">
        <f t="shared" si="11"/>
        <v>596.57299999999998</v>
      </c>
      <c r="AH16" s="86">
        <f t="shared" si="11"/>
        <v>2148.0830000000001</v>
      </c>
      <c r="AI16" s="121">
        <f t="shared" si="11"/>
        <v>557.19499999999994</v>
      </c>
      <c r="AJ16" s="122">
        <f t="shared" si="11"/>
        <v>380.779</v>
      </c>
      <c r="AK16" s="122">
        <f t="shared" si="11"/>
        <v>359.89599999999996</v>
      </c>
      <c r="AL16" s="123">
        <f t="shared" si="11"/>
        <v>468.40799999999996</v>
      </c>
      <c r="AM16" s="86">
        <f t="shared" si="11"/>
        <v>1766.278</v>
      </c>
      <c r="AN16" s="121">
        <f>SUM(AN13:AN15)</f>
        <v>468.18700000000001</v>
      </c>
      <c r="AO16" s="122">
        <f>SUM(AO13:AO15)</f>
        <v>338.71099999999996</v>
      </c>
      <c r="AP16" s="122">
        <f t="shared" ref="AP16:AU16" si="12">SUM(AP13:AP15)</f>
        <v>364.66700000000003</v>
      </c>
      <c r="AQ16" s="123">
        <f>SUM(AQ13:AQ15)</f>
        <v>466.1339999999999</v>
      </c>
      <c r="AR16" s="86">
        <f>SUM(AR13:AR15)</f>
        <v>1637.6990000000001</v>
      </c>
      <c r="AS16" s="121">
        <f>SUM(AS13:AS15)</f>
        <v>489.61500000000001</v>
      </c>
      <c r="AT16" s="122">
        <f>SUM(AT13:AT15)</f>
        <v>353.28699999999998</v>
      </c>
      <c r="AU16" s="122">
        <f t="shared" si="12"/>
        <v>330.33800000000002</v>
      </c>
      <c r="AV16" s="123">
        <f>SUM(AV13:AV15)</f>
        <v>428.28300000000013</v>
      </c>
      <c r="AW16" s="86">
        <f>SUM(AW13:AW15)</f>
        <v>1601.5229999999999</v>
      </c>
      <c r="AX16" s="121">
        <f t="shared" ref="AX16:BG16" si="13">SUM(AX13:AX15)</f>
        <v>502.59963069395377</v>
      </c>
      <c r="AY16" s="130">
        <f t="shared" si="13"/>
        <v>352.37849994048435</v>
      </c>
      <c r="AZ16" s="130">
        <f t="shared" si="13"/>
        <v>332.40142826801895</v>
      </c>
      <c r="BA16" s="123">
        <f t="shared" si="13"/>
        <v>430.70843588604089</v>
      </c>
      <c r="BB16" s="86">
        <f t="shared" si="13"/>
        <v>1618.0879947884978</v>
      </c>
      <c r="BC16" s="121">
        <f t="shared" si="13"/>
        <v>502.61757095143929</v>
      </c>
      <c r="BD16" s="130">
        <f t="shared" si="13"/>
        <v>352.71109464435239</v>
      </c>
      <c r="BE16" s="130">
        <f t="shared" si="13"/>
        <v>333.03279013219532</v>
      </c>
      <c r="BF16" s="123">
        <f t="shared" si="13"/>
        <v>431.02406499855636</v>
      </c>
      <c r="BG16" s="86">
        <f t="shared" si="13"/>
        <v>1619.3855207265433</v>
      </c>
      <c r="BH16" s="121">
        <f t="shared" ref="BH16:BQ16" si="14">SUM(BH13:BH15)</f>
        <v>502.63813015328105</v>
      </c>
      <c r="BI16" s="130">
        <f t="shared" si="14"/>
        <v>353.04540125554257</v>
      </c>
      <c r="BJ16" s="130">
        <f t="shared" si="14"/>
        <v>333.66619477468828</v>
      </c>
      <c r="BK16" s="123">
        <f t="shared" si="14"/>
        <v>431.34243287266565</v>
      </c>
      <c r="BL16" s="86">
        <f t="shared" si="14"/>
        <v>1620.6921590561776</v>
      </c>
      <c r="BM16" s="121">
        <f t="shared" si="14"/>
        <v>502.66130841160543</v>
      </c>
      <c r="BN16" s="130">
        <f t="shared" si="14"/>
        <v>353.38142185277189</v>
      </c>
      <c r="BO16" s="130">
        <f t="shared" si="14"/>
        <v>334.30164614150959</v>
      </c>
      <c r="BP16" s="123">
        <f t="shared" si="14"/>
        <v>431.66354148105074</v>
      </c>
      <c r="BQ16" s="86">
        <f t="shared" si="14"/>
        <v>1622.0079178869375</v>
      </c>
      <c r="BR16" s="85"/>
      <c r="BS16" s="893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</row>
    <row r="17" spans="1:104" x14ac:dyDescent="0.2">
      <c r="A17" s="220"/>
      <c r="B17" s="220"/>
      <c r="C17" s="20"/>
      <c r="D17" s="82"/>
      <c r="E17" s="114"/>
      <c r="F17" s="133"/>
      <c r="G17" s="133"/>
      <c r="H17" s="131"/>
      <c r="I17" s="117"/>
      <c r="J17" s="114"/>
      <c r="K17" s="133"/>
      <c r="L17" s="133"/>
      <c r="M17" s="131"/>
      <c r="N17" s="117"/>
      <c r="O17" s="114"/>
      <c r="P17" s="115"/>
      <c r="Q17" s="115"/>
      <c r="R17" s="131"/>
      <c r="S17" s="117"/>
      <c r="T17" s="114"/>
      <c r="U17" s="115"/>
      <c r="V17" s="115"/>
      <c r="W17" s="131"/>
      <c r="X17" s="117"/>
      <c r="Y17" s="114"/>
      <c r="Z17" s="115"/>
      <c r="AA17" s="115"/>
      <c r="AB17" s="131"/>
      <c r="AC17" s="117"/>
      <c r="AD17" s="114"/>
      <c r="AE17" s="115"/>
      <c r="AF17" s="115"/>
      <c r="AG17" s="131"/>
      <c r="AH17" s="117"/>
      <c r="AI17" s="114"/>
      <c r="AJ17" s="115"/>
      <c r="AK17" s="115"/>
      <c r="AL17" s="131"/>
      <c r="AM17" s="117"/>
      <c r="AN17" s="114"/>
      <c r="AO17" s="115"/>
      <c r="AP17" s="115"/>
      <c r="AQ17" s="131"/>
      <c r="AR17" s="117"/>
      <c r="AS17" s="114"/>
      <c r="AT17" s="115"/>
      <c r="AU17" s="137"/>
      <c r="AV17" s="131"/>
      <c r="AW17" s="117"/>
      <c r="AX17" s="136"/>
      <c r="AY17" s="137"/>
      <c r="AZ17" s="137"/>
      <c r="BA17" s="116"/>
      <c r="BB17" s="82"/>
      <c r="BC17" s="136"/>
      <c r="BD17" s="137"/>
      <c r="BE17" s="137"/>
      <c r="BF17" s="116"/>
      <c r="BG17" s="82"/>
      <c r="BH17" s="136"/>
      <c r="BI17" s="137"/>
      <c r="BJ17" s="137"/>
      <c r="BK17" s="116"/>
      <c r="BL17" s="82"/>
      <c r="BM17" s="136"/>
      <c r="BN17" s="137"/>
      <c r="BO17" s="137"/>
      <c r="BP17" s="116"/>
      <c r="BQ17" s="82"/>
      <c r="BR17" s="220"/>
      <c r="BS17" s="220"/>
      <c r="BT17" s="220"/>
      <c r="BU17" s="220"/>
      <c r="BV17" s="220"/>
      <c r="BW17" s="220"/>
      <c r="BX17" s="220"/>
      <c r="BY17" s="220"/>
      <c r="BZ17" s="220"/>
      <c r="CA17" s="220"/>
      <c r="CB17" s="220"/>
      <c r="CC17" s="220"/>
      <c r="CD17" s="220"/>
      <c r="CE17" s="220"/>
      <c r="CF17" s="220"/>
      <c r="CG17" s="220"/>
      <c r="CH17" s="220"/>
      <c r="CI17" s="220"/>
      <c r="CJ17" s="220"/>
      <c r="CK17" s="220"/>
      <c r="CL17" s="220"/>
      <c r="CM17" s="220"/>
      <c r="CN17" s="220"/>
      <c r="CO17" s="220"/>
      <c r="CP17" s="220"/>
      <c r="CQ17" s="220"/>
      <c r="CR17" s="220"/>
      <c r="CS17" s="220"/>
      <c r="CT17" s="220"/>
      <c r="CU17" s="220"/>
      <c r="CV17" s="220"/>
      <c r="CW17" s="220"/>
      <c r="CX17" s="220"/>
      <c r="CY17" s="220"/>
      <c r="CZ17" s="220"/>
    </row>
    <row r="18" spans="1:104" x14ac:dyDescent="0.2">
      <c r="A18" s="85"/>
      <c r="B18" s="85"/>
      <c r="C18" s="26" t="s">
        <v>119</v>
      </c>
      <c r="D18" s="86"/>
      <c r="E18" s="121">
        <f t="shared" ref="E18:P18" si="15">+E11-E16</f>
        <v>408.76499999999999</v>
      </c>
      <c r="F18" s="122">
        <f t="shared" si="15"/>
        <v>373.38600000000002</v>
      </c>
      <c r="G18" s="122">
        <f t="shared" si="15"/>
        <v>446.06400000000002</v>
      </c>
      <c r="H18" s="123">
        <f t="shared" si="15"/>
        <v>453.048</v>
      </c>
      <c r="I18" s="86">
        <f t="shared" si="15"/>
        <v>1681.2630000000004</v>
      </c>
      <c r="J18" s="121">
        <f t="shared" si="15"/>
        <v>482.06399999999996</v>
      </c>
      <c r="K18" s="122">
        <f t="shared" si="15"/>
        <v>454.13099999999997</v>
      </c>
      <c r="L18" s="122">
        <f t="shared" si="15"/>
        <v>540.43599999999992</v>
      </c>
      <c r="M18" s="123">
        <f t="shared" si="15"/>
        <v>472.19999999999982</v>
      </c>
      <c r="N18" s="86">
        <f t="shared" si="15"/>
        <v>1948.8310000000001</v>
      </c>
      <c r="O18" s="121">
        <f t="shared" si="15"/>
        <v>510.59100000000012</v>
      </c>
      <c r="P18" s="122">
        <f t="shared" si="15"/>
        <v>482.87300000000005</v>
      </c>
      <c r="Q18" s="122">
        <f t="shared" ref="Q18:Y18" si="16">+Q11-Q16</f>
        <v>595.94399999999996</v>
      </c>
      <c r="R18" s="123">
        <f t="shared" si="16"/>
        <v>516.57299999999964</v>
      </c>
      <c r="S18" s="86">
        <f t="shared" si="16"/>
        <v>2105.9809999999993</v>
      </c>
      <c r="T18" s="121">
        <f t="shared" si="16"/>
        <v>504.10899999999981</v>
      </c>
      <c r="U18" s="122">
        <f t="shared" si="16"/>
        <v>514.78399999999999</v>
      </c>
      <c r="V18" s="122">
        <f t="shared" si="16"/>
        <v>648.65600000000006</v>
      </c>
      <c r="W18" s="123">
        <f t="shared" si="16"/>
        <v>518.54599999999982</v>
      </c>
      <c r="X18" s="86">
        <f t="shared" si="16"/>
        <v>2186.0949999999993</v>
      </c>
      <c r="Y18" s="121">
        <f t="shared" si="16"/>
        <v>543.15099999999995</v>
      </c>
      <c r="Z18" s="122">
        <f t="shared" ref="Z18:AF18" si="17">+Z11-Z16</f>
        <v>529.9369999999999</v>
      </c>
      <c r="AA18" s="122">
        <f t="shared" si="17"/>
        <v>641.29400000000021</v>
      </c>
      <c r="AB18" s="123">
        <f t="shared" si="17"/>
        <v>514.26899999999944</v>
      </c>
      <c r="AC18" s="86">
        <f t="shared" si="17"/>
        <v>2228.6509999999998</v>
      </c>
      <c r="AD18" s="121">
        <f t="shared" si="17"/>
        <v>554.29000000000008</v>
      </c>
      <c r="AE18" s="122">
        <f t="shared" si="17"/>
        <v>523.91799999999989</v>
      </c>
      <c r="AF18" s="122">
        <f t="shared" si="17"/>
        <v>616.63999999999987</v>
      </c>
      <c r="AG18" s="123">
        <f t="shared" ref="AG18:AM18" si="18">+AG11-AG16</f>
        <v>540.21800000000019</v>
      </c>
      <c r="AH18" s="86">
        <f t="shared" si="18"/>
        <v>2235.0660000000003</v>
      </c>
      <c r="AI18" s="121">
        <f t="shared" si="18"/>
        <v>578.25500000000011</v>
      </c>
      <c r="AJ18" s="122">
        <f t="shared" si="18"/>
        <v>571.74199999999996</v>
      </c>
      <c r="AK18" s="122">
        <f t="shared" si="18"/>
        <v>684.80799999999999</v>
      </c>
      <c r="AL18" s="123">
        <f t="shared" si="18"/>
        <v>562.43000000000029</v>
      </c>
      <c r="AM18" s="86">
        <f t="shared" si="18"/>
        <v>2397.2349999999997</v>
      </c>
      <c r="AN18" s="121">
        <f t="shared" ref="AN18:AS18" si="19">+AN11-AN16</f>
        <v>589.65400000000011</v>
      </c>
      <c r="AO18" s="122">
        <f t="shared" si="19"/>
        <v>571.14100000000008</v>
      </c>
      <c r="AP18" s="122">
        <f t="shared" si="19"/>
        <v>694.50999999999988</v>
      </c>
      <c r="AQ18" s="123">
        <f t="shared" si="19"/>
        <v>554.79199999999992</v>
      </c>
      <c r="AR18" s="86">
        <f t="shared" si="19"/>
        <v>2410.0969999999998</v>
      </c>
      <c r="AS18" s="121">
        <f t="shared" si="19"/>
        <v>590.9190000000001</v>
      </c>
      <c r="AT18" s="122">
        <f>+AT11-AT16</f>
        <v>577.62899999999991</v>
      </c>
      <c r="AU18" s="130">
        <f t="shared" ref="AU18:BB18" si="20">+AU11-AU16</f>
        <v>699.95500000000015</v>
      </c>
      <c r="AV18" s="123">
        <f t="shared" si="20"/>
        <v>572.48299999999961</v>
      </c>
      <c r="AW18" s="86">
        <f t="shared" si="20"/>
        <v>2440.9859999999999</v>
      </c>
      <c r="AX18" s="121">
        <f t="shared" si="20"/>
        <v>599.48312327358508</v>
      </c>
      <c r="AY18" s="130">
        <f t="shared" si="20"/>
        <v>571.61612059105823</v>
      </c>
      <c r="AZ18" s="130">
        <f t="shared" si="20"/>
        <v>671.51402556073526</v>
      </c>
      <c r="BA18" s="123">
        <f t="shared" si="20"/>
        <v>580.60647571047946</v>
      </c>
      <c r="BB18" s="86">
        <f t="shared" si="20"/>
        <v>2423.2197451358579</v>
      </c>
      <c r="BC18" s="121">
        <f t="shared" ref="BC18:BL18" si="21">+BC11-BC16</f>
        <v>618.59062447985025</v>
      </c>
      <c r="BD18" s="130">
        <f t="shared" si="21"/>
        <v>586.18916285654359</v>
      </c>
      <c r="BE18" s="130">
        <f t="shared" si="21"/>
        <v>687.59021542101323</v>
      </c>
      <c r="BF18" s="123">
        <f t="shared" si="21"/>
        <v>597.18587084167359</v>
      </c>
      <c r="BG18" s="86">
        <f t="shared" si="21"/>
        <v>2489.5558735990808</v>
      </c>
      <c r="BH18" s="121">
        <f t="shared" si="21"/>
        <v>640.00143788187711</v>
      </c>
      <c r="BI18" s="130">
        <f t="shared" si="21"/>
        <v>601.57551553766984</v>
      </c>
      <c r="BJ18" s="130">
        <f t="shared" si="21"/>
        <v>704.2457345333861</v>
      </c>
      <c r="BK18" s="123">
        <f t="shared" si="21"/>
        <v>615.32348800406692</v>
      </c>
      <c r="BL18" s="86">
        <f t="shared" si="21"/>
        <v>2561.1461759570002</v>
      </c>
      <c r="BM18" s="121">
        <f t="shared" ref="BM18:BQ18" si="22">+BM11-BM16</f>
        <v>661.59921652105004</v>
      </c>
      <c r="BN18" s="130">
        <f t="shared" si="22"/>
        <v>617.0834891484476</v>
      </c>
      <c r="BO18" s="130">
        <f t="shared" si="22"/>
        <v>720.57428003522978</v>
      </c>
      <c r="BP18" s="123">
        <f t="shared" si="22"/>
        <v>633.66615550507026</v>
      </c>
      <c r="BQ18" s="86">
        <f t="shared" si="22"/>
        <v>2632.9231412097979</v>
      </c>
      <c r="BR18" s="85"/>
      <c r="BS18" s="632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</row>
    <row r="19" spans="1:104" x14ac:dyDescent="0.2">
      <c r="A19" s="44"/>
      <c r="B19" s="44"/>
      <c r="C19" s="20"/>
      <c r="D19" s="42"/>
      <c r="E19" s="120"/>
      <c r="F19" s="139"/>
      <c r="G19" s="139"/>
      <c r="H19" s="119"/>
      <c r="I19" s="42"/>
      <c r="J19" s="120"/>
      <c r="K19" s="139"/>
      <c r="L19" s="139"/>
      <c r="M19" s="119"/>
      <c r="N19" s="42"/>
      <c r="O19" s="120"/>
      <c r="P19" s="139"/>
      <c r="Q19" s="139"/>
      <c r="R19" s="119"/>
      <c r="S19" s="42"/>
      <c r="T19" s="120"/>
      <c r="U19" s="139"/>
      <c r="V19" s="139"/>
      <c r="W19" s="119"/>
      <c r="X19" s="42"/>
      <c r="Y19" s="120"/>
      <c r="Z19" s="139"/>
      <c r="AA19" s="139"/>
      <c r="AB19" s="119"/>
      <c r="AC19" s="42"/>
      <c r="AD19" s="120"/>
      <c r="AE19" s="139"/>
      <c r="AF19" s="139"/>
      <c r="AG19" s="119"/>
      <c r="AH19" s="42"/>
      <c r="AI19" s="120"/>
      <c r="AJ19" s="139"/>
      <c r="AK19" s="139"/>
      <c r="AL19" s="119"/>
      <c r="AM19" s="42"/>
      <c r="AN19" s="120"/>
      <c r="AO19" s="139"/>
      <c r="AP19" s="139"/>
      <c r="AQ19" s="119"/>
      <c r="AR19" s="42"/>
      <c r="AS19" s="120"/>
      <c r="AT19" s="139"/>
      <c r="AU19" s="139"/>
      <c r="AV19" s="119"/>
      <c r="AW19" s="42"/>
      <c r="AX19" s="120"/>
      <c r="AY19" s="139"/>
      <c r="AZ19" s="139"/>
      <c r="BA19" s="119"/>
      <c r="BB19" s="42"/>
      <c r="BC19" s="120"/>
      <c r="BD19" s="139"/>
      <c r="BE19" s="139"/>
      <c r="BF19" s="119"/>
      <c r="BG19" s="42"/>
      <c r="BH19" s="120"/>
      <c r="BI19" s="139"/>
      <c r="BJ19" s="139"/>
      <c r="BK19" s="119"/>
      <c r="BL19" s="42"/>
      <c r="BM19" s="120"/>
      <c r="BN19" s="139"/>
      <c r="BO19" s="139"/>
      <c r="BP19" s="119"/>
      <c r="BQ19" s="42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  <c r="CX19" s="44"/>
      <c r="CY19" s="44"/>
      <c r="CZ19" s="44"/>
    </row>
    <row r="20" spans="1:104" x14ac:dyDescent="0.2">
      <c r="A20" s="44"/>
      <c r="B20" s="44"/>
      <c r="C20" s="20" t="s">
        <v>120</v>
      </c>
      <c r="D20" s="42"/>
      <c r="E20" s="114">
        <v>154.88999999999999</v>
      </c>
      <c r="F20" s="115">
        <v>148.6</v>
      </c>
      <c r="G20" s="115">
        <v>158.55699999999999</v>
      </c>
      <c r="H20" s="131">
        <f>I20-SUM(E20:G20)</f>
        <v>166.952</v>
      </c>
      <c r="I20" s="117">
        <v>628.99900000000002</v>
      </c>
      <c r="J20" s="114">
        <v>155.69300000000001</v>
      </c>
      <c r="K20" s="115">
        <v>169.02500000000001</v>
      </c>
      <c r="L20" s="115">
        <v>165.98500000000001</v>
      </c>
      <c r="M20" s="131">
        <f>N20-SUM(J20:L20)</f>
        <v>186.65600000000001</v>
      </c>
      <c r="N20" s="117">
        <v>677.35900000000004</v>
      </c>
      <c r="O20" s="114">
        <v>170.67099999999999</v>
      </c>
      <c r="P20" s="115">
        <v>186.66800000000001</v>
      </c>
      <c r="Q20" s="115">
        <v>183.15199999999999</v>
      </c>
      <c r="R20" s="131">
        <f>S20-SUM(O20:Q20)</f>
        <v>194.23800000000006</v>
      </c>
      <c r="S20" s="117">
        <v>734.72900000000004</v>
      </c>
      <c r="T20" s="114">
        <v>168.38200000000001</v>
      </c>
      <c r="U20" s="115">
        <v>180.1</v>
      </c>
      <c r="V20" s="115">
        <v>180.994</v>
      </c>
      <c r="W20" s="131">
        <f>X20-SUM(T20:V20)</f>
        <v>213.49900000000002</v>
      </c>
      <c r="X20" s="117">
        <v>742.97500000000002</v>
      </c>
      <c r="Y20" s="114">
        <v>173.041</v>
      </c>
      <c r="Z20" s="115">
        <v>188.15199999999999</v>
      </c>
      <c r="AA20" s="115">
        <v>192.07300000000001</v>
      </c>
      <c r="AB20" s="131">
        <f>AC20-SUM(Y20:AA20)</f>
        <v>209.05600000000004</v>
      </c>
      <c r="AC20" s="117">
        <v>762.322</v>
      </c>
      <c r="AD20" s="114">
        <v>175.524</v>
      </c>
      <c r="AE20" s="115">
        <v>188.90100000000001</v>
      </c>
      <c r="AF20" s="115">
        <v>185.51</v>
      </c>
      <c r="AG20" s="131">
        <f>AH20-SUM(AD20:AF20)</f>
        <v>201.851</v>
      </c>
      <c r="AH20" s="117">
        <v>751.78599999999994</v>
      </c>
      <c r="AI20" s="114">
        <v>182.417</v>
      </c>
      <c r="AJ20" s="115">
        <v>191.22499999999999</v>
      </c>
      <c r="AK20" s="115">
        <v>186.37899999999999</v>
      </c>
      <c r="AL20" s="131">
        <f>AM20-SUM(AI20:AK20)</f>
        <v>201.88</v>
      </c>
      <c r="AM20" s="117">
        <v>761.90099999999995</v>
      </c>
      <c r="AN20" s="114">
        <v>178.386</v>
      </c>
      <c r="AO20" s="115">
        <v>200.946</v>
      </c>
      <c r="AP20" s="115">
        <v>191.011</v>
      </c>
      <c r="AQ20" s="131">
        <f>AR20-SUM(AN20:AP20)</f>
        <v>192.07300000000009</v>
      </c>
      <c r="AR20" s="117">
        <v>762.41600000000005</v>
      </c>
      <c r="AS20" s="114">
        <v>185.601</v>
      </c>
      <c r="AT20" s="115">
        <v>187.90700000000001</v>
      </c>
      <c r="AU20" s="115">
        <v>173.905</v>
      </c>
      <c r="AV20" s="131">
        <f>AW20-SUM(AS20:AU20)</f>
        <v>215.404</v>
      </c>
      <c r="AW20" s="117">
        <v>762.81700000000001</v>
      </c>
      <c r="AX20" s="120">
        <f>+AX143</f>
        <v>185.601</v>
      </c>
      <c r="AY20" s="139">
        <f>+AY143</f>
        <v>187.90700000000001</v>
      </c>
      <c r="AZ20" s="139">
        <f>+AZ143</f>
        <v>173.905</v>
      </c>
      <c r="BA20" s="119">
        <f>+BA143</f>
        <v>215.404</v>
      </c>
      <c r="BB20" s="42">
        <f>SUM(AX20:BA20)</f>
        <v>762.81700000000001</v>
      </c>
      <c r="BC20" s="120">
        <f>+BC143</f>
        <v>187.45701</v>
      </c>
      <c r="BD20" s="139">
        <f>+BD143</f>
        <v>189.78607000000002</v>
      </c>
      <c r="BE20" s="139">
        <f>+BE143</f>
        <v>175.64404999999999</v>
      </c>
      <c r="BF20" s="119">
        <f>+BF143</f>
        <v>217.55804000000001</v>
      </c>
      <c r="BG20" s="42">
        <f>SUM(BC20:BF20)</f>
        <v>770.44517000000008</v>
      </c>
      <c r="BH20" s="120">
        <f>+BH143</f>
        <v>189.3315801</v>
      </c>
      <c r="BI20" s="139">
        <f>+BI143</f>
        <v>191.68393070000002</v>
      </c>
      <c r="BJ20" s="139">
        <f>+BJ143</f>
        <v>177.40049049999999</v>
      </c>
      <c r="BK20" s="119">
        <f>+BK143</f>
        <v>219.73362040000001</v>
      </c>
      <c r="BL20" s="42">
        <f>SUM(BH20:BK20)</f>
        <v>778.14962170000013</v>
      </c>
      <c r="BM20" s="120">
        <f>+BM143</f>
        <v>191.224895901</v>
      </c>
      <c r="BN20" s="139">
        <f>+BN143</f>
        <v>193.60077000700002</v>
      </c>
      <c r="BO20" s="139">
        <f>+BO143</f>
        <v>179.17449540499999</v>
      </c>
      <c r="BP20" s="119">
        <f>+BP143</f>
        <v>221.93095660400002</v>
      </c>
      <c r="BQ20" s="42">
        <f>SUM(BM20:BP20)</f>
        <v>785.93111791700005</v>
      </c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</row>
    <row r="21" spans="1:104" x14ac:dyDescent="0.2">
      <c r="A21" s="44"/>
      <c r="B21" s="44"/>
      <c r="C21" s="20" t="s">
        <v>121</v>
      </c>
      <c r="D21" s="42"/>
      <c r="E21" s="114">
        <v>62.546999999999997</v>
      </c>
      <c r="F21" s="115">
        <v>62.914999999999999</v>
      </c>
      <c r="G21" s="115">
        <v>64.436000000000007</v>
      </c>
      <c r="H21" s="131">
        <f>I21-SUM(E21:G21)</f>
        <v>66.164000000000016</v>
      </c>
      <c r="I21" s="117">
        <v>256.06200000000001</v>
      </c>
      <c r="J21" s="114">
        <v>66.965999999999994</v>
      </c>
      <c r="K21" s="115">
        <v>69.216999999999999</v>
      </c>
      <c r="L21" s="115">
        <v>72.540000000000006</v>
      </c>
      <c r="M21" s="131">
        <f>N21-SUM(J21:L21)</f>
        <v>75.415999999999997</v>
      </c>
      <c r="N21" s="117">
        <v>284.13900000000001</v>
      </c>
      <c r="O21" s="114">
        <v>79.968999999999994</v>
      </c>
      <c r="P21" s="115">
        <v>80.277000000000001</v>
      </c>
      <c r="Q21" s="115">
        <v>85.146000000000001</v>
      </c>
      <c r="R21" s="131">
        <f>S21-SUM(O21:Q21)</f>
        <v>83.19</v>
      </c>
      <c r="S21" s="117">
        <v>328.58199999999999</v>
      </c>
      <c r="T21" s="114">
        <v>83.588999999999999</v>
      </c>
      <c r="U21" s="115">
        <v>80.150999999999996</v>
      </c>
      <c r="V21" s="115">
        <v>85.905000000000001</v>
      </c>
      <c r="W21" s="131">
        <f>X21-SUM(T21:V21)</f>
        <v>89.181999999999988</v>
      </c>
      <c r="X21" s="117">
        <v>338.827</v>
      </c>
      <c r="Y21" s="114">
        <v>89.55</v>
      </c>
      <c r="Z21" s="115">
        <v>89.078999999999994</v>
      </c>
      <c r="AA21" s="115">
        <v>88.576999999999998</v>
      </c>
      <c r="AB21" s="131">
        <f>AC21-SUM(Y21:AA21)</f>
        <v>93.210999999999956</v>
      </c>
      <c r="AC21" s="117">
        <v>360.41699999999997</v>
      </c>
      <c r="AD21" s="114">
        <v>93.316000000000003</v>
      </c>
      <c r="AE21" s="115">
        <v>95.114999999999995</v>
      </c>
      <c r="AF21" s="115">
        <v>95.075000000000003</v>
      </c>
      <c r="AG21" s="131">
        <f>AH21-SUM(AD21:AF21)</f>
        <v>95.696000000000026</v>
      </c>
      <c r="AH21" s="117">
        <v>379.202</v>
      </c>
      <c r="AI21" s="114">
        <v>100.04300000000001</v>
      </c>
      <c r="AJ21" s="115">
        <v>101.246</v>
      </c>
      <c r="AK21" s="115">
        <v>104.22799999999999</v>
      </c>
      <c r="AL21" s="131">
        <f>AM21-SUM(AI21:AK21)</f>
        <v>106.14999999999998</v>
      </c>
      <c r="AM21" s="117">
        <v>411.66699999999997</v>
      </c>
      <c r="AN21" s="114">
        <v>108.881</v>
      </c>
      <c r="AO21" s="115">
        <v>109.90900000000001</v>
      </c>
      <c r="AP21" s="115">
        <v>111.803</v>
      </c>
      <c r="AQ21" s="131">
        <f>AR21-SUM(AN21:AP21)</f>
        <v>112.96199999999999</v>
      </c>
      <c r="AR21" s="117">
        <v>443.55500000000001</v>
      </c>
      <c r="AS21" s="114">
        <v>114.994</v>
      </c>
      <c r="AT21" s="115">
        <v>117.51300000000001</v>
      </c>
      <c r="AU21" s="115">
        <v>118.289</v>
      </c>
      <c r="AV21" s="131">
        <f>AW21-SUM(AS21:AU21)</f>
        <v>120.71899999999999</v>
      </c>
      <c r="AW21" s="117">
        <v>471.51499999999999</v>
      </c>
      <c r="AX21" s="120">
        <f>AX161</f>
        <v>130.11413000000002</v>
      </c>
      <c r="AY21" s="139">
        <f>AY161</f>
        <v>130.48989616193833</v>
      </c>
      <c r="AZ21" s="139">
        <f>AZ161</f>
        <v>132.05999720031895</v>
      </c>
      <c r="BA21" s="119">
        <f>BA161</f>
        <v>133.61439722831577</v>
      </c>
      <c r="BB21" s="42">
        <f>SUM(AX21:BA21)</f>
        <v>526.27842059057309</v>
      </c>
      <c r="BC21" s="120">
        <f>BC161</f>
        <v>131.77442192463178</v>
      </c>
      <c r="BD21" s="139">
        <f>BD161</f>
        <v>137.19799222389958</v>
      </c>
      <c r="BE21" s="139">
        <f>BE161</f>
        <v>138.34656179971654</v>
      </c>
      <c r="BF21" s="119">
        <f>BF161</f>
        <v>139.48393282216929</v>
      </c>
      <c r="BG21" s="42">
        <f>SUM(BC21:BF21)</f>
        <v>546.80290877041716</v>
      </c>
      <c r="BH21" s="120">
        <f>BH161</f>
        <v>141.1351155751818</v>
      </c>
      <c r="BI21" s="139">
        <f>BI161</f>
        <v>142.54905638648526</v>
      </c>
      <c r="BJ21" s="139">
        <f>BJ161</f>
        <v>143.47828401332794</v>
      </c>
      <c r="BK21" s="119">
        <f>BK161</f>
        <v>144.39841784973919</v>
      </c>
      <c r="BL21" s="42">
        <f>SUM(BH21:BK21)</f>
        <v>571.56087382473424</v>
      </c>
      <c r="BM21" s="120">
        <f>BM161</f>
        <v>144.97259414974653</v>
      </c>
      <c r="BN21" s="139">
        <f>BN161</f>
        <v>145.02194978358096</v>
      </c>
      <c r="BO21" s="139">
        <f>BO161</f>
        <v>146.41306324517637</v>
      </c>
      <c r="BP21" s="119">
        <f>BP161</f>
        <v>147.79059428716332</v>
      </c>
      <c r="BQ21" s="42">
        <f>SUM(BM21:BP21)</f>
        <v>584.19820146566713</v>
      </c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  <c r="CX21" s="44"/>
      <c r="CY21" s="44"/>
      <c r="CZ21" s="44"/>
    </row>
    <row r="22" spans="1:104" x14ac:dyDescent="0.2">
      <c r="A22" s="44"/>
      <c r="B22" s="44"/>
      <c r="C22" t="s">
        <v>122</v>
      </c>
      <c r="D22" s="42"/>
      <c r="E22" s="114">
        <v>23.189</v>
      </c>
      <c r="F22" s="115">
        <v>22.210999999999999</v>
      </c>
      <c r="G22" s="115">
        <v>25.678999999999998</v>
      </c>
      <c r="H22" s="131">
        <f>I22-SUM(E22:G22)</f>
        <v>24.533000000000001</v>
      </c>
      <c r="I22" s="117">
        <v>95.611999999999995</v>
      </c>
      <c r="J22" s="114">
        <v>24.616</v>
      </c>
      <c r="K22" s="115">
        <v>25.661999999999999</v>
      </c>
      <c r="L22" s="115">
        <v>26.628</v>
      </c>
      <c r="M22" s="131">
        <f>N22-SUM(J22:L22)</f>
        <v>26.435999999999993</v>
      </c>
      <c r="N22" s="117">
        <v>103.342</v>
      </c>
      <c r="O22" s="114">
        <v>34.320999999999998</v>
      </c>
      <c r="P22" s="115">
        <v>34.984999999999999</v>
      </c>
      <c r="Q22" s="115">
        <v>31.428000000000001</v>
      </c>
      <c r="R22" s="131">
        <f>S22-SUM(O22:Q22)</f>
        <v>32.926000000000002</v>
      </c>
      <c r="S22" s="117">
        <v>133.66</v>
      </c>
      <c r="T22" s="114">
        <v>33.787999999999997</v>
      </c>
      <c r="U22" s="115">
        <v>32.875</v>
      </c>
      <c r="V22" s="115">
        <v>32.695999999999998</v>
      </c>
      <c r="W22" s="131">
        <f>X22-SUM(T22:V22)</f>
        <v>32.510000000000005</v>
      </c>
      <c r="X22" s="117">
        <v>131.869</v>
      </c>
      <c r="Y22" s="114">
        <v>35.14</v>
      </c>
      <c r="Z22" s="115">
        <v>36.093000000000004</v>
      </c>
      <c r="AA22" s="115">
        <v>32.887</v>
      </c>
      <c r="AB22" s="131">
        <f>AC22-SUM(Y22:AA22)</f>
        <v>33.695999999999998</v>
      </c>
      <c r="AC22" s="117">
        <v>137.816</v>
      </c>
      <c r="AD22" s="114">
        <v>41.817999999999998</v>
      </c>
      <c r="AE22" s="115">
        <v>41.786999999999999</v>
      </c>
      <c r="AF22" s="115">
        <v>38.862000000000002</v>
      </c>
      <c r="AG22" s="131">
        <f>AH22-SUM(AD22:AF22)</f>
        <v>39.461000000000013</v>
      </c>
      <c r="AH22" s="117">
        <v>161.928</v>
      </c>
      <c r="AI22" s="114">
        <v>50.326000000000001</v>
      </c>
      <c r="AJ22" s="115">
        <v>50.582000000000001</v>
      </c>
      <c r="AK22" s="115">
        <v>45.987000000000002</v>
      </c>
      <c r="AL22" s="131">
        <f>AM22-SUM(AI22:AK22)</f>
        <v>48.389999999999986</v>
      </c>
      <c r="AM22" s="117">
        <v>195.285</v>
      </c>
      <c r="AN22" s="114">
        <v>51.473999999999997</v>
      </c>
      <c r="AO22" s="115">
        <v>50.301000000000002</v>
      </c>
      <c r="AP22" s="115">
        <v>45.076000000000001</v>
      </c>
      <c r="AQ22" s="131">
        <f>AR22-SUM(AN22:AP22)</f>
        <v>49.479000000000013</v>
      </c>
      <c r="AR22" s="117">
        <v>196.33</v>
      </c>
      <c r="AS22" s="114">
        <v>49.798000000000002</v>
      </c>
      <c r="AT22" s="115">
        <v>49.47</v>
      </c>
      <c r="AU22" s="115">
        <v>47.213000000000001</v>
      </c>
      <c r="AV22" s="131">
        <f>AW22-SUM(AS22:AU22)</f>
        <v>49.213999999999999</v>
      </c>
      <c r="AW22" s="117">
        <v>195.69499999999999</v>
      </c>
      <c r="AX22" s="120">
        <f>AX146</f>
        <v>53.034869999999998</v>
      </c>
      <c r="AY22" s="139">
        <f>AY146</f>
        <v>52.685549999999999</v>
      </c>
      <c r="AZ22" s="139">
        <f>AZ146</f>
        <v>50.281844999999997</v>
      </c>
      <c r="BA22" s="119">
        <f>BA146</f>
        <v>52.412909999999997</v>
      </c>
      <c r="BB22" s="42">
        <f>SUM(AX22:BA22)</f>
        <v>208.41517499999998</v>
      </c>
      <c r="BC22" s="120">
        <f>BC146</f>
        <v>54.0955674</v>
      </c>
      <c r="BD22" s="139">
        <f>BD146</f>
        <v>53.739260999999999</v>
      </c>
      <c r="BE22" s="139">
        <f>BE146</f>
        <v>51.287481899999996</v>
      </c>
      <c r="BF22" s="119">
        <f>BF146</f>
        <v>53.461168199999996</v>
      </c>
      <c r="BG22" s="42">
        <f>SUM(BC22:BF22)</f>
        <v>212.58347849999998</v>
      </c>
      <c r="BH22" s="120">
        <f>BH146</f>
        <v>55.177478747999999</v>
      </c>
      <c r="BI22" s="139">
        <f>BI146</f>
        <v>54.814046220000002</v>
      </c>
      <c r="BJ22" s="139">
        <f>BJ146</f>
        <v>52.313231537999997</v>
      </c>
      <c r="BK22" s="119">
        <f>BK146</f>
        <v>54.530391563999999</v>
      </c>
      <c r="BL22" s="42">
        <f>SUM(BH22:BK22)</f>
        <v>216.83514807</v>
      </c>
      <c r="BM22" s="120">
        <f>BM146</f>
        <v>56.281028322959997</v>
      </c>
      <c r="BN22" s="139">
        <f>BN146</f>
        <v>55.9103271444</v>
      </c>
      <c r="BO22" s="139">
        <f>BO146</f>
        <v>53.359496168759996</v>
      </c>
      <c r="BP22" s="119">
        <f>BP146</f>
        <v>55.620999395280002</v>
      </c>
      <c r="BQ22" s="42">
        <f>SUM(BM22:BP22)</f>
        <v>221.1718510314</v>
      </c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</row>
    <row r="23" spans="1:104" x14ac:dyDescent="0.2">
      <c r="A23" s="44"/>
      <c r="B23" s="44"/>
      <c r="C23" t="s">
        <v>442</v>
      </c>
      <c r="D23" s="42"/>
      <c r="E23" s="114">
        <v>26.155999999999999</v>
      </c>
      <c r="F23" s="115">
        <v>23.51</v>
      </c>
      <c r="G23" s="115">
        <v>27.56</v>
      </c>
      <c r="H23" s="131">
        <f>I23-SUM(E23:G23)</f>
        <v>27.692999999999998</v>
      </c>
      <c r="I23" s="117">
        <v>104.919</v>
      </c>
      <c r="J23" s="114">
        <v>33.710999999999999</v>
      </c>
      <c r="K23" s="115">
        <v>33.549999999999997</v>
      </c>
      <c r="L23" s="115">
        <v>32.228000000000002</v>
      </c>
      <c r="M23" s="131">
        <f>N23-SUM(J23:L23)</f>
        <v>29.449999999999989</v>
      </c>
      <c r="N23" s="117">
        <v>128.93899999999999</v>
      </c>
      <c r="O23" s="114">
        <v>30.321999999999999</v>
      </c>
      <c r="P23" s="115">
        <v>27.766999999999999</v>
      </c>
      <c r="Q23" s="115">
        <v>29.795999999999999</v>
      </c>
      <c r="R23" s="131">
        <f>S23-SUM(O23:Q23)</f>
        <v>27.193000000000012</v>
      </c>
      <c r="S23" s="117">
        <v>115.078</v>
      </c>
      <c r="T23" s="114">
        <v>29.443999999999999</v>
      </c>
      <c r="U23" s="115">
        <v>29.347999999999999</v>
      </c>
      <c r="V23" s="115">
        <v>33.67</v>
      </c>
      <c r="W23" s="131">
        <f>X23-SUM(T23:V23)</f>
        <v>30.742999999999995</v>
      </c>
      <c r="X23" s="117">
        <v>123.205</v>
      </c>
      <c r="Y23" s="114">
        <v>33.121000000000002</v>
      </c>
      <c r="Z23" s="115">
        <v>32.938000000000002</v>
      </c>
      <c r="AA23" s="115">
        <v>38.015999999999998</v>
      </c>
      <c r="AB23" s="131">
        <f>AC23-SUM(Y23:AA23)</f>
        <v>35.262</v>
      </c>
      <c r="AC23" s="117">
        <v>139.33699999999999</v>
      </c>
      <c r="AD23" s="114">
        <v>35.195</v>
      </c>
      <c r="AE23" s="115">
        <v>34.677999999999997</v>
      </c>
      <c r="AF23" s="115">
        <v>36.119999999999997</v>
      </c>
      <c r="AG23" s="131">
        <f>AH23-SUM(AD23:AF23)</f>
        <v>33.787000000000006</v>
      </c>
      <c r="AH23" s="117">
        <v>139.78</v>
      </c>
      <c r="AI23" s="114">
        <v>30.068999999999999</v>
      </c>
      <c r="AJ23" s="115">
        <v>33.512999999999998</v>
      </c>
      <c r="AK23" s="115">
        <v>33.04</v>
      </c>
      <c r="AL23" s="131">
        <f>AM23-SUM(AI23:AK23)</f>
        <v>32.059000000000026</v>
      </c>
      <c r="AM23" s="117">
        <v>128.68100000000001</v>
      </c>
      <c r="AN23" s="114">
        <v>27.722999999999999</v>
      </c>
      <c r="AO23" s="115">
        <v>29.356000000000002</v>
      </c>
      <c r="AP23" s="115">
        <v>31.015000000000001</v>
      </c>
      <c r="AQ23" s="131">
        <f>AR23-SUM(AN23:AP23)</f>
        <v>30.081000000000003</v>
      </c>
      <c r="AR23" s="117">
        <v>118.175</v>
      </c>
      <c r="AS23" s="114">
        <v>28.103999999999999</v>
      </c>
      <c r="AT23" s="115">
        <v>29.928000000000001</v>
      </c>
      <c r="AU23" s="115">
        <v>34.520000000000003</v>
      </c>
      <c r="AV23" s="131">
        <f>AW23-SUM(AS23:AU23)</f>
        <v>32.477000000000004</v>
      </c>
      <c r="AW23" s="117">
        <v>125.029</v>
      </c>
      <c r="AX23" s="120">
        <f>AX149</f>
        <v>28.103999999999999</v>
      </c>
      <c r="AY23" s="139">
        <f>AY149</f>
        <v>29.928000000000001</v>
      </c>
      <c r="AZ23" s="139">
        <f>AZ149</f>
        <v>34.520000000000003</v>
      </c>
      <c r="BA23" s="119">
        <f>BA149</f>
        <v>32.477000000000004</v>
      </c>
      <c r="BB23" s="42">
        <f>SUM(AX23:BA23)</f>
        <v>125.029</v>
      </c>
      <c r="BC23" s="120">
        <f>BC149</f>
        <v>28.103999999999999</v>
      </c>
      <c r="BD23" s="139">
        <f>BD149</f>
        <v>29.928000000000001</v>
      </c>
      <c r="BE23" s="139">
        <f>BE149</f>
        <v>34.520000000000003</v>
      </c>
      <c r="BF23" s="119">
        <f>BF149</f>
        <v>32.477000000000004</v>
      </c>
      <c r="BG23" s="42">
        <f>SUM(BC23:BF23)</f>
        <v>125.029</v>
      </c>
      <c r="BH23" s="120">
        <f>BH149</f>
        <v>28.103999999999999</v>
      </c>
      <c r="BI23" s="139">
        <f>BI149</f>
        <v>29.928000000000001</v>
      </c>
      <c r="BJ23" s="139">
        <f>BJ149</f>
        <v>34.520000000000003</v>
      </c>
      <c r="BK23" s="119">
        <f>BK149</f>
        <v>32.477000000000004</v>
      </c>
      <c r="BL23" s="42">
        <f>SUM(BH23:BK23)</f>
        <v>125.029</v>
      </c>
      <c r="BM23" s="120">
        <f>BM149</f>
        <v>28.103999999999999</v>
      </c>
      <c r="BN23" s="139">
        <f>BN149</f>
        <v>29.928000000000001</v>
      </c>
      <c r="BO23" s="139">
        <f>BO149</f>
        <v>34.520000000000003</v>
      </c>
      <c r="BP23" s="119">
        <f>BP149</f>
        <v>32.477000000000004</v>
      </c>
      <c r="BQ23" s="42">
        <f>SUM(BM23:BP23)</f>
        <v>125.029</v>
      </c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</row>
    <row r="24" spans="1:104" x14ac:dyDescent="0.2">
      <c r="A24" s="44"/>
      <c r="B24" s="44"/>
      <c r="C24" s="26" t="s">
        <v>123</v>
      </c>
      <c r="D24" s="42"/>
      <c r="E24" s="121">
        <f t="shared" ref="E24:P24" si="23">SUM(E20:E23,E16)</f>
        <v>860.49499999999989</v>
      </c>
      <c r="F24" s="122">
        <f t="shared" si="23"/>
        <v>652.94299999999998</v>
      </c>
      <c r="G24" s="122">
        <f t="shared" si="23"/>
        <v>718.12799999999993</v>
      </c>
      <c r="H24" s="123">
        <f t="shared" si="23"/>
        <v>981.072</v>
      </c>
      <c r="I24" s="86">
        <f t="shared" si="23"/>
        <v>3212.6379999999999</v>
      </c>
      <c r="J24" s="121">
        <f t="shared" si="23"/>
        <v>1001.6189999999999</v>
      </c>
      <c r="K24" s="122">
        <f t="shared" si="23"/>
        <v>790.61899999999991</v>
      </c>
      <c r="L24" s="122">
        <f t="shared" si="23"/>
        <v>711.91499999999996</v>
      </c>
      <c r="M24" s="123">
        <f t="shared" si="23"/>
        <v>905.16500000000008</v>
      </c>
      <c r="N24" s="86">
        <f t="shared" si="23"/>
        <v>3409.3180000000002</v>
      </c>
      <c r="O24" s="121">
        <f t="shared" si="23"/>
        <v>949.13900000000001</v>
      </c>
      <c r="P24" s="122">
        <f t="shared" si="23"/>
        <v>779.92399999999998</v>
      </c>
      <c r="Q24" s="122">
        <f t="shared" ref="Q24:V24" si="24">SUM(Q20:Q23,Q16)</f>
        <v>797.51199999999994</v>
      </c>
      <c r="R24" s="123">
        <f t="shared" si="24"/>
        <v>920.29500000000007</v>
      </c>
      <c r="S24" s="86">
        <f t="shared" si="24"/>
        <v>3446.8700000000008</v>
      </c>
      <c r="T24" s="121">
        <f t="shared" si="24"/>
        <v>887.14600000000019</v>
      </c>
      <c r="U24" s="122">
        <f t="shared" si="24"/>
        <v>677.19100000000003</v>
      </c>
      <c r="V24" s="122">
        <f t="shared" si="24"/>
        <v>676.89599999999996</v>
      </c>
      <c r="W24" s="123">
        <f t="shared" ref="W24:AD24" si="25">SUM(W20:W23,W16)</f>
        <v>878.84100000000012</v>
      </c>
      <c r="X24" s="86">
        <f t="shared" si="25"/>
        <v>3120.0740000000005</v>
      </c>
      <c r="Y24" s="121">
        <f t="shared" si="25"/>
        <v>905.1579999999999</v>
      </c>
      <c r="Z24" s="122">
        <f t="shared" si="25"/>
        <v>782.75399999999991</v>
      </c>
      <c r="AA24" s="122">
        <f t="shared" si="25"/>
        <v>754.55899999999997</v>
      </c>
      <c r="AB24" s="123">
        <f t="shared" si="25"/>
        <v>931.39800000000014</v>
      </c>
      <c r="AC24" s="86">
        <f t="shared" si="25"/>
        <v>3373.8690000000001</v>
      </c>
      <c r="AD24" s="121">
        <f t="shared" si="25"/>
        <v>995.10599999999999</v>
      </c>
      <c r="AE24" s="122">
        <f t="shared" ref="AE24:AM24" si="26">SUM(AE20:AE23,AE16)</f>
        <v>830.26700000000005</v>
      </c>
      <c r="AF24" s="122">
        <f t="shared" si="26"/>
        <v>788.03800000000001</v>
      </c>
      <c r="AG24" s="123">
        <f t="shared" si="26"/>
        <v>967.36800000000005</v>
      </c>
      <c r="AH24" s="86">
        <f t="shared" si="26"/>
        <v>3580.7789999999995</v>
      </c>
      <c r="AI24" s="121">
        <f t="shared" si="26"/>
        <v>920.05</v>
      </c>
      <c r="AJ24" s="122">
        <f t="shared" si="26"/>
        <v>757.34500000000003</v>
      </c>
      <c r="AK24" s="122">
        <f t="shared" si="26"/>
        <v>729.53</v>
      </c>
      <c r="AL24" s="123">
        <f t="shared" si="26"/>
        <v>856.88699999999994</v>
      </c>
      <c r="AM24" s="86">
        <f t="shared" si="26"/>
        <v>3263.8119999999999</v>
      </c>
      <c r="AN24" s="121">
        <f>SUM(AN20:AN23,AN16)</f>
        <v>834.65100000000007</v>
      </c>
      <c r="AO24" s="122">
        <f>SUM(AO20:AO23,AO16)</f>
        <v>729.22299999999996</v>
      </c>
      <c r="AP24" s="122">
        <f t="shared" ref="AP24:AU24" si="27">SUM(AP20:AP23,AP16)</f>
        <v>743.572</v>
      </c>
      <c r="AQ24" s="123">
        <f t="shared" si="27"/>
        <v>850.72900000000004</v>
      </c>
      <c r="AR24" s="86">
        <f t="shared" si="27"/>
        <v>3158.1750000000002</v>
      </c>
      <c r="AS24" s="121">
        <f>SUM(AS20:AS23,AS16)</f>
        <v>868.11200000000008</v>
      </c>
      <c r="AT24" s="122">
        <f>SUM(AT20:AT23,AT16)</f>
        <v>738.10500000000002</v>
      </c>
      <c r="AU24" s="130">
        <f t="shared" si="27"/>
        <v>704.2650000000001</v>
      </c>
      <c r="AV24" s="123">
        <f t="shared" ref="AV24:AW24" si="28">SUM(AV20:AV23,AV16)</f>
        <v>846.09700000000009</v>
      </c>
      <c r="AW24" s="86">
        <f t="shared" si="28"/>
        <v>3156.5789999999997</v>
      </c>
      <c r="AX24" s="121">
        <f t="shared" ref="AX24:BG24" si="29">SUM(AX20:AX23,AX16)</f>
        <v>899.45363069395376</v>
      </c>
      <c r="AY24" s="130">
        <f t="shared" si="29"/>
        <v>753.38894610242266</v>
      </c>
      <c r="AZ24" s="130">
        <f t="shared" si="29"/>
        <v>723.16827046833782</v>
      </c>
      <c r="BA24" s="123">
        <f t="shared" si="29"/>
        <v>864.61674311435661</v>
      </c>
      <c r="BB24" s="86">
        <f t="shared" si="29"/>
        <v>3240.6275903790711</v>
      </c>
      <c r="BC24" s="121">
        <f t="shared" si="29"/>
        <v>904.04857027607113</v>
      </c>
      <c r="BD24" s="130">
        <f t="shared" si="29"/>
        <v>763.36241786825201</v>
      </c>
      <c r="BE24" s="130">
        <f t="shared" si="29"/>
        <v>732.83088383191182</v>
      </c>
      <c r="BF24" s="123">
        <f t="shared" si="29"/>
        <v>874.00420602072563</v>
      </c>
      <c r="BG24" s="86">
        <f t="shared" si="29"/>
        <v>3274.2460779969606</v>
      </c>
      <c r="BH24" s="121">
        <f t="shared" ref="BH24:BQ24" si="30">SUM(BH20:BH23,BH16)</f>
        <v>916.38630457646286</v>
      </c>
      <c r="BI24" s="130">
        <f t="shared" si="30"/>
        <v>772.02043456202796</v>
      </c>
      <c r="BJ24" s="130">
        <f t="shared" si="30"/>
        <v>741.37820082601615</v>
      </c>
      <c r="BK24" s="123">
        <f t="shared" si="30"/>
        <v>882.48186268640484</v>
      </c>
      <c r="BL24" s="86">
        <f t="shared" si="30"/>
        <v>3312.2668026509118</v>
      </c>
      <c r="BM24" s="121">
        <f t="shared" si="30"/>
        <v>923.24382678531197</v>
      </c>
      <c r="BN24" s="130">
        <f t="shared" si="30"/>
        <v>777.84246878775286</v>
      </c>
      <c r="BO24" s="130">
        <f t="shared" si="30"/>
        <v>747.76870096044593</v>
      </c>
      <c r="BP24" s="123">
        <f t="shared" si="30"/>
        <v>889.4830917674941</v>
      </c>
      <c r="BQ24" s="86">
        <f t="shared" si="30"/>
        <v>3338.338088301005</v>
      </c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</row>
    <row r="25" spans="1:104" x14ac:dyDescent="0.2">
      <c r="A25" s="44"/>
      <c r="B25" s="44"/>
      <c r="C25" s="20"/>
      <c r="D25" s="42"/>
      <c r="E25" s="114"/>
      <c r="F25" s="133"/>
      <c r="G25" s="133"/>
      <c r="H25" s="116"/>
      <c r="I25" s="117"/>
      <c r="J25" s="114"/>
      <c r="K25" s="133"/>
      <c r="L25" s="133"/>
      <c r="M25" s="116"/>
      <c r="N25" s="117"/>
      <c r="O25" s="120"/>
      <c r="P25" s="139"/>
      <c r="Q25" s="139"/>
      <c r="R25" s="116"/>
      <c r="S25" s="117"/>
      <c r="T25" s="120"/>
      <c r="U25" s="139"/>
      <c r="V25" s="139"/>
      <c r="W25" s="116"/>
      <c r="X25" s="117"/>
      <c r="Y25" s="120"/>
      <c r="Z25" s="139"/>
      <c r="AA25" s="139"/>
      <c r="AB25" s="116"/>
      <c r="AC25" s="117"/>
      <c r="AD25" s="120"/>
      <c r="AE25" s="139"/>
      <c r="AF25" s="139"/>
      <c r="AG25" s="116"/>
      <c r="AH25" s="117"/>
      <c r="AI25" s="120"/>
      <c r="AJ25" s="139"/>
      <c r="AK25" s="139"/>
      <c r="AL25" s="116"/>
      <c r="AM25" s="117"/>
      <c r="AN25" s="120"/>
      <c r="AO25" s="139"/>
      <c r="AP25" s="139"/>
      <c r="AQ25" s="116"/>
      <c r="AR25" s="117"/>
      <c r="AS25" s="120"/>
      <c r="AT25" s="139"/>
      <c r="AU25" s="139"/>
      <c r="AV25" s="116"/>
      <c r="AW25" s="117"/>
      <c r="AX25" s="120"/>
      <c r="AY25" s="139"/>
      <c r="AZ25" s="139"/>
      <c r="BA25" s="119"/>
      <c r="BB25" s="44"/>
      <c r="BC25" s="120"/>
      <c r="BD25" s="139"/>
      <c r="BE25" s="139"/>
      <c r="BF25" s="119"/>
      <c r="BG25" s="44"/>
      <c r="BH25" s="120"/>
      <c r="BI25" s="139"/>
      <c r="BJ25" s="139"/>
      <c r="BK25" s="119"/>
      <c r="BL25" s="44"/>
      <c r="BM25" s="120"/>
      <c r="BN25" s="139"/>
      <c r="BO25" s="139"/>
      <c r="BP25" s="119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  <c r="CX25" s="44"/>
      <c r="CY25" s="44"/>
      <c r="CZ25" s="44"/>
    </row>
    <row r="26" spans="1:104" x14ac:dyDescent="0.2">
      <c r="A26" s="44"/>
      <c r="B26" s="44"/>
      <c r="C26" s="26" t="s">
        <v>245</v>
      </c>
      <c r="D26" s="42"/>
      <c r="E26" s="121">
        <f t="shared" ref="E26:N26" si="31">+E11-E24</f>
        <v>141.98300000000006</v>
      </c>
      <c r="F26" s="122">
        <f t="shared" si="31"/>
        <v>116.14999999999998</v>
      </c>
      <c r="G26" s="122">
        <f t="shared" si="31"/>
        <v>169.83200000000011</v>
      </c>
      <c r="H26" s="123">
        <f t="shared" si="31"/>
        <v>167.70600000000002</v>
      </c>
      <c r="I26" s="86">
        <f t="shared" si="31"/>
        <v>595.67100000000028</v>
      </c>
      <c r="J26" s="121">
        <f t="shared" si="31"/>
        <v>201.07799999999997</v>
      </c>
      <c r="K26" s="122">
        <f t="shared" si="31"/>
        <v>156.67700000000002</v>
      </c>
      <c r="L26" s="122">
        <f t="shared" si="31"/>
        <v>243.05499999999995</v>
      </c>
      <c r="M26" s="123">
        <f t="shared" si="31"/>
        <v>154.24199999999985</v>
      </c>
      <c r="N26" s="86">
        <f t="shared" si="31"/>
        <v>755.05199999999968</v>
      </c>
      <c r="O26" s="121">
        <f>O11-O24</f>
        <v>195.30800000000011</v>
      </c>
      <c r="P26" s="122">
        <f>+P11-P24</f>
        <v>153.17600000000004</v>
      </c>
      <c r="Q26" s="122">
        <f>+Q11-Q24</f>
        <v>266.42200000000003</v>
      </c>
      <c r="R26" s="123">
        <f>+R11-R24</f>
        <v>179.02599999999961</v>
      </c>
      <c r="S26" s="86">
        <f>+S11-S24</f>
        <v>793.93199999999888</v>
      </c>
      <c r="T26" s="121">
        <f>T11-T24</f>
        <v>188.90599999999972</v>
      </c>
      <c r="U26" s="122">
        <f>+U11-U24</f>
        <v>192.30999999999995</v>
      </c>
      <c r="V26" s="122">
        <f>+V11-V24</f>
        <v>315.39100000000008</v>
      </c>
      <c r="W26" s="123">
        <f>+W11-W24</f>
        <v>152.61199999999985</v>
      </c>
      <c r="X26" s="86">
        <f>+X11-X24</f>
        <v>849.21899999999914</v>
      </c>
      <c r="Y26" s="121">
        <f>Y11-Y24</f>
        <v>212.29899999999998</v>
      </c>
      <c r="Z26" s="122">
        <f>+Z11-Z24</f>
        <v>183.67499999999995</v>
      </c>
      <c r="AA26" s="122">
        <f>+AA11-AA24</f>
        <v>289.74100000000021</v>
      </c>
      <c r="AB26" s="123">
        <f>+AB11-AB24</f>
        <v>143.04399999999941</v>
      </c>
      <c r="AC26" s="86">
        <f>+AC11-AC24</f>
        <v>828.75899999999956</v>
      </c>
      <c r="AD26" s="121">
        <f>AD11-AD24</f>
        <v>208.43700000000013</v>
      </c>
      <c r="AE26" s="122">
        <f>+AE11-AE24</f>
        <v>163.4369999999999</v>
      </c>
      <c r="AF26" s="122">
        <f>+AF11-AF24</f>
        <v>261.07299999999987</v>
      </c>
      <c r="AG26" s="123">
        <f>+AG11-AG24</f>
        <v>169.42300000000012</v>
      </c>
      <c r="AH26" s="86">
        <f>+AH11-AH24</f>
        <v>802.3700000000008</v>
      </c>
      <c r="AI26" s="121">
        <f>AI11-AI24</f>
        <v>215.40000000000009</v>
      </c>
      <c r="AJ26" s="122">
        <f>+AJ11-AJ24</f>
        <v>195.17599999999993</v>
      </c>
      <c r="AK26" s="122">
        <f>+AK11-AK24</f>
        <v>315.17399999999998</v>
      </c>
      <c r="AL26" s="123">
        <f>+AL11-AL24</f>
        <v>173.95100000000025</v>
      </c>
      <c r="AM26" s="86">
        <f>+AM11-AM24</f>
        <v>899.70100000000002</v>
      </c>
      <c r="AN26" s="121">
        <f>AN11-AN24</f>
        <v>223.19000000000005</v>
      </c>
      <c r="AO26" s="122">
        <f>+AO11-AO24</f>
        <v>180.62900000000002</v>
      </c>
      <c r="AP26" s="122">
        <f t="shared" ref="AP26:AU26" si="32">+AP11-AP24</f>
        <v>315.6049999999999</v>
      </c>
      <c r="AQ26" s="123">
        <f>+AQ11-AQ24</f>
        <v>170.19699999999978</v>
      </c>
      <c r="AR26" s="86">
        <f>+AR11-AR24</f>
        <v>889.62099999999964</v>
      </c>
      <c r="AS26" s="121">
        <f>AS11-AS24</f>
        <v>212.42200000000003</v>
      </c>
      <c r="AT26" s="122">
        <f>+AT11-AT24</f>
        <v>192.81099999999992</v>
      </c>
      <c r="AU26" s="122">
        <f t="shared" si="32"/>
        <v>326.02800000000002</v>
      </c>
      <c r="AV26" s="123">
        <f>+AV11-AV24</f>
        <v>154.66899999999964</v>
      </c>
      <c r="AW26" s="86">
        <f>+AW11-AW24</f>
        <v>885.93000000000029</v>
      </c>
      <c r="AX26" s="121">
        <f t="shared" ref="AX26:BG26" si="33">+AX11-AX24</f>
        <v>202.62912327358504</v>
      </c>
      <c r="AY26" s="122">
        <f t="shared" si="33"/>
        <v>170.60567442911997</v>
      </c>
      <c r="AZ26" s="122">
        <f t="shared" si="33"/>
        <v>280.74718336041633</v>
      </c>
      <c r="BA26" s="123">
        <f t="shared" si="33"/>
        <v>146.69816848216374</v>
      </c>
      <c r="BB26" s="86">
        <f t="shared" si="33"/>
        <v>800.68014954528462</v>
      </c>
      <c r="BC26" s="121">
        <f t="shared" si="33"/>
        <v>217.15962515521846</v>
      </c>
      <c r="BD26" s="122">
        <f t="shared" si="33"/>
        <v>175.53783963264391</v>
      </c>
      <c r="BE26" s="122">
        <f t="shared" si="33"/>
        <v>287.79212172129667</v>
      </c>
      <c r="BF26" s="123">
        <f t="shared" si="33"/>
        <v>154.20572981950431</v>
      </c>
      <c r="BG26" s="86">
        <f t="shared" si="33"/>
        <v>834.69531632866347</v>
      </c>
      <c r="BH26" s="121">
        <f t="shared" ref="BH26:BQ26" si="34">+BH11-BH24</f>
        <v>226.2532634586953</v>
      </c>
      <c r="BI26" s="122">
        <f t="shared" si="34"/>
        <v>182.6004822311844</v>
      </c>
      <c r="BJ26" s="122">
        <f t="shared" si="34"/>
        <v>296.53372848205822</v>
      </c>
      <c r="BK26" s="123">
        <f t="shared" si="34"/>
        <v>164.18405819032773</v>
      </c>
      <c r="BL26" s="86">
        <f t="shared" si="34"/>
        <v>869.57153236226623</v>
      </c>
      <c r="BM26" s="121">
        <f t="shared" si="34"/>
        <v>241.0166981473435</v>
      </c>
      <c r="BN26" s="122">
        <f t="shared" si="34"/>
        <v>192.62244221346657</v>
      </c>
      <c r="BO26" s="122">
        <f t="shared" si="34"/>
        <v>307.10722521629339</v>
      </c>
      <c r="BP26" s="123">
        <f t="shared" si="34"/>
        <v>175.84660521862691</v>
      </c>
      <c r="BQ26" s="86">
        <f t="shared" si="34"/>
        <v>916.59297079573025</v>
      </c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</row>
    <row r="27" spans="1:104" x14ac:dyDescent="0.2">
      <c r="A27" s="44"/>
      <c r="B27" s="44"/>
      <c r="C27" s="20"/>
      <c r="D27" s="42"/>
      <c r="E27" s="120"/>
      <c r="F27" s="139"/>
      <c r="G27" s="139"/>
      <c r="H27" s="119"/>
      <c r="I27" s="42"/>
      <c r="J27" s="120"/>
      <c r="K27" s="139"/>
      <c r="L27" s="139"/>
      <c r="M27" s="119"/>
      <c r="N27" s="42"/>
      <c r="O27" s="120"/>
      <c r="P27" s="118"/>
      <c r="Q27" s="118"/>
      <c r="R27" s="119"/>
      <c r="S27" s="42"/>
      <c r="T27" s="120"/>
      <c r="U27" s="118"/>
      <c r="V27" s="118"/>
      <c r="W27" s="119"/>
      <c r="X27" s="42"/>
      <c r="Y27" s="120"/>
      <c r="Z27" s="118"/>
      <c r="AA27" s="118"/>
      <c r="AB27" s="119"/>
      <c r="AC27" s="42"/>
      <c r="AD27" s="120"/>
      <c r="AE27" s="118"/>
      <c r="AF27" s="118"/>
      <c r="AG27" s="119"/>
      <c r="AH27" s="42"/>
      <c r="AI27" s="120"/>
      <c r="AJ27" s="118"/>
      <c r="AK27" s="118"/>
      <c r="AL27" s="119"/>
      <c r="AM27" s="42"/>
      <c r="AN27" s="120"/>
      <c r="AO27" s="118"/>
      <c r="AP27" s="118"/>
      <c r="AQ27" s="119"/>
      <c r="AR27" s="42"/>
      <c r="AS27" s="120"/>
      <c r="AT27" s="118"/>
      <c r="AU27" s="139"/>
      <c r="AV27" s="119"/>
      <c r="AW27" s="42"/>
      <c r="AX27" s="120"/>
      <c r="AY27" s="139"/>
      <c r="AZ27" s="139"/>
      <c r="BA27" s="119"/>
      <c r="BB27" s="44"/>
      <c r="BC27" s="120"/>
      <c r="BD27" s="139"/>
      <c r="BE27" s="139"/>
      <c r="BF27" s="119"/>
      <c r="BG27" s="44"/>
      <c r="BH27" s="120"/>
      <c r="BI27" s="139"/>
      <c r="BJ27" s="139"/>
      <c r="BK27" s="119"/>
      <c r="BL27" s="44"/>
      <c r="BM27" s="120"/>
      <c r="BN27" s="139"/>
      <c r="BO27" s="139"/>
      <c r="BP27" s="119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</row>
    <row r="28" spans="1:104" x14ac:dyDescent="0.2">
      <c r="A28" s="44"/>
      <c r="B28" s="44"/>
      <c r="C28" s="20" t="s">
        <v>126</v>
      </c>
      <c r="D28" s="42"/>
      <c r="E28" s="114">
        <v>10.135</v>
      </c>
      <c r="F28" s="115">
        <v>9.6890000000000001</v>
      </c>
      <c r="G28" s="115">
        <v>10.396000000000001</v>
      </c>
      <c r="H28" s="119">
        <f>+I28-SUM(E28:G28)</f>
        <v>10.898000000000003</v>
      </c>
      <c r="I28" s="117">
        <v>41.118000000000002</v>
      </c>
      <c r="J28" s="114">
        <v>2.9780000000000002</v>
      </c>
      <c r="K28" s="115">
        <v>3.2789999999999999</v>
      </c>
      <c r="L28" s="115">
        <v>2.544</v>
      </c>
      <c r="M28" s="119">
        <f>+N28-SUM(J28:L28)</f>
        <v>2.5689999999999991</v>
      </c>
      <c r="N28" s="117">
        <v>11.37</v>
      </c>
      <c r="O28" s="114">
        <v>1.619</v>
      </c>
      <c r="P28" s="115">
        <v>1.798</v>
      </c>
      <c r="Q28" s="115">
        <v>1.956</v>
      </c>
      <c r="R28" s="119">
        <f>+S28-SUM(O28:Q28)</f>
        <v>2.3370000000000006</v>
      </c>
      <c r="S28" s="117">
        <v>7.71</v>
      </c>
      <c r="T28" s="114">
        <v>2.726</v>
      </c>
      <c r="U28" s="115">
        <v>3.548</v>
      </c>
      <c r="V28" s="115">
        <v>4.6870000000000003</v>
      </c>
      <c r="W28" s="119">
        <f>+X28-SUM(T28:V28)</f>
        <v>5.3929999999999989</v>
      </c>
      <c r="X28" s="117">
        <v>16.353999999999999</v>
      </c>
      <c r="Y28" s="114">
        <v>5.923</v>
      </c>
      <c r="Z28" s="115">
        <v>6.7910000000000004</v>
      </c>
      <c r="AA28" s="115">
        <v>8.8149999999999995</v>
      </c>
      <c r="AB28" s="119">
        <f>+AC28-SUM(Y28:AA28)</f>
        <v>11.644000000000002</v>
      </c>
      <c r="AC28" s="117">
        <v>33.173000000000002</v>
      </c>
      <c r="AD28" s="114">
        <v>11.43</v>
      </c>
      <c r="AE28" s="115">
        <v>12.952</v>
      </c>
      <c r="AF28" s="115">
        <v>12.315</v>
      </c>
      <c r="AG28" s="119">
        <f>+AH28-SUM(AD28:AF28)</f>
        <v>10.087000000000003</v>
      </c>
      <c r="AH28" s="117">
        <v>46.783999999999999</v>
      </c>
      <c r="AI28" s="114">
        <v>2.806</v>
      </c>
      <c r="AJ28" s="115">
        <v>3.391</v>
      </c>
      <c r="AK28" s="115">
        <v>3.9580000000000002</v>
      </c>
      <c r="AL28" s="119">
        <f>+AM28-SUM(AI28:AK28)</f>
        <v>4.3299999999999983</v>
      </c>
      <c r="AM28" s="117">
        <v>14.484999999999999</v>
      </c>
      <c r="AN28" s="114">
        <v>4.3179999999999996</v>
      </c>
      <c r="AO28" s="115">
        <v>4.0529999999999999</v>
      </c>
      <c r="AP28" s="115">
        <v>5.343</v>
      </c>
      <c r="AQ28" s="119">
        <f>+AR28-SUM(AN28:AP28)</f>
        <v>4.843</v>
      </c>
      <c r="AR28" s="117">
        <v>18.556999999999999</v>
      </c>
      <c r="AS28" s="114">
        <v>4.6079999999999997</v>
      </c>
      <c r="AT28" s="115">
        <v>6.3410000000000002</v>
      </c>
      <c r="AU28" s="115">
        <v>8.6419999999999995</v>
      </c>
      <c r="AV28" s="119">
        <f>+AW28-SUM(AS28:AU28)</f>
        <v>10.212</v>
      </c>
      <c r="AW28" s="117">
        <v>29.803000000000001</v>
      </c>
      <c r="AX28" s="120">
        <f>+AX176</f>
        <v>9.9237884708039665</v>
      </c>
      <c r="AY28" s="118">
        <f>+AY176</f>
        <v>9.9237884708039665</v>
      </c>
      <c r="AZ28" s="118">
        <f>+AZ176</f>
        <v>9.9237884708039665</v>
      </c>
      <c r="BA28" s="119">
        <f>+BA176</f>
        <v>9.9237884708039665</v>
      </c>
      <c r="BB28" s="42">
        <f>SUM(AX28:BA28)</f>
        <v>39.695153883215866</v>
      </c>
      <c r="BC28" s="120">
        <f>+BC176</f>
        <v>6.134705600133362</v>
      </c>
      <c r="BD28" s="118">
        <f>+BD176</f>
        <v>6.134705600133362</v>
      </c>
      <c r="BE28" s="118">
        <f>+BE176</f>
        <v>6.134705600133362</v>
      </c>
      <c r="BF28" s="119">
        <f>+BF176</f>
        <v>6.134705600133362</v>
      </c>
      <c r="BG28" s="42">
        <f>SUM(BC28:BF28)</f>
        <v>24.538822400533448</v>
      </c>
      <c r="BH28" s="120">
        <f>+BH176</f>
        <v>5.7136963922810713</v>
      </c>
      <c r="BI28" s="118">
        <f>+BI176</f>
        <v>5.7136963922810713</v>
      </c>
      <c r="BJ28" s="118">
        <f>+BJ176</f>
        <v>5.7136963922810713</v>
      </c>
      <c r="BK28" s="119">
        <f>+BK176</f>
        <v>5.7136963922810713</v>
      </c>
      <c r="BL28" s="42">
        <f>SUM(BH28:BK28)</f>
        <v>22.854785569124285</v>
      </c>
      <c r="BM28" s="120">
        <f>+BM176</f>
        <v>6.9165798432876135</v>
      </c>
      <c r="BN28" s="118">
        <f>+BN176</f>
        <v>6.9165798432876135</v>
      </c>
      <c r="BO28" s="118">
        <f>+BO176</f>
        <v>6.9165798432876135</v>
      </c>
      <c r="BP28" s="119">
        <f>+BP176</f>
        <v>6.9165798432876135</v>
      </c>
      <c r="BQ28" s="42">
        <f>SUM(BM28:BP28)</f>
        <v>27.666319373150454</v>
      </c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</row>
    <row r="29" spans="1:104" x14ac:dyDescent="0.2">
      <c r="A29" s="44"/>
      <c r="B29" s="44"/>
      <c r="C29" s="20" t="s">
        <v>128</v>
      </c>
      <c r="D29" s="42"/>
      <c r="E29" s="114">
        <v>0.86899999999999999</v>
      </c>
      <c r="F29" s="115">
        <v>2.1120000000000001</v>
      </c>
      <c r="G29" s="115">
        <v>0.42699999999999999</v>
      </c>
      <c r="H29" s="116">
        <f>+I29-SUM(E29:G29)</f>
        <v>1.2879999999999998</v>
      </c>
      <c r="I29" s="117">
        <v>4.6959999999999997</v>
      </c>
      <c r="J29" s="114">
        <v>0.55600000000000005</v>
      </c>
      <c r="K29" s="115">
        <v>1.3260000000000001</v>
      </c>
      <c r="L29" s="115">
        <v>25.949000000000002</v>
      </c>
      <c r="M29" s="116">
        <f>+N29-SUM(J29:L29)</f>
        <v>1.2859999999999978</v>
      </c>
      <c r="N29" s="117">
        <v>29.117000000000001</v>
      </c>
      <c r="O29" s="114">
        <v>1.663</v>
      </c>
      <c r="P29" s="115">
        <v>2.2349999999999999</v>
      </c>
      <c r="Q29" s="115">
        <v>1.806</v>
      </c>
      <c r="R29" s="116">
        <f>+S29-SUM(O29:Q29)</f>
        <v>1.2970000000000006</v>
      </c>
      <c r="S29" s="117">
        <v>7.0010000000000003</v>
      </c>
      <c r="T29" s="114">
        <v>1.032</v>
      </c>
      <c r="U29" s="115">
        <v>1.55</v>
      </c>
      <c r="V29" s="115">
        <v>1</v>
      </c>
      <c r="W29" s="116">
        <f>+X29-SUM(T29:V29)</f>
        <v>1.1539999999999999</v>
      </c>
      <c r="X29" s="117">
        <v>4.7359999999999998</v>
      </c>
      <c r="Y29" s="114">
        <v>1.577</v>
      </c>
      <c r="Z29" s="115">
        <v>1.3220000000000001</v>
      </c>
      <c r="AA29" s="115">
        <v>0.94599999999999995</v>
      </c>
      <c r="AB29" s="116">
        <f>+AC29-SUM(Y29:AA29)</f>
        <v>-0.70899999999999963</v>
      </c>
      <c r="AC29" s="117">
        <v>3.1360000000000001</v>
      </c>
      <c r="AD29" s="114">
        <v>0.79700000000000004</v>
      </c>
      <c r="AE29" s="115">
        <v>0.91200000000000003</v>
      </c>
      <c r="AF29" s="115">
        <v>1.72</v>
      </c>
      <c r="AG29" s="116">
        <f>+AH29-SUM(AD29:AF29)</f>
        <v>0.83599999999999941</v>
      </c>
      <c r="AH29" s="117">
        <v>4.2649999999999997</v>
      </c>
      <c r="AI29" s="114">
        <v>0.68700000000000006</v>
      </c>
      <c r="AJ29" s="115">
        <v>0.76500000000000001</v>
      </c>
      <c r="AK29" s="115">
        <v>1.222</v>
      </c>
      <c r="AL29" s="116">
        <f>+AM29-SUM(AI29:AK29)</f>
        <v>0.29000000000000004</v>
      </c>
      <c r="AM29" s="117">
        <v>2.964</v>
      </c>
      <c r="AN29" s="114">
        <v>0.44900000000000001</v>
      </c>
      <c r="AO29" s="115">
        <v>0.84399999999999997</v>
      </c>
      <c r="AP29" s="115">
        <v>0.54400000000000004</v>
      </c>
      <c r="AQ29" s="116">
        <f>+AR29-SUM(AN29:AP29)</f>
        <v>1.9800000000000002</v>
      </c>
      <c r="AR29" s="117">
        <v>3.8170000000000002</v>
      </c>
      <c r="AS29" s="114">
        <v>3.7170000000000001</v>
      </c>
      <c r="AT29" s="115">
        <v>1.8320000000000001</v>
      </c>
      <c r="AU29" s="115">
        <v>1.536</v>
      </c>
      <c r="AV29" s="116">
        <f>+AW29-SUM(AS29:AU29)</f>
        <v>2.7669999999999995</v>
      </c>
      <c r="AW29" s="117">
        <v>9.8520000000000003</v>
      </c>
      <c r="AX29" s="120">
        <f>+AS29</f>
        <v>3.7170000000000001</v>
      </c>
      <c r="AY29" s="118">
        <f>+AT29</f>
        <v>1.8320000000000001</v>
      </c>
      <c r="AZ29" s="118">
        <f>+AU29</f>
        <v>1.536</v>
      </c>
      <c r="BA29" s="116">
        <f>+AV29</f>
        <v>2.7669999999999995</v>
      </c>
      <c r="BB29" s="42">
        <f>SUM(AX29:BA29)</f>
        <v>9.8520000000000003</v>
      </c>
      <c r="BC29" s="120">
        <f>+AX29</f>
        <v>3.7170000000000001</v>
      </c>
      <c r="BD29" s="118">
        <f>+AY29</f>
        <v>1.8320000000000001</v>
      </c>
      <c r="BE29" s="118">
        <f>+AZ29</f>
        <v>1.536</v>
      </c>
      <c r="BF29" s="116">
        <f>+BA29</f>
        <v>2.7669999999999995</v>
      </c>
      <c r="BG29" s="42">
        <f>SUM(BC29:BF29)</f>
        <v>9.8520000000000003</v>
      </c>
      <c r="BH29" s="120">
        <f>+BC29</f>
        <v>3.7170000000000001</v>
      </c>
      <c r="BI29" s="118">
        <f>+BD29</f>
        <v>1.8320000000000001</v>
      </c>
      <c r="BJ29" s="118">
        <f>+BE29</f>
        <v>1.536</v>
      </c>
      <c r="BK29" s="116">
        <f>+BF29</f>
        <v>2.7669999999999995</v>
      </c>
      <c r="BL29" s="42">
        <f>SUM(BH29:BK29)</f>
        <v>9.8520000000000003</v>
      </c>
      <c r="BM29" s="120">
        <f>+BH29</f>
        <v>3.7170000000000001</v>
      </c>
      <c r="BN29" s="118">
        <f>+BI29</f>
        <v>1.8320000000000001</v>
      </c>
      <c r="BO29" s="118">
        <f>+BJ29</f>
        <v>1.536</v>
      </c>
      <c r="BP29" s="116">
        <f>+BK29</f>
        <v>2.7669999999999995</v>
      </c>
      <c r="BQ29" s="42">
        <f>SUM(BM29:BP29)</f>
        <v>9.8520000000000003</v>
      </c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44"/>
      <c r="CY29" s="44"/>
      <c r="CZ29" s="44"/>
    </row>
    <row r="30" spans="1:104" x14ac:dyDescent="0.2">
      <c r="A30" s="44"/>
      <c r="B30" s="44"/>
      <c r="C30" s="26" t="s">
        <v>129</v>
      </c>
      <c r="D30" s="82"/>
      <c r="E30" s="124">
        <f t="shared" ref="E30:P30" si="35">SUM(E28:E29)</f>
        <v>11.004</v>
      </c>
      <c r="F30" s="129">
        <f t="shared" si="35"/>
        <v>11.801</v>
      </c>
      <c r="G30" s="129">
        <f t="shared" si="35"/>
        <v>10.823</v>
      </c>
      <c r="H30" s="126">
        <f t="shared" si="35"/>
        <v>12.186000000000003</v>
      </c>
      <c r="I30" s="127">
        <f t="shared" si="35"/>
        <v>45.814</v>
      </c>
      <c r="J30" s="124">
        <f t="shared" si="35"/>
        <v>3.5340000000000003</v>
      </c>
      <c r="K30" s="129">
        <f t="shared" si="35"/>
        <v>4.6050000000000004</v>
      </c>
      <c r="L30" s="129">
        <f t="shared" si="35"/>
        <v>28.493000000000002</v>
      </c>
      <c r="M30" s="126">
        <f t="shared" si="35"/>
        <v>3.8549999999999969</v>
      </c>
      <c r="N30" s="127">
        <f t="shared" si="35"/>
        <v>40.487000000000002</v>
      </c>
      <c r="O30" s="124">
        <f t="shared" si="35"/>
        <v>3.282</v>
      </c>
      <c r="P30" s="129">
        <f t="shared" si="35"/>
        <v>4.0329999999999995</v>
      </c>
      <c r="Q30" s="129">
        <f t="shared" ref="Q30:V30" si="36">SUM(Q28:Q29)</f>
        <v>3.762</v>
      </c>
      <c r="R30" s="126">
        <f t="shared" si="36"/>
        <v>3.6340000000000012</v>
      </c>
      <c r="S30" s="127">
        <f t="shared" si="36"/>
        <v>14.711</v>
      </c>
      <c r="T30" s="124">
        <f t="shared" si="36"/>
        <v>3.758</v>
      </c>
      <c r="U30" s="129">
        <f t="shared" si="36"/>
        <v>5.0979999999999999</v>
      </c>
      <c r="V30" s="129">
        <f t="shared" si="36"/>
        <v>5.6870000000000003</v>
      </c>
      <c r="W30" s="126">
        <f t="shared" ref="W30:AD30" si="37">SUM(W28:W29)</f>
        <v>6.5469999999999988</v>
      </c>
      <c r="X30" s="127">
        <f t="shared" si="37"/>
        <v>21.09</v>
      </c>
      <c r="Y30" s="124">
        <f t="shared" si="37"/>
        <v>7.5</v>
      </c>
      <c r="Z30" s="129">
        <f t="shared" si="37"/>
        <v>8.1129999999999995</v>
      </c>
      <c r="AA30" s="129">
        <f t="shared" si="37"/>
        <v>9.7609999999999992</v>
      </c>
      <c r="AB30" s="126">
        <f t="shared" si="37"/>
        <v>10.935000000000002</v>
      </c>
      <c r="AC30" s="127">
        <f t="shared" si="37"/>
        <v>36.309000000000005</v>
      </c>
      <c r="AD30" s="124">
        <f t="shared" si="37"/>
        <v>12.227</v>
      </c>
      <c r="AE30" s="129">
        <f t="shared" ref="AE30:AM30" si="38">SUM(AE28:AE29)</f>
        <v>13.864000000000001</v>
      </c>
      <c r="AF30" s="129">
        <f t="shared" si="38"/>
        <v>14.035</v>
      </c>
      <c r="AG30" s="126">
        <f t="shared" si="38"/>
        <v>10.923000000000002</v>
      </c>
      <c r="AH30" s="127">
        <f t="shared" si="38"/>
        <v>51.048999999999999</v>
      </c>
      <c r="AI30" s="124">
        <f t="shared" si="38"/>
        <v>3.4930000000000003</v>
      </c>
      <c r="AJ30" s="129">
        <f t="shared" si="38"/>
        <v>4.1559999999999997</v>
      </c>
      <c r="AK30" s="129">
        <f t="shared" si="38"/>
        <v>5.18</v>
      </c>
      <c r="AL30" s="126">
        <f t="shared" si="38"/>
        <v>4.6199999999999983</v>
      </c>
      <c r="AM30" s="127">
        <f t="shared" si="38"/>
        <v>17.448999999999998</v>
      </c>
      <c r="AN30" s="124">
        <f>SUM(AN28:AN29)</f>
        <v>4.7669999999999995</v>
      </c>
      <c r="AO30" s="129">
        <f>SUM(AO28:AO29)</f>
        <v>4.8970000000000002</v>
      </c>
      <c r="AP30" s="129">
        <f t="shared" ref="AP30:AR30" si="39">SUM(AP28:AP29)</f>
        <v>5.8870000000000005</v>
      </c>
      <c r="AQ30" s="126">
        <f t="shared" si="39"/>
        <v>6.8230000000000004</v>
      </c>
      <c r="AR30" s="127">
        <f t="shared" si="39"/>
        <v>22.373999999999999</v>
      </c>
      <c r="AS30" s="124">
        <f>SUM(AS28:AS29)</f>
        <v>8.3249999999999993</v>
      </c>
      <c r="AT30" s="129">
        <f>SUM(AT28:AT29)</f>
        <v>8.173</v>
      </c>
      <c r="AU30" s="129">
        <f>SUM(AU28:AU29)</f>
        <v>10.177999999999999</v>
      </c>
      <c r="AV30" s="126">
        <f t="shared" ref="AV30:AW30" si="40">SUM(AV28:AV29)</f>
        <v>12.978999999999999</v>
      </c>
      <c r="AW30" s="127">
        <f t="shared" si="40"/>
        <v>39.655000000000001</v>
      </c>
      <c r="AX30" s="121">
        <f t="shared" ref="AX30:BG30" si="41">SUM(AX28:AX29)</f>
        <v>13.640788470803967</v>
      </c>
      <c r="AY30" s="122">
        <f t="shared" si="41"/>
        <v>11.755788470803967</v>
      </c>
      <c r="AZ30" s="122">
        <f t="shared" si="41"/>
        <v>11.459788470803966</v>
      </c>
      <c r="BA30" s="123">
        <f t="shared" si="41"/>
        <v>12.690788470803966</v>
      </c>
      <c r="BB30" s="86">
        <f t="shared" si="41"/>
        <v>49.54715388321587</v>
      </c>
      <c r="BC30" s="121">
        <f t="shared" si="41"/>
        <v>9.8517056001333625</v>
      </c>
      <c r="BD30" s="122">
        <f t="shared" si="41"/>
        <v>7.9667056001333618</v>
      </c>
      <c r="BE30" s="122">
        <f t="shared" si="41"/>
        <v>7.6707056001333616</v>
      </c>
      <c r="BF30" s="123">
        <f t="shared" si="41"/>
        <v>8.9017056001333614</v>
      </c>
      <c r="BG30" s="86">
        <f t="shared" si="41"/>
        <v>34.390822400533452</v>
      </c>
      <c r="BH30" s="121">
        <f t="shared" ref="BH30:BQ30" si="42">SUM(BH28:BH29)</f>
        <v>9.4306963922810709</v>
      </c>
      <c r="BI30" s="122">
        <f t="shared" si="42"/>
        <v>7.5456963922810711</v>
      </c>
      <c r="BJ30" s="122">
        <f t="shared" si="42"/>
        <v>7.2496963922810718</v>
      </c>
      <c r="BK30" s="123">
        <f t="shared" si="42"/>
        <v>8.4806963922810716</v>
      </c>
      <c r="BL30" s="86">
        <f t="shared" si="42"/>
        <v>32.706785569124285</v>
      </c>
      <c r="BM30" s="121">
        <f t="shared" si="42"/>
        <v>10.633579843287613</v>
      </c>
      <c r="BN30" s="122">
        <f t="shared" si="42"/>
        <v>8.7485798432876134</v>
      </c>
      <c r="BO30" s="122">
        <f t="shared" si="42"/>
        <v>8.452579843287614</v>
      </c>
      <c r="BP30" s="123">
        <f t="shared" si="42"/>
        <v>9.6835798432876139</v>
      </c>
      <c r="BQ30" s="86">
        <f t="shared" si="42"/>
        <v>37.518319373150455</v>
      </c>
      <c r="BR30" s="220"/>
      <c r="BS30" s="220"/>
      <c r="BT30" s="220"/>
      <c r="BU30" s="220"/>
      <c r="BV30" s="220"/>
      <c r="BW30" s="220"/>
      <c r="BX30" s="220"/>
      <c r="BY30" s="220"/>
      <c r="BZ30" s="220"/>
      <c r="CA30" s="220"/>
      <c r="CB30" s="220"/>
      <c r="CC30" s="220"/>
      <c r="CD30" s="220"/>
      <c r="CE30" s="220"/>
      <c r="CF30" s="220"/>
      <c r="CG30" s="220"/>
      <c r="CH30" s="220"/>
      <c r="CI30" s="220"/>
      <c r="CJ30" s="220"/>
      <c r="CK30" s="220"/>
      <c r="CL30" s="220"/>
      <c r="CM30" s="220"/>
      <c r="CN30" s="220"/>
      <c r="CO30" s="220"/>
      <c r="CP30" s="220"/>
      <c r="CQ30" s="220"/>
      <c r="CR30" s="220"/>
      <c r="CS30" s="220"/>
      <c r="CT30" s="220"/>
      <c r="CU30" s="220"/>
      <c r="CV30" s="220"/>
      <c r="CW30" s="220"/>
      <c r="CX30" s="220"/>
      <c r="CY30" s="220"/>
      <c r="CZ30" s="220"/>
    </row>
    <row r="31" spans="1:104" x14ac:dyDescent="0.2">
      <c r="A31" s="44"/>
      <c r="B31" s="44"/>
      <c r="C31" s="20"/>
      <c r="D31" s="42"/>
      <c r="E31" s="148"/>
      <c r="F31" s="149"/>
      <c r="G31" s="149"/>
      <c r="H31" s="150"/>
      <c r="I31" s="34"/>
      <c r="J31" s="148"/>
      <c r="K31" s="149"/>
      <c r="L31" s="149"/>
      <c r="M31" s="150"/>
      <c r="N31" s="34"/>
      <c r="O31" s="148"/>
      <c r="P31" s="139"/>
      <c r="Q31" s="139"/>
      <c r="R31" s="150"/>
      <c r="S31" s="34"/>
      <c r="T31" s="148"/>
      <c r="U31" s="139"/>
      <c r="V31" s="139"/>
      <c r="W31" s="150"/>
      <c r="X31" s="34"/>
      <c r="Y31" s="148"/>
      <c r="Z31" s="139"/>
      <c r="AA31" s="139"/>
      <c r="AB31" s="150"/>
      <c r="AC31" s="34"/>
      <c r="AD31" s="148"/>
      <c r="AE31" s="139"/>
      <c r="AF31" s="139"/>
      <c r="AG31" s="150"/>
      <c r="AH31" s="34"/>
      <c r="AI31" s="148"/>
      <c r="AJ31" s="139"/>
      <c r="AK31" s="139"/>
      <c r="AL31" s="150"/>
      <c r="AM31" s="34"/>
      <c r="AN31" s="148"/>
      <c r="AO31" s="139"/>
      <c r="AP31" s="139"/>
      <c r="AQ31" s="150"/>
      <c r="AR31" s="34"/>
      <c r="AS31" s="148"/>
      <c r="AT31" s="139"/>
      <c r="AU31" s="139"/>
      <c r="AV31" s="150"/>
      <c r="AW31" s="34"/>
      <c r="AX31" s="120"/>
      <c r="AY31" s="139"/>
      <c r="AZ31" s="139"/>
      <c r="BA31" s="119"/>
      <c r="BB31" s="44"/>
      <c r="BC31" s="120"/>
      <c r="BD31" s="139"/>
      <c r="BE31" s="139"/>
      <c r="BF31" s="119"/>
      <c r="BG31" s="44"/>
      <c r="BH31" s="120"/>
      <c r="BI31" s="139"/>
      <c r="BJ31" s="139"/>
      <c r="BK31" s="119"/>
      <c r="BL31" s="44"/>
      <c r="BM31" s="120"/>
      <c r="BN31" s="139"/>
      <c r="BO31" s="139"/>
      <c r="BP31" s="119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44"/>
      <c r="CY31" s="44"/>
      <c r="CZ31" s="44"/>
    </row>
    <row r="32" spans="1:104" x14ac:dyDescent="0.2">
      <c r="A32" s="44"/>
      <c r="B32" s="44"/>
      <c r="C32" s="26" t="s">
        <v>130</v>
      </c>
      <c r="D32" s="42"/>
      <c r="E32" s="121">
        <f t="shared" ref="E32:P32" si="43">E26+E30</f>
        <v>152.98700000000005</v>
      </c>
      <c r="F32" s="122">
        <f t="shared" si="43"/>
        <v>127.95099999999998</v>
      </c>
      <c r="G32" s="122">
        <f t="shared" si="43"/>
        <v>180.65500000000011</v>
      </c>
      <c r="H32" s="123">
        <f t="shared" si="43"/>
        <v>179.89200000000002</v>
      </c>
      <c r="I32" s="86">
        <f t="shared" si="43"/>
        <v>641.48500000000024</v>
      </c>
      <c r="J32" s="121">
        <f t="shared" si="43"/>
        <v>204.61199999999997</v>
      </c>
      <c r="K32" s="122">
        <f t="shared" si="43"/>
        <v>161.28200000000001</v>
      </c>
      <c r="L32" s="122">
        <f t="shared" si="43"/>
        <v>271.54799999999994</v>
      </c>
      <c r="M32" s="123">
        <f t="shared" si="43"/>
        <v>158.09699999999984</v>
      </c>
      <c r="N32" s="86">
        <f t="shared" si="43"/>
        <v>795.53899999999965</v>
      </c>
      <c r="O32" s="121">
        <f t="shared" si="43"/>
        <v>198.59000000000012</v>
      </c>
      <c r="P32" s="122">
        <f t="shared" si="43"/>
        <v>157.20900000000003</v>
      </c>
      <c r="Q32" s="122">
        <f>Q26+Q30</f>
        <v>270.18400000000003</v>
      </c>
      <c r="R32" s="123">
        <f>R26+R30</f>
        <v>182.65999999999963</v>
      </c>
      <c r="S32" s="86">
        <f>S26+S30</f>
        <v>808.64299999999889</v>
      </c>
      <c r="T32" s="121">
        <f>T26+T30</f>
        <v>192.66399999999973</v>
      </c>
      <c r="U32" s="122">
        <f>U26+U30</f>
        <v>197.40799999999996</v>
      </c>
      <c r="V32" s="122">
        <f t="shared" ref="V32:AA32" si="44">V26+V30</f>
        <v>321.07800000000009</v>
      </c>
      <c r="W32" s="123">
        <f t="shared" si="44"/>
        <v>159.15899999999985</v>
      </c>
      <c r="X32" s="86">
        <f t="shared" si="44"/>
        <v>870.30899999999917</v>
      </c>
      <c r="Y32" s="121">
        <f t="shared" si="44"/>
        <v>219.79899999999998</v>
      </c>
      <c r="Z32" s="122">
        <f t="shared" si="44"/>
        <v>191.78799999999995</v>
      </c>
      <c r="AA32" s="122">
        <f t="shared" si="44"/>
        <v>299.50200000000024</v>
      </c>
      <c r="AB32" s="123">
        <f t="shared" ref="AB32:AH32" si="45">AB26+AB30</f>
        <v>153.97899999999942</v>
      </c>
      <c r="AC32" s="86">
        <f t="shared" si="45"/>
        <v>865.06799999999953</v>
      </c>
      <c r="AD32" s="121">
        <f t="shared" si="45"/>
        <v>220.66400000000013</v>
      </c>
      <c r="AE32" s="122">
        <f t="shared" si="45"/>
        <v>177.3009999999999</v>
      </c>
      <c r="AF32" s="122">
        <f t="shared" si="45"/>
        <v>275.10799999999989</v>
      </c>
      <c r="AG32" s="123">
        <f t="shared" si="45"/>
        <v>180.34600000000012</v>
      </c>
      <c r="AH32" s="86">
        <f t="shared" si="45"/>
        <v>853.41900000000078</v>
      </c>
      <c r="AI32" s="121">
        <f t="shared" ref="AI32:AN32" si="46">AI26+AI30</f>
        <v>218.89300000000009</v>
      </c>
      <c r="AJ32" s="122">
        <f t="shared" si="46"/>
        <v>199.33199999999994</v>
      </c>
      <c r="AK32" s="122">
        <f t="shared" si="46"/>
        <v>320.35399999999998</v>
      </c>
      <c r="AL32" s="123">
        <f t="shared" si="46"/>
        <v>178.57100000000025</v>
      </c>
      <c r="AM32" s="86">
        <f t="shared" si="46"/>
        <v>917.15</v>
      </c>
      <c r="AN32" s="121">
        <f t="shared" si="46"/>
        <v>227.95700000000005</v>
      </c>
      <c r="AO32" s="122">
        <f>AO26+AO30</f>
        <v>185.52600000000001</v>
      </c>
      <c r="AP32" s="122">
        <f t="shared" ref="AP32:AS32" si="47">AP26+AP30</f>
        <v>321.4919999999999</v>
      </c>
      <c r="AQ32" s="123">
        <f t="shared" si="47"/>
        <v>177.01999999999978</v>
      </c>
      <c r="AR32" s="86">
        <f t="shared" si="47"/>
        <v>911.99499999999966</v>
      </c>
      <c r="AS32" s="121">
        <f t="shared" si="47"/>
        <v>220.74700000000001</v>
      </c>
      <c r="AT32" s="122">
        <f>AT26+AT30</f>
        <v>200.98399999999992</v>
      </c>
      <c r="AU32" s="122">
        <f>AU26+AU30</f>
        <v>336.20600000000002</v>
      </c>
      <c r="AV32" s="123">
        <f t="shared" ref="AV32:AW32" si="48">AV26+AV30</f>
        <v>167.64799999999963</v>
      </c>
      <c r="AW32" s="86">
        <f t="shared" si="48"/>
        <v>925.58500000000026</v>
      </c>
      <c r="AX32" s="121">
        <f t="shared" ref="AX32:BG32" si="49">AX26+AX30</f>
        <v>216.26991174438899</v>
      </c>
      <c r="AY32" s="122">
        <f t="shared" si="49"/>
        <v>182.36146289992394</v>
      </c>
      <c r="AZ32" s="122">
        <f t="shared" si="49"/>
        <v>292.2069718312203</v>
      </c>
      <c r="BA32" s="123">
        <f t="shared" si="49"/>
        <v>159.3889569529677</v>
      </c>
      <c r="BB32" s="86">
        <f t="shared" si="49"/>
        <v>850.22730342850048</v>
      </c>
      <c r="BC32" s="121">
        <f t="shared" si="49"/>
        <v>227.01133075535182</v>
      </c>
      <c r="BD32" s="122">
        <f t="shared" si="49"/>
        <v>183.50454523277728</v>
      </c>
      <c r="BE32" s="122">
        <f t="shared" si="49"/>
        <v>295.46282732143004</v>
      </c>
      <c r="BF32" s="123">
        <f t="shared" si="49"/>
        <v>163.10743541963768</v>
      </c>
      <c r="BG32" s="86">
        <f t="shared" si="49"/>
        <v>869.08613872919693</v>
      </c>
      <c r="BH32" s="121">
        <f t="shared" ref="BH32:BQ32" si="50">BH26+BH30</f>
        <v>235.68395985097638</v>
      </c>
      <c r="BI32" s="122">
        <f t="shared" si="50"/>
        <v>190.14617862346546</v>
      </c>
      <c r="BJ32" s="122">
        <f t="shared" si="50"/>
        <v>303.78342487433929</v>
      </c>
      <c r="BK32" s="123">
        <f t="shared" si="50"/>
        <v>172.66475458260879</v>
      </c>
      <c r="BL32" s="86">
        <f t="shared" si="50"/>
        <v>902.27831793139046</v>
      </c>
      <c r="BM32" s="121">
        <f t="shared" si="50"/>
        <v>251.65027799063111</v>
      </c>
      <c r="BN32" s="122">
        <f t="shared" si="50"/>
        <v>201.37102205675419</v>
      </c>
      <c r="BO32" s="122">
        <f t="shared" si="50"/>
        <v>315.55980505958098</v>
      </c>
      <c r="BP32" s="123">
        <f t="shared" si="50"/>
        <v>185.53018506191452</v>
      </c>
      <c r="BQ32" s="86">
        <f t="shared" si="50"/>
        <v>954.11129016888071</v>
      </c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</row>
    <row r="33" spans="1:104" x14ac:dyDescent="0.2">
      <c r="A33" s="44"/>
      <c r="B33" s="44"/>
      <c r="C33" s="26" t="s">
        <v>131</v>
      </c>
      <c r="D33" s="42"/>
      <c r="E33" s="121">
        <f t="shared" ref="E33:P33" si="51">+E32+E21</f>
        <v>215.53400000000005</v>
      </c>
      <c r="F33" s="122">
        <f t="shared" si="51"/>
        <v>190.86599999999999</v>
      </c>
      <c r="G33" s="122">
        <f t="shared" si="51"/>
        <v>245.09100000000012</v>
      </c>
      <c r="H33" s="123">
        <f t="shared" si="51"/>
        <v>246.05600000000004</v>
      </c>
      <c r="I33" s="86">
        <f t="shared" si="51"/>
        <v>897.54700000000025</v>
      </c>
      <c r="J33" s="121">
        <f t="shared" si="51"/>
        <v>271.57799999999997</v>
      </c>
      <c r="K33" s="122">
        <f t="shared" si="51"/>
        <v>230.49900000000002</v>
      </c>
      <c r="L33" s="122">
        <f t="shared" si="51"/>
        <v>344.08799999999997</v>
      </c>
      <c r="M33" s="123">
        <f t="shared" si="51"/>
        <v>233.51299999999983</v>
      </c>
      <c r="N33" s="86">
        <f t="shared" si="51"/>
        <v>1079.6779999999997</v>
      </c>
      <c r="O33" s="121">
        <f t="shared" si="51"/>
        <v>278.55900000000008</v>
      </c>
      <c r="P33" s="122">
        <f t="shared" si="51"/>
        <v>237.48600000000005</v>
      </c>
      <c r="Q33" s="122">
        <f t="shared" ref="Q33:V33" si="52">+Q32+Q21</f>
        <v>355.33000000000004</v>
      </c>
      <c r="R33" s="123">
        <f t="shared" si="52"/>
        <v>265.84999999999962</v>
      </c>
      <c r="S33" s="86">
        <f t="shared" si="52"/>
        <v>1137.224999999999</v>
      </c>
      <c r="T33" s="121">
        <f t="shared" si="52"/>
        <v>276.2529999999997</v>
      </c>
      <c r="U33" s="122">
        <f t="shared" si="52"/>
        <v>277.55899999999997</v>
      </c>
      <c r="V33" s="122">
        <f t="shared" si="52"/>
        <v>406.98300000000006</v>
      </c>
      <c r="W33" s="123">
        <f t="shared" ref="W33:AD33" si="53">+W32+W21</f>
        <v>248.34099999999984</v>
      </c>
      <c r="X33" s="86">
        <f t="shared" si="53"/>
        <v>1209.1359999999991</v>
      </c>
      <c r="Y33" s="121">
        <f t="shared" si="53"/>
        <v>309.34899999999999</v>
      </c>
      <c r="Z33" s="122">
        <f t="shared" si="53"/>
        <v>280.86699999999996</v>
      </c>
      <c r="AA33" s="122">
        <f t="shared" si="53"/>
        <v>388.07900000000024</v>
      </c>
      <c r="AB33" s="123">
        <f t="shared" si="53"/>
        <v>247.18999999999937</v>
      </c>
      <c r="AC33" s="86">
        <f t="shared" si="53"/>
        <v>1225.4849999999994</v>
      </c>
      <c r="AD33" s="121">
        <f t="shared" si="53"/>
        <v>313.98000000000013</v>
      </c>
      <c r="AE33" s="122">
        <f t="shared" ref="AE33:AM33" si="54">+AE32+AE21</f>
        <v>272.41599999999988</v>
      </c>
      <c r="AF33" s="122">
        <f t="shared" si="54"/>
        <v>370.18299999999988</v>
      </c>
      <c r="AG33" s="123">
        <f t="shared" si="54"/>
        <v>276.04200000000014</v>
      </c>
      <c r="AH33" s="86">
        <f t="shared" si="54"/>
        <v>1232.6210000000008</v>
      </c>
      <c r="AI33" s="121">
        <f t="shared" si="54"/>
        <v>318.93600000000009</v>
      </c>
      <c r="AJ33" s="122">
        <f t="shared" si="54"/>
        <v>300.57799999999992</v>
      </c>
      <c r="AK33" s="122">
        <f t="shared" si="54"/>
        <v>424.58199999999999</v>
      </c>
      <c r="AL33" s="123">
        <f t="shared" si="54"/>
        <v>284.72100000000023</v>
      </c>
      <c r="AM33" s="86">
        <f t="shared" si="54"/>
        <v>1328.817</v>
      </c>
      <c r="AN33" s="121">
        <f>+AN32+AN21</f>
        <v>336.83800000000008</v>
      </c>
      <c r="AO33" s="122">
        <f>+AO32+AO21</f>
        <v>295.435</v>
      </c>
      <c r="AP33" s="122">
        <f t="shared" ref="AP33:AR33" si="55">+AP32+AP21</f>
        <v>433.2949999999999</v>
      </c>
      <c r="AQ33" s="123">
        <f t="shared" si="55"/>
        <v>289.98199999999974</v>
      </c>
      <c r="AR33" s="86">
        <f t="shared" si="55"/>
        <v>1355.5499999999997</v>
      </c>
      <c r="AS33" s="121">
        <f>+AS32+AS21</f>
        <v>335.74099999999999</v>
      </c>
      <c r="AT33" s="122">
        <f>+AT32+AT21</f>
        <v>318.49699999999996</v>
      </c>
      <c r="AU33" s="122">
        <f>+AU32+AU21</f>
        <v>454.495</v>
      </c>
      <c r="AV33" s="123">
        <f t="shared" ref="AV33:AW33" si="56">+AV32+AV21</f>
        <v>288.36699999999962</v>
      </c>
      <c r="AW33" s="86">
        <f t="shared" si="56"/>
        <v>1397.1000000000004</v>
      </c>
      <c r="AX33" s="121">
        <f t="shared" ref="AX33:BG33" si="57">+AX32+AX21</f>
        <v>346.38404174438904</v>
      </c>
      <c r="AY33" s="122">
        <f t="shared" si="57"/>
        <v>312.85135906186224</v>
      </c>
      <c r="AZ33" s="122">
        <f t="shared" si="57"/>
        <v>424.26696903153925</v>
      </c>
      <c r="BA33" s="123">
        <f t="shared" si="57"/>
        <v>293.0033541812835</v>
      </c>
      <c r="BB33" s="86">
        <f t="shared" si="57"/>
        <v>1376.5057240190736</v>
      </c>
      <c r="BC33" s="121">
        <f t="shared" si="57"/>
        <v>358.7857526799836</v>
      </c>
      <c r="BD33" s="122">
        <f t="shared" si="57"/>
        <v>320.70253745667685</v>
      </c>
      <c r="BE33" s="122">
        <f t="shared" si="57"/>
        <v>433.80938912114658</v>
      </c>
      <c r="BF33" s="123">
        <f t="shared" si="57"/>
        <v>302.591368241807</v>
      </c>
      <c r="BG33" s="86">
        <f t="shared" si="57"/>
        <v>1415.8890474996142</v>
      </c>
      <c r="BH33" s="121">
        <f t="shared" ref="BH33:BQ33" si="58">+BH32+BH21</f>
        <v>376.81907542615818</v>
      </c>
      <c r="BI33" s="122">
        <f t="shared" si="58"/>
        <v>332.69523500995069</v>
      </c>
      <c r="BJ33" s="122">
        <f t="shared" si="58"/>
        <v>447.26170888766723</v>
      </c>
      <c r="BK33" s="123">
        <f t="shared" si="58"/>
        <v>317.06317243234798</v>
      </c>
      <c r="BL33" s="86">
        <f t="shared" si="58"/>
        <v>1473.8391917561248</v>
      </c>
      <c r="BM33" s="121">
        <f t="shared" si="58"/>
        <v>396.62287214037764</v>
      </c>
      <c r="BN33" s="122">
        <f t="shared" si="58"/>
        <v>346.39297184033512</v>
      </c>
      <c r="BO33" s="122">
        <f t="shared" si="58"/>
        <v>461.97286830475736</v>
      </c>
      <c r="BP33" s="123">
        <f t="shared" si="58"/>
        <v>333.32077934907784</v>
      </c>
      <c r="BQ33" s="86">
        <f t="shared" si="58"/>
        <v>1538.3094916345478</v>
      </c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</row>
    <row r="34" spans="1:104" x14ac:dyDescent="0.2">
      <c r="A34" s="44"/>
      <c r="B34" s="44"/>
      <c r="C34" s="20"/>
      <c r="D34" s="42"/>
      <c r="E34" s="148"/>
      <c r="F34" s="149"/>
      <c r="G34" s="149"/>
      <c r="H34" s="150"/>
      <c r="I34" s="42"/>
      <c r="J34" s="148"/>
      <c r="K34" s="149"/>
      <c r="L34" s="149"/>
      <c r="M34" s="150"/>
      <c r="N34" s="34"/>
      <c r="O34" s="148"/>
      <c r="P34" s="139"/>
      <c r="Q34" s="139"/>
      <c r="R34" s="150"/>
      <c r="S34" s="34"/>
      <c r="T34" s="148"/>
      <c r="U34" s="139"/>
      <c r="V34" s="139"/>
      <c r="W34" s="150"/>
      <c r="X34" s="34"/>
      <c r="Y34" s="148"/>
      <c r="Z34" s="139"/>
      <c r="AA34" s="139"/>
      <c r="AB34" s="150"/>
      <c r="AC34" s="34"/>
      <c r="AD34" s="148"/>
      <c r="AE34" s="139"/>
      <c r="AF34" s="139"/>
      <c r="AG34" s="150"/>
      <c r="AH34" s="34"/>
      <c r="AI34" s="148"/>
      <c r="AJ34" s="139"/>
      <c r="AK34" s="139"/>
      <c r="AL34" s="150"/>
      <c r="AM34" s="34"/>
      <c r="AN34" s="148"/>
      <c r="AO34" s="139"/>
      <c r="AP34" s="139"/>
      <c r="AQ34" s="150"/>
      <c r="AR34" s="34"/>
      <c r="AS34" s="148"/>
      <c r="AT34" s="139"/>
      <c r="AU34" s="139"/>
      <c r="AV34" s="150"/>
      <c r="AW34" s="34"/>
      <c r="AX34" s="120"/>
      <c r="AY34" s="139"/>
      <c r="AZ34" s="139"/>
      <c r="BA34" s="119"/>
      <c r="BB34" s="44"/>
      <c r="BC34" s="120"/>
      <c r="BD34" s="139"/>
      <c r="BE34" s="139"/>
      <c r="BF34" s="119"/>
      <c r="BG34" s="44"/>
      <c r="BH34" s="120"/>
      <c r="BI34" s="139"/>
      <c r="BJ34" s="139"/>
      <c r="BK34" s="119"/>
      <c r="BL34" s="44"/>
      <c r="BM34" s="120"/>
      <c r="BN34" s="139"/>
      <c r="BO34" s="139"/>
      <c r="BP34" s="119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</row>
    <row r="35" spans="1:104" x14ac:dyDescent="0.2">
      <c r="A35" s="44"/>
      <c r="B35" s="44"/>
      <c r="C35" s="20" t="s">
        <v>132</v>
      </c>
      <c r="D35" s="42"/>
      <c r="E35" s="114">
        <v>40.351999999999997</v>
      </c>
      <c r="F35" s="115">
        <v>41.780999999999999</v>
      </c>
      <c r="G35" s="115">
        <v>42.645000000000003</v>
      </c>
      <c r="H35" s="131">
        <f>I35-SUM(E35:G35)</f>
        <v>41.433999999999997</v>
      </c>
      <c r="I35" s="117">
        <v>166.21199999999999</v>
      </c>
      <c r="J35" s="114">
        <v>45.813000000000002</v>
      </c>
      <c r="K35" s="115">
        <v>41.625999999999998</v>
      </c>
      <c r="L35" s="115">
        <v>40.686</v>
      </c>
      <c r="M35" s="131">
        <f>N35-SUM(J35:L35)</f>
        <v>43.819999999999993</v>
      </c>
      <c r="N35" s="117">
        <v>171.94499999999999</v>
      </c>
      <c r="O35" s="114">
        <v>45.399000000000001</v>
      </c>
      <c r="P35" s="115">
        <v>46.036000000000001</v>
      </c>
      <c r="Q35" s="115">
        <v>46.954999999999998</v>
      </c>
      <c r="R35" s="131">
        <f>S35-SUM(O35:Q35)</f>
        <v>48.495000000000005</v>
      </c>
      <c r="S35" s="117">
        <v>186.88499999999999</v>
      </c>
      <c r="T35" s="114">
        <v>48.290999999999997</v>
      </c>
      <c r="U35" s="115">
        <v>48.073999999999998</v>
      </c>
      <c r="V35" s="115">
        <v>49.369</v>
      </c>
      <c r="W35" s="131">
        <f>X35-SUM(T35:V35)</f>
        <v>42.360000000000014</v>
      </c>
      <c r="X35" s="117">
        <v>188.09399999999999</v>
      </c>
      <c r="Y35" s="114">
        <v>41.387999999999998</v>
      </c>
      <c r="Z35" s="115">
        <v>43.231000000000002</v>
      </c>
      <c r="AA35" s="115">
        <v>43.186999999999998</v>
      </c>
      <c r="AB35" s="131">
        <f>AC35-SUM(Y35:AA35)</f>
        <v>45.796000000000006</v>
      </c>
      <c r="AC35" s="117">
        <v>173.602</v>
      </c>
      <c r="AD35" s="114">
        <v>43.972000000000001</v>
      </c>
      <c r="AE35" s="115">
        <v>42.429000000000002</v>
      </c>
      <c r="AF35" s="115">
        <v>42.54</v>
      </c>
      <c r="AG35" s="131">
        <f>AH35-SUM(AD35:AF35)</f>
        <v>42.94</v>
      </c>
      <c r="AH35" s="117">
        <v>171.881</v>
      </c>
      <c r="AI35" s="114">
        <v>43.09</v>
      </c>
      <c r="AJ35" s="115">
        <v>43.893999999999998</v>
      </c>
      <c r="AK35" s="115">
        <v>44.875</v>
      </c>
      <c r="AL35" s="131">
        <f>AM35-SUM(AI35:AK35)</f>
        <v>45.570999999999998</v>
      </c>
      <c r="AM35" s="117">
        <v>177.43</v>
      </c>
      <c r="AN35" s="114">
        <v>45.747999999999998</v>
      </c>
      <c r="AO35" s="115">
        <v>46.57</v>
      </c>
      <c r="AP35" s="115">
        <v>46.664000000000001</v>
      </c>
      <c r="AQ35" s="131">
        <f>AR35-SUM(AN35:AP35)</f>
        <v>42.649000000000001</v>
      </c>
      <c r="AR35" s="117">
        <v>181.631</v>
      </c>
      <c r="AS35" s="114">
        <v>45.881999999999998</v>
      </c>
      <c r="AT35" s="115">
        <v>46.423999999999999</v>
      </c>
      <c r="AU35" s="115">
        <v>49.097000000000001</v>
      </c>
      <c r="AV35" s="131">
        <f>AW35-SUM(AS35:AU35)</f>
        <v>49.290999999999997</v>
      </c>
      <c r="AW35" s="117">
        <v>190.69399999999999</v>
      </c>
      <c r="AX35" s="120">
        <f>+AS35+AX189+AX191+AX192</f>
        <v>49.410267214673908</v>
      </c>
      <c r="AY35" s="118">
        <f>+AT35+AY189+AY191+AY192</f>
        <v>49.070227858408103</v>
      </c>
      <c r="AZ35" s="118">
        <f>+AU35+AZ189+AZ191+AZ192</f>
        <v>54.480657837433021</v>
      </c>
      <c r="BA35" s="119">
        <f>+AV35+BA189+BA191+BA192</f>
        <v>51.595854982255958</v>
      </c>
      <c r="BB35" s="42">
        <f>SUM(AX35:BA35)</f>
        <v>204.557007892771</v>
      </c>
      <c r="BC35" s="120">
        <f>+AX35+BC189+BC191+BC192</f>
        <v>51.745132980056162</v>
      </c>
      <c r="BD35" s="118">
        <f>+AY35+BD189+BD191+BD192</f>
        <v>51.63914123932858</v>
      </c>
      <c r="BE35" s="118">
        <f>+AZ35+BE189+BE191+BE192</f>
        <v>51.456918527771052</v>
      </c>
      <c r="BF35" s="119">
        <f>+BA35+BF189+BF191+BF192</f>
        <v>49.602096276407039</v>
      </c>
      <c r="BG35" s="42">
        <f>SUM(BC35:BF35)</f>
        <v>204.44328902356284</v>
      </c>
      <c r="BH35" s="120">
        <f>+BC35+BH189+BH191+BH192</f>
        <v>50.131149988783598</v>
      </c>
      <c r="BI35" s="118">
        <f>+BD35+BI189+BI191+BI192</f>
        <v>53.034129360542103</v>
      </c>
      <c r="BJ35" s="118">
        <f>+BE35+BJ189+BJ191+BJ192</f>
        <v>55.154960887573822</v>
      </c>
      <c r="BK35" s="119">
        <f>+BF35+BK189+BK191+BK192</f>
        <v>50.498766756019563</v>
      </c>
      <c r="BL35" s="42">
        <f>SUM(BH35:BK35)</f>
        <v>208.81900699291907</v>
      </c>
      <c r="BM35" s="120">
        <f>+BH35+BM189+BM191+BM192</f>
        <v>51.562931773894796</v>
      </c>
      <c r="BN35" s="118">
        <f>+BI35+BN189+BN191+BN192</f>
        <v>55.803939839120005</v>
      </c>
      <c r="BO35" s="118">
        <f>+BJ35+BO189+BO191+BO192</f>
        <v>56.79720762064904</v>
      </c>
      <c r="BP35" s="119">
        <f>+BK35+BP189+BP191+BP192</f>
        <v>52.579945630773537</v>
      </c>
      <c r="BQ35" s="42">
        <f>SUM(BM35:BP35)</f>
        <v>216.74402486443739</v>
      </c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</row>
    <row r="36" spans="1:104" x14ac:dyDescent="0.2">
      <c r="A36" s="44"/>
      <c r="B36" s="44"/>
      <c r="C36" s="20" t="s">
        <v>133</v>
      </c>
      <c r="D36" s="42"/>
      <c r="E36" s="114">
        <v>-4.9619999999999997</v>
      </c>
      <c r="F36" s="115">
        <v>-4.367</v>
      </c>
      <c r="G36" s="115">
        <v>-4.4870000000000001</v>
      </c>
      <c r="H36" s="116">
        <f>I36-SUM(E36:G36)</f>
        <v>-4.636000000000001</v>
      </c>
      <c r="I36" s="117">
        <v>-18.452000000000002</v>
      </c>
      <c r="J36" s="114">
        <v>-1.665</v>
      </c>
      <c r="K36" s="115">
        <v>-1.4259999999999999</v>
      </c>
      <c r="L36" s="115">
        <v>-1.111</v>
      </c>
      <c r="M36" s="116">
        <f>N36-SUM(J36:L36)</f>
        <v>-1.1050000000000004</v>
      </c>
      <c r="N36" s="117">
        <v>-5.3070000000000004</v>
      </c>
      <c r="O36" s="114">
        <v>-0.72599999999999998</v>
      </c>
      <c r="P36" s="115">
        <v>-0.82</v>
      </c>
      <c r="Q36" s="115">
        <v>-0.85299999999999998</v>
      </c>
      <c r="R36" s="116">
        <f>S36-SUM(O36:Q36)</f>
        <v>-1.0070000000000001</v>
      </c>
      <c r="S36" s="117">
        <v>-3.4060000000000001</v>
      </c>
      <c r="T36" s="114">
        <v>-1.161</v>
      </c>
      <c r="U36" s="115">
        <v>-1.534</v>
      </c>
      <c r="V36" s="115">
        <v>-2.633</v>
      </c>
      <c r="W36" s="116">
        <f>X36-SUM(T36:V36)</f>
        <v>-3.0769999999999991</v>
      </c>
      <c r="X36" s="117">
        <v>-8.4049999999999994</v>
      </c>
      <c r="Y36" s="114">
        <v>-2.1509999999999998</v>
      </c>
      <c r="Z36" s="115">
        <v>-3.1</v>
      </c>
      <c r="AA36" s="115">
        <v>-3.1869999999999998</v>
      </c>
      <c r="AB36" s="116">
        <f>AC36-SUM(Y36:AA36)</f>
        <v>-4.2190000000000012</v>
      </c>
      <c r="AC36" s="117">
        <v>-12.657</v>
      </c>
      <c r="AD36" s="114">
        <v>-4.2080000000000002</v>
      </c>
      <c r="AE36" s="115">
        <v>-4.8120000000000003</v>
      </c>
      <c r="AF36" s="115">
        <v>-4.5640000000000001</v>
      </c>
      <c r="AG36" s="116">
        <f>AH36-SUM(AD36:AF36)</f>
        <v>-3.657</v>
      </c>
      <c r="AH36" s="117">
        <v>-17.241</v>
      </c>
      <c r="AI36" s="114">
        <v>-1.0980000000000001</v>
      </c>
      <c r="AJ36" s="115">
        <v>-1.325</v>
      </c>
      <c r="AK36" s="115">
        <v>-1.4670000000000001</v>
      </c>
      <c r="AL36" s="116">
        <f>AM36-SUM(AI36:AK36)</f>
        <v>-1.6320000000000001</v>
      </c>
      <c r="AM36" s="117">
        <v>-5.5220000000000002</v>
      </c>
      <c r="AN36" s="114">
        <v>-1.61</v>
      </c>
      <c r="AO36" s="115">
        <v>-1.617</v>
      </c>
      <c r="AP36" s="115">
        <v>-1.9950000000000001</v>
      </c>
      <c r="AQ36" s="116">
        <f>AR36-SUM(AN36:AP36)</f>
        <v>-1.8229999999999995</v>
      </c>
      <c r="AR36" s="117">
        <v>-7.0449999999999999</v>
      </c>
      <c r="AS36" s="114">
        <v>-1.9059999999999999</v>
      </c>
      <c r="AT36" s="115">
        <v>-2.4380000000000002</v>
      </c>
      <c r="AU36" s="115">
        <v>-3.266</v>
      </c>
      <c r="AV36" s="116">
        <f>AW36-SUM(AS36:AU36)</f>
        <v>-3.7969999999999997</v>
      </c>
      <c r="AW36" s="117">
        <v>-11.407</v>
      </c>
      <c r="AX36" s="120">
        <f>-AX179</f>
        <v>-5.6707362690308383</v>
      </c>
      <c r="AY36" s="118">
        <f>-AY179</f>
        <v>-5.6707362690308383</v>
      </c>
      <c r="AZ36" s="118">
        <f>-AZ179</f>
        <v>-5.6707362690308383</v>
      </c>
      <c r="BA36" s="119">
        <f>-BA179</f>
        <v>-5.6707362690308383</v>
      </c>
      <c r="BB36" s="42">
        <f>SUM(AX36:BA36)</f>
        <v>-22.682945076123353</v>
      </c>
      <c r="BC36" s="120">
        <f>-BC179</f>
        <v>-3.5055460572190635</v>
      </c>
      <c r="BD36" s="118">
        <f>-BD179</f>
        <v>-3.5055460572190635</v>
      </c>
      <c r="BE36" s="118">
        <f>-BE179</f>
        <v>-3.5055460572190635</v>
      </c>
      <c r="BF36" s="119">
        <f>-BF179</f>
        <v>-3.5055460572190635</v>
      </c>
      <c r="BG36" s="42">
        <f>SUM(BC36:BF36)</f>
        <v>-14.022184228876254</v>
      </c>
      <c r="BH36" s="120">
        <f>-BH179</f>
        <v>-3.2649693670177551</v>
      </c>
      <c r="BI36" s="118">
        <f>-BI179</f>
        <v>-3.2649693670177551</v>
      </c>
      <c r="BJ36" s="118">
        <f>-BJ179</f>
        <v>-3.2649693670177551</v>
      </c>
      <c r="BK36" s="119">
        <f>-BK179</f>
        <v>-3.2649693670177551</v>
      </c>
      <c r="BL36" s="42">
        <f>SUM(BH36:BK36)</f>
        <v>-13.05987746807102</v>
      </c>
      <c r="BM36" s="120">
        <f>-BM179</f>
        <v>-3.9523313390214931</v>
      </c>
      <c r="BN36" s="118">
        <f>-BN179</f>
        <v>-3.9523313390214931</v>
      </c>
      <c r="BO36" s="118">
        <f>-BO179</f>
        <v>-3.9523313390214931</v>
      </c>
      <c r="BP36" s="119">
        <f>-BP179</f>
        <v>-3.9523313390214931</v>
      </c>
      <c r="BQ36" s="42">
        <f>SUM(BM36:BP36)</f>
        <v>-15.809325356085973</v>
      </c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</row>
    <row r="37" spans="1:104" x14ac:dyDescent="0.2">
      <c r="A37" s="44"/>
      <c r="B37" s="44"/>
      <c r="C37" s="26" t="s">
        <v>134</v>
      </c>
      <c r="D37" s="42"/>
      <c r="E37" s="121">
        <f t="shared" ref="E37:P37" si="59">SUM(E35:E36)</f>
        <v>35.39</v>
      </c>
      <c r="F37" s="122">
        <f t="shared" si="59"/>
        <v>37.414000000000001</v>
      </c>
      <c r="G37" s="122">
        <f t="shared" si="59"/>
        <v>38.158000000000001</v>
      </c>
      <c r="H37" s="123">
        <f t="shared" si="59"/>
        <v>36.797999999999995</v>
      </c>
      <c r="I37" s="86">
        <f t="shared" si="59"/>
        <v>147.76</v>
      </c>
      <c r="J37" s="121">
        <f t="shared" si="59"/>
        <v>44.148000000000003</v>
      </c>
      <c r="K37" s="122">
        <f t="shared" si="59"/>
        <v>40.199999999999996</v>
      </c>
      <c r="L37" s="122">
        <f t="shared" si="59"/>
        <v>39.575000000000003</v>
      </c>
      <c r="M37" s="123">
        <f t="shared" si="59"/>
        <v>42.714999999999989</v>
      </c>
      <c r="N37" s="86">
        <f t="shared" si="59"/>
        <v>166.63800000000001</v>
      </c>
      <c r="O37" s="121">
        <f t="shared" si="59"/>
        <v>44.673000000000002</v>
      </c>
      <c r="P37" s="122">
        <f t="shared" si="59"/>
        <v>45.216000000000001</v>
      </c>
      <c r="Q37" s="122">
        <f t="shared" ref="Q37:V37" si="60">SUM(Q35:Q36)</f>
        <v>46.101999999999997</v>
      </c>
      <c r="R37" s="123">
        <f t="shared" si="60"/>
        <v>47.488000000000007</v>
      </c>
      <c r="S37" s="86">
        <f t="shared" si="60"/>
        <v>183.47899999999998</v>
      </c>
      <c r="T37" s="121">
        <f t="shared" si="60"/>
        <v>47.129999999999995</v>
      </c>
      <c r="U37" s="122">
        <f t="shared" si="60"/>
        <v>46.54</v>
      </c>
      <c r="V37" s="122">
        <f t="shared" si="60"/>
        <v>46.735999999999997</v>
      </c>
      <c r="W37" s="123">
        <f t="shared" ref="W37:AD37" si="61">SUM(W35:W36)</f>
        <v>39.283000000000015</v>
      </c>
      <c r="X37" s="86">
        <f t="shared" si="61"/>
        <v>179.68899999999999</v>
      </c>
      <c r="Y37" s="121">
        <f t="shared" si="61"/>
        <v>39.236999999999995</v>
      </c>
      <c r="Z37" s="122">
        <f t="shared" si="61"/>
        <v>40.131</v>
      </c>
      <c r="AA37" s="122">
        <f t="shared" si="61"/>
        <v>40</v>
      </c>
      <c r="AB37" s="123">
        <f t="shared" si="61"/>
        <v>41.577000000000005</v>
      </c>
      <c r="AC37" s="86">
        <f t="shared" si="61"/>
        <v>160.94499999999999</v>
      </c>
      <c r="AD37" s="121">
        <f t="shared" si="61"/>
        <v>39.764000000000003</v>
      </c>
      <c r="AE37" s="122">
        <f t="shared" ref="AE37:AM37" si="62">SUM(AE35:AE36)</f>
        <v>37.617000000000004</v>
      </c>
      <c r="AF37" s="122">
        <f t="shared" si="62"/>
        <v>37.975999999999999</v>
      </c>
      <c r="AG37" s="123">
        <f t="shared" si="62"/>
        <v>39.283000000000001</v>
      </c>
      <c r="AH37" s="86">
        <f t="shared" si="62"/>
        <v>154.63999999999999</v>
      </c>
      <c r="AI37" s="121">
        <f t="shared" si="62"/>
        <v>41.992000000000004</v>
      </c>
      <c r="AJ37" s="122">
        <f t="shared" si="62"/>
        <v>42.568999999999996</v>
      </c>
      <c r="AK37" s="122">
        <f t="shared" si="62"/>
        <v>43.408000000000001</v>
      </c>
      <c r="AL37" s="123">
        <f t="shared" si="62"/>
        <v>43.939</v>
      </c>
      <c r="AM37" s="86">
        <f t="shared" si="62"/>
        <v>171.90800000000002</v>
      </c>
      <c r="AN37" s="121">
        <f>SUM(AN35:AN36)</f>
        <v>44.137999999999998</v>
      </c>
      <c r="AO37" s="122">
        <f>SUM(AO35:AO36)</f>
        <v>44.953000000000003</v>
      </c>
      <c r="AP37" s="122">
        <f t="shared" ref="AP37:AR37" si="63">SUM(AP35:AP36)</f>
        <v>44.669000000000004</v>
      </c>
      <c r="AQ37" s="123">
        <f t="shared" si="63"/>
        <v>40.826000000000001</v>
      </c>
      <c r="AR37" s="86">
        <f t="shared" si="63"/>
        <v>174.58600000000001</v>
      </c>
      <c r="AS37" s="121">
        <f>SUM(AS35:AS36)</f>
        <v>43.975999999999999</v>
      </c>
      <c r="AT37" s="122">
        <f>SUM(AT35:AT36)</f>
        <v>43.985999999999997</v>
      </c>
      <c r="AU37" s="122">
        <f>SUM(AU35:AU36)</f>
        <v>45.831000000000003</v>
      </c>
      <c r="AV37" s="123">
        <f t="shared" ref="AV37:AW37" si="64">SUM(AV35:AV36)</f>
        <v>45.494</v>
      </c>
      <c r="AW37" s="86">
        <f t="shared" si="64"/>
        <v>179.28699999999998</v>
      </c>
      <c r="AX37" s="121">
        <f t="shared" ref="AX37:BG37" si="65">SUM(AX35:AX36)</f>
        <v>43.739530945643068</v>
      </c>
      <c r="AY37" s="122">
        <f t="shared" si="65"/>
        <v>43.399491589377263</v>
      </c>
      <c r="AZ37" s="122">
        <f t="shared" si="65"/>
        <v>48.809921568402181</v>
      </c>
      <c r="BA37" s="123">
        <f t="shared" si="65"/>
        <v>45.925118713225118</v>
      </c>
      <c r="BB37" s="86">
        <f t="shared" si="65"/>
        <v>181.87406281664764</v>
      </c>
      <c r="BC37" s="121">
        <f t="shared" si="65"/>
        <v>48.239586922837098</v>
      </c>
      <c r="BD37" s="122">
        <f t="shared" si="65"/>
        <v>48.133595182109516</v>
      </c>
      <c r="BE37" s="122">
        <f t="shared" si="65"/>
        <v>47.951372470551988</v>
      </c>
      <c r="BF37" s="123">
        <f t="shared" si="65"/>
        <v>46.096550219187975</v>
      </c>
      <c r="BG37" s="86">
        <f t="shared" si="65"/>
        <v>190.42110479468658</v>
      </c>
      <c r="BH37" s="121">
        <f t="shared" ref="BH37:BQ37" si="66">SUM(BH35:BH36)</f>
        <v>46.866180621765842</v>
      </c>
      <c r="BI37" s="122">
        <f t="shared" si="66"/>
        <v>49.769159993524347</v>
      </c>
      <c r="BJ37" s="122">
        <f t="shared" si="66"/>
        <v>51.889991520556066</v>
      </c>
      <c r="BK37" s="123">
        <f t="shared" si="66"/>
        <v>47.233797389001808</v>
      </c>
      <c r="BL37" s="86">
        <f t="shared" si="66"/>
        <v>195.75912952484805</v>
      </c>
      <c r="BM37" s="121">
        <f t="shared" si="66"/>
        <v>47.610600434873305</v>
      </c>
      <c r="BN37" s="122">
        <f t="shared" si="66"/>
        <v>51.851608500098514</v>
      </c>
      <c r="BO37" s="122">
        <f t="shared" si="66"/>
        <v>52.844876281627549</v>
      </c>
      <c r="BP37" s="123">
        <f t="shared" si="66"/>
        <v>48.627614291752046</v>
      </c>
      <c r="BQ37" s="86">
        <f t="shared" si="66"/>
        <v>200.93469950835143</v>
      </c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  <c r="CX37" s="44"/>
      <c r="CY37" s="44"/>
      <c r="CZ37" s="44"/>
    </row>
    <row r="38" spans="1:104" x14ac:dyDescent="0.2">
      <c r="A38" s="44"/>
      <c r="B38" s="44"/>
      <c r="C38" s="20"/>
      <c r="D38" s="42"/>
      <c r="E38" s="148"/>
      <c r="F38" s="149"/>
      <c r="G38" s="149"/>
      <c r="H38" s="150"/>
      <c r="I38" s="34"/>
      <c r="J38" s="148"/>
      <c r="K38" s="149"/>
      <c r="L38" s="149"/>
      <c r="M38" s="150"/>
      <c r="N38" s="34"/>
      <c r="O38" s="148"/>
      <c r="P38" s="139"/>
      <c r="Q38" s="139"/>
      <c r="R38" s="150"/>
      <c r="S38" s="34"/>
      <c r="T38" s="148"/>
      <c r="U38" s="139"/>
      <c r="V38" s="139"/>
      <c r="W38" s="150"/>
      <c r="X38" s="34"/>
      <c r="Y38" s="148"/>
      <c r="Z38" s="139"/>
      <c r="AA38" s="139"/>
      <c r="AB38" s="150"/>
      <c r="AC38" s="34"/>
      <c r="AD38" s="148"/>
      <c r="AE38" s="139"/>
      <c r="AF38" s="139"/>
      <c r="AG38" s="150"/>
      <c r="AH38" s="34"/>
      <c r="AI38" s="148"/>
      <c r="AJ38" s="139"/>
      <c r="AK38" s="139"/>
      <c r="AL38" s="150"/>
      <c r="AM38" s="34"/>
      <c r="AN38" s="148"/>
      <c r="AO38" s="139"/>
      <c r="AP38" s="139"/>
      <c r="AQ38" s="150"/>
      <c r="AR38" s="34"/>
      <c r="AS38" s="148"/>
      <c r="AT38" s="139"/>
      <c r="AU38" s="139"/>
      <c r="AV38" s="150"/>
      <c r="AW38" s="34"/>
      <c r="AX38" s="120"/>
      <c r="AY38" s="139"/>
      <c r="AZ38" s="139"/>
      <c r="BA38" s="119"/>
      <c r="BB38" s="44"/>
      <c r="BC38" s="120"/>
      <c r="BD38" s="139"/>
      <c r="BE38" s="139"/>
      <c r="BF38" s="119"/>
      <c r="BG38" s="44"/>
      <c r="BH38" s="120"/>
      <c r="BI38" s="139"/>
      <c r="BJ38" s="139"/>
      <c r="BK38" s="119"/>
      <c r="BL38" s="44"/>
      <c r="BM38" s="120"/>
      <c r="BN38" s="139"/>
      <c r="BO38" s="139"/>
      <c r="BP38" s="119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</row>
    <row r="39" spans="1:104" x14ac:dyDescent="0.2">
      <c r="A39" s="44"/>
      <c r="B39" s="44"/>
      <c r="C39" s="26" t="s">
        <v>135</v>
      </c>
      <c r="D39" s="82"/>
      <c r="E39" s="121">
        <f t="shared" ref="E39:P39" si="67">+E32-E37</f>
        <v>117.59700000000005</v>
      </c>
      <c r="F39" s="122">
        <f t="shared" si="67"/>
        <v>90.536999999999978</v>
      </c>
      <c r="G39" s="122">
        <f t="shared" si="67"/>
        <v>142.49700000000013</v>
      </c>
      <c r="H39" s="123">
        <f t="shared" si="67"/>
        <v>143.09400000000002</v>
      </c>
      <c r="I39" s="86">
        <f t="shared" si="67"/>
        <v>493.72500000000025</v>
      </c>
      <c r="J39" s="121">
        <f t="shared" si="67"/>
        <v>160.46399999999997</v>
      </c>
      <c r="K39" s="122">
        <f t="shared" si="67"/>
        <v>121.08200000000002</v>
      </c>
      <c r="L39" s="122">
        <f t="shared" si="67"/>
        <v>231.97299999999996</v>
      </c>
      <c r="M39" s="123">
        <f t="shared" si="67"/>
        <v>115.38199999999985</v>
      </c>
      <c r="N39" s="86">
        <f t="shared" si="67"/>
        <v>628.90099999999961</v>
      </c>
      <c r="O39" s="121">
        <f t="shared" si="67"/>
        <v>153.91700000000012</v>
      </c>
      <c r="P39" s="122">
        <f t="shared" si="67"/>
        <v>111.99300000000002</v>
      </c>
      <c r="Q39" s="122">
        <f>+Q32-Q37</f>
        <v>224.08200000000002</v>
      </c>
      <c r="R39" s="123">
        <f>+R32-R37</f>
        <v>135.17199999999963</v>
      </c>
      <c r="S39" s="86">
        <f>+S32-S37</f>
        <v>625.16399999999885</v>
      </c>
      <c r="T39" s="121">
        <f>+T32-T37</f>
        <v>145.53399999999974</v>
      </c>
      <c r="U39" s="122">
        <f>+U32-U37</f>
        <v>150.86799999999997</v>
      </c>
      <c r="V39" s="122">
        <f t="shared" ref="V39:AA39" si="68">+V32-V37</f>
        <v>274.3420000000001</v>
      </c>
      <c r="W39" s="123">
        <f t="shared" si="68"/>
        <v>119.87599999999983</v>
      </c>
      <c r="X39" s="86">
        <f t="shared" si="68"/>
        <v>690.61999999999921</v>
      </c>
      <c r="Y39" s="121">
        <f t="shared" si="68"/>
        <v>180.56199999999998</v>
      </c>
      <c r="Z39" s="122">
        <f t="shared" si="68"/>
        <v>151.65699999999995</v>
      </c>
      <c r="AA39" s="122">
        <f t="shared" si="68"/>
        <v>259.50200000000024</v>
      </c>
      <c r="AB39" s="123">
        <f t="shared" ref="AB39:AH39" si="69">+AB32-AB37</f>
        <v>112.40199999999942</v>
      </c>
      <c r="AC39" s="86">
        <f t="shared" si="69"/>
        <v>704.12299999999959</v>
      </c>
      <c r="AD39" s="121">
        <f t="shared" si="69"/>
        <v>180.90000000000012</v>
      </c>
      <c r="AE39" s="122">
        <f t="shared" si="69"/>
        <v>139.68399999999991</v>
      </c>
      <c r="AF39" s="122">
        <f t="shared" si="69"/>
        <v>237.13199999999989</v>
      </c>
      <c r="AG39" s="123">
        <f t="shared" si="69"/>
        <v>141.0630000000001</v>
      </c>
      <c r="AH39" s="86">
        <f t="shared" si="69"/>
        <v>698.77900000000079</v>
      </c>
      <c r="AI39" s="121">
        <f t="shared" ref="AI39:AN39" si="70">+AI32-AI37</f>
        <v>176.90100000000007</v>
      </c>
      <c r="AJ39" s="122">
        <f t="shared" si="70"/>
        <v>156.76299999999995</v>
      </c>
      <c r="AK39" s="122">
        <f t="shared" si="70"/>
        <v>276.94599999999997</v>
      </c>
      <c r="AL39" s="123">
        <f t="shared" si="70"/>
        <v>134.63200000000026</v>
      </c>
      <c r="AM39" s="86">
        <f t="shared" si="70"/>
        <v>745.24199999999996</v>
      </c>
      <c r="AN39" s="121">
        <f t="shared" si="70"/>
        <v>183.81900000000005</v>
      </c>
      <c r="AO39" s="122">
        <f>+AO32-AO37</f>
        <v>140.57300000000001</v>
      </c>
      <c r="AP39" s="122">
        <f t="shared" ref="AP39:AU39" si="71">+AP32-AP37</f>
        <v>276.82299999999992</v>
      </c>
      <c r="AQ39" s="123">
        <f t="shared" si="71"/>
        <v>136.19399999999979</v>
      </c>
      <c r="AR39" s="86">
        <f t="shared" si="71"/>
        <v>737.40899999999965</v>
      </c>
      <c r="AS39" s="121">
        <f t="shared" si="71"/>
        <v>176.77100000000002</v>
      </c>
      <c r="AT39" s="122">
        <f>+AT32-AT37</f>
        <v>156.99799999999993</v>
      </c>
      <c r="AU39" s="122">
        <f t="shared" si="71"/>
        <v>290.375</v>
      </c>
      <c r="AV39" s="123">
        <f t="shared" ref="AV39:AW39" si="72">+AV32-AV37</f>
        <v>122.15399999999963</v>
      </c>
      <c r="AW39" s="86">
        <f t="shared" si="72"/>
        <v>746.29800000000023</v>
      </c>
      <c r="AX39" s="121">
        <f t="shared" ref="AX39:BG39" si="73">+AX32-AX37</f>
        <v>172.53038079874591</v>
      </c>
      <c r="AY39" s="122">
        <f t="shared" si="73"/>
        <v>138.96197131054669</v>
      </c>
      <c r="AZ39" s="122">
        <f t="shared" si="73"/>
        <v>243.39705026281811</v>
      </c>
      <c r="BA39" s="123">
        <f t="shared" si="73"/>
        <v>113.46383823974259</v>
      </c>
      <c r="BB39" s="86">
        <f t="shared" si="73"/>
        <v>668.35324061185281</v>
      </c>
      <c r="BC39" s="121">
        <f t="shared" si="73"/>
        <v>178.77174383251472</v>
      </c>
      <c r="BD39" s="122">
        <f t="shared" si="73"/>
        <v>135.37095005066777</v>
      </c>
      <c r="BE39" s="122">
        <f t="shared" si="73"/>
        <v>247.51145485087807</v>
      </c>
      <c r="BF39" s="123">
        <f t="shared" si="73"/>
        <v>117.01088520044971</v>
      </c>
      <c r="BG39" s="86">
        <f t="shared" si="73"/>
        <v>678.66503393451035</v>
      </c>
      <c r="BH39" s="121">
        <f t="shared" ref="BH39:BQ39" si="74">+BH32-BH37</f>
        <v>188.81777922921054</v>
      </c>
      <c r="BI39" s="122">
        <f t="shared" si="74"/>
        <v>140.37701862994112</v>
      </c>
      <c r="BJ39" s="122">
        <f t="shared" si="74"/>
        <v>251.89343335378322</v>
      </c>
      <c r="BK39" s="123">
        <f t="shared" si="74"/>
        <v>125.43095719360699</v>
      </c>
      <c r="BL39" s="86">
        <f t="shared" si="74"/>
        <v>706.51918840654241</v>
      </c>
      <c r="BM39" s="121">
        <f t="shared" si="74"/>
        <v>204.03967755575781</v>
      </c>
      <c r="BN39" s="122">
        <f t="shared" si="74"/>
        <v>149.51941355665568</v>
      </c>
      <c r="BO39" s="122">
        <f t="shared" si="74"/>
        <v>262.71492877795345</v>
      </c>
      <c r="BP39" s="123">
        <f t="shared" si="74"/>
        <v>136.90257077016247</v>
      </c>
      <c r="BQ39" s="86">
        <f t="shared" si="74"/>
        <v>753.17659066052931</v>
      </c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  <c r="CY39" s="44"/>
      <c r="CZ39" s="44"/>
    </row>
    <row r="40" spans="1:104" x14ac:dyDescent="0.2">
      <c r="A40" s="44"/>
      <c r="B40" s="44"/>
      <c r="C40" s="20"/>
      <c r="D40" s="42"/>
      <c r="E40" s="120"/>
      <c r="F40" s="139"/>
      <c r="G40" s="139"/>
      <c r="H40" s="119"/>
      <c r="I40" s="42"/>
      <c r="J40" s="120"/>
      <c r="K40" s="139"/>
      <c r="L40" s="139"/>
      <c r="M40" s="119"/>
      <c r="N40" s="42"/>
      <c r="O40" s="120"/>
      <c r="P40" s="139"/>
      <c r="Q40" s="139"/>
      <c r="R40" s="119"/>
      <c r="S40" s="42"/>
      <c r="T40" s="120"/>
      <c r="U40" s="139"/>
      <c r="V40" s="139"/>
      <c r="W40" s="119"/>
      <c r="X40" s="42"/>
      <c r="Y40" s="120"/>
      <c r="Z40" s="139"/>
      <c r="AA40" s="139"/>
      <c r="AB40" s="119"/>
      <c r="AC40" s="42"/>
      <c r="AD40" s="120"/>
      <c r="AE40" s="139"/>
      <c r="AF40" s="139"/>
      <c r="AG40" s="119"/>
      <c r="AH40" s="42"/>
      <c r="AI40" s="120"/>
      <c r="AJ40" s="139"/>
      <c r="AK40" s="139"/>
      <c r="AL40" s="119"/>
      <c r="AM40" s="42"/>
      <c r="AN40" s="120"/>
      <c r="AO40" s="139"/>
      <c r="AP40" s="139"/>
      <c r="AQ40" s="119"/>
      <c r="AR40" s="42"/>
      <c r="AS40" s="120"/>
      <c r="AT40" s="139"/>
      <c r="AU40" s="139"/>
      <c r="AV40" s="119"/>
      <c r="AW40" s="42"/>
      <c r="AX40" s="120"/>
      <c r="AY40" s="139"/>
      <c r="AZ40" s="139"/>
      <c r="BA40" s="119"/>
      <c r="BB40" s="44"/>
      <c r="BC40" s="120"/>
      <c r="BD40" s="139"/>
      <c r="BE40" s="139"/>
      <c r="BF40" s="119"/>
      <c r="BG40" s="44"/>
      <c r="BH40" s="120"/>
      <c r="BI40" s="139"/>
      <c r="BJ40" s="139"/>
      <c r="BK40" s="119"/>
      <c r="BL40" s="44"/>
      <c r="BM40" s="120"/>
      <c r="BN40" s="139"/>
      <c r="BO40" s="139"/>
      <c r="BP40" s="119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</row>
    <row r="41" spans="1:104" x14ac:dyDescent="0.2">
      <c r="A41" s="44"/>
      <c r="B41" s="44"/>
      <c r="C41" s="20" t="s">
        <v>136</v>
      </c>
      <c r="D41" s="42"/>
      <c r="E41" s="114">
        <v>39.308999999999997</v>
      </c>
      <c r="F41" s="115">
        <v>29.99</v>
      </c>
      <c r="G41" s="115">
        <v>51.273000000000003</v>
      </c>
      <c r="H41" s="131">
        <f>I41-SUM(E41:G41)</f>
        <v>49.832999999999998</v>
      </c>
      <c r="I41" s="117">
        <v>170.405</v>
      </c>
      <c r="J41" s="114">
        <v>76.213999999999999</v>
      </c>
      <c r="K41" s="115">
        <v>43.396999999999998</v>
      </c>
      <c r="L41" s="115">
        <v>73.882000000000005</v>
      </c>
      <c r="M41" s="131">
        <f>N41-SUM(J41:L41)</f>
        <v>35.688000000000017</v>
      </c>
      <c r="N41" s="117">
        <v>229.18100000000001</v>
      </c>
      <c r="O41" s="114">
        <v>57.286999999999999</v>
      </c>
      <c r="P41" s="115">
        <v>40.975000000000001</v>
      </c>
      <c r="Q41" s="115">
        <v>83.364000000000004</v>
      </c>
      <c r="R41" s="131">
        <f>S41-SUM(O41:Q41)</f>
        <v>46.734999999999985</v>
      </c>
      <c r="S41" s="117">
        <v>228.36099999999999</v>
      </c>
      <c r="T41" s="114">
        <v>52.249000000000002</v>
      </c>
      <c r="U41" s="115">
        <v>55.460999999999999</v>
      </c>
      <c r="V41" s="115">
        <v>81.899000000000001</v>
      </c>
      <c r="W41" s="131">
        <f>X41-SUM(T41:V41)</f>
        <v>42.935000000000002</v>
      </c>
      <c r="X41" s="117">
        <v>232.54400000000001</v>
      </c>
      <c r="Y41" s="114">
        <v>63.957000000000001</v>
      </c>
      <c r="Z41" s="115">
        <v>54.357999999999997</v>
      </c>
      <c r="AA41" s="115">
        <v>93.236000000000004</v>
      </c>
      <c r="AB41" s="131">
        <f>AC41-SUM(Y41:AA41)</f>
        <v>39.189000000000021</v>
      </c>
      <c r="AC41" s="117">
        <v>250.74</v>
      </c>
      <c r="AD41" s="114">
        <v>62.497</v>
      </c>
      <c r="AE41" s="115">
        <v>49.892000000000003</v>
      </c>
      <c r="AF41" s="115">
        <v>82.972999999999999</v>
      </c>
      <c r="AG41" s="131">
        <f>AH41-SUM(AD41:AF41)</f>
        <v>48.228999999999985</v>
      </c>
      <c r="AH41" s="117">
        <v>243.59100000000001</v>
      </c>
      <c r="AI41" s="114">
        <v>65.935000000000002</v>
      </c>
      <c r="AJ41" s="115">
        <v>58.262999999999998</v>
      </c>
      <c r="AK41" s="115">
        <v>103.86499999999999</v>
      </c>
      <c r="AL41" s="131">
        <f>AM41-SUM(AI41:AK41)</f>
        <v>50.37700000000001</v>
      </c>
      <c r="AM41" s="117">
        <v>278.44</v>
      </c>
      <c r="AN41" s="114">
        <v>67.944999999999993</v>
      </c>
      <c r="AO41" s="115">
        <v>53.228999999999999</v>
      </c>
      <c r="AP41" s="115">
        <v>103.21599999999999</v>
      </c>
      <c r="AQ41" s="131">
        <f>AR41-SUM(AN41:AP41)</f>
        <v>49.52800000000002</v>
      </c>
      <c r="AR41" s="117">
        <v>273.91800000000001</v>
      </c>
      <c r="AS41" s="114">
        <v>65.224999999999994</v>
      </c>
      <c r="AT41" s="115">
        <v>56.411000000000001</v>
      </c>
      <c r="AU41" s="115">
        <v>104.298</v>
      </c>
      <c r="AV41" s="131">
        <f>AW41-SUM(AS41:AU41)</f>
        <v>26.245000000000005</v>
      </c>
      <c r="AW41" s="117">
        <v>252.179</v>
      </c>
      <c r="AX41" s="120">
        <f>AX74*(AX39-AX28)</f>
        <v>37.399516235426645</v>
      </c>
      <c r="AY41" s="118">
        <f>AY74*(AY39-AY28)</f>
        <v>29.678782053140825</v>
      </c>
      <c r="AZ41" s="118">
        <f>AZ74*(AZ39-AZ28)</f>
        <v>53.698850212163258</v>
      </c>
      <c r="BA41" s="119">
        <f>BA74*(BA39-BA28)</f>
        <v>23.814211446855882</v>
      </c>
      <c r="BB41" s="42">
        <f>SUM(AX41:BA41)</f>
        <v>144.59135994758662</v>
      </c>
      <c r="BC41" s="120">
        <f>BC74*(BC39-BC28)</f>
        <v>39.706518793447714</v>
      </c>
      <c r="BD41" s="118">
        <f>BD74*(BD39-BD28)</f>
        <v>29.724336223622913</v>
      </c>
      <c r="BE41" s="118">
        <f>BE74*(BE39-BE28)</f>
        <v>55.516652327671281</v>
      </c>
      <c r="BF41" s="119">
        <f>BF74*(BF39-BF28)</f>
        <v>25.501521308072761</v>
      </c>
      <c r="BG41" s="42">
        <f>SUM(BC41:BF41)</f>
        <v>150.44902865281466</v>
      </c>
      <c r="BH41" s="120">
        <f>BH74*(BH39-BH28)</f>
        <v>42.113939052493784</v>
      </c>
      <c r="BI41" s="118">
        <f>BI74*(BI39-BI28)</f>
        <v>30.972564114661814</v>
      </c>
      <c r="BJ41" s="118">
        <f>BJ74*(BJ39-BJ28)</f>
        <v>56.621339501145499</v>
      </c>
      <c r="BK41" s="119">
        <f>BK74*(BK39-BK28)</f>
        <v>27.534969984304961</v>
      </c>
      <c r="BL41" s="42">
        <f>SUM(BH41:BK41)</f>
        <v>157.24281265260606</v>
      </c>
      <c r="BM41" s="120">
        <f>BM74*(BM39-BM28)</f>
        <v>45.338312473868143</v>
      </c>
      <c r="BN41" s="118">
        <f>BN74*(BN39-BN28)</f>
        <v>32.798651754074655</v>
      </c>
      <c r="BO41" s="118">
        <f>BO74*(BO39-BO28)</f>
        <v>58.833620254973141</v>
      </c>
      <c r="BP41" s="119">
        <f>BP74*(BP39-BP28)</f>
        <v>29.896777913181218</v>
      </c>
      <c r="BQ41" s="42">
        <f>SUM(BM41:BP41)</f>
        <v>166.86736239609715</v>
      </c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</row>
    <row r="42" spans="1:104" x14ac:dyDescent="0.2">
      <c r="A42" s="44"/>
      <c r="B42" s="44"/>
      <c r="C42" s="20"/>
      <c r="D42" s="42"/>
      <c r="E42" s="114"/>
      <c r="F42" s="133"/>
      <c r="G42" s="133"/>
      <c r="H42" s="132"/>
      <c r="I42" s="117"/>
      <c r="J42" s="114"/>
      <c r="K42" s="133"/>
      <c r="L42" s="133"/>
      <c r="M42" s="132"/>
      <c r="N42" s="117"/>
      <c r="O42" s="114"/>
      <c r="P42" s="115"/>
      <c r="Q42" s="115"/>
      <c r="R42" s="132"/>
      <c r="S42" s="117"/>
      <c r="T42" s="114"/>
      <c r="U42" s="115"/>
      <c r="V42" s="115"/>
      <c r="W42" s="132"/>
      <c r="X42" s="117"/>
      <c r="Y42" s="114"/>
      <c r="Z42" s="115"/>
      <c r="AA42" s="115"/>
      <c r="AB42" s="132"/>
      <c r="AC42" s="117"/>
      <c r="AD42" s="114"/>
      <c r="AE42" s="115"/>
      <c r="AF42" s="115"/>
      <c r="AG42" s="132"/>
      <c r="AH42" s="117"/>
      <c r="AI42" s="114"/>
      <c r="AJ42" s="115"/>
      <c r="AK42" s="115"/>
      <c r="AL42" s="132"/>
      <c r="AM42" s="117"/>
      <c r="AN42" s="114"/>
      <c r="AO42" s="115"/>
      <c r="AP42" s="139"/>
      <c r="AQ42" s="132"/>
      <c r="AR42" s="117"/>
      <c r="AS42" s="114"/>
      <c r="AT42" s="115"/>
      <c r="AU42" s="139"/>
      <c r="AV42" s="132"/>
      <c r="AW42" s="117"/>
      <c r="AX42" s="120"/>
      <c r="AY42" s="139"/>
      <c r="AZ42" s="139"/>
      <c r="BA42" s="119"/>
      <c r="BB42" s="44"/>
      <c r="BC42" s="120"/>
      <c r="BD42" s="139"/>
      <c r="BE42" s="139"/>
      <c r="BF42" s="119"/>
      <c r="BG42" s="44"/>
      <c r="BH42" s="120"/>
      <c r="BI42" s="139"/>
      <c r="BJ42" s="139"/>
      <c r="BK42" s="119"/>
      <c r="BL42" s="44"/>
      <c r="BM42" s="120"/>
      <c r="BN42" s="139"/>
      <c r="BO42" s="139"/>
      <c r="BP42" s="119"/>
      <c r="BQ42" s="44"/>
      <c r="BR42" s="44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</row>
    <row r="43" spans="1:104" x14ac:dyDescent="0.2">
      <c r="A43" s="44"/>
      <c r="B43" s="44"/>
      <c r="C43" s="26" t="s">
        <v>137</v>
      </c>
      <c r="D43" s="82"/>
      <c r="E43" s="121">
        <f>+E39-E41</f>
        <v>78.288000000000054</v>
      </c>
      <c r="F43" s="122">
        <f>+F39-F41</f>
        <v>60.546999999999983</v>
      </c>
      <c r="G43" s="122">
        <f>+G39-G41</f>
        <v>91.224000000000132</v>
      </c>
      <c r="H43" s="123">
        <f>+I43-SUM(E43:G43)</f>
        <v>93.261000000000109</v>
      </c>
      <c r="I43" s="86">
        <f>+I39-I41</f>
        <v>323.32000000000028</v>
      </c>
      <c r="J43" s="121">
        <f>+J39-J41</f>
        <v>84.249999999999972</v>
      </c>
      <c r="K43" s="122">
        <f>+K39-K41</f>
        <v>77.685000000000031</v>
      </c>
      <c r="L43" s="122">
        <f>+L39-L41</f>
        <v>158.09099999999995</v>
      </c>
      <c r="M43" s="123">
        <f>+N43-SUM(J43:L43)</f>
        <v>79.693999999999619</v>
      </c>
      <c r="N43" s="86">
        <f>+N39-N41</f>
        <v>399.71999999999957</v>
      </c>
      <c r="O43" s="121">
        <f>+O39-O41</f>
        <v>96.630000000000109</v>
      </c>
      <c r="P43" s="122">
        <f>+P39-P41</f>
        <v>71.018000000000029</v>
      </c>
      <c r="Q43" s="122">
        <f>+Q39-Q41</f>
        <v>140.71800000000002</v>
      </c>
      <c r="R43" s="123">
        <f>+S43-SUM(O43:Q43)</f>
        <v>88.436999999998704</v>
      </c>
      <c r="S43" s="86">
        <f>+S39-S41</f>
        <v>396.80299999999886</v>
      </c>
      <c r="T43" s="121">
        <f>+T39-T41</f>
        <v>93.284999999999741</v>
      </c>
      <c r="U43" s="122">
        <f>+U39-U41</f>
        <v>95.406999999999968</v>
      </c>
      <c r="V43" s="122">
        <f>+V39-V41</f>
        <v>192.4430000000001</v>
      </c>
      <c r="W43" s="123">
        <f>+X43-SUM(T43:V43)</f>
        <v>76.940999999999406</v>
      </c>
      <c r="X43" s="86">
        <f>+X39-X41</f>
        <v>458.07599999999923</v>
      </c>
      <c r="Y43" s="121">
        <f>+Y39-Y41</f>
        <v>116.60499999999999</v>
      </c>
      <c r="Z43" s="122">
        <f>+Z39-Z41</f>
        <v>97.29899999999995</v>
      </c>
      <c r="AA43" s="122">
        <f>+AA39-AA41</f>
        <v>166.26600000000025</v>
      </c>
      <c r="AB43" s="123">
        <f>+AC43-SUM(Y43:AA43)</f>
        <v>73.212999999999397</v>
      </c>
      <c r="AC43" s="86">
        <f>+AC39-AC41</f>
        <v>453.38299999999958</v>
      </c>
      <c r="AD43" s="121">
        <f>+AD39-AD41</f>
        <v>118.40300000000012</v>
      </c>
      <c r="AE43" s="122">
        <f>+AE39-AE41</f>
        <v>89.791999999999916</v>
      </c>
      <c r="AF43" s="122">
        <f>+AF39-AF41</f>
        <v>154.15899999999988</v>
      </c>
      <c r="AG43" s="123">
        <f>+AH43-SUM(AD43:AF43)</f>
        <v>92.834000000000856</v>
      </c>
      <c r="AH43" s="86">
        <f>+AH39-AH41</f>
        <v>455.18800000000078</v>
      </c>
      <c r="AI43" s="121">
        <f>+AI39-AI41</f>
        <v>110.96600000000007</v>
      </c>
      <c r="AJ43" s="122">
        <f>+AJ39-AJ41</f>
        <v>98.499999999999943</v>
      </c>
      <c r="AK43" s="122">
        <f>+AK39-AK41</f>
        <v>173.08099999999996</v>
      </c>
      <c r="AL43" s="123">
        <f>+AM43-SUM(AI43:AK43)</f>
        <v>84.254999999999995</v>
      </c>
      <c r="AM43" s="86">
        <f>+AM39-AM41</f>
        <v>466.80199999999996</v>
      </c>
      <c r="AN43" s="121">
        <f>+AN39-AN41</f>
        <v>115.87400000000005</v>
      </c>
      <c r="AO43" s="122">
        <f>+AO39-AO41</f>
        <v>87.344000000000008</v>
      </c>
      <c r="AP43" s="122">
        <f>+AP39-AP41</f>
        <v>173.60699999999991</v>
      </c>
      <c r="AQ43" s="123">
        <f>+AR43-SUM(AN43:AP43)</f>
        <v>86.665999999999656</v>
      </c>
      <c r="AR43" s="86">
        <f>+AR39-AR41</f>
        <v>463.49099999999964</v>
      </c>
      <c r="AS43" s="121">
        <f>+AS39-AS41</f>
        <v>111.54600000000002</v>
      </c>
      <c r="AT43" s="122">
        <f>+AT39-AT41</f>
        <v>100.58699999999993</v>
      </c>
      <c r="AU43" s="122">
        <f>+AU39-AU41</f>
        <v>186.077</v>
      </c>
      <c r="AV43" s="123">
        <f>+AW43-SUM(AS43:AU43)</f>
        <v>95.909000000000333</v>
      </c>
      <c r="AW43" s="86">
        <f>+AW39-AW41</f>
        <v>494.11900000000026</v>
      </c>
      <c r="AX43" s="121">
        <f>+AX39-AX41</f>
        <v>135.13086456331928</v>
      </c>
      <c r="AY43" s="122">
        <f>+AY39-AY41</f>
        <v>109.28318925740587</v>
      </c>
      <c r="AZ43" s="122">
        <f>+AZ39-AZ41</f>
        <v>189.69820005065486</v>
      </c>
      <c r="BA43" s="123">
        <f>+BB43-SUM(AX43:AZ43)</f>
        <v>89.649626792886181</v>
      </c>
      <c r="BB43" s="86">
        <f>+BB39-BB41</f>
        <v>523.76188066426619</v>
      </c>
      <c r="BC43" s="121">
        <f>+BC39-BC41</f>
        <v>139.065225039067</v>
      </c>
      <c r="BD43" s="122">
        <f>+BD39-BD41</f>
        <v>105.64661382704486</v>
      </c>
      <c r="BE43" s="122">
        <f>+BE39-BE41</f>
        <v>191.99480252320677</v>
      </c>
      <c r="BF43" s="123">
        <f>+BG43-SUM(BC43:BE43)</f>
        <v>91.50936389237711</v>
      </c>
      <c r="BG43" s="86">
        <f>+BG39-BG41</f>
        <v>528.21600528169574</v>
      </c>
      <c r="BH43" s="121">
        <f>+BH39-BH41</f>
        <v>146.70384017671677</v>
      </c>
      <c r="BI43" s="122">
        <f>+BI39-BI41</f>
        <v>109.4044545152793</v>
      </c>
      <c r="BJ43" s="122">
        <f>+BJ39-BJ41</f>
        <v>195.27209385263774</v>
      </c>
      <c r="BK43" s="123">
        <f>+BL43-SUM(BH43:BJ43)</f>
        <v>97.895987209302518</v>
      </c>
      <c r="BL43" s="86">
        <f>+BL39-BL41</f>
        <v>549.27637575393635</v>
      </c>
      <c r="BM43" s="121">
        <f>+BM39-BM41</f>
        <v>158.70136508188966</v>
      </c>
      <c r="BN43" s="122">
        <f>+BN39-BN41</f>
        <v>116.72076180258102</v>
      </c>
      <c r="BO43" s="122">
        <f>+BO39-BO41</f>
        <v>203.88130852298031</v>
      </c>
      <c r="BP43" s="123">
        <f>+BQ43-SUM(BM43:BO43)</f>
        <v>107.00579285698115</v>
      </c>
      <c r="BQ43" s="86">
        <f>+BQ39-BQ41</f>
        <v>586.30922826443214</v>
      </c>
      <c r="BR43" s="44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  <c r="CX43" s="44"/>
      <c r="CY43" s="44"/>
      <c r="CZ43" s="44"/>
    </row>
    <row r="44" spans="1:104" x14ac:dyDescent="0.2">
      <c r="A44" s="44"/>
      <c r="B44" s="44"/>
      <c r="C44" s="525" t="s">
        <v>435</v>
      </c>
      <c r="D44" s="82"/>
      <c r="E44" s="114">
        <v>0</v>
      </c>
      <c r="F44" s="115">
        <v>0</v>
      </c>
      <c r="G44" s="115">
        <v>0</v>
      </c>
      <c r="H44" s="131">
        <f>I44-SUM(E44:G44)</f>
        <v>0</v>
      </c>
      <c r="I44" s="117">
        <v>0</v>
      </c>
      <c r="J44" s="114">
        <v>0</v>
      </c>
      <c r="K44" s="115">
        <v>0</v>
      </c>
      <c r="L44" s="115">
        <v>0</v>
      </c>
      <c r="M44" s="131">
        <f>N44-SUM(J44:L44)</f>
        <v>0</v>
      </c>
      <c r="N44" s="117">
        <v>0</v>
      </c>
      <c r="O44" s="114">
        <v>0</v>
      </c>
      <c r="P44" s="115">
        <v>0</v>
      </c>
      <c r="Q44" s="115">
        <f>L44</f>
        <v>0</v>
      </c>
      <c r="R44" s="131">
        <f>S44-SUM(O44:Q44)</f>
        <v>0</v>
      </c>
      <c r="S44" s="117">
        <v>0</v>
      </c>
      <c r="T44" s="114">
        <v>0</v>
      </c>
      <c r="U44" s="115">
        <v>0</v>
      </c>
      <c r="V44" s="115">
        <f>Q44</f>
        <v>0</v>
      </c>
      <c r="W44" s="131">
        <f>X44-SUM(T44:V44)</f>
        <v>0</v>
      </c>
      <c r="X44" s="117">
        <v>0</v>
      </c>
      <c r="Y44" s="114">
        <v>0</v>
      </c>
      <c r="Z44" s="115">
        <v>0</v>
      </c>
      <c r="AA44" s="115">
        <f>V44</f>
        <v>0</v>
      </c>
      <c r="AB44" s="131">
        <f>AC44-SUM(Y44:AA44)</f>
        <v>0</v>
      </c>
      <c r="AC44" s="117">
        <v>0</v>
      </c>
      <c r="AD44" s="114">
        <v>0</v>
      </c>
      <c r="AE44" s="115">
        <v>0</v>
      </c>
      <c r="AF44" s="115">
        <f>AA44</f>
        <v>0</v>
      </c>
      <c r="AG44" s="131">
        <f>AH44-SUM(AD44:AF44)</f>
        <v>0</v>
      </c>
      <c r="AH44" s="117">
        <v>0</v>
      </c>
      <c r="AI44" s="114">
        <v>0</v>
      </c>
      <c r="AJ44" s="115">
        <v>0</v>
      </c>
      <c r="AK44" s="115">
        <f>AF44</f>
        <v>0</v>
      </c>
      <c r="AL44" s="131">
        <f>AM44-SUM(AI44:AK44)</f>
        <v>0</v>
      </c>
      <c r="AM44" s="117">
        <v>0</v>
      </c>
      <c r="AN44" s="114">
        <v>0</v>
      </c>
      <c r="AO44" s="115">
        <v>0</v>
      </c>
      <c r="AP44" s="115">
        <v>0</v>
      </c>
      <c r="AQ44" s="131">
        <f>AR44-SUM(AN44:AP44)</f>
        <v>0</v>
      </c>
      <c r="AR44" s="117">
        <v>0</v>
      </c>
      <c r="AS44" s="114">
        <v>0</v>
      </c>
      <c r="AT44" s="115">
        <v>0</v>
      </c>
      <c r="AU44" s="115">
        <v>0</v>
      </c>
      <c r="AV44" s="131">
        <f>AW44-SUM(AS44:AU44)</f>
        <v>0</v>
      </c>
      <c r="AW44" s="117">
        <v>0</v>
      </c>
      <c r="AX44" s="120">
        <f t="shared" ref="AX44:BA45" si="75">AS44</f>
        <v>0</v>
      </c>
      <c r="AY44" s="118">
        <f t="shared" si="75"/>
        <v>0</v>
      </c>
      <c r="AZ44" s="118">
        <f t="shared" si="75"/>
        <v>0</v>
      </c>
      <c r="BA44" s="119">
        <f t="shared" si="75"/>
        <v>0</v>
      </c>
      <c r="BB44" s="42">
        <f>SUM(AX44:BA44)</f>
        <v>0</v>
      </c>
      <c r="BC44" s="120">
        <f t="shared" ref="BC44:BF45" si="76">AX44</f>
        <v>0</v>
      </c>
      <c r="BD44" s="118">
        <f t="shared" si="76"/>
        <v>0</v>
      </c>
      <c r="BE44" s="118">
        <f t="shared" si="76"/>
        <v>0</v>
      </c>
      <c r="BF44" s="119">
        <f t="shared" si="76"/>
        <v>0</v>
      </c>
      <c r="BG44" s="42">
        <f>SUM(BC44:BF44)</f>
        <v>0</v>
      </c>
      <c r="BH44" s="120">
        <f t="shared" ref="BH44:BK45" si="77">BC44</f>
        <v>0</v>
      </c>
      <c r="BI44" s="118">
        <f t="shared" si="77"/>
        <v>0</v>
      </c>
      <c r="BJ44" s="118">
        <f t="shared" si="77"/>
        <v>0</v>
      </c>
      <c r="BK44" s="119">
        <f t="shared" si="77"/>
        <v>0</v>
      </c>
      <c r="BL44" s="42">
        <f>SUM(BH44:BK44)</f>
        <v>0</v>
      </c>
      <c r="BM44" s="120">
        <f t="shared" ref="BM44:BM45" si="78">BH44</f>
        <v>0</v>
      </c>
      <c r="BN44" s="118">
        <f t="shared" ref="BN44:BN45" si="79">BI44</f>
        <v>0</v>
      </c>
      <c r="BO44" s="118">
        <f t="shared" ref="BO44:BO45" si="80">BJ44</f>
        <v>0</v>
      </c>
      <c r="BP44" s="119">
        <f t="shared" ref="BP44:BP45" si="81">BK44</f>
        <v>0</v>
      </c>
      <c r="BQ44" s="42">
        <f>SUM(BM44:BP44)</f>
        <v>0</v>
      </c>
      <c r="BR44" s="269"/>
      <c r="BS44" s="269"/>
      <c r="BT44" s="529"/>
      <c r="BU44" s="529"/>
      <c r="BV44" s="529"/>
      <c r="BW44" s="529"/>
      <c r="BX44" s="529"/>
      <c r="BY44" s="529"/>
      <c r="BZ44" s="529"/>
      <c r="CA44" s="529"/>
      <c r="CB44" s="269"/>
      <c r="CC44" s="269"/>
      <c r="CD44" s="269"/>
      <c r="CE44" s="269"/>
      <c r="CF44" s="269"/>
      <c r="CG44" s="269"/>
      <c r="CH44" s="269"/>
      <c r="CI44" s="269"/>
      <c r="CJ44" s="269"/>
      <c r="CK44" s="269"/>
      <c r="CL44" s="269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</row>
    <row r="45" spans="1:104" x14ac:dyDescent="0.2">
      <c r="C45" s="20" t="s">
        <v>138</v>
      </c>
      <c r="D45" s="42"/>
      <c r="E45" s="114">
        <v>0</v>
      </c>
      <c r="F45" s="115">
        <v>0</v>
      </c>
      <c r="G45" s="115">
        <v>0</v>
      </c>
      <c r="H45" s="131">
        <f>I45-SUM(E45:G45)</f>
        <v>0</v>
      </c>
      <c r="I45" s="117">
        <v>0</v>
      </c>
      <c r="J45" s="114">
        <v>0</v>
      </c>
      <c r="K45" s="115">
        <v>0</v>
      </c>
      <c r="L45" s="115">
        <v>0</v>
      </c>
      <c r="M45" s="131">
        <f>N45-SUM(J45:L45)</f>
        <v>0</v>
      </c>
      <c r="N45" s="117">
        <v>0</v>
      </c>
      <c r="O45" s="114">
        <v>0</v>
      </c>
      <c r="P45" s="115">
        <v>0</v>
      </c>
      <c r="Q45" s="115">
        <f>L45</f>
        <v>0</v>
      </c>
      <c r="R45" s="131">
        <f>S45-SUM(O45:Q45)</f>
        <v>0</v>
      </c>
      <c r="S45" s="117">
        <v>0</v>
      </c>
      <c r="T45" s="114">
        <v>0</v>
      </c>
      <c r="U45" s="115">
        <v>0</v>
      </c>
      <c r="V45" s="115">
        <f>Q45</f>
        <v>0</v>
      </c>
      <c r="W45" s="131">
        <f>X45-SUM(T45:V45)</f>
        <v>0</v>
      </c>
      <c r="X45" s="117">
        <v>0</v>
      </c>
      <c r="Y45" s="114">
        <v>0</v>
      </c>
      <c r="Z45" s="115">
        <v>0</v>
      </c>
      <c r="AA45" s="115">
        <f>V45</f>
        <v>0</v>
      </c>
      <c r="AB45" s="131">
        <f>AC45-SUM(Y45:AA45)</f>
        <v>0</v>
      </c>
      <c r="AC45" s="117">
        <v>0</v>
      </c>
      <c r="AD45" s="114">
        <v>0</v>
      </c>
      <c r="AE45" s="115">
        <v>0</v>
      </c>
      <c r="AF45" s="115">
        <f>AA45</f>
        <v>0</v>
      </c>
      <c r="AG45" s="131">
        <f>AH45-SUM(AD45:AF45)</f>
        <v>0</v>
      </c>
      <c r="AH45" s="117">
        <v>0</v>
      </c>
      <c r="AI45" s="114">
        <v>0</v>
      </c>
      <c r="AJ45" s="115">
        <v>0</v>
      </c>
      <c r="AK45" s="115">
        <f>AF45</f>
        <v>0</v>
      </c>
      <c r="AL45" s="131">
        <f>AM45-SUM(AI45:AK45)</f>
        <v>0</v>
      </c>
      <c r="AM45" s="117">
        <v>0</v>
      </c>
      <c r="AN45" s="114">
        <v>0</v>
      </c>
      <c r="AO45" s="115">
        <v>0</v>
      </c>
      <c r="AP45" s="115">
        <v>0</v>
      </c>
      <c r="AQ45" s="131">
        <f>AR45-SUM(AN45:AP45)</f>
        <v>0</v>
      </c>
      <c r="AR45" s="117">
        <v>0</v>
      </c>
      <c r="AS45" s="114">
        <v>0</v>
      </c>
      <c r="AT45" s="115">
        <v>0</v>
      </c>
      <c r="AU45" s="115">
        <v>0</v>
      </c>
      <c r="AV45" s="131">
        <f>AW45-SUM(AS45:AU45)</f>
        <v>0</v>
      </c>
      <c r="AW45" s="117">
        <v>0</v>
      </c>
      <c r="AX45" s="120">
        <f t="shared" si="75"/>
        <v>0</v>
      </c>
      <c r="AY45" s="118">
        <f t="shared" si="75"/>
        <v>0</v>
      </c>
      <c r="AZ45" s="118">
        <f t="shared" si="75"/>
        <v>0</v>
      </c>
      <c r="BA45" s="119">
        <f t="shared" si="75"/>
        <v>0</v>
      </c>
      <c r="BB45" s="42">
        <f>SUM(AX45:BA45)</f>
        <v>0</v>
      </c>
      <c r="BC45" s="120">
        <f t="shared" si="76"/>
        <v>0</v>
      </c>
      <c r="BD45" s="118">
        <f t="shared" si="76"/>
        <v>0</v>
      </c>
      <c r="BE45" s="118">
        <f t="shared" si="76"/>
        <v>0</v>
      </c>
      <c r="BF45" s="119">
        <f t="shared" si="76"/>
        <v>0</v>
      </c>
      <c r="BG45" s="42">
        <f>SUM(BC45:BF45)</f>
        <v>0</v>
      </c>
      <c r="BH45" s="120">
        <f t="shared" si="77"/>
        <v>0</v>
      </c>
      <c r="BI45" s="118">
        <f t="shared" si="77"/>
        <v>0</v>
      </c>
      <c r="BJ45" s="118">
        <f t="shared" si="77"/>
        <v>0</v>
      </c>
      <c r="BK45" s="119">
        <f t="shared" si="77"/>
        <v>0</v>
      </c>
      <c r="BL45" s="42">
        <f>SUM(BH45:BK45)</f>
        <v>0</v>
      </c>
      <c r="BM45" s="120">
        <f t="shared" si="78"/>
        <v>0</v>
      </c>
      <c r="BN45" s="118">
        <f t="shared" si="79"/>
        <v>0</v>
      </c>
      <c r="BO45" s="118">
        <f t="shared" si="80"/>
        <v>0</v>
      </c>
      <c r="BP45" s="119">
        <f t="shared" si="81"/>
        <v>0</v>
      </c>
      <c r="BQ45" s="42">
        <f>SUM(BM45:BP45)</f>
        <v>0</v>
      </c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D45" s="44"/>
    </row>
    <row r="46" spans="1:104" x14ac:dyDescent="0.2">
      <c r="A46" s="44"/>
      <c r="B46" s="44"/>
      <c r="C46" s="20"/>
      <c r="D46" s="42"/>
      <c r="E46" s="114"/>
      <c r="F46" s="133"/>
      <c r="G46" s="133"/>
      <c r="H46" s="132"/>
      <c r="I46" s="117"/>
      <c r="J46" s="114"/>
      <c r="K46" s="133"/>
      <c r="L46" s="133"/>
      <c r="M46" s="132"/>
      <c r="N46" s="117"/>
      <c r="O46" s="114"/>
      <c r="P46" s="115"/>
      <c r="Q46" s="115"/>
      <c r="R46" s="132"/>
      <c r="S46" s="117"/>
      <c r="T46" s="114"/>
      <c r="U46" s="115"/>
      <c r="V46" s="115"/>
      <c r="W46" s="132"/>
      <c r="X46" s="117"/>
      <c r="Y46" s="114"/>
      <c r="Z46" s="115"/>
      <c r="AA46" s="115"/>
      <c r="AB46" s="132"/>
      <c r="AC46" s="117"/>
      <c r="AD46" s="114"/>
      <c r="AE46" s="115"/>
      <c r="AF46" s="115"/>
      <c r="AG46" s="132"/>
      <c r="AH46" s="117"/>
      <c r="AI46" s="114"/>
      <c r="AJ46" s="115"/>
      <c r="AK46" s="115"/>
      <c r="AL46" s="132"/>
      <c r="AM46" s="117"/>
      <c r="AN46" s="114"/>
      <c r="AO46" s="115"/>
      <c r="AP46" s="139"/>
      <c r="AQ46" s="132"/>
      <c r="AR46" s="117"/>
      <c r="AS46" s="114"/>
      <c r="AT46" s="115"/>
      <c r="AU46" s="139"/>
      <c r="AV46" s="132"/>
      <c r="AW46" s="117"/>
      <c r="AX46" s="120"/>
      <c r="AY46" s="139"/>
      <c r="AZ46" s="139"/>
      <c r="BA46" s="119"/>
      <c r="BB46" s="44"/>
      <c r="BC46" s="120"/>
      <c r="BD46" s="139"/>
      <c r="BE46" s="139"/>
      <c r="BF46" s="119"/>
      <c r="BG46" s="44"/>
      <c r="BH46" s="120"/>
      <c r="BI46" s="139"/>
      <c r="BJ46" s="139"/>
      <c r="BK46" s="119"/>
      <c r="BL46" s="44"/>
      <c r="BM46" s="120"/>
      <c r="BN46" s="139"/>
      <c r="BO46" s="139"/>
      <c r="BP46" s="119"/>
      <c r="BQ46" s="44"/>
      <c r="BR46" s="44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</row>
    <row r="47" spans="1:104" x14ac:dyDescent="0.2">
      <c r="A47" s="85"/>
      <c r="B47" s="85"/>
      <c r="C47" s="26" t="s">
        <v>139</v>
      </c>
      <c r="D47" s="86"/>
      <c r="E47" s="121">
        <f t="shared" ref="E47:Q47" si="82">E43+E44-E45</f>
        <v>78.288000000000054</v>
      </c>
      <c r="F47" s="122">
        <f t="shared" si="82"/>
        <v>60.546999999999983</v>
      </c>
      <c r="G47" s="122">
        <f t="shared" si="82"/>
        <v>91.224000000000132</v>
      </c>
      <c r="H47" s="123">
        <f t="shared" si="82"/>
        <v>93.261000000000109</v>
      </c>
      <c r="I47" s="86">
        <f t="shared" si="82"/>
        <v>323.32000000000028</v>
      </c>
      <c r="J47" s="121">
        <f t="shared" si="82"/>
        <v>84.249999999999972</v>
      </c>
      <c r="K47" s="122">
        <f t="shared" si="82"/>
        <v>77.685000000000031</v>
      </c>
      <c r="L47" s="122">
        <f t="shared" si="82"/>
        <v>158.09099999999995</v>
      </c>
      <c r="M47" s="123">
        <f t="shared" si="82"/>
        <v>79.693999999999619</v>
      </c>
      <c r="N47" s="86">
        <f t="shared" si="82"/>
        <v>399.71999999999957</v>
      </c>
      <c r="O47" s="121">
        <f t="shared" si="82"/>
        <v>96.630000000000109</v>
      </c>
      <c r="P47" s="122">
        <f t="shared" si="82"/>
        <v>71.018000000000029</v>
      </c>
      <c r="Q47" s="122">
        <f t="shared" si="82"/>
        <v>140.71800000000002</v>
      </c>
      <c r="R47" s="123">
        <f t="shared" ref="R47:Y47" si="83">R43+R44-R45</f>
        <v>88.436999999998704</v>
      </c>
      <c r="S47" s="86">
        <f t="shared" si="83"/>
        <v>396.80299999999886</v>
      </c>
      <c r="T47" s="121">
        <f t="shared" si="83"/>
        <v>93.284999999999741</v>
      </c>
      <c r="U47" s="122">
        <f t="shared" si="83"/>
        <v>95.406999999999968</v>
      </c>
      <c r="V47" s="122">
        <f t="shared" si="83"/>
        <v>192.4430000000001</v>
      </c>
      <c r="W47" s="123">
        <f t="shared" si="83"/>
        <v>76.940999999999406</v>
      </c>
      <c r="X47" s="86">
        <f t="shared" si="83"/>
        <v>458.07599999999923</v>
      </c>
      <c r="Y47" s="121">
        <f t="shared" si="83"/>
        <v>116.60499999999999</v>
      </c>
      <c r="Z47" s="122">
        <f t="shared" ref="Z47:AF47" si="84">Z43+Z44-Z45</f>
        <v>97.29899999999995</v>
      </c>
      <c r="AA47" s="122">
        <f t="shared" si="84"/>
        <v>166.26600000000025</v>
      </c>
      <c r="AB47" s="123">
        <f t="shared" si="84"/>
        <v>73.212999999999397</v>
      </c>
      <c r="AC47" s="86">
        <f t="shared" si="84"/>
        <v>453.38299999999958</v>
      </c>
      <c r="AD47" s="121">
        <f t="shared" si="84"/>
        <v>118.40300000000012</v>
      </c>
      <c r="AE47" s="122">
        <f t="shared" si="84"/>
        <v>89.791999999999916</v>
      </c>
      <c r="AF47" s="122">
        <f t="shared" si="84"/>
        <v>154.15899999999988</v>
      </c>
      <c r="AG47" s="123">
        <f t="shared" ref="AG47:AM47" si="85">AG43+AG44-AG45</f>
        <v>92.834000000000856</v>
      </c>
      <c r="AH47" s="86">
        <f t="shared" si="85"/>
        <v>455.18800000000078</v>
      </c>
      <c r="AI47" s="121">
        <f t="shared" si="85"/>
        <v>110.96600000000007</v>
      </c>
      <c r="AJ47" s="122">
        <f t="shared" si="85"/>
        <v>98.499999999999943</v>
      </c>
      <c r="AK47" s="122">
        <f t="shared" si="85"/>
        <v>173.08099999999996</v>
      </c>
      <c r="AL47" s="123">
        <f t="shared" si="85"/>
        <v>84.254999999999995</v>
      </c>
      <c r="AM47" s="86">
        <f t="shared" si="85"/>
        <v>466.80199999999996</v>
      </c>
      <c r="AN47" s="121">
        <f>AN43+AN44-AN45</f>
        <v>115.87400000000005</v>
      </c>
      <c r="AO47" s="122">
        <f>AO43+AO44-AO45</f>
        <v>87.344000000000008</v>
      </c>
      <c r="AP47" s="122">
        <f t="shared" ref="AP47:AR47" si="86">AP43+AP44-AP45</f>
        <v>173.60699999999991</v>
      </c>
      <c r="AQ47" s="123">
        <f t="shared" si="86"/>
        <v>86.665999999999656</v>
      </c>
      <c r="AR47" s="86">
        <f t="shared" si="86"/>
        <v>463.49099999999964</v>
      </c>
      <c r="AS47" s="121">
        <f>AS43+AS44-AS45</f>
        <v>111.54600000000002</v>
      </c>
      <c r="AT47" s="122">
        <f>AT43+AT44-AT45</f>
        <v>100.58699999999993</v>
      </c>
      <c r="AU47" s="122">
        <f>AU43+AU44-AU45</f>
        <v>186.077</v>
      </c>
      <c r="AV47" s="123">
        <f t="shared" ref="AV47:AW47" si="87">AV43+AV44-AV45</f>
        <v>95.909000000000333</v>
      </c>
      <c r="AW47" s="86">
        <f t="shared" si="87"/>
        <v>494.11900000000026</v>
      </c>
      <c r="AX47" s="121">
        <f t="shared" ref="AX47:BG47" si="88">AX43+AX44-AX45</f>
        <v>135.13086456331928</v>
      </c>
      <c r="AY47" s="122">
        <f t="shared" si="88"/>
        <v>109.28318925740587</v>
      </c>
      <c r="AZ47" s="122">
        <f t="shared" si="88"/>
        <v>189.69820005065486</v>
      </c>
      <c r="BA47" s="123">
        <f t="shared" si="88"/>
        <v>89.649626792886181</v>
      </c>
      <c r="BB47" s="86">
        <f t="shared" si="88"/>
        <v>523.76188066426619</v>
      </c>
      <c r="BC47" s="121">
        <f t="shared" si="88"/>
        <v>139.065225039067</v>
      </c>
      <c r="BD47" s="122">
        <f t="shared" si="88"/>
        <v>105.64661382704486</v>
      </c>
      <c r="BE47" s="122">
        <f t="shared" si="88"/>
        <v>191.99480252320677</v>
      </c>
      <c r="BF47" s="123">
        <f t="shared" si="88"/>
        <v>91.50936389237711</v>
      </c>
      <c r="BG47" s="86">
        <f t="shared" si="88"/>
        <v>528.21600528169574</v>
      </c>
      <c r="BH47" s="121">
        <f t="shared" ref="BH47:BQ47" si="89">BH43+BH44-BH45</f>
        <v>146.70384017671677</v>
      </c>
      <c r="BI47" s="122">
        <f t="shared" si="89"/>
        <v>109.4044545152793</v>
      </c>
      <c r="BJ47" s="122">
        <f t="shared" si="89"/>
        <v>195.27209385263774</v>
      </c>
      <c r="BK47" s="123">
        <f t="shared" si="89"/>
        <v>97.895987209302518</v>
      </c>
      <c r="BL47" s="86">
        <f t="shared" si="89"/>
        <v>549.27637575393635</v>
      </c>
      <c r="BM47" s="121">
        <f t="shared" si="89"/>
        <v>158.70136508188966</v>
      </c>
      <c r="BN47" s="122">
        <f t="shared" si="89"/>
        <v>116.72076180258102</v>
      </c>
      <c r="BO47" s="122">
        <f t="shared" si="89"/>
        <v>203.88130852298031</v>
      </c>
      <c r="BP47" s="123">
        <f t="shared" si="89"/>
        <v>107.00579285698115</v>
      </c>
      <c r="BQ47" s="86">
        <f t="shared" si="89"/>
        <v>586.30922826443214</v>
      </c>
      <c r="BR47" s="85"/>
      <c r="BS47" s="521"/>
      <c r="BT47" s="527"/>
      <c r="BU47" s="521"/>
      <c r="BV47" s="521"/>
      <c r="BW47" s="521"/>
      <c r="BX47" s="521"/>
      <c r="BY47" s="521"/>
      <c r="BZ47" s="521"/>
      <c r="CA47" s="521"/>
      <c r="CB47" s="521"/>
      <c r="CC47" s="85"/>
      <c r="CD47" s="85"/>
      <c r="CE47" s="85"/>
      <c r="CF47" s="85"/>
      <c r="CG47" s="85"/>
      <c r="CH47" s="85"/>
      <c r="CI47" s="85"/>
      <c r="CJ47" s="85"/>
      <c r="CK47" s="85"/>
      <c r="CL47" s="85"/>
      <c r="CM47" s="85"/>
      <c r="CN47" s="85"/>
      <c r="CO47" s="85"/>
      <c r="CP47" s="85"/>
      <c r="CQ47" s="85"/>
      <c r="CR47" s="85"/>
      <c r="CS47" s="85"/>
      <c r="CT47" s="85"/>
      <c r="CU47" s="85"/>
      <c r="CV47" s="85"/>
      <c r="CW47" s="85"/>
      <c r="CX47" s="85"/>
      <c r="CY47" s="85"/>
      <c r="CZ47" s="85"/>
    </row>
    <row r="48" spans="1:104" x14ac:dyDescent="0.2">
      <c r="A48" s="44"/>
      <c r="B48" s="44"/>
      <c r="C48" s="20" t="s">
        <v>140</v>
      </c>
      <c r="D48" s="42"/>
      <c r="E48" s="114">
        <v>0</v>
      </c>
      <c r="F48" s="115">
        <v>0</v>
      </c>
      <c r="G48" s="115">
        <v>0</v>
      </c>
      <c r="H48" s="131">
        <f>I48-SUM(E48:G48)</f>
        <v>0</v>
      </c>
      <c r="I48" s="117">
        <v>0</v>
      </c>
      <c r="J48" s="114">
        <v>0</v>
      </c>
      <c r="K48" s="115">
        <v>0</v>
      </c>
      <c r="L48" s="115">
        <v>0</v>
      </c>
      <c r="M48" s="131">
        <f>N48-SUM(J48:L48)</f>
        <v>0</v>
      </c>
      <c r="N48" s="117">
        <v>0</v>
      </c>
      <c r="O48" s="114">
        <v>0</v>
      </c>
      <c r="P48" s="115">
        <v>0</v>
      </c>
      <c r="Q48" s="115">
        <v>0</v>
      </c>
      <c r="R48" s="131">
        <f>S48-SUM(O48:Q48)</f>
        <v>0</v>
      </c>
      <c r="S48" s="117">
        <v>0</v>
      </c>
      <c r="T48" s="114">
        <v>0</v>
      </c>
      <c r="U48" s="115">
        <v>0</v>
      </c>
      <c r="V48" s="115">
        <v>0</v>
      </c>
      <c r="W48" s="131">
        <f>X48-SUM(T48:V48)</f>
        <v>0</v>
      </c>
      <c r="X48" s="117">
        <v>0</v>
      </c>
      <c r="Y48" s="114">
        <v>0</v>
      </c>
      <c r="Z48" s="115">
        <v>0</v>
      </c>
      <c r="AA48" s="115">
        <v>0</v>
      </c>
      <c r="AB48" s="131">
        <f>AC48-SUM(Y48:AA48)</f>
        <v>0</v>
      </c>
      <c r="AC48" s="117">
        <v>0</v>
      </c>
      <c r="AD48" s="114">
        <v>0</v>
      </c>
      <c r="AE48" s="115">
        <v>0</v>
      </c>
      <c r="AF48" s="115">
        <v>0</v>
      </c>
      <c r="AG48" s="131">
        <f>AH48-SUM(AD48:AF48)</f>
        <v>0</v>
      </c>
      <c r="AH48" s="117">
        <v>0</v>
      </c>
      <c r="AI48" s="114">
        <v>0</v>
      </c>
      <c r="AJ48" s="115">
        <v>0</v>
      </c>
      <c r="AK48" s="115">
        <v>0</v>
      </c>
      <c r="AL48" s="131">
        <f>AM48-SUM(AI48:AK48)</f>
        <v>0</v>
      </c>
      <c r="AM48" s="117">
        <v>0</v>
      </c>
      <c r="AN48" s="114">
        <v>0</v>
      </c>
      <c r="AO48" s="115">
        <v>0</v>
      </c>
      <c r="AP48" s="115">
        <v>0</v>
      </c>
      <c r="AQ48" s="131">
        <f>AR48-SUM(AN48:AP48)</f>
        <v>0</v>
      </c>
      <c r="AR48" s="117">
        <v>0</v>
      </c>
      <c r="AS48" s="114">
        <v>0</v>
      </c>
      <c r="AT48" s="115">
        <v>0</v>
      </c>
      <c r="AU48" s="115">
        <v>0</v>
      </c>
      <c r="AV48" s="131">
        <f>AW48-SUM(AS48:AU48)</f>
        <v>0</v>
      </c>
      <c r="AW48" s="117">
        <v>0</v>
      </c>
      <c r="AX48" s="148">
        <v>0</v>
      </c>
      <c r="AY48" s="149">
        <v>0</v>
      </c>
      <c r="AZ48" s="149">
        <v>0</v>
      </c>
      <c r="BA48" s="150">
        <v>0</v>
      </c>
      <c r="BB48" s="42">
        <f>SUM(AX48:BA48)</f>
        <v>0</v>
      </c>
      <c r="BC48" s="148">
        <v>0</v>
      </c>
      <c r="BD48" s="149">
        <v>0</v>
      </c>
      <c r="BE48" s="149">
        <v>0</v>
      </c>
      <c r="BF48" s="150">
        <v>0</v>
      </c>
      <c r="BG48" s="42">
        <f>SUM(BC48:BF48)</f>
        <v>0</v>
      </c>
      <c r="BH48" s="148">
        <v>0</v>
      </c>
      <c r="BI48" s="149">
        <v>0</v>
      </c>
      <c r="BJ48" s="149">
        <v>0</v>
      </c>
      <c r="BK48" s="150">
        <v>0</v>
      </c>
      <c r="BL48" s="42">
        <f>SUM(BH48:BK48)</f>
        <v>0</v>
      </c>
      <c r="BM48" s="148">
        <v>0</v>
      </c>
      <c r="BN48" s="149">
        <v>0</v>
      </c>
      <c r="BO48" s="149">
        <v>0</v>
      </c>
      <c r="BP48" s="150">
        <v>0</v>
      </c>
      <c r="BQ48" s="42">
        <f>SUM(BM48:BP48)</f>
        <v>0</v>
      </c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44"/>
      <c r="CY48" s="44"/>
      <c r="CZ48" s="44"/>
    </row>
    <row r="49" spans="1:104" x14ac:dyDescent="0.2">
      <c r="A49" s="44"/>
      <c r="B49" s="44"/>
      <c r="C49" s="26" t="s">
        <v>141</v>
      </c>
      <c r="D49" s="42"/>
      <c r="E49" s="121">
        <f t="shared" ref="E49:P49" si="90">E47+E48</f>
        <v>78.288000000000054</v>
      </c>
      <c r="F49" s="122">
        <f t="shared" si="90"/>
        <v>60.546999999999983</v>
      </c>
      <c r="G49" s="122">
        <f t="shared" si="90"/>
        <v>91.224000000000132</v>
      </c>
      <c r="H49" s="123">
        <f t="shared" si="90"/>
        <v>93.261000000000109</v>
      </c>
      <c r="I49" s="86">
        <f t="shared" si="90"/>
        <v>323.32000000000028</v>
      </c>
      <c r="J49" s="121">
        <f t="shared" si="90"/>
        <v>84.249999999999972</v>
      </c>
      <c r="K49" s="122">
        <f t="shared" si="90"/>
        <v>77.685000000000031</v>
      </c>
      <c r="L49" s="122">
        <f t="shared" si="90"/>
        <v>158.09099999999995</v>
      </c>
      <c r="M49" s="123">
        <f t="shared" si="90"/>
        <v>79.693999999999619</v>
      </c>
      <c r="N49" s="86">
        <f t="shared" si="90"/>
        <v>399.71999999999957</v>
      </c>
      <c r="O49" s="121">
        <f t="shared" si="90"/>
        <v>96.630000000000109</v>
      </c>
      <c r="P49" s="122">
        <f t="shared" si="90"/>
        <v>71.018000000000029</v>
      </c>
      <c r="Q49" s="122">
        <f t="shared" ref="Q49:V49" si="91">Q47+Q48</f>
        <v>140.71800000000002</v>
      </c>
      <c r="R49" s="123">
        <f t="shared" si="91"/>
        <v>88.436999999998704</v>
      </c>
      <c r="S49" s="86">
        <f t="shared" si="91"/>
        <v>396.80299999999886</v>
      </c>
      <c r="T49" s="121">
        <f t="shared" si="91"/>
        <v>93.284999999999741</v>
      </c>
      <c r="U49" s="122">
        <f t="shared" si="91"/>
        <v>95.406999999999968</v>
      </c>
      <c r="V49" s="122">
        <f t="shared" si="91"/>
        <v>192.4430000000001</v>
      </c>
      <c r="W49" s="123">
        <f t="shared" ref="W49:AD49" si="92">W47+W48</f>
        <v>76.940999999999406</v>
      </c>
      <c r="X49" s="86">
        <f t="shared" si="92"/>
        <v>458.07599999999923</v>
      </c>
      <c r="Y49" s="121">
        <f t="shared" si="92"/>
        <v>116.60499999999999</v>
      </c>
      <c r="Z49" s="122">
        <f t="shared" si="92"/>
        <v>97.29899999999995</v>
      </c>
      <c r="AA49" s="122">
        <f t="shared" si="92"/>
        <v>166.26600000000025</v>
      </c>
      <c r="AB49" s="123">
        <f t="shared" si="92"/>
        <v>73.212999999999397</v>
      </c>
      <c r="AC49" s="86">
        <f t="shared" si="92"/>
        <v>453.38299999999958</v>
      </c>
      <c r="AD49" s="121">
        <f t="shared" si="92"/>
        <v>118.40300000000012</v>
      </c>
      <c r="AE49" s="122">
        <f t="shared" ref="AE49:AM49" si="93">AE47+AE48</f>
        <v>89.791999999999916</v>
      </c>
      <c r="AF49" s="122">
        <f t="shared" si="93"/>
        <v>154.15899999999988</v>
      </c>
      <c r="AG49" s="123">
        <f t="shared" si="93"/>
        <v>92.834000000000856</v>
      </c>
      <c r="AH49" s="86">
        <f t="shared" si="93"/>
        <v>455.18800000000078</v>
      </c>
      <c r="AI49" s="121">
        <f t="shared" si="93"/>
        <v>110.96600000000007</v>
      </c>
      <c r="AJ49" s="122">
        <f t="shared" si="93"/>
        <v>98.499999999999943</v>
      </c>
      <c r="AK49" s="122">
        <f t="shared" si="93"/>
        <v>173.08099999999996</v>
      </c>
      <c r="AL49" s="123">
        <f t="shared" si="93"/>
        <v>84.254999999999995</v>
      </c>
      <c r="AM49" s="86">
        <f t="shared" si="93"/>
        <v>466.80199999999996</v>
      </c>
      <c r="AN49" s="121">
        <f>AN47+AN48</f>
        <v>115.87400000000005</v>
      </c>
      <c r="AO49" s="122">
        <f>AO47+AO48</f>
        <v>87.344000000000008</v>
      </c>
      <c r="AP49" s="122">
        <f t="shared" ref="AP49:AR49" si="94">AP47+AP48</f>
        <v>173.60699999999991</v>
      </c>
      <c r="AQ49" s="123">
        <f t="shared" si="94"/>
        <v>86.665999999999656</v>
      </c>
      <c r="AR49" s="86">
        <f t="shared" si="94"/>
        <v>463.49099999999964</v>
      </c>
      <c r="AS49" s="121">
        <f>AS47+AS48</f>
        <v>111.54600000000002</v>
      </c>
      <c r="AT49" s="122">
        <f>AT47+AT48</f>
        <v>100.58699999999993</v>
      </c>
      <c r="AU49" s="122">
        <f>AU47+AU48</f>
        <v>186.077</v>
      </c>
      <c r="AV49" s="123">
        <f t="shared" ref="AV49:AW49" si="95">AV47+AV48</f>
        <v>95.909000000000333</v>
      </c>
      <c r="AW49" s="86">
        <f t="shared" si="95"/>
        <v>494.11900000000026</v>
      </c>
      <c r="AX49" s="121">
        <f t="shared" ref="AX49:BG49" si="96">AX47+AX48</f>
        <v>135.13086456331928</v>
      </c>
      <c r="AY49" s="122">
        <f t="shared" si="96"/>
        <v>109.28318925740587</v>
      </c>
      <c r="AZ49" s="122">
        <f t="shared" si="96"/>
        <v>189.69820005065486</v>
      </c>
      <c r="BA49" s="123">
        <f t="shared" si="96"/>
        <v>89.649626792886181</v>
      </c>
      <c r="BB49" s="86">
        <f t="shared" si="96"/>
        <v>523.76188066426619</v>
      </c>
      <c r="BC49" s="121">
        <f t="shared" si="96"/>
        <v>139.065225039067</v>
      </c>
      <c r="BD49" s="122">
        <f t="shared" si="96"/>
        <v>105.64661382704486</v>
      </c>
      <c r="BE49" s="122">
        <f t="shared" si="96"/>
        <v>191.99480252320677</v>
      </c>
      <c r="BF49" s="123">
        <f t="shared" si="96"/>
        <v>91.50936389237711</v>
      </c>
      <c r="BG49" s="86">
        <f t="shared" si="96"/>
        <v>528.21600528169574</v>
      </c>
      <c r="BH49" s="121">
        <f t="shared" ref="BH49:BQ49" si="97">BH47+BH48</f>
        <v>146.70384017671677</v>
      </c>
      <c r="BI49" s="122">
        <f t="shared" si="97"/>
        <v>109.4044545152793</v>
      </c>
      <c r="BJ49" s="122">
        <f t="shared" si="97"/>
        <v>195.27209385263774</v>
      </c>
      <c r="BK49" s="123">
        <f t="shared" si="97"/>
        <v>97.895987209302518</v>
      </c>
      <c r="BL49" s="86">
        <f t="shared" si="97"/>
        <v>549.27637575393635</v>
      </c>
      <c r="BM49" s="121">
        <f t="shared" si="97"/>
        <v>158.70136508188966</v>
      </c>
      <c r="BN49" s="122">
        <f t="shared" si="97"/>
        <v>116.72076180258102</v>
      </c>
      <c r="BO49" s="122">
        <f t="shared" si="97"/>
        <v>203.88130852298031</v>
      </c>
      <c r="BP49" s="123">
        <f t="shared" si="97"/>
        <v>107.00579285698115</v>
      </c>
      <c r="BQ49" s="86">
        <f t="shared" si="97"/>
        <v>586.30922826443214</v>
      </c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44"/>
      <c r="CY49" s="44"/>
      <c r="CZ49" s="44"/>
    </row>
    <row r="50" spans="1:104" x14ac:dyDescent="0.2">
      <c r="A50" s="44"/>
      <c r="B50" s="44"/>
      <c r="C50" s="20"/>
      <c r="D50" s="42"/>
      <c r="E50" s="120"/>
      <c r="F50" s="139"/>
      <c r="G50" s="139"/>
      <c r="H50" s="119"/>
      <c r="I50" s="42"/>
      <c r="J50" s="120"/>
      <c r="K50" s="139"/>
      <c r="L50" s="139"/>
      <c r="M50" s="119"/>
      <c r="N50" s="42"/>
      <c r="O50" s="120"/>
      <c r="P50" s="139"/>
      <c r="Q50" s="139"/>
      <c r="R50" s="119"/>
      <c r="S50" s="42"/>
      <c r="T50" s="120"/>
      <c r="U50" s="139"/>
      <c r="V50" s="139"/>
      <c r="W50" s="119"/>
      <c r="X50" s="42"/>
      <c r="Y50" s="120"/>
      <c r="Z50" s="139"/>
      <c r="AA50" s="139"/>
      <c r="AB50" s="119"/>
      <c r="AC50" s="42"/>
      <c r="AD50" s="120"/>
      <c r="AE50" s="139"/>
      <c r="AF50" s="139"/>
      <c r="AG50" s="119"/>
      <c r="AH50" s="42"/>
      <c r="AI50" s="120"/>
      <c r="AJ50" s="139"/>
      <c r="AK50" s="139"/>
      <c r="AL50" s="119"/>
      <c r="AM50" s="42"/>
      <c r="AN50" s="120"/>
      <c r="AO50" s="139"/>
      <c r="AP50" s="139"/>
      <c r="AQ50" s="119"/>
      <c r="AR50" s="42"/>
      <c r="AS50" s="120"/>
      <c r="AT50" s="139"/>
      <c r="AU50" s="139"/>
      <c r="AV50" s="119"/>
      <c r="AW50" s="42"/>
      <c r="AX50" s="120"/>
      <c r="AY50" s="139"/>
      <c r="AZ50" s="139"/>
      <c r="BA50" s="119"/>
      <c r="BB50" s="44"/>
      <c r="BC50" s="120"/>
      <c r="BD50" s="139"/>
      <c r="BE50" s="139"/>
      <c r="BF50" s="119"/>
      <c r="BG50" s="44"/>
      <c r="BH50" s="120"/>
      <c r="BI50" s="139"/>
      <c r="BJ50" s="139"/>
      <c r="BK50" s="119"/>
      <c r="BL50" s="44"/>
      <c r="BM50" s="120"/>
      <c r="BN50" s="139"/>
      <c r="BO50" s="139"/>
      <c r="BP50" s="119"/>
      <c r="BQ50" s="44"/>
      <c r="BR50" s="44"/>
      <c r="BS50" s="44"/>
      <c r="BT50" s="44"/>
      <c r="BU50" s="270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</row>
    <row r="51" spans="1:104" x14ac:dyDescent="0.2">
      <c r="A51" s="44"/>
      <c r="B51" s="44"/>
      <c r="C51" s="20" t="s">
        <v>73</v>
      </c>
      <c r="D51" s="42"/>
      <c r="E51" s="136">
        <f>XEL!E59</f>
        <v>455.19200000000001</v>
      </c>
      <c r="F51" s="135">
        <f>XEL!F59</f>
        <v>456.30700000000002</v>
      </c>
      <c r="G51" s="135">
        <f>XEL!G59</f>
        <v>456.76900000000001</v>
      </c>
      <c r="H51" s="116">
        <f>XEL!H59</f>
        <v>457.43400000000003</v>
      </c>
      <c r="I51" s="82">
        <f>XEL!I59</f>
        <v>456.43299999999999</v>
      </c>
      <c r="J51" s="136">
        <f>XEL!J59</f>
        <v>458.91800000000001</v>
      </c>
      <c r="K51" s="135">
        <f>XEL!K59</f>
        <v>460.041</v>
      </c>
      <c r="L51" s="135">
        <f>XEL!L59</f>
        <v>460.47</v>
      </c>
      <c r="M51" s="116">
        <f>XEL!M59</f>
        <v>468.68599999999998</v>
      </c>
      <c r="N51" s="82">
        <f>XEL!N59</f>
        <v>462.05200000000002</v>
      </c>
      <c r="O51" s="136">
        <f>XEL!O59</f>
        <v>483.64100000000002</v>
      </c>
      <c r="P51" s="135">
        <f>XEL!P59</f>
        <v>484.91800000000001</v>
      </c>
      <c r="Q51" s="135">
        <f>XEL!Q59</f>
        <v>485.34399999999999</v>
      </c>
      <c r="R51" s="116">
        <f>XEL!R59</f>
        <v>486.22300000000001</v>
      </c>
      <c r="S51" s="82">
        <f>XEL!S59</f>
        <v>485.03899999999999</v>
      </c>
      <c r="T51" s="136">
        <f>XEL!T59</f>
        <v>487.36</v>
      </c>
      <c r="U51" s="135">
        <f>XEL!U59</f>
        <v>487.71699999999998</v>
      </c>
      <c r="V51" s="135">
        <f>XEL!V59</f>
        <v>488.084</v>
      </c>
      <c r="W51" s="116">
        <f>XEL!W59</f>
        <v>488.428</v>
      </c>
      <c r="X51" s="82">
        <f>XEL!X59</f>
        <v>487.899</v>
      </c>
      <c r="Y51" s="136">
        <f>XEL!Y59</f>
        <v>489.78100000000001</v>
      </c>
      <c r="Z51" s="135">
        <f>XEL!Z59</f>
        <v>497.74700000000001</v>
      </c>
      <c r="AA51" s="135">
        <f>XEL!AA59</f>
        <v>498.149</v>
      </c>
      <c r="AB51" s="116">
        <f>XEL!AB59</f>
        <v>488.428</v>
      </c>
      <c r="AC51" s="82">
        <f>XEL!AC59</f>
        <v>496.07299999999998</v>
      </c>
      <c r="AD51" s="136">
        <f>XEL!AD59</f>
        <v>499.52300000000002</v>
      </c>
      <c r="AE51" s="135">
        <f>XEL!AE59</f>
        <v>503.27199999999999</v>
      </c>
      <c r="AF51" s="135">
        <f>XEL!AF59</f>
        <v>506.08199999999999</v>
      </c>
      <c r="AG51" s="116">
        <f>XEL!AG59</f>
        <v>506.411</v>
      </c>
      <c r="AH51" s="82">
        <f>XEL!AH59</f>
        <v>503.84699999999998</v>
      </c>
      <c r="AI51" s="136">
        <f>XEL!AI59</f>
        <v>506.983</v>
      </c>
      <c r="AJ51" s="135">
        <f>XEL!AJ59</f>
        <v>507.70699999999999</v>
      </c>
      <c r="AK51" s="135">
        <f>XEL!AK59</f>
        <v>508.03100000000001</v>
      </c>
      <c r="AL51" s="116">
        <f>XEL!AL59</f>
        <v>508.31200000000001</v>
      </c>
      <c r="AM51" s="82">
        <f>XEL!AM59</f>
        <v>507.76799999999997</v>
      </c>
      <c r="AN51" s="136">
        <f>XEL!AN59</f>
        <v>508.66699999999997</v>
      </c>
      <c r="AO51" s="135">
        <f>XEL!AO59</f>
        <v>508.93</v>
      </c>
      <c r="AP51" s="135">
        <f>XEL!AP59</f>
        <v>508.94099999999997</v>
      </c>
      <c r="AQ51" s="116">
        <f>XEL!AQ59</f>
        <v>508.65600000000001</v>
      </c>
      <c r="AR51" s="82">
        <f>XEL!AR59</f>
        <v>508.79399999999998</v>
      </c>
      <c r="AS51" s="136">
        <f>XEL!AS59</f>
        <v>508.27800000000002</v>
      </c>
      <c r="AT51" s="135">
        <f>XEL!AT59</f>
        <v>508.54199999999997</v>
      </c>
      <c r="AU51" s="135">
        <f>XEL!AU59</f>
        <v>508.58100000000002</v>
      </c>
      <c r="AV51" s="116">
        <f>XEL!AV59</f>
        <v>509</v>
      </c>
      <c r="AW51" s="82">
        <f>XEL!AW59</f>
        <v>509</v>
      </c>
      <c r="AX51" s="136">
        <f>XEL!AX59</f>
        <v>508.28363361335755</v>
      </c>
      <c r="AY51" s="135">
        <f>XEL!AY59</f>
        <v>508.72093484007269</v>
      </c>
      <c r="AZ51" s="135">
        <f>XEL!AZ59</f>
        <v>509.15823606678782</v>
      </c>
      <c r="BA51" s="116">
        <f>XEL!BA59</f>
        <v>509.59553729350296</v>
      </c>
      <c r="BB51" s="82">
        <f>XEL!BB59</f>
        <v>508.93958545343025</v>
      </c>
      <c r="BC51" s="136">
        <f>XEL!BC59</f>
        <v>510.03283852021809</v>
      </c>
      <c r="BD51" s="135">
        <f>XEL!BD59</f>
        <v>510.47013974693323</v>
      </c>
      <c r="BE51" s="135">
        <f>XEL!BE59</f>
        <v>510.90744097364836</v>
      </c>
      <c r="BF51" s="116">
        <f>XEL!BF59</f>
        <v>511.3447422003635</v>
      </c>
      <c r="BG51" s="82">
        <f>XEL!BG59</f>
        <v>510.6887903602908</v>
      </c>
      <c r="BH51" s="136">
        <f>XEL!BH59</f>
        <v>511.78204342707863</v>
      </c>
      <c r="BI51" s="135">
        <f>XEL!BI59</f>
        <v>512.21934465379377</v>
      </c>
      <c r="BJ51" s="135">
        <f>XEL!BJ59</f>
        <v>512.6566458805089</v>
      </c>
      <c r="BK51" s="116">
        <f>XEL!BK59</f>
        <v>513.09394710722404</v>
      </c>
      <c r="BL51" s="82">
        <f>XEL!BL59</f>
        <v>512.43799526715134</v>
      </c>
      <c r="BM51" s="136">
        <f>XEL!BM59</f>
        <v>513.53124833393917</v>
      </c>
      <c r="BN51" s="135">
        <f>XEL!BN59</f>
        <v>513.96854956065431</v>
      </c>
      <c r="BO51" s="135">
        <f>XEL!BO59</f>
        <v>514.40585078736945</v>
      </c>
      <c r="BP51" s="116">
        <f>XEL!BP59</f>
        <v>514.84315201408458</v>
      </c>
      <c r="BQ51" s="82">
        <f>XEL!BQ59</f>
        <v>514.18720017401188</v>
      </c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  <c r="CX51" s="44"/>
      <c r="CY51" s="44"/>
      <c r="CZ51" s="44"/>
    </row>
    <row r="52" spans="1:104" x14ac:dyDescent="0.2">
      <c r="A52" s="44"/>
      <c r="B52" s="44"/>
      <c r="C52" s="20" t="s">
        <v>75</v>
      </c>
      <c r="D52" s="42"/>
      <c r="E52" s="136">
        <f>XEL!E60</f>
        <v>455.952</v>
      </c>
      <c r="F52" s="135">
        <f>XEL!F60</f>
        <v>456.76600000000002</v>
      </c>
      <c r="G52" s="135">
        <f>XEL!G60</f>
        <v>457.45299999999997</v>
      </c>
      <c r="H52" s="116">
        <f>XEL!H60</f>
        <v>458.35700000000003</v>
      </c>
      <c r="I52" s="82">
        <f>XEL!I60</f>
        <v>457.13900000000001</v>
      </c>
      <c r="J52" s="136">
        <f>XEL!J60</f>
        <v>459.697</v>
      </c>
      <c r="K52" s="135">
        <f>XEL!K60</f>
        <v>460.43200000000002</v>
      </c>
      <c r="L52" s="135">
        <f>XEL!L60</f>
        <v>462.01900000000001</v>
      </c>
      <c r="M52" s="116">
        <f>XEL!M60</f>
        <v>471.32499999999999</v>
      </c>
      <c r="N52" s="82">
        <f>XEL!N60</f>
        <v>463.39100000000002</v>
      </c>
      <c r="O52" s="136">
        <f>XEL!O60</f>
        <v>484.30099999999999</v>
      </c>
      <c r="P52" s="135">
        <f>XEL!P60</f>
        <v>485.24099999999999</v>
      </c>
      <c r="Q52" s="135">
        <f>XEL!Q60</f>
        <v>485.89400000000001</v>
      </c>
      <c r="R52" s="116">
        <f>XEL!R60</f>
        <v>486.99099999999999</v>
      </c>
      <c r="S52" s="82">
        <f>XEL!S60</f>
        <v>485.61500000000001</v>
      </c>
      <c r="T52" s="136">
        <f>XEL!T60</f>
        <v>487.995</v>
      </c>
      <c r="U52" s="135">
        <f>XEL!U60</f>
        <v>488.017</v>
      </c>
      <c r="V52" s="135">
        <f>XEL!V60</f>
        <v>488.57799999999997</v>
      </c>
      <c r="W52" s="116">
        <f>XEL!W60</f>
        <v>489.13600000000002</v>
      </c>
      <c r="X52" s="82">
        <f>XEL!X60</f>
        <v>488.43400000000003</v>
      </c>
      <c r="Y52" s="136">
        <f>XEL!Y60</f>
        <v>490.53100000000001</v>
      </c>
      <c r="Z52" s="135">
        <f>XEL!Z60</f>
        <v>498.036</v>
      </c>
      <c r="AA52" s="135">
        <f>XEL!AA60</f>
        <v>498.64100000000002</v>
      </c>
      <c r="AB52" s="116">
        <f>XEL!AB60</f>
        <v>489.13600000000002</v>
      </c>
      <c r="AC52" s="82">
        <f>XEL!AC60</f>
        <v>496.53199999999998</v>
      </c>
      <c r="AD52" s="136">
        <f>XEL!AD60</f>
        <v>499.74599999999998</v>
      </c>
      <c r="AE52" s="135">
        <f>XEL!AE60</f>
        <v>503.45600000000002</v>
      </c>
      <c r="AF52" s="135">
        <f>XEL!AF60</f>
        <v>506.36500000000001</v>
      </c>
      <c r="AG52" s="116">
        <f>XEL!AG60</f>
        <v>506.79899999999998</v>
      </c>
      <c r="AH52" s="82">
        <f>XEL!AH60</f>
        <v>504.11700000000002</v>
      </c>
      <c r="AI52" s="136">
        <f>XEL!AI60</f>
        <v>507.39299999999997</v>
      </c>
      <c r="AJ52" s="135">
        <f>XEL!AJ60</f>
        <v>508.07400000000001</v>
      </c>
      <c r="AK52" s="135">
        <f>XEL!AK60</f>
        <v>508.42700000000002</v>
      </c>
      <c r="AL52" s="116">
        <f>XEL!AL60</f>
        <v>508.738</v>
      </c>
      <c r="AM52" s="82">
        <f>XEL!AM60</f>
        <v>508.16800000000001</v>
      </c>
      <c r="AN52" s="136">
        <f>XEL!AN60</f>
        <v>509.15</v>
      </c>
      <c r="AO52" s="135">
        <f>XEL!AO60</f>
        <v>509.49</v>
      </c>
      <c r="AP52" s="135">
        <f>XEL!AP60</f>
        <v>509.56599999999997</v>
      </c>
      <c r="AQ52" s="116">
        <f>XEL!AQ60</f>
        <v>509.42099999999999</v>
      </c>
      <c r="AR52" s="82">
        <f>XEL!AR60</f>
        <v>509.46499999999997</v>
      </c>
      <c r="AS52" s="136">
        <f>XEL!AS60</f>
        <v>508.774</v>
      </c>
      <c r="AT52" s="135">
        <f>XEL!AT60</f>
        <v>509.13499999999999</v>
      </c>
      <c r="AU52" s="135">
        <f>XEL!AU60</f>
        <v>509.24200000000002</v>
      </c>
      <c r="AV52" s="116">
        <f>XEL!AV60</f>
        <v>509</v>
      </c>
      <c r="AW52" s="82">
        <f>XEL!AW60</f>
        <v>509</v>
      </c>
      <c r="AX52" s="136">
        <f>XEL!AX60</f>
        <v>508.28363361335755</v>
      </c>
      <c r="AY52" s="135">
        <f>XEL!AY60</f>
        <v>508.72093484007269</v>
      </c>
      <c r="AZ52" s="135">
        <f>XEL!AZ60</f>
        <v>509.15823606678782</v>
      </c>
      <c r="BA52" s="116">
        <f>XEL!BA60</f>
        <v>509.59553729350296</v>
      </c>
      <c r="BB52" s="82">
        <f>XEL!BB60</f>
        <v>508.93958545343025</v>
      </c>
      <c r="BC52" s="136">
        <f>XEL!BC60</f>
        <v>510.03283852021809</v>
      </c>
      <c r="BD52" s="135">
        <f>XEL!BD60</f>
        <v>510.47013974693323</v>
      </c>
      <c r="BE52" s="135">
        <f>XEL!BE60</f>
        <v>510.90744097364836</v>
      </c>
      <c r="BF52" s="116">
        <f>XEL!BF60</f>
        <v>511.3447422003635</v>
      </c>
      <c r="BG52" s="82">
        <f>XEL!BG60</f>
        <v>510.6887903602908</v>
      </c>
      <c r="BH52" s="136">
        <f>XEL!BH60</f>
        <v>511.78204342707863</v>
      </c>
      <c r="BI52" s="135">
        <f>XEL!BI60</f>
        <v>512.21934465379377</v>
      </c>
      <c r="BJ52" s="135">
        <f>XEL!BJ60</f>
        <v>512.6566458805089</v>
      </c>
      <c r="BK52" s="116">
        <f>XEL!BK60</f>
        <v>513.09394710722404</v>
      </c>
      <c r="BL52" s="82">
        <f>XEL!BL60</f>
        <v>512.43799526715134</v>
      </c>
      <c r="BM52" s="136">
        <f>XEL!BM60</f>
        <v>513.53124833393917</v>
      </c>
      <c r="BN52" s="135">
        <f>XEL!BN60</f>
        <v>513.96854956065431</v>
      </c>
      <c r="BO52" s="135">
        <f>XEL!BO60</f>
        <v>514.40585078736945</v>
      </c>
      <c r="BP52" s="116">
        <f>XEL!BP60</f>
        <v>514.84315201408458</v>
      </c>
      <c r="BQ52" s="82">
        <f>XEL!BQ60</f>
        <v>514.18720017401188</v>
      </c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  <c r="CX52" s="44"/>
      <c r="CY52" s="44"/>
      <c r="CZ52" s="44"/>
    </row>
    <row r="53" spans="1:104" x14ac:dyDescent="0.2">
      <c r="A53" s="44"/>
      <c r="B53" s="44"/>
      <c r="C53" s="86"/>
      <c r="D53" s="42"/>
      <c r="E53" s="120"/>
      <c r="F53" s="139"/>
      <c r="G53" s="139"/>
      <c r="H53" s="119"/>
      <c r="I53" s="42"/>
      <c r="J53" s="120"/>
      <c r="K53" s="139"/>
      <c r="L53" s="139"/>
      <c r="M53" s="119"/>
      <c r="N53" s="42"/>
      <c r="O53" s="120"/>
      <c r="P53" s="139"/>
      <c r="Q53" s="139"/>
      <c r="R53" s="119"/>
      <c r="S53" s="42"/>
      <c r="T53" s="120"/>
      <c r="U53" s="139"/>
      <c r="V53" s="139"/>
      <c r="W53" s="119"/>
      <c r="X53" s="42"/>
      <c r="Y53" s="120"/>
      <c r="Z53" s="139"/>
      <c r="AA53" s="139"/>
      <c r="AB53" s="119"/>
      <c r="AC53" s="42"/>
      <c r="AD53" s="120"/>
      <c r="AE53" s="139"/>
      <c r="AF53" s="139"/>
      <c r="AG53" s="119"/>
      <c r="AH53" s="42"/>
      <c r="AI53" s="120"/>
      <c r="AJ53" s="139"/>
      <c r="AK53" s="139"/>
      <c r="AL53" s="119"/>
      <c r="AM53" s="42"/>
      <c r="AN53" s="120"/>
      <c r="AO53" s="139"/>
      <c r="AP53" s="139"/>
      <c r="AQ53" s="119"/>
      <c r="AR53" s="42"/>
      <c r="AS53" s="120"/>
      <c r="AT53" s="139"/>
      <c r="AU53" s="139"/>
      <c r="AV53" s="119"/>
      <c r="AW53" s="42"/>
      <c r="AX53" s="120"/>
      <c r="AY53" s="139"/>
      <c r="AZ53" s="139"/>
      <c r="BA53" s="119"/>
      <c r="BB53" s="44"/>
      <c r="BC53" s="120"/>
      <c r="BD53" s="139"/>
      <c r="BE53" s="139"/>
      <c r="BF53" s="119"/>
      <c r="BG53" s="44"/>
      <c r="BH53" s="120"/>
      <c r="BI53" s="139"/>
      <c r="BJ53" s="139"/>
      <c r="BK53" s="119"/>
      <c r="BL53" s="44"/>
      <c r="BM53" s="120"/>
      <c r="BN53" s="139"/>
      <c r="BO53" s="139"/>
      <c r="BP53" s="119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</row>
    <row r="54" spans="1:104" x14ac:dyDescent="0.2">
      <c r="A54" s="20"/>
      <c r="B54" s="20"/>
      <c r="C54" s="20" t="s">
        <v>246</v>
      </c>
      <c r="D54" s="20"/>
      <c r="E54" s="151">
        <f t="shared" ref="E54:P54" si="98">+E47/E52</f>
        <v>0.17170228445099495</v>
      </c>
      <c r="F54" s="152">
        <f t="shared" si="98"/>
        <v>0.13255583821913186</v>
      </c>
      <c r="G54" s="152">
        <f t="shared" si="98"/>
        <v>0.19941720788802378</v>
      </c>
      <c r="H54" s="153">
        <f t="shared" si="98"/>
        <v>0.20346803910489009</v>
      </c>
      <c r="I54" s="154">
        <f t="shared" si="98"/>
        <v>0.70726846757769579</v>
      </c>
      <c r="J54" s="151">
        <f t="shared" si="98"/>
        <v>0.18327289497212287</v>
      </c>
      <c r="K54" s="152">
        <f t="shared" si="98"/>
        <v>0.16872198283351295</v>
      </c>
      <c r="L54" s="152">
        <f t="shared" si="98"/>
        <v>0.34217423958754933</v>
      </c>
      <c r="M54" s="153">
        <f t="shared" si="98"/>
        <v>0.16908502625576752</v>
      </c>
      <c r="N54" s="154">
        <f t="shared" si="98"/>
        <v>0.86259767669203669</v>
      </c>
      <c r="O54" s="151">
        <f t="shared" si="98"/>
        <v>0.19952467576982105</v>
      </c>
      <c r="P54" s="152">
        <f t="shared" si="98"/>
        <v>0.14635614055696042</v>
      </c>
      <c r="Q54" s="152">
        <f>+Q47/Q52</f>
        <v>0.28960637505299514</v>
      </c>
      <c r="R54" s="153">
        <f>+R47/R52</f>
        <v>0.18159883858222986</v>
      </c>
      <c r="S54" s="154">
        <f>+S47/S52</f>
        <v>0.81711438073370646</v>
      </c>
      <c r="T54" s="151">
        <f>+T47/T52</f>
        <v>0.19115974548919507</v>
      </c>
      <c r="U54" s="152">
        <f>+U47/U52</f>
        <v>0.19549933711325623</v>
      </c>
      <c r="V54" s="152">
        <f t="shared" ref="V54:AA54" si="99">+V47/V52</f>
        <v>0.39388388343314701</v>
      </c>
      <c r="W54" s="153">
        <f t="shared" si="99"/>
        <v>0.15729981027771295</v>
      </c>
      <c r="X54" s="154">
        <f t="shared" si="99"/>
        <v>0.93784625967889046</v>
      </c>
      <c r="Y54" s="151">
        <f t="shared" si="99"/>
        <v>0.23771178579947036</v>
      </c>
      <c r="Z54" s="152">
        <f t="shared" si="99"/>
        <v>0.1953653952726308</v>
      </c>
      <c r="AA54" s="152">
        <f t="shared" si="99"/>
        <v>0.33343828525933533</v>
      </c>
      <c r="AB54" s="153">
        <f t="shared" ref="AB54:AJ54" si="100">+AB47/AB52</f>
        <v>0.14967820810571986</v>
      </c>
      <c r="AC54" s="154">
        <f t="shared" si="100"/>
        <v>0.91309925644268564</v>
      </c>
      <c r="AD54" s="151">
        <f t="shared" si="100"/>
        <v>0.23692635859016406</v>
      </c>
      <c r="AE54" s="152">
        <f t="shared" si="100"/>
        <v>0.17835123625500524</v>
      </c>
      <c r="AF54" s="152">
        <f t="shared" si="100"/>
        <v>0.30444244764152317</v>
      </c>
      <c r="AG54" s="153">
        <f t="shared" si="100"/>
        <v>0.18317715701885928</v>
      </c>
      <c r="AH54" s="154">
        <f t="shared" si="100"/>
        <v>0.90294118230490295</v>
      </c>
      <c r="AI54" s="151">
        <f t="shared" si="100"/>
        <v>0.21869832654372462</v>
      </c>
      <c r="AJ54" s="152">
        <f t="shared" si="100"/>
        <v>0.1938693969776055</v>
      </c>
      <c r="AK54" s="152">
        <f t="shared" ref="AK54:AU54" si="101">+AK47/AK52</f>
        <v>0.34042448571771355</v>
      </c>
      <c r="AL54" s="153">
        <f t="shared" si="101"/>
        <v>0.16561570002633969</v>
      </c>
      <c r="AM54" s="154">
        <f t="shared" si="101"/>
        <v>0.91859778655877578</v>
      </c>
      <c r="AN54" s="151">
        <f t="shared" si="101"/>
        <v>0.22758322694687236</v>
      </c>
      <c r="AO54" s="152">
        <f t="shared" si="101"/>
        <v>0.17143417927731655</v>
      </c>
      <c r="AP54" s="152">
        <f t="shared" si="101"/>
        <v>0.34069580780507319</v>
      </c>
      <c r="AQ54" s="153">
        <f t="shared" si="101"/>
        <v>0.17012647692183805</v>
      </c>
      <c r="AR54" s="154">
        <f t="shared" si="101"/>
        <v>0.90976023868175371</v>
      </c>
      <c r="AS54" s="151">
        <f t="shared" si="101"/>
        <v>0.21924469410779643</v>
      </c>
      <c r="AT54" s="152">
        <f t="shared" si="101"/>
        <v>0.19756449664627246</v>
      </c>
      <c r="AU54" s="152">
        <f t="shared" si="101"/>
        <v>0.36539994737276188</v>
      </c>
      <c r="AV54" s="153">
        <f t="shared" ref="AV54:AW54" si="102">+AV47/AV52</f>
        <v>0.18842632612966667</v>
      </c>
      <c r="AW54" s="154">
        <f t="shared" si="102"/>
        <v>0.97076424361493174</v>
      </c>
      <c r="AX54" s="151">
        <f t="shared" ref="AX54:BG54" si="103">+AX47/AX52</f>
        <v>0.26585720181994088</v>
      </c>
      <c r="AY54" s="152">
        <f t="shared" si="103"/>
        <v>0.21481952436606797</v>
      </c>
      <c r="AZ54" s="152">
        <f t="shared" si="103"/>
        <v>0.37257219193007729</v>
      </c>
      <c r="BA54" s="153">
        <f t="shared" si="103"/>
        <v>0.1759231002473482</v>
      </c>
      <c r="BB54" s="154">
        <f t="shared" si="103"/>
        <v>1.029123879600818</v>
      </c>
      <c r="BC54" s="151">
        <f t="shared" si="103"/>
        <v>0.272659355508448</v>
      </c>
      <c r="BD54" s="152">
        <f t="shared" si="103"/>
        <v>0.20695943915430473</v>
      </c>
      <c r="BE54" s="152">
        <f t="shared" si="103"/>
        <v>0.37579175233251205</v>
      </c>
      <c r="BF54" s="153">
        <f t="shared" si="103"/>
        <v>0.17895825719964167</v>
      </c>
      <c r="BG54" s="154">
        <f t="shared" si="103"/>
        <v>1.0343207355482378</v>
      </c>
      <c r="BH54" s="151">
        <f t="shared" ref="BH54:BQ54" si="104">+BH47/BH52</f>
        <v>0.28665296498942111</v>
      </c>
      <c r="BI54" s="152">
        <f t="shared" si="104"/>
        <v>0.21358907205901245</v>
      </c>
      <c r="BJ54" s="152">
        <f t="shared" si="104"/>
        <v>0.3809022967355663</v>
      </c>
      <c r="BK54" s="153">
        <f t="shared" si="104"/>
        <v>0.19079544352692326</v>
      </c>
      <c r="BL54" s="154">
        <f t="shared" si="104"/>
        <v>1.0718884642181536</v>
      </c>
      <c r="BM54" s="151">
        <f t="shared" si="104"/>
        <v>0.30903935368445062</v>
      </c>
      <c r="BN54" s="152">
        <f t="shared" si="104"/>
        <v>0.22709708970005102</v>
      </c>
      <c r="BO54" s="152">
        <f t="shared" si="104"/>
        <v>0.39634329238462529</v>
      </c>
      <c r="BP54" s="153">
        <f t="shared" si="104"/>
        <v>0.20784153860912921</v>
      </c>
      <c r="BQ54" s="154">
        <f t="shared" si="104"/>
        <v>1.1402641451712774</v>
      </c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</row>
    <row r="55" spans="1:104" x14ac:dyDescent="0.2">
      <c r="A55" s="20"/>
      <c r="C55" s="155" t="s">
        <v>247</v>
      </c>
      <c r="D55" s="156"/>
      <c r="E55" s="157">
        <f t="shared" ref="E55:P55" si="105">+E49/E52</f>
        <v>0.17170228445099495</v>
      </c>
      <c r="F55" s="76">
        <f t="shared" si="105"/>
        <v>0.13255583821913186</v>
      </c>
      <c r="G55" s="76">
        <f t="shared" si="105"/>
        <v>0.19941720788802378</v>
      </c>
      <c r="H55" s="77">
        <f t="shared" si="105"/>
        <v>0.20346803910489009</v>
      </c>
      <c r="I55" s="158">
        <f t="shared" si="105"/>
        <v>0.70726846757769579</v>
      </c>
      <c r="J55" s="157">
        <f t="shared" si="105"/>
        <v>0.18327289497212287</v>
      </c>
      <c r="K55" s="76">
        <f t="shared" si="105"/>
        <v>0.16872198283351295</v>
      </c>
      <c r="L55" s="76">
        <f t="shared" si="105"/>
        <v>0.34217423958754933</v>
      </c>
      <c r="M55" s="77">
        <f t="shared" si="105"/>
        <v>0.16908502625576752</v>
      </c>
      <c r="N55" s="158">
        <f t="shared" si="105"/>
        <v>0.86259767669203669</v>
      </c>
      <c r="O55" s="157">
        <f t="shared" si="105"/>
        <v>0.19952467576982105</v>
      </c>
      <c r="P55" s="76">
        <f t="shared" si="105"/>
        <v>0.14635614055696042</v>
      </c>
      <c r="Q55" s="76">
        <f>+Q49/Q52</f>
        <v>0.28960637505299514</v>
      </c>
      <c r="R55" s="77">
        <f>+R49/R52</f>
        <v>0.18159883858222986</v>
      </c>
      <c r="S55" s="158">
        <f>+S49/S52</f>
        <v>0.81711438073370646</v>
      </c>
      <c r="T55" s="157">
        <f>+T49/T52</f>
        <v>0.19115974548919507</v>
      </c>
      <c r="U55" s="76">
        <f>+U49/U52</f>
        <v>0.19549933711325623</v>
      </c>
      <c r="V55" s="76">
        <f t="shared" ref="V55:AA55" si="106">+V49/V52</f>
        <v>0.39388388343314701</v>
      </c>
      <c r="W55" s="77">
        <f t="shared" si="106"/>
        <v>0.15729981027771295</v>
      </c>
      <c r="X55" s="158">
        <f t="shared" si="106"/>
        <v>0.93784625967889046</v>
      </c>
      <c r="Y55" s="157">
        <f t="shared" si="106"/>
        <v>0.23771178579947036</v>
      </c>
      <c r="Z55" s="76">
        <f t="shared" si="106"/>
        <v>0.1953653952726308</v>
      </c>
      <c r="AA55" s="76">
        <f t="shared" si="106"/>
        <v>0.33343828525933533</v>
      </c>
      <c r="AB55" s="77">
        <f t="shared" ref="AB55:AJ55" si="107">+AB49/AB52</f>
        <v>0.14967820810571986</v>
      </c>
      <c r="AC55" s="158">
        <f t="shared" si="107"/>
        <v>0.91309925644268564</v>
      </c>
      <c r="AD55" s="157">
        <f t="shared" si="107"/>
        <v>0.23692635859016406</v>
      </c>
      <c r="AE55" s="76">
        <f t="shared" si="107"/>
        <v>0.17835123625500524</v>
      </c>
      <c r="AF55" s="76">
        <f t="shared" si="107"/>
        <v>0.30444244764152317</v>
      </c>
      <c r="AG55" s="77">
        <f t="shared" si="107"/>
        <v>0.18317715701885928</v>
      </c>
      <c r="AH55" s="158">
        <f t="shared" si="107"/>
        <v>0.90294118230490295</v>
      </c>
      <c r="AI55" s="157">
        <f t="shared" si="107"/>
        <v>0.21869832654372462</v>
      </c>
      <c r="AJ55" s="76">
        <f t="shared" si="107"/>
        <v>0.1938693969776055</v>
      </c>
      <c r="AK55" s="76">
        <f t="shared" ref="AK55:AU55" si="108">+AK49/AK52</f>
        <v>0.34042448571771355</v>
      </c>
      <c r="AL55" s="77">
        <f t="shared" si="108"/>
        <v>0.16561570002633969</v>
      </c>
      <c r="AM55" s="158">
        <f t="shared" si="108"/>
        <v>0.91859778655877578</v>
      </c>
      <c r="AN55" s="157">
        <f t="shared" si="108"/>
        <v>0.22758322694687236</v>
      </c>
      <c r="AO55" s="76">
        <f t="shared" si="108"/>
        <v>0.17143417927731655</v>
      </c>
      <c r="AP55" s="76">
        <f t="shared" si="108"/>
        <v>0.34069580780507319</v>
      </c>
      <c r="AQ55" s="77">
        <f t="shared" si="108"/>
        <v>0.17012647692183805</v>
      </c>
      <c r="AR55" s="158">
        <f t="shared" si="108"/>
        <v>0.90976023868175371</v>
      </c>
      <c r="AS55" s="157">
        <f t="shared" si="108"/>
        <v>0.21924469410779643</v>
      </c>
      <c r="AT55" s="76">
        <f t="shared" si="108"/>
        <v>0.19756449664627246</v>
      </c>
      <c r="AU55" s="76">
        <f t="shared" si="108"/>
        <v>0.36539994737276188</v>
      </c>
      <c r="AV55" s="77">
        <f t="shared" ref="AV55:AW55" si="109">+AV49/AV52</f>
        <v>0.18842632612966667</v>
      </c>
      <c r="AW55" s="158">
        <f t="shared" si="109"/>
        <v>0.97076424361493174</v>
      </c>
      <c r="AX55" s="157">
        <f t="shared" ref="AX55:BG55" si="110">+AX49/AX52</f>
        <v>0.26585720181994088</v>
      </c>
      <c r="AY55" s="76">
        <f t="shared" si="110"/>
        <v>0.21481952436606797</v>
      </c>
      <c r="AZ55" s="76">
        <f t="shared" si="110"/>
        <v>0.37257219193007729</v>
      </c>
      <c r="BA55" s="77">
        <f t="shared" si="110"/>
        <v>0.1759231002473482</v>
      </c>
      <c r="BB55" s="158">
        <f t="shared" si="110"/>
        <v>1.029123879600818</v>
      </c>
      <c r="BC55" s="157">
        <f t="shared" si="110"/>
        <v>0.272659355508448</v>
      </c>
      <c r="BD55" s="76">
        <f t="shared" si="110"/>
        <v>0.20695943915430473</v>
      </c>
      <c r="BE55" s="76">
        <f t="shared" si="110"/>
        <v>0.37579175233251205</v>
      </c>
      <c r="BF55" s="77">
        <f t="shared" si="110"/>
        <v>0.17895825719964167</v>
      </c>
      <c r="BG55" s="158">
        <f t="shared" si="110"/>
        <v>1.0343207355482378</v>
      </c>
      <c r="BH55" s="157">
        <f t="shared" ref="BH55:BQ55" si="111">+BH49/BH52</f>
        <v>0.28665296498942111</v>
      </c>
      <c r="BI55" s="76">
        <f t="shared" si="111"/>
        <v>0.21358907205901245</v>
      </c>
      <c r="BJ55" s="76">
        <f t="shared" si="111"/>
        <v>0.3809022967355663</v>
      </c>
      <c r="BK55" s="77">
        <f t="shared" si="111"/>
        <v>0.19079544352692326</v>
      </c>
      <c r="BL55" s="158">
        <f t="shared" si="111"/>
        <v>1.0718884642181536</v>
      </c>
      <c r="BM55" s="157">
        <f t="shared" si="111"/>
        <v>0.30903935368445062</v>
      </c>
      <c r="BN55" s="76">
        <f t="shared" si="111"/>
        <v>0.22709708970005102</v>
      </c>
      <c r="BO55" s="76">
        <f t="shared" si="111"/>
        <v>0.39634329238462529</v>
      </c>
      <c r="BP55" s="77">
        <f t="shared" si="111"/>
        <v>0.20784153860912921</v>
      </c>
      <c r="BQ55" s="158">
        <f t="shared" si="111"/>
        <v>1.1402641451712774</v>
      </c>
      <c r="BR55" s="271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</row>
    <row r="56" spans="1:104" x14ac:dyDescent="0.2">
      <c r="A56" s="20"/>
      <c r="B56" s="20"/>
      <c r="C56" s="45" t="s">
        <v>144</v>
      </c>
      <c r="D56" s="20"/>
      <c r="E56" s="254"/>
      <c r="F56" s="255"/>
      <c r="G56" s="255"/>
      <c r="H56" s="256"/>
      <c r="I56" s="79"/>
      <c r="J56" s="254">
        <f>J55/E55-1</f>
        <v>6.7387632949230003E-2</v>
      </c>
      <c r="K56" s="255">
        <f>K55/F55-1</f>
        <v>0.27283705569115546</v>
      </c>
      <c r="L56" s="255">
        <f>L55/G55-1</f>
        <v>0.71587117887883633</v>
      </c>
      <c r="M56" s="256">
        <f>M55/H55-1</f>
        <v>-0.16898483418026033</v>
      </c>
      <c r="N56" s="272">
        <f>N55/I55-1</f>
        <v>0.21961845640641053</v>
      </c>
      <c r="O56" s="254">
        <f t="shared" ref="O56:AJ56" si="112">O55/J55-1</f>
        <v>8.867531011702634E-2</v>
      </c>
      <c r="P56" s="255">
        <f t="shared" si="112"/>
        <v>-0.13256033328284267</v>
      </c>
      <c r="Q56" s="255">
        <f t="shared" si="112"/>
        <v>-0.153628936526369</v>
      </c>
      <c r="R56" s="256">
        <f t="shared" si="112"/>
        <v>7.4008991828367066E-2</v>
      </c>
      <c r="S56" s="272">
        <f t="shared" si="112"/>
        <v>-5.2728284792921576E-2</v>
      </c>
      <c r="T56" s="254">
        <f t="shared" si="112"/>
        <v>-4.192428955642602E-2</v>
      </c>
      <c r="U56" s="255">
        <f t="shared" si="112"/>
        <v>0.3357781666644164</v>
      </c>
      <c r="V56" s="255">
        <f t="shared" si="112"/>
        <v>0.36006634301841633</v>
      </c>
      <c r="W56" s="256">
        <f t="shared" si="112"/>
        <v>-0.13380607769423625</v>
      </c>
      <c r="X56" s="272">
        <f t="shared" si="112"/>
        <v>0.14775395194584129</v>
      </c>
      <c r="Y56" s="254">
        <f t="shared" si="112"/>
        <v>0.24352428483907218</v>
      </c>
      <c r="Z56" s="255">
        <f>Z55/U55-1</f>
        <v>-6.8512682755461629E-4</v>
      </c>
      <c r="AA56" s="255">
        <f>AA55/V55-1</f>
        <v>-0.1534604504428041</v>
      </c>
      <c r="AB56" s="256">
        <f>AB55/W55-1</f>
        <v>-4.8452710518449793E-2</v>
      </c>
      <c r="AC56" s="272">
        <f>AC55/X55-1</f>
        <v>-2.6387057559602578E-2</v>
      </c>
      <c r="AD56" s="254">
        <f t="shared" si="112"/>
        <v>-3.3041155560072921E-3</v>
      </c>
      <c r="AE56" s="255">
        <f t="shared" si="112"/>
        <v>-8.7088908421486089E-2</v>
      </c>
      <c r="AF56" s="255">
        <f>AF55/AA55-1</f>
        <v>-8.6960132953119995E-2</v>
      </c>
      <c r="AG56" s="256">
        <f>AG55/AB55-1</f>
        <v>0.22380645343828975</v>
      </c>
      <c r="AH56" s="272">
        <f>AH55/AC55-1</f>
        <v>-1.1124830149744303E-2</v>
      </c>
      <c r="AI56" s="254">
        <f t="shared" si="112"/>
        <v>-7.693543324983243E-2</v>
      </c>
      <c r="AJ56" s="255">
        <f t="shared" si="112"/>
        <v>8.7008988827038447E-2</v>
      </c>
      <c r="AK56" s="255">
        <f>AK55/AF55-1</f>
        <v>0.11818995135185206</v>
      </c>
      <c r="AL56" s="256">
        <f>AL55/AG55-1</f>
        <v>-9.587143549078847E-2</v>
      </c>
      <c r="AM56" s="272">
        <f>AM55/AH55-1</f>
        <v>1.7339561602347953E-2</v>
      </c>
      <c r="AN56" s="254">
        <f>AN55/AI55-1</f>
        <v>4.0626284359662757E-2</v>
      </c>
      <c r="AO56" s="255">
        <f>AO55/AJ55-1</f>
        <v>-0.11572335835387426</v>
      </c>
      <c r="AP56" s="255">
        <f t="shared" ref="AP56:AU56" si="113">AP55/AK55-1</f>
        <v>7.9701108099672346E-4</v>
      </c>
      <c r="AQ56" s="256">
        <f>AQ55/AL55-1</f>
        <v>2.7236408714759408E-2</v>
      </c>
      <c r="AR56" s="272">
        <f>AR55/AM55-1</f>
        <v>-9.6206936336402649E-3</v>
      </c>
      <c r="AS56" s="254">
        <f>AS55/AN55-1</f>
        <v>-3.6639487676402904E-2</v>
      </c>
      <c r="AT56" s="255">
        <f>AT55/AO55-1</f>
        <v>0.15242186522611001</v>
      </c>
      <c r="AU56" s="255">
        <f t="shared" si="113"/>
        <v>7.2510841054501673E-2</v>
      </c>
      <c r="AV56" s="256">
        <f>AV55/AQ55-1</f>
        <v>0.10756614454689606</v>
      </c>
      <c r="AW56" s="272">
        <f>AW55/AR55-1</f>
        <v>6.7055035315209066E-2</v>
      </c>
      <c r="AX56" s="254">
        <f t="shared" ref="AX56:BG56" si="114">AX55/AS55-1</f>
        <v>0.21260495220571407</v>
      </c>
      <c r="AY56" s="255">
        <f t="shared" si="114"/>
        <v>8.73387071700924E-2</v>
      </c>
      <c r="AZ56" s="255">
        <f t="shared" si="114"/>
        <v>1.9628477258642363E-2</v>
      </c>
      <c r="BA56" s="256">
        <f t="shared" si="114"/>
        <v>-6.6356045565067689E-2</v>
      </c>
      <c r="BB56" s="272">
        <f t="shared" si="114"/>
        <v>6.0117208034534242E-2</v>
      </c>
      <c r="BC56" s="254">
        <f t="shared" si="114"/>
        <v>2.5585741676142693E-2</v>
      </c>
      <c r="BD56" s="255">
        <f t="shared" si="114"/>
        <v>-3.6589249673456559E-2</v>
      </c>
      <c r="BE56" s="255">
        <f t="shared" si="114"/>
        <v>8.6414404299905989E-3</v>
      </c>
      <c r="BF56" s="256">
        <f t="shared" si="114"/>
        <v>1.7252748206608715E-2</v>
      </c>
      <c r="BG56" s="272">
        <f t="shared" si="114"/>
        <v>5.0497865713072798E-3</v>
      </c>
      <c r="BH56" s="254">
        <f t="shared" ref="BH56:BQ56" si="115">BH55/BC55-1</f>
        <v>5.1322682307666234E-2</v>
      </c>
      <c r="BI56" s="255">
        <f t="shared" si="115"/>
        <v>3.2033488937727617E-2</v>
      </c>
      <c r="BJ56" s="255">
        <f t="shared" si="115"/>
        <v>1.3599405445525292E-2</v>
      </c>
      <c r="BK56" s="256">
        <f t="shared" si="115"/>
        <v>6.6144957558880835E-2</v>
      </c>
      <c r="BL56" s="272">
        <f t="shared" si="115"/>
        <v>3.6321159751286691E-2</v>
      </c>
      <c r="BM56" s="254">
        <f t="shared" si="115"/>
        <v>7.8095786296352054E-2</v>
      </c>
      <c r="BN56" s="255">
        <f t="shared" si="115"/>
        <v>6.3243018525341199E-2</v>
      </c>
      <c r="BO56" s="255">
        <f t="shared" si="115"/>
        <v>4.0537943145505961E-2</v>
      </c>
      <c r="BP56" s="256">
        <f t="shared" si="115"/>
        <v>8.934225454813105E-2</v>
      </c>
      <c r="BQ56" s="272">
        <f t="shared" si="115"/>
        <v>6.3789921466313793E-2</v>
      </c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</row>
    <row r="57" spans="1:104" x14ac:dyDescent="0.2">
      <c r="C57" s="26"/>
      <c r="E57" s="273"/>
      <c r="F57" s="274"/>
      <c r="G57" s="274"/>
      <c r="H57" s="275"/>
      <c r="I57" s="169"/>
      <c r="J57" s="273"/>
      <c r="K57" s="274"/>
      <c r="L57" s="274"/>
      <c r="M57" s="275"/>
      <c r="N57" s="169"/>
      <c r="O57" s="273"/>
      <c r="P57" s="274"/>
      <c r="Q57" s="680"/>
      <c r="R57" s="684"/>
      <c r="S57" s="55"/>
      <c r="T57" s="335"/>
      <c r="U57" s="680"/>
      <c r="V57" s="680"/>
      <c r="W57" s="684"/>
      <c r="X57" s="55"/>
      <c r="Y57" s="335"/>
      <c r="Z57" s="137"/>
      <c r="AA57" s="137"/>
      <c r="AB57" s="275"/>
      <c r="AC57" s="169"/>
      <c r="AD57" s="273"/>
      <c r="AE57" s="274"/>
      <c r="AF57" s="274"/>
      <c r="AG57" s="275"/>
      <c r="AH57" s="169"/>
      <c r="AI57" s="273"/>
      <c r="AJ57" s="274"/>
      <c r="AK57" s="274"/>
      <c r="AL57" s="275"/>
      <c r="AM57" s="169"/>
      <c r="AN57" s="273"/>
      <c r="AO57" s="274"/>
      <c r="AP57" s="274"/>
      <c r="AQ57" s="275"/>
      <c r="AR57" s="169"/>
      <c r="AS57" s="273"/>
      <c r="AT57" s="274"/>
      <c r="AU57" s="274"/>
      <c r="AV57" s="275"/>
      <c r="AW57" s="169"/>
      <c r="AX57" s="273"/>
      <c r="AY57" s="274"/>
      <c r="AZ57" s="274"/>
      <c r="BA57" s="275"/>
      <c r="BB57" s="169"/>
      <c r="BC57" s="273"/>
      <c r="BD57" s="274"/>
      <c r="BE57" s="274"/>
      <c r="BF57" s="275"/>
      <c r="BG57" s="169"/>
      <c r="BH57" s="273"/>
      <c r="BI57" s="274"/>
      <c r="BJ57" s="274"/>
      <c r="BK57" s="275"/>
      <c r="BL57" s="169"/>
      <c r="BM57" s="273"/>
      <c r="BN57" s="274"/>
      <c r="BO57" s="274"/>
      <c r="BP57" s="275"/>
      <c r="BQ57" s="169"/>
    </row>
    <row r="58" spans="1:104" x14ac:dyDescent="0.2">
      <c r="C58" s="26"/>
      <c r="E58" s="273"/>
      <c r="F58" s="274"/>
      <c r="G58" s="274"/>
      <c r="H58" s="275"/>
      <c r="I58" s="169"/>
      <c r="J58" s="273"/>
      <c r="K58" s="274"/>
      <c r="L58" s="274"/>
      <c r="M58" s="275"/>
      <c r="N58" s="169"/>
      <c r="O58" s="273"/>
      <c r="P58" s="274"/>
      <c r="Q58" s="274"/>
      <c r="R58" s="275"/>
      <c r="S58" s="276"/>
      <c r="T58" s="273"/>
      <c r="U58" s="274"/>
      <c r="V58" s="274"/>
      <c r="W58" s="275"/>
      <c r="X58" s="82"/>
      <c r="Y58" s="136"/>
      <c r="Z58" s="137"/>
      <c r="AA58" s="137"/>
      <c r="AB58" s="116"/>
      <c r="AC58" s="82"/>
      <c r="AD58" s="136"/>
      <c r="AE58" s="137"/>
      <c r="AF58" s="137"/>
      <c r="AG58" s="116"/>
      <c r="AH58" s="82"/>
      <c r="AI58" s="136"/>
      <c r="AJ58" s="137"/>
      <c r="AK58" s="137"/>
      <c r="AL58" s="116"/>
      <c r="AM58" s="82"/>
      <c r="AN58" s="136"/>
      <c r="AO58" s="137"/>
      <c r="AP58" s="137"/>
      <c r="AQ58" s="116"/>
      <c r="AR58" s="82"/>
      <c r="AS58" s="136"/>
      <c r="AT58" s="137"/>
      <c r="AU58" s="137"/>
      <c r="AV58" s="116"/>
      <c r="AW58" s="82"/>
      <c r="AX58" s="760"/>
      <c r="AY58" s="998"/>
      <c r="AZ58" s="998"/>
      <c r="BA58" s="999"/>
      <c r="BB58" s="82"/>
      <c r="BC58" s="136"/>
      <c r="BD58" s="137"/>
      <c r="BE58" s="137"/>
      <c r="BF58" s="116"/>
      <c r="BG58" s="82"/>
      <c r="BH58" s="136"/>
      <c r="BI58" s="137"/>
      <c r="BJ58" s="137"/>
      <c r="BK58" s="116"/>
      <c r="BL58" s="82"/>
      <c r="BM58" s="136"/>
      <c r="BN58" s="137"/>
      <c r="BO58" s="137"/>
      <c r="BP58" s="116"/>
      <c r="BQ58" s="82"/>
    </row>
    <row r="59" spans="1:104" x14ac:dyDescent="0.2">
      <c r="B59" s="16" t="s">
        <v>248</v>
      </c>
      <c r="C59" s="16"/>
      <c r="D59" s="17"/>
      <c r="E59" s="273"/>
      <c r="F59" s="274"/>
      <c r="G59" s="274"/>
      <c r="H59" s="275"/>
      <c r="I59" s="169"/>
      <c r="J59" s="273"/>
      <c r="K59" s="274"/>
      <c r="L59" s="274"/>
      <c r="M59" s="275"/>
      <c r="N59" s="169"/>
      <c r="O59" s="273"/>
      <c r="P59" s="274"/>
      <c r="Q59" s="274"/>
      <c r="R59" s="275"/>
      <c r="S59" s="169"/>
      <c r="T59" s="273"/>
      <c r="U59" s="274"/>
      <c r="V59" s="274"/>
      <c r="W59" s="275"/>
      <c r="X59" s="169"/>
      <c r="Y59" s="273"/>
      <c r="Z59" s="274"/>
      <c r="AA59" s="274"/>
      <c r="AB59" s="275"/>
      <c r="AC59" s="169"/>
      <c r="AD59" s="273"/>
      <c r="AE59" s="274"/>
      <c r="AF59" s="274"/>
      <c r="AG59" s="275"/>
      <c r="AH59" s="169"/>
      <c r="AI59" s="273"/>
      <c r="AJ59" s="274"/>
      <c r="AK59" s="274"/>
      <c r="AL59" s="275"/>
      <c r="AM59" s="169"/>
      <c r="AN59" s="273"/>
      <c r="AO59" s="274"/>
      <c r="AP59" s="274"/>
      <c r="AQ59" s="275"/>
      <c r="AR59" s="169"/>
      <c r="AS59" s="273"/>
      <c r="AT59" s="274"/>
      <c r="AU59" s="274"/>
      <c r="AV59" s="275"/>
      <c r="AW59" s="169"/>
      <c r="AX59" s="273"/>
      <c r="AY59" s="274"/>
      <c r="AZ59" s="274"/>
      <c r="BA59" s="275"/>
      <c r="BB59" s="169"/>
      <c r="BC59" s="273"/>
      <c r="BD59" s="274"/>
      <c r="BE59" s="274"/>
      <c r="BF59" s="275"/>
      <c r="BG59" s="169"/>
      <c r="BH59" s="273"/>
      <c r="BI59" s="274"/>
      <c r="BJ59" s="274"/>
      <c r="BK59" s="275"/>
      <c r="BL59" s="169"/>
      <c r="BM59" s="273"/>
      <c r="BN59" s="274"/>
      <c r="BO59" s="274"/>
      <c r="BP59" s="275"/>
      <c r="BQ59" s="169"/>
    </row>
    <row r="60" spans="1:104" x14ac:dyDescent="0.2">
      <c r="C60" s="979" t="s">
        <v>427</v>
      </c>
      <c r="D60" s="278"/>
      <c r="E60" s="279"/>
      <c r="F60" s="280"/>
      <c r="G60" s="280"/>
      <c r="H60" s="281"/>
      <c r="I60" s="282"/>
      <c r="J60" s="283">
        <f t="shared" ref="J60:P60" si="116">+J101</f>
        <v>5.0535098846145932E-2</v>
      </c>
      <c r="K60" s="284">
        <f t="shared" si="116"/>
        <v>4.9668379431953014E-2</v>
      </c>
      <c r="L60" s="284">
        <f t="shared" si="116"/>
        <v>4.4978754092349194E-2</v>
      </c>
      <c r="M60" s="285">
        <f t="shared" si="116"/>
        <v>5.4767940457594033E-3</v>
      </c>
      <c r="N60" s="286">
        <f t="shared" si="116"/>
        <v>3.7370745380023829E-2</v>
      </c>
      <c r="O60" s="283">
        <f t="shared" si="116"/>
        <v>8.5857879759645428E-3</v>
      </c>
      <c r="P60" s="284">
        <f t="shared" si="116"/>
        <v>-1.5328613001141633E-2</v>
      </c>
      <c r="Q60" s="284">
        <f t="shared" ref="Q60:V60" si="117">+Q101</f>
        <v>2.5558653508620965E-2</v>
      </c>
      <c r="R60" s="285">
        <f t="shared" si="117"/>
        <v>4.5794224631563463E-3</v>
      </c>
      <c r="S60" s="286">
        <f t="shared" si="117"/>
        <v>6.514694008472377E-3</v>
      </c>
      <c r="T60" s="283">
        <f t="shared" si="117"/>
        <v>-6.5063565486274122E-3</v>
      </c>
      <c r="U60" s="284">
        <f t="shared" si="117"/>
        <v>5.1397951103751893E-2</v>
      </c>
      <c r="V60" s="284">
        <f t="shared" si="117"/>
        <v>7.2713882690278453E-3</v>
      </c>
      <c r="W60" s="285">
        <f t="shared" ref="W60:AD60" si="118">+W101</f>
        <v>-7.2915914425313311E-3</v>
      </c>
      <c r="X60" s="286">
        <f t="shared" si="118"/>
        <v>1.0637924375943575E-2</v>
      </c>
      <c r="Y60" s="283">
        <f t="shared" si="118"/>
        <v>1.5377426703824915E-2</v>
      </c>
      <c r="Z60" s="284">
        <f t="shared" si="118"/>
        <v>-2.5005869469019171E-3</v>
      </c>
      <c r="AA60" s="284">
        <f t="shared" si="118"/>
        <v>-2.1985450400296869E-2</v>
      </c>
      <c r="AB60" s="285">
        <f t="shared" si="118"/>
        <v>2.3244519963132593E-2</v>
      </c>
      <c r="AC60" s="286">
        <f t="shared" si="118"/>
        <v>2.6054331966929301E-3</v>
      </c>
      <c r="AD60" s="283">
        <f t="shared" si="118"/>
        <v>1.5233287992077127E-2</v>
      </c>
      <c r="AE60" s="284">
        <f t="shared" ref="AE60:AJ60" si="119">+AE101</f>
        <v>-2.518415950703945E-2</v>
      </c>
      <c r="AF60" s="284">
        <f t="shared" si="119"/>
        <v>-1.8356473364237957E-2</v>
      </c>
      <c r="AG60" s="285">
        <f t="shared" si="119"/>
        <v>3.1009788645621761E-3</v>
      </c>
      <c r="AH60" s="286">
        <f t="shared" si="119"/>
        <v>-6.5832784726793658E-3</v>
      </c>
      <c r="AI60" s="283">
        <f t="shared" si="119"/>
        <v>-8.4323282675166089E-3</v>
      </c>
      <c r="AJ60" s="284">
        <f t="shared" si="119"/>
        <v>-9.8113807190325364E-3</v>
      </c>
      <c r="AK60" s="284">
        <f t="shared" ref="AK60:AP60" si="120">+AK101</f>
        <v>2.1151221340274251E-2</v>
      </c>
      <c r="AL60" s="285">
        <f t="shared" si="120"/>
        <v>-8.618249370645481E-4</v>
      </c>
      <c r="AM60" s="286">
        <f t="shared" si="120"/>
        <v>1.0114750095915337E-3</v>
      </c>
      <c r="AN60" s="283">
        <f t="shared" si="120"/>
        <v>1.1289803132281673E-3</v>
      </c>
      <c r="AO60" s="284">
        <f t="shared" si="120"/>
        <v>4.4041349149130937E-3</v>
      </c>
      <c r="AP60" s="284">
        <f t="shared" si="120"/>
        <v>2.0655066123608012E-2</v>
      </c>
      <c r="AQ60" s="285">
        <f>+AQ101</f>
        <v>-1.3706046585698961E-2</v>
      </c>
      <c r="AR60" s="286">
        <f>+AR101</f>
        <v>3.5191637630662687E-3</v>
      </c>
      <c r="AS60" s="283">
        <f t="shared" ref="AS60:AU60" si="121">+AS101</f>
        <v>-1.5604115136912067E-2</v>
      </c>
      <c r="AT60" s="284">
        <f t="shared" si="121"/>
        <v>1.3811032878261686E-2</v>
      </c>
      <c r="AU60" s="284">
        <f t="shared" si="121"/>
        <v>-9.0543337866421991E-2</v>
      </c>
      <c r="AV60" s="285">
        <f>+AV101</f>
        <v>7.9979356351389974E-2</v>
      </c>
      <c r="AW60" s="286">
        <f>+AW101</f>
        <v>-6.0761779104892E-3</v>
      </c>
      <c r="AX60" s="283">
        <f>+$BB$60-'NSP-MN'!AS113</f>
        <v>1.6500000000000001E-2</v>
      </c>
      <c r="AY60" s="284">
        <f>+$BB$60-'NSP-MN'!AT113</f>
        <v>-5.2999999999999992E-3</v>
      </c>
      <c r="AZ60" s="284">
        <f>+$BB$60-'NSP-MN'!AU113</f>
        <v>7.4999999999999997E-3</v>
      </c>
      <c r="BA60" s="285">
        <f>+$BB$60-'NSP-MN'!AV113</f>
        <v>4.5000000000000005E-3</v>
      </c>
      <c r="BB60" s="287">
        <v>2.5000000000000001E-3</v>
      </c>
      <c r="BC60" s="283">
        <f t="shared" ref="BC60:BF61" si="122">+BD60</f>
        <v>2.5000000000000001E-3</v>
      </c>
      <c r="BD60" s="284">
        <f t="shared" si="122"/>
        <v>2.5000000000000001E-3</v>
      </c>
      <c r="BE60" s="284">
        <f t="shared" si="122"/>
        <v>2.5000000000000001E-3</v>
      </c>
      <c r="BF60" s="285">
        <f t="shared" si="122"/>
        <v>2.5000000000000001E-3</v>
      </c>
      <c r="BG60" s="287">
        <v>2.5000000000000001E-3</v>
      </c>
      <c r="BH60" s="283">
        <f t="shared" ref="BH60:BK61" si="123">+BI60</f>
        <v>2.5000000000000001E-3</v>
      </c>
      <c r="BI60" s="284">
        <f t="shared" si="123"/>
        <v>2.5000000000000001E-3</v>
      </c>
      <c r="BJ60" s="284">
        <f t="shared" si="123"/>
        <v>2.5000000000000001E-3</v>
      </c>
      <c r="BK60" s="285">
        <f t="shared" si="123"/>
        <v>2.5000000000000001E-3</v>
      </c>
      <c r="BL60" s="287">
        <v>2.5000000000000001E-3</v>
      </c>
      <c r="BM60" s="283">
        <f t="shared" ref="BM60:BM61" si="124">+BN60</f>
        <v>2.5000000000000001E-3</v>
      </c>
      <c r="BN60" s="284">
        <f t="shared" ref="BN60:BN61" si="125">+BO60</f>
        <v>2.5000000000000001E-3</v>
      </c>
      <c r="BO60" s="284">
        <f t="shared" ref="BO60:BO61" si="126">+BP60</f>
        <v>2.5000000000000001E-3</v>
      </c>
      <c r="BP60" s="285">
        <f t="shared" ref="BP60:BP61" si="127">+BQ60</f>
        <v>2.5000000000000001E-3</v>
      </c>
      <c r="BQ60" s="287">
        <v>2.5000000000000001E-3</v>
      </c>
      <c r="BR60" s="288"/>
    </row>
    <row r="61" spans="1:104" x14ac:dyDescent="0.2">
      <c r="C61" s="271" t="s">
        <v>428</v>
      </c>
      <c r="E61" s="273"/>
      <c r="F61" s="274"/>
      <c r="G61" s="274"/>
      <c r="H61" s="275"/>
      <c r="I61" s="169"/>
      <c r="J61" s="207">
        <f t="shared" ref="J61:P61" si="128">+J127</f>
        <v>0.19320202401251829</v>
      </c>
      <c r="K61" s="208">
        <f t="shared" si="128"/>
        <v>-3.3190897735753122E-2</v>
      </c>
      <c r="L61" s="208">
        <f t="shared" si="128"/>
        <v>-6.4640598091567414E-2</v>
      </c>
      <c r="M61" s="209">
        <f t="shared" si="128"/>
        <v>-0.16849001510100547</v>
      </c>
      <c r="N61" s="88">
        <f t="shared" si="128"/>
        <v>-6.0098638551726591E-3</v>
      </c>
      <c r="O61" s="207">
        <f t="shared" si="128"/>
        <v>-0.1005091788461131</v>
      </c>
      <c r="P61" s="208">
        <f t="shared" si="128"/>
        <v>3.1681353463540285E-2</v>
      </c>
      <c r="Q61" s="208">
        <f t="shared" ref="Q61:V61" si="129">+Q127</f>
        <v>0.18730102419860795</v>
      </c>
      <c r="R61" s="209">
        <f t="shared" si="129"/>
        <v>3.7037733239151382E-2</v>
      </c>
      <c r="S61" s="88">
        <f t="shared" si="129"/>
        <v>-9.2847062318948126E-3</v>
      </c>
      <c r="T61" s="207">
        <f t="shared" si="129"/>
        <v>-0.14700000000000002</v>
      </c>
      <c r="U61" s="208">
        <f t="shared" si="129"/>
        <v>-0.25900000000000001</v>
      </c>
      <c r="V61" s="208">
        <f t="shared" si="129"/>
        <v>-1.2999999999999901E-2</v>
      </c>
      <c r="W61" s="209">
        <f t="shared" ref="W61:AD61" si="130">+W127</f>
        <v>-9.0191912063486424E-4</v>
      </c>
      <c r="X61" s="88">
        <f t="shared" si="130"/>
        <v>-0.10123706702654067</v>
      </c>
      <c r="Y61" s="207">
        <f t="shared" si="130"/>
        <v>0.21700000000000008</v>
      </c>
      <c r="Z61" s="208">
        <f t="shared" si="130"/>
        <v>0.65999999999999992</v>
      </c>
      <c r="AA61" s="208">
        <f t="shared" si="130"/>
        <v>4.8999999999999932E-2</v>
      </c>
      <c r="AB61" s="209">
        <f t="shared" si="130"/>
        <v>-4.812121221472121E-3</v>
      </c>
      <c r="AC61" s="88">
        <f t="shared" si="130"/>
        <v>0.17276875464017283</v>
      </c>
      <c r="AD61" s="207">
        <f t="shared" si="130"/>
        <v>-4.0000000000000036E-3</v>
      </c>
      <c r="AE61" s="208">
        <f t="shared" ref="AE61:AJ61" si="131">+AE127</f>
        <v>-6.0000000000000053E-2</v>
      </c>
      <c r="AF61" s="208">
        <f t="shared" si="131"/>
        <v>6.2000000000000055E-2</v>
      </c>
      <c r="AG61" s="209">
        <f t="shared" si="131"/>
        <v>-4.2870948472097936E-3</v>
      </c>
      <c r="AH61" s="88">
        <f t="shared" si="131"/>
        <v>-7.2765812160354715E-3</v>
      </c>
      <c r="AI61" s="207">
        <f t="shared" si="131"/>
        <v>-9.5999999999999974E-2</v>
      </c>
      <c r="AJ61" s="208">
        <f t="shared" si="131"/>
        <v>-7.999999999999996E-2</v>
      </c>
      <c r="AK61" s="208">
        <f t="shared" ref="AK61:AP61" si="132">+AK127</f>
        <v>-7.9288146648672897E-2</v>
      </c>
      <c r="AL61" s="209">
        <f t="shared" si="132"/>
        <v>-1.487917729582966E-2</v>
      </c>
      <c r="AM61" s="88">
        <f t="shared" si="132"/>
        <v>-6.5625335865009182E-2</v>
      </c>
      <c r="AN61" s="207">
        <f t="shared" si="132"/>
        <v>1.6000000000000014E-2</v>
      </c>
      <c r="AO61" s="208">
        <f t="shared" si="132"/>
        <v>7.4999999999999956E-2</v>
      </c>
      <c r="AP61" s="208">
        <f t="shared" si="132"/>
        <v>3.499999999999992E-2</v>
      </c>
      <c r="AQ61" s="209">
        <f>+AQ127</f>
        <v>-0.10158141661716968</v>
      </c>
      <c r="AR61" s="88">
        <f>+AR127</f>
        <v>-1.0520988298084455E-2</v>
      </c>
      <c r="AS61" s="207">
        <f t="shared" ref="AS61:AU61" si="133">+AS127</f>
        <v>-6.1000000000000054E-2</v>
      </c>
      <c r="AT61" s="208">
        <f t="shared" si="133"/>
        <v>-8.4999999999999964E-2</v>
      </c>
      <c r="AU61" s="208">
        <f t="shared" si="133"/>
        <v>4.6999999999999931E-2</v>
      </c>
      <c r="AV61" s="209">
        <f>+AV127</f>
        <v>3.8480290510638948E-2</v>
      </c>
      <c r="AW61" s="88">
        <f>+AW127</f>
        <v>-2.2366198056326225E-2</v>
      </c>
      <c r="AX61" s="207">
        <f>+$BB$61-'NSP-MN'!AS144</f>
        <v>4.8499999999999995E-2</v>
      </c>
      <c r="AY61" s="628">
        <f>+$BB$61-'NSP-MN'!AT144</f>
        <v>2.5000000000000001E-3</v>
      </c>
      <c r="AZ61" s="628">
        <f>+$BB$61-'NSP-MN'!AU144</f>
        <v>-2.5000000000000001E-3</v>
      </c>
      <c r="BA61" s="209">
        <f>+$BB$61-'NSP-MN'!AV144</f>
        <v>7.4999999999999997E-3</v>
      </c>
      <c r="BB61" s="797">
        <v>-2.5000000000000001E-3</v>
      </c>
      <c r="BC61" s="207">
        <f t="shared" si="122"/>
        <v>-2.5000000000000001E-3</v>
      </c>
      <c r="BD61" s="628">
        <f t="shared" si="122"/>
        <v>-2.5000000000000001E-3</v>
      </c>
      <c r="BE61" s="628">
        <f t="shared" si="122"/>
        <v>-2.5000000000000001E-3</v>
      </c>
      <c r="BF61" s="209">
        <f t="shared" si="122"/>
        <v>-2.5000000000000001E-3</v>
      </c>
      <c r="BG61" s="797">
        <v>-2.5000000000000001E-3</v>
      </c>
      <c r="BH61" s="207">
        <f t="shared" si="123"/>
        <v>-2.5000000000000001E-3</v>
      </c>
      <c r="BI61" s="628">
        <f t="shared" si="123"/>
        <v>-2.5000000000000001E-3</v>
      </c>
      <c r="BJ61" s="628">
        <f t="shared" si="123"/>
        <v>-2.5000000000000001E-3</v>
      </c>
      <c r="BK61" s="209">
        <f t="shared" si="123"/>
        <v>-2.5000000000000001E-3</v>
      </c>
      <c r="BL61" s="797">
        <v>-2.5000000000000001E-3</v>
      </c>
      <c r="BM61" s="207">
        <f t="shared" si="124"/>
        <v>-2.5000000000000001E-3</v>
      </c>
      <c r="BN61" s="628">
        <f t="shared" si="125"/>
        <v>-2.5000000000000001E-3</v>
      </c>
      <c r="BO61" s="628">
        <f t="shared" si="126"/>
        <v>-2.5000000000000001E-3</v>
      </c>
      <c r="BP61" s="209">
        <f t="shared" si="127"/>
        <v>-2.5000000000000001E-3</v>
      </c>
      <c r="BQ61" s="797">
        <v>-2.5000000000000001E-3</v>
      </c>
      <c r="BR61" s="288"/>
    </row>
    <row r="62" spans="1:104" x14ac:dyDescent="0.2">
      <c r="C62" s="271"/>
      <c r="E62" s="273"/>
      <c r="F62" s="274"/>
      <c r="G62" s="274"/>
      <c r="H62" s="275"/>
      <c r="I62" s="169"/>
      <c r="J62" s="207"/>
      <c r="K62" s="208"/>
      <c r="L62" s="208"/>
      <c r="M62" s="209"/>
      <c r="N62" s="88"/>
      <c r="O62" s="207"/>
      <c r="P62" s="208"/>
      <c r="Q62" s="208"/>
      <c r="R62" s="209"/>
      <c r="S62" s="36"/>
      <c r="T62" s="207"/>
      <c r="U62" s="208"/>
      <c r="V62" s="208"/>
      <c r="W62" s="209"/>
      <c r="X62" s="36"/>
      <c r="Y62" s="207"/>
      <c r="Z62" s="208"/>
      <c r="AA62" s="208"/>
      <c r="AB62" s="209"/>
      <c r="AC62" s="36"/>
      <c r="AD62" s="207"/>
      <c r="AE62" s="208"/>
      <c r="AF62" s="208"/>
      <c r="AG62" s="209"/>
      <c r="AH62" s="36"/>
      <c r="AI62" s="207"/>
      <c r="AJ62" s="208"/>
      <c r="AK62" s="208"/>
      <c r="AL62" s="209"/>
      <c r="AM62" s="36"/>
      <c r="AN62" s="207"/>
      <c r="AO62" s="208"/>
      <c r="AP62" s="208"/>
      <c r="AQ62" s="209"/>
      <c r="AR62" s="36"/>
      <c r="AS62" s="207"/>
      <c r="AT62" s="208"/>
      <c r="AU62" s="208"/>
      <c r="AV62" s="209"/>
      <c r="AW62" s="36"/>
      <c r="AX62" s="207"/>
      <c r="AY62" s="208"/>
      <c r="AZ62" s="208"/>
      <c r="BA62" s="209"/>
      <c r="BB62" s="36"/>
      <c r="BC62" s="207"/>
      <c r="BD62" s="208"/>
      <c r="BE62" s="208"/>
      <c r="BF62" s="209"/>
      <c r="BG62" s="36"/>
      <c r="BH62" s="207"/>
      <c r="BI62" s="208"/>
      <c r="BJ62" s="208"/>
      <c r="BK62" s="209"/>
      <c r="BL62" s="36"/>
      <c r="BM62" s="207"/>
      <c r="BN62" s="208"/>
      <c r="BO62" s="208"/>
      <c r="BP62" s="209"/>
      <c r="BQ62" s="36"/>
      <c r="BR62" s="288"/>
    </row>
    <row r="63" spans="1:104" x14ac:dyDescent="0.2">
      <c r="A63" s="289"/>
      <c r="B63" s="289"/>
      <c r="C63" s="290" t="s">
        <v>429</v>
      </c>
      <c r="D63" s="289"/>
      <c r="E63" s="291"/>
      <c r="F63" s="292"/>
      <c r="G63" s="292"/>
      <c r="H63" s="293"/>
      <c r="I63" s="289"/>
      <c r="J63" s="291"/>
      <c r="K63" s="292"/>
      <c r="L63" s="292"/>
      <c r="M63" s="293"/>
      <c r="N63" s="289"/>
      <c r="O63" s="291"/>
      <c r="P63" s="292"/>
      <c r="Q63" s="292"/>
      <c r="R63" s="293"/>
      <c r="S63" s="289"/>
      <c r="T63" s="291"/>
      <c r="U63" s="292"/>
      <c r="V63" s="292"/>
      <c r="W63" s="293"/>
      <c r="X63" s="289"/>
      <c r="Y63" s="291"/>
      <c r="Z63" s="292"/>
      <c r="AA63" s="292"/>
      <c r="AB63" s="293"/>
      <c r="AC63" s="289"/>
      <c r="AD63" s="291"/>
      <c r="AE63" s="292"/>
      <c r="AF63" s="292"/>
      <c r="AG63" s="293"/>
      <c r="AH63" s="289"/>
      <c r="AI63" s="291"/>
      <c r="AJ63" s="292"/>
      <c r="AK63" s="292"/>
      <c r="AL63" s="293"/>
      <c r="AM63" s="289"/>
      <c r="AN63" s="291"/>
      <c r="AO63" s="292"/>
      <c r="AP63" s="292"/>
      <c r="AQ63" s="293"/>
      <c r="AR63" s="289"/>
      <c r="AS63" s="291"/>
      <c r="AT63" s="292"/>
      <c r="AU63" s="292"/>
      <c r="AV63" s="293"/>
      <c r="AW63" s="289"/>
      <c r="AX63" s="970">
        <v>0</v>
      </c>
      <c r="AY63" s="971">
        <v>0</v>
      </c>
      <c r="AZ63" s="971">
        <v>0</v>
      </c>
      <c r="BA63" s="972">
        <v>0</v>
      </c>
      <c r="BB63" s="973">
        <f>SUM(AX63:BA63)</f>
        <v>0</v>
      </c>
      <c r="BC63" s="970">
        <f>74.6*0.23*0.5</f>
        <v>8.5789999999999988</v>
      </c>
      <c r="BD63" s="971">
        <f>74.6*0.24*0.5</f>
        <v>8.9519999999999982</v>
      </c>
      <c r="BE63" s="971">
        <f>74.6*0.3*0.5</f>
        <v>11.19</v>
      </c>
      <c r="BF63" s="972">
        <f>74.6*0.23*0.5</f>
        <v>8.5789999999999988</v>
      </c>
      <c r="BG63" s="973">
        <f>SUM(BC63:BF63)</f>
        <v>37.299999999999997</v>
      </c>
      <c r="BH63" s="970">
        <f>74.9*0.23*0.5</f>
        <v>8.6135000000000002</v>
      </c>
      <c r="BI63" s="971">
        <f>74.9*0.24*0.5</f>
        <v>8.9879999999999995</v>
      </c>
      <c r="BJ63" s="971">
        <f>74.9*0.3*0.5</f>
        <v>11.235000000000001</v>
      </c>
      <c r="BK63" s="972">
        <f>74.9*0.23*0.5</f>
        <v>8.6135000000000002</v>
      </c>
      <c r="BL63" s="973">
        <f>SUM(BH63:BK63)</f>
        <v>37.450000000000003</v>
      </c>
      <c r="BM63" s="970">
        <f>59.7*0.23*0.5</f>
        <v>6.8655000000000008</v>
      </c>
      <c r="BN63" s="971">
        <f>59.7*0.24*0.5</f>
        <v>7.1639999999999997</v>
      </c>
      <c r="BO63" s="971">
        <f>59.7*0.3*0.5</f>
        <v>8.9550000000000001</v>
      </c>
      <c r="BP63" s="972">
        <f>59.8*0.23*0.5</f>
        <v>6.8769999999999998</v>
      </c>
      <c r="BQ63" s="973">
        <f>SUM(BM63:BP63)</f>
        <v>29.861499999999999</v>
      </c>
      <c r="BR63" s="298"/>
      <c r="BU63" s="289"/>
      <c r="BV63" s="289"/>
      <c r="BW63" s="289"/>
      <c r="BX63" s="289"/>
      <c r="BY63" s="289"/>
      <c r="BZ63" s="289"/>
      <c r="CA63" s="289"/>
      <c r="CB63" s="289"/>
      <c r="CC63" s="289"/>
      <c r="CD63" s="289"/>
      <c r="CE63" s="289"/>
      <c r="CF63" s="289"/>
      <c r="CG63" s="289"/>
      <c r="CH63" s="289"/>
      <c r="CI63" s="289"/>
      <c r="CJ63" s="289"/>
      <c r="CK63" s="289"/>
      <c r="CL63" s="289"/>
      <c r="CM63" s="289"/>
      <c r="CN63" s="289"/>
      <c r="CO63" s="289"/>
      <c r="CP63" s="289"/>
      <c r="CQ63" s="289"/>
      <c r="CR63" s="289"/>
      <c r="CS63" s="289"/>
      <c r="CT63" s="289"/>
      <c r="CU63" s="289"/>
      <c r="CV63" s="289"/>
      <c r="CW63" s="289"/>
      <c r="CX63" s="289"/>
      <c r="CY63" s="289"/>
      <c r="CZ63" s="289"/>
    </row>
    <row r="64" spans="1:104" x14ac:dyDescent="0.2">
      <c r="A64" s="289"/>
      <c r="B64" s="289"/>
      <c r="C64" s="290" t="s">
        <v>430</v>
      </c>
      <c r="D64" s="289"/>
      <c r="E64" s="291"/>
      <c r="F64" s="292"/>
      <c r="G64" s="292"/>
      <c r="H64" s="293"/>
      <c r="I64" s="289"/>
      <c r="J64" s="291"/>
      <c r="K64" s="292"/>
      <c r="L64" s="292"/>
      <c r="M64" s="293"/>
      <c r="N64" s="289"/>
      <c r="O64" s="291"/>
      <c r="P64" s="292"/>
      <c r="Q64" s="292"/>
      <c r="R64" s="293"/>
      <c r="S64" s="289"/>
      <c r="T64" s="291"/>
      <c r="U64" s="292"/>
      <c r="V64" s="292"/>
      <c r="W64" s="293"/>
      <c r="X64" s="289"/>
      <c r="Y64" s="291"/>
      <c r="Z64" s="292"/>
      <c r="AA64" s="292"/>
      <c r="AB64" s="293"/>
      <c r="AC64" s="289"/>
      <c r="AD64" s="291"/>
      <c r="AE64" s="292"/>
      <c r="AF64" s="292"/>
      <c r="AG64" s="293"/>
      <c r="AH64" s="289"/>
      <c r="AI64" s="291"/>
      <c r="AJ64" s="292"/>
      <c r="AK64" s="292"/>
      <c r="AL64" s="293"/>
      <c r="AM64" s="289"/>
      <c r="AN64" s="291"/>
      <c r="AO64" s="292"/>
      <c r="AP64" s="292"/>
      <c r="AQ64" s="293"/>
      <c r="AR64" s="289"/>
      <c r="AS64" s="291"/>
      <c r="AT64" s="292"/>
      <c r="AU64" s="292"/>
      <c r="AV64" s="293"/>
      <c r="AW64" s="289"/>
      <c r="AX64" s="294">
        <f>BB64*0.23</f>
        <v>0</v>
      </c>
      <c r="AY64" s="295">
        <f>BB64*0.24</f>
        <v>0</v>
      </c>
      <c r="AZ64" s="295">
        <f>BB64*0.3</f>
        <v>0</v>
      </c>
      <c r="BA64" s="296">
        <f>BB64*0.23</f>
        <v>0</v>
      </c>
      <c r="BB64" s="297">
        <v>0</v>
      </c>
      <c r="BC64" s="294">
        <f>BG64*0.23</f>
        <v>0</v>
      </c>
      <c r="BD64" s="295">
        <f>BG64*0.24</f>
        <v>0</v>
      </c>
      <c r="BE64" s="295">
        <f>BG64*0.3</f>
        <v>0</v>
      </c>
      <c r="BF64" s="296">
        <f>BG64*0.23</f>
        <v>0</v>
      </c>
      <c r="BG64" s="297">
        <v>0</v>
      </c>
      <c r="BH64" s="294">
        <f>BL64*0.23</f>
        <v>0</v>
      </c>
      <c r="BI64" s="295">
        <f>BL64*0.24</f>
        <v>0</v>
      </c>
      <c r="BJ64" s="295">
        <f>BL64*0.3</f>
        <v>0</v>
      </c>
      <c r="BK64" s="296">
        <f>BL64*0.23</f>
        <v>0</v>
      </c>
      <c r="BL64" s="297">
        <v>0</v>
      </c>
      <c r="BM64" s="294">
        <f>BQ64*0.23</f>
        <v>0</v>
      </c>
      <c r="BN64" s="295">
        <f>BQ64*0.24</f>
        <v>0</v>
      </c>
      <c r="BO64" s="295">
        <f>BQ64*0.3</f>
        <v>0</v>
      </c>
      <c r="BP64" s="296">
        <f>BQ64*0.23</f>
        <v>0</v>
      </c>
      <c r="BQ64" s="297">
        <v>0</v>
      </c>
      <c r="BR64" s="298"/>
      <c r="BS64" s="634"/>
      <c r="BT64" s="634"/>
      <c r="BU64" s="289"/>
      <c r="BV64" s="289"/>
      <c r="BW64" s="289"/>
      <c r="BX64" s="289"/>
      <c r="BY64" s="289"/>
      <c r="BZ64" s="289"/>
      <c r="CA64" s="289"/>
      <c r="CB64" s="289"/>
      <c r="CC64" s="289"/>
      <c r="CD64" s="289"/>
      <c r="CE64" s="289"/>
      <c r="CF64" s="289"/>
      <c r="CG64" s="289"/>
      <c r="CH64" s="289"/>
      <c r="CI64" s="289"/>
      <c r="CJ64" s="289"/>
      <c r="CK64" s="289"/>
      <c r="CL64" s="289"/>
      <c r="CM64" s="289"/>
      <c r="CN64" s="289"/>
      <c r="CO64" s="289"/>
      <c r="CP64" s="289"/>
      <c r="CQ64" s="289"/>
      <c r="CR64" s="289"/>
      <c r="CS64" s="289"/>
      <c r="CT64" s="289"/>
      <c r="CU64" s="289"/>
      <c r="CV64" s="289"/>
      <c r="CW64" s="289"/>
      <c r="CX64" s="289"/>
      <c r="CY64" s="289"/>
      <c r="CZ64" s="289"/>
    </row>
    <row r="65" spans="1:104" x14ac:dyDescent="0.2">
      <c r="A65" s="289"/>
      <c r="B65" s="289"/>
      <c r="C65" s="1000" t="s">
        <v>675</v>
      </c>
      <c r="D65" s="289"/>
      <c r="E65" s="291"/>
      <c r="F65" s="292"/>
      <c r="G65" s="292"/>
      <c r="H65" s="293"/>
      <c r="I65" s="289"/>
      <c r="J65" s="291"/>
      <c r="K65" s="292"/>
      <c r="L65" s="292"/>
      <c r="M65" s="293"/>
      <c r="N65" s="289"/>
      <c r="O65" s="291"/>
      <c r="P65" s="292"/>
      <c r="Q65" s="292"/>
      <c r="R65" s="293"/>
      <c r="S65" s="289"/>
      <c r="T65" s="291"/>
      <c r="U65" s="292"/>
      <c r="V65" s="292"/>
      <c r="W65" s="293"/>
      <c r="X65" s="289"/>
      <c r="Y65" s="291"/>
      <c r="Z65" s="292"/>
      <c r="AA65" s="292"/>
      <c r="AB65" s="293"/>
      <c r="AC65" s="289"/>
      <c r="AD65" s="291"/>
      <c r="AE65" s="292"/>
      <c r="AF65" s="292"/>
      <c r="AG65" s="293"/>
      <c r="AH65" s="289"/>
      <c r="AI65" s="291"/>
      <c r="AJ65" s="292"/>
      <c r="AK65" s="292"/>
      <c r="AL65" s="293"/>
      <c r="AM65" s="289"/>
      <c r="AN65" s="291"/>
      <c r="AO65" s="292"/>
      <c r="AP65" s="292"/>
      <c r="AQ65" s="293"/>
      <c r="AR65" s="289"/>
      <c r="AS65" s="291"/>
      <c r="AT65" s="292"/>
      <c r="AU65" s="292"/>
      <c r="AV65" s="293"/>
      <c r="AW65" s="289"/>
      <c r="AX65" s="294">
        <f>BB65*0.25</f>
        <v>-33</v>
      </c>
      <c r="AY65" s="295">
        <f>BB65*0.19</f>
        <v>-25.080000000000002</v>
      </c>
      <c r="AZ65" s="295">
        <f>BB65*0.39</f>
        <v>-51.480000000000004</v>
      </c>
      <c r="BA65" s="296">
        <f>BB65*0.16</f>
        <v>-21.12</v>
      </c>
      <c r="BB65" s="297">
        <v>-132</v>
      </c>
      <c r="BC65" s="294">
        <f>BG65*0.23</f>
        <v>0</v>
      </c>
      <c r="BD65" s="295">
        <f>BG65*0.24</f>
        <v>0</v>
      </c>
      <c r="BE65" s="295">
        <f>BG65*0.3</f>
        <v>0</v>
      </c>
      <c r="BF65" s="296">
        <f>BG65*0.23</f>
        <v>0</v>
      </c>
      <c r="BG65" s="297">
        <v>0</v>
      </c>
      <c r="BH65" s="294">
        <f>BL65*0.23</f>
        <v>0</v>
      </c>
      <c r="BI65" s="295">
        <f>BL65*0.24</f>
        <v>0</v>
      </c>
      <c r="BJ65" s="295">
        <f>BL65*0.3</f>
        <v>0</v>
      </c>
      <c r="BK65" s="296">
        <f>BL65*0.23</f>
        <v>0</v>
      </c>
      <c r="BL65" s="297">
        <v>0</v>
      </c>
      <c r="BM65" s="294">
        <f>BQ65*0.23</f>
        <v>0</v>
      </c>
      <c r="BN65" s="295">
        <f>BQ65*0.24</f>
        <v>0</v>
      </c>
      <c r="BO65" s="295">
        <f>BQ65*0.3</f>
        <v>0</v>
      </c>
      <c r="BP65" s="296">
        <f>BQ65*0.23</f>
        <v>0</v>
      </c>
      <c r="BQ65" s="297">
        <v>0</v>
      </c>
      <c r="BR65" s="298"/>
      <c r="BS65" s="634"/>
      <c r="BT65" s="634"/>
      <c r="BU65" s="289"/>
      <c r="BV65" s="289"/>
      <c r="BW65" s="289"/>
      <c r="BX65" s="289"/>
      <c r="BY65" s="289"/>
      <c r="BZ65" s="289"/>
      <c r="CA65" s="289"/>
      <c r="CB65" s="289"/>
      <c r="CC65" s="289"/>
      <c r="CD65" s="289"/>
      <c r="CE65" s="289"/>
      <c r="CF65" s="289"/>
      <c r="CG65" s="289"/>
      <c r="CH65" s="289"/>
      <c r="CI65" s="289"/>
      <c r="CJ65" s="289"/>
      <c r="CK65" s="289"/>
      <c r="CL65" s="289"/>
      <c r="CM65" s="289"/>
      <c r="CN65" s="289"/>
      <c r="CO65" s="289"/>
      <c r="CP65" s="289"/>
      <c r="CQ65" s="289"/>
      <c r="CR65" s="289"/>
      <c r="CS65" s="289"/>
      <c r="CT65" s="289"/>
      <c r="CU65" s="289"/>
      <c r="CV65" s="289"/>
      <c r="CW65" s="289"/>
      <c r="CX65" s="289"/>
      <c r="CY65" s="289"/>
      <c r="CZ65" s="289"/>
    </row>
    <row r="66" spans="1:104" x14ac:dyDescent="0.2">
      <c r="A66" s="289"/>
      <c r="B66" s="289"/>
      <c r="C66" s="796" t="s">
        <v>546</v>
      </c>
      <c r="D66" s="289"/>
      <c r="E66" s="291"/>
      <c r="F66" s="292"/>
      <c r="G66" s="292"/>
      <c r="H66" s="293"/>
      <c r="I66" s="289"/>
      <c r="J66" s="291"/>
      <c r="K66" s="292"/>
      <c r="L66" s="292"/>
      <c r="M66" s="293"/>
      <c r="N66" s="289"/>
      <c r="O66" s="291"/>
      <c r="P66" s="292"/>
      <c r="Q66" s="292"/>
      <c r="R66" s="293"/>
      <c r="S66" s="289"/>
      <c r="T66" s="291"/>
      <c r="U66" s="292"/>
      <c r="V66" s="292"/>
      <c r="W66" s="293"/>
      <c r="X66" s="289"/>
      <c r="Y66" s="291"/>
      <c r="Z66" s="292"/>
      <c r="AA66" s="292"/>
      <c r="AB66" s="293"/>
      <c r="AC66" s="289"/>
      <c r="AD66" s="291"/>
      <c r="AE66" s="292"/>
      <c r="AF66" s="292"/>
      <c r="AG66" s="293"/>
      <c r="AH66" s="289"/>
      <c r="AI66" s="291"/>
      <c r="AJ66" s="862"/>
      <c r="AK66" s="292"/>
      <c r="AL66" s="293"/>
      <c r="AM66" s="289"/>
      <c r="AN66" s="291"/>
      <c r="AO66" s="862"/>
      <c r="AP66" s="292"/>
      <c r="AQ66" s="293"/>
      <c r="AR66" s="289"/>
      <c r="AS66" s="291"/>
      <c r="AT66" s="862"/>
      <c r="AU66" s="292"/>
      <c r="AV66" s="293"/>
      <c r="AW66" s="289"/>
      <c r="AX66" s="294">
        <f>BB66*0.25</f>
        <v>0</v>
      </c>
      <c r="AY66" s="295">
        <f>BB66*0.25</f>
        <v>0</v>
      </c>
      <c r="AZ66" s="295">
        <f>BB66*0.25</f>
        <v>0</v>
      </c>
      <c r="BA66" s="296">
        <f>BB66*0.25</f>
        <v>0</v>
      </c>
      <c r="BB66" s="297">
        <v>0</v>
      </c>
      <c r="BC66" s="294">
        <f>BG66*0.25</f>
        <v>0</v>
      </c>
      <c r="BD66" s="295">
        <f>BG66*0.25</f>
        <v>0</v>
      </c>
      <c r="BE66" s="295">
        <f>BG66*0.25</f>
        <v>0</v>
      </c>
      <c r="BF66" s="296">
        <f>BG66*0.25</f>
        <v>0</v>
      </c>
      <c r="BG66" s="297">
        <v>0</v>
      </c>
      <c r="BH66" s="294">
        <f>BL66*0.25</f>
        <v>0</v>
      </c>
      <c r="BI66" s="295">
        <f>BL66*0.25</f>
        <v>0</v>
      </c>
      <c r="BJ66" s="295">
        <f>BL66*0.25</f>
        <v>0</v>
      </c>
      <c r="BK66" s="296">
        <f>BL66*0.25</f>
        <v>0</v>
      </c>
      <c r="BL66" s="297">
        <v>0</v>
      </c>
      <c r="BM66" s="294">
        <f>BQ66*0.25</f>
        <v>0</v>
      </c>
      <c r="BN66" s="295">
        <f>BQ66*0.25</f>
        <v>0</v>
      </c>
      <c r="BO66" s="295">
        <f>BQ66*0.25</f>
        <v>0</v>
      </c>
      <c r="BP66" s="296">
        <f>BQ66*0.25</f>
        <v>0</v>
      </c>
      <c r="BQ66" s="297">
        <v>0</v>
      </c>
      <c r="BR66" s="298"/>
      <c r="BS66" s="634"/>
      <c r="BT66" s="634"/>
      <c r="BU66" s="289"/>
      <c r="BV66" s="289"/>
      <c r="BW66" s="289"/>
      <c r="BX66" s="289"/>
      <c r="BY66" s="289"/>
      <c r="BZ66" s="289"/>
      <c r="CA66" s="289"/>
      <c r="CB66" s="289"/>
      <c r="CC66" s="289"/>
      <c r="CD66" s="289"/>
      <c r="CE66" s="289"/>
      <c r="CF66" s="289"/>
      <c r="CG66" s="289"/>
      <c r="CH66" s="289"/>
      <c r="CI66" s="289"/>
      <c r="CJ66" s="289"/>
      <c r="CK66" s="289"/>
      <c r="CL66" s="289"/>
      <c r="CM66" s="289"/>
      <c r="CN66" s="289"/>
      <c r="CO66" s="289"/>
      <c r="CP66" s="289"/>
      <c r="CQ66" s="289"/>
      <c r="CR66" s="289"/>
      <c r="CS66" s="289"/>
      <c r="CT66" s="289"/>
      <c r="CU66" s="289"/>
      <c r="CV66" s="289"/>
      <c r="CW66" s="289"/>
      <c r="CX66" s="289"/>
      <c r="CY66" s="289"/>
      <c r="CZ66" s="289"/>
    </row>
    <row r="67" spans="1:104" x14ac:dyDescent="0.2">
      <c r="A67" s="289"/>
      <c r="B67" s="289"/>
      <c r="C67" s="290" t="s">
        <v>426</v>
      </c>
      <c r="D67" s="289"/>
      <c r="E67" s="291"/>
      <c r="F67" s="292"/>
      <c r="G67" s="292"/>
      <c r="H67" s="293"/>
      <c r="I67" s="289"/>
      <c r="J67" s="291"/>
      <c r="K67" s="292"/>
      <c r="L67" s="292"/>
      <c r="M67" s="293"/>
      <c r="N67" s="289"/>
      <c r="O67" s="291"/>
      <c r="P67" s="292"/>
      <c r="Q67" s="292"/>
      <c r="R67" s="293"/>
      <c r="S67" s="289"/>
      <c r="T67" s="291"/>
      <c r="U67" s="292"/>
      <c r="V67" s="292"/>
      <c r="W67" s="293"/>
      <c r="X67" s="289"/>
      <c r="Y67" s="291"/>
      <c r="Z67" s="292"/>
      <c r="AA67" s="292"/>
      <c r="AB67" s="293"/>
      <c r="AC67" s="289"/>
      <c r="AD67" s="291"/>
      <c r="AE67" s="292"/>
      <c r="AF67" s="292"/>
      <c r="AG67" s="293"/>
      <c r="AH67" s="289"/>
      <c r="AI67" s="291"/>
      <c r="AJ67" s="292"/>
      <c r="AK67" s="292"/>
      <c r="AL67" s="293"/>
      <c r="AM67" s="289"/>
      <c r="AN67" s="291"/>
      <c r="AO67" s="292"/>
      <c r="AP67" s="292"/>
      <c r="AQ67" s="293"/>
      <c r="AR67" s="289"/>
      <c r="AS67" s="291"/>
      <c r="AT67" s="292"/>
      <c r="AU67" s="292"/>
      <c r="AV67" s="293"/>
      <c r="AW67" s="289"/>
      <c r="AX67" s="294">
        <f>BB67*0.25</f>
        <v>14.933281372581536</v>
      </c>
      <c r="AY67" s="295">
        <f>BB67*0.25</f>
        <v>14.933281372581536</v>
      </c>
      <c r="AZ67" s="295">
        <f>BB67*0.25</f>
        <v>14.933281372581536</v>
      </c>
      <c r="BA67" s="296">
        <f>BB67*0.25</f>
        <v>14.933281372581536</v>
      </c>
      <c r="BB67" s="801">
        <f>(BB167+BB171)*(1-BB273)*(4.2%*(1-BB74))+(BB167+BB171)*BB273*(BB277/(1-BB74))+(1/40)</f>
        <v>59.733125490326145</v>
      </c>
      <c r="BC67" s="294">
        <f>BG67*0.25</f>
        <v>2.1386830532259338</v>
      </c>
      <c r="BD67" s="295">
        <f>BG67*0.25</f>
        <v>2.1386830532259338</v>
      </c>
      <c r="BE67" s="295">
        <f>BG67*0.25</f>
        <v>2.1386830532259338</v>
      </c>
      <c r="BF67" s="296">
        <f>BG67*0.25</f>
        <v>2.1386830532259338</v>
      </c>
      <c r="BG67" s="801">
        <f>(BG167+BG171)*(1-BG273)*(4.2%*(1-BG74))+(BG167+BG171)*BG273*(BG277/(1-BG74))+(1/40)</f>
        <v>8.5547322129037351</v>
      </c>
      <c r="BH67" s="294">
        <f>BL67*0.25</f>
        <v>2.1386830532259338</v>
      </c>
      <c r="BI67" s="295">
        <f>BL67*0.25</f>
        <v>2.1386830532259338</v>
      </c>
      <c r="BJ67" s="295">
        <f>BL67*0.25</f>
        <v>2.1386830532259338</v>
      </c>
      <c r="BK67" s="296">
        <f>BL67*0.25</f>
        <v>2.1386830532259338</v>
      </c>
      <c r="BL67" s="947">
        <f>(BL167+BL171)*(1-BL273)*(4.2%*(1-BL74))+(BL167+BL171)*BL273*(BL277/(1-BL74))+(1/40)</f>
        <v>8.5547322129037351</v>
      </c>
      <c r="BM67" s="294">
        <f>BQ67*0.25</f>
        <v>4.0578728011292737</v>
      </c>
      <c r="BN67" s="295">
        <f>BQ67*0.25</f>
        <v>4.0578728011292737</v>
      </c>
      <c r="BO67" s="295">
        <f>BQ67*0.25</f>
        <v>4.0578728011292737</v>
      </c>
      <c r="BP67" s="296">
        <f>BQ67*0.25</f>
        <v>4.0578728011292737</v>
      </c>
      <c r="BQ67" s="947">
        <f>(BQ167+BQ171)*(1-BQ273)*(4.2%*(1-BQ74))+(BQ167+BQ171)*BQ273*(BQ277/(1-BQ74))+(1/40)</f>
        <v>16.231491204517095</v>
      </c>
      <c r="BR67" s="298"/>
      <c r="BS67" s="635"/>
      <c r="BT67" s="636"/>
      <c r="BU67" s="289"/>
      <c r="BV67" s="289"/>
      <c r="BW67" s="289"/>
      <c r="BX67" s="289"/>
      <c r="BY67" s="289"/>
      <c r="BZ67" s="289"/>
      <c r="CA67" s="289"/>
      <c r="CB67" s="289"/>
      <c r="CC67" s="289"/>
      <c r="CD67" s="289"/>
      <c r="CE67" s="289"/>
      <c r="CF67" s="289"/>
      <c r="CG67" s="289"/>
      <c r="CH67" s="289"/>
      <c r="CI67" s="289"/>
      <c r="CJ67" s="289"/>
      <c r="CK67" s="289"/>
      <c r="CL67" s="289"/>
      <c r="CM67" s="289"/>
      <c r="CN67" s="289"/>
      <c r="CO67" s="289"/>
      <c r="CP67" s="289"/>
      <c r="CQ67" s="289"/>
      <c r="CR67" s="289"/>
      <c r="CS67" s="289"/>
      <c r="CT67" s="289"/>
      <c r="CU67" s="289"/>
      <c r="CV67" s="289"/>
      <c r="CW67" s="289"/>
      <c r="CX67" s="289"/>
      <c r="CY67" s="289"/>
      <c r="CZ67" s="289"/>
    </row>
    <row r="68" spans="1:104" x14ac:dyDescent="0.2">
      <c r="A68" s="289"/>
      <c r="B68" s="289"/>
      <c r="C68" s="290" t="s">
        <v>250</v>
      </c>
      <c r="D68" s="289"/>
      <c r="E68" s="291"/>
      <c r="F68" s="292"/>
      <c r="G68" s="292"/>
      <c r="H68" s="293"/>
      <c r="I68" s="289"/>
      <c r="J68" s="291"/>
      <c r="K68" s="292"/>
      <c r="L68" s="292"/>
      <c r="M68" s="293"/>
      <c r="N68" s="289"/>
      <c r="O68" s="291"/>
      <c r="P68" s="292"/>
      <c r="Q68" s="292"/>
      <c r="R68" s="293"/>
      <c r="S68" s="297"/>
      <c r="T68" s="291"/>
      <c r="U68" s="292"/>
      <c r="V68" s="292"/>
      <c r="W68" s="293"/>
      <c r="X68" s="297"/>
      <c r="Y68" s="291"/>
      <c r="Z68" s="292"/>
      <c r="AA68" s="292"/>
      <c r="AB68" s="293"/>
      <c r="AC68" s="297"/>
      <c r="AD68" s="291"/>
      <c r="AE68" s="292"/>
      <c r="AF68" s="292"/>
      <c r="AG68" s="293"/>
      <c r="AH68" s="297"/>
      <c r="AI68" s="291"/>
      <c r="AJ68" s="292"/>
      <c r="AK68" s="292"/>
      <c r="AL68" s="293"/>
      <c r="AM68" s="297"/>
      <c r="AN68" s="291"/>
      <c r="AO68" s="292"/>
      <c r="AP68" s="292"/>
      <c r="AQ68" s="293"/>
      <c r="AR68" s="297"/>
      <c r="AS68" s="291"/>
      <c r="AT68" s="292"/>
      <c r="AU68" s="292"/>
      <c r="AV68" s="293"/>
      <c r="AW68" s="297"/>
      <c r="AX68" s="294">
        <f>BB68*0.45</f>
        <v>19.440000000000001</v>
      </c>
      <c r="AY68" s="295">
        <f>BB68*0.15</f>
        <v>6.48</v>
      </c>
      <c r="AZ68" s="295">
        <f>BB68*0.1</f>
        <v>4.32</v>
      </c>
      <c r="BA68" s="296">
        <f>BB68*0.3</f>
        <v>12.96</v>
      </c>
      <c r="BB68" s="297">
        <v>43.2</v>
      </c>
      <c r="BC68" s="294">
        <f>BG68*0.45</f>
        <v>7.4024999999999999</v>
      </c>
      <c r="BD68" s="295">
        <f>BG68*0.15</f>
        <v>2.4674999999999998</v>
      </c>
      <c r="BE68" s="295">
        <f>BG68*0.1</f>
        <v>1.645</v>
      </c>
      <c r="BF68" s="296">
        <f>BG68*0.3</f>
        <v>4.9349999999999996</v>
      </c>
      <c r="BG68" s="297">
        <f>32.9*0.5</f>
        <v>16.45</v>
      </c>
      <c r="BH68" s="294">
        <f>BL68*0.45</f>
        <v>9.6524999999999999</v>
      </c>
      <c r="BI68" s="295">
        <f>BL68*0.15</f>
        <v>3.2174999999999998</v>
      </c>
      <c r="BJ68" s="295">
        <f>BL68*0.1</f>
        <v>2.145</v>
      </c>
      <c r="BK68" s="296">
        <f>BL68*0.3</f>
        <v>6.4349999999999996</v>
      </c>
      <c r="BL68" s="297">
        <f>42.9*0.5</f>
        <v>21.45</v>
      </c>
      <c r="BM68" s="294">
        <f>BQ68*0.45</f>
        <v>9.6524999999999999</v>
      </c>
      <c r="BN68" s="295">
        <f>BQ68*0.15</f>
        <v>3.2174999999999998</v>
      </c>
      <c r="BO68" s="295">
        <f>BQ68*0.1</f>
        <v>2.145</v>
      </c>
      <c r="BP68" s="296">
        <f>BQ68*0.3</f>
        <v>6.4349999999999996</v>
      </c>
      <c r="BQ68" s="297">
        <f>42.9*0.5</f>
        <v>21.45</v>
      </c>
      <c r="BR68" s="298"/>
      <c r="BS68" s="289"/>
      <c r="BT68" s="289"/>
      <c r="BU68" s="289"/>
      <c r="BV68" s="289"/>
      <c r="BW68" s="289"/>
      <c r="BX68" s="289"/>
      <c r="BY68" s="289"/>
      <c r="BZ68" s="289"/>
      <c r="CA68" s="289"/>
      <c r="CB68" s="289"/>
      <c r="CC68" s="289"/>
      <c r="CD68" s="289"/>
      <c r="CE68" s="289"/>
      <c r="CF68" s="289"/>
      <c r="CG68" s="289"/>
      <c r="CH68" s="289"/>
      <c r="CI68" s="289"/>
      <c r="CJ68" s="289"/>
      <c r="CK68" s="289"/>
      <c r="CL68" s="289"/>
      <c r="CM68" s="289"/>
      <c r="CN68" s="289"/>
      <c r="CO68" s="289"/>
      <c r="CP68" s="289"/>
      <c r="CQ68" s="289"/>
      <c r="CR68" s="289"/>
      <c r="CS68" s="289"/>
      <c r="CT68" s="289"/>
      <c r="CU68" s="289"/>
      <c r="CV68" s="289"/>
      <c r="CW68" s="289"/>
      <c r="CX68" s="289"/>
      <c r="CY68" s="289"/>
      <c r="CZ68" s="289"/>
    </row>
    <row r="69" spans="1:104" x14ac:dyDescent="0.2">
      <c r="C69" s="299"/>
      <c r="E69" s="273"/>
      <c r="F69" s="274"/>
      <c r="G69" s="274"/>
      <c r="H69" s="275"/>
      <c r="I69" s="169"/>
      <c r="J69" s="273"/>
      <c r="K69" s="274"/>
      <c r="L69" s="274"/>
      <c r="M69" s="275"/>
      <c r="N69" s="169"/>
      <c r="O69" s="273"/>
      <c r="P69" s="274"/>
      <c r="Q69" s="274"/>
      <c r="R69" s="275"/>
      <c r="S69" s="169"/>
      <c r="T69" s="273"/>
      <c r="U69" s="274"/>
      <c r="V69" s="274"/>
      <c r="W69" s="275"/>
      <c r="X69" s="169"/>
      <c r="Y69" s="273"/>
      <c r="Z69" s="274"/>
      <c r="AA69" s="274"/>
      <c r="AB69" s="275"/>
      <c r="AC69" s="169"/>
      <c r="AD69" s="273"/>
      <c r="AE69" s="274"/>
      <c r="AF69" s="274"/>
      <c r="AG69" s="275"/>
      <c r="AH69" s="169"/>
      <c r="AI69" s="273"/>
      <c r="AJ69" s="274"/>
      <c r="AK69" s="274"/>
      <c r="AL69" s="275"/>
      <c r="AM69" s="169"/>
      <c r="AN69" s="273"/>
      <c r="AO69" s="274"/>
      <c r="AP69" s="274"/>
      <c r="AQ69" s="275"/>
      <c r="AR69" s="169"/>
      <c r="AS69" s="273"/>
      <c r="AT69" s="274"/>
      <c r="AU69" s="274"/>
      <c r="AV69" s="275"/>
      <c r="AW69" s="169"/>
      <c r="AX69" s="273"/>
      <c r="AY69" s="274"/>
      <c r="AZ69" s="274"/>
      <c r="BA69" s="275"/>
      <c r="BB69" s="169"/>
      <c r="BC69" s="273"/>
      <c r="BD69" s="274"/>
      <c r="BE69" s="274"/>
      <c r="BF69" s="275"/>
      <c r="BG69" s="169"/>
      <c r="BH69" s="273"/>
      <c r="BI69" s="274"/>
      <c r="BJ69" s="274"/>
      <c r="BK69" s="275"/>
      <c r="BL69" s="169"/>
      <c r="BM69" s="273"/>
      <c r="BN69" s="274"/>
      <c r="BO69" s="274"/>
      <c r="BP69" s="275"/>
      <c r="BQ69" s="169"/>
      <c r="BR69" s="288"/>
    </row>
    <row r="70" spans="1:104" x14ac:dyDescent="0.2">
      <c r="C70" s="300" t="s">
        <v>251</v>
      </c>
      <c r="E70" s="273"/>
      <c r="F70" s="274"/>
      <c r="G70" s="274"/>
      <c r="H70" s="275"/>
      <c r="I70" s="88"/>
      <c r="J70" s="207">
        <f t="shared" ref="J70:P70" si="134">+J144</f>
        <v>5.1843243592228916E-3</v>
      </c>
      <c r="K70" s="208">
        <f t="shared" si="134"/>
        <v>0.137449528936743</v>
      </c>
      <c r="L70" s="208">
        <f t="shared" si="134"/>
        <v>4.6847505944234813E-2</v>
      </c>
      <c r="M70" s="209">
        <f t="shared" si="134"/>
        <v>0.11802194642771591</v>
      </c>
      <c r="N70" s="88">
        <f t="shared" si="134"/>
        <v>7.6884064998513635E-2</v>
      </c>
      <c r="O70" s="207">
        <f t="shared" si="134"/>
        <v>9.6202141393639806E-2</v>
      </c>
      <c r="P70" s="208">
        <f t="shared" si="134"/>
        <v>0.10438100872651979</v>
      </c>
      <c r="Q70" s="208">
        <f t="shared" ref="Q70:V70" si="135">+Q144</f>
        <v>0.10342500828388079</v>
      </c>
      <c r="R70" s="209">
        <f t="shared" si="135"/>
        <v>4.0620178295902809E-2</v>
      </c>
      <c r="S70" s="88">
        <f t="shared" si="135"/>
        <v>8.4696593682227705E-2</v>
      </c>
      <c r="T70" s="207">
        <f t="shared" si="135"/>
        <v>-1.3411768841806726E-2</v>
      </c>
      <c r="U70" s="208">
        <f t="shared" si="135"/>
        <v>-3.5185462960978908E-2</v>
      </c>
      <c r="V70" s="208">
        <f t="shared" si="135"/>
        <v>-1.1782563116973788E-2</v>
      </c>
      <c r="W70" s="209">
        <f t="shared" ref="W70:AD70" si="136">+W144</f>
        <v>9.9161852984482657E-2</v>
      </c>
      <c r="X70" s="88">
        <f t="shared" si="136"/>
        <v>1.1223185691595194E-2</v>
      </c>
      <c r="Y70" s="207">
        <f t="shared" si="136"/>
        <v>2.7669228302312554E-2</v>
      </c>
      <c r="Z70" s="208">
        <f t="shared" si="136"/>
        <v>4.4708495280399774E-2</v>
      </c>
      <c r="AA70" s="208">
        <f t="shared" si="136"/>
        <v>6.1211973877587145E-2</v>
      </c>
      <c r="AB70" s="209">
        <f t="shared" si="136"/>
        <v>-2.0810401922257138E-2</v>
      </c>
      <c r="AC70" s="88">
        <f t="shared" si="136"/>
        <v>2.6039907130118722E-2</v>
      </c>
      <c r="AD70" s="207">
        <f t="shared" si="136"/>
        <v>1.4349200478499302E-2</v>
      </c>
      <c r="AE70" s="208">
        <f t="shared" ref="AE70:AJ70" si="137">+AE144</f>
        <v>3.9808240146266272E-3</v>
      </c>
      <c r="AF70" s="208">
        <f t="shared" si="137"/>
        <v>-3.4169300213981235E-2</v>
      </c>
      <c r="AG70" s="209">
        <f t="shared" si="137"/>
        <v>-3.4464449716822498E-2</v>
      </c>
      <c r="AH70" s="88">
        <f t="shared" si="137"/>
        <v>-1.382093131249007E-2</v>
      </c>
      <c r="AI70" s="207">
        <f t="shared" si="137"/>
        <v>3.9270982885531325E-2</v>
      </c>
      <c r="AJ70" s="208">
        <f t="shared" si="137"/>
        <v>1.2302740588985728E-2</v>
      </c>
      <c r="AK70" s="208">
        <f t="shared" ref="AK70:AP70" si="138">+AK144</f>
        <v>4.6843835911811738E-3</v>
      </c>
      <c r="AL70" s="209">
        <f t="shared" si="138"/>
        <v>1.4367033108575455E-4</v>
      </c>
      <c r="AM70" s="88">
        <f t="shared" si="138"/>
        <v>1.3454626715581286E-2</v>
      </c>
      <c r="AN70" s="207">
        <f t="shared" si="138"/>
        <v>-2.2097721155374783E-2</v>
      </c>
      <c r="AO70" s="208">
        <f t="shared" si="138"/>
        <v>5.0835403320695471E-2</v>
      </c>
      <c r="AP70" s="208">
        <f t="shared" si="138"/>
        <v>2.4852585323453802E-2</v>
      </c>
      <c r="AQ70" s="209">
        <f>+AQ144</f>
        <v>-4.8578363384188195E-2</v>
      </c>
      <c r="AR70" s="88">
        <f>+AR144</f>
        <v>6.7594083745792233E-4</v>
      </c>
      <c r="AS70" s="207">
        <f t="shared" ref="AS70:AU70" si="139">+AS144</f>
        <v>4.044599912549196E-2</v>
      </c>
      <c r="AT70" s="208">
        <f t="shared" si="139"/>
        <v>-6.4888079384511244E-2</v>
      </c>
      <c r="AU70" s="208">
        <f t="shared" si="139"/>
        <v>-8.9555051803299257E-2</v>
      </c>
      <c r="AV70" s="209">
        <f>+AV144</f>
        <v>0.12146944130616943</v>
      </c>
      <c r="AW70" s="88">
        <f>+AW144</f>
        <v>5.2595958112111596E-4</v>
      </c>
      <c r="AX70" s="207">
        <f t="shared" ref="AX70:BA72" si="140">+AY70</f>
        <v>0</v>
      </c>
      <c r="AY70" s="208">
        <f t="shared" si="140"/>
        <v>0</v>
      </c>
      <c r="AZ70" s="208">
        <f t="shared" si="140"/>
        <v>0</v>
      </c>
      <c r="BA70" s="209">
        <f t="shared" si="140"/>
        <v>0</v>
      </c>
      <c r="BB70" s="36">
        <v>0</v>
      </c>
      <c r="BC70" s="207">
        <f t="shared" ref="BC70:BF72" si="141">+BD70</f>
        <v>0.01</v>
      </c>
      <c r="BD70" s="208">
        <f t="shared" si="141"/>
        <v>0.01</v>
      </c>
      <c r="BE70" s="208">
        <f t="shared" si="141"/>
        <v>0.01</v>
      </c>
      <c r="BF70" s="209">
        <f t="shared" si="141"/>
        <v>0.01</v>
      </c>
      <c r="BG70" s="36">
        <v>0.01</v>
      </c>
      <c r="BH70" s="207">
        <f t="shared" ref="BH70:BK72" si="142">+BI70</f>
        <v>0.01</v>
      </c>
      <c r="BI70" s="208">
        <f t="shared" si="142"/>
        <v>0.01</v>
      </c>
      <c r="BJ70" s="208">
        <f t="shared" si="142"/>
        <v>0.01</v>
      </c>
      <c r="BK70" s="209">
        <f t="shared" si="142"/>
        <v>0.01</v>
      </c>
      <c r="BL70" s="36">
        <v>0.01</v>
      </c>
      <c r="BM70" s="207">
        <f t="shared" ref="BM70:BM72" si="143">+BN70</f>
        <v>0.01</v>
      </c>
      <c r="BN70" s="208">
        <f t="shared" ref="BN70:BN72" si="144">+BO70</f>
        <v>0.01</v>
      </c>
      <c r="BO70" s="208">
        <f t="shared" ref="BO70:BO72" si="145">+BP70</f>
        <v>0.01</v>
      </c>
      <c r="BP70" s="209">
        <f t="shared" ref="BP70:BP72" si="146">+BQ70</f>
        <v>0.01</v>
      </c>
      <c r="BQ70" s="36">
        <v>0.01</v>
      </c>
      <c r="BR70" s="288"/>
    </row>
    <row r="71" spans="1:104" x14ac:dyDescent="0.2">
      <c r="C71" s="300" t="s">
        <v>252</v>
      </c>
      <c r="E71" s="273"/>
      <c r="F71" s="274"/>
      <c r="G71" s="274"/>
      <c r="H71" s="275"/>
      <c r="I71" s="88"/>
      <c r="J71" s="207">
        <f t="shared" ref="J71:P71" si="147">+J147</f>
        <v>6.153779809392379E-2</v>
      </c>
      <c r="K71" s="208">
        <f t="shared" si="147"/>
        <v>0.15537346359911752</v>
      </c>
      <c r="L71" s="208">
        <f t="shared" si="147"/>
        <v>3.6956267767436435E-2</v>
      </c>
      <c r="M71" s="209">
        <f t="shared" si="147"/>
        <v>7.7568988709085351E-2</v>
      </c>
      <c r="N71" s="88">
        <f t="shared" si="147"/>
        <v>8.0847592352424336E-2</v>
      </c>
      <c r="O71" s="207">
        <f t="shared" si="147"/>
        <v>0.39425576860578482</v>
      </c>
      <c r="P71" s="208">
        <f t="shared" si="147"/>
        <v>0.36329982074662936</v>
      </c>
      <c r="Q71" s="208">
        <f t="shared" ref="Q71:V71" si="148">+Q147</f>
        <v>0.1802613789995493</v>
      </c>
      <c r="R71" s="209">
        <f t="shared" si="148"/>
        <v>0.24549856256619806</v>
      </c>
      <c r="S71" s="88">
        <f t="shared" si="148"/>
        <v>0.29337539432176651</v>
      </c>
      <c r="T71" s="207">
        <f t="shared" si="148"/>
        <v>-1.5529850528830824E-2</v>
      </c>
      <c r="U71" s="208">
        <f t="shared" si="148"/>
        <v>-6.0311562098042004E-2</v>
      </c>
      <c r="V71" s="208">
        <f t="shared" si="148"/>
        <v>4.0346188112511117E-2</v>
      </c>
      <c r="W71" s="209">
        <f t="shared" ref="W71:AD71" si="149">+W147</f>
        <v>-1.2634392273583095E-2</v>
      </c>
      <c r="X71" s="88">
        <f t="shared" si="149"/>
        <v>-1.3399670806524044E-2</v>
      </c>
      <c r="Y71" s="207">
        <f t="shared" si="149"/>
        <v>4.0014206227062976E-2</v>
      </c>
      <c r="Z71" s="208">
        <f t="shared" si="149"/>
        <v>9.7885931558935546E-2</v>
      </c>
      <c r="AA71" s="208">
        <f t="shared" si="149"/>
        <v>5.8416931734770472E-3</v>
      </c>
      <c r="AB71" s="209">
        <f t="shared" si="149"/>
        <v>3.6481082743770932E-2</v>
      </c>
      <c r="AC71" s="88">
        <f t="shared" si="149"/>
        <v>4.5097786439572518E-2</v>
      </c>
      <c r="AD71" s="207">
        <f t="shared" si="149"/>
        <v>0.19003984063745016</v>
      </c>
      <c r="AE71" s="208">
        <f t="shared" ref="AE71:AJ71" si="150">+AE147</f>
        <v>0.15775912226747546</v>
      </c>
      <c r="AF71" s="208">
        <f t="shared" si="150"/>
        <v>0.18168273177851435</v>
      </c>
      <c r="AG71" s="209">
        <f t="shared" si="150"/>
        <v>0.17108855650522359</v>
      </c>
      <c r="AH71" s="88">
        <f t="shared" si="150"/>
        <v>0.17495791490102741</v>
      </c>
      <c r="AI71" s="207">
        <f t="shared" si="150"/>
        <v>0.20345305849155881</v>
      </c>
      <c r="AJ71" s="208">
        <f t="shared" si="150"/>
        <v>0.21047215641228134</v>
      </c>
      <c r="AK71" s="208">
        <f t="shared" ref="AK71:AP71" si="151">+AK147</f>
        <v>0.18334105295661574</v>
      </c>
      <c r="AL71" s="209">
        <f t="shared" si="151"/>
        <v>0.22627404272572837</v>
      </c>
      <c r="AM71" s="88">
        <f t="shared" si="151"/>
        <v>0.20599896250185257</v>
      </c>
      <c r="AN71" s="207">
        <f t="shared" si="151"/>
        <v>2.2811270516233995E-2</v>
      </c>
      <c r="AO71" s="208">
        <f t="shared" si="151"/>
        <v>-5.5553358902376004E-3</v>
      </c>
      <c r="AP71" s="208">
        <f t="shared" si="151"/>
        <v>-1.9809946289168656E-2</v>
      </c>
      <c r="AQ71" s="209">
        <f>+AQ147</f>
        <v>2.2504649721017289E-2</v>
      </c>
      <c r="AR71" s="88">
        <f>+AR147</f>
        <v>5.3511534424046658E-3</v>
      </c>
      <c r="AS71" s="207">
        <f t="shared" ref="AS71:AU71" si="152">+AS147</f>
        <v>-3.2560127442980868E-2</v>
      </c>
      <c r="AT71" s="208">
        <f t="shared" si="152"/>
        <v>-1.6520546311206585E-2</v>
      </c>
      <c r="AU71" s="208">
        <f t="shared" si="152"/>
        <v>4.740882065844354E-2</v>
      </c>
      <c r="AV71" s="209">
        <f>+AV147</f>
        <v>-5.3558075142993156E-3</v>
      </c>
      <c r="AW71" s="88">
        <f>+AW147</f>
        <v>-3.2343503285285902E-3</v>
      </c>
      <c r="AX71" s="207">
        <f t="shared" si="140"/>
        <v>6.5000000000000002E-2</v>
      </c>
      <c r="AY71" s="208">
        <f t="shared" si="140"/>
        <v>6.5000000000000002E-2</v>
      </c>
      <c r="AZ71" s="208">
        <f t="shared" si="140"/>
        <v>6.5000000000000002E-2</v>
      </c>
      <c r="BA71" s="209">
        <f t="shared" si="140"/>
        <v>6.5000000000000002E-2</v>
      </c>
      <c r="BB71" s="36">
        <v>6.5000000000000002E-2</v>
      </c>
      <c r="BC71" s="207">
        <f t="shared" si="141"/>
        <v>0.02</v>
      </c>
      <c r="BD71" s="208">
        <f t="shared" si="141"/>
        <v>0.02</v>
      </c>
      <c r="BE71" s="208">
        <f t="shared" si="141"/>
        <v>0.02</v>
      </c>
      <c r="BF71" s="209">
        <f t="shared" si="141"/>
        <v>0.02</v>
      </c>
      <c r="BG71" s="36">
        <v>0.02</v>
      </c>
      <c r="BH71" s="207">
        <f t="shared" si="142"/>
        <v>0.02</v>
      </c>
      <c r="BI71" s="208">
        <f t="shared" si="142"/>
        <v>0.02</v>
      </c>
      <c r="BJ71" s="208">
        <f t="shared" si="142"/>
        <v>0.02</v>
      </c>
      <c r="BK71" s="209">
        <f t="shared" si="142"/>
        <v>0.02</v>
      </c>
      <c r="BL71" s="36">
        <v>0.02</v>
      </c>
      <c r="BM71" s="207">
        <f t="shared" si="143"/>
        <v>0.02</v>
      </c>
      <c r="BN71" s="208">
        <f t="shared" si="144"/>
        <v>0.02</v>
      </c>
      <c r="BO71" s="208">
        <f t="shared" si="145"/>
        <v>0.02</v>
      </c>
      <c r="BP71" s="209">
        <f t="shared" si="146"/>
        <v>0.02</v>
      </c>
      <c r="BQ71" s="36">
        <v>0.02</v>
      </c>
      <c r="BR71" s="288"/>
    </row>
    <row r="72" spans="1:104" x14ac:dyDescent="0.2">
      <c r="C72" s="300" t="s">
        <v>444</v>
      </c>
      <c r="E72" s="273"/>
      <c r="F72" s="274"/>
      <c r="G72" s="274"/>
      <c r="H72" s="275"/>
      <c r="I72" s="88"/>
      <c r="J72" s="207">
        <f t="shared" ref="J72:P72" si="153">+J150</f>
        <v>0.28884385991741857</v>
      </c>
      <c r="K72" s="208">
        <f t="shared" si="153"/>
        <v>0.4270523181624839</v>
      </c>
      <c r="L72" s="208">
        <f t="shared" si="153"/>
        <v>0.16937590711175621</v>
      </c>
      <c r="M72" s="209">
        <f t="shared" si="153"/>
        <v>6.3445636081319812E-2</v>
      </c>
      <c r="N72" s="88">
        <f t="shared" si="153"/>
        <v>0.22893851447306957</v>
      </c>
      <c r="O72" s="207">
        <f t="shared" si="153"/>
        <v>-0.1005309839518258</v>
      </c>
      <c r="P72" s="208">
        <f t="shared" si="153"/>
        <v>-0.17236959761549919</v>
      </c>
      <c r="Q72" s="208">
        <f t="shared" ref="Q72:V72" si="154">+Q150</f>
        <v>-7.5462330892391738E-2</v>
      </c>
      <c r="R72" s="209">
        <f t="shared" si="154"/>
        <v>-7.6638370118844779E-2</v>
      </c>
      <c r="S72" s="88">
        <f t="shared" si="154"/>
        <v>-0.10750044594730834</v>
      </c>
      <c r="T72" s="207">
        <f t="shared" si="154"/>
        <v>-2.8955873623111916E-2</v>
      </c>
      <c r="U72" s="208">
        <f t="shared" si="154"/>
        <v>5.6938091979688021E-2</v>
      </c>
      <c r="V72" s="208">
        <f t="shared" si="154"/>
        <v>0.13001745200698078</v>
      </c>
      <c r="W72" s="209">
        <f t="shared" ref="W72:AD72" si="155">+W150</f>
        <v>0.13054830287206198</v>
      </c>
      <c r="X72" s="88">
        <f t="shared" si="155"/>
        <v>7.0621665305271142E-2</v>
      </c>
      <c r="Y72" s="207">
        <f t="shared" si="155"/>
        <v>0.12488113028121184</v>
      </c>
      <c r="Z72" s="208">
        <f t="shared" si="155"/>
        <v>0.12232520103584577</v>
      </c>
      <c r="AA72" s="208">
        <f t="shared" si="155"/>
        <v>0.12907632907632904</v>
      </c>
      <c r="AB72" s="209">
        <f t="shared" si="155"/>
        <v>0.14699281137169451</v>
      </c>
      <c r="AC72" s="88">
        <f t="shared" si="155"/>
        <v>0.13093624447059771</v>
      </c>
      <c r="AD72" s="207">
        <f t="shared" si="155"/>
        <v>6.2618882280124355E-2</v>
      </c>
      <c r="AE72" s="208">
        <f t="shared" ref="AE72:AJ72" si="156">+AE150</f>
        <v>5.2826522557532174E-2</v>
      </c>
      <c r="AF72" s="208">
        <f t="shared" si="156"/>
        <v>-4.9873737373737348E-2</v>
      </c>
      <c r="AG72" s="209">
        <f t="shared" si="156"/>
        <v>-4.1829731722534014E-2</v>
      </c>
      <c r="AH72" s="88">
        <f t="shared" si="156"/>
        <v>3.1793421704213731E-3</v>
      </c>
      <c r="AI72" s="207">
        <f t="shared" si="156"/>
        <v>-0.14564568830799829</v>
      </c>
      <c r="AJ72" s="208">
        <f t="shared" si="156"/>
        <v>-3.3594786319856906E-2</v>
      </c>
      <c r="AK72" s="208">
        <f t="shared" ref="AK72:AP72" si="157">+AK150</f>
        <v>-8.5271317829457294E-2</v>
      </c>
      <c r="AL72" s="209">
        <f t="shared" si="157"/>
        <v>-5.1143931097758943E-2</v>
      </c>
      <c r="AM72" s="88">
        <f t="shared" si="157"/>
        <v>-7.9403348118471828E-2</v>
      </c>
      <c r="AN72" s="207">
        <f t="shared" si="157"/>
        <v>-7.8020552728723991E-2</v>
      </c>
      <c r="AO72" s="208">
        <f t="shared" si="157"/>
        <v>-0.12404141676364389</v>
      </c>
      <c r="AP72" s="208">
        <f t="shared" si="157"/>
        <v>-6.1289346246973353E-2</v>
      </c>
      <c r="AQ72" s="209">
        <f>+AQ150</f>
        <v>-6.1698742942700058E-2</v>
      </c>
      <c r="AR72" s="88">
        <f>+AR150</f>
        <v>-8.1643754711262839E-2</v>
      </c>
      <c r="AS72" s="207">
        <f t="shared" ref="AS72:AU72" si="158">+AS150</f>
        <v>1.3743101395952806E-2</v>
      </c>
      <c r="AT72" s="208">
        <f t="shared" si="158"/>
        <v>1.9484943452786396E-2</v>
      </c>
      <c r="AU72" s="208">
        <f t="shared" si="158"/>
        <v>0.11300983395131392</v>
      </c>
      <c r="AV72" s="209">
        <f>+AV150</f>
        <v>7.9651607326884033E-2</v>
      </c>
      <c r="AW72" s="88">
        <f>+AW150</f>
        <v>5.7998730696001699E-2</v>
      </c>
      <c r="AX72" s="207">
        <f t="shared" si="140"/>
        <v>0</v>
      </c>
      <c r="AY72" s="208">
        <f t="shared" si="140"/>
        <v>0</v>
      </c>
      <c r="AZ72" s="208">
        <f t="shared" si="140"/>
        <v>0</v>
      </c>
      <c r="BA72" s="209">
        <f t="shared" si="140"/>
        <v>0</v>
      </c>
      <c r="BB72" s="36">
        <v>0</v>
      </c>
      <c r="BC72" s="207">
        <f t="shared" si="141"/>
        <v>0</v>
      </c>
      <c r="BD72" s="208">
        <f t="shared" si="141"/>
        <v>0</v>
      </c>
      <c r="BE72" s="208">
        <f t="shared" si="141"/>
        <v>0</v>
      </c>
      <c r="BF72" s="209">
        <f t="shared" si="141"/>
        <v>0</v>
      </c>
      <c r="BG72" s="36">
        <f>+BB72</f>
        <v>0</v>
      </c>
      <c r="BH72" s="207">
        <f t="shared" si="142"/>
        <v>0</v>
      </c>
      <c r="BI72" s="208">
        <f t="shared" si="142"/>
        <v>0</v>
      </c>
      <c r="BJ72" s="208">
        <f t="shared" si="142"/>
        <v>0</v>
      </c>
      <c r="BK72" s="209">
        <f t="shared" si="142"/>
        <v>0</v>
      </c>
      <c r="BL72" s="36">
        <v>0</v>
      </c>
      <c r="BM72" s="207">
        <f t="shared" si="143"/>
        <v>0</v>
      </c>
      <c r="BN72" s="208">
        <f t="shared" si="144"/>
        <v>0</v>
      </c>
      <c r="BO72" s="208">
        <f t="shared" si="145"/>
        <v>0</v>
      </c>
      <c r="BP72" s="209">
        <f t="shared" si="146"/>
        <v>0</v>
      </c>
      <c r="BQ72" s="36">
        <v>0</v>
      </c>
      <c r="BR72" s="288"/>
    </row>
    <row r="73" spans="1:104" x14ac:dyDescent="0.2">
      <c r="C73" s="299"/>
      <c r="E73" s="273"/>
      <c r="F73" s="274"/>
      <c r="G73" s="274"/>
      <c r="H73" s="275"/>
      <c r="I73" s="169"/>
      <c r="J73" s="273"/>
      <c r="K73" s="274"/>
      <c r="L73" s="274"/>
      <c r="M73" s="275"/>
      <c r="N73" s="169"/>
      <c r="O73" s="273"/>
      <c r="P73" s="274"/>
      <c r="Q73" s="274"/>
      <c r="R73" s="275"/>
      <c r="S73" s="169"/>
      <c r="T73" s="273"/>
      <c r="U73" s="274"/>
      <c r="V73" s="274"/>
      <c r="W73" s="275"/>
      <c r="X73" s="169"/>
      <c r="Y73" s="273"/>
      <c r="Z73" s="274"/>
      <c r="AA73" s="274"/>
      <c r="AB73" s="275"/>
      <c r="AC73" s="169"/>
      <c r="AD73" s="273"/>
      <c r="AE73" s="274"/>
      <c r="AF73" s="274"/>
      <c r="AG73" s="275"/>
      <c r="AH73" s="169"/>
      <c r="AI73" s="273"/>
      <c r="AJ73" s="274"/>
      <c r="AK73" s="274"/>
      <c r="AL73" s="275"/>
      <c r="AM73" s="169"/>
      <c r="AN73" s="273"/>
      <c r="AO73" s="274"/>
      <c r="AP73" s="274"/>
      <c r="AQ73" s="275"/>
      <c r="AR73" s="169"/>
      <c r="AS73" s="273"/>
      <c r="AT73" s="274"/>
      <c r="AU73" s="274"/>
      <c r="AV73" s="275"/>
      <c r="AW73" s="169"/>
      <c r="AX73" s="273"/>
      <c r="AY73" s="274"/>
      <c r="AZ73" s="274"/>
      <c r="BA73" s="275"/>
      <c r="BB73" s="169"/>
      <c r="BC73" s="273"/>
      <c r="BD73" s="274"/>
      <c r="BE73" s="274"/>
      <c r="BF73" s="275"/>
      <c r="BG73" s="169"/>
      <c r="BH73" s="273"/>
      <c r="BI73" s="274"/>
      <c r="BJ73" s="274"/>
      <c r="BK73" s="275"/>
      <c r="BL73" s="169"/>
      <c r="BM73" s="273"/>
      <c r="BN73" s="274"/>
      <c r="BO73" s="274"/>
      <c r="BP73" s="275"/>
      <c r="BQ73" s="169"/>
      <c r="BR73" s="288"/>
    </row>
    <row r="74" spans="1:104" x14ac:dyDescent="0.2">
      <c r="C74" s="300" t="s">
        <v>166</v>
      </c>
      <c r="E74" s="207">
        <f t="shared" ref="E74:AF74" si="159">(E41)/(E39-E28)</f>
        <v>0.36579442035324095</v>
      </c>
      <c r="F74" s="208">
        <f t="shared" si="159"/>
        <v>0.370943004155947</v>
      </c>
      <c r="G74" s="208">
        <f t="shared" si="159"/>
        <v>0.38813483622379813</v>
      </c>
      <c r="H74" s="209">
        <f t="shared" si="159"/>
        <v>0.37696299434173491</v>
      </c>
      <c r="I74" s="88">
        <f t="shared" si="159"/>
        <v>0.37649660743205454</v>
      </c>
      <c r="J74" s="207">
        <f t="shared" si="159"/>
        <v>0.48394142971438742</v>
      </c>
      <c r="K74" s="208">
        <f t="shared" si="159"/>
        <v>0.36838620408648326</v>
      </c>
      <c r="L74" s="208">
        <f t="shared" si="159"/>
        <v>0.32202555038813763</v>
      </c>
      <c r="M74" s="209">
        <f t="shared" si="159"/>
        <v>0.31634652034783284</v>
      </c>
      <c r="N74" s="88">
        <f t="shared" si="159"/>
        <v>0.37112468847717794</v>
      </c>
      <c r="O74" s="207">
        <f t="shared" si="159"/>
        <v>0.37615070453978355</v>
      </c>
      <c r="P74" s="208">
        <f t="shared" si="159"/>
        <v>0.37184082762375781</v>
      </c>
      <c r="Q74" s="208">
        <f t="shared" si="159"/>
        <v>0.37530050511871638</v>
      </c>
      <c r="R74" s="209">
        <f t="shared" si="159"/>
        <v>0.35182745511348751</v>
      </c>
      <c r="S74" s="88">
        <f t="shared" si="159"/>
        <v>0.36984293566808285</v>
      </c>
      <c r="T74" s="207">
        <f t="shared" si="159"/>
        <v>0.36586885888745796</v>
      </c>
      <c r="U74" s="208">
        <f t="shared" si="159"/>
        <v>0.37646619603584042</v>
      </c>
      <c r="V74" s="208">
        <f t="shared" si="159"/>
        <v>0.30371771337449693</v>
      </c>
      <c r="W74" s="209">
        <f t="shared" si="159"/>
        <v>0.37503384782020094</v>
      </c>
      <c r="X74" s="88">
        <f t="shared" si="159"/>
        <v>0.34488465976335791</v>
      </c>
      <c r="Y74" s="207">
        <f t="shared" si="159"/>
        <v>0.3662240393039356</v>
      </c>
      <c r="Z74" s="208">
        <f t="shared" si="159"/>
        <v>0.37522952245523461</v>
      </c>
      <c r="AA74" s="208">
        <f t="shared" si="159"/>
        <v>0.37192195845815662</v>
      </c>
      <c r="AB74" s="209">
        <f t="shared" si="159"/>
        <v>0.38894182099684638</v>
      </c>
      <c r="AC74" s="88">
        <f t="shared" si="159"/>
        <v>0.37370892018779367</v>
      </c>
      <c r="AD74" s="207">
        <f t="shared" si="159"/>
        <v>0.36877913495013842</v>
      </c>
      <c r="AE74" s="208">
        <f t="shared" si="159"/>
        <v>0.39368115393113057</v>
      </c>
      <c r="AF74" s="208">
        <f t="shared" si="159"/>
        <v>0.36906906506180598</v>
      </c>
      <c r="AG74" s="209">
        <f t="shared" ref="AG74:AM74" si="160">(AG41)/(AG39-AG28)</f>
        <v>0.36822776691912978</v>
      </c>
      <c r="AH74" s="88">
        <f t="shared" si="160"/>
        <v>0.37360869331819985</v>
      </c>
      <c r="AI74" s="207">
        <f t="shared" si="160"/>
        <v>0.37873000373359361</v>
      </c>
      <c r="AJ74" s="208">
        <f t="shared" si="160"/>
        <v>0.37988029105703791</v>
      </c>
      <c r="AK74" s="208">
        <f t="shared" si="160"/>
        <v>0.38047459961610042</v>
      </c>
      <c r="AL74" s="209">
        <f t="shared" si="160"/>
        <v>0.38661724302006045</v>
      </c>
      <c r="AM74" s="88">
        <f t="shared" si="160"/>
        <v>0.38102953512590371</v>
      </c>
      <c r="AN74" s="207">
        <f t="shared" ref="AN74:AR74" si="161">(AN41)/(AN39-AN28)</f>
        <v>0.37852156812496857</v>
      </c>
      <c r="AO74" s="208">
        <f t="shared" si="161"/>
        <v>0.38989891590975678</v>
      </c>
      <c r="AP74" s="208">
        <f t="shared" si="161"/>
        <v>0.38019743627523217</v>
      </c>
      <c r="AQ74" s="209">
        <f t="shared" si="161"/>
        <v>0.3770660291889677</v>
      </c>
      <c r="AR74" s="88">
        <f t="shared" si="161"/>
        <v>0.38104922849209594</v>
      </c>
      <c r="AS74" s="207">
        <f t="shared" ref="AS74:AW74" si="162">(AS41)/(AS39-AS28)</f>
        <v>0.37885608405987342</v>
      </c>
      <c r="AT74" s="208">
        <f t="shared" si="162"/>
        <v>0.37443331541182973</v>
      </c>
      <c r="AU74" s="208">
        <f t="shared" si="162"/>
        <v>0.3702015738305417</v>
      </c>
      <c r="AV74" s="209">
        <f t="shared" si="162"/>
        <v>0.23445176966643524</v>
      </c>
      <c r="AW74" s="88">
        <f t="shared" si="162"/>
        <v>0.35196198159093911</v>
      </c>
      <c r="AX74" s="207">
        <f>+AY74</f>
        <v>0.23</v>
      </c>
      <c r="AY74" s="208">
        <f>+AZ74</f>
        <v>0.23</v>
      </c>
      <c r="AZ74" s="208">
        <f>+BA74</f>
        <v>0.23</v>
      </c>
      <c r="BA74" s="209">
        <f>+BB74</f>
        <v>0.23</v>
      </c>
      <c r="BB74" s="36">
        <v>0.23</v>
      </c>
      <c r="BC74" s="207">
        <f>+BD74</f>
        <v>0.23</v>
      </c>
      <c r="BD74" s="208">
        <f>+BE74</f>
        <v>0.23</v>
      </c>
      <c r="BE74" s="208">
        <f>+BF74</f>
        <v>0.23</v>
      </c>
      <c r="BF74" s="209">
        <f>+BG74</f>
        <v>0.23</v>
      </c>
      <c r="BG74" s="36">
        <v>0.23</v>
      </c>
      <c r="BH74" s="207">
        <f>+BI74</f>
        <v>0.23</v>
      </c>
      <c r="BI74" s="208">
        <f>+BJ74</f>
        <v>0.23</v>
      </c>
      <c r="BJ74" s="208">
        <f>+BK74</f>
        <v>0.23</v>
      </c>
      <c r="BK74" s="209">
        <f>+BL74</f>
        <v>0.23</v>
      </c>
      <c r="BL74" s="36">
        <v>0.23</v>
      </c>
      <c r="BM74" s="207">
        <f>+BN74</f>
        <v>0.23</v>
      </c>
      <c r="BN74" s="208">
        <f>+BO74</f>
        <v>0.23</v>
      </c>
      <c r="BO74" s="208">
        <f>+BP74</f>
        <v>0.23</v>
      </c>
      <c r="BP74" s="209">
        <f>+BQ74</f>
        <v>0.23</v>
      </c>
      <c r="BQ74" s="36">
        <v>0.23</v>
      </c>
      <c r="BR74" s="288"/>
    </row>
    <row r="75" spans="1:104" x14ac:dyDescent="0.2">
      <c r="C75" s="300" t="s">
        <v>167</v>
      </c>
      <c r="E75" s="207">
        <f t="shared" ref="E75:AF75" si="163">E41/E39</f>
        <v>0.3342687313451872</v>
      </c>
      <c r="F75" s="208">
        <f t="shared" si="163"/>
        <v>0.33124578901443613</v>
      </c>
      <c r="G75" s="208">
        <f t="shared" si="163"/>
        <v>0.35981810143371412</v>
      </c>
      <c r="H75" s="209">
        <f t="shared" si="163"/>
        <v>0.34825359553859692</v>
      </c>
      <c r="I75" s="88">
        <f t="shared" si="163"/>
        <v>0.3451415261532228</v>
      </c>
      <c r="J75" s="207">
        <f t="shared" si="163"/>
        <v>0.4749601156645728</v>
      </c>
      <c r="K75" s="208">
        <f t="shared" si="163"/>
        <v>0.35841000313836896</v>
      </c>
      <c r="L75" s="208">
        <f t="shared" si="163"/>
        <v>0.31849396265944752</v>
      </c>
      <c r="M75" s="209">
        <f t="shared" si="163"/>
        <v>0.30930301086824691</v>
      </c>
      <c r="N75" s="88">
        <f t="shared" si="163"/>
        <v>0.36441506691832282</v>
      </c>
      <c r="O75" s="207">
        <f t="shared" si="163"/>
        <v>0.37219410461482461</v>
      </c>
      <c r="P75" s="208">
        <f t="shared" si="163"/>
        <v>0.36587108122829098</v>
      </c>
      <c r="Q75" s="208">
        <f t="shared" si="163"/>
        <v>0.37202452673574848</v>
      </c>
      <c r="R75" s="209">
        <f t="shared" si="163"/>
        <v>0.34574468085106469</v>
      </c>
      <c r="S75" s="88">
        <f t="shared" si="163"/>
        <v>0.36528175006878261</v>
      </c>
      <c r="T75" s="207">
        <f t="shared" si="163"/>
        <v>0.35901576263965873</v>
      </c>
      <c r="U75" s="208">
        <f t="shared" si="163"/>
        <v>0.36761274756740997</v>
      </c>
      <c r="V75" s="208">
        <f t="shared" si="163"/>
        <v>0.29852884356022763</v>
      </c>
      <c r="W75" s="209">
        <f t="shared" si="163"/>
        <v>0.35816176715939857</v>
      </c>
      <c r="X75" s="88">
        <f t="shared" si="163"/>
        <v>0.33671773189308196</v>
      </c>
      <c r="Y75" s="207">
        <f t="shared" si="163"/>
        <v>0.35421074201659269</v>
      </c>
      <c r="Z75" s="208">
        <f t="shared" si="163"/>
        <v>0.35842724041752122</v>
      </c>
      <c r="AA75" s="208">
        <f t="shared" si="163"/>
        <v>0.35928817504296662</v>
      </c>
      <c r="AB75" s="209">
        <f t="shared" si="163"/>
        <v>0.3486503798864809</v>
      </c>
      <c r="AC75" s="88">
        <f t="shared" si="163"/>
        <v>0.35610255594548135</v>
      </c>
      <c r="AD75" s="207">
        <f t="shared" si="163"/>
        <v>0.34547816473189585</v>
      </c>
      <c r="AE75" s="208">
        <f t="shared" si="163"/>
        <v>0.35717762950660087</v>
      </c>
      <c r="AF75" s="208">
        <f t="shared" si="163"/>
        <v>0.34990216419546932</v>
      </c>
      <c r="AG75" s="209">
        <f t="shared" ref="AG75:AM75" si="164">AG41/AG39</f>
        <v>0.34189688295300646</v>
      </c>
      <c r="AH75" s="88">
        <f t="shared" si="164"/>
        <v>0.34859519247143911</v>
      </c>
      <c r="AI75" s="207">
        <f t="shared" si="164"/>
        <v>0.37272259625440207</v>
      </c>
      <c r="AJ75" s="208">
        <f t="shared" si="164"/>
        <v>0.37166295618226253</v>
      </c>
      <c r="AK75" s="208">
        <f t="shared" si="164"/>
        <v>0.37503701082521507</v>
      </c>
      <c r="AL75" s="209">
        <f t="shared" si="164"/>
        <v>0.37418295798918466</v>
      </c>
      <c r="AM75" s="88">
        <f t="shared" si="164"/>
        <v>0.37362360146100193</v>
      </c>
      <c r="AN75" s="207">
        <f t="shared" ref="AN75:AR75" si="165">AN41/AN39</f>
        <v>0.36962990768092513</v>
      </c>
      <c r="AO75" s="208">
        <f t="shared" si="165"/>
        <v>0.37865735240764581</v>
      </c>
      <c r="AP75" s="208">
        <f t="shared" si="165"/>
        <v>0.37285919161341369</v>
      </c>
      <c r="AQ75" s="209">
        <f t="shared" si="165"/>
        <v>0.36365772354141956</v>
      </c>
      <c r="AR75" s="88">
        <f t="shared" si="165"/>
        <v>0.37146007168342143</v>
      </c>
      <c r="AS75" s="207">
        <f t="shared" ref="AS75:AW75" si="166">AS41/AS39</f>
        <v>0.36898020602926945</v>
      </c>
      <c r="AT75" s="208">
        <f t="shared" si="166"/>
        <v>0.35931030968547384</v>
      </c>
      <c r="AU75" s="208">
        <f t="shared" si="166"/>
        <v>0.3591838140335773</v>
      </c>
      <c r="AV75" s="209">
        <f t="shared" si="166"/>
        <v>0.21485174451921416</v>
      </c>
      <c r="AW75" s="88">
        <f t="shared" si="166"/>
        <v>0.33790657351352937</v>
      </c>
      <c r="AX75" s="207">
        <f t="shared" ref="AX75:BB75" si="167">AX41/AX39</f>
        <v>0.21677061200631451</v>
      </c>
      <c r="AY75" s="208">
        <f t="shared" si="167"/>
        <v>0.21357484909893704</v>
      </c>
      <c r="AZ75" s="208">
        <f t="shared" si="167"/>
        <v>0.22062243627923875</v>
      </c>
      <c r="BA75" s="209">
        <f t="shared" si="167"/>
        <v>0.20988371111276721</v>
      </c>
      <c r="BB75" s="88">
        <f t="shared" si="167"/>
        <v>0.21633973049224473</v>
      </c>
      <c r="BC75" s="207">
        <f t="shared" ref="BC75:BL75" si="168">BC41/BC39</f>
        <v>0.22210735288596517</v>
      </c>
      <c r="BD75" s="208">
        <f t="shared" si="168"/>
        <v>0.21957691966036613</v>
      </c>
      <c r="BE75" s="208">
        <f t="shared" si="168"/>
        <v>0.22429932530241573</v>
      </c>
      <c r="BF75" s="209">
        <f t="shared" si="168"/>
        <v>0.21794144420313086</v>
      </c>
      <c r="BG75" s="88">
        <f t="shared" si="168"/>
        <v>0.22168377790232913</v>
      </c>
      <c r="BH75" s="207">
        <f t="shared" si="168"/>
        <v>0.22304011425412773</v>
      </c>
      <c r="BI75" s="208">
        <f t="shared" si="168"/>
        <v>0.22063842370317768</v>
      </c>
      <c r="BJ75" s="208">
        <f t="shared" si="168"/>
        <v>0.22478291215166804</v>
      </c>
      <c r="BK75" s="209">
        <f t="shared" si="168"/>
        <v>0.21952292002207868</v>
      </c>
      <c r="BL75" s="88">
        <f t="shared" si="168"/>
        <v>0.22255986140623549</v>
      </c>
      <c r="BM75" s="207">
        <f t="shared" ref="BM75:BQ75" si="169">BM41/BM39</f>
        <v>0.22220341169417193</v>
      </c>
      <c r="BN75" s="208">
        <f t="shared" si="169"/>
        <v>0.21936048954369819</v>
      </c>
      <c r="BO75" s="208">
        <f t="shared" si="169"/>
        <v>0.22394471653607204</v>
      </c>
      <c r="BP75" s="209">
        <f t="shared" si="169"/>
        <v>0.21837995988675135</v>
      </c>
      <c r="BQ75" s="88">
        <f t="shared" si="169"/>
        <v>0.22155144552455611</v>
      </c>
      <c r="BR75" s="288"/>
    </row>
    <row r="76" spans="1:104" x14ac:dyDescent="0.2">
      <c r="C76" s="299"/>
      <c r="E76" s="273"/>
      <c r="F76" s="274"/>
      <c r="G76" s="274"/>
      <c r="H76" s="275"/>
      <c r="I76" s="169"/>
      <c r="J76" s="273"/>
      <c r="K76" s="274"/>
      <c r="L76" s="274"/>
      <c r="M76" s="275"/>
      <c r="N76" s="169"/>
      <c r="O76" s="273"/>
      <c r="P76" s="274"/>
      <c r="Q76" s="274"/>
      <c r="R76" s="275"/>
      <c r="S76" s="169"/>
      <c r="T76" s="273"/>
      <c r="U76" s="274"/>
      <c r="V76" s="274"/>
      <c r="W76" s="275"/>
      <c r="X76" s="169"/>
      <c r="Y76" s="273"/>
      <c r="Z76" s="274"/>
      <c r="AA76" s="274"/>
      <c r="AB76" s="275"/>
      <c r="AC76" s="169"/>
      <c r="AD76" s="273"/>
      <c r="AE76" s="274"/>
      <c r="AF76" s="274"/>
      <c r="AG76" s="275"/>
      <c r="AH76" s="169"/>
      <c r="AI76" s="273"/>
      <c r="AJ76" s="274"/>
      <c r="AK76" s="274"/>
      <c r="AL76" s="275"/>
      <c r="AM76" s="169"/>
      <c r="AN76" s="273"/>
      <c r="AO76" s="274"/>
      <c r="AP76" s="274"/>
      <c r="AQ76" s="275"/>
      <c r="AR76" s="169"/>
      <c r="AS76" s="273"/>
      <c r="AT76" s="274"/>
      <c r="AU76" s="274"/>
      <c r="AV76" s="275"/>
      <c r="AW76" s="169"/>
      <c r="AX76" s="273"/>
      <c r="AY76" s="274"/>
      <c r="AZ76" s="274"/>
      <c r="BA76" s="275"/>
      <c r="BB76" s="169"/>
      <c r="BC76" s="273"/>
      <c r="BD76" s="274"/>
      <c r="BE76" s="274"/>
      <c r="BF76" s="275"/>
      <c r="BG76" s="169"/>
      <c r="BH76" s="273"/>
      <c r="BI76" s="274"/>
      <c r="BJ76" s="274"/>
      <c r="BK76" s="275"/>
      <c r="BL76" s="169"/>
      <c r="BM76" s="273"/>
      <c r="BN76" s="274"/>
      <c r="BO76" s="274"/>
      <c r="BP76" s="275"/>
      <c r="BQ76" s="169"/>
      <c r="BR76" s="288"/>
    </row>
    <row r="77" spans="1:104" x14ac:dyDescent="0.2">
      <c r="C77" s="299" t="s">
        <v>253</v>
      </c>
      <c r="E77" s="273"/>
      <c r="F77" s="274"/>
      <c r="G77" s="274"/>
      <c r="H77" s="275"/>
      <c r="I77" s="88">
        <f t="shared" ref="I77:S77" si="170">+I277</f>
        <v>0.10450337160561327</v>
      </c>
      <c r="J77" s="207">
        <f t="shared" si="170"/>
        <v>0.10450337160561327</v>
      </c>
      <c r="K77" s="208">
        <f t="shared" si="170"/>
        <v>0.10450337160561327</v>
      </c>
      <c r="L77" s="208">
        <f t="shared" si="170"/>
        <v>0.10450337160561327</v>
      </c>
      <c r="M77" s="209">
        <f t="shared" si="170"/>
        <v>0.10450337160561327</v>
      </c>
      <c r="N77" s="88">
        <f t="shared" si="170"/>
        <v>0.10450337160561327</v>
      </c>
      <c r="O77" s="207">
        <f t="shared" si="170"/>
        <v>0.10450337160561327</v>
      </c>
      <c r="P77" s="208">
        <f t="shared" si="170"/>
        <v>0.10450337160561327</v>
      </c>
      <c r="Q77" s="208">
        <f t="shared" si="170"/>
        <v>0.10299999999999999</v>
      </c>
      <c r="R77" s="209">
        <f t="shared" si="170"/>
        <v>0.10299999999999999</v>
      </c>
      <c r="S77" s="88">
        <f t="shared" si="170"/>
        <v>0.10299999999999999</v>
      </c>
      <c r="T77" s="207">
        <f t="shared" ref="T77:X78" si="171">+T277</f>
        <v>0.10299999999999999</v>
      </c>
      <c r="U77" s="208">
        <f t="shared" si="171"/>
        <v>0.10299999999999999</v>
      </c>
      <c r="V77" s="208">
        <f t="shared" si="171"/>
        <v>0.10299999999999999</v>
      </c>
      <c r="W77" s="209">
        <f t="shared" si="171"/>
        <v>0.10299999999999999</v>
      </c>
      <c r="X77" s="88">
        <f t="shared" si="171"/>
        <v>0.1</v>
      </c>
      <c r="Y77" s="207">
        <f t="shared" ref="Y77:AC78" si="172">+Y277</f>
        <v>0.1</v>
      </c>
      <c r="Z77" s="208">
        <f t="shared" si="172"/>
        <v>0.1</v>
      </c>
      <c r="AA77" s="208">
        <f t="shared" si="172"/>
        <v>0.1</v>
      </c>
      <c r="AB77" s="209">
        <f t="shared" si="172"/>
        <v>0.1</v>
      </c>
      <c r="AC77" s="88">
        <f t="shared" si="172"/>
        <v>0.1</v>
      </c>
      <c r="AD77" s="207">
        <f t="shared" ref="AD77:AH78" si="173">+AD277</f>
        <v>0.1</v>
      </c>
      <c r="AE77" s="208">
        <f t="shared" si="173"/>
        <v>0.1</v>
      </c>
      <c r="AF77" s="208">
        <f t="shared" si="173"/>
        <v>0.1</v>
      </c>
      <c r="AG77" s="209">
        <f t="shared" si="173"/>
        <v>0.1</v>
      </c>
      <c r="AH77" s="88">
        <f t="shared" si="173"/>
        <v>0.1</v>
      </c>
      <c r="AI77" s="207">
        <f t="shared" ref="AI77:AM78" si="174">+AI277</f>
        <v>0.1</v>
      </c>
      <c r="AJ77" s="208">
        <f t="shared" si="174"/>
        <v>0.1</v>
      </c>
      <c r="AK77" s="208">
        <f t="shared" si="174"/>
        <v>0.1</v>
      </c>
      <c r="AL77" s="209">
        <f t="shared" si="174"/>
        <v>0.1</v>
      </c>
      <c r="AM77" s="88">
        <f t="shared" si="174"/>
        <v>0.1</v>
      </c>
      <c r="AN77" s="207">
        <f t="shared" ref="AN77:AR78" si="175">+AN277</f>
        <v>9.7572145845786024E-2</v>
      </c>
      <c r="AO77" s="208">
        <f t="shared" si="175"/>
        <v>9.7572145845786024E-2</v>
      </c>
      <c r="AP77" s="208">
        <f t="shared" si="175"/>
        <v>9.7572145845786024E-2</v>
      </c>
      <c r="AQ77" s="209">
        <f t="shared" si="175"/>
        <v>9.7572145845786024E-2</v>
      </c>
      <c r="AR77" s="88">
        <f t="shared" si="175"/>
        <v>9.7572145845786024E-2</v>
      </c>
      <c r="AS77" s="207">
        <f t="shared" ref="AS77:AW77" si="176">+AS277</f>
        <v>9.7572145845786024E-2</v>
      </c>
      <c r="AT77" s="208">
        <f t="shared" si="176"/>
        <v>9.7572145845786024E-2</v>
      </c>
      <c r="AU77" s="208">
        <f t="shared" si="176"/>
        <v>9.7572145845786024E-2</v>
      </c>
      <c r="AV77" s="209">
        <f t="shared" si="176"/>
        <v>9.7572145845786024E-2</v>
      </c>
      <c r="AW77" s="88">
        <f t="shared" si="176"/>
        <v>9.7572145845786024E-2</v>
      </c>
      <c r="AX77" s="207">
        <f t="shared" ref="AX77:BB78" si="177">+AX277</f>
        <v>9.7572145845786024E-2</v>
      </c>
      <c r="AY77" s="208">
        <f t="shared" si="177"/>
        <v>9.7572145845786024E-2</v>
      </c>
      <c r="AZ77" s="208">
        <f t="shared" si="177"/>
        <v>9.7572145845786024E-2</v>
      </c>
      <c r="BA77" s="209">
        <f t="shared" si="177"/>
        <v>9.7572145845786024E-2</v>
      </c>
      <c r="BB77" s="88">
        <f t="shared" si="177"/>
        <v>9.7572145845786024E-2</v>
      </c>
      <c r="BC77" s="207">
        <f t="shared" ref="BC77:BG78" si="178">+BC277</f>
        <v>9.7572145845786024E-2</v>
      </c>
      <c r="BD77" s="208">
        <f t="shared" si="178"/>
        <v>9.7572145845786024E-2</v>
      </c>
      <c r="BE77" s="208">
        <f t="shared" si="178"/>
        <v>9.7572145845786024E-2</v>
      </c>
      <c r="BF77" s="209">
        <f t="shared" si="178"/>
        <v>9.7572145845786024E-2</v>
      </c>
      <c r="BG77" s="88">
        <f t="shared" si="178"/>
        <v>9.7572145845786024E-2</v>
      </c>
      <c r="BH77" s="207">
        <f t="shared" ref="BH77:BL78" si="179">+BH277</f>
        <v>9.7572145845786024E-2</v>
      </c>
      <c r="BI77" s="208">
        <f t="shared" si="179"/>
        <v>9.7572145845786024E-2</v>
      </c>
      <c r="BJ77" s="208">
        <f t="shared" si="179"/>
        <v>9.7572145845786024E-2</v>
      </c>
      <c r="BK77" s="209">
        <f t="shared" si="179"/>
        <v>9.7572145845786024E-2</v>
      </c>
      <c r="BL77" s="88">
        <f t="shared" si="179"/>
        <v>9.7572145845786024E-2</v>
      </c>
      <c r="BM77" s="207">
        <f t="shared" ref="BM77:BQ77" si="180">+BM277</f>
        <v>9.7572145845786024E-2</v>
      </c>
      <c r="BN77" s="208">
        <f t="shared" si="180"/>
        <v>9.7572145845786024E-2</v>
      </c>
      <c r="BO77" s="208">
        <f t="shared" si="180"/>
        <v>9.7572145845786024E-2</v>
      </c>
      <c r="BP77" s="209">
        <f t="shared" si="180"/>
        <v>9.7572145845786024E-2</v>
      </c>
      <c r="BQ77" s="88">
        <f t="shared" si="180"/>
        <v>9.7572145845786024E-2</v>
      </c>
      <c r="BR77" s="288"/>
    </row>
    <row r="78" spans="1:104" x14ac:dyDescent="0.2">
      <c r="C78" s="299" t="s">
        <v>254</v>
      </c>
      <c r="E78" s="273"/>
      <c r="F78" s="274"/>
      <c r="G78" s="274"/>
      <c r="H78" s="275"/>
      <c r="I78" s="88">
        <f t="shared" ref="I78:S78" si="181">+I278</f>
        <v>9.3838704349723912E-2</v>
      </c>
      <c r="J78" s="207">
        <f t="shared" si="181"/>
        <v>9.3105216136378038E-2</v>
      </c>
      <c r="K78" s="208">
        <f t="shared" si="181"/>
        <v>9.5559320782114182E-2</v>
      </c>
      <c r="L78" s="208">
        <f t="shared" si="181"/>
        <v>0.11234408657954778</v>
      </c>
      <c r="M78" s="209">
        <f t="shared" si="181"/>
        <v>0.11054533112378885</v>
      </c>
      <c r="N78" s="88">
        <f t="shared" si="181"/>
        <v>0.11120802353880081</v>
      </c>
      <c r="O78" s="207">
        <f t="shared" si="181"/>
        <v>0.10363562420330209</v>
      </c>
      <c r="P78" s="208">
        <f t="shared" si="181"/>
        <v>0.10312882174631627</v>
      </c>
      <c r="Q78" s="208">
        <f t="shared" si="181"/>
        <v>9.8989020222080434E-2</v>
      </c>
      <c r="R78" s="209">
        <f t="shared" si="181"/>
        <v>0.10024029041519988</v>
      </c>
      <c r="S78" s="88">
        <f t="shared" si="181"/>
        <v>0.10056410657149642</v>
      </c>
      <c r="T78" s="207">
        <f t="shared" si="171"/>
        <v>9.7990057825737317E-2</v>
      </c>
      <c r="U78" s="208">
        <f t="shared" si="171"/>
        <v>0.10305422698725032</v>
      </c>
      <c r="V78" s="208">
        <f t="shared" si="171"/>
        <v>0.12429411317198441</v>
      </c>
      <c r="W78" s="209">
        <f t="shared" si="171"/>
        <v>0.110522131287038</v>
      </c>
      <c r="X78" s="88">
        <f t="shared" si="171"/>
        <v>0.11447451545583757</v>
      </c>
      <c r="Y78" s="207">
        <f t="shared" si="172"/>
        <v>0.11917610881151504</v>
      </c>
      <c r="Z78" s="208">
        <f t="shared" si="172"/>
        <v>0.11773119244071918</v>
      </c>
      <c r="AA78" s="208">
        <f t="shared" si="172"/>
        <v>0.10896307713434382</v>
      </c>
      <c r="AB78" s="209">
        <f t="shared" si="172"/>
        <v>0.10637451442068181</v>
      </c>
      <c r="AC78" s="88">
        <f t="shared" si="172"/>
        <v>0.10553123408498034</v>
      </c>
      <c r="AD78" s="207">
        <f t="shared" si="173"/>
        <v>0.10420942146832415</v>
      </c>
      <c r="AE78" s="208">
        <f t="shared" si="173"/>
        <v>9.7147483312459162E-2</v>
      </c>
      <c r="AF78" s="208">
        <f t="shared" si="173"/>
        <v>9.5174305521125518E-2</v>
      </c>
      <c r="AG78" s="209">
        <f t="shared" si="173"/>
        <v>9.9121735779996611E-2</v>
      </c>
      <c r="AH78" s="88">
        <f t="shared" si="173"/>
        <v>0.10244943295966695</v>
      </c>
      <c r="AI78" s="207">
        <f t="shared" si="174"/>
        <v>9.5105188104631325E-2</v>
      </c>
      <c r="AJ78" s="208">
        <f t="shared" si="174"/>
        <v>9.7340201817258498E-2</v>
      </c>
      <c r="AK78" s="208">
        <f t="shared" si="174"/>
        <v>9.9516004957867596E-2</v>
      </c>
      <c r="AL78" s="209">
        <f t="shared" si="174"/>
        <v>9.6460237393822007E-2</v>
      </c>
      <c r="AM78" s="88">
        <f t="shared" si="174"/>
        <v>9.6540992273235773E-2</v>
      </c>
      <c r="AN78" s="207">
        <f t="shared" si="175"/>
        <v>9.4024442038768558E-2</v>
      </c>
      <c r="AO78" s="208">
        <f t="shared" si="175"/>
        <v>9.223305795392861E-2</v>
      </c>
      <c r="AP78" s="208">
        <f t="shared" si="175"/>
        <v>9.0720539760102137E-2</v>
      </c>
      <c r="AQ78" s="209">
        <f t="shared" si="175"/>
        <v>9.0725869499650405E-2</v>
      </c>
      <c r="AR78" s="88">
        <f t="shared" si="175"/>
        <v>9.2008367359599039E-2</v>
      </c>
      <c r="AS78" s="207">
        <f t="shared" ref="AS78:AW78" si="182">+AS278</f>
        <v>8.6864872054775943E-2</v>
      </c>
      <c r="AT78" s="208">
        <f t="shared" si="182"/>
        <v>9.1555719277439482E-2</v>
      </c>
      <c r="AU78" s="208">
        <f t="shared" si="182"/>
        <v>9.1430206210239229E-2</v>
      </c>
      <c r="AV78" s="209">
        <f t="shared" si="182"/>
        <v>8.9307575134272538E-2</v>
      </c>
      <c r="AW78" s="88">
        <f t="shared" si="182"/>
        <v>9.0765301070334509E-2</v>
      </c>
      <c r="AX78" s="207">
        <f t="shared" si="177"/>
        <v>9.1067274996088091E-2</v>
      </c>
      <c r="AY78" s="208">
        <f t="shared" si="177"/>
        <v>9.1381003165121849E-2</v>
      </c>
      <c r="AZ78" s="208">
        <f t="shared" si="177"/>
        <v>9.2346501378664889E-2</v>
      </c>
      <c r="BA78" s="209">
        <f t="shared" si="177"/>
        <v>8.9598823349152174E-2</v>
      </c>
      <c r="BB78" s="88">
        <f t="shared" si="177"/>
        <v>9.1834104882857745E-2</v>
      </c>
      <c r="BC78" s="207">
        <f t="shared" si="178"/>
        <v>8.8437004860844409E-2</v>
      </c>
      <c r="BD78" s="208">
        <f t="shared" si="178"/>
        <v>8.5372519881887474E-2</v>
      </c>
      <c r="BE78" s="208">
        <f t="shared" si="178"/>
        <v>8.3555453991639592E-2</v>
      </c>
      <c r="BF78" s="209">
        <f t="shared" si="178"/>
        <v>8.3263528544773716E-2</v>
      </c>
      <c r="BG78" s="88">
        <f t="shared" si="178"/>
        <v>8.5366090136604456E-2</v>
      </c>
      <c r="BH78" s="207">
        <f t="shared" si="179"/>
        <v>8.2624144079763456E-2</v>
      </c>
      <c r="BI78" s="208">
        <f t="shared" si="179"/>
        <v>8.3419924743875565E-2</v>
      </c>
      <c r="BJ78" s="208">
        <f t="shared" si="179"/>
        <v>8.1913578747329879E-2</v>
      </c>
      <c r="BK78" s="209">
        <f t="shared" si="179"/>
        <v>7.9908681795700987E-2</v>
      </c>
      <c r="BL78" s="88">
        <f t="shared" si="179"/>
        <v>8.1919244673437988E-2</v>
      </c>
      <c r="BM78" s="207">
        <f t="shared" ref="BM78:BQ78" si="183">+BM278</f>
        <v>7.9892170100986412E-2</v>
      </c>
      <c r="BN78" s="208">
        <f t="shared" si="183"/>
        <v>8.0731231243013624E-2</v>
      </c>
      <c r="BO78" s="208">
        <f t="shared" si="183"/>
        <v>7.9905394124987331E-2</v>
      </c>
      <c r="BP78" s="209">
        <f t="shared" si="183"/>
        <v>7.9673513637868787E-2</v>
      </c>
      <c r="BQ78" s="88">
        <f t="shared" si="183"/>
        <v>8.1679229048269297E-2</v>
      </c>
      <c r="BR78" s="288"/>
    </row>
    <row r="79" spans="1:104" x14ac:dyDescent="0.2">
      <c r="C79" s="301" t="s">
        <v>255</v>
      </c>
      <c r="D79" s="302"/>
      <c r="E79" s="303"/>
      <c r="F79" s="304"/>
      <c r="G79" s="304"/>
      <c r="H79" s="305"/>
      <c r="I79" s="306">
        <f>+I279</f>
        <v>7.8423813536654299E-2</v>
      </c>
      <c r="J79" s="307"/>
      <c r="K79" s="308"/>
      <c r="L79" s="308"/>
      <c r="M79" s="309"/>
      <c r="N79" s="306">
        <f>+N279</f>
        <v>0.10708500526292161</v>
      </c>
      <c r="O79" s="307"/>
      <c r="P79" s="308"/>
      <c r="Q79" s="308"/>
      <c r="R79" s="309"/>
      <c r="S79" s="306">
        <f>+S279</f>
        <v>9.8049034515073269E-2</v>
      </c>
      <c r="T79" s="307"/>
      <c r="U79" s="308"/>
      <c r="V79" s="308"/>
      <c r="W79" s="309"/>
      <c r="X79" s="306">
        <f>+X279</f>
        <v>0.10902232166631602</v>
      </c>
      <c r="Y79" s="307"/>
      <c r="Z79" s="308"/>
      <c r="AA79" s="308"/>
      <c r="AB79" s="309"/>
      <c r="AC79" s="306">
        <f>+AC279</f>
        <v>9.5894793442786216E-2</v>
      </c>
      <c r="AD79" s="307"/>
      <c r="AE79" s="308"/>
      <c r="AF79" s="308"/>
      <c r="AG79" s="309"/>
      <c r="AH79" s="306">
        <f>+AH279</f>
        <v>8.9397442991867929E-2</v>
      </c>
      <c r="AI79" s="307"/>
      <c r="AJ79" s="308"/>
      <c r="AK79" s="308"/>
      <c r="AL79" s="309"/>
      <c r="AM79" s="306">
        <f>+AM279</f>
        <v>9.2802981603521115E-2</v>
      </c>
      <c r="AN79" s="307"/>
      <c r="AO79" s="308"/>
      <c r="AP79" s="308"/>
      <c r="AQ79" s="309"/>
      <c r="AR79" s="306">
        <f>+AR279</f>
        <v>8.741555198816027E-2</v>
      </c>
      <c r="AS79" s="307"/>
      <c r="AT79" s="308"/>
      <c r="AU79" s="308"/>
      <c r="AV79" s="309"/>
      <c r="AW79" s="306">
        <f>+AW279</f>
        <v>8.3928765476985065E-2</v>
      </c>
      <c r="AX79" s="307"/>
      <c r="AY79" s="308"/>
      <c r="AZ79" s="308"/>
      <c r="BA79" s="309"/>
      <c r="BB79" s="306">
        <f>+BB279</f>
        <v>8.2288998066618532E-2</v>
      </c>
      <c r="BC79" s="307"/>
      <c r="BD79" s="308"/>
      <c r="BE79" s="308"/>
      <c r="BF79" s="309"/>
      <c r="BG79" s="306">
        <f>+BG279</f>
        <v>7.9927319493571208E-2</v>
      </c>
      <c r="BH79" s="307"/>
      <c r="BI79" s="308"/>
      <c r="BJ79" s="308"/>
      <c r="BK79" s="309"/>
      <c r="BL79" s="306">
        <f>+BL279</f>
        <v>7.7244634899834477E-2</v>
      </c>
      <c r="BM79" s="307"/>
      <c r="BN79" s="308"/>
      <c r="BO79" s="308"/>
      <c r="BP79" s="309"/>
      <c r="BQ79" s="306">
        <f>+BQ279</f>
        <v>7.6393444231895369E-2</v>
      </c>
      <c r="BR79" s="288"/>
    </row>
    <row r="80" spans="1:104" x14ac:dyDescent="0.2">
      <c r="C80" s="26"/>
      <c r="E80" s="273"/>
      <c r="F80" s="274"/>
      <c r="G80" s="274"/>
      <c r="H80" s="275"/>
      <c r="I80" s="169"/>
      <c r="J80" s="273"/>
      <c r="K80" s="274"/>
      <c r="L80" s="274"/>
      <c r="M80" s="275"/>
      <c r="N80" s="169"/>
      <c r="O80" s="273"/>
      <c r="P80" s="274"/>
      <c r="Q80" s="274"/>
      <c r="R80" s="275"/>
      <c r="S80" s="169"/>
      <c r="T80" s="273"/>
      <c r="U80" s="274"/>
      <c r="V80" s="274"/>
      <c r="W80" s="275"/>
      <c r="X80" s="169"/>
      <c r="Y80" s="273"/>
      <c r="Z80" s="274"/>
      <c r="AA80" s="274"/>
      <c r="AB80" s="275"/>
      <c r="AC80" s="169"/>
      <c r="AD80" s="273"/>
      <c r="AE80" s="274"/>
      <c r="AF80" s="274"/>
      <c r="AG80" s="275"/>
      <c r="AH80" s="169"/>
      <c r="AI80" s="273"/>
      <c r="AJ80" s="274"/>
      <c r="AK80" s="274"/>
      <c r="AL80" s="275"/>
      <c r="AM80" s="169"/>
      <c r="AN80" s="273"/>
      <c r="AO80" s="274"/>
      <c r="AP80" s="274"/>
      <c r="AQ80" s="275"/>
      <c r="AR80" s="905"/>
      <c r="AS80" s="906"/>
      <c r="AT80" s="274"/>
      <c r="AU80" s="907"/>
      <c r="AV80" s="908"/>
      <c r="AW80" s="905"/>
      <c r="AX80" s="906"/>
      <c r="AY80" s="907"/>
      <c r="AZ80" s="907"/>
      <c r="BA80" s="908"/>
      <c r="BB80" s="905"/>
      <c r="BC80" s="906"/>
      <c r="BD80" s="907"/>
      <c r="BE80" s="907"/>
      <c r="BF80" s="908"/>
      <c r="BG80" s="905"/>
      <c r="BH80" s="906"/>
      <c r="BI80" s="907"/>
      <c r="BJ80" s="907"/>
      <c r="BK80" s="908"/>
      <c r="BL80" s="905"/>
      <c r="BM80" s="906"/>
      <c r="BN80" s="907"/>
      <c r="BO80" s="907"/>
      <c r="BP80" s="908"/>
      <c r="BQ80" s="905"/>
    </row>
    <row r="81" spans="1:104" x14ac:dyDescent="0.2">
      <c r="C81" s="26"/>
      <c r="E81" s="273"/>
      <c r="F81" s="274"/>
      <c r="G81" s="274"/>
      <c r="H81" s="275"/>
      <c r="I81" s="169"/>
      <c r="J81" s="273"/>
      <c r="K81" s="274"/>
      <c r="L81" s="274"/>
      <c r="M81" s="275"/>
      <c r="N81" s="169"/>
      <c r="O81" s="273"/>
      <c r="P81" s="274"/>
      <c r="Q81" s="274"/>
      <c r="R81" s="275"/>
      <c r="S81" s="169"/>
      <c r="T81" s="273"/>
      <c r="U81" s="274"/>
      <c r="V81" s="274"/>
      <c r="W81" s="275"/>
      <c r="X81" s="169"/>
      <c r="Y81" s="273"/>
      <c r="Z81" s="274"/>
      <c r="AA81" s="274"/>
      <c r="AB81" s="275"/>
      <c r="AC81" s="169"/>
      <c r="AD81" s="273"/>
      <c r="AE81" s="274"/>
      <c r="AF81" s="274"/>
      <c r="AG81" s="275"/>
      <c r="AH81" s="169"/>
      <c r="AI81" s="273"/>
      <c r="AJ81" s="274"/>
      <c r="AK81" s="274"/>
      <c r="AL81" s="275"/>
      <c r="AM81" s="169"/>
      <c r="AN81" s="273"/>
      <c r="AO81" s="274"/>
      <c r="AP81" s="274"/>
      <c r="AQ81" s="275"/>
      <c r="AR81" s="865"/>
      <c r="AS81" s="895"/>
      <c r="AT81" s="863"/>
      <c r="AU81" s="863"/>
      <c r="AV81" s="896"/>
      <c r="AW81" s="865"/>
      <c r="AX81" s="895"/>
      <c r="AY81" s="863"/>
      <c r="AZ81" s="863"/>
      <c r="BA81" s="896"/>
      <c r="BB81" s="865"/>
      <c r="BC81" s="895"/>
      <c r="BD81" s="863"/>
      <c r="BE81" s="863"/>
      <c r="BF81" s="896"/>
      <c r="BG81" s="865"/>
      <c r="BH81" s="895"/>
      <c r="BI81" s="863"/>
      <c r="BJ81" s="863"/>
      <c r="BK81" s="896"/>
      <c r="BL81" s="865"/>
      <c r="BM81" s="895"/>
      <c r="BN81" s="863"/>
      <c r="BO81" s="863"/>
      <c r="BP81" s="896"/>
      <c r="BQ81" s="865"/>
    </row>
    <row r="82" spans="1:104" x14ac:dyDescent="0.2">
      <c r="B82" s="16" t="s">
        <v>256</v>
      </c>
      <c r="C82" s="16"/>
      <c r="D82" s="17"/>
      <c r="E82" s="273"/>
      <c r="F82" s="274"/>
      <c r="G82" s="274"/>
      <c r="H82" s="275"/>
      <c r="I82" s="169"/>
      <c r="J82" s="273"/>
      <c r="K82" s="274"/>
      <c r="L82" s="274"/>
      <c r="M82" s="275"/>
      <c r="N82" s="169"/>
      <c r="O82" s="273"/>
      <c r="P82" s="274"/>
      <c r="Q82" s="274"/>
      <c r="R82" s="275"/>
      <c r="S82" s="169"/>
      <c r="T82" s="273"/>
      <c r="U82" s="274"/>
      <c r="V82" s="274"/>
      <c r="W82" s="275"/>
      <c r="X82" s="169"/>
      <c r="Y82" s="273"/>
      <c r="Z82" s="274"/>
      <c r="AA82" s="274"/>
      <c r="AB82" s="275"/>
      <c r="AC82" s="169"/>
      <c r="AD82" s="273"/>
      <c r="AE82" s="274"/>
      <c r="AF82" s="274"/>
      <c r="AG82" s="275"/>
      <c r="AH82" s="169"/>
      <c r="AI82" s="273"/>
      <c r="AJ82" s="274"/>
      <c r="AK82" s="274"/>
      <c r="AL82" s="275"/>
      <c r="AM82" s="169"/>
      <c r="AN82" s="273"/>
      <c r="AO82" s="274"/>
      <c r="AP82" s="274"/>
      <c r="AQ82" s="275"/>
      <c r="AR82" s="169"/>
      <c r="AS82" s="273"/>
      <c r="AT82" s="274"/>
      <c r="AU82" s="274"/>
      <c r="AV82" s="275"/>
      <c r="AW82" s="169"/>
      <c r="AX82" s="273"/>
      <c r="AY82" s="274"/>
      <c r="AZ82" s="274"/>
      <c r="BA82" s="275"/>
      <c r="BB82" s="169"/>
      <c r="BC82" s="273"/>
      <c r="BD82" s="274"/>
      <c r="BE82" s="274"/>
      <c r="BF82" s="275"/>
      <c r="BG82" s="169"/>
      <c r="BH82" s="273"/>
      <c r="BI82" s="274"/>
      <c r="BJ82" s="274"/>
      <c r="BK82" s="275"/>
      <c r="BL82" s="169"/>
      <c r="BM82" s="273"/>
      <c r="BN82" s="274"/>
      <c r="BO82" s="274"/>
      <c r="BP82" s="275"/>
      <c r="BQ82" s="169"/>
    </row>
    <row r="83" spans="1:104" x14ac:dyDescent="0.2">
      <c r="A83" s="610"/>
      <c r="B83" s="610"/>
      <c r="C83" s="562" t="s">
        <v>411</v>
      </c>
      <c r="D83" s="610"/>
      <c r="E83" s="273"/>
      <c r="F83" s="611"/>
      <c r="G83" s="617"/>
      <c r="H83" s="275"/>
      <c r="I83" s="612"/>
      <c r="J83" s="273"/>
      <c r="K83" s="611"/>
      <c r="L83" s="611"/>
      <c r="M83" s="275"/>
      <c r="N83" s="612"/>
      <c r="O83" s="273"/>
      <c r="P83" s="611"/>
      <c r="Q83" s="611"/>
      <c r="R83" s="275"/>
      <c r="S83" s="612"/>
      <c r="T83" s="273"/>
      <c r="U83" s="611"/>
      <c r="V83" s="611"/>
      <c r="W83" s="275"/>
      <c r="X83" s="612"/>
      <c r="Y83" s="273"/>
      <c r="Z83" s="611"/>
      <c r="AA83" s="611"/>
      <c r="AB83" s="275"/>
      <c r="AC83" s="612"/>
      <c r="AD83" s="273"/>
      <c r="AE83" s="611"/>
      <c r="AF83" s="611"/>
      <c r="AG83" s="275"/>
      <c r="AH83" s="612"/>
      <c r="AI83" s="273"/>
      <c r="AJ83" s="611"/>
      <c r="AK83" s="611"/>
      <c r="AL83" s="275"/>
      <c r="AM83" s="612"/>
      <c r="AN83" s="273"/>
      <c r="AO83" s="611"/>
      <c r="AP83" s="611"/>
      <c r="AQ83" s="275"/>
      <c r="AR83" s="612"/>
      <c r="AS83" s="273"/>
      <c r="AT83" s="611"/>
      <c r="AU83" s="611"/>
      <c r="AV83" s="275"/>
      <c r="AW83" s="612"/>
      <c r="AX83" s="273"/>
      <c r="AY83" s="611"/>
      <c r="AZ83" s="611"/>
      <c r="BA83" s="275"/>
      <c r="BB83" s="612"/>
      <c r="BC83" s="273"/>
      <c r="BD83" s="611"/>
      <c r="BE83" s="611"/>
      <c r="BF83" s="275"/>
      <c r="BG83" s="612"/>
      <c r="BH83" s="273"/>
      <c r="BI83" s="611"/>
      <c r="BJ83" s="611"/>
      <c r="BK83" s="275"/>
      <c r="BL83" s="612"/>
      <c r="BM83" s="273"/>
      <c r="BN83" s="611"/>
      <c r="BO83" s="611"/>
      <c r="BP83" s="275"/>
      <c r="BQ83" s="612"/>
      <c r="BR83" s="610"/>
      <c r="BS83" s="610"/>
      <c r="BT83" s="610"/>
      <c r="BU83" s="610"/>
      <c r="BV83" s="610"/>
      <c r="BW83" s="610"/>
      <c r="BX83" s="610"/>
      <c r="BY83" s="610"/>
      <c r="BZ83" s="610"/>
      <c r="CA83" s="610"/>
      <c r="CB83" s="610"/>
      <c r="CC83" s="610"/>
      <c r="CD83" s="610"/>
      <c r="CE83" s="610"/>
      <c r="CF83" s="610"/>
      <c r="CG83" s="610"/>
      <c r="CH83" s="610"/>
      <c r="CI83" s="610"/>
      <c r="CJ83" s="610"/>
      <c r="CK83" s="610"/>
      <c r="CL83" s="610"/>
      <c r="CM83" s="610"/>
      <c r="CN83" s="610"/>
      <c r="CO83" s="610"/>
      <c r="CP83" s="610"/>
      <c r="CQ83" s="610"/>
      <c r="CR83" s="610"/>
      <c r="CS83" s="610"/>
      <c r="CT83" s="610"/>
      <c r="CU83" s="610"/>
      <c r="CV83" s="610"/>
      <c r="CW83" s="610"/>
      <c r="CX83" s="610"/>
    </row>
    <row r="84" spans="1:104" x14ac:dyDescent="0.2">
      <c r="A84" s="610"/>
      <c r="B84" s="610"/>
      <c r="C84" s="610" t="s">
        <v>273</v>
      </c>
      <c r="D84" s="610"/>
      <c r="E84" s="114">
        <v>197.22900000000001</v>
      </c>
      <c r="F84" s="133">
        <v>179.77500000000001</v>
      </c>
      <c r="G84" s="133">
        <v>248.999</v>
      </c>
      <c r="H84" s="116">
        <f>I84-SUM(E84:G84)</f>
        <v>236.24599999999998</v>
      </c>
      <c r="I84" s="613">
        <v>862.24900000000002</v>
      </c>
      <c r="J84" s="114">
        <v>240.83699999999999</v>
      </c>
      <c r="K84" s="133">
        <v>248.59700000000001</v>
      </c>
      <c r="L84" s="133">
        <v>308.63900000000001</v>
      </c>
      <c r="M84" s="116">
        <f>N84-SUM(J84:L84)</f>
        <v>215.11500000000001</v>
      </c>
      <c r="N84" s="613">
        <v>1013.188</v>
      </c>
      <c r="O84" s="114">
        <v>231.816</v>
      </c>
      <c r="P84" s="133">
        <v>225.27099999999999</v>
      </c>
      <c r="Q84" s="133">
        <v>331.28399999999999</v>
      </c>
      <c r="R84" s="116">
        <f>S84-SUM(O84:Q84)</f>
        <v>235.67999999999995</v>
      </c>
      <c r="S84" s="613">
        <v>1024.0509999999999</v>
      </c>
      <c r="T84" s="114">
        <v>223.70500000000001</v>
      </c>
      <c r="U84" s="133">
        <v>227.42500000000001</v>
      </c>
      <c r="V84" s="133">
        <v>329.666</v>
      </c>
      <c r="W84" s="116">
        <f>X84-SUM(T84:V84)</f>
        <v>234.70099999999991</v>
      </c>
      <c r="X84" s="613">
        <v>1015.497</v>
      </c>
      <c r="Y84" s="114">
        <v>254.28299999999999</v>
      </c>
      <c r="Z84" s="133">
        <v>244.285</v>
      </c>
      <c r="AA84" s="133">
        <v>335.45400000000001</v>
      </c>
      <c r="AB84" s="116">
        <f>AC84-SUM(Y84:AA84)</f>
        <v>249.90600000000018</v>
      </c>
      <c r="AC84" s="613">
        <v>1083.9280000000001</v>
      </c>
      <c r="AD84" s="114">
        <v>261.81299999999999</v>
      </c>
      <c r="AE84" s="133">
        <v>248.559</v>
      </c>
      <c r="AF84" s="133">
        <v>325.46800000000002</v>
      </c>
      <c r="AG84" s="116">
        <f>AH84-SUM(AD84:AF84)</f>
        <v>245.25200000000018</v>
      </c>
      <c r="AH84" s="613">
        <v>1081.0920000000001</v>
      </c>
      <c r="AI84" s="114">
        <v>253.4</v>
      </c>
      <c r="AJ84" s="133">
        <v>240.02600000000001</v>
      </c>
      <c r="AK84" s="133">
        <v>319.05399999999997</v>
      </c>
      <c r="AL84" s="116">
        <f>AM84-SUM(AI84:AK84)</f>
        <v>248.14599999999996</v>
      </c>
      <c r="AM84" s="613">
        <v>1060.626</v>
      </c>
      <c r="AN84" s="114">
        <v>236.51</v>
      </c>
      <c r="AO84" s="133">
        <v>243.458</v>
      </c>
      <c r="AP84" s="133">
        <v>341.96100000000001</v>
      </c>
      <c r="AQ84" s="116">
        <f>AR84-SUM(AN84:AP84)</f>
        <v>241.59700000000009</v>
      </c>
      <c r="AR84" s="613">
        <v>1063.5260000000001</v>
      </c>
      <c r="AS84" s="114">
        <v>244.95400000000001</v>
      </c>
      <c r="AT84" s="133">
        <v>240.43899999999999</v>
      </c>
      <c r="AU84" s="133">
        <f>802.255828-SUM(AS84:AT84)</f>
        <v>316.86282799999992</v>
      </c>
      <c r="AV84" s="116">
        <f>AW84-SUM(AS84:AU84)</f>
        <v>231.06817200000012</v>
      </c>
      <c r="AW84" s="613">
        <v>1033.3240000000001</v>
      </c>
      <c r="AX84" s="121"/>
      <c r="AY84" s="130"/>
      <c r="AZ84" s="130"/>
      <c r="BA84" s="123"/>
      <c r="BB84" s="612"/>
      <c r="BC84" s="121"/>
      <c r="BD84" s="130"/>
      <c r="BE84" s="130"/>
      <c r="BF84" s="123"/>
      <c r="BG84" s="612"/>
      <c r="BH84" s="121"/>
      <c r="BI84" s="130"/>
      <c r="BJ84" s="130"/>
      <c r="BK84" s="123"/>
      <c r="BL84" s="612"/>
      <c r="BM84" s="121"/>
      <c r="BN84" s="130"/>
      <c r="BO84" s="130"/>
      <c r="BP84" s="123"/>
      <c r="BQ84" s="612"/>
      <c r="BR84" s="610"/>
      <c r="BS84" s="610"/>
      <c r="BT84" s="610"/>
      <c r="BU84" s="610"/>
      <c r="BV84" s="610"/>
      <c r="BW84" s="610"/>
      <c r="BX84" s="610"/>
      <c r="BY84" s="610"/>
      <c r="BZ84" s="610"/>
      <c r="CA84" s="610"/>
      <c r="CB84" s="610"/>
      <c r="CC84" s="610"/>
      <c r="CD84" s="610"/>
      <c r="CE84" s="610"/>
      <c r="CF84" s="610"/>
      <c r="CG84" s="610"/>
      <c r="CH84" s="610"/>
      <c r="CI84" s="610"/>
      <c r="CJ84" s="610"/>
      <c r="CK84" s="610"/>
      <c r="CL84" s="610"/>
      <c r="CM84" s="610"/>
      <c r="CN84" s="610"/>
      <c r="CO84" s="610"/>
      <c r="CP84" s="610"/>
      <c r="CQ84" s="610"/>
      <c r="CR84" s="610"/>
      <c r="CS84" s="610"/>
      <c r="CT84" s="610"/>
      <c r="CU84" s="610"/>
      <c r="CV84" s="610"/>
      <c r="CW84" s="610"/>
      <c r="CX84" s="610"/>
    </row>
    <row r="85" spans="1:104" x14ac:dyDescent="0.2">
      <c r="A85" s="610"/>
      <c r="B85" s="610"/>
      <c r="C85" s="610" t="s">
        <v>412</v>
      </c>
      <c r="D85" s="610"/>
      <c r="E85" s="114">
        <v>174.012</v>
      </c>
      <c r="F85" s="133">
        <v>228.65799999999999</v>
      </c>
      <c r="G85" s="133">
        <v>296.84899999999999</v>
      </c>
      <c r="H85" s="116">
        <f>I85-SUM(E85:G85)</f>
        <v>263.32899999999995</v>
      </c>
      <c r="I85" s="613">
        <v>962.84799999999996</v>
      </c>
      <c r="J85" s="114">
        <v>245.51400000000001</v>
      </c>
      <c r="K85" s="133">
        <v>306.26299999999998</v>
      </c>
      <c r="L85" s="133">
        <v>338.38</v>
      </c>
      <c r="M85" s="116">
        <f>N85-SUM(J85:L85)</f>
        <v>257.41600000000005</v>
      </c>
      <c r="N85" s="613">
        <v>1147.5730000000001</v>
      </c>
      <c r="O85" s="114">
        <v>250.31</v>
      </c>
      <c r="P85" s="133">
        <v>291.87700000000001</v>
      </c>
      <c r="Q85" s="133">
        <v>357.91500000000002</v>
      </c>
      <c r="R85" s="116">
        <f>S85-SUM(O85:Q85)</f>
        <v>280.88299999999981</v>
      </c>
      <c r="S85" s="613">
        <v>1180.9849999999999</v>
      </c>
      <c r="T85" s="114">
        <v>241.75800000000001</v>
      </c>
      <c r="U85" s="133">
        <v>288.73399999999998</v>
      </c>
      <c r="V85" s="133">
        <v>331.863</v>
      </c>
      <c r="W85" s="116">
        <f>X85-SUM(T85:V85)</f>
        <v>274.28099999999995</v>
      </c>
      <c r="X85" s="613">
        <v>1136.636</v>
      </c>
      <c r="Y85" s="114">
        <v>270.07799999999997</v>
      </c>
      <c r="Z85" s="133">
        <v>309.85399999999998</v>
      </c>
      <c r="AA85" s="133">
        <v>349.61099999999999</v>
      </c>
      <c r="AB85" s="116">
        <f>AC85-SUM(Y85:AA85)</f>
        <v>289.31299999999999</v>
      </c>
      <c r="AC85" s="613">
        <v>1218.856</v>
      </c>
      <c r="AD85" s="114">
        <v>278.19</v>
      </c>
      <c r="AE85" s="133">
        <v>326.09100000000001</v>
      </c>
      <c r="AF85" s="133">
        <v>364.00599999999997</v>
      </c>
      <c r="AG85" s="116">
        <f>AH85-SUM(AD85:AF85)</f>
        <v>298.73599999999999</v>
      </c>
      <c r="AH85" s="613">
        <v>1267.0229999999999</v>
      </c>
      <c r="AI85" s="114">
        <v>279.613</v>
      </c>
      <c r="AJ85" s="133">
        <v>309.779</v>
      </c>
      <c r="AK85" s="133">
        <v>343.64400000000001</v>
      </c>
      <c r="AL85" s="116">
        <f>AM85-SUM(AI85:AK85)</f>
        <v>287.02800000000002</v>
      </c>
      <c r="AM85" s="613">
        <v>1220.0640000000001</v>
      </c>
      <c r="AN85" s="114">
        <v>255.89099999999999</v>
      </c>
      <c r="AO85" s="133">
        <v>294.39499999999998</v>
      </c>
      <c r="AP85" s="133">
        <v>357.38299999999998</v>
      </c>
      <c r="AQ85" s="116">
        <f>AR85-SUM(AN85:AP85)</f>
        <v>297.21200000000022</v>
      </c>
      <c r="AR85" s="613">
        <v>1204.8810000000001</v>
      </c>
      <c r="AS85" s="114">
        <v>277.20600000000002</v>
      </c>
      <c r="AT85" s="133">
        <v>307.286</v>
      </c>
      <c r="AU85" s="133">
        <f>944.995525-SUM(AS85:AT85)</f>
        <v>360.50352500000008</v>
      </c>
      <c r="AV85" s="116">
        <f>AW85-SUM(AS85:AU85)</f>
        <v>282.89047499999992</v>
      </c>
      <c r="AW85" s="613">
        <v>1227.886</v>
      </c>
      <c r="AX85" s="121"/>
      <c r="AY85" s="130"/>
      <c r="AZ85" s="130"/>
      <c r="BA85" s="123"/>
      <c r="BB85" s="612"/>
      <c r="BC85" s="121"/>
      <c r="BD85" s="130"/>
      <c r="BE85" s="130"/>
      <c r="BF85" s="123"/>
      <c r="BG85" s="612"/>
      <c r="BH85" s="121"/>
      <c r="BI85" s="130"/>
      <c r="BJ85" s="130"/>
      <c r="BK85" s="123"/>
      <c r="BL85" s="612"/>
      <c r="BM85" s="121"/>
      <c r="BN85" s="130"/>
      <c r="BO85" s="130"/>
      <c r="BP85" s="123"/>
      <c r="BQ85" s="612"/>
      <c r="BR85" s="610"/>
      <c r="BS85" s="610"/>
      <c r="BT85" s="610"/>
      <c r="BU85" s="610"/>
      <c r="BV85" s="610"/>
      <c r="BW85" s="610"/>
      <c r="BX85" s="610"/>
      <c r="BY85" s="610"/>
      <c r="BZ85" s="610"/>
      <c r="CA85" s="610"/>
      <c r="CB85" s="610"/>
      <c r="CC85" s="610"/>
      <c r="CD85" s="610"/>
      <c r="CE85" s="610"/>
      <c r="CF85" s="610"/>
      <c r="CG85" s="610"/>
      <c r="CH85" s="610"/>
      <c r="CI85" s="610"/>
      <c r="CJ85" s="610"/>
      <c r="CK85" s="610"/>
      <c r="CL85" s="610"/>
      <c r="CM85" s="610"/>
      <c r="CN85" s="610"/>
      <c r="CO85" s="610"/>
      <c r="CP85" s="610"/>
      <c r="CQ85" s="610"/>
      <c r="CR85" s="610"/>
      <c r="CS85" s="610"/>
      <c r="CT85" s="610"/>
      <c r="CU85" s="610"/>
      <c r="CV85" s="610"/>
      <c r="CW85" s="610"/>
      <c r="CX85" s="610"/>
    </row>
    <row r="86" spans="1:104" x14ac:dyDescent="0.2">
      <c r="A86" s="610"/>
      <c r="B86" s="610"/>
      <c r="C86" s="610" t="s">
        <v>413</v>
      </c>
      <c r="D86" s="610"/>
      <c r="E86" s="114">
        <v>80.805999999999997</v>
      </c>
      <c r="F86" s="133">
        <v>75.277000000000001</v>
      </c>
      <c r="G86" s="133">
        <v>98.647000000000006</v>
      </c>
      <c r="H86" s="116">
        <f>I86-SUM(E86:G86)</f>
        <v>92.230999999999995</v>
      </c>
      <c r="I86" s="613">
        <v>346.96100000000001</v>
      </c>
      <c r="J86" s="114">
        <v>87.775999999999996</v>
      </c>
      <c r="K86" s="133">
        <v>103.52200000000001</v>
      </c>
      <c r="L86" s="133">
        <v>115.31100000000001</v>
      </c>
      <c r="M86" s="116">
        <f>N86-SUM(J86:L86)</f>
        <v>97.934999999999945</v>
      </c>
      <c r="N86" s="613">
        <v>404.54399999999998</v>
      </c>
      <c r="O86" s="114">
        <v>90.177999999999997</v>
      </c>
      <c r="P86" s="133">
        <v>101.322</v>
      </c>
      <c r="Q86" s="133">
        <v>125.798</v>
      </c>
      <c r="R86" s="116">
        <f>S86-SUM(O86:Q86)</f>
        <v>104.11200000000002</v>
      </c>
      <c r="S86" s="613">
        <v>421.41</v>
      </c>
      <c r="T86" s="114">
        <v>89.281000000000006</v>
      </c>
      <c r="U86" s="133">
        <v>96.128</v>
      </c>
      <c r="V86" s="133">
        <v>109.074</v>
      </c>
      <c r="W86" s="116">
        <f>X86-SUM(T86:V86)</f>
        <v>106.99799999999999</v>
      </c>
      <c r="X86" s="613">
        <v>401.48099999999999</v>
      </c>
      <c r="Y86" s="114">
        <v>103.16800000000001</v>
      </c>
      <c r="Z86" s="133">
        <v>108.679</v>
      </c>
      <c r="AA86" s="133">
        <v>116.51600000000001</v>
      </c>
      <c r="AB86" s="116">
        <f>AC86-SUM(Y86:AA86)</f>
        <v>109.19299999999998</v>
      </c>
      <c r="AC86" s="613">
        <v>437.55599999999998</v>
      </c>
      <c r="AD86" s="114">
        <v>104.837</v>
      </c>
      <c r="AE86" s="133">
        <v>120.236</v>
      </c>
      <c r="AF86" s="133">
        <v>128.02000000000001</v>
      </c>
      <c r="AG86" s="116">
        <f>AH86-SUM(AD86:AF86)</f>
        <v>109.35599999999999</v>
      </c>
      <c r="AH86" s="613">
        <v>462.44900000000001</v>
      </c>
      <c r="AI86" s="114">
        <v>105.55</v>
      </c>
      <c r="AJ86" s="133">
        <v>109.771</v>
      </c>
      <c r="AK86" s="133">
        <v>112.745</v>
      </c>
      <c r="AL86" s="116">
        <f>AM86-SUM(AI86:AK86)</f>
        <v>104.99499999999995</v>
      </c>
      <c r="AM86" s="613">
        <v>433.06099999999998</v>
      </c>
      <c r="AN86" s="114">
        <v>90.525000000000006</v>
      </c>
      <c r="AO86" s="133">
        <v>98.992999999999995</v>
      </c>
      <c r="AP86" s="133">
        <v>114.68600000000001</v>
      </c>
      <c r="AQ86" s="116">
        <f>AR86-SUM(AN86:AP86)</f>
        <v>110.59300000000002</v>
      </c>
      <c r="AR86" s="613">
        <v>414.79700000000003</v>
      </c>
      <c r="AS86" s="114">
        <v>96.206000000000003</v>
      </c>
      <c r="AT86" s="133">
        <v>105.048</v>
      </c>
      <c r="AU86" s="133">
        <f>317.184923-SUM(AS86:AT86)</f>
        <v>115.93092300000001</v>
      </c>
      <c r="AV86" s="116">
        <f>AW86-SUM(AS86:AU86)</f>
        <v>103.88307699999996</v>
      </c>
      <c r="AW86" s="613">
        <v>421.06799999999998</v>
      </c>
      <c r="AX86" s="121"/>
      <c r="AY86" s="130"/>
      <c r="AZ86" s="130"/>
      <c r="BA86" s="123"/>
      <c r="BB86" s="612"/>
      <c r="BC86" s="121"/>
      <c r="BD86" s="130"/>
      <c r="BE86" s="130"/>
      <c r="BF86" s="123"/>
      <c r="BG86" s="612"/>
      <c r="BH86" s="121"/>
      <c r="BI86" s="130"/>
      <c r="BJ86" s="130"/>
      <c r="BK86" s="123"/>
      <c r="BL86" s="612"/>
      <c r="BM86" s="121"/>
      <c r="BN86" s="130"/>
      <c r="BO86" s="130"/>
      <c r="BP86" s="123"/>
      <c r="BQ86" s="612"/>
      <c r="BR86" s="610"/>
      <c r="BS86" s="610"/>
      <c r="BT86" s="610"/>
      <c r="BU86" s="610"/>
      <c r="BV86" s="610"/>
      <c r="BW86" s="610"/>
      <c r="BX86" s="610"/>
      <c r="BY86" s="610"/>
      <c r="BZ86" s="610"/>
      <c r="CA86" s="610"/>
      <c r="CB86" s="610"/>
      <c r="CC86" s="610"/>
      <c r="CD86" s="610"/>
      <c r="CE86" s="610"/>
      <c r="CF86" s="610"/>
      <c r="CG86" s="610"/>
      <c r="CH86" s="610"/>
      <c r="CI86" s="610"/>
      <c r="CJ86" s="610"/>
      <c r="CK86" s="610"/>
      <c r="CL86" s="610"/>
      <c r="CM86" s="610"/>
      <c r="CN86" s="610"/>
      <c r="CO86" s="610"/>
      <c r="CP86" s="610"/>
      <c r="CQ86" s="610"/>
      <c r="CR86" s="610"/>
      <c r="CS86" s="610"/>
      <c r="CT86" s="610"/>
      <c r="CU86" s="610"/>
      <c r="CV86" s="610"/>
      <c r="CW86" s="610"/>
      <c r="CX86" s="610"/>
    </row>
    <row r="87" spans="1:104" x14ac:dyDescent="0.2">
      <c r="A87" s="610"/>
      <c r="B87" s="610"/>
      <c r="C87" s="610" t="s">
        <v>97</v>
      </c>
      <c r="D87" s="610"/>
      <c r="E87" s="114">
        <v>10.487</v>
      </c>
      <c r="F87" s="133">
        <v>10.050000000000001</v>
      </c>
      <c r="G87" s="133">
        <v>11.712</v>
      </c>
      <c r="H87" s="116">
        <f>I87-SUM(E87:G87)</f>
        <v>12.139000000000003</v>
      </c>
      <c r="I87" s="613">
        <v>44.387999999999998</v>
      </c>
      <c r="J87" s="114">
        <v>12.948</v>
      </c>
      <c r="K87" s="133">
        <v>12.423999999999999</v>
      </c>
      <c r="L87" s="133">
        <v>11.71</v>
      </c>
      <c r="M87" s="116">
        <f>N87-SUM(J87:L87)</f>
        <v>11.765000000000001</v>
      </c>
      <c r="N87" s="613">
        <v>48.847000000000001</v>
      </c>
      <c r="O87" s="114">
        <v>11.581</v>
      </c>
      <c r="P87" s="133">
        <v>11.4</v>
      </c>
      <c r="Q87" s="133">
        <v>11.872999999999999</v>
      </c>
      <c r="R87" s="116">
        <f>S87-SUM(O87:Q87)</f>
        <v>12.131</v>
      </c>
      <c r="S87" s="613">
        <v>46.984999999999999</v>
      </c>
      <c r="T87" s="114">
        <v>11.795</v>
      </c>
      <c r="U87" s="133">
        <v>12.157</v>
      </c>
      <c r="V87" s="133">
        <v>12.483000000000001</v>
      </c>
      <c r="W87" s="116">
        <f>X87-SUM(T87:V87)</f>
        <v>13.464999999999996</v>
      </c>
      <c r="X87" s="613">
        <v>49.9</v>
      </c>
      <c r="Y87" s="114">
        <v>12.456</v>
      </c>
      <c r="Z87" s="133">
        <v>13.233000000000001</v>
      </c>
      <c r="AA87" s="133">
        <v>13.212999999999999</v>
      </c>
      <c r="AB87" s="116">
        <f>AC87-SUM(Y87:AA87)</f>
        <v>13.774000000000001</v>
      </c>
      <c r="AC87" s="613">
        <v>52.676000000000002</v>
      </c>
      <c r="AD87" s="114">
        <v>13.868</v>
      </c>
      <c r="AE87" s="133">
        <v>13.473000000000001</v>
      </c>
      <c r="AF87" s="133">
        <v>13.513</v>
      </c>
      <c r="AG87" s="116">
        <f>AH87-SUM(AD87:AF87)</f>
        <v>13.701000000000001</v>
      </c>
      <c r="AH87" s="613">
        <v>54.555</v>
      </c>
      <c r="AI87" s="114">
        <v>13.3</v>
      </c>
      <c r="AJ87" s="133">
        <v>12.948</v>
      </c>
      <c r="AK87" s="133">
        <v>12.926</v>
      </c>
      <c r="AL87" s="116">
        <f>AM87-SUM(AI87:AK87)</f>
        <v>13.609000000000002</v>
      </c>
      <c r="AM87" s="613">
        <v>52.783000000000001</v>
      </c>
      <c r="AN87" s="114">
        <v>12.971</v>
      </c>
      <c r="AO87" s="133">
        <v>12.71</v>
      </c>
      <c r="AP87" s="133">
        <v>13.856</v>
      </c>
      <c r="AQ87" s="116">
        <f>AR87-SUM(AN87:AP87)</f>
        <v>14.533000000000001</v>
      </c>
      <c r="AR87" s="613">
        <v>54.07</v>
      </c>
      <c r="AS87" s="114">
        <v>13.393000000000001</v>
      </c>
      <c r="AT87" s="133">
        <v>12.651</v>
      </c>
      <c r="AU87" s="133">
        <f>SUM(33.182203,6.06567,0.193336)-SUM(AS87:AT87)</f>
        <v>13.397209</v>
      </c>
      <c r="AV87" s="116">
        <f>AW87-SUM(AS87:AU87)</f>
        <v>13.392791000000003</v>
      </c>
      <c r="AW87" s="613">
        <v>52.834000000000003</v>
      </c>
      <c r="AX87" s="121"/>
      <c r="AY87" s="130"/>
      <c r="AZ87" s="130"/>
      <c r="BA87" s="123"/>
      <c r="BB87" s="612"/>
      <c r="BC87" s="121"/>
      <c r="BD87" s="130"/>
      <c r="BE87" s="130"/>
      <c r="BF87" s="123"/>
      <c r="BG87" s="612"/>
      <c r="BH87" s="121"/>
      <c r="BI87" s="130"/>
      <c r="BJ87" s="130"/>
      <c r="BK87" s="123"/>
      <c r="BL87" s="612"/>
      <c r="BM87" s="121"/>
      <c r="BN87" s="130"/>
      <c r="BO87" s="130"/>
      <c r="BP87" s="123"/>
      <c r="BQ87" s="612"/>
      <c r="BR87" s="610"/>
      <c r="BS87" s="610"/>
      <c r="BT87" s="610"/>
      <c r="BU87" s="610"/>
      <c r="BV87" s="610"/>
      <c r="BW87" s="610"/>
      <c r="BX87" s="610"/>
      <c r="BY87" s="610"/>
      <c r="BZ87" s="610"/>
      <c r="CA87" s="610"/>
      <c r="CB87" s="610"/>
      <c r="CC87" s="610"/>
      <c r="CD87" s="610"/>
      <c r="CE87" s="610"/>
      <c r="CF87" s="610"/>
      <c r="CG87" s="610"/>
      <c r="CH87" s="610"/>
      <c r="CI87" s="610"/>
      <c r="CJ87" s="610"/>
      <c r="CK87" s="610"/>
      <c r="CL87" s="610"/>
      <c r="CM87" s="610"/>
      <c r="CN87" s="610"/>
      <c r="CO87" s="610"/>
      <c r="CP87" s="610"/>
      <c r="CQ87" s="610"/>
      <c r="CR87" s="610"/>
      <c r="CS87" s="610"/>
      <c r="CT87" s="610"/>
      <c r="CU87" s="610"/>
      <c r="CV87" s="610"/>
      <c r="CW87" s="610"/>
      <c r="CX87" s="610"/>
    </row>
    <row r="88" spans="1:104" x14ac:dyDescent="0.2">
      <c r="A88" s="610"/>
      <c r="B88" s="610"/>
      <c r="C88" s="614" t="s">
        <v>414</v>
      </c>
      <c r="D88" s="610"/>
      <c r="E88" s="121">
        <f t="shared" ref="E88:V88" si="184">SUM(E84:E87)</f>
        <v>462.53399999999999</v>
      </c>
      <c r="F88" s="130">
        <f t="shared" si="184"/>
        <v>493.76</v>
      </c>
      <c r="G88" s="130">
        <f t="shared" si="184"/>
        <v>656.20699999999999</v>
      </c>
      <c r="H88" s="123">
        <f t="shared" si="184"/>
        <v>603.94499999999994</v>
      </c>
      <c r="I88" s="521">
        <f t="shared" si="184"/>
        <v>2216.4459999999999</v>
      </c>
      <c r="J88" s="121">
        <f t="shared" si="184"/>
        <v>587.07499999999993</v>
      </c>
      <c r="K88" s="130">
        <f t="shared" si="184"/>
        <v>670.80600000000004</v>
      </c>
      <c r="L88" s="130">
        <f t="shared" si="184"/>
        <v>774.04000000000008</v>
      </c>
      <c r="M88" s="123">
        <f t="shared" si="184"/>
        <v>582.23099999999999</v>
      </c>
      <c r="N88" s="521">
        <f t="shared" si="184"/>
        <v>2614.152</v>
      </c>
      <c r="O88" s="121">
        <f t="shared" si="184"/>
        <v>583.88499999999999</v>
      </c>
      <c r="P88" s="130">
        <f t="shared" si="184"/>
        <v>629.87</v>
      </c>
      <c r="Q88" s="130">
        <f t="shared" si="184"/>
        <v>826.87000000000012</v>
      </c>
      <c r="R88" s="123">
        <f t="shared" si="184"/>
        <v>632.8059999999997</v>
      </c>
      <c r="S88" s="521">
        <f t="shared" si="184"/>
        <v>2673.431</v>
      </c>
      <c r="T88" s="121">
        <f t="shared" si="184"/>
        <v>566.53899999999999</v>
      </c>
      <c r="U88" s="130">
        <f t="shared" si="184"/>
        <v>624.44400000000007</v>
      </c>
      <c r="V88" s="130">
        <f t="shared" si="184"/>
        <v>783.0859999999999</v>
      </c>
      <c r="W88" s="123">
        <f t="shared" ref="W88:AD88" si="185">SUM(W84:W87)</f>
        <v>629.44499999999982</v>
      </c>
      <c r="X88" s="521">
        <f t="shared" si="185"/>
        <v>2603.5139999999997</v>
      </c>
      <c r="Y88" s="121">
        <f t="shared" si="185"/>
        <v>639.98500000000001</v>
      </c>
      <c r="Z88" s="130">
        <f t="shared" si="185"/>
        <v>676.05099999999993</v>
      </c>
      <c r="AA88" s="130">
        <f t="shared" si="185"/>
        <v>814.79399999999998</v>
      </c>
      <c r="AB88" s="123">
        <f t="shared" si="185"/>
        <v>662.18600000000015</v>
      </c>
      <c r="AC88" s="521">
        <f t="shared" si="185"/>
        <v>2793.0160000000001</v>
      </c>
      <c r="AD88" s="121">
        <f t="shared" si="185"/>
        <v>658.70799999999997</v>
      </c>
      <c r="AE88" s="130">
        <f t="shared" ref="AE88:AJ88" si="186">SUM(AE84:AE87)</f>
        <v>708.35899999999992</v>
      </c>
      <c r="AF88" s="130">
        <f t="shared" si="186"/>
        <v>831.00699999999995</v>
      </c>
      <c r="AG88" s="123">
        <f t="shared" si="186"/>
        <v>667.04500000000019</v>
      </c>
      <c r="AH88" s="521">
        <f t="shared" si="186"/>
        <v>2865.1189999999997</v>
      </c>
      <c r="AI88" s="121">
        <f t="shared" si="186"/>
        <v>651.86299999999994</v>
      </c>
      <c r="AJ88" s="130">
        <f t="shared" si="186"/>
        <v>672.524</v>
      </c>
      <c r="AK88" s="130">
        <f t="shared" ref="AK88:AP88" si="187">SUM(AK84:AK87)</f>
        <v>788.36900000000003</v>
      </c>
      <c r="AL88" s="123">
        <f t="shared" si="187"/>
        <v>653.77799999999991</v>
      </c>
      <c r="AM88" s="521">
        <f t="shared" si="187"/>
        <v>2766.5340000000001</v>
      </c>
      <c r="AN88" s="121">
        <f t="shared" si="187"/>
        <v>595.89699999999993</v>
      </c>
      <c r="AO88" s="130">
        <f t="shared" si="187"/>
        <v>649.55600000000004</v>
      </c>
      <c r="AP88" s="130">
        <f t="shared" si="187"/>
        <v>827.88600000000008</v>
      </c>
      <c r="AQ88" s="123">
        <f t="shared" ref="AQ88:AW88" si="188">SUM(AQ84:AQ87)</f>
        <v>663.93500000000029</v>
      </c>
      <c r="AR88" s="521">
        <f t="shared" si="188"/>
        <v>2737.2740000000003</v>
      </c>
      <c r="AS88" s="121">
        <f t="shared" si="188"/>
        <v>631.75900000000013</v>
      </c>
      <c r="AT88" s="130">
        <f t="shared" si="188"/>
        <v>665.42399999999998</v>
      </c>
      <c r="AU88" s="130">
        <f t="shared" si="188"/>
        <v>806.69448499999999</v>
      </c>
      <c r="AV88" s="123">
        <f t="shared" si="188"/>
        <v>631.23451499999999</v>
      </c>
      <c r="AW88" s="521">
        <f t="shared" si="188"/>
        <v>2735.1120000000001</v>
      </c>
      <c r="AX88" s="121">
        <f>+AX97*AX103/1000</f>
        <v>624.11630487258174</v>
      </c>
      <c r="AY88" s="130">
        <f>+AY97*AY103/1000</f>
        <v>651.75053417258152</v>
      </c>
      <c r="AZ88" s="130">
        <f>+AZ97*AZ103/1000</f>
        <v>776.19797501008145</v>
      </c>
      <c r="BA88" s="123">
        <f>+BA97*BA103/1000</f>
        <v>627.88835169008155</v>
      </c>
      <c r="BB88" s="521">
        <f>SUM(AX88:BA88)</f>
        <v>2679.9531657453263</v>
      </c>
      <c r="BC88" s="121">
        <f>+BC97*BC103/1000</f>
        <v>636.39427868798907</v>
      </c>
      <c r="BD88" s="130">
        <f>+BD97*BD103/1000</f>
        <v>664.47059356123896</v>
      </c>
      <c r="BE88" s="130">
        <f>+BE97*BE103/1000</f>
        <v>791.46715300083258</v>
      </c>
      <c r="BF88" s="123">
        <f>+BF97*BF103/1000</f>
        <v>640.17575562253262</v>
      </c>
      <c r="BG88" s="521">
        <f>SUM(BC88:BF88)</f>
        <v>2732.5077808725932</v>
      </c>
      <c r="BH88" s="121">
        <f>+BH97*BH103/1000</f>
        <v>648.73744743793497</v>
      </c>
      <c r="BI88" s="130">
        <f>+BI97*BI103/1000</f>
        <v>677.25845309836802</v>
      </c>
      <c r="BJ88" s="130">
        <f>+BJ97*BJ103/1000</f>
        <v>806.81950393656052</v>
      </c>
      <c r="BK88" s="123">
        <f>+BK97*BK103/1000</f>
        <v>652.52837806481489</v>
      </c>
      <c r="BL88" s="521">
        <f>SUM(BH88:BK88)</f>
        <v>2785.3437825376786</v>
      </c>
      <c r="BM88" s="121">
        <f>+BM97*BM103/1000</f>
        <v>661.28266385765914</v>
      </c>
      <c r="BN88" s="130">
        <f>+BN97*BN103/1000</f>
        <v>690.17347203224313</v>
      </c>
      <c r="BO88" s="130">
        <f>+BO97*BO103/1000</f>
        <v>821.84942549753112</v>
      </c>
      <c r="BP88" s="123">
        <f>+BP97*BP103/1000</f>
        <v>665.09457181110611</v>
      </c>
      <c r="BQ88" s="521">
        <f>SUM(BM88:BP88)</f>
        <v>2838.4001331985396</v>
      </c>
      <c r="BR88" s="610"/>
      <c r="BS88" s="610"/>
      <c r="BT88" s="610"/>
      <c r="BU88" s="610"/>
      <c r="BV88" s="610"/>
      <c r="BW88" s="610"/>
      <c r="BX88" s="610"/>
      <c r="BY88" s="610"/>
      <c r="BZ88" s="610"/>
      <c r="CA88" s="610"/>
      <c r="CB88" s="610"/>
      <c r="CC88" s="610"/>
      <c r="CD88" s="610"/>
      <c r="CE88" s="610"/>
      <c r="CF88" s="610"/>
      <c r="CG88" s="610"/>
      <c r="CH88" s="610"/>
      <c r="CI88" s="610"/>
      <c r="CJ88" s="610"/>
      <c r="CK88" s="610"/>
      <c r="CL88" s="610"/>
      <c r="CM88" s="610"/>
      <c r="CN88" s="610"/>
      <c r="CO88" s="610"/>
      <c r="CP88" s="610"/>
      <c r="CQ88" s="610"/>
      <c r="CR88" s="610"/>
      <c r="CS88" s="610"/>
      <c r="CT88" s="610"/>
      <c r="CU88" s="610"/>
      <c r="CV88" s="610"/>
      <c r="CW88" s="610"/>
      <c r="CX88" s="610"/>
    </row>
    <row r="89" spans="1:104" x14ac:dyDescent="0.2">
      <c r="A89" s="610"/>
      <c r="B89" s="610"/>
      <c r="C89" s="610" t="s">
        <v>416</v>
      </c>
      <c r="D89" s="610"/>
      <c r="E89" s="136">
        <f>E8-E88</f>
        <v>134.80899999999997</v>
      </c>
      <c r="F89" s="137">
        <f>F8-F88</f>
        <v>94.706999999999994</v>
      </c>
      <c r="G89" s="137">
        <f>G8-G88</f>
        <v>115.45600000000002</v>
      </c>
      <c r="H89" s="116">
        <f>I89-SUM(E89:G89)</f>
        <v>117.16000000000008</v>
      </c>
      <c r="I89" s="615">
        <f>I8-I88</f>
        <v>462.13200000000006</v>
      </c>
      <c r="J89" s="136">
        <f>J8-J88</f>
        <v>136.55900000000008</v>
      </c>
      <c r="K89" s="137">
        <f>K8-K88</f>
        <v>102.81499999999994</v>
      </c>
      <c r="L89" s="137">
        <f>L8-L88</f>
        <v>75.666999999999916</v>
      </c>
      <c r="M89" s="116">
        <f>N89-SUM(J89:L89)</f>
        <v>125.85200000000009</v>
      </c>
      <c r="N89" s="615">
        <f>N8-N88</f>
        <v>440.89300000000003</v>
      </c>
      <c r="O89" s="136">
        <f>O8-O88</f>
        <v>120.26800000000003</v>
      </c>
      <c r="P89" s="137">
        <f>P8-P88</f>
        <v>119.92100000000005</v>
      </c>
      <c r="Q89" s="137">
        <f>Q8-Q88</f>
        <v>106.61999999999989</v>
      </c>
      <c r="R89" s="116">
        <f>S89-SUM(O89:Q89)</f>
        <v>94.129999999999882</v>
      </c>
      <c r="S89" s="615">
        <f>S8-S88</f>
        <v>440.93899999999985</v>
      </c>
      <c r="T89" s="136">
        <f>T8-T88</f>
        <v>115.74000000000001</v>
      </c>
      <c r="U89" s="137">
        <f>U8-U88</f>
        <v>90.20699999999988</v>
      </c>
      <c r="V89" s="137">
        <f>V8-V88</f>
        <v>87.889000000000124</v>
      </c>
      <c r="W89" s="116">
        <f>X89-SUM(T89:V89)</f>
        <v>72.549000000000206</v>
      </c>
      <c r="X89" s="615">
        <f>X8-X88</f>
        <v>366.38500000000022</v>
      </c>
      <c r="Y89" s="136">
        <f>Y8-Y88</f>
        <v>81.362999999999943</v>
      </c>
      <c r="Z89" s="137">
        <f>Z8-Z88</f>
        <v>71.831000000000017</v>
      </c>
      <c r="AA89" s="137">
        <f>AA8-AA88</f>
        <v>84.017000000000053</v>
      </c>
      <c r="AB89" s="116">
        <f>AC89-SUM(Y89:AA89)</f>
        <v>50.943999999999733</v>
      </c>
      <c r="AC89" s="615">
        <f>AC8-AC88</f>
        <v>288.15499999999975</v>
      </c>
      <c r="AD89" s="136">
        <f>AD8-AD88</f>
        <v>75.55600000000004</v>
      </c>
      <c r="AE89" s="137">
        <f>AE8-AE88</f>
        <v>53.210000000000036</v>
      </c>
      <c r="AF89" s="137">
        <f>AF8-AF88</f>
        <v>50.095000000000027</v>
      </c>
      <c r="AG89" s="116">
        <f>AH89-SUM(AD89:AF89)</f>
        <v>81.957000000000107</v>
      </c>
      <c r="AH89" s="615">
        <f>AH8-AH88</f>
        <v>260.81800000000021</v>
      </c>
      <c r="AI89" s="136">
        <f>AI8-AI88</f>
        <v>97.59800000000007</v>
      </c>
      <c r="AJ89" s="137">
        <f>AJ8-AJ88</f>
        <v>79.006999999999948</v>
      </c>
      <c r="AK89" s="137">
        <f>AK8-AK88</f>
        <v>95.935999999999922</v>
      </c>
      <c r="AL89" s="116">
        <f>AM89-SUM(AI89:AK89)</f>
        <v>76.182000000000016</v>
      </c>
      <c r="AM89" s="615">
        <f>AM8-AM88</f>
        <v>348.72299999999996</v>
      </c>
      <c r="AN89" s="136">
        <f>AN8-AN88</f>
        <v>121.56500000000005</v>
      </c>
      <c r="AO89" s="137">
        <f>AO8-AO88</f>
        <v>73.01299999999992</v>
      </c>
      <c r="AP89" s="137">
        <f>AP8-AP88</f>
        <v>69.629999999999882</v>
      </c>
      <c r="AQ89" s="116">
        <f>AR89-SUM(AN89:AP89)</f>
        <v>47.869999999999663</v>
      </c>
      <c r="AR89" s="615">
        <f>AR8-AR88</f>
        <v>312.07799999999952</v>
      </c>
      <c r="AS89" s="136">
        <f>AS8-AS88</f>
        <v>79.628999999999905</v>
      </c>
      <c r="AT89" s="137">
        <f>AT8-AT88</f>
        <v>64.495999999999981</v>
      </c>
      <c r="AU89" s="137">
        <f>AU8-AU88</f>
        <v>70.909515000000056</v>
      </c>
      <c r="AV89" s="116">
        <f>AW89-SUM(AS89:AU89)</f>
        <v>53.661484999999971</v>
      </c>
      <c r="AW89" s="615">
        <f>AW8-AW88</f>
        <v>268.69599999999991</v>
      </c>
      <c r="AX89" s="136">
        <f>+AS89</f>
        <v>79.628999999999905</v>
      </c>
      <c r="AY89" s="137">
        <f>+AT89</f>
        <v>64.495999999999981</v>
      </c>
      <c r="AZ89" s="137">
        <f>+AU89</f>
        <v>70.909515000000056</v>
      </c>
      <c r="BA89" s="116">
        <f>+AV89</f>
        <v>53.661484999999971</v>
      </c>
      <c r="BB89" s="615">
        <f>SUM(AX89:BA89)</f>
        <v>268.69599999999991</v>
      </c>
      <c r="BC89" s="136">
        <f>+AX89</f>
        <v>79.628999999999905</v>
      </c>
      <c r="BD89" s="137">
        <f>+AY89</f>
        <v>64.495999999999981</v>
      </c>
      <c r="BE89" s="137">
        <f>+AZ89</f>
        <v>70.909515000000056</v>
      </c>
      <c r="BF89" s="116">
        <f>+BA89</f>
        <v>53.661484999999971</v>
      </c>
      <c r="BG89" s="615">
        <f>SUM(BC89:BF89)</f>
        <v>268.69599999999991</v>
      </c>
      <c r="BH89" s="136">
        <f>+BC89</f>
        <v>79.628999999999905</v>
      </c>
      <c r="BI89" s="137">
        <f>+BD89</f>
        <v>64.495999999999981</v>
      </c>
      <c r="BJ89" s="137">
        <f>+BE89</f>
        <v>70.909515000000056</v>
      </c>
      <c r="BK89" s="116">
        <f>+BF89</f>
        <v>53.661484999999971</v>
      </c>
      <c r="BL89" s="615">
        <f>SUM(BH89:BK89)</f>
        <v>268.69599999999991</v>
      </c>
      <c r="BM89" s="136">
        <f>+BH89</f>
        <v>79.628999999999905</v>
      </c>
      <c r="BN89" s="137">
        <f>+BI89</f>
        <v>64.495999999999981</v>
      </c>
      <c r="BO89" s="137">
        <f>+BJ89</f>
        <v>70.909515000000056</v>
      </c>
      <c r="BP89" s="116">
        <f>+BK89</f>
        <v>53.661484999999971</v>
      </c>
      <c r="BQ89" s="615">
        <f>SUM(BM89:BP89)</f>
        <v>268.69599999999991</v>
      </c>
      <c r="BR89" s="610"/>
      <c r="BS89" s="610"/>
      <c r="BT89" s="610"/>
      <c r="BU89" s="610"/>
      <c r="BV89" s="610"/>
      <c r="BW89" s="610"/>
      <c r="BX89" s="610"/>
      <c r="BY89" s="610"/>
      <c r="BZ89" s="610"/>
      <c r="CA89" s="610"/>
      <c r="CB89" s="610"/>
      <c r="CC89" s="610"/>
      <c r="CD89" s="610"/>
      <c r="CE89" s="610"/>
      <c r="CF89" s="610"/>
      <c r="CG89" s="610"/>
      <c r="CH89" s="610"/>
      <c r="CI89" s="610"/>
      <c r="CJ89" s="610"/>
      <c r="CK89" s="610"/>
      <c r="CL89" s="610"/>
      <c r="CM89" s="610"/>
      <c r="CN89" s="610"/>
      <c r="CO89" s="610"/>
      <c r="CP89" s="610"/>
      <c r="CQ89" s="610"/>
      <c r="CR89" s="610"/>
      <c r="CS89" s="610"/>
      <c r="CT89" s="610"/>
      <c r="CU89" s="610"/>
      <c r="CV89" s="610"/>
      <c r="CW89" s="610"/>
      <c r="CX89" s="610"/>
    </row>
    <row r="90" spans="1:104" x14ac:dyDescent="0.2">
      <c r="A90" s="610"/>
      <c r="B90" s="610"/>
      <c r="C90" s="614" t="s">
        <v>257</v>
      </c>
      <c r="D90" s="610"/>
      <c r="E90" s="121">
        <f t="shared" ref="E90:N90" si="189">SUM(E88:E89)</f>
        <v>597.34299999999996</v>
      </c>
      <c r="F90" s="130">
        <f t="shared" si="189"/>
        <v>588.46699999999998</v>
      </c>
      <c r="G90" s="130">
        <f t="shared" si="189"/>
        <v>771.66300000000001</v>
      </c>
      <c r="H90" s="123">
        <f t="shared" si="189"/>
        <v>721.10500000000002</v>
      </c>
      <c r="I90" s="521">
        <f t="shared" si="189"/>
        <v>2678.578</v>
      </c>
      <c r="J90" s="121">
        <f t="shared" si="189"/>
        <v>723.63400000000001</v>
      </c>
      <c r="K90" s="130">
        <f t="shared" si="189"/>
        <v>773.62099999999998</v>
      </c>
      <c r="L90" s="130">
        <f t="shared" si="189"/>
        <v>849.70699999999999</v>
      </c>
      <c r="M90" s="123">
        <f t="shared" si="189"/>
        <v>708.08300000000008</v>
      </c>
      <c r="N90" s="521">
        <f t="shared" si="189"/>
        <v>3055.0450000000001</v>
      </c>
      <c r="O90" s="121">
        <f t="shared" ref="O90:V90" si="190">SUM(O88:O89)</f>
        <v>704.15300000000002</v>
      </c>
      <c r="P90" s="130">
        <f t="shared" si="190"/>
        <v>749.79100000000005</v>
      </c>
      <c r="Q90" s="130">
        <f t="shared" si="190"/>
        <v>933.49</v>
      </c>
      <c r="R90" s="123">
        <f t="shared" si="190"/>
        <v>726.93599999999958</v>
      </c>
      <c r="S90" s="521">
        <f t="shared" si="190"/>
        <v>3114.37</v>
      </c>
      <c r="T90" s="121">
        <f t="shared" si="190"/>
        <v>682.279</v>
      </c>
      <c r="U90" s="130">
        <f t="shared" si="190"/>
        <v>714.65099999999995</v>
      </c>
      <c r="V90" s="130">
        <f t="shared" si="190"/>
        <v>870.97500000000002</v>
      </c>
      <c r="W90" s="123">
        <f t="shared" ref="W90:AD90" si="191">SUM(W88:W89)</f>
        <v>701.99400000000003</v>
      </c>
      <c r="X90" s="521">
        <f t="shared" si="191"/>
        <v>2969.8989999999999</v>
      </c>
      <c r="Y90" s="121">
        <f t="shared" si="191"/>
        <v>721.34799999999996</v>
      </c>
      <c r="Z90" s="130">
        <f t="shared" si="191"/>
        <v>747.88199999999995</v>
      </c>
      <c r="AA90" s="130">
        <f t="shared" si="191"/>
        <v>898.81100000000004</v>
      </c>
      <c r="AB90" s="123">
        <f t="shared" si="191"/>
        <v>713.12999999999988</v>
      </c>
      <c r="AC90" s="521">
        <f t="shared" si="191"/>
        <v>3081.1709999999998</v>
      </c>
      <c r="AD90" s="121">
        <f t="shared" si="191"/>
        <v>734.26400000000001</v>
      </c>
      <c r="AE90" s="130">
        <f t="shared" ref="AE90:AJ90" si="192">SUM(AE88:AE89)</f>
        <v>761.56899999999996</v>
      </c>
      <c r="AF90" s="130">
        <f t="shared" si="192"/>
        <v>881.10199999999998</v>
      </c>
      <c r="AG90" s="123">
        <f t="shared" si="192"/>
        <v>749.00200000000029</v>
      </c>
      <c r="AH90" s="521">
        <f t="shared" si="192"/>
        <v>3125.9369999999999</v>
      </c>
      <c r="AI90" s="121">
        <f t="shared" si="192"/>
        <v>749.46100000000001</v>
      </c>
      <c r="AJ90" s="130">
        <f t="shared" si="192"/>
        <v>751.53099999999995</v>
      </c>
      <c r="AK90" s="130">
        <f t="shared" ref="AK90:AU90" si="193">SUM(AK88:AK89)</f>
        <v>884.30499999999995</v>
      </c>
      <c r="AL90" s="123">
        <f t="shared" si="193"/>
        <v>729.95999999999992</v>
      </c>
      <c r="AM90" s="521">
        <f t="shared" si="193"/>
        <v>3115.2570000000001</v>
      </c>
      <c r="AN90" s="121">
        <f t="shared" si="193"/>
        <v>717.46199999999999</v>
      </c>
      <c r="AO90" s="130">
        <f t="shared" si="193"/>
        <v>722.56899999999996</v>
      </c>
      <c r="AP90" s="130">
        <f t="shared" si="193"/>
        <v>897.51599999999996</v>
      </c>
      <c r="AQ90" s="123">
        <f t="shared" si="193"/>
        <v>711.80499999999995</v>
      </c>
      <c r="AR90" s="521">
        <f t="shared" si="193"/>
        <v>3049.3519999999999</v>
      </c>
      <c r="AS90" s="121">
        <f t="shared" si="193"/>
        <v>711.38800000000003</v>
      </c>
      <c r="AT90" s="130">
        <f t="shared" si="193"/>
        <v>729.92</v>
      </c>
      <c r="AU90" s="130">
        <f t="shared" si="193"/>
        <v>877.60400000000004</v>
      </c>
      <c r="AV90" s="123">
        <f t="shared" ref="AV90:AW90" si="194">SUM(AV88:AV89)</f>
        <v>684.89599999999996</v>
      </c>
      <c r="AW90" s="521">
        <f t="shared" si="194"/>
        <v>3003.808</v>
      </c>
      <c r="AX90" s="121">
        <f t="shared" ref="AX90:BG90" si="195">SUM(AX88:AX89)</f>
        <v>703.74530487258164</v>
      </c>
      <c r="AY90" s="130">
        <f t="shared" si="195"/>
        <v>716.24653417258151</v>
      </c>
      <c r="AZ90" s="130">
        <f t="shared" si="195"/>
        <v>847.10749001008151</v>
      </c>
      <c r="BA90" s="123">
        <f t="shared" si="195"/>
        <v>681.54983669008152</v>
      </c>
      <c r="BB90" s="521">
        <f t="shared" si="195"/>
        <v>2948.6491657453262</v>
      </c>
      <c r="BC90" s="121">
        <f t="shared" si="195"/>
        <v>716.02327868798898</v>
      </c>
      <c r="BD90" s="130">
        <f t="shared" si="195"/>
        <v>728.96659356123894</v>
      </c>
      <c r="BE90" s="130">
        <f t="shared" si="195"/>
        <v>862.37666800083264</v>
      </c>
      <c r="BF90" s="123">
        <f t="shared" si="195"/>
        <v>693.83724062253259</v>
      </c>
      <c r="BG90" s="521">
        <f t="shared" si="195"/>
        <v>3001.2037808725931</v>
      </c>
      <c r="BH90" s="121">
        <f t="shared" ref="BH90:BQ90" si="196">SUM(BH88:BH89)</f>
        <v>728.36644743793488</v>
      </c>
      <c r="BI90" s="130">
        <f t="shared" si="196"/>
        <v>741.754453098368</v>
      </c>
      <c r="BJ90" s="130">
        <f t="shared" si="196"/>
        <v>877.72901893656058</v>
      </c>
      <c r="BK90" s="123">
        <f t="shared" si="196"/>
        <v>706.18986306481486</v>
      </c>
      <c r="BL90" s="521">
        <f t="shared" si="196"/>
        <v>3054.0397825376785</v>
      </c>
      <c r="BM90" s="121">
        <f t="shared" si="196"/>
        <v>740.91166385765905</v>
      </c>
      <c r="BN90" s="130">
        <f t="shared" si="196"/>
        <v>754.66947203224311</v>
      </c>
      <c r="BO90" s="130">
        <f t="shared" si="196"/>
        <v>892.75894049753117</v>
      </c>
      <c r="BP90" s="123">
        <f t="shared" si="196"/>
        <v>718.75605681110608</v>
      </c>
      <c r="BQ90" s="521">
        <f t="shared" si="196"/>
        <v>3107.0961331985395</v>
      </c>
      <c r="BR90" s="610"/>
      <c r="BS90" s="610"/>
      <c r="BT90" s="610"/>
      <c r="BU90" s="610"/>
      <c r="BV90" s="610"/>
      <c r="BW90" s="610"/>
      <c r="BX90" s="610"/>
      <c r="BY90" s="610"/>
      <c r="BZ90" s="610"/>
      <c r="CA90" s="610"/>
      <c r="CB90" s="610"/>
      <c r="CC90" s="610"/>
      <c r="CD90" s="610"/>
      <c r="CE90" s="610"/>
      <c r="CF90" s="610"/>
      <c r="CG90" s="610"/>
      <c r="CH90" s="610"/>
      <c r="CI90" s="610"/>
      <c r="CJ90" s="610"/>
      <c r="CK90" s="610"/>
      <c r="CL90" s="610"/>
      <c r="CM90" s="610"/>
      <c r="CN90" s="610"/>
      <c r="CO90" s="610"/>
      <c r="CP90" s="610"/>
      <c r="CQ90" s="610"/>
      <c r="CR90" s="610"/>
      <c r="CS90" s="610"/>
      <c r="CT90" s="610"/>
      <c r="CU90" s="610"/>
      <c r="CV90" s="610"/>
      <c r="CW90" s="610"/>
      <c r="CX90" s="610"/>
    </row>
    <row r="91" spans="1:104" s="20" customFormat="1" x14ac:dyDescent="0.2">
      <c r="A91" s="220"/>
      <c r="B91" s="220"/>
      <c r="C91" s="82"/>
      <c r="D91" s="82"/>
      <c r="E91" s="136"/>
      <c r="F91" s="137"/>
      <c r="G91" s="137"/>
      <c r="H91" s="116"/>
      <c r="I91" s="82"/>
      <c r="J91" s="136"/>
      <c r="K91" s="137"/>
      <c r="L91" s="137"/>
      <c r="M91" s="116"/>
      <c r="N91" s="82"/>
      <c r="O91" s="136"/>
      <c r="P91" s="137"/>
      <c r="Q91" s="137"/>
      <c r="R91" s="116"/>
      <c r="S91" s="82"/>
      <c r="T91" s="136"/>
      <c r="U91" s="137"/>
      <c r="V91" s="137"/>
      <c r="W91" s="116"/>
      <c r="X91" s="82"/>
      <c r="Y91" s="136"/>
      <c r="Z91" s="137"/>
      <c r="AA91" s="137"/>
      <c r="AB91" s="116"/>
      <c r="AC91" s="82"/>
      <c r="AD91" s="136"/>
      <c r="AE91" s="137"/>
      <c r="AF91" s="137"/>
      <c r="AG91" s="116"/>
      <c r="AH91" s="82"/>
      <c r="AI91" s="136"/>
      <c r="AJ91" s="137"/>
      <c r="AK91" s="137"/>
      <c r="AL91" s="116"/>
      <c r="AM91" s="82"/>
      <c r="AN91" s="885"/>
      <c r="AO91" s="137"/>
      <c r="AP91" s="137"/>
      <c r="AQ91" s="116"/>
      <c r="AR91" s="82"/>
      <c r="AS91" s="885"/>
      <c r="AT91" s="137"/>
      <c r="AU91" s="137"/>
      <c r="AV91" s="116"/>
      <c r="AW91" s="82"/>
      <c r="AX91" s="136"/>
      <c r="AY91" s="137"/>
      <c r="AZ91" s="137"/>
      <c r="BA91" s="116"/>
      <c r="BB91" s="82"/>
      <c r="BC91" s="136"/>
      <c r="BD91" s="137"/>
      <c r="BE91" s="137"/>
      <c r="BF91" s="116"/>
      <c r="BG91" s="82"/>
      <c r="BH91" s="136"/>
      <c r="BI91" s="137"/>
      <c r="BJ91" s="137"/>
      <c r="BK91" s="116"/>
      <c r="BL91" s="82"/>
      <c r="BM91" s="136"/>
      <c r="BN91" s="137"/>
      <c r="BO91" s="137"/>
      <c r="BP91" s="116"/>
      <c r="BQ91" s="82"/>
      <c r="BR91" s="220"/>
      <c r="BS91" s="220"/>
      <c r="BT91" s="220"/>
      <c r="BU91" s="220"/>
      <c r="BV91" s="220"/>
      <c r="BW91" s="220"/>
      <c r="BX91" s="220"/>
      <c r="BY91" s="220"/>
      <c r="BZ91" s="220"/>
      <c r="CA91" s="220"/>
      <c r="CB91" s="220"/>
      <c r="CC91" s="220"/>
      <c r="CD91" s="220"/>
      <c r="CE91" s="220"/>
      <c r="CF91" s="220"/>
      <c r="CG91" s="220"/>
      <c r="CH91" s="220"/>
      <c r="CI91" s="220"/>
      <c r="CJ91" s="220"/>
      <c r="CK91" s="220"/>
      <c r="CL91" s="220"/>
      <c r="CM91" s="220"/>
      <c r="CN91" s="220"/>
      <c r="CO91" s="220"/>
      <c r="CP91" s="220"/>
      <c r="CQ91" s="220"/>
      <c r="CR91" s="220"/>
      <c r="CS91" s="220"/>
      <c r="CT91" s="220"/>
      <c r="CU91" s="220"/>
      <c r="CV91" s="220"/>
      <c r="CW91" s="220"/>
      <c r="CX91" s="220"/>
      <c r="CY91" s="220"/>
      <c r="CZ91" s="220"/>
    </row>
    <row r="92" spans="1:104" x14ac:dyDescent="0.2">
      <c r="A92" s="44"/>
      <c r="B92" s="44"/>
      <c r="C92" s="562" t="s">
        <v>258</v>
      </c>
      <c r="D92" s="42"/>
      <c r="E92" s="121"/>
      <c r="F92" s="130"/>
      <c r="G92" s="130"/>
      <c r="H92" s="123"/>
      <c r="I92" s="86"/>
      <c r="J92" s="121"/>
      <c r="K92" s="130"/>
      <c r="L92" s="130"/>
      <c r="M92" s="123"/>
      <c r="N92" s="86"/>
      <c r="O92" s="121"/>
      <c r="P92" s="130"/>
      <c r="Q92" s="130"/>
      <c r="R92" s="123"/>
      <c r="S92" s="86"/>
      <c r="T92" s="121"/>
      <c r="U92" s="130"/>
      <c r="V92" s="130"/>
      <c r="W92" s="123"/>
      <c r="X92" s="86"/>
      <c r="Y92" s="121"/>
      <c r="Z92" s="130"/>
      <c r="AA92" s="130"/>
      <c r="AB92" s="123"/>
      <c r="AC92" s="86"/>
      <c r="AD92" s="121"/>
      <c r="AE92" s="130"/>
      <c r="AF92" s="130"/>
      <c r="AG92" s="123"/>
      <c r="AH92" s="86"/>
      <c r="AI92" s="121"/>
      <c r="AJ92" s="130"/>
      <c r="AK92" s="130"/>
      <c r="AL92" s="123"/>
      <c r="AM92" s="86"/>
      <c r="AN92" s="884"/>
      <c r="AO92" s="130"/>
      <c r="AP92" s="130"/>
      <c r="AQ92" s="123"/>
      <c r="AR92" s="86"/>
      <c r="AS92" s="884"/>
      <c r="AT92" s="130"/>
      <c r="AU92" s="130"/>
      <c r="AV92" s="123"/>
      <c r="AW92" s="86"/>
      <c r="AX92" s="121"/>
      <c r="AY92" s="130"/>
      <c r="AZ92" s="130"/>
      <c r="BA92" s="123"/>
      <c r="BB92" s="86"/>
      <c r="BC92" s="121"/>
      <c r="BD92" s="130"/>
      <c r="BE92" s="130"/>
      <c r="BF92" s="123"/>
      <c r="BG92" s="86"/>
      <c r="BH92" s="121"/>
      <c r="BI92" s="130"/>
      <c r="BJ92" s="130"/>
      <c r="BK92" s="123"/>
      <c r="BL92" s="86"/>
      <c r="BM92" s="121"/>
      <c r="BN92" s="130"/>
      <c r="BO92" s="130"/>
      <c r="BP92" s="123"/>
      <c r="BQ92" s="86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44"/>
      <c r="CY92" s="44"/>
      <c r="CZ92" s="44"/>
    </row>
    <row r="93" spans="1:104" x14ac:dyDescent="0.2">
      <c r="A93" s="44"/>
      <c r="B93" s="44"/>
      <c r="C93" s="20" t="s">
        <v>259</v>
      </c>
      <c r="D93" s="42"/>
      <c r="E93" s="310">
        <v>2248.8820000000001</v>
      </c>
      <c r="F93" s="311">
        <v>1934.3630000000001</v>
      </c>
      <c r="G93" s="311">
        <v>2359.6640000000002</v>
      </c>
      <c r="H93" s="312">
        <f>I93-SUM(E93:G93)</f>
        <v>2277.8080000000009</v>
      </c>
      <c r="I93" s="313">
        <v>8820.7170000000006</v>
      </c>
      <c r="J93" s="310">
        <v>2306.9009999999998</v>
      </c>
      <c r="K93" s="311">
        <v>2059.8670000000002</v>
      </c>
      <c r="L93" s="311">
        <v>2523.806</v>
      </c>
      <c r="M93" s="312">
        <f>N93-SUM(J93:L93)</f>
        <v>2196.4189999999999</v>
      </c>
      <c r="N93" s="313">
        <v>9086.9930000000004</v>
      </c>
      <c r="O93" s="310">
        <v>2314.576</v>
      </c>
      <c r="P93" s="311">
        <v>1982.6189999999999</v>
      </c>
      <c r="Q93" s="311">
        <v>2607.5329999999999</v>
      </c>
      <c r="R93" s="312">
        <f>S93-SUM(O93:Q93)</f>
        <v>2244.2720000000008</v>
      </c>
      <c r="S93" s="313">
        <v>9149</v>
      </c>
      <c r="T93" s="114">
        <v>2259.078</v>
      </c>
      <c r="U93" s="311">
        <v>2074.0810000000001</v>
      </c>
      <c r="V93" s="311">
        <v>2658.4029999999998</v>
      </c>
      <c r="W93" s="312">
        <f>X93-SUM(T93:V93)</f>
        <v>2201.4380000000001</v>
      </c>
      <c r="X93" s="313">
        <v>9193</v>
      </c>
      <c r="Y93" s="114">
        <v>2328.0039999999999</v>
      </c>
      <c r="Z93" s="311">
        <v>2095.8380000000002</v>
      </c>
      <c r="AA93" s="311">
        <v>2574.7669999999998</v>
      </c>
      <c r="AB93" s="312">
        <f>AC93-SUM(Y93:AA93)</f>
        <v>2267.3909999999996</v>
      </c>
      <c r="AC93" s="313">
        <v>9266</v>
      </c>
      <c r="AD93" s="114">
        <v>2353.2460000000001</v>
      </c>
      <c r="AE93" s="311">
        <v>1991.6089999999999</v>
      </c>
      <c r="AF93" s="311">
        <v>2439.7860000000001</v>
      </c>
      <c r="AG93" s="312">
        <f>AH93-SUM(AD93:AF93)</f>
        <v>2224.3590000000004</v>
      </c>
      <c r="AH93" s="313">
        <v>9009</v>
      </c>
      <c r="AI93" s="114">
        <v>2275.8789999999999</v>
      </c>
      <c r="AJ93" s="311">
        <v>2001.8430000000001</v>
      </c>
      <c r="AK93" s="311">
        <v>2541.6509999999998</v>
      </c>
      <c r="AL93" s="312">
        <f>AM93-SUM(AI93:AK93)</f>
        <v>2292.6270000000004</v>
      </c>
      <c r="AM93" s="313">
        <v>9112</v>
      </c>
      <c r="AN93" s="114">
        <v>2306.029</v>
      </c>
      <c r="AO93" s="311">
        <v>2114.0839999999998</v>
      </c>
      <c r="AP93" s="311">
        <v>2683.011</v>
      </c>
      <c r="AQ93" s="312">
        <f>AR93-SUM(AN93:AP93)</f>
        <v>2168.8760000000002</v>
      </c>
      <c r="AR93" s="313">
        <v>9272</v>
      </c>
      <c r="AS93" s="114">
        <v>2267.4540000000002</v>
      </c>
      <c r="AT93" s="311">
        <v>2081.404</v>
      </c>
      <c r="AU93" s="311">
        <f>6965.174-SUM(AS93:AT93)</f>
        <v>2616.3159999999998</v>
      </c>
      <c r="AV93" s="312">
        <f>AW93-SUM(AS93:AU93)</f>
        <v>2141.826</v>
      </c>
      <c r="AW93" s="313">
        <v>9107</v>
      </c>
      <c r="AX93" s="121"/>
      <c r="AY93" s="130"/>
      <c r="AZ93" s="130"/>
      <c r="BA93" s="123"/>
      <c r="BB93" s="86"/>
      <c r="BC93" s="121"/>
      <c r="BD93" s="130"/>
      <c r="BE93" s="130"/>
      <c r="BF93" s="123"/>
      <c r="BG93" s="86"/>
      <c r="BH93" s="121"/>
      <c r="BI93" s="130"/>
      <c r="BJ93" s="130"/>
      <c r="BK93" s="123"/>
      <c r="BL93" s="86"/>
      <c r="BM93" s="121"/>
      <c r="BN93" s="130"/>
      <c r="BO93" s="130"/>
      <c r="BP93" s="123"/>
      <c r="BQ93" s="86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  <c r="CX93" s="44"/>
      <c r="CY93" s="44"/>
      <c r="CZ93" s="44"/>
    </row>
    <row r="94" spans="1:104" x14ac:dyDescent="0.2">
      <c r="A94" s="44"/>
      <c r="B94" s="44"/>
      <c r="C94" s="20" t="s">
        <v>412</v>
      </c>
      <c r="D94" s="42"/>
      <c r="E94" s="310">
        <v>2621.2800000000002</v>
      </c>
      <c r="F94" s="311">
        <v>3017.5630000000001</v>
      </c>
      <c r="G94" s="311">
        <v>3371.1959999999999</v>
      </c>
      <c r="H94" s="312">
        <f>I94-SUM(E94:G94)</f>
        <v>3074.357</v>
      </c>
      <c r="I94" s="313">
        <v>12084.396000000001</v>
      </c>
      <c r="J94" s="310">
        <v>2996.6489999999999</v>
      </c>
      <c r="K94" s="311">
        <v>3091.4450000000002</v>
      </c>
      <c r="L94" s="311">
        <v>3482.1039999999998</v>
      </c>
      <c r="M94" s="312">
        <f>N94-SUM(J94:L94)</f>
        <v>3086.0020000000004</v>
      </c>
      <c r="N94" s="313">
        <v>12656.2</v>
      </c>
      <c r="O94" s="310">
        <v>3012.8319999999999</v>
      </c>
      <c r="P94" s="311">
        <v>3054.3429999999998</v>
      </c>
      <c r="Q94" s="311">
        <v>3511.2220000000002</v>
      </c>
      <c r="R94" s="312">
        <f>S94-SUM(O94:Q94)</f>
        <v>3084.603000000001</v>
      </c>
      <c r="S94" s="313">
        <v>12663</v>
      </c>
      <c r="T94" s="114">
        <v>2976.4940000000001</v>
      </c>
      <c r="U94" s="311">
        <v>3215.6060000000002</v>
      </c>
      <c r="V94" s="311">
        <v>3502.3139999999999</v>
      </c>
      <c r="W94" s="312">
        <f>X94-SUM(T94:V94)</f>
        <v>3016.5859999999993</v>
      </c>
      <c r="X94" s="313">
        <v>12711</v>
      </c>
      <c r="Y94" s="114">
        <v>3008.2449999999999</v>
      </c>
      <c r="Z94" s="311">
        <v>3188.2330000000002</v>
      </c>
      <c r="AA94" s="311">
        <v>3428.2840000000001</v>
      </c>
      <c r="AB94" s="312">
        <f>AC94-SUM(Y94:AA94)</f>
        <v>3091.2379999999994</v>
      </c>
      <c r="AC94" s="313">
        <v>12716</v>
      </c>
      <c r="AD94" s="114">
        <v>3060.2339999999999</v>
      </c>
      <c r="AE94" s="311">
        <v>3101.7330000000002</v>
      </c>
      <c r="AF94" s="311">
        <v>3385.6640000000002</v>
      </c>
      <c r="AG94" s="312">
        <f>AH94-SUM(AD94:AF94)</f>
        <v>3161.3689999999988</v>
      </c>
      <c r="AH94" s="313">
        <v>12709</v>
      </c>
      <c r="AI94" s="114">
        <v>3062.4859999999999</v>
      </c>
      <c r="AJ94" s="311">
        <v>3073.2979999999998</v>
      </c>
      <c r="AK94" s="311">
        <v>3484.9229999999998</v>
      </c>
      <c r="AL94" s="312">
        <f>AM94-SUM(AI94:AK94)</f>
        <v>3129.2930000000015</v>
      </c>
      <c r="AM94" s="313">
        <v>12750</v>
      </c>
      <c r="AN94" s="114">
        <v>3108.9850000000001</v>
      </c>
      <c r="AO94" s="311">
        <v>3081.8130000000001</v>
      </c>
      <c r="AP94" s="311">
        <v>3557.4580000000001</v>
      </c>
      <c r="AQ94" s="312">
        <f>AR94-SUM(AN94:AP94)</f>
        <v>3141.7439999999988</v>
      </c>
      <c r="AR94" s="313">
        <v>12890</v>
      </c>
      <c r="AS94" s="114">
        <v>3088.116</v>
      </c>
      <c r="AT94" s="311">
        <v>3122.6390000000001</v>
      </c>
      <c r="AU94" s="311">
        <f>9044.43-SUM(AS94:AT94)</f>
        <v>2833.6750000000002</v>
      </c>
      <c r="AV94" s="312">
        <f>AW94-SUM(AS94:AU94)</f>
        <v>3751.5699999999997</v>
      </c>
      <c r="AW94" s="313">
        <v>12796</v>
      </c>
      <c r="AX94" s="121"/>
      <c r="AY94" s="130"/>
      <c r="AZ94" s="130"/>
      <c r="BA94" s="123"/>
      <c r="BB94" s="86"/>
      <c r="BC94" s="121"/>
      <c r="BD94" s="130"/>
      <c r="BE94" s="130"/>
      <c r="BF94" s="123"/>
      <c r="BG94" s="86"/>
      <c r="BH94" s="121"/>
      <c r="BI94" s="130"/>
      <c r="BJ94" s="130"/>
      <c r="BK94" s="123"/>
      <c r="BL94" s="86"/>
      <c r="BM94" s="121"/>
      <c r="BN94" s="130"/>
      <c r="BO94" s="130"/>
      <c r="BP94" s="123"/>
      <c r="BQ94" s="86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  <c r="CX94" s="44"/>
      <c r="CY94" s="44"/>
      <c r="CZ94" s="44"/>
    </row>
    <row r="95" spans="1:104" x14ac:dyDescent="0.2">
      <c r="A95" s="44"/>
      <c r="B95" s="44"/>
      <c r="C95" s="20" t="s">
        <v>413</v>
      </c>
      <c r="D95" s="42"/>
      <c r="E95" s="310">
        <v>1603.4659999999999</v>
      </c>
      <c r="F95" s="311">
        <v>1431.19</v>
      </c>
      <c r="G95" s="311">
        <v>1591.2460000000001</v>
      </c>
      <c r="H95" s="312">
        <f>I95-SUM(E95:G95)</f>
        <v>1521.348</v>
      </c>
      <c r="I95" s="313">
        <v>6147.25</v>
      </c>
      <c r="J95" s="310">
        <v>1501.9970000000001</v>
      </c>
      <c r="K95" s="311">
        <v>1550.6479999999999</v>
      </c>
      <c r="L95" s="311">
        <v>1647.643</v>
      </c>
      <c r="M95" s="312">
        <f>N95-SUM(J95:L95)</f>
        <v>1627.8389999999999</v>
      </c>
      <c r="N95" s="313">
        <v>6328.1270000000004</v>
      </c>
      <c r="O95" s="310">
        <v>1536.2539999999999</v>
      </c>
      <c r="P95" s="311">
        <v>1560.8030000000001</v>
      </c>
      <c r="Q95" s="311">
        <v>1730.645</v>
      </c>
      <c r="R95" s="312">
        <f>S95-SUM(O95:Q95)</f>
        <v>1617.2980000000007</v>
      </c>
      <c r="S95" s="313">
        <v>6445</v>
      </c>
      <c r="T95" s="114">
        <v>1581.076</v>
      </c>
      <c r="U95" s="311">
        <v>1649.604</v>
      </c>
      <c r="V95" s="311">
        <v>1746.2860000000001</v>
      </c>
      <c r="W95" s="312">
        <f>X95-SUM(T95:V95)</f>
        <v>1672.0339999999997</v>
      </c>
      <c r="X95" s="313">
        <v>6649</v>
      </c>
      <c r="Y95" s="114">
        <v>1600.625</v>
      </c>
      <c r="Z95" s="311">
        <v>1634.5419999999999</v>
      </c>
      <c r="AA95" s="311">
        <v>1726.5440000000001</v>
      </c>
      <c r="AB95" s="312">
        <f>AC95-SUM(Y95:AA95)</f>
        <v>1690.2889999999998</v>
      </c>
      <c r="AC95" s="313">
        <v>6652</v>
      </c>
      <c r="AD95" s="114">
        <v>1613.8779999999999</v>
      </c>
      <c r="AE95" s="311">
        <v>1651.0509999999999</v>
      </c>
      <c r="AF95" s="311">
        <v>1760.73</v>
      </c>
      <c r="AG95" s="312">
        <f>AH95-SUM(AD95:AF95)</f>
        <v>1686.3410000000003</v>
      </c>
      <c r="AH95" s="313">
        <v>6712</v>
      </c>
      <c r="AI95" s="114">
        <v>1629.3389999999999</v>
      </c>
      <c r="AJ95" s="311">
        <v>1601.0509999999999</v>
      </c>
      <c r="AK95" s="311">
        <v>1722.067</v>
      </c>
      <c r="AL95" s="312">
        <f>AM95-SUM(AI95:AK95)</f>
        <v>1643.5429999999997</v>
      </c>
      <c r="AM95" s="313">
        <v>6596</v>
      </c>
      <c r="AN95" s="114">
        <v>1556.6479999999999</v>
      </c>
      <c r="AO95" s="311">
        <v>1508.296</v>
      </c>
      <c r="AP95" s="311">
        <v>1657.7739999999999</v>
      </c>
      <c r="AQ95" s="312">
        <f>AR95-SUM(AN95:AP95)</f>
        <v>1648.2820000000002</v>
      </c>
      <c r="AR95" s="313">
        <v>6371</v>
      </c>
      <c r="AS95" s="114">
        <v>1501.8320000000001</v>
      </c>
      <c r="AT95" s="311">
        <v>1587.924</v>
      </c>
      <c r="AU95" s="311">
        <f>4818.923-SUM(AS95:AT95)</f>
        <v>1729.1669999999995</v>
      </c>
      <c r="AV95" s="312">
        <f>AW95-SUM(AS95:AU95)</f>
        <v>1630.0770000000002</v>
      </c>
      <c r="AW95" s="313">
        <v>6449</v>
      </c>
      <c r="AX95" s="121"/>
      <c r="AY95" s="130"/>
      <c r="AZ95" s="130"/>
      <c r="BA95" s="123"/>
      <c r="BB95" s="86"/>
      <c r="BC95" s="121"/>
      <c r="BD95" s="130"/>
      <c r="BE95" s="130"/>
      <c r="BF95" s="123"/>
      <c r="BG95" s="86"/>
      <c r="BH95" s="121"/>
      <c r="BI95" s="130"/>
      <c r="BJ95" s="130"/>
      <c r="BK95" s="123"/>
      <c r="BL95" s="86"/>
      <c r="BM95" s="121"/>
      <c r="BN95" s="130"/>
      <c r="BO95" s="130"/>
      <c r="BP95" s="123"/>
      <c r="BQ95" s="86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  <c r="CX95" s="44"/>
      <c r="CY95" s="44"/>
      <c r="CZ95" s="44"/>
    </row>
    <row r="96" spans="1:104" x14ac:dyDescent="0.2">
      <c r="A96" s="44"/>
      <c r="B96" s="44"/>
      <c r="C96" s="610" t="s">
        <v>97</v>
      </c>
      <c r="D96" s="42"/>
      <c r="E96" s="310">
        <f>61.4+1.241</f>
        <v>62.640999999999998</v>
      </c>
      <c r="F96" s="311">
        <f>48.132+0.651</f>
        <v>48.783000000000001</v>
      </c>
      <c r="G96" s="311">
        <f>51.67+0.35</f>
        <v>52.02</v>
      </c>
      <c r="H96" s="312">
        <f>I96-SUM(E96:G96)</f>
        <v>63.391999999999996</v>
      </c>
      <c r="I96" s="313">
        <f>223.709+3.127</f>
        <v>226.83600000000001</v>
      </c>
      <c r="J96" s="310">
        <f>60.161+0.872</f>
        <v>61.033000000000001</v>
      </c>
      <c r="K96" s="311">
        <f>49.006+0.395</f>
        <v>49.401000000000003</v>
      </c>
      <c r="L96" s="311">
        <f>52.028+0.224</f>
        <v>52.251999999999995</v>
      </c>
      <c r="M96" s="312">
        <f>N96-SUM(J96:L96)</f>
        <v>64.637000000000029</v>
      </c>
      <c r="N96" s="313">
        <f>224.94+2.383</f>
        <v>227.32300000000001</v>
      </c>
      <c r="O96" s="310">
        <f>60.844+1.029</f>
        <v>61.873000000000005</v>
      </c>
      <c r="P96" s="311">
        <f>49.496+0.611</f>
        <v>50.106999999999999</v>
      </c>
      <c r="Q96" s="311">
        <f>52.899+0.456</f>
        <v>53.355000000000004</v>
      </c>
      <c r="R96" s="312">
        <f>S96-SUM(O96:Q96)</f>
        <v>60.664999999999992</v>
      </c>
      <c r="S96" s="313">
        <v>226</v>
      </c>
      <c r="T96" s="114">
        <v>63.826999999999998</v>
      </c>
      <c r="U96" s="311">
        <f>49.818+0.45</f>
        <v>50.268000000000001</v>
      </c>
      <c r="V96" s="311">
        <f>52.673+0.543</f>
        <v>53.216000000000001</v>
      </c>
      <c r="W96" s="312">
        <f>X96-SUM(T96:V96)</f>
        <v>65.688999999999993</v>
      </c>
      <c r="X96" s="313">
        <v>233</v>
      </c>
      <c r="Y96" s="114">
        <f>48.45+0.955</f>
        <v>49.405000000000001</v>
      </c>
      <c r="Z96" s="311">
        <f>52.927+0.541</f>
        <v>53.467999999999996</v>
      </c>
      <c r="AA96" s="311">
        <f>55.032+0.583</f>
        <v>55.614999999999995</v>
      </c>
      <c r="AB96" s="312">
        <f>AC96-SUM(Y96:AA96)</f>
        <v>68.512</v>
      </c>
      <c r="AC96" s="313">
        <v>227</v>
      </c>
      <c r="AD96" s="114">
        <f>64.364+0.981</f>
        <v>65.344999999999999</v>
      </c>
      <c r="AE96" s="311">
        <f>51.541+0.561</f>
        <v>52.101999999999997</v>
      </c>
      <c r="AF96" s="311">
        <f>55.304+0.817</f>
        <v>56.121000000000002</v>
      </c>
      <c r="AG96" s="312">
        <f>AH96-SUM(AD96:AF96)</f>
        <v>67.431999999999988</v>
      </c>
      <c r="AH96" s="313">
        <v>241</v>
      </c>
      <c r="AI96" s="114">
        <f>64.281+0.91</f>
        <v>65.191000000000003</v>
      </c>
      <c r="AJ96" s="311">
        <f>53.101+0.519</f>
        <v>53.62</v>
      </c>
      <c r="AK96" s="311">
        <f>54.67+0.634</f>
        <v>55.304000000000002</v>
      </c>
      <c r="AL96" s="312">
        <f>AM96-SUM(AI96:AK96)</f>
        <v>67.884999999999991</v>
      </c>
      <c r="AM96" s="313">
        <v>242</v>
      </c>
      <c r="AN96" s="114">
        <f>68.328+0.845</f>
        <v>69.173000000000002</v>
      </c>
      <c r="AO96" s="311">
        <f>54.818+0.44</f>
        <v>55.257999999999996</v>
      </c>
      <c r="AP96" s="311">
        <f>66.422+0.471</f>
        <v>66.893000000000001</v>
      </c>
      <c r="AQ96" s="312">
        <f>AR96-SUM(AN96:AP96)</f>
        <v>76.675999999999988</v>
      </c>
      <c r="AR96" s="313">
        <v>268</v>
      </c>
      <c r="AS96" s="114">
        <f>72.755+0.812</f>
        <v>73.566999999999993</v>
      </c>
      <c r="AT96" s="311">
        <f>60.331+0.508</f>
        <v>60.839000000000006</v>
      </c>
      <c r="AU96" s="311">
        <f>SUM(128.208,69.202,1.784)-SUM(AS96:AT96)</f>
        <v>64.787999999999982</v>
      </c>
      <c r="AV96" s="312">
        <f>AW96-SUM(AS96:AU96)</f>
        <v>74.806000000000012</v>
      </c>
      <c r="AW96" s="313">
        <v>274</v>
      </c>
      <c r="AX96" s="121"/>
      <c r="AY96" s="130"/>
      <c r="AZ96" s="130"/>
      <c r="BA96" s="123"/>
      <c r="BB96" s="86"/>
      <c r="BC96" s="121"/>
      <c r="BD96" s="130"/>
      <c r="BE96" s="130"/>
      <c r="BF96" s="123"/>
      <c r="BG96" s="86"/>
      <c r="BH96" s="121"/>
      <c r="BI96" s="130"/>
      <c r="BJ96" s="130"/>
      <c r="BK96" s="123"/>
      <c r="BL96" s="86"/>
      <c r="BM96" s="121"/>
      <c r="BN96" s="130"/>
      <c r="BO96" s="130"/>
      <c r="BP96" s="123"/>
      <c r="BQ96" s="86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44"/>
      <c r="CY96" s="44"/>
      <c r="CZ96" s="44"/>
    </row>
    <row r="97" spans="1:104" s="555" customFormat="1" x14ac:dyDescent="0.2">
      <c r="A97" s="543"/>
      <c r="B97" s="543"/>
      <c r="C97" s="544" t="s">
        <v>260</v>
      </c>
      <c r="D97" s="545"/>
      <c r="E97" s="546">
        <f t="shared" ref="E97:V97" si="197">SUM(E93:E96)</f>
        <v>6536.2690000000002</v>
      </c>
      <c r="F97" s="547">
        <f t="shared" si="197"/>
        <v>6431.8990000000003</v>
      </c>
      <c r="G97" s="547">
        <f t="shared" si="197"/>
        <v>7374.1260000000011</v>
      </c>
      <c r="H97" s="548">
        <f t="shared" si="197"/>
        <v>6936.9050000000007</v>
      </c>
      <c r="I97" s="549">
        <f t="shared" si="197"/>
        <v>27279.199000000001</v>
      </c>
      <c r="J97" s="546">
        <f t="shared" si="197"/>
        <v>6866.58</v>
      </c>
      <c r="K97" s="547">
        <f t="shared" si="197"/>
        <v>6751.3609999999999</v>
      </c>
      <c r="L97" s="547">
        <f t="shared" si="197"/>
        <v>7705.8050000000003</v>
      </c>
      <c r="M97" s="548">
        <f t="shared" si="197"/>
        <v>6974.8969999999999</v>
      </c>
      <c r="N97" s="549">
        <f t="shared" si="197"/>
        <v>28298.643</v>
      </c>
      <c r="O97" s="546">
        <f t="shared" si="197"/>
        <v>6925.5349999999989</v>
      </c>
      <c r="P97" s="547">
        <f t="shared" si="197"/>
        <v>6647.8719999999994</v>
      </c>
      <c r="Q97" s="547">
        <f t="shared" si="197"/>
        <v>7902.7549999999992</v>
      </c>
      <c r="R97" s="548">
        <f t="shared" si="197"/>
        <v>7006.8380000000025</v>
      </c>
      <c r="S97" s="549">
        <f t="shared" si="197"/>
        <v>28483</v>
      </c>
      <c r="T97" s="546">
        <f t="shared" si="197"/>
        <v>6880.4750000000004</v>
      </c>
      <c r="U97" s="547">
        <f t="shared" si="197"/>
        <v>6989.5590000000002</v>
      </c>
      <c r="V97" s="547">
        <f t="shared" si="197"/>
        <v>7960.2190000000001</v>
      </c>
      <c r="W97" s="548">
        <f t="shared" ref="W97:AD97" si="198">SUM(W93:W96)</f>
        <v>6955.7469999999994</v>
      </c>
      <c r="X97" s="549">
        <f t="shared" si="198"/>
        <v>28786</v>
      </c>
      <c r="Y97" s="546">
        <f t="shared" si="198"/>
        <v>6986.2789999999995</v>
      </c>
      <c r="Z97" s="547">
        <f t="shared" si="198"/>
        <v>6972.0809999999992</v>
      </c>
      <c r="AA97" s="547">
        <f t="shared" si="198"/>
        <v>7785.2099999999991</v>
      </c>
      <c r="AB97" s="548">
        <f t="shared" si="198"/>
        <v>7117.4299999999985</v>
      </c>
      <c r="AC97" s="549">
        <f t="shared" si="198"/>
        <v>28861</v>
      </c>
      <c r="AD97" s="546">
        <f t="shared" si="198"/>
        <v>7092.7029999999995</v>
      </c>
      <c r="AE97" s="547">
        <f t="shared" ref="AE97:AJ97" si="199">SUM(AE93:AE96)</f>
        <v>6796.4949999999999</v>
      </c>
      <c r="AF97" s="547">
        <f t="shared" si="199"/>
        <v>7642.3010000000004</v>
      </c>
      <c r="AG97" s="548">
        <f t="shared" si="199"/>
        <v>7139.5009999999993</v>
      </c>
      <c r="AH97" s="549">
        <f t="shared" si="199"/>
        <v>28671</v>
      </c>
      <c r="AI97" s="546">
        <f t="shared" si="199"/>
        <v>7032.8949999999995</v>
      </c>
      <c r="AJ97" s="547">
        <f t="shared" si="199"/>
        <v>6729.811999999999</v>
      </c>
      <c r="AK97" s="547">
        <f t="shared" ref="AK97:AP97" si="200">SUM(AK93:AK96)</f>
        <v>7803.9449999999997</v>
      </c>
      <c r="AL97" s="548">
        <f t="shared" si="200"/>
        <v>7133.3480000000018</v>
      </c>
      <c r="AM97" s="549">
        <f t="shared" si="200"/>
        <v>28700</v>
      </c>
      <c r="AN97" s="546">
        <f t="shared" si="200"/>
        <v>7040.835</v>
      </c>
      <c r="AO97" s="547">
        <f t="shared" si="200"/>
        <v>6759.451</v>
      </c>
      <c r="AP97" s="547">
        <f t="shared" si="200"/>
        <v>7965.1360000000004</v>
      </c>
      <c r="AQ97" s="548">
        <f t="shared" ref="AQ97:AW97" si="201">SUM(AQ93:AQ96)</f>
        <v>7035.5779999999995</v>
      </c>
      <c r="AR97" s="549">
        <f t="shared" si="201"/>
        <v>28801</v>
      </c>
      <c r="AS97" s="546">
        <f t="shared" si="201"/>
        <v>6930.9690000000001</v>
      </c>
      <c r="AT97" s="547">
        <f t="shared" si="201"/>
        <v>6852.8059999999996</v>
      </c>
      <c r="AU97" s="547">
        <f t="shared" si="201"/>
        <v>7243.945999999999</v>
      </c>
      <c r="AV97" s="548">
        <f t="shared" si="201"/>
        <v>7598.2789999999995</v>
      </c>
      <c r="AW97" s="549">
        <f t="shared" si="201"/>
        <v>28626</v>
      </c>
      <c r="AX97" s="553">
        <f>AS97*(1+AX60)</f>
        <v>7045.3299884999997</v>
      </c>
      <c r="AY97" s="550">
        <f>AT97*(1+AY60)</f>
        <v>6816.4861282000002</v>
      </c>
      <c r="AZ97" s="550">
        <f>AU97*(1+AZ60)</f>
        <v>7298.2755949999992</v>
      </c>
      <c r="BA97" s="551">
        <f>AV97*(1+BA60)</f>
        <v>7632.4712554999987</v>
      </c>
      <c r="BB97" s="552">
        <f>SUM(AX97:BA97)</f>
        <v>28792.5629672</v>
      </c>
      <c r="BC97" s="553">
        <f>AX97*(1+BC60)</f>
        <v>7062.943313471249</v>
      </c>
      <c r="BD97" s="550">
        <f>AY97*(1+BD60)</f>
        <v>6833.5273435204999</v>
      </c>
      <c r="BE97" s="550">
        <f>AZ97*(1+BE60)</f>
        <v>7316.5212839874985</v>
      </c>
      <c r="BF97" s="551">
        <f>BA97*(1+BF60)</f>
        <v>7651.552433638748</v>
      </c>
      <c r="BG97" s="552">
        <f>SUM(BC97:BF97)</f>
        <v>28864.544374617995</v>
      </c>
      <c r="BH97" s="553">
        <f>BC97*(1+BH60)</f>
        <v>7080.6006717549271</v>
      </c>
      <c r="BI97" s="550">
        <f>BD97*(1+BI60)</f>
        <v>6850.6111618793011</v>
      </c>
      <c r="BJ97" s="550">
        <f>BE97*(1+BJ60)</f>
        <v>7334.8125871974671</v>
      </c>
      <c r="BK97" s="551">
        <f>BF97*(1+BK60)</f>
        <v>7670.681314722844</v>
      </c>
      <c r="BL97" s="552">
        <f>SUM(BH97:BK97)</f>
        <v>28936.70573555454</v>
      </c>
      <c r="BM97" s="553">
        <f>BH97*(1+BM60)</f>
        <v>7098.3021734343138</v>
      </c>
      <c r="BN97" s="550">
        <f>BI97*(1+BN60)</f>
        <v>6867.7376897839986</v>
      </c>
      <c r="BO97" s="550">
        <f>BJ97*(1+BO60)</f>
        <v>7353.1496186654604</v>
      </c>
      <c r="BP97" s="551">
        <f>BK97*(1+BP60)</f>
        <v>7689.8580180096506</v>
      </c>
      <c r="BQ97" s="552">
        <f>SUM(BM97:BP97)</f>
        <v>29009.047499893426</v>
      </c>
      <c r="BR97" s="554"/>
      <c r="BS97" s="554"/>
      <c r="BT97" s="554"/>
      <c r="BU97" s="554"/>
      <c r="BV97" s="554"/>
      <c r="BW97" s="554"/>
      <c r="BX97" s="554"/>
      <c r="BY97" s="554"/>
      <c r="BZ97" s="554"/>
      <c r="CA97" s="554"/>
      <c r="CB97" s="554"/>
      <c r="CC97" s="554"/>
      <c r="CD97" s="554"/>
      <c r="CE97" s="554"/>
      <c r="CF97" s="554"/>
      <c r="CG97" s="554"/>
      <c r="CH97" s="554"/>
      <c r="CI97" s="554"/>
      <c r="CJ97" s="554"/>
      <c r="CK97" s="554"/>
      <c r="CL97" s="554"/>
      <c r="CM97" s="554"/>
      <c r="CN97" s="554"/>
      <c r="CO97" s="554"/>
      <c r="CP97" s="554"/>
      <c r="CQ97" s="554"/>
      <c r="CR97" s="554"/>
      <c r="CS97" s="554"/>
      <c r="CT97" s="554"/>
      <c r="CU97" s="554"/>
      <c r="CV97" s="554"/>
      <c r="CW97" s="554"/>
      <c r="CX97" s="554"/>
      <c r="CY97" s="554"/>
      <c r="CZ97" s="554"/>
    </row>
    <row r="98" spans="1:104" x14ac:dyDescent="0.2">
      <c r="A98" s="44"/>
      <c r="B98" s="44"/>
      <c r="C98" s="20" t="s">
        <v>261</v>
      </c>
      <c r="D98" s="42"/>
      <c r="E98" s="310">
        <v>1968.837</v>
      </c>
      <c r="F98" s="311">
        <v>935.94500000000005</v>
      </c>
      <c r="G98" s="311">
        <v>2350.252</v>
      </c>
      <c r="H98" s="312">
        <f>I98-SUM(E98:G98)</f>
        <v>2446.875</v>
      </c>
      <c r="I98" s="313">
        <v>7701.9089999999997</v>
      </c>
      <c r="J98" s="310">
        <v>2272.422</v>
      </c>
      <c r="K98" s="311">
        <v>1939.623</v>
      </c>
      <c r="L98" s="311">
        <v>1801.7550000000001</v>
      </c>
      <c r="M98" s="312">
        <f>N98-SUM(J98:L98)</f>
        <v>1893.7290000000003</v>
      </c>
      <c r="N98" s="313">
        <v>7907.5290000000005</v>
      </c>
      <c r="O98" s="310">
        <v>1749.4179999999999</v>
      </c>
      <c r="P98" s="311">
        <v>1809.375</v>
      </c>
      <c r="Q98" s="311">
        <v>1749.35</v>
      </c>
      <c r="R98" s="312">
        <f>S98-SUM(O98:Q98)</f>
        <v>1286.857</v>
      </c>
      <c r="S98" s="313">
        <v>6595</v>
      </c>
      <c r="T98" s="114">
        <v>1375.4860000000001</v>
      </c>
      <c r="U98" s="311">
        <v>972.67399999999998</v>
      </c>
      <c r="V98" s="311">
        <v>1081.7090000000001</v>
      </c>
      <c r="W98" s="312">
        <f>X98-SUM(T98:V98)</f>
        <v>1034.1310000000003</v>
      </c>
      <c r="X98" s="313">
        <v>4464</v>
      </c>
      <c r="Y98" s="114">
        <v>1122.703</v>
      </c>
      <c r="Z98" s="311">
        <v>996.37199999999996</v>
      </c>
      <c r="AA98" s="311">
        <v>1292.6759999999999</v>
      </c>
      <c r="AB98" s="312">
        <f>AC98-SUM(Y98:AA98)</f>
        <v>1055.2490000000003</v>
      </c>
      <c r="AC98" s="313">
        <v>4467</v>
      </c>
      <c r="AD98" s="114">
        <v>1043.8330000000001</v>
      </c>
      <c r="AE98" s="311">
        <v>680.35199999999998</v>
      </c>
      <c r="AF98" s="311">
        <v>884.44799999999998</v>
      </c>
      <c r="AG98" s="312">
        <f>AH98-SUM(AD98:AF98)</f>
        <v>1055.3670000000002</v>
      </c>
      <c r="AH98" s="313">
        <v>3664</v>
      </c>
      <c r="AI98" s="114">
        <v>653.72500000000002</v>
      </c>
      <c r="AJ98" s="311">
        <v>600.57799999999997</v>
      </c>
      <c r="AK98" s="311">
        <v>975.05799999999999</v>
      </c>
      <c r="AL98" s="312">
        <f>AM98-SUM(AI98:AK98)</f>
        <v>1351.6390000000001</v>
      </c>
      <c r="AM98" s="313">
        <v>3581</v>
      </c>
      <c r="AN98" s="114">
        <v>1127.152</v>
      </c>
      <c r="AO98" s="311">
        <v>1307.867</v>
      </c>
      <c r="AP98" s="311">
        <v>1471.6980000000001</v>
      </c>
      <c r="AQ98" s="312">
        <f>AR98-SUM(AN98:AP98)</f>
        <v>765.28299999999945</v>
      </c>
      <c r="AR98" s="313">
        <v>4672</v>
      </c>
      <c r="AS98" s="114">
        <v>2617.8209999999999</v>
      </c>
      <c r="AT98" s="311">
        <v>2511.442</v>
      </c>
      <c r="AU98" s="311">
        <f>5166.017-SUM(AS98:AT98)</f>
        <v>36.753999999999905</v>
      </c>
      <c r="AV98" s="312">
        <f>AW98-SUM(AS98:AU98)</f>
        <v>-315.01699999999983</v>
      </c>
      <c r="AW98" s="313">
        <v>4851</v>
      </c>
      <c r="AX98" s="136">
        <f>+AS98</f>
        <v>2617.8209999999999</v>
      </c>
      <c r="AY98" s="137">
        <f>+AT98</f>
        <v>2511.442</v>
      </c>
      <c r="AZ98" s="137">
        <f>+AU98</f>
        <v>36.753999999999905</v>
      </c>
      <c r="BA98" s="116">
        <f>+AV98</f>
        <v>-315.01699999999983</v>
      </c>
      <c r="BB98" s="82">
        <f>SUM(AX98:BA98)</f>
        <v>4851</v>
      </c>
      <c r="BC98" s="136">
        <f>+AX98</f>
        <v>2617.8209999999999</v>
      </c>
      <c r="BD98" s="137">
        <f>+AY98</f>
        <v>2511.442</v>
      </c>
      <c r="BE98" s="137">
        <f>+AZ98</f>
        <v>36.753999999999905</v>
      </c>
      <c r="BF98" s="116">
        <f>+BA98</f>
        <v>-315.01699999999983</v>
      </c>
      <c r="BG98" s="82">
        <f>SUM(BC98:BF98)</f>
        <v>4851</v>
      </c>
      <c r="BH98" s="136">
        <f>+BC98</f>
        <v>2617.8209999999999</v>
      </c>
      <c r="BI98" s="137">
        <f>+BD98</f>
        <v>2511.442</v>
      </c>
      <c r="BJ98" s="137">
        <f>+BE98</f>
        <v>36.753999999999905</v>
      </c>
      <c r="BK98" s="116">
        <f>+BF98</f>
        <v>-315.01699999999983</v>
      </c>
      <c r="BL98" s="82">
        <f>SUM(BH98:BK98)</f>
        <v>4851</v>
      </c>
      <c r="BM98" s="136">
        <f>+BH98</f>
        <v>2617.8209999999999</v>
      </c>
      <c r="BN98" s="137">
        <f>+BI98</f>
        <v>2511.442</v>
      </c>
      <c r="BO98" s="137">
        <f>+BJ98</f>
        <v>36.753999999999905</v>
      </c>
      <c r="BP98" s="116">
        <f>+BK98</f>
        <v>-315.01699999999983</v>
      </c>
      <c r="BQ98" s="82">
        <f>SUM(BM98:BP98)</f>
        <v>4851</v>
      </c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  <c r="CX98" s="44"/>
      <c r="CY98" s="44"/>
      <c r="CZ98" s="44"/>
    </row>
    <row r="99" spans="1:104" x14ac:dyDescent="0.2">
      <c r="A99" s="44"/>
      <c r="B99" s="44"/>
      <c r="C99" s="26" t="s">
        <v>262</v>
      </c>
      <c r="D99" s="42"/>
      <c r="E99" s="121">
        <f t="shared" ref="E99:R99" si="202">SUM(E97:E98)</f>
        <v>8505.1059999999998</v>
      </c>
      <c r="F99" s="122">
        <f t="shared" si="202"/>
        <v>7367.8440000000001</v>
      </c>
      <c r="G99" s="122">
        <f t="shared" si="202"/>
        <v>9724.3780000000006</v>
      </c>
      <c r="H99" s="123">
        <f t="shared" si="202"/>
        <v>9383.7800000000007</v>
      </c>
      <c r="I99" s="86">
        <f t="shared" si="202"/>
        <v>34981.108</v>
      </c>
      <c r="J99" s="121">
        <f t="shared" si="202"/>
        <v>9139.0020000000004</v>
      </c>
      <c r="K99" s="122">
        <f t="shared" si="202"/>
        <v>8690.9840000000004</v>
      </c>
      <c r="L99" s="122">
        <f t="shared" si="202"/>
        <v>9507.5600000000013</v>
      </c>
      <c r="M99" s="126">
        <f t="shared" si="202"/>
        <v>8868.6260000000002</v>
      </c>
      <c r="N99" s="86">
        <f t="shared" si="202"/>
        <v>36206.171999999999</v>
      </c>
      <c r="O99" s="121">
        <f t="shared" si="202"/>
        <v>8674.9529999999995</v>
      </c>
      <c r="P99" s="122">
        <f t="shared" si="202"/>
        <v>8457.2469999999994</v>
      </c>
      <c r="Q99" s="122">
        <f t="shared" si="202"/>
        <v>9652.1049999999996</v>
      </c>
      <c r="R99" s="126">
        <f t="shared" si="202"/>
        <v>8293.6950000000033</v>
      </c>
      <c r="S99" s="86">
        <f>SUM(S97:S98)</f>
        <v>35078</v>
      </c>
      <c r="T99" s="121">
        <f t="shared" ref="T99:Y99" si="203">SUM(T97:T98)</f>
        <v>8255.9610000000011</v>
      </c>
      <c r="U99" s="122">
        <f t="shared" si="203"/>
        <v>7962.2330000000002</v>
      </c>
      <c r="V99" s="122">
        <f t="shared" si="203"/>
        <v>9041.9279999999999</v>
      </c>
      <c r="W99" s="126">
        <f t="shared" si="203"/>
        <v>7989.8779999999997</v>
      </c>
      <c r="X99" s="86">
        <f t="shared" si="203"/>
        <v>33250</v>
      </c>
      <c r="Y99" s="121">
        <f t="shared" si="203"/>
        <v>8108.982</v>
      </c>
      <c r="Z99" s="122">
        <f t="shared" ref="Z99:AF99" si="204">SUM(Z97:Z98)</f>
        <v>7968.4529999999995</v>
      </c>
      <c r="AA99" s="122">
        <f t="shared" si="204"/>
        <v>9077.8859999999986</v>
      </c>
      <c r="AB99" s="126">
        <f t="shared" si="204"/>
        <v>8172.6789999999983</v>
      </c>
      <c r="AC99" s="86">
        <f t="shared" si="204"/>
        <v>33328</v>
      </c>
      <c r="AD99" s="121">
        <f t="shared" si="204"/>
        <v>8136.5360000000001</v>
      </c>
      <c r="AE99" s="122">
        <f t="shared" si="204"/>
        <v>7476.8469999999998</v>
      </c>
      <c r="AF99" s="122">
        <f t="shared" si="204"/>
        <v>8526.7489999999998</v>
      </c>
      <c r="AG99" s="126">
        <f t="shared" ref="AG99:AN99" si="205">SUM(AG97:AG98)</f>
        <v>8194.8679999999986</v>
      </c>
      <c r="AH99" s="86">
        <f t="shared" si="205"/>
        <v>32335</v>
      </c>
      <c r="AI99" s="121">
        <f t="shared" si="205"/>
        <v>7686.62</v>
      </c>
      <c r="AJ99" s="122">
        <f t="shared" si="205"/>
        <v>7330.3899999999994</v>
      </c>
      <c r="AK99" s="122">
        <f t="shared" si="205"/>
        <v>8779.0030000000006</v>
      </c>
      <c r="AL99" s="126">
        <f t="shared" si="205"/>
        <v>8484.987000000001</v>
      </c>
      <c r="AM99" s="86">
        <f t="shared" si="205"/>
        <v>32281</v>
      </c>
      <c r="AN99" s="121">
        <f t="shared" si="205"/>
        <v>8167.9870000000001</v>
      </c>
      <c r="AO99" s="122">
        <f t="shared" ref="AO99:AU99" si="206">SUM(AO97:AO98)</f>
        <v>8067.3180000000002</v>
      </c>
      <c r="AP99" s="122">
        <f t="shared" si="206"/>
        <v>9436.8340000000007</v>
      </c>
      <c r="AQ99" s="126">
        <f t="shared" si="206"/>
        <v>7800.860999999999</v>
      </c>
      <c r="AR99" s="86">
        <f t="shared" si="206"/>
        <v>33473</v>
      </c>
      <c r="AS99" s="121">
        <f t="shared" si="206"/>
        <v>9548.7900000000009</v>
      </c>
      <c r="AT99" s="122">
        <f t="shared" si="206"/>
        <v>9364.2479999999996</v>
      </c>
      <c r="AU99" s="122">
        <f t="shared" si="206"/>
        <v>7280.6999999999989</v>
      </c>
      <c r="AV99" s="126">
        <f t="shared" ref="AV99:AW99" si="207">SUM(AV97:AV98)</f>
        <v>7283.2619999999997</v>
      </c>
      <c r="AW99" s="86">
        <f t="shared" si="207"/>
        <v>33477</v>
      </c>
      <c r="AX99" s="121">
        <f t="shared" ref="AX99:BG99" si="208">SUM(AX97:AX98)</f>
        <v>9663.1509884999996</v>
      </c>
      <c r="AY99" s="122">
        <f t="shared" si="208"/>
        <v>9327.9281282000011</v>
      </c>
      <c r="AZ99" s="122">
        <f t="shared" si="208"/>
        <v>7335.0295949999991</v>
      </c>
      <c r="BA99" s="123">
        <f t="shared" si="208"/>
        <v>7317.4542554999989</v>
      </c>
      <c r="BB99" s="86">
        <f t="shared" si="208"/>
        <v>33643.5629672</v>
      </c>
      <c r="BC99" s="121">
        <f t="shared" si="208"/>
        <v>9680.7643134712489</v>
      </c>
      <c r="BD99" s="122">
        <f t="shared" si="208"/>
        <v>9344.9693435205008</v>
      </c>
      <c r="BE99" s="122">
        <f t="shared" si="208"/>
        <v>7353.2752839874984</v>
      </c>
      <c r="BF99" s="123">
        <f t="shared" si="208"/>
        <v>7336.5354336387481</v>
      </c>
      <c r="BG99" s="86">
        <f t="shared" si="208"/>
        <v>33715.544374617995</v>
      </c>
      <c r="BH99" s="121">
        <f t="shared" ref="BH99:BQ99" si="209">SUM(BH97:BH98)</f>
        <v>9698.421671754928</v>
      </c>
      <c r="BI99" s="122">
        <f t="shared" si="209"/>
        <v>9362.0531618793011</v>
      </c>
      <c r="BJ99" s="122">
        <f t="shared" si="209"/>
        <v>7371.566587197467</v>
      </c>
      <c r="BK99" s="123">
        <f t="shared" si="209"/>
        <v>7355.6643147228442</v>
      </c>
      <c r="BL99" s="86">
        <f t="shared" si="209"/>
        <v>33787.70573555454</v>
      </c>
      <c r="BM99" s="121">
        <f t="shared" si="209"/>
        <v>9716.1231734343128</v>
      </c>
      <c r="BN99" s="122">
        <f t="shared" si="209"/>
        <v>9379.1796897839995</v>
      </c>
      <c r="BO99" s="122">
        <f t="shared" si="209"/>
        <v>7389.9036186654603</v>
      </c>
      <c r="BP99" s="123">
        <f t="shared" si="209"/>
        <v>7374.8410180096507</v>
      </c>
      <c r="BQ99" s="86">
        <f t="shared" si="209"/>
        <v>33860.047499893422</v>
      </c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  <c r="CX99" s="44"/>
      <c r="CY99" s="44"/>
      <c r="CZ99" s="44"/>
    </row>
    <row r="100" spans="1:104" x14ac:dyDescent="0.2">
      <c r="A100" s="44"/>
      <c r="B100" s="44"/>
      <c r="C100" s="82"/>
      <c r="D100" s="42"/>
      <c r="E100" s="121"/>
      <c r="F100" s="130"/>
      <c r="G100" s="130"/>
      <c r="H100" s="123"/>
      <c r="I100" s="86"/>
      <c r="J100" s="121"/>
      <c r="K100" s="130"/>
      <c r="L100" s="130"/>
      <c r="M100" s="123"/>
      <c r="N100" s="86"/>
      <c r="O100" s="121"/>
      <c r="P100" s="130"/>
      <c r="Q100" s="130"/>
      <c r="R100" s="123"/>
      <c r="S100" s="86"/>
      <c r="T100" s="121"/>
      <c r="U100" s="130"/>
      <c r="V100" s="130"/>
      <c r="W100" s="123"/>
      <c r="X100" s="86"/>
      <c r="Y100" s="121"/>
      <c r="Z100" s="130"/>
      <c r="AA100" s="130"/>
      <c r="AB100" s="123"/>
      <c r="AC100" s="86"/>
      <c r="AD100" s="121"/>
      <c r="AE100" s="130"/>
      <c r="AF100" s="130"/>
      <c r="AG100" s="123"/>
      <c r="AH100" s="86"/>
      <c r="AI100" s="121"/>
      <c r="AJ100" s="130"/>
      <c r="AK100" s="130"/>
      <c r="AL100" s="123"/>
      <c r="AM100" s="86"/>
      <c r="AN100" s="121"/>
      <c r="AO100" s="130"/>
      <c r="AP100" s="944"/>
      <c r="AQ100" s="123"/>
      <c r="AR100" s="86"/>
      <c r="AS100" s="121"/>
      <c r="AT100" s="130"/>
      <c r="AU100" s="130"/>
      <c r="AV100" s="123"/>
      <c r="AW100" s="86"/>
      <c r="AX100" s="121"/>
      <c r="AY100" s="130"/>
      <c r="AZ100" s="130"/>
      <c r="BA100" s="123"/>
      <c r="BB100" s="86"/>
      <c r="BC100" s="121"/>
      <c r="BD100" s="130"/>
      <c r="BE100" s="130"/>
      <c r="BF100" s="123"/>
      <c r="BG100" s="86"/>
      <c r="BH100" s="121"/>
      <c r="BI100" s="130"/>
      <c r="BJ100" s="130"/>
      <c r="BK100" s="123"/>
      <c r="BL100" s="86"/>
      <c r="BM100" s="121"/>
      <c r="BN100" s="130"/>
      <c r="BO100" s="130"/>
      <c r="BP100" s="123"/>
      <c r="BQ100" s="86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  <c r="CX100" s="44"/>
      <c r="CY100" s="44"/>
      <c r="CZ100" s="44"/>
    </row>
    <row r="101" spans="1:104" x14ac:dyDescent="0.2">
      <c r="A101" s="20"/>
      <c r="B101" s="20"/>
      <c r="C101" s="20" t="s">
        <v>263</v>
      </c>
      <c r="D101" s="20"/>
      <c r="E101" s="203"/>
      <c r="F101" s="204"/>
      <c r="G101" s="204"/>
      <c r="H101" s="205"/>
      <c r="I101" s="206"/>
      <c r="J101" s="207">
        <f t="shared" ref="J101:AP101" si="210">+J97/E97-1</f>
        <v>5.0535098846145932E-2</v>
      </c>
      <c r="K101" s="208">
        <f t="shared" si="210"/>
        <v>4.9668379431953014E-2</v>
      </c>
      <c r="L101" s="208">
        <f t="shared" si="210"/>
        <v>4.4978754092349194E-2</v>
      </c>
      <c r="M101" s="209">
        <f t="shared" si="210"/>
        <v>5.4767940457594033E-3</v>
      </c>
      <c r="N101" s="88">
        <f t="shared" si="210"/>
        <v>3.7370745380023829E-2</v>
      </c>
      <c r="O101" s="207">
        <f t="shared" si="210"/>
        <v>8.5857879759645428E-3</v>
      </c>
      <c r="P101" s="208">
        <f t="shared" si="210"/>
        <v>-1.5328613001141633E-2</v>
      </c>
      <c r="Q101" s="208">
        <f t="shared" si="210"/>
        <v>2.5558653508620965E-2</v>
      </c>
      <c r="R101" s="209">
        <f t="shared" si="210"/>
        <v>4.5794224631563463E-3</v>
      </c>
      <c r="S101" s="88">
        <f t="shared" si="210"/>
        <v>6.514694008472377E-3</v>
      </c>
      <c r="T101" s="207">
        <f t="shared" si="210"/>
        <v>-6.5063565486274122E-3</v>
      </c>
      <c r="U101" s="208">
        <f t="shared" si="210"/>
        <v>5.1397951103751893E-2</v>
      </c>
      <c r="V101" s="208">
        <f t="shared" si="210"/>
        <v>7.2713882690278453E-3</v>
      </c>
      <c r="W101" s="209">
        <f t="shared" si="210"/>
        <v>-7.2915914425313311E-3</v>
      </c>
      <c r="X101" s="88">
        <f t="shared" si="210"/>
        <v>1.0637924375943575E-2</v>
      </c>
      <c r="Y101" s="207">
        <f t="shared" si="210"/>
        <v>1.5377426703824915E-2</v>
      </c>
      <c r="Z101" s="208">
        <f t="shared" si="210"/>
        <v>-2.5005869469019171E-3</v>
      </c>
      <c r="AA101" s="208">
        <f t="shared" si="210"/>
        <v>-2.1985450400296869E-2</v>
      </c>
      <c r="AB101" s="209">
        <f t="shared" si="210"/>
        <v>2.3244519963132593E-2</v>
      </c>
      <c r="AC101" s="88">
        <f t="shared" si="210"/>
        <v>2.6054331966929301E-3</v>
      </c>
      <c r="AD101" s="207">
        <f t="shared" si="210"/>
        <v>1.5233287992077127E-2</v>
      </c>
      <c r="AE101" s="208">
        <f t="shared" si="210"/>
        <v>-2.518415950703945E-2</v>
      </c>
      <c r="AF101" s="208">
        <f t="shared" si="210"/>
        <v>-1.8356473364237957E-2</v>
      </c>
      <c r="AG101" s="209">
        <f t="shared" si="210"/>
        <v>3.1009788645621761E-3</v>
      </c>
      <c r="AH101" s="88">
        <f t="shared" si="210"/>
        <v>-6.5832784726793658E-3</v>
      </c>
      <c r="AI101" s="207">
        <f t="shared" si="210"/>
        <v>-8.4323282675166089E-3</v>
      </c>
      <c r="AJ101" s="208">
        <f t="shared" si="210"/>
        <v>-9.8113807190325364E-3</v>
      </c>
      <c r="AK101" s="208">
        <f t="shared" si="210"/>
        <v>2.1151221340274251E-2</v>
      </c>
      <c r="AL101" s="209">
        <f t="shared" si="210"/>
        <v>-8.618249370645481E-4</v>
      </c>
      <c r="AM101" s="88">
        <f t="shared" si="210"/>
        <v>1.0114750095915337E-3</v>
      </c>
      <c r="AN101" s="207">
        <f t="shared" ref="AN101:AU101" si="211">+AN97/AI97-1</f>
        <v>1.1289803132281673E-3</v>
      </c>
      <c r="AO101" s="208">
        <f t="shared" si="210"/>
        <v>4.4041349149130937E-3</v>
      </c>
      <c r="AP101" s="208">
        <f t="shared" si="210"/>
        <v>2.0655066123608012E-2</v>
      </c>
      <c r="AQ101" s="209">
        <f>+AQ97/AL97-1</f>
        <v>-1.3706046585698961E-2</v>
      </c>
      <c r="AR101" s="88">
        <f>+AR97/AM97-1</f>
        <v>3.5191637630662687E-3</v>
      </c>
      <c r="AS101" s="207">
        <f t="shared" si="211"/>
        <v>-1.5604115136912067E-2</v>
      </c>
      <c r="AT101" s="208">
        <f t="shared" si="211"/>
        <v>1.3811032878261686E-2</v>
      </c>
      <c r="AU101" s="208">
        <f t="shared" si="211"/>
        <v>-9.0543337866421991E-2</v>
      </c>
      <c r="AV101" s="209">
        <f>+AV97/AQ97-1</f>
        <v>7.9979356351389974E-2</v>
      </c>
      <c r="AW101" s="88">
        <f>+AW97/AR97-1</f>
        <v>-6.0761779104892E-3</v>
      </c>
      <c r="AX101" s="207">
        <f t="shared" ref="AX101:BG101" si="212">+AX97/AS97-1</f>
        <v>1.6499999999999959E-2</v>
      </c>
      <c r="AY101" s="208">
        <f t="shared" si="212"/>
        <v>-5.2999999999998604E-3</v>
      </c>
      <c r="AZ101" s="208">
        <f t="shared" si="212"/>
        <v>7.5000000000000622E-3</v>
      </c>
      <c r="BA101" s="209">
        <f t="shared" si="212"/>
        <v>4.4999999999999485E-3</v>
      </c>
      <c r="BB101" s="88">
        <f t="shared" si="212"/>
        <v>5.8185903444420983E-3</v>
      </c>
      <c r="BC101" s="207">
        <f t="shared" si="212"/>
        <v>2.4999999999999467E-3</v>
      </c>
      <c r="BD101" s="208">
        <f t="shared" si="212"/>
        <v>2.4999999999999467E-3</v>
      </c>
      <c r="BE101" s="208">
        <f t="shared" si="212"/>
        <v>2.4999999999999467E-3</v>
      </c>
      <c r="BF101" s="209">
        <f t="shared" si="212"/>
        <v>2.4999999999999467E-3</v>
      </c>
      <c r="BG101" s="88">
        <f t="shared" si="212"/>
        <v>2.4999999999999467E-3</v>
      </c>
      <c r="BH101" s="207">
        <f t="shared" ref="BH101:BQ101" si="213">+BH97/BC97-1</f>
        <v>2.4999999999999467E-3</v>
      </c>
      <c r="BI101" s="208">
        <f t="shared" si="213"/>
        <v>2.4999999999999467E-3</v>
      </c>
      <c r="BJ101" s="208">
        <f t="shared" si="213"/>
        <v>2.4999999999999467E-3</v>
      </c>
      <c r="BK101" s="209">
        <f t="shared" si="213"/>
        <v>2.4999999999999467E-3</v>
      </c>
      <c r="BL101" s="88">
        <f t="shared" si="213"/>
        <v>2.4999999999999467E-3</v>
      </c>
      <c r="BM101" s="207">
        <f t="shared" si="213"/>
        <v>2.4999999999999467E-3</v>
      </c>
      <c r="BN101" s="208">
        <f t="shared" si="213"/>
        <v>2.4999999999999467E-3</v>
      </c>
      <c r="BO101" s="208">
        <f t="shared" si="213"/>
        <v>2.4999999999999467E-3</v>
      </c>
      <c r="BP101" s="209">
        <f t="shared" si="213"/>
        <v>2.4999999999999467E-3</v>
      </c>
      <c r="BQ101" s="88">
        <f t="shared" si="213"/>
        <v>2.4999999999999467E-3</v>
      </c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</row>
    <row r="102" spans="1:104" x14ac:dyDescent="0.2">
      <c r="C102" s="316"/>
      <c r="E102" s="273"/>
      <c r="F102" s="274"/>
      <c r="G102" s="274"/>
      <c r="H102" s="275"/>
      <c r="I102" s="169"/>
      <c r="J102" s="273"/>
      <c r="K102" s="274"/>
      <c r="L102" s="274"/>
      <c r="M102" s="275"/>
      <c r="N102" s="169"/>
      <c r="O102" s="273"/>
      <c r="P102" s="274"/>
      <c r="Q102" s="274"/>
      <c r="R102" s="275"/>
      <c r="S102" s="169"/>
      <c r="T102" s="273"/>
      <c r="U102" s="274"/>
      <c r="V102" s="274"/>
      <c r="W102" s="275"/>
      <c r="X102" s="169"/>
      <c r="Y102" s="273"/>
      <c r="Z102" s="274"/>
      <c r="AA102" s="274"/>
      <c r="AB102" s="275"/>
      <c r="AC102" s="169"/>
      <c r="AD102" s="273"/>
      <c r="AE102" s="274"/>
      <c r="AF102" s="274"/>
      <c r="AG102" s="275"/>
      <c r="AH102" s="169"/>
      <c r="AI102" s="273"/>
      <c r="AJ102" s="274"/>
      <c r="AK102" s="274"/>
      <c r="AL102" s="275"/>
      <c r="AM102" s="169"/>
      <c r="AN102" s="273"/>
      <c r="AO102" s="274"/>
      <c r="AP102" s="274"/>
      <c r="AQ102" s="275"/>
      <c r="AR102" s="169"/>
      <c r="AS102" s="273"/>
      <c r="AT102" s="274"/>
      <c r="AU102" s="274"/>
      <c r="AV102" s="275"/>
      <c r="AW102" s="169"/>
      <c r="AX102" s="273"/>
      <c r="AY102" s="274"/>
      <c r="AZ102" s="274"/>
      <c r="BA102" s="275"/>
      <c r="BB102" s="169"/>
      <c r="BC102" s="273"/>
      <c r="BD102" s="274"/>
      <c r="BE102" s="274"/>
      <c r="BF102" s="275"/>
      <c r="BG102" s="169"/>
      <c r="BH102" s="273"/>
      <c r="BI102" s="274"/>
      <c r="BJ102" s="274"/>
      <c r="BK102" s="275"/>
      <c r="BL102" s="169"/>
      <c r="BM102" s="273"/>
      <c r="BN102" s="274"/>
      <c r="BO102" s="274"/>
      <c r="BP102" s="275"/>
      <c r="BQ102" s="169"/>
    </row>
    <row r="103" spans="1:104" x14ac:dyDescent="0.2">
      <c r="C103" s="26" t="s">
        <v>470</v>
      </c>
      <c r="E103" s="317">
        <f>E88/E97*1000</f>
        <v>70.764223443068204</v>
      </c>
      <c r="F103" s="318">
        <f t="shared" ref="F103:O103" si="214">F88/F97*1000</f>
        <v>76.767374612070242</v>
      </c>
      <c r="G103" s="318">
        <f t="shared" si="214"/>
        <v>88.987766143404642</v>
      </c>
      <c r="H103" s="319">
        <f t="shared" si="214"/>
        <v>87.062602125876012</v>
      </c>
      <c r="I103" s="320">
        <f t="shared" si="214"/>
        <v>81.250406216106271</v>
      </c>
      <c r="J103" s="317">
        <f t="shared" si="214"/>
        <v>85.497438317182642</v>
      </c>
      <c r="K103" s="318">
        <f t="shared" si="214"/>
        <v>99.358633022289879</v>
      </c>
      <c r="L103" s="318">
        <f t="shared" si="214"/>
        <v>100.44894725469955</v>
      </c>
      <c r="M103" s="319">
        <f>M88/M97*1000</f>
        <v>83.475211175161434</v>
      </c>
      <c r="N103" s="320">
        <f>N88/N97*1000</f>
        <v>92.37729173091445</v>
      </c>
      <c r="O103" s="317">
        <f t="shared" si="214"/>
        <v>84.309010062038539</v>
      </c>
      <c r="P103" s="318">
        <f t="shared" ref="P103:V103" si="215">P88/P97*1000</f>
        <v>94.74761246907282</v>
      </c>
      <c r="Q103" s="318">
        <f t="shared" si="215"/>
        <v>104.63060034127342</v>
      </c>
      <c r="R103" s="319">
        <f t="shared" si="215"/>
        <v>90.312634600657162</v>
      </c>
      <c r="S103" s="320">
        <f t="shared" si="215"/>
        <v>93.860583505950913</v>
      </c>
      <c r="T103" s="317">
        <f t="shared" si="215"/>
        <v>82.34010006576581</v>
      </c>
      <c r="U103" s="318">
        <f t="shared" si="215"/>
        <v>89.339542022608299</v>
      </c>
      <c r="V103" s="318">
        <f t="shared" si="215"/>
        <v>98.37493164446856</v>
      </c>
      <c r="W103" s="319">
        <f t="shared" ref="W103:AD103" si="216">W88/W97*1000</f>
        <v>90.492796819665799</v>
      </c>
      <c r="X103" s="320">
        <f t="shared" si="216"/>
        <v>90.44375738206071</v>
      </c>
      <c r="Y103" s="317">
        <f t="shared" si="216"/>
        <v>91.60598939721703</v>
      </c>
      <c r="Z103" s="318">
        <f t="shared" si="216"/>
        <v>96.96545407318132</v>
      </c>
      <c r="AA103" s="318">
        <f t="shared" si="216"/>
        <v>104.65921921181318</v>
      </c>
      <c r="AB103" s="319">
        <f t="shared" si="216"/>
        <v>93.037233945398867</v>
      </c>
      <c r="AC103" s="320">
        <f t="shared" si="216"/>
        <v>96.774747929732158</v>
      </c>
      <c r="AD103" s="317">
        <f t="shared" si="216"/>
        <v>92.871222720026481</v>
      </c>
      <c r="AE103" s="318">
        <f t="shared" ref="AE103:AJ103" si="217">AE88/AE97*1000</f>
        <v>104.22416260145853</v>
      </c>
      <c r="AF103" s="318">
        <f t="shared" si="217"/>
        <v>108.73780030386135</v>
      </c>
      <c r="AG103" s="319">
        <f t="shared" si="217"/>
        <v>93.430199113355442</v>
      </c>
      <c r="AH103" s="320">
        <f t="shared" si="217"/>
        <v>99.930905793310302</v>
      </c>
      <c r="AI103" s="317">
        <f t="shared" si="217"/>
        <v>92.687719637503463</v>
      </c>
      <c r="AJ103" s="318">
        <f t="shared" si="217"/>
        <v>99.932063481119542</v>
      </c>
      <c r="AK103" s="318">
        <f t="shared" ref="AK103:AP103" si="218">AK88/AK97*1000</f>
        <v>101.02185497206862</v>
      </c>
      <c r="AL103" s="319">
        <f t="shared" si="218"/>
        <v>91.650933054156297</v>
      </c>
      <c r="AM103" s="320">
        <f t="shared" si="218"/>
        <v>96.394912891986067</v>
      </c>
      <c r="AN103" s="317">
        <f t="shared" si="218"/>
        <v>84.634421911605642</v>
      </c>
      <c r="AO103" s="318">
        <f t="shared" si="218"/>
        <v>96.095969924184672</v>
      </c>
      <c r="AP103" s="318">
        <f t="shared" si="218"/>
        <v>103.9387149196197</v>
      </c>
      <c r="AQ103" s="319">
        <f t="shared" ref="AQ103:AU103" si="219">AQ88/AQ97*1000</f>
        <v>94.368223904276277</v>
      </c>
      <c r="AR103" s="320">
        <f t="shared" si="219"/>
        <v>95.040936078608397</v>
      </c>
      <c r="AS103" s="317">
        <f t="shared" si="219"/>
        <v>91.150169622746859</v>
      </c>
      <c r="AT103" s="318">
        <f t="shared" si="219"/>
        <v>97.102413230434365</v>
      </c>
      <c r="AU103" s="318">
        <f t="shared" si="219"/>
        <v>111.36119526567427</v>
      </c>
      <c r="AV103" s="319">
        <f t="shared" ref="AV103:AW103" si="220">AV88/AV97*1000</f>
        <v>83.075985364580589</v>
      </c>
      <c r="AW103" s="320">
        <f t="shared" si="220"/>
        <v>95.546426325717889</v>
      </c>
      <c r="AX103" s="317">
        <f>AS103+(AX105/AX97*1000)</f>
        <v>88.585815837060665</v>
      </c>
      <c r="AY103" s="318">
        <f>AT103+(AY105/AY97*1000)</f>
        <v>95.613857626185251</v>
      </c>
      <c r="AZ103" s="318">
        <f>AU103+(AZ105/AZ97*1000)</f>
        <v>106.35361256319912</v>
      </c>
      <c r="BA103" s="319">
        <f>AV103+(BA105/BA97*1000)</f>
        <v>82.265406664666031</v>
      </c>
      <c r="BB103" s="320">
        <f>BB88/BB97*1000</f>
        <v>93.077964917478283</v>
      </c>
      <c r="BC103" s="317">
        <f>AX103+(BC105/BC97*1000)</f>
        <v>90.103268629409143</v>
      </c>
      <c r="BD103" s="318">
        <f>AY103+(BD105/BD97*1000)</f>
        <v>97.23683833522449</v>
      </c>
      <c r="BE103" s="318">
        <f>AZ103+(BE105/BE97*1000)</f>
        <v>108.17533664980792</v>
      </c>
      <c r="BF103" s="319">
        <f>BA103+(BF105/BF97*1000)</f>
        <v>83.666126733721228</v>
      </c>
      <c r="BG103" s="320">
        <f>BG88/BG97*1000</f>
        <v>94.66658282939747</v>
      </c>
      <c r="BH103" s="317">
        <f>BC103+(BH105/BH97*1000)</f>
        <v>91.621809718178241</v>
      </c>
      <c r="BI103" s="318">
        <f>BD103+(BI105/BI97*1000)</f>
        <v>98.861026716421947</v>
      </c>
      <c r="BJ103" s="318">
        <f>BE103+(BJ105/BJ97*1000)</f>
        <v>109.99865290966287</v>
      </c>
      <c r="BK103" s="319">
        <f>BF103+(BK105/BK97*1000)</f>
        <v>85.06785138008199</v>
      </c>
      <c r="BL103" s="320">
        <f>BL88/BL97*1000</f>
        <v>96.256422828232502</v>
      </c>
      <c r="BM103" s="317">
        <f>BH103+(BM105/BM97*1000)</f>
        <v>93.160680920648389</v>
      </c>
      <c r="BN103" s="318">
        <f>BI103+(BN105/BN97*1000)</f>
        <v>100.49502517530634</v>
      </c>
      <c r="BO103" s="318">
        <f>BJ103+(BO105/BO97*1000)</f>
        <v>111.76835344290062</v>
      </c>
      <c r="BP103" s="319">
        <f>BK103+(BP105/BP97*1000)</f>
        <v>86.48983768665876</v>
      </c>
      <c r="BQ103" s="320">
        <f>BQ88/BQ97*1000</f>
        <v>97.845340603098649</v>
      </c>
    </row>
    <row r="104" spans="1:104" x14ac:dyDescent="0.2">
      <c r="C104" s="70"/>
      <c r="E104" s="273"/>
      <c r="F104" s="274"/>
      <c r="G104" s="274"/>
      <c r="H104" s="275"/>
      <c r="I104" s="169"/>
      <c r="J104" s="273"/>
      <c r="K104" s="274"/>
      <c r="L104" s="274"/>
      <c r="M104" s="275"/>
      <c r="N104" s="169"/>
      <c r="O104" s="273"/>
      <c r="P104" s="274"/>
      <c r="Q104" s="274"/>
      <c r="R104" s="275"/>
      <c r="S104" s="169"/>
      <c r="T104" s="273"/>
      <c r="U104" s="274"/>
      <c r="V104" s="274"/>
      <c r="W104" s="275"/>
      <c r="X104" s="169"/>
      <c r="Y104" s="273"/>
      <c r="Z104" s="274"/>
      <c r="AA104" s="274"/>
      <c r="AB104" s="275"/>
      <c r="AC104" s="169"/>
      <c r="AD104" s="273"/>
      <c r="AE104" s="274"/>
      <c r="AF104" s="274"/>
      <c r="AG104" s="275"/>
      <c r="AH104" s="169"/>
      <c r="AI104" s="273"/>
      <c r="AJ104" s="274"/>
      <c r="AK104" s="274"/>
      <c r="AL104" s="275"/>
      <c r="AM104" s="169"/>
      <c r="AN104" s="273"/>
      <c r="AO104" s="274"/>
      <c r="AP104" s="274"/>
      <c r="AQ104" s="275"/>
      <c r="AR104" s="169"/>
      <c r="AS104" s="273"/>
      <c r="AT104" s="274"/>
      <c r="AU104" s="274"/>
      <c r="AV104" s="275"/>
      <c r="AW104" s="169"/>
      <c r="AX104" s="273"/>
      <c r="AY104" s="274"/>
      <c r="AZ104" s="274"/>
      <c r="BA104" s="275"/>
      <c r="BB104" s="169"/>
      <c r="BC104" s="273"/>
      <c r="BD104" s="274"/>
      <c r="BE104" s="274"/>
      <c r="BF104" s="275"/>
      <c r="BG104" s="169"/>
      <c r="BH104" s="273"/>
      <c r="BI104" s="274"/>
      <c r="BJ104" s="274"/>
      <c r="BK104" s="275"/>
      <c r="BL104" s="169"/>
      <c r="BM104" s="273"/>
      <c r="BN104" s="274"/>
      <c r="BO104" s="274"/>
      <c r="BP104" s="275"/>
      <c r="BQ104" s="169"/>
    </row>
    <row r="105" spans="1:104" x14ac:dyDescent="0.2">
      <c r="C105" s="20" t="s">
        <v>264</v>
      </c>
      <c r="E105" s="160"/>
      <c r="F105" s="164"/>
      <c r="G105" s="164"/>
      <c r="H105" s="162"/>
      <c r="I105" s="522"/>
      <c r="J105" s="160"/>
      <c r="K105" s="164"/>
      <c r="L105" s="164"/>
      <c r="M105" s="162"/>
      <c r="N105" s="522"/>
      <c r="O105" s="160"/>
      <c r="P105" s="164"/>
      <c r="Q105" s="164"/>
      <c r="R105" s="116"/>
      <c r="S105" s="82"/>
      <c r="T105" s="136"/>
      <c r="U105" s="164"/>
      <c r="V105" s="164"/>
      <c r="W105" s="116"/>
      <c r="X105" s="82"/>
      <c r="Y105" s="136"/>
      <c r="Z105" s="164"/>
      <c r="AA105" s="164"/>
      <c r="AB105" s="116"/>
      <c r="AC105" s="82"/>
      <c r="AD105" s="136"/>
      <c r="AE105" s="164"/>
      <c r="AF105" s="164"/>
      <c r="AG105" s="116"/>
      <c r="AH105" s="82"/>
      <c r="AI105" s="136"/>
      <c r="AJ105" s="164"/>
      <c r="AK105" s="164"/>
      <c r="AL105" s="116"/>
      <c r="AM105" s="82"/>
      <c r="AN105" s="136"/>
      <c r="AO105" s="164"/>
      <c r="AP105" s="164"/>
      <c r="AQ105" s="116"/>
      <c r="AR105" s="82"/>
      <c r="AS105" s="136"/>
      <c r="AT105" s="135"/>
      <c r="AU105" s="135"/>
      <c r="AV105" s="116"/>
      <c r="AW105" s="82"/>
      <c r="AX105" s="136">
        <f>SUM(AX63:AX67)</f>
        <v>-18.066718627418464</v>
      </c>
      <c r="AY105" s="135">
        <f>SUM(AY63:AY67)</f>
        <v>-10.146718627418466</v>
      </c>
      <c r="AZ105" s="135">
        <f>SUM(AZ63:AZ67)</f>
        <v>-36.546718627418471</v>
      </c>
      <c r="BA105" s="116">
        <f>SUM(BA63:BA67)</f>
        <v>-6.1867186274184647</v>
      </c>
      <c r="BB105" s="82">
        <f>SUM(AX105:BA105)</f>
        <v>-70.946874509673876</v>
      </c>
      <c r="BC105" s="136">
        <f>SUM(BC63:BC67)</f>
        <v>10.717683053225933</v>
      </c>
      <c r="BD105" s="135">
        <f>SUM(BD63:BD67)</f>
        <v>11.090683053225932</v>
      </c>
      <c r="BE105" s="135">
        <f>SUM(BE63:BE67)</f>
        <v>13.328683053225934</v>
      </c>
      <c r="BF105" s="116">
        <f>SUM(BF63:BF67)</f>
        <v>10.717683053225933</v>
      </c>
      <c r="BG105" s="82">
        <f>SUM(BC105:BF105)</f>
        <v>45.854732212903734</v>
      </c>
      <c r="BH105" s="136">
        <f>SUM(BH63:BH67)</f>
        <v>10.752183053225934</v>
      </c>
      <c r="BI105" s="135">
        <f>SUM(BI63:BI67)</f>
        <v>11.126683053225934</v>
      </c>
      <c r="BJ105" s="135">
        <f>SUM(BJ63:BJ67)</f>
        <v>13.373683053225935</v>
      </c>
      <c r="BK105" s="116">
        <f>SUM(BK63:BK67)</f>
        <v>10.752183053225934</v>
      </c>
      <c r="BL105" s="82">
        <f>SUM(BH105:BK105)</f>
        <v>46.004732212903733</v>
      </c>
      <c r="BM105" s="136">
        <f>SUM(BM63:BM67)</f>
        <v>10.923372801129275</v>
      </c>
      <c r="BN105" s="135">
        <f>SUM(BN63:BN67)</f>
        <v>11.221872801129273</v>
      </c>
      <c r="BO105" s="135">
        <f>SUM(BO63:BO67)</f>
        <v>13.012872801129273</v>
      </c>
      <c r="BP105" s="116">
        <f>SUM(BP63:BP67)</f>
        <v>10.934872801129274</v>
      </c>
      <c r="BQ105" s="82">
        <f>SUM(BM105:BP105)</f>
        <v>46.092991204517091</v>
      </c>
    </row>
    <row r="106" spans="1:104" x14ac:dyDescent="0.2">
      <c r="C106" s="26"/>
      <c r="E106" s="273"/>
      <c r="F106" s="274"/>
      <c r="G106" s="274"/>
      <c r="H106" s="275"/>
      <c r="I106" s="321"/>
      <c r="J106" s="273"/>
      <c r="K106" s="274"/>
      <c r="L106" s="274"/>
      <c r="M106" s="275"/>
      <c r="N106" s="321"/>
      <c r="O106" s="273"/>
      <c r="P106" s="274"/>
      <c r="Q106" s="274"/>
      <c r="R106" s="275"/>
      <c r="S106" s="169"/>
      <c r="T106" s="273"/>
      <c r="U106" s="274"/>
      <c r="V106" s="274"/>
      <c r="W106" s="275"/>
      <c r="X106" s="169"/>
      <c r="Y106" s="273"/>
      <c r="Z106" s="274"/>
      <c r="AA106" s="274"/>
      <c r="AB106" s="275"/>
      <c r="AC106" s="169"/>
      <c r="AD106" s="273"/>
      <c r="AE106" s="274"/>
      <c r="AF106" s="274"/>
      <c r="AG106" s="275"/>
      <c r="AH106" s="169"/>
      <c r="AI106" s="273"/>
      <c r="AJ106" s="274"/>
      <c r="AK106" s="274"/>
      <c r="AL106" s="275"/>
      <c r="AM106" s="169"/>
      <c r="AN106" s="273"/>
      <c r="AO106" s="274"/>
      <c r="AP106" s="274"/>
      <c r="AQ106" s="275"/>
      <c r="AR106" s="169"/>
      <c r="AS106" s="273"/>
      <c r="AT106" s="274"/>
      <c r="AU106" s="274"/>
      <c r="AV106" s="275"/>
      <c r="AW106" s="169"/>
      <c r="AX106" s="273"/>
      <c r="AY106" s="274"/>
      <c r="AZ106" s="274"/>
      <c r="BA106" s="275"/>
      <c r="BB106" s="169"/>
      <c r="BC106" s="273"/>
      <c r="BD106" s="274"/>
      <c r="BE106" s="274"/>
      <c r="BF106" s="275"/>
      <c r="BG106" s="169"/>
      <c r="BH106" s="273"/>
      <c r="BI106" s="274"/>
      <c r="BJ106" s="274"/>
      <c r="BK106" s="275"/>
      <c r="BL106" s="169"/>
      <c r="BM106" s="273"/>
      <c r="BN106" s="274"/>
      <c r="BO106" s="274"/>
      <c r="BP106" s="275"/>
      <c r="BQ106" s="169"/>
    </row>
    <row r="107" spans="1:104" x14ac:dyDescent="0.2">
      <c r="C107" s="26" t="s">
        <v>265</v>
      </c>
      <c r="E107" s="273"/>
      <c r="F107" s="274"/>
      <c r="G107" s="274"/>
      <c r="H107" s="275"/>
      <c r="I107" s="169"/>
      <c r="J107" s="273"/>
      <c r="K107" s="274"/>
      <c r="L107" s="274"/>
      <c r="M107" s="275"/>
      <c r="N107" s="169"/>
      <c r="O107" s="273"/>
      <c r="P107" s="274"/>
      <c r="Q107" s="274"/>
      <c r="R107" s="275"/>
      <c r="S107" s="169"/>
      <c r="T107" s="273"/>
      <c r="U107" s="274"/>
      <c r="V107" s="274"/>
      <c r="W107" s="275"/>
      <c r="X107" s="169"/>
      <c r="Y107" s="273"/>
      <c r="Z107" s="274"/>
      <c r="AA107" s="274"/>
      <c r="AB107" s="275"/>
      <c r="AC107" s="169"/>
      <c r="AD107" s="273"/>
      <c r="AE107" s="274"/>
      <c r="AF107" s="274"/>
      <c r="AG107" s="275"/>
      <c r="AH107" s="169"/>
      <c r="AI107" s="273"/>
      <c r="AJ107" s="274"/>
      <c r="AK107" s="274"/>
      <c r="AL107" s="275"/>
      <c r="AM107" s="169"/>
      <c r="AN107" s="273"/>
      <c r="AO107" s="274"/>
      <c r="AP107" s="274"/>
      <c r="AQ107" s="275"/>
      <c r="AR107" s="169"/>
      <c r="AS107" s="273"/>
      <c r="AT107" s="274"/>
      <c r="AU107" s="274"/>
      <c r="AV107" s="275"/>
      <c r="AW107" s="169"/>
      <c r="AX107" s="273"/>
      <c r="AY107" s="274"/>
      <c r="AZ107" s="274"/>
      <c r="BA107" s="275"/>
      <c r="BB107" s="169"/>
      <c r="BC107" s="273"/>
      <c r="BD107" s="274"/>
      <c r="BE107" s="274"/>
      <c r="BF107" s="275"/>
      <c r="BG107" s="169"/>
      <c r="BH107" s="273"/>
      <c r="BI107" s="274"/>
      <c r="BJ107" s="274"/>
      <c r="BK107" s="275"/>
      <c r="BL107" s="169"/>
      <c r="BM107" s="273"/>
      <c r="BN107" s="274"/>
      <c r="BO107" s="274"/>
      <c r="BP107" s="275"/>
      <c r="BQ107" s="169"/>
    </row>
    <row r="108" spans="1:104" s="20" customFormat="1" x14ac:dyDescent="0.2">
      <c r="A108" s="220"/>
      <c r="B108" s="220"/>
      <c r="C108" s="20" t="s">
        <v>266</v>
      </c>
      <c r="D108" s="82"/>
      <c r="E108" s="136">
        <f t="shared" ref="E108:AF108" si="221">E13</f>
        <v>307.26900000000001</v>
      </c>
      <c r="F108" s="135">
        <f t="shared" si="221"/>
        <v>300.79899999999998</v>
      </c>
      <c r="G108" s="135">
        <f t="shared" si="221"/>
        <v>397.904</v>
      </c>
      <c r="H108" s="116">
        <f t="shared" si="221"/>
        <v>393.56899999999996</v>
      </c>
      <c r="I108" s="82">
        <f t="shared" si="221"/>
        <v>1399.5409999999999</v>
      </c>
      <c r="J108" s="136">
        <f t="shared" si="221"/>
        <v>373.851</v>
      </c>
      <c r="K108" s="135">
        <f t="shared" si="221"/>
        <v>408.113</v>
      </c>
      <c r="L108" s="135">
        <f t="shared" si="221"/>
        <v>379.87099999999998</v>
      </c>
      <c r="M108" s="116">
        <f t="shared" si="221"/>
        <v>351.49900000000002</v>
      </c>
      <c r="N108" s="82">
        <f t="shared" si="221"/>
        <v>1513.3340000000001</v>
      </c>
      <c r="O108" s="136">
        <f t="shared" si="221"/>
        <v>323.79700000000003</v>
      </c>
      <c r="P108" s="135">
        <f t="shared" si="221"/>
        <v>352.21600000000001</v>
      </c>
      <c r="Q108" s="135">
        <f t="shared" si="221"/>
        <v>413.09300000000002</v>
      </c>
      <c r="R108" s="116">
        <f t="shared" si="221"/>
        <v>336.06700000000001</v>
      </c>
      <c r="S108" s="82">
        <f t="shared" si="221"/>
        <v>1425.173</v>
      </c>
      <c r="T108" s="136">
        <f t="shared" si="221"/>
        <v>310.899</v>
      </c>
      <c r="U108" s="135">
        <f t="shared" si="221"/>
        <v>294.69799999999998</v>
      </c>
      <c r="V108" s="135">
        <f t="shared" si="221"/>
        <v>315.31900000000002</v>
      </c>
      <c r="W108" s="116">
        <f t="shared" si="221"/>
        <v>314.42700000000013</v>
      </c>
      <c r="X108" s="82">
        <f t="shared" si="221"/>
        <v>1235.3430000000001</v>
      </c>
      <c r="Y108" s="136">
        <f t="shared" si="221"/>
        <v>319.88099999999997</v>
      </c>
      <c r="Z108" s="135">
        <f t="shared" si="221"/>
        <v>322.78699999999998</v>
      </c>
      <c r="AA108" s="135">
        <f t="shared" si="221"/>
        <v>355.72699999999998</v>
      </c>
      <c r="AB108" s="116">
        <f t="shared" si="221"/>
        <v>337.42300000000012</v>
      </c>
      <c r="AC108" s="82">
        <f t="shared" si="221"/>
        <v>1335.818</v>
      </c>
      <c r="AD108" s="136">
        <f t="shared" si="221"/>
        <v>334.47</v>
      </c>
      <c r="AE108" s="135">
        <f t="shared" si="221"/>
        <v>349.07</v>
      </c>
      <c r="AF108" s="135">
        <f t="shared" si="221"/>
        <v>368.86</v>
      </c>
      <c r="AG108" s="116">
        <f t="shared" ref="AG108:AM108" si="222">AG13</f>
        <v>353.09799999999996</v>
      </c>
      <c r="AH108" s="82">
        <f t="shared" si="222"/>
        <v>1405.498</v>
      </c>
      <c r="AI108" s="136">
        <f t="shared" si="222"/>
        <v>322.75799999999998</v>
      </c>
      <c r="AJ108" s="135">
        <f t="shared" si="222"/>
        <v>296.00200000000001</v>
      </c>
      <c r="AK108" s="135">
        <f t="shared" si="222"/>
        <v>311.34699999999998</v>
      </c>
      <c r="AL108" s="116">
        <f t="shared" si="222"/>
        <v>316.55899999999997</v>
      </c>
      <c r="AM108" s="82">
        <f t="shared" si="222"/>
        <v>1246.6659999999999</v>
      </c>
      <c r="AN108" s="136">
        <f t="shared" ref="AN108:AR108" si="223">AN13</f>
        <v>295.93</v>
      </c>
      <c r="AO108" s="135">
        <f t="shared" si="223"/>
        <v>275.95499999999998</v>
      </c>
      <c r="AP108" s="135">
        <f t="shared" si="223"/>
        <v>318.62400000000002</v>
      </c>
      <c r="AQ108" s="116">
        <f t="shared" si="223"/>
        <v>305.9079999999999</v>
      </c>
      <c r="AR108" s="82">
        <f t="shared" si="223"/>
        <v>1196.4169999999999</v>
      </c>
      <c r="AS108" s="136">
        <f t="shared" ref="AS108:AW108" si="224">AS13</f>
        <v>288.827</v>
      </c>
      <c r="AT108" s="135">
        <f t="shared" si="224"/>
        <v>279.52199999999999</v>
      </c>
      <c r="AU108" s="135">
        <f t="shared" si="224"/>
        <v>288.99700000000001</v>
      </c>
      <c r="AV108" s="116">
        <f t="shared" si="224"/>
        <v>269.31400000000008</v>
      </c>
      <c r="AW108" s="82">
        <f t="shared" si="224"/>
        <v>1126.6600000000001</v>
      </c>
      <c r="AX108" s="136">
        <f>+AX109*AX99/1000</f>
        <v>292.28613369395379</v>
      </c>
      <c r="AY108" s="135">
        <f>+AY109*AY99/1000</f>
        <v>278.43785494048433</v>
      </c>
      <c r="AZ108" s="135">
        <f>+AZ109*AZ99/1000</f>
        <v>291.15353576801891</v>
      </c>
      <c r="BA108" s="116">
        <f>+BA109*BA99/1000</f>
        <v>270.57833088604082</v>
      </c>
      <c r="BB108" s="82">
        <f>SUM(AX108:BA108)</f>
        <v>1132.4558552884978</v>
      </c>
      <c r="BC108" s="136">
        <f>+BC109*BC99/1000</f>
        <v>292.81889269393923</v>
      </c>
      <c r="BD108" s="135">
        <f>+BD109*BD99/1000</f>
        <v>278.94653375685238</v>
      </c>
      <c r="BE108" s="135">
        <f>+BE109*BE99/1000</f>
        <v>291.87777236344527</v>
      </c>
      <c r="BF108" s="116">
        <f>+BF109*BF99/1000</f>
        <v>271.28389776105632</v>
      </c>
      <c r="BG108" s="82">
        <f>SUM(BC108:BF108)</f>
        <v>1134.9270965752933</v>
      </c>
      <c r="BH108" s="136">
        <f>+BH109*BH99/1000</f>
        <v>293.35298359142473</v>
      </c>
      <c r="BI108" s="135">
        <f>+BI109*BI99/1000</f>
        <v>279.45648427026129</v>
      </c>
      <c r="BJ108" s="135">
        <f>+BJ109*BJ99/1000</f>
        <v>292.60381955036013</v>
      </c>
      <c r="BK108" s="116">
        <f>+BK109*BK99/1000</f>
        <v>271.99122855325942</v>
      </c>
      <c r="BL108" s="82">
        <f>SUM(BH108:BK108)</f>
        <v>1137.4045159653056</v>
      </c>
      <c r="BM108" s="136">
        <f>+BM109*BM99/1000</f>
        <v>293.88840971615377</v>
      </c>
      <c r="BN108" s="135">
        <f>+BN109*BN99/1000</f>
        <v>279.96770965995381</v>
      </c>
      <c r="BO108" s="135">
        <f>+BO109*BO99/1000</f>
        <v>293.33168185524227</v>
      </c>
      <c r="BP108" s="116">
        <f>+BP109*BP99/1000</f>
        <v>272.70032767244294</v>
      </c>
      <c r="BQ108" s="82">
        <f>SUM(BM108:BP108)</f>
        <v>1139.8881289037927</v>
      </c>
      <c r="BR108" s="220"/>
      <c r="BS108" s="220"/>
      <c r="BT108" s="220"/>
      <c r="BU108" s="220"/>
      <c r="BV108" s="220"/>
      <c r="BW108" s="220"/>
      <c r="BX108" s="220"/>
      <c r="BY108" s="220"/>
      <c r="BZ108" s="220"/>
      <c r="CA108" s="220"/>
      <c r="CB108" s="220"/>
      <c r="CC108" s="220"/>
      <c r="CD108" s="220"/>
      <c r="CE108" s="220"/>
      <c r="CF108" s="220"/>
      <c r="CG108" s="220"/>
      <c r="CH108" s="220"/>
      <c r="CI108" s="220"/>
      <c r="CJ108" s="220"/>
      <c r="CK108" s="220"/>
      <c r="CL108" s="220"/>
      <c r="CM108" s="220"/>
      <c r="CN108" s="220"/>
      <c r="CO108" s="220"/>
      <c r="CP108" s="220"/>
      <c r="CQ108" s="220"/>
      <c r="CR108" s="220"/>
      <c r="CS108" s="220"/>
      <c r="CT108" s="220"/>
      <c r="CU108" s="220"/>
      <c r="CV108" s="220"/>
      <c r="CW108" s="220"/>
      <c r="CX108" s="220"/>
      <c r="CY108" s="220"/>
      <c r="CZ108" s="220"/>
    </row>
    <row r="109" spans="1:104" x14ac:dyDescent="0.2">
      <c r="C109" s="20" t="s">
        <v>267</v>
      </c>
      <c r="E109" s="322">
        <f>+E108/E99*1000</f>
        <v>36.127592060581023</v>
      </c>
      <c r="F109" s="323">
        <f>+F108/F99*1000</f>
        <v>40.82591868123157</v>
      </c>
      <c r="G109" s="323">
        <f>+G108/G99*1000</f>
        <v>40.91819548767026</v>
      </c>
      <c r="H109" s="324">
        <f>+H108/H99*1000</f>
        <v>41.941413801261319</v>
      </c>
      <c r="I109" s="325">
        <f>+I108/I99*1000</f>
        <v>40.008481149310647</v>
      </c>
      <c r="J109" s="322">
        <f t="shared" ref="J109:Q109" si="225">+J108/J99*1000</f>
        <v>40.907201902352135</v>
      </c>
      <c r="K109" s="323">
        <f t="shared" si="225"/>
        <v>46.958204042258039</v>
      </c>
      <c r="L109" s="323">
        <f t="shared" si="225"/>
        <v>39.954625582168283</v>
      </c>
      <c r="M109" s="324">
        <f t="shared" si="225"/>
        <v>39.63398614396413</v>
      </c>
      <c r="N109" s="325">
        <f t="shared" si="225"/>
        <v>41.797680240816405</v>
      </c>
      <c r="O109" s="322">
        <f t="shared" si="225"/>
        <v>37.325504818296999</v>
      </c>
      <c r="P109" s="323">
        <f t="shared" si="225"/>
        <v>41.646649317443377</v>
      </c>
      <c r="Q109" s="323">
        <f t="shared" si="225"/>
        <v>42.798228987355614</v>
      </c>
      <c r="R109" s="324">
        <f t="shared" ref="R109:Y109" si="226">+R108/R99*1000</f>
        <v>40.520781147606691</v>
      </c>
      <c r="S109" s="325">
        <f t="shared" si="226"/>
        <v>40.62868464564685</v>
      </c>
      <c r="T109" s="322">
        <f t="shared" si="226"/>
        <v>37.657518004263828</v>
      </c>
      <c r="U109" s="323">
        <f t="shared" si="226"/>
        <v>37.01197892601234</v>
      </c>
      <c r="V109" s="323">
        <f t="shared" si="226"/>
        <v>34.87298284171252</v>
      </c>
      <c r="W109" s="324">
        <f t="shared" si="226"/>
        <v>39.353166594033119</v>
      </c>
      <c r="X109" s="325">
        <f t="shared" si="226"/>
        <v>37.153172932330826</v>
      </c>
      <c r="Y109" s="322">
        <f t="shared" si="226"/>
        <v>39.44773832276357</v>
      </c>
      <c r="Z109" s="323">
        <f t="shared" ref="Z109:AF109" si="227">+Z108/Z99*1000</f>
        <v>40.508113682793891</v>
      </c>
      <c r="AA109" s="323">
        <f t="shared" si="227"/>
        <v>39.186105663807631</v>
      </c>
      <c r="AB109" s="324">
        <f t="shared" si="227"/>
        <v>41.28670659890107</v>
      </c>
      <c r="AC109" s="325">
        <f t="shared" si="227"/>
        <v>40.080952952472394</v>
      </c>
      <c r="AD109" s="322">
        <f t="shared" si="227"/>
        <v>41.107173863668763</v>
      </c>
      <c r="AE109" s="323">
        <f t="shared" si="227"/>
        <v>46.686791905732463</v>
      </c>
      <c r="AF109" s="323">
        <f t="shared" si="227"/>
        <v>43.259160085514416</v>
      </c>
      <c r="AG109" s="324">
        <f t="shared" ref="AG109:AM109" si="228">+AG108/AG99*1000</f>
        <v>43.087698300936637</v>
      </c>
      <c r="AH109" s="325">
        <f t="shared" si="228"/>
        <v>43.466769754136386</v>
      </c>
      <c r="AI109" s="322">
        <f t="shared" si="228"/>
        <v>41.989587100702259</v>
      </c>
      <c r="AJ109" s="323">
        <f t="shared" si="228"/>
        <v>40.380116201184386</v>
      </c>
      <c r="AK109" s="323">
        <f t="shared" si="228"/>
        <v>35.464961112326762</v>
      </c>
      <c r="AL109" s="324">
        <f t="shared" si="228"/>
        <v>37.30813023048826</v>
      </c>
      <c r="AM109" s="325">
        <f t="shared" si="228"/>
        <v>38.619187757504413</v>
      </c>
      <c r="AN109" s="322">
        <f t="shared" ref="AN109:AR109" si="229">+AN108/AN99*1000</f>
        <v>36.230469024987428</v>
      </c>
      <c r="AO109" s="323">
        <f t="shared" si="229"/>
        <v>34.206535554939073</v>
      </c>
      <c r="AP109" s="323">
        <f t="shared" si="229"/>
        <v>33.763866144090272</v>
      </c>
      <c r="AQ109" s="324">
        <f t="shared" si="229"/>
        <v>39.214645665395132</v>
      </c>
      <c r="AR109" s="325">
        <f t="shared" si="229"/>
        <v>35.74274788635617</v>
      </c>
      <c r="AS109" s="322">
        <f t="shared" ref="AS109:AW109" si="230">+AS108/AS99*1000</f>
        <v>30.247497326886439</v>
      </c>
      <c r="AT109" s="323">
        <f t="shared" si="230"/>
        <v>29.849914269677608</v>
      </c>
      <c r="AU109" s="323">
        <f t="shared" si="230"/>
        <v>39.693573420138186</v>
      </c>
      <c r="AV109" s="324">
        <f t="shared" si="230"/>
        <v>36.977112727786</v>
      </c>
      <c r="AW109" s="325">
        <f t="shared" si="230"/>
        <v>33.654748035964992</v>
      </c>
      <c r="AX109" s="322">
        <f>+AS109</f>
        <v>30.247497326886439</v>
      </c>
      <c r="AY109" s="323">
        <f>+AT109</f>
        <v>29.849914269677608</v>
      </c>
      <c r="AZ109" s="323">
        <f>+AU109</f>
        <v>39.693573420138186</v>
      </c>
      <c r="BA109" s="324">
        <f>+AV109</f>
        <v>36.977112727786</v>
      </c>
      <c r="BB109" s="325">
        <f>+BB108/BB99*1000</f>
        <v>33.660402032702635</v>
      </c>
      <c r="BC109" s="322">
        <f>+AX109</f>
        <v>30.247497326886439</v>
      </c>
      <c r="BD109" s="323">
        <f>+AY109</f>
        <v>29.849914269677608</v>
      </c>
      <c r="BE109" s="323">
        <f>+AZ109</f>
        <v>39.693573420138186</v>
      </c>
      <c r="BF109" s="324">
        <f>+BA109</f>
        <v>36.977112727786</v>
      </c>
      <c r="BG109" s="325">
        <f>+BG108/BG99*1000</f>
        <v>33.661835145384693</v>
      </c>
      <c r="BH109" s="322">
        <f>+BC109</f>
        <v>30.247497326886439</v>
      </c>
      <c r="BI109" s="323">
        <f>+BD109</f>
        <v>29.849914269677608</v>
      </c>
      <c r="BJ109" s="323">
        <f>+BE109</f>
        <v>39.693573420138186</v>
      </c>
      <c r="BK109" s="324">
        <f>+BF109</f>
        <v>36.977112727786</v>
      </c>
      <c r="BL109" s="325">
        <f>+BL108/BL99*1000</f>
        <v>33.663265711717848</v>
      </c>
      <c r="BM109" s="322">
        <f>+BH109</f>
        <v>30.247497326886439</v>
      </c>
      <c r="BN109" s="323">
        <f>+BI109</f>
        <v>29.849914269677608</v>
      </c>
      <c r="BO109" s="323">
        <f>+BJ109</f>
        <v>39.693573420138186</v>
      </c>
      <c r="BP109" s="324">
        <f>+BK109</f>
        <v>36.977112727786</v>
      </c>
      <c r="BQ109" s="325">
        <f>+BQ108/BQ99*1000</f>
        <v>33.66469373403509</v>
      </c>
    </row>
    <row r="110" spans="1:104" x14ac:dyDescent="0.2">
      <c r="C110" s="26"/>
      <c r="E110" s="273"/>
      <c r="F110" s="274"/>
      <c r="G110" s="274"/>
      <c r="H110" s="275"/>
      <c r="I110" s="169"/>
      <c r="J110" s="273"/>
      <c r="K110" s="274"/>
      <c r="L110" s="274"/>
      <c r="M110" s="275"/>
      <c r="N110" s="169"/>
      <c r="O110" s="273"/>
      <c r="P110" s="274"/>
      <c r="Q110" s="274"/>
      <c r="R110" s="275"/>
      <c r="S110" s="169"/>
      <c r="T110" s="273"/>
      <c r="U110" s="274"/>
      <c r="V110" s="274"/>
      <c r="W110" s="275"/>
      <c r="X110" s="169"/>
      <c r="Y110" s="273"/>
      <c r="Z110" s="274"/>
      <c r="AA110" s="274"/>
      <c r="AB110" s="275"/>
      <c r="AC110" s="169"/>
      <c r="AD110" s="273"/>
      <c r="AE110" s="274"/>
      <c r="AF110" s="274"/>
      <c r="AG110" s="275"/>
      <c r="AH110" s="169"/>
      <c r="AI110" s="273"/>
      <c r="AJ110" s="274"/>
      <c r="AK110" s="274"/>
      <c r="AL110" s="275"/>
      <c r="AM110" s="169"/>
      <c r="AN110" s="273"/>
      <c r="AO110" s="274"/>
      <c r="AP110" s="274"/>
      <c r="AQ110" s="275"/>
      <c r="AR110" s="169"/>
      <c r="AS110" s="273"/>
      <c r="AT110" s="274"/>
      <c r="AU110" s="274"/>
      <c r="AV110" s="275"/>
      <c r="AW110" s="169"/>
      <c r="AX110" s="273"/>
      <c r="AY110" s="274"/>
      <c r="AZ110" s="274"/>
      <c r="BA110" s="275"/>
      <c r="BB110" s="169"/>
      <c r="BC110" s="273"/>
      <c r="BD110" s="274"/>
      <c r="BE110" s="274"/>
      <c r="BF110" s="275"/>
      <c r="BG110" s="169"/>
      <c r="BH110" s="273"/>
      <c r="BI110" s="274"/>
      <c r="BJ110" s="274"/>
      <c r="BK110" s="275"/>
      <c r="BL110" s="169"/>
      <c r="BM110" s="273"/>
      <c r="BN110" s="274"/>
      <c r="BO110" s="274"/>
      <c r="BP110" s="275"/>
      <c r="BQ110" s="169"/>
    </row>
    <row r="111" spans="1:104" x14ac:dyDescent="0.2">
      <c r="C111" s="26" t="s">
        <v>268</v>
      </c>
      <c r="E111" s="121">
        <f t="shared" ref="E111:P111" si="231">+E90-E108</f>
        <v>290.07399999999996</v>
      </c>
      <c r="F111" s="122">
        <f t="shared" si="231"/>
        <v>287.66800000000001</v>
      </c>
      <c r="G111" s="122">
        <f t="shared" si="231"/>
        <v>373.75900000000001</v>
      </c>
      <c r="H111" s="123">
        <f t="shared" si="231"/>
        <v>327.53600000000006</v>
      </c>
      <c r="I111" s="86">
        <f t="shared" si="231"/>
        <v>1279.037</v>
      </c>
      <c r="J111" s="121">
        <f t="shared" si="231"/>
        <v>349.78300000000002</v>
      </c>
      <c r="K111" s="122">
        <f t="shared" si="231"/>
        <v>365.50799999999998</v>
      </c>
      <c r="L111" s="122">
        <f t="shared" si="231"/>
        <v>469.83600000000001</v>
      </c>
      <c r="M111" s="123">
        <f t="shared" si="231"/>
        <v>356.58400000000006</v>
      </c>
      <c r="N111" s="86">
        <f t="shared" si="231"/>
        <v>1541.711</v>
      </c>
      <c r="O111" s="326">
        <f t="shared" si="231"/>
        <v>380.35599999999999</v>
      </c>
      <c r="P111" s="327">
        <f t="shared" si="231"/>
        <v>397.57500000000005</v>
      </c>
      <c r="Q111" s="327">
        <f t="shared" ref="Q111:V111" si="232">+Q90-Q108</f>
        <v>520.39699999999993</v>
      </c>
      <c r="R111" s="123">
        <f t="shared" si="232"/>
        <v>390.86899999999957</v>
      </c>
      <c r="S111" s="86">
        <f t="shared" si="232"/>
        <v>1689.1969999999999</v>
      </c>
      <c r="T111" s="326">
        <f t="shared" si="232"/>
        <v>371.38</v>
      </c>
      <c r="U111" s="327">
        <f t="shared" si="232"/>
        <v>419.95299999999997</v>
      </c>
      <c r="V111" s="327">
        <f t="shared" si="232"/>
        <v>555.65599999999995</v>
      </c>
      <c r="W111" s="123">
        <f t="shared" ref="W111:AD111" si="233">+W90-W108</f>
        <v>387.56699999999989</v>
      </c>
      <c r="X111" s="86">
        <f t="shared" si="233"/>
        <v>1734.5559999999998</v>
      </c>
      <c r="Y111" s="326">
        <f t="shared" si="233"/>
        <v>401.46699999999998</v>
      </c>
      <c r="Z111" s="327">
        <f t="shared" si="233"/>
        <v>425.09499999999997</v>
      </c>
      <c r="AA111" s="327">
        <f t="shared" si="233"/>
        <v>543.08400000000006</v>
      </c>
      <c r="AB111" s="123">
        <f t="shared" si="233"/>
        <v>375.70699999999977</v>
      </c>
      <c r="AC111" s="86">
        <f t="shared" si="233"/>
        <v>1745.3529999999998</v>
      </c>
      <c r="AD111" s="326">
        <f t="shared" si="233"/>
        <v>399.79399999999998</v>
      </c>
      <c r="AE111" s="327">
        <f t="shared" ref="AE111:AJ111" si="234">+AE90-AE108</f>
        <v>412.49899999999997</v>
      </c>
      <c r="AF111" s="327">
        <f t="shared" si="234"/>
        <v>512.24199999999996</v>
      </c>
      <c r="AG111" s="123">
        <f t="shared" si="234"/>
        <v>395.90400000000034</v>
      </c>
      <c r="AH111" s="86">
        <f t="shared" si="234"/>
        <v>1720.4389999999999</v>
      </c>
      <c r="AI111" s="326">
        <f t="shared" si="234"/>
        <v>426.70300000000003</v>
      </c>
      <c r="AJ111" s="327">
        <f t="shared" si="234"/>
        <v>455.52899999999994</v>
      </c>
      <c r="AK111" s="327">
        <f t="shared" ref="AK111:AP111" si="235">+AK90-AK108</f>
        <v>572.95799999999997</v>
      </c>
      <c r="AL111" s="123">
        <f t="shared" si="235"/>
        <v>413.40099999999995</v>
      </c>
      <c r="AM111" s="86">
        <f t="shared" si="235"/>
        <v>1868.5910000000001</v>
      </c>
      <c r="AN111" s="326">
        <f t="shared" si="235"/>
        <v>421.53199999999998</v>
      </c>
      <c r="AO111" s="327">
        <f t="shared" si="235"/>
        <v>446.61399999999998</v>
      </c>
      <c r="AP111" s="327">
        <f t="shared" si="235"/>
        <v>578.89199999999994</v>
      </c>
      <c r="AQ111" s="123">
        <f t="shared" ref="AQ111:AU111" si="236">+AQ90-AQ108</f>
        <v>405.89700000000005</v>
      </c>
      <c r="AR111" s="86">
        <f t="shared" si="236"/>
        <v>1852.9349999999999</v>
      </c>
      <c r="AS111" s="326">
        <f t="shared" si="236"/>
        <v>422.56100000000004</v>
      </c>
      <c r="AT111" s="327">
        <f t="shared" si="236"/>
        <v>450.39799999999997</v>
      </c>
      <c r="AU111" s="327">
        <f t="shared" si="236"/>
        <v>588.60699999999997</v>
      </c>
      <c r="AV111" s="123">
        <f t="shared" ref="AV111:AW111" si="237">+AV90-AV108</f>
        <v>415.58199999999988</v>
      </c>
      <c r="AW111" s="86">
        <f t="shared" si="237"/>
        <v>1877.1479999999999</v>
      </c>
      <c r="AX111" s="326">
        <f t="shared" ref="AX111:BG111" si="238">+AX90-AX108</f>
        <v>411.45917117862786</v>
      </c>
      <c r="AY111" s="327">
        <f t="shared" si="238"/>
        <v>437.80867923209718</v>
      </c>
      <c r="AZ111" s="327">
        <f t="shared" si="238"/>
        <v>555.95395424206254</v>
      </c>
      <c r="BA111" s="314">
        <f t="shared" si="238"/>
        <v>410.9715058040407</v>
      </c>
      <c r="BB111" s="93">
        <f t="shared" si="238"/>
        <v>1816.1933104568284</v>
      </c>
      <c r="BC111" s="326">
        <f t="shared" si="238"/>
        <v>423.20438599404974</v>
      </c>
      <c r="BD111" s="327">
        <f t="shared" si="238"/>
        <v>450.02005980438656</v>
      </c>
      <c r="BE111" s="327">
        <f t="shared" si="238"/>
        <v>570.49889563738736</v>
      </c>
      <c r="BF111" s="314">
        <f t="shared" si="238"/>
        <v>422.55334286147627</v>
      </c>
      <c r="BG111" s="93">
        <f t="shared" si="238"/>
        <v>1866.2766842972999</v>
      </c>
      <c r="BH111" s="326">
        <f t="shared" ref="BH111:BQ111" si="239">+BH90-BH108</f>
        <v>435.01346384651015</v>
      </c>
      <c r="BI111" s="327">
        <f t="shared" si="239"/>
        <v>462.29796882810672</v>
      </c>
      <c r="BJ111" s="327">
        <f t="shared" si="239"/>
        <v>585.12519938620039</v>
      </c>
      <c r="BK111" s="314">
        <f t="shared" si="239"/>
        <v>434.19863451155544</v>
      </c>
      <c r="BL111" s="93">
        <f t="shared" si="239"/>
        <v>1916.635266572373</v>
      </c>
      <c r="BM111" s="326">
        <f t="shared" si="239"/>
        <v>447.02325414150528</v>
      </c>
      <c r="BN111" s="327">
        <f t="shared" si="239"/>
        <v>474.70176237228929</v>
      </c>
      <c r="BO111" s="327">
        <f t="shared" si="239"/>
        <v>599.42725864228896</v>
      </c>
      <c r="BP111" s="314">
        <f t="shared" si="239"/>
        <v>446.05572913866314</v>
      </c>
      <c r="BQ111" s="93">
        <f t="shared" si="239"/>
        <v>1967.2080042947468</v>
      </c>
    </row>
    <row r="112" spans="1:104" x14ac:dyDescent="0.2">
      <c r="A112" s="45"/>
      <c r="B112" s="45"/>
      <c r="C112" s="45" t="s">
        <v>269</v>
      </c>
      <c r="D112" s="45"/>
      <c r="E112" s="328"/>
      <c r="F112" s="329"/>
      <c r="G112" s="329"/>
      <c r="H112" s="330"/>
      <c r="I112" s="331"/>
      <c r="J112" s="332">
        <f t="shared" ref="J112:AP112" si="240">+J111/E111-1</f>
        <v>0.20584057861097538</v>
      </c>
      <c r="K112" s="333">
        <f t="shared" si="240"/>
        <v>0.2705897075795709</v>
      </c>
      <c r="L112" s="333">
        <f t="shared" si="240"/>
        <v>0.25705601738018347</v>
      </c>
      <c r="M112" s="334">
        <f t="shared" si="240"/>
        <v>8.868643446827229E-2</v>
      </c>
      <c r="N112" s="46">
        <f t="shared" si="240"/>
        <v>0.20536857026028166</v>
      </c>
      <c r="O112" s="332">
        <f t="shared" si="240"/>
        <v>8.7405620055863054E-2</v>
      </c>
      <c r="P112" s="333">
        <f t="shared" si="240"/>
        <v>8.7732689845366085E-2</v>
      </c>
      <c r="Q112" s="333">
        <f t="shared" si="240"/>
        <v>0.10761414621272092</v>
      </c>
      <c r="R112" s="334">
        <f t="shared" si="240"/>
        <v>9.614845309940856E-2</v>
      </c>
      <c r="S112" s="46">
        <f t="shared" si="240"/>
        <v>9.5663843612713295E-2</v>
      </c>
      <c r="T112" s="332">
        <f t="shared" si="240"/>
        <v>-2.3598944147062206E-2</v>
      </c>
      <c r="U112" s="333">
        <f t="shared" si="240"/>
        <v>5.6286235301515219E-2</v>
      </c>
      <c r="V112" s="333">
        <f t="shared" si="240"/>
        <v>6.7754041625912587E-2</v>
      </c>
      <c r="W112" s="334">
        <f t="shared" si="240"/>
        <v>-8.4478431392607245E-3</v>
      </c>
      <c r="X112" s="46">
        <f t="shared" si="240"/>
        <v>2.6852403834484617E-2</v>
      </c>
      <c r="Y112" s="332">
        <f t="shared" si="240"/>
        <v>8.1014055684204722E-2</v>
      </c>
      <c r="Z112" s="333">
        <f t="shared" si="240"/>
        <v>1.2244227330201252E-2</v>
      </c>
      <c r="AA112" s="333">
        <f t="shared" si="240"/>
        <v>-2.2625509307916958E-2</v>
      </c>
      <c r="AB112" s="334">
        <f t="shared" si="240"/>
        <v>-3.060116057352702E-2</v>
      </c>
      <c r="AC112" s="46">
        <f t="shared" si="240"/>
        <v>6.2246476908212056E-3</v>
      </c>
      <c r="AD112" s="332">
        <f t="shared" si="240"/>
        <v>-4.1672167326330944E-3</v>
      </c>
      <c r="AE112" s="333">
        <f t="shared" si="240"/>
        <v>-2.9631023653536315E-2</v>
      </c>
      <c r="AF112" s="333">
        <f t="shared" si="240"/>
        <v>-5.6790478084421725E-2</v>
      </c>
      <c r="AG112" s="334">
        <f t="shared" si="240"/>
        <v>5.3757316206513472E-2</v>
      </c>
      <c r="AH112" s="46">
        <f t="shared" si="240"/>
        <v>-1.427447628072942E-2</v>
      </c>
      <c r="AI112" s="332">
        <f t="shared" si="240"/>
        <v>6.7307163189042507E-2</v>
      </c>
      <c r="AJ112" s="333">
        <f t="shared" si="240"/>
        <v>0.10431540440098042</v>
      </c>
      <c r="AK112" s="333">
        <f t="shared" si="240"/>
        <v>0.11852991359552711</v>
      </c>
      <c r="AL112" s="334">
        <f t="shared" si="240"/>
        <v>4.4195057387648617E-2</v>
      </c>
      <c r="AM112" s="46">
        <f t="shared" si="240"/>
        <v>8.6112904903922871E-2</v>
      </c>
      <c r="AN112" s="332">
        <f t="shared" si="240"/>
        <v>-1.2118499284045403E-2</v>
      </c>
      <c r="AO112" s="333">
        <f t="shared" si="240"/>
        <v>-1.9570653020993145E-2</v>
      </c>
      <c r="AP112" s="333">
        <f t="shared" si="240"/>
        <v>1.0356780078120797E-2</v>
      </c>
      <c r="AQ112" s="334">
        <f t="shared" ref="AQ112:AR112" si="241">+AQ111/AL111-1</f>
        <v>-1.8151867073374017E-2</v>
      </c>
      <c r="AR112" s="46">
        <f t="shared" si="241"/>
        <v>-8.3785055156533339E-3</v>
      </c>
      <c r="AS112" s="332">
        <f t="shared" ref="AS112" si="242">+AS111/AN111-1</f>
        <v>2.4410958124176929E-3</v>
      </c>
      <c r="AT112" s="333">
        <f t="shared" ref="AT112" si="243">+AT111/AO111-1</f>
        <v>8.472640803915743E-3</v>
      </c>
      <c r="AU112" s="333">
        <f t="shared" ref="AU112" si="244">+AU111/AP111-1</f>
        <v>1.6782059520601411E-2</v>
      </c>
      <c r="AV112" s="334">
        <f t="shared" ref="AV112" si="245">+AV111/AQ111-1</f>
        <v>2.3860733141658708E-2</v>
      </c>
      <c r="AW112" s="46">
        <f t="shared" ref="AW112" si="246">+AW111/AR111-1</f>
        <v>1.3067376891256366E-2</v>
      </c>
      <c r="AX112" s="332">
        <f t="shared" ref="AX112:BG112" si="247">+AX111/AS111-1</f>
        <v>-2.6272724698616745E-2</v>
      </c>
      <c r="AY112" s="333">
        <f t="shared" si="247"/>
        <v>-2.7951546782851611E-2</v>
      </c>
      <c r="AZ112" s="333">
        <f t="shared" si="247"/>
        <v>-5.54751230582331E-2</v>
      </c>
      <c r="BA112" s="334">
        <f t="shared" si="247"/>
        <v>-1.109406614328623E-2</v>
      </c>
      <c r="BB112" s="46">
        <f t="shared" si="247"/>
        <v>-3.2471967869966312E-2</v>
      </c>
      <c r="BC112" s="332">
        <f t="shared" si="247"/>
        <v>2.8545274083398464E-2</v>
      </c>
      <c r="BD112" s="333">
        <f t="shared" si="247"/>
        <v>2.7892047717527513E-2</v>
      </c>
      <c r="BE112" s="333">
        <f t="shared" si="247"/>
        <v>2.6162133184490122E-2</v>
      </c>
      <c r="BF112" s="334">
        <f t="shared" si="247"/>
        <v>2.8181606008855553E-2</v>
      </c>
      <c r="BG112" s="46">
        <f t="shared" si="247"/>
        <v>2.7576014927548576E-2</v>
      </c>
      <c r="BH112" s="332">
        <f t="shared" ref="BH112:BQ112" si="248">+BH111/BC111-1</f>
        <v>2.790395904031695E-2</v>
      </c>
      <c r="BI112" s="333">
        <f t="shared" si="248"/>
        <v>2.7283026070120231E-2</v>
      </c>
      <c r="BJ112" s="333">
        <f t="shared" si="248"/>
        <v>2.5637742440275613E-2</v>
      </c>
      <c r="BK112" s="334">
        <f t="shared" si="248"/>
        <v>2.7559340960880307E-2</v>
      </c>
      <c r="BL112" s="46">
        <f t="shared" si="248"/>
        <v>2.6983449291729356E-2</v>
      </c>
      <c r="BM112" s="332">
        <f t="shared" si="248"/>
        <v>2.7607858820739128E-2</v>
      </c>
      <c r="BN112" s="333">
        <f t="shared" si="248"/>
        <v>2.6830733380951877E-2</v>
      </c>
      <c r="BO112" s="333">
        <f t="shared" si="248"/>
        <v>2.4442733403195582E-2</v>
      </c>
      <c r="BP112" s="334">
        <f t="shared" si="248"/>
        <v>2.7307996121282541E-2</v>
      </c>
      <c r="BQ112" s="46">
        <f t="shared" si="248"/>
        <v>2.6386208479204365E-2</v>
      </c>
      <c r="BR112" s="45"/>
      <c r="BS112" s="45"/>
      <c r="BT112" s="45"/>
      <c r="BU112" s="45"/>
      <c r="BV112" s="45"/>
      <c r="BW112" s="45"/>
      <c r="BX112" s="45"/>
      <c r="BY112" s="45"/>
      <c r="BZ112" s="45"/>
      <c r="CA112" s="45"/>
      <c r="CB112" s="45"/>
      <c r="CC112" s="45"/>
      <c r="CD112" s="45"/>
      <c r="CE112" s="45"/>
      <c r="CF112" s="45"/>
      <c r="CG112" s="45"/>
      <c r="CH112" s="45"/>
      <c r="CI112" s="45"/>
      <c r="CJ112" s="45"/>
      <c r="CK112" s="45"/>
      <c r="CL112" s="45"/>
      <c r="CM112" s="45"/>
      <c r="CN112" s="45"/>
      <c r="CO112" s="45"/>
      <c r="CP112" s="45"/>
      <c r="CQ112" s="45"/>
      <c r="CR112" s="45"/>
      <c r="CS112" s="45"/>
      <c r="CT112" s="45"/>
      <c r="CU112" s="45"/>
      <c r="CV112" s="45"/>
      <c r="CW112" s="45"/>
      <c r="CX112" s="45"/>
      <c r="CY112" s="45"/>
      <c r="CZ112" s="45"/>
    </row>
    <row r="113" spans="1:104" x14ac:dyDescent="0.2">
      <c r="C113" s="26"/>
      <c r="E113" s="273"/>
      <c r="F113" s="274"/>
      <c r="G113" s="274"/>
      <c r="H113" s="275"/>
      <c r="I113" s="169"/>
      <c r="J113" s="273"/>
      <c r="K113" s="274"/>
      <c r="L113" s="274"/>
      <c r="M113" s="275"/>
      <c r="N113" s="169"/>
      <c r="O113" s="273"/>
      <c r="P113" s="274"/>
      <c r="Q113" s="274"/>
      <c r="R113" s="275"/>
      <c r="S113" s="169"/>
      <c r="T113" s="273"/>
      <c r="U113" s="274"/>
      <c r="V113" s="274"/>
      <c r="W113" s="275"/>
      <c r="X113" s="169"/>
      <c r="Y113" s="273"/>
      <c r="Z113" s="274"/>
      <c r="AA113" s="274"/>
      <c r="AB113" s="275"/>
      <c r="AC113" s="169"/>
      <c r="AD113" s="273"/>
      <c r="AE113" s="274"/>
      <c r="AF113" s="274"/>
      <c r="AG113" s="275"/>
      <c r="AH113" s="169"/>
      <c r="AI113" s="273"/>
      <c r="AJ113" s="274"/>
      <c r="AK113" s="274"/>
      <c r="AL113" s="275"/>
      <c r="AM113" s="169"/>
      <c r="AN113" s="273"/>
      <c r="AO113" s="274"/>
      <c r="AP113" s="274"/>
      <c r="AQ113" s="275"/>
      <c r="AR113" s="169"/>
      <c r="AS113" s="273"/>
      <c r="AT113" s="274"/>
      <c r="AU113" s="274"/>
      <c r="AV113" s="275"/>
      <c r="AW113" s="169"/>
      <c r="AX113" s="273"/>
      <c r="AY113" s="274"/>
      <c r="AZ113" s="274"/>
      <c r="BA113" s="275"/>
      <c r="BB113" s="169"/>
      <c r="BC113" s="273"/>
      <c r="BD113" s="274"/>
      <c r="BE113" s="274"/>
      <c r="BF113" s="275"/>
      <c r="BG113" s="169"/>
      <c r="BH113" s="273"/>
      <c r="BI113" s="274"/>
      <c r="BJ113" s="274"/>
      <c r="BK113" s="275"/>
      <c r="BL113" s="169"/>
      <c r="BM113" s="273"/>
      <c r="BN113" s="274"/>
      <c r="BO113" s="274"/>
      <c r="BP113" s="275"/>
      <c r="BQ113" s="169"/>
    </row>
    <row r="114" spans="1:104" x14ac:dyDescent="0.2">
      <c r="C114" s="26"/>
      <c r="E114" s="273"/>
      <c r="F114" s="274"/>
      <c r="G114" s="274"/>
      <c r="H114" s="275"/>
      <c r="I114" s="169"/>
      <c r="J114" s="273"/>
      <c r="K114" s="274"/>
      <c r="L114" s="274"/>
      <c r="M114" s="275"/>
      <c r="N114" s="169"/>
      <c r="O114" s="273"/>
      <c r="P114" s="274"/>
      <c r="Q114" s="274"/>
      <c r="R114" s="275"/>
      <c r="S114" s="169"/>
      <c r="T114" s="273"/>
      <c r="U114" s="274"/>
      <c r="V114" s="274"/>
      <c r="W114" s="275"/>
      <c r="X114" s="169"/>
      <c r="Y114" s="273"/>
      <c r="Z114" s="274"/>
      <c r="AA114" s="274"/>
      <c r="AB114" s="275"/>
      <c r="AC114" s="169"/>
      <c r="AD114" s="273"/>
      <c r="AE114" s="274"/>
      <c r="AF114" s="274"/>
      <c r="AG114" s="275"/>
      <c r="AH114" s="169"/>
      <c r="AI114" s="273"/>
      <c r="AJ114" s="274"/>
      <c r="AK114" s="274"/>
      <c r="AL114" s="275"/>
      <c r="AM114" s="169"/>
      <c r="AN114" s="273"/>
      <c r="AO114" s="274"/>
      <c r="AP114" s="274"/>
      <c r="AQ114" s="275"/>
      <c r="AR114" s="169"/>
      <c r="AS114" s="273"/>
      <c r="AT114" s="274"/>
      <c r="AU114" s="274"/>
      <c r="AV114" s="275"/>
      <c r="AW114" s="169"/>
      <c r="AX114" s="273"/>
      <c r="AY114" s="274"/>
      <c r="AZ114" s="274"/>
      <c r="BA114" s="275"/>
      <c r="BB114" s="169"/>
      <c r="BC114" s="273"/>
      <c r="BD114" s="274"/>
      <c r="BE114" s="274"/>
      <c r="BF114" s="275"/>
      <c r="BG114" s="169"/>
      <c r="BH114" s="273"/>
      <c r="BI114" s="274"/>
      <c r="BJ114" s="274"/>
      <c r="BK114" s="275"/>
      <c r="BL114" s="169"/>
      <c r="BM114" s="273"/>
      <c r="BN114" s="274"/>
      <c r="BO114" s="274"/>
      <c r="BP114" s="275"/>
      <c r="BQ114" s="169"/>
    </row>
    <row r="115" spans="1:104" x14ac:dyDescent="0.2">
      <c r="B115" s="16" t="s">
        <v>270</v>
      </c>
      <c r="C115" s="16"/>
      <c r="D115" s="17"/>
      <c r="E115" s="273"/>
      <c r="F115" s="274"/>
      <c r="G115" s="274"/>
      <c r="H115" s="275"/>
      <c r="I115" s="169"/>
      <c r="J115" s="273"/>
      <c r="K115" s="274"/>
      <c r="L115" s="274"/>
      <c r="M115" s="275"/>
      <c r="N115" s="169"/>
      <c r="O115" s="273"/>
      <c r="P115" s="274"/>
      <c r="Q115" s="274"/>
      <c r="R115" s="275"/>
      <c r="S115" s="169"/>
      <c r="T115" s="273"/>
      <c r="U115" s="274"/>
      <c r="V115" s="274"/>
      <c r="W115" s="275"/>
      <c r="X115" s="169"/>
      <c r="Y115" s="273"/>
      <c r="Z115" s="274"/>
      <c r="AA115" s="274"/>
      <c r="AB115" s="275"/>
      <c r="AC115" s="169"/>
      <c r="AD115" s="273"/>
      <c r="AE115" s="274"/>
      <c r="AF115" s="274"/>
      <c r="AG115" s="275"/>
      <c r="AH115" s="169"/>
      <c r="AI115" s="273"/>
      <c r="AJ115" s="274"/>
      <c r="AK115" s="274"/>
      <c r="AL115" s="275"/>
      <c r="AM115" s="169"/>
      <c r="AN115" s="273"/>
      <c r="AO115" s="274"/>
      <c r="AP115" s="274"/>
      <c r="AQ115" s="275"/>
      <c r="AR115" s="169"/>
      <c r="AS115" s="273"/>
      <c r="AT115" s="274"/>
      <c r="AU115" s="274"/>
      <c r="AV115" s="275"/>
      <c r="AW115" s="169"/>
      <c r="AX115" s="273"/>
      <c r="AY115" s="274"/>
      <c r="AZ115" s="274"/>
      <c r="BA115" s="275"/>
      <c r="BB115" s="169"/>
      <c r="BC115" s="273"/>
      <c r="BD115" s="274"/>
      <c r="BE115" s="274"/>
      <c r="BF115" s="275"/>
      <c r="BG115" s="169"/>
      <c r="BH115" s="273"/>
      <c r="BI115" s="274"/>
      <c r="BJ115" s="274"/>
      <c r="BK115" s="275"/>
      <c r="BL115" s="169"/>
      <c r="BM115" s="273"/>
      <c r="BN115" s="274"/>
      <c r="BO115" s="274"/>
      <c r="BP115" s="275"/>
      <c r="BQ115" s="169"/>
    </row>
    <row r="116" spans="1:104" x14ac:dyDescent="0.2">
      <c r="C116" s="26"/>
      <c r="E116" s="273"/>
      <c r="F116" s="274"/>
      <c r="G116" s="274"/>
      <c r="H116" s="275"/>
      <c r="I116" s="169"/>
      <c r="J116" s="273"/>
      <c r="K116" s="274"/>
      <c r="L116" s="274"/>
      <c r="M116" s="275"/>
      <c r="N116" s="169"/>
      <c r="O116" s="273"/>
      <c r="P116" s="274"/>
      <c r="Q116" s="274"/>
      <c r="R116" s="275"/>
      <c r="S116" s="169"/>
      <c r="T116" s="273"/>
      <c r="U116" s="274"/>
      <c r="V116" s="274"/>
      <c r="W116" s="275"/>
      <c r="X116" s="169"/>
      <c r="Y116" s="273"/>
      <c r="Z116" s="274"/>
      <c r="AA116" s="274"/>
      <c r="AB116" s="275"/>
      <c r="AC116" s="169"/>
      <c r="AD116" s="273"/>
      <c r="AE116" s="274"/>
      <c r="AF116" s="274"/>
      <c r="AG116" s="275"/>
      <c r="AH116" s="169"/>
      <c r="AI116" s="273"/>
      <c r="AJ116" s="274"/>
      <c r="AK116" s="274"/>
      <c r="AL116" s="275"/>
      <c r="AM116" s="169"/>
      <c r="AN116" s="273"/>
      <c r="AO116" s="274"/>
      <c r="AP116" s="274"/>
      <c r="AQ116" s="275"/>
      <c r="AR116" s="169"/>
      <c r="AS116" s="273"/>
      <c r="AT116" s="274"/>
      <c r="AU116" s="274"/>
      <c r="AV116" s="275"/>
      <c r="AW116" s="169"/>
      <c r="AX116" s="273"/>
      <c r="AY116" s="274"/>
      <c r="AZ116" s="274"/>
      <c r="BA116" s="275"/>
      <c r="BB116" s="169"/>
      <c r="BC116" s="273"/>
      <c r="BD116" s="274"/>
      <c r="BE116" s="274"/>
      <c r="BF116" s="275"/>
      <c r="BG116" s="169"/>
      <c r="BH116" s="273"/>
      <c r="BI116" s="274"/>
      <c r="BJ116" s="274"/>
      <c r="BK116" s="275"/>
      <c r="BL116" s="169"/>
      <c r="BM116" s="273"/>
      <c r="BN116" s="274"/>
      <c r="BO116" s="274"/>
      <c r="BP116" s="275"/>
      <c r="BQ116" s="169"/>
    </row>
    <row r="117" spans="1:104" x14ac:dyDescent="0.2">
      <c r="C117" s="26" t="s">
        <v>271</v>
      </c>
      <c r="E117" s="121">
        <f>+E9</f>
        <v>395.12099999999998</v>
      </c>
      <c r="F117" s="122">
        <f>+F9</f>
        <v>173.494</v>
      </c>
      <c r="G117" s="122">
        <f>+G9</f>
        <v>109.398</v>
      </c>
      <c r="H117" s="123">
        <f>+H9</f>
        <v>415.94600000000003</v>
      </c>
      <c r="I117" s="86">
        <f>SUM(E117:H117)</f>
        <v>1093.9590000000001</v>
      </c>
      <c r="J117" s="121">
        <f t="shared" ref="J117:AF117" si="249">+J9</f>
        <v>466.28300000000002</v>
      </c>
      <c r="K117" s="122">
        <f t="shared" si="249"/>
        <v>165.89400000000001</v>
      </c>
      <c r="L117" s="122">
        <f t="shared" si="249"/>
        <v>101.203</v>
      </c>
      <c r="M117" s="123">
        <f t="shared" si="249"/>
        <v>342.06599999999992</v>
      </c>
      <c r="N117" s="521">
        <f t="shared" si="249"/>
        <v>1075.4459999999999</v>
      </c>
      <c r="O117" s="121">
        <f t="shared" si="249"/>
        <v>428.19099999999997</v>
      </c>
      <c r="P117" s="122">
        <f t="shared" si="249"/>
        <v>174.73</v>
      </c>
      <c r="Q117" s="122">
        <f t="shared" si="249"/>
        <v>122.672</v>
      </c>
      <c r="R117" s="123">
        <f t="shared" si="249"/>
        <v>362.15600000000006</v>
      </c>
      <c r="S117" s="521">
        <f t="shared" si="249"/>
        <v>1087.749</v>
      </c>
      <c r="T117" s="121">
        <f t="shared" si="249"/>
        <v>383.00400000000002</v>
      </c>
      <c r="U117" s="122">
        <f t="shared" si="249"/>
        <v>147.398</v>
      </c>
      <c r="V117" s="122">
        <f t="shared" si="249"/>
        <v>113.23</v>
      </c>
      <c r="W117" s="123">
        <f t="shared" si="249"/>
        <v>318.80299999999988</v>
      </c>
      <c r="X117" s="521">
        <f t="shared" si="249"/>
        <v>962.43499999999995</v>
      </c>
      <c r="Y117" s="121">
        <f t="shared" si="249"/>
        <v>383.92399999999998</v>
      </c>
      <c r="Z117" s="122">
        <f t="shared" si="249"/>
        <v>209.29599999999999</v>
      </c>
      <c r="AA117" s="122">
        <f t="shared" si="249"/>
        <v>137.34899999999999</v>
      </c>
      <c r="AB117" s="123">
        <f t="shared" si="249"/>
        <v>350.13400000000001</v>
      </c>
      <c r="AC117" s="521">
        <f t="shared" si="249"/>
        <v>1080.703</v>
      </c>
      <c r="AD117" s="121">
        <f t="shared" si="249"/>
        <v>456.33699999999999</v>
      </c>
      <c r="AE117" s="122">
        <f t="shared" si="249"/>
        <v>223.18700000000001</v>
      </c>
      <c r="AF117" s="122">
        <f t="shared" si="249"/>
        <v>159.80799999999999</v>
      </c>
      <c r="AG117" s="123">
        <f t="shared" ref="AG117:AM117" si="250">+AG9</f>
        <v>375.99200000000008</v>
      </c>
      <c r="AH117" s="521">
        <f t="shared" si="250"/>
        <v>1215.3240000000001</v>
      </c>
      <c r="AI117" s="121">
        <f t="shared" si="250"/>
        <v>373.20299999999997</v>
      </c>
      <c r="AJ117" s="122">
        <f t="shared" si="250"/>
        <v>191.97499999999999</v>
      </c>
      <c r="AK117" s="122">
        <f t="shared" si="250"/>
        <v>151.553</v>
      </c>
      <c r="AL117" s="123">
        <f t="shared" si="250"/>
        <v>289.93500000000006</v>
      </c>
      <c r="AM117" s="521">
        <f t="shared" si="250"/>
        <v>1006.6660000000001</v>
      </c>
      <c r="AN117" s="121">
        <f t="shared" ref="AN117:AR117" si="251">+AN9</f>
        <v>328.49400000000003</v>
      </c>
      <c r="AO117" s="122">
        <f t="shared" si="251"/>
        <v>178.48099999999999</v>
      </c>
      <c r="AP117" s="122">
        <f t="shared" si="251"/>
        <v>152.76300000000001</v>
      </c>
      <c r="AQ117" s="123">
        <f t="shared" si="251"/>
        <v>297.98299999999995</v>
      </c>
      <c r="AR117" s="521">
        <f t="shared" si="251"/>
        <v>957.721</v>
      </c>
      <c r="AS117" s="121">
        <f t="shared" ref="AS117:AW117" si="252">+AS9</f>
        <v>356.13600000000002</v>
      </c>
      <c r="AT117" s="122">
        <f t="shared" si="252"/>
        <v>192.77699999999999</v>
      </c>
      <c r="AU117" s="122">
        <f t="shared" si="252"/>
        <v>142.38900000000001</v>
      </c>
      <c r="AV117" s="123">
        <f t="shared" si="252"/>
        <v>303.91200000000003</v>
      </c>
      <c r="AW117" s="521">
        <f t="shared" si="252"/>
        <v>995.21400000000006</v>
      </c>
      <c r="AX117" s="121">
        <f>+AX125*AX129/1000</f>
        <v>385.32744909495716</v>
      </c>
      <c r="AY117" s="122">
        <f>+AY125*AY129/1000</f>
        <v>199.52908635896111</v>
      </c>
      <c r="AZ117" s="122">
        <f>+AZ125*AZ129/1000</f>
        <v>146.50796381867264</v>
      </c>
      <c r="BA117" s="123">
        <f>+BA125*BA129/1000</f>
        <v>317.8070749064388</v>
      </c>
      <c r="BB117" s="86">
        <f>SUM(AX117:BA117)</f>
        <v>1049.1715741790297</v>
      </c>
      <c r="BC117" s="121">
        <f>+BC125*BC129/1000</f>
        <v>392.17491674330051</v>
      </c>
      <c r="BD117" s="122">
        <f>+BD125*BD129/1000</f>
        <v>201.7146639396569</v>
      </c>
      <c r="BE117" s="122">
        <f>+BE125*BE129/1000</f>
        <v>147.94633755237584</v>
      </c>
      <c r="BF117" s="123">
        <f>+BF125*BF129/1000</f>
        <v>322.41469521769721</v>
      </c>
      <c r="BG117" s="86">
        <f>SUM(BC117:BF117)</f>
        <v>1064.2506134530306</v>
      </c>
      <c r="BH117" s="121">
        <f>+BH125*BH129/1000</f>
        <v>401.26312059722341</v>
      </c>
      <c r="BI117" s="122">
        <f>+BI125*BI129/1000</f>
        <v>204.6474636948443</v>
      </c>
      <c r="BJ117" s="122">
        <f>+BJ125*BJ129/1000</f>
        <v>149.88291037151376</v>
      </c>
      <c r="BK117" s="123">
        <f>+BK125*BK129/1000</f>
        <v>328.51805781191769</v>
      </c>
      <c r="BL117" s="86">
        <f>SUM(BH117:BK117)</f>
        <v>1084.3115524754992</v>
      </c>
      <c r="BM117" s="121">
        <f>+BM125*BM129/1000</f>
        <v>410.33886107499654</v>
      </c>
      <c r="BN117" s="122">
        <f>+BN125*BN129/1000</f>
        <v>207.57643896897628</v>
      </c>
      <c r="BO117" s="122">
        <f>+BO125*BO129/1000</f>
        <v>151.8169856792083</v>
      </c>
      <c r="BP117" s="123">
        <f>+BP125*BP129/1000</f>
        <v>334.61564017501485</v>
      </c>
      <c r="BQ117" s="86">
        <f>SUM(BM117:BP117)</f>
        <v>1104.3479258981961</v>
      </c>
    </row>
    <row r="118" spans="1:104" s="20" customFormat="1" x14ac:dyDescent="0.2">
      <c r="C118" s="20" t="s">
        <v>417</v>
      </c>
      <c r="E118" s="618">
        <f>E117/$I$117</f>
        <v>0.36118446852212921</v>
      </c>
      <c r="F118" s="619">
        <f>F117/$I$117</f>
        <v>0.15859278089946696</v>
      </c>
      <c r="G118" s="619">
        <f>G117/$I$117</f>
        <v>0.10000191963318551</v>
      </c>
      <c r="H118" s="620">
        <f>H117/$I$117</f>
        <v>0.38022083094521825</v>
      </c>
      <c r="I118" s="621"/>
      <c r="J118" s="618">
        <f>J117/$N$117</f>
        <v>0.43357174604768633</v>
      </c>
      <c r="K118" s="619">
        <f>K117/$N$117</f>
        <v>0.15425600169604053</v>
      </c>
      <c r="L118" s="619">
        <f>L117/$N$117</f>
        <v>9.4103283660918358E-2</v>
      </c>
      <c r="M118" s="620">
        <f>M117/$N$117</f>
        <v>0.31806896859535483</v>
      </c>
      <c r="N118" s="621"/>
      <c r="O118" s="160">
        <f>O117/$S$117</f>
        <v>0.39364871859224876</v>
      </c>
      <c r="P118" s="164">
        <f>P117/$S$117</f>
        <v>0.16063448460996055</v>
      </c>
      <c r="Q118" s="164">
        <f>Q117/$S$117</f>
        <v>0.1127760172613351</v>
      </c>
      <c r="R118" s="162">
        <f>R117/$S$117</f>
        <v>0.33294077953645562</v>
      </c>
      <c r="S118" s="82"/>
      <c r="T118" s="160">
        <f>T117/$X$117</f>
        <v>0.39795310852161447</v>
      </c>
      <c r="U118" s="164">
        <f>U117/$X$117</f>
        <v>0.15315112189394608</v>
      </c>
      <c r="V118" s="164">
        <f>V117/$X$117</f>
        <v>0.11764950360284072</v>
      </c>
      <c r="W118" s="162">
        <f>W117/$X$117</f>
        <v>0.33124626598159868</v>
      </c>
      <c r="X118" s="82"/>
      <c r="Y118" s="160">
        <f>Y117/$AC$117</f>
        <v>0.35525394118458076</v>
      </c>
      <c r="Z118" s="164">
        <f>Z117/$AC$117</f>
        <v>0.19366653002721376</v>
      </c>
      <c r="AA118" s="164">
        <f>AA117/$AC$117</f>
        <v>0.12709227234494583</v>
      </c>
      <c r="AB118" s="162">
        <f>AB117/$AC$117</f>
        <v>0.32398725644325965</v>
      </c>
      <c r="AC118" s="82"/>
      <c r="AD118" s="160">
        <f>AD117/$AH$117</f>
        <v>0.37548587866280925</v>
      </c>
      <c r="AE118" s="164">
        <f>AE117/$AH$117</f>
        <v>0.18364403237326013</v>
      </c>
      <c r="AF118" s="164">
        <f>AF117/$AH$117</f>
        <v>0.13149415299952932</v>
      </c>
      <c r="AG118" s="162">
        <f>AG117/$AH$117</f>
        <v>0.30937593596440133</v>
      </c>
      <c r="AH118" s="82"/>
      <c r="AI118" s="160">
        <f>AI117/$AM$117</f>
        <v>0.37073170247132609</v>
      </c>
      <c r="AJ118" s="164">
        <f>AJ117/$AM$117</f>
        <v>0.19070376867799249</v>
      </c>
      <c r="AK118" s="164">
        <f>AK117/$AM$117</f>
        <v>0.15054943744995858</v>
      </c>
      <c r="AL118" s="162">
        <f>AL117/$AM$117</f>
        <v>0.28801509140072284</v>
      </c>
      <c r="AM118" s="82"/>
      <c r="AN118" s="160">
        <f>AN117/$AR$117</f>
        <v>0.34299550704223886</v>
      </c>
      <c r="AO118" s="164">
        <f>AO117/$AR$117</f>
        <v>0.18636011949200237</v>
      </c>
      <c r="AP118" s="164">
        <f>AP117/$AR$117</f>
        <v>0.1595067874673313</v>
      </c>
      <c r="AQ118" s="162">
        <f>AQ117/$AR$117</f>
        <v>0.31113758599842745</v>
      </c>
      <c r="AR118" s="82"/>
      <c r="AS118" s="160">
        <f>AS117/$AW$117</f>
        <v>0.3578486637044897</v>
      </c>
      <c r="AT118" s="164">
        <f t="shared" ref="AT118:AV118" si="253">AT117/$AW$117</f>
        <v>0.19370406766785836</v>
      </c>
      <c r="AU118" s="164">
        <f t="shared" si="253"/>
        <v>0.14307375097215272</v>
      </c>
      <c r="AV118" s="162">
        <f t="shared" si="253"/>
        <v>0.30537351765549925</v>
      </c>
      <c r="AW118" s="82"/>
      <c r="AX118" s="136"/>
      <c r="AY118" s="135"/>
      <c r="AZ118" s="135"/>
      <c r="BA118" s="116"/>
      <c r="BB118" s="82"/>
      <c r="BC118" s="136"/>
      <c r="BD118" s="135"/>
      <c r="BE118" s="135"/>
      <c r="BF118" s="116"/>
      <c r="BG118" s="82"/>
      <c r="BH118" s="136"/>
      <c r="BI118" s="135"/>
      <c r="BJ118" s="135"/>
      <c r="BK118" s="116"/>
      <c r="BL118" s="82"/>
      <c r="BM118" s="136"/>
      <c r="BN118" s="135"/>
      <c r="BO118" s="135"/>
      <c r="BP118" s="116"/>
      <c r="BQ118" s="82"/>
    </row>
    <row r="119" spans="1:104" x14ac:dyDescent="0.2">
      <c r="C119" s="26"/>
      <c r="E119" s="121"/>
      <c r="F119" s="130"/>
      <c r="G119" s="130"/>
      <c r="H119" s="123"/>
      <c r="I119" s="86"/>
      <c r="J119" s="121"/>
      <c r="K119" s="130"/>
      <c r="L119" s="130"/>
      <c r="M119" s="123"/>
      <c r="N119" s="86"/>
      <c r="O119" s="121"/>
      <c r="P119" s="130"/>
      <c r="Q119" s="130"/>
      <c r="R119" s="123"/>
      <c r="S119" s="86"/>
      <c r="T119" s="121"/>
      <c r="U119" s="130"/>
      <c r="V119" s="130"/>
      <c r="W119" s="123"/>
      <c r="X119" s="86"/>
      <c r="Y119" s="121"/>
      <c r="Z119" s="130"/>
      <c r="AA119" s="130"/>
      <c r="AB119" s="123"/>
      <c r="AC119" s="86"/>
      <c r="AD119" s="121"/>
      <c r="AE119" s="130"/>
      <c r="AF119" s="130"/>
      <c r="AG119" s="123"/>
      <c r="AH119" s="86"/>
      <c r="AI119" s="121"/>
      <c r="AJ119" s="130"/>
      <c r="AK119" s="130"/>
      <c r="AL119" s="123"/>
      <c r="AM119" s="169"/>
      <c r="AN119" s="121"/>
      <c r="AO119" s="130"/>
      <c r="AP119" s="130"/>
      <c r="AQ119" s="123"/>
      <c r="AR119" s="169"/>
      <c r="AS119" s="121"/>
      <c r="AT119" s="130"/>
      <c r="AU119" s="130"/>
      <c r="AV119" s="123"/>
      <c r="AW119" s="169"/>
      <c r="AX119" s="121"/>
      <c r="AY119" s="130"/>
      <c r="AZ119" s="130"/>
      <c r="BA119" s="123"/>
      <c r="BB119" s="169"/>
      <c r="BC119" s="121"/>
      <c r="BD119" s="130"/>
      <c r="BE119" s="130"/>
      <c r="BF119" s="123"/>
      <c r="BG119" s="169"/>
      <c r="BH119" s="121"/>
      <c r="BI119" s="130"/>
      <c r="BJ119" s="130"/>
      <c r="BK119" s="123"/>
      <c r="BL119" s="169"/>
      <c r="BM119" s="121"/>
      <c r="BN119" s="130"/>
      <c r="BO119" s="130"/>
      <c r="BP119" s="123"/>
      <c r="BQ119" s="169"/>
    </row>
    <row r="120" spans="1:104" x14ac:dyDescent="0.2">
      <c r="C120" s="26" t="s">
        <v>272</v>
      </c>
      <c r="E120" s="121"/>
      <c r="F120" s="130"/>
      <c r="G120" s="130"/>
      <c r="H120" s="123"/>
      <c r="I120" s="237"/>
      <c r="J120" s="121"/>
      <c r="K120" s="130"/>
      <c r="L120" s="130"/>
      <c r="M120" s="123"/>
      <c r="N120" s="86"/>
      <c r="O120" s="121"/>
      <c r="P120" s="130"/>
      <c r="Q120" s="130"/>
      <c r="R120" s="123"/>
      <c r="S120" s="86"/>
      <c r="T120" s="121"/>
      <c r="U120" s="130"/>
      <c r="V120" s="130"/>
      <c r="W120" s="123"/>
      <c r="X120" s="86"/>
      <c r="Y120" s="121"/>
      <c r="Z120" s="130"/>
      <c r="AA120" s="130"/>
      <c r="AB120" s="123"/>
      <c r="AC120" s="86"/>
      <c r="AD120" s="121"/>
      <c r="AE120" s="130"/>
      <c r="AF120" s="130"/>
      <c r="AG120" s="123"/>
      <c r="AH120" s="86"/>
      <c r="AI120" s="121"/>
      <c r="AJ120" s="130"/>
      <c r="AK120" s="130"/>
      <c r="AL120" s="123"/>
      <c r="AM120" s="169"/>
      <c r="AN120" s="121"/>
      <c r="AO120" s="130"/>
      <c r="AP120" s="130"/>
      <c r="AQ120" s="123"/>
      <c r="AR120" s="169"/>
      <c r="AS120" s="121"/>
      <c r="AT120" s="130"/>
      <c r="AU120" s="130"/>
      <c r="AV120" s="123"/>
      <c r="AW120" s="169"/>
      <c r="AX120" s="121"/>
      <c r="AY120" s="130"/>
      <c r="AZ120" s="130"/>
      <c r="BA120" s="123"/>
      <c r="BB120" s="169"/>
      <c r="BC120" s="121"/>
      <c r="BD120" s="130"/>
      <c r="BE120" s="130"/>
      <c r="BF120" s="123"/>
      <c r="BG120" s="169"/>
      <c r="BH120" s="121"/>
      <c r="BI120" s="130"/>
      <c r="BJ120" s="130"/>
      <c r="BK120" s="123"/>
      <c r="BL120" s="169"/>
      <c r="BM120" s="121"/>
      <c r="BN120" s="130"/>
      <c r="BO120" s="130"/>
      <c r="BP120" s="123"/>
      <c r="BQ120" s="169"/>
    </row>
    <row r="121" spans="1:104" x14ac:dyDescent="0.2">
      <c r="C121" s="20" t="s">
        <v>273</v>
      </c>
      <c r="D121" s="20"/>
      <c r="E121" s="622">
        <f t="shared" ref="E121:H122" si="254">E$118*$I121</f>
        <v>34516.954918785799</v>
      </c>
      <c r="F121" s="623">
        <f t="shared" si="254"/>
        <v>15156.07769943846</v>
      </c>
      <c r="G121" s="623">
        <f t="shared" si="254"/>
        <v>9556.7834516650073</v>
      </c>
      <c r="H121" s="312">
        <f t="shared" si="254"/>
        <v>36336.183930110725</v>
      </c>
      <c r="I121" s="313">
        <v>95566</v>
      </c>
      <c r="J121" s="622">
        <f>J$118*$N121</f>
        <v>41289.470947867216</v>
      </c>
      <c r="K121" s="623">
        <f>K$118*$N121</f>
        <v>14689.953297515636</v>
      </c>
      <c r="L121" s="623">
        <f>L$118*$N121</f>
        <v>8961.5498063129162</v>
      </c>
      <c r="M121" s="312">
        <f t="shared" ref="K121:M122" si="255">M$118*$N121</f>
        <v>30290.025948304235</v>
      </c>
      <c r="N121" s="313">
        <v>95231</v>
      </c>
      <c r="O121" s="622">
        <f>O$118*$S121</f>
        <v>37375.764884178243</v>
      </c>
      <c r="P121" s="623">
        <f t="shared" ref="P121:R124" si="256">P$118*$S121</f>
        <v>15251.762410261925</v>
      </c>
      <c r="Q121" s="623">
        <f t="shared" si="256"/>
        <v>10707.744510911984</v>
      </c>
      <c r="R121" s="116">
        <f t="shared" si="256"/>
        <v>31611.728194647851</v>
      </c>
      <c r="S121" s="313">
        <v>94947</v>
      </c>
      <c r="T121" s="148">
        <f>O121*(1-0.147)</f>
        <v>31881.52744620404</v>
      </c>
      <c r="U121" s="149">
        <f>P121*(1-0.259)</f>
        <v>11301.555946004086</v>
      </c>
      <c r="V121" s="149">
        <f>Q121*(1-0.013)</f>
        <v>10568.543832270128</v>
      </c>
      <c r="W121" s="116">
        <f>+X121-SUM(T121:V121)</f>
        <v>31528.372775521748</v>
      </c>
      <c r="X121" s="313">
        <v>85280</v>
      </c>
      <c r="Y121" s="148">
        <f>T121*(1+0.217)</f>
        <v>38799.818902030318</v>
      </c>
      <c r="Z121" s="149">
        <f>U121*(1+0.66)</f>
        <v>18760.582870366783</v>
      </c>
      <c r="AA121" s="149">
        <f>V121*(1+0.049)</f>
        <v>11086.402480051363</v>
      </c>
      <c r="AB121" s="116">
        <f>+AC121-SUM(Y121:AA121)</f>
        <v>31682.195747551537</v>
      </c>
      <c r="AC121" s="313">
        <v>100329</v>
      </c>
      <c r="AD121" s="148">
        <f>Y121*(1-0.004)</f>
        <v>38644.619626422194</v>
      </c>
      <c r="AE121" s="149">
        <f>Z121*(1-0.06)</f>
        <v>17634.947898144776</v>
      </c>
      <c r="AF121" s="149">
        <f>AA121*(1+0.062)</f>
        <v>11773.759433814548</v>
      </c>
      <c r="AG121" s="116">
        <f>+AH121-SUM(AD121:AF121)</f>
        <v>31073.673041618487</v>
      </c>
      <c r="AH121" s="313">
        <v>99127</v>
      </c>
      <c r="AI121" s="148">
        <f>AD121*(1-9.6%)</f>
        <v>34934.736142285663</v>
      </c>
      <c r="AJ121" s="149">
        <f>+AE121*(1-8%)</f>
        <v>16224.152066293194</v>
      </c>
      <c r="AK121" s="149">
        <f>+AF121*(1-7.9%)</f>
        <v>10843.6324385432</v>
      </c>
      <c r="AL121" s="116">
        <f>+AM121-SUM(AI121:AK121)</f>
        <v>29998.479352877941</v>
      </c>
      <c r="AM121" s="313">
        <v>92001</v>
      </c>
      <c r="AN121" s="148">
        <f>+AI121*(1+1.6%)</f>
        <v>35493.691920562233</v>
      </c>
      <c r="AO121" s="149">
        <f>+AJ121*(1+7.5%)</f>
        <v>17440.963471265182</v>
      </c>
      <c r="AP121" s="149">
        <f>+AK121*(1+3.5%)</f>
        <v>11223.159573892211</v>
      </c>
      <c r="AQ121" s="116">
        <f>+AR121-SUM(AN121:AP121)</f>
        <v>26783.185034280374</v>
      </c>
      <c r="AR121" s="313">
        <v>90941</v>
      </c>
      <c r="AS121" s="148">
        <f>+AN121*(1-6.1%)</f>
        <v>33328.576713407936</v>
      </c>
      <c r="AT121" s="149">
        <f>+AO121*(1-8.5%)</f>
        <v>15958.481576207643</v>
      </c>
      <c r="AU121" s="149">
        <f>+AP121*(1+4.7%)</f>
        <v>11750.648073865144</v>
      </c>
      <c r="AV121" s="116">
        <f>+AW121-SUM(AS121:AU121)</f>
        <v>27805.293636519273</v>
      </c>
      <c r="AW121" s="313">
        <v>88843</v>
      </c>
      <c r="AX121" s="136">
        <f t="shared" ref="AX121:BA122" si="257">+AS121*(1+AX$61)</f>
        <v>34945.012684008223</v>
      </c>
      <c r="AY121" s="137">
        <f t="shared" si="257"/>
        <v>15998.377780148161</v>
      </c>
      <c r="AZ121" s="137">
        <f t="shared" si="257"/>
        <v>11721.271453680481</v>
      </c>
      <c r="BA121" s="116">
        <f t="shared" si="257"/>
        <v>28013.833338793171</v>
      </c>
      <c r="BB121" s="82">
        <f>SUM(AX121:BA121)</f>
        <v>90678.495256630034</v>
      </c>
      <c r="BC121" s="136">
        <f t="shared" ref="BC121:BF122" si="258">+AX121*(1+BC$61)</f>
        <v>34857.650152298207</v>
      </c>
      <c r="BD121" s="137">
        <f t="shared" si="258"/>
        <v>15958.381835697792</v>
      </c>
      <c r="BE121" s="137">
        <f t="shared" si="258"/>
        <v>11691.968275046282</v>
      </c>
      <c r="BF121" s="116">
        <f t="shared" si="258"/>
        <v>27943.798755446191</v>
      </c>
      <c r="BG121" s="82">
        <f>SUM(BC121:BF121)</f>
        <v>90451.799018488469</v>
      </c>
      <c r="BH121" s="136">
        <f t="shared" ref="BH121:BK122" si="259">+BC121*(1+BH$61)</f>
        <v>34770.506026917465</v>
      </c>
      <c r="BI121" s="137">
        <f t="shared" si="259"/>
        <v>15918.485881108549</v>
      </c>
      <c r="BJ121" s="137">
        <f t="shared" si="259"/>
        <v>11662.738354358666</v>
      </c>
      <c r="BK121" s="116">
        <f t="shared" si="259"/>
        <v>27873.939258557577</v>
      </c>
      <c r="BL121" s="82">
        <f>SUM(BH121:BK121)</f>
        <v>90225.669520942261</v>
      </c>
      <c r="BM121" s="136">
        <f t="shared" ref="BM121:BM122" si="260">+BH121*(1+BM$61)</f>
        <v>34683.579761850175</v>
      </c>
      <c r="BN121" s="137">
        <f t="shared" ref="BN121:BN122" si="261">+BI121*(1+BN$61)</f>
        <v>15878.689666405779</v>
      </c>
      <c r="BO121" s="137">
        <f t="shared" ref="BO121:BO122" si="262">+BJ121*(1+BO$61)</f>
        <v>11633.581508472769</v>
      </c>
      <c r="BP121" s="116">
        <f t="shared" ref="BP121:BP122" si="263">+BK121*(1+BP$61)</f>
        <v>27804.254410411184</v>
      </c>
      <c r="BQ121" s="82">
        <f>SUM(BM121:BP121)</f>
        <v>90000.105347139906</v>
      </c>
    </row>
    <row r="122" spans="1:104" x14ac:dyDescent="0.2">
      <c r="C122" s="20" t="s">
        <v>274</v>
      </c>
      <c r="D122" s="20"/>
      <c r="E122" s="622">
        <f t="shared" si="254"/>
        <v>14403.314235725469</v>
      </c>
      <c r="F122" s="623">
        <f t="shared" si="254"/>
        <v>6324.3629167089439</v>
      </c>
      <c r="G122" s="623">
        <f t="shared" si="254"/>
        <v>3987.8765511321717</v>
      </c>
      <c r="H122" s="312">
        <f t="shared" si="254"/>
        <v>15162.446296433412</v>
      </c>
      <c r="I122" s="313">
        <v>39878</v>
      </c>
      <c r="J122" s="622">
        <f>J$118*$N122</f>
        <v>17082.293222532793</v>
      </c>
      <c r="K122" s="623">
        <f t="shared" si="255"/>
        <v>6077.5322108223008</v>
      </c>
      <c r="L122" s="623">
        <f t="shared" si="255"/>
        <v>3707.5752729565224</v>
      </c>
      <c r="M122" s="312">
        <f t="shared" si="255"/>
        <v>12531.599293688385</v>
      </c>
      <c r="N122" s="313">
        <v>39399</v>
      </c>
      <c r="O122" s="622">
        <f>O$118*$S122</f>
        <v>15129.101201655896</v>
      </c>
      <c r="P122" s="623">
        <f t="shared" si="256"/>
        <v>6173.6651470146135</v>
      </c>
      <c r="Q122" s="623">
        <f t="shared" si="256"/>
        <v>4334.320671404892</v>
      </c>
      <c r="R122" s="116">
        <f t="shared" si="256"/>
        <v>12795.912979924598</v>
      </c>
      <c r="S122" s="313">
        <v>38433</v>
      </c>
      <c r="T122" s="148">
        <f>O122*(1-0.147)</f>
        <v>12905.123325012479</v>
      </c>
      <c r="U122" s="149">
        <f>P122*(1-0.259)</f>
        <v>4574.6858739378285</v>
      </c>
      <c r="V122" s="149">
        <f>Q122*(1-0.013)</f>
        <v>4277.9745026766286</v>
      </c>
      <c r="W122" s="116">
        <f>+X122-SUM(T122:V122)</f>
        <v>12839.216298373063</v>
      </c>
      <c r="X122" s="313">
        <v>34597</v>
      </c>
      <c r="Y122" s="148">
        <f>T122*(1+0.217)</f>
        <v>15705.535086540187</v>
      </c>
      <c r="Z122" s="149">
        <f>U122*(1+0.66)</f>
        <v>7593.978550736796</v>
      </c>
      <c r="AA122" s="149">
        <f>V122*(1+0.049)</f>
        <v>4487.5952533077834</v>
      </c>
      <c r="AB122" s="116">
        <f>+AC122-SUM(Y122:AA122)</f>
        <v>12471.891109415232</v>
      </c>
      <c r="AC122" s="313">
        <v>40259</v>
      </c>
      <c r="AD122" s="148">
        <f>Y122*(1-0.004)</f>
        <v>15642.712946194026</v>
      </c>
      <c r="AE122" s="149">
        <f>Z122*(1-0.06)</f>
        <v>7138.3398376925879</v>
      </c>
      <c r="AF122" s="149">
        <f>AA122*(1+0.062)</f>
        <v>4765.8261590128659</v>
      </c>
      <c r="AG122" s="116">
        <f>+AH122-SUM(AD122:AF122)</f>
        <v>12891.121057100521</v>
      </c>
      <c r="AH122" s="313">
        <v>40438</v>
      </c>
      <c r="AI122" s="148">
        <f>AD122*(1-9.6%)</f>
        <v>14141.012503359399</v>
      </c>
      <c r="AJ122" s="149">
        <f>+AE122*(1-8%)</f>
        <v>6567.2726506771814</v>
      </c>
      <c r="AK122" s="149">
        <f>+AF122*(1-8%)</f>
        <v>4384.5600662918368</v>
      </c>
      <c r="AL122" s="116">
        <f>+AM122-SUM(AI122:AK122)</f>
        <v>13312.154779671582</v>
      </c>
      <c r="AM122" s="313">
        <v>38405</v>
      </c>
      <c r="AN122" s="148">
        <f>+AI122*(1+1.6%)</f>
        <v>14367.26870341315</v>
      </c>
      <c r="AO122" s="149">
        <f>+AJ122*(1+7.5%)</f>
        <v>7059.8180994779696</v>
      </c>
      <c r="AP122" s="149">
        <f>+AK122*(1+3.5%)</f>
        <v>4538.0196686120507</v>
      </c>
      <c r="AQ122" s="116">
        <f>+AR122-SUM(AN122:AP122)</f>
        <v>12127.893528496828</v>
      </c>
      <c r="AR122" s="313">
        <v>38093</v>
      </c>
      <c r="AS122" s="148">
        <f>+AN122*(1-6.1%)</f>
        <v>13490.86531250495</v>
      </c>
      <c r="AT122" s="149">
        <f>+AO122*(1-8.5%)</f>
        <v>6459.7335610223427</v>
      </c>
      <c r="AU122" s="149">
        <f>+AP122*(1+4.7%)</f>
        <v>4751.3065930368166</v>
      </c>
      <c r="AV122" s="116">
        <f>+AW122-SUM(AS122:AU122)</f>
        <v>12603.094533435891</v>
      </c>
      <c r="AW122" s="313">
        <v>37305</v>
      </c>
      <c r="AX122" s="136">
        <f t="shared" si="257"/>
        <v>14145.17228016144</v>
      </c>
      <c r="AY122" s="137">
        <f t="shared" si="257"/>
        <v>6475.8828949248982</v>
      </c>
      <c r="AZ122" s="137">
        <f t="shared" si="257"/>
        <v>4739.4283265542244</v>
      </c>
      <c r="BA122" s="116">
        <f t="shared" si="257"/>
        <v>12697.617742436662</v>
      </c>
      <c r="BB122" s="82">
        <f>SUM(AX122:BA122)</f>
        <v>38058.101244077225</v>
      </c>
      <c r="BC122" s="136">
        <f t="shared" si="258"/>
        <v>14109.809349461037</v>
      </c>
      <c r="BD122" s="137">
        <f t="shared" si="258"/>
        <v>6459.693187687586</v>
      </c>
      <c r="BE122" s="137">
        <f t="shared" si="258"/>
        <v>4727.5797557378392</v>
      </c>
      <c r="BF122" s="116">
        <f t="shared" si="258"/>
        <v>12665.87369808057</v>
      </c>
      <c r="BG122" s="82">
        <f>SUM(BC122:BF122)</f>
        <v>37962.955990967035</v>
      </c>
      <c r="BH122" s="136">
        <f t="shared" si="259"/>
        <v>14074.534826087385</v>
      </c>
      <c r="BI122" s="137">
        <f t="shared" si="259"/>
        <v>6443.5439547183678</v>
      </c>
      <c r="BJ122" s="137">
        <f t="shared" si="259"/>
        <v>4715.760806348495</v>
      </c>
      <c r="BK122" s="116">
        <f t="shared" si="259"/>
        <v>12634.209013835369</v>
      </c>
      <c r="BL122" s="82">
        <f>SUM(BH122:BK122)</f>
        <v>37868.048600989619</v>
      </c>
      <c r="BM122" s="136">
        <f t="shared" si="260"/>
        <v>14039.348489022168</v>
      </c>
      <c r="BN122" s="137">
        <f t="shared" si="261"/>
        <v>6427.4350948315723</v>
      </c>
      <c r="BO122" s="137">
        <f t="shared" si="262"/>
        <v>4703.9714043326239</v>
      </c>
      <c r="BP122" s="116">
        <f t="shared" si="263"/>
        <v>12602.623491300781</v>
      </c>
      <c r="BQ122" s="82">
        <f>SUM(BM122:BP122)</f>
        <v>37773.378479487146</v>
      </c>
    </row>
    <row r="123" spans="1:104" x14ac:dyDescent="0.2">
      <c r="A123" s="26"/>
      <c r="B123" s="26"/>
      <c r="C123" s="26" t="s">
        <v>275</v>
      </c>
      <c r="D123" s="26"/>
      <c r="E123" s="326">
        <f t="shared" ref="E123:M123" si="264">E122+E121</f>
        <v>48920.269154511268</v>
      </c>
      <c r="F123" s="327">
        <f t="shared" si="264"/>
        <v>21480.440616147403</v>
      </c>
      <c r="G123" s="327">
        <f t="shared" si="264"/>
        <v>13544.66000279718</v>
      </c>
      <c r="H123" s="314">
        <f t="shared" si="264"/>
        <v>51498.630226544134</v>
      </c>
      <c r="I123" s="93">
        <f t="shared" si="264"/>
        <v>135444</v>
      </c>
      <c r="J123" s="326">
        <f t="shared" si="264"/>
        <v>58371.764170400013</v>
      </c>
      <c r="K123" s="327">
        <f t="shared" si="264"/>
        <v>20767.485508337937</v>
      </c>
      <c r="L123" s="327">
        <f t="shared" si="264"/>
        <v>12669.125079269439</v>
      </c>
      <c r="M123" s="314">
        <f t="shared" si="264"/>
        <v>42821.625241992617</v>
      </c>
      <c r="N123" s="315">
        <f t="shared" ref="N123:AJ123" si="265">SUM(N121:N122)</f>
        <v>134630</v>
      </c>
      <c r="O123" s="326">
        <f t="shared" si="265"/>
        <v>52504.866085834139</v>
      </c>
      <c r="P123" s="327">
        <f t="shared" si="265"/>
        <v>21425.42755727654</v>
      </c>
      <c r="Q123" s="327">
        <f t="shared" si="265"/>
        <v>15042.065182316876</v>
      </c>
      <c r="R123" s="123">
        <f t="shared" si="265"/>
        <v>44407.641174572447</v>
      </c>
      <c r="S123" s="315">
        <f t="shared" si="265"/>
        <v>133380</v>
      </c>
      <c r="T123" s="121">
        <f t="shared" si="265"/>
        <v>44786.650771216518</v>
      </c>
      <c r="U123" s="130">
        <f t="shared" si="265"/>
        <v>15876.241819941915</v>
      </c>
      <c r="V123" s="130">
        <f t="shared" si="265"/>
        <v>14846.518334946757</v>
      </c>
      <c r="W123" s="123">
        <f t="shared" si="265"/>
        <v>44367.589073894807</v>
      </c>
      <c r="X123" s="315">
        <f t="shared" si="265"/>
        <v>119877</v>
      </c>
      <c r="Y123" s="121">
        <f t="shared" si="265"/>
        <v>54505.353988570503</v>
      </c>
      <c r="Z123" s="130">
        <f t="shared" si="265"/>
        <v>26354.561421103579</v>
      </c>
      <c r="AA123" s="130">
        <f t="shared" si="265"/>
        <v>15573.997733359147</v>
      </c>
      <c r="AB123" s="123">
        <f t="shared" si="265"/>
        <v>44154.086856966765</v>
      </c>
      <c r="AC123" s="315">
        <f t="shared" si="265"/>
        <v>140588</v>
      </c>
      <c r="AD123" s="121">
        <f t="shared" si="265"/>
        <v>54287.332572616222</v>
      </c>
      <c r="AE123" s="130">
        <f t="shared" si="265"/>
        <v>24773.287735837363</v>
      </c>
      <c r="AF123" s="130">
        <f t="shared" si="265"/>
        <v>16539.585592827414</v>
      </c>
      <c r="AG123" s="123">
        <f t="shared" si="265"/>
        <v>43964.794098719009</v>
      </c>
      <c r="AH123" s="315">
        <f t="shared" si="265"/>
        <v>139565</v>
      </c>
      <c r="AI123" s="121">
        <f t="shared" si="265"/>
        <v>49075.748645645064</v>
      </c>
      <c r="AJ123" s="130">
        <f t="shared" si="265"/>
        <v>22791.424716970374</v>
      </c>
      <c r="AK123" s="130">
        <f t="shared" ref="AK123:AP123" si="266">SUM(AK121:AK122)</f>
        <v>15228.192504835037</v>
      </c>
      <c r="AL123" s="123">
        <f t="shared" si="266"/>
        <v>43310.634132549523</v>
      </c>
      <c r="AM123" s="315">
        <f t="shared" si="266"/>
        <v>130406</v>
      </c>
      <c r="AN123" s="121">
        <f t="shared" si="266"/>
        <v>49860.960623975385</v>
      </c>
      <c r="AO123" s="130">
        <f t="shared" si="266"/>
        <v>24500.781570743151</v>
      </c>
      <c r="AP123" s="130">
        <f t="shared" si="266"/>
        <v>15761.179242504262</v>
      </c>
      <c r="AQ123" s="123">
        <f t="shared" ref="AQ123:AU123" si="267">SUM(AQ121:AQ122)</f>
        <v>38911.078562777198</v>
      </c>
      <c r="AR123" s="315">
        <f t="shared" si="267"/>
        <v>129034</v>
      </c>
      <c r="AS123" s="121">
        <f t="shared" si="267"/>
        <v>46819.442025912882</v>
      </c>
      <c r="AT123" s="130">
        <f t="shared" si="267"/>
        <v>22418.215137229985</v>
      </c>
      <c r="AU123" s="130">
        <f t="shared" si="267"/>
        <v>16501.954666901962</v>
      </c>
      <c r="AV123" s="123">
        <f t="shared" ref="AV123:AW123" si="268">SUM(AV121:AV122)</f>
        <v>40408.388169955164</v>
      </c>
      <c r="AW123" s="315">
        <f t="shared" si="268"/>
        <v>126148</v>
      </c>
      <c r="AX123" s="121">
        <f t="shared" ref="AX123:BG123" si="269">SUM(AX121:AX122)</f>
        <v>49090.184964169661</v>
      </c>
      <c r="AY123" s="122">
        <f t="shared" si="269"/>
        <v>22474.260675073059</v>
      </c>
      <c r="AZ123" s="122">
        <f t="shared" si="269"/>
        <v>16460.699780234707</v>
      </c>
      <c r="BA123" s="123">
        <f t="shared" si="269"/>
        <v>40711.451081229832</v>
      </c>
      <c r="BB123" s="86">
        <f t="shared" si="269"/>
        <v>128736.59650070727</v>
      </c>
      <c r="BC123" s="121">
        <f t="shared" si="269"/>
        <v>48967.459501759244</v>
      </c>
      <c r="BD123" s="122">
        <f t="shared" si="269"/>
        <v>22418.075023385376</v>
      </c>
      <c r="BE123" s="122">
        <f t="shared" si="269"/>
        <v>16419.548030784121</v>
      </c>
      <c r="BF123" s="123">
        <f t="shared" si="269"/>
        <v>40609.672453526757</v>
      </c>
      <c r="BG123" s="86">
        <f t="shared" si="269"/>
        <v>128414.7550094555</v>
      </c>
      <c r="BH123" s="121">
        <f t="shared" ref="BH123:BQ123" si="270">SUM(BH121:BH122)</f>
        <v>48845.040853004852</v>
      </c>
      <c r="BI123" s="122">
        <f t="shared" si="270"/>
        <v>22362.029835826917</v>
      </c>
      <c r="BJ123" s="122">
        <f t="shared" si="270"/>
        <v>16378.499160707161</v>
      </c>
      <c r="BK123" s="123">
        <f t="shared" si="270"/>
        <v>40508.148272392944</v>
      </c>
      <c r="BL123" s="86">
        <f t="shared" si="270"/>
        <v>128093.71812193189</v>
      </c>
      <c r="BM123" s="121">
        <f t="shared" si="270"/>
        <v>48722.928250872341</v>
      </c>
      <c r="BN123" s="122">
        <f t="shared" si="270"/>
        <v>22306.124761237352</v>
      </c>
      <c r="BO123" s="122">
        <f t="shared" si="270"/>
        <v>16337.552912805393</v>
      </c>
      <c r="BP123" s="123">
        <f t="shared" si="270"/>
        <v>40406.877901711967</v>
      </c>
      <c r="BQ123" s="86">
        <f t="shared" si="270"/>
        <v>127773.48382662705</v>
      </c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</row>
    <row r="124" spans="1:104" x14ac:dyDescent="0.2">
      <c r="A124" s="20"/>
      <c r="B124" s="20"/>
      <c r="C124" s="20" t="s">
        <v>276</v>
      </c>
      <c r="D124" s="20"/>
      <c r="E124" s="622">
        <f>E$118*$I124</f>
        <v>39696.340197393132</v>
      </c>
      <c r="F124" s="623">
        <f>F$118*$I124</f>
        <v>17430.298177536817</v>
      </c>
      <c r="G124" s="623">
        <f>G$118*$I124</f>
        <v>10990.810979204887</v>
      </c>
      <c r="H124" s="312">
        <f>H$118*$I124</f>
        <v>41788.550645865158</v>
      </c>
      <c r="I124" s="313">
        <v>109906</v>
      </c>
      <c r="J124" s="622">
        <f>J$118*$N124</f>
        <v>44049.588683206792</v>
      </c>
      <c r="K124" s="623">
        <f>K$118*$N124</f>
        <v>15671.947004312629</v>
      </c>
      <c r="L124" s="623">
        <f>L$118*$N124</f>
        <v>9560.6113100983221</v>
      </c>
      <c r="M124" s="312">
        <f>M$118*$N124</f>
        <v>32314.853002382264</v>
      </c>
      <c r="N124" s="313">
        <v>101597</v>
      </c>
      <c r="O124" s="622">
        <f>O$118*$S124</f>
        <v>40496.218276458996</v>
      </c>
      <c r="P124" s="623">
        <f t="shared" si="256"/>
        <v>16525.111969765083</v>
      </c>
      <c r="Q124" s="623">
        <f t="shared" si="256"/>
        <v>11601.719999742587</v>
      </c>
      <c r="R124" s="116">
        <f t="shared" si="256"/>
        <v>34250.949754033332</v>
      </c>
      <c r="S124" s="313">
        <v>102874</v>
      </c>
      <c r="T124" s="148">
        <f>O124*(1-0.147)</f>
        <v>34543.274189819524</v>
      </c>
      <c r="U124" s="149">
        <f>P124*(1-0.259)</f>
        <v>12245.107969595927</v>
      </c>
      <c r="V124" s="149">
        <f>Q124*(1-0.013)</f>
        <v>11450.897639745934</v>
      </c>
      <c r="W124" s="116">
        <f>+X124-SUM(T124:V124)</f>
        <v>43250.720200838616</v>
      </c>
      <c r="X124" s="313">
        <v>101490</v>
      </c>
      <c r="Y124" s="148">
        <f>T124*(1+0.217)</f>
        <v>42039.164689010366</v>
      </c>
      <c r="Z124" s="149">
        <f>U124*(1+0.66)</f>
        <v>20326.879229529241</v>
      </c>
      <c r="AA124" s="149">
        <f>V124*(1+0.049)</f>
        <v>12011.991624093484</v>
      </c>
      <c r="AB124" s="116">
        <f>+AC124-SUM(Y124:AA124)</f>
        <v>35258.964457366907</v>
      </c>
      <c r="AC124" s="313">
        <v>109637</v>
      </c>
      <c r="AD124" s="148">
        <f>Y124*(1-0.004)</f>
        <v>41871.008030254321</v>
      </c>
      <c r="AE124" s="149">
        <f>Z124*(1-0.06)</f>
        <v>19107.266475757486</v>
      </c>
      <c r="AF124" s="149">
        <f>AA124*(1+0.062)</f>
        <v>12756.73510478728</v>
      </c>
      <c r="AG124" s="116">
        <f>+AH124-SUM(AD124:AF124)</f>
        <v>34270.990389200917</v>
      </c>
      <c r="AH124" s="313">
        <v>108006</v>
      </c>
      <c r="AI124" s="148">
        <f>AD124*(1-9.6%)</f>
        <v>37851.391259349904</v>
      </c>
      <c r="AJ124" s="149">
        <f>+AE124*(1-8%)</f>
        <v>17578.685157696887</v>
      </c>
      <c r="AK124" s="149">
        <f>+AF124*(1-8%)</f>
        <v>11736.196296404298</v>
      </c>
      <c r="AL124" s="116">
        <f>+AM124-SUM(AI124:AK124)</f>
        <v>41693.727286548907</v>
      </c>
      <c r="AM124" s="313">
        <v>108860</v>
      </c>
      <c r="AN124" s="148">
        <f>+AI124*(1+1.6%)</f>
        <v>38457.013519499502</v>
      </c>
      <c r="AO124" s="149">
        <f>+AJ124*(1+7.5%)</f>
        <v>18897.086544524154</v>
      </c>
      <c r="AP124" s="149">
        <f>+AK124*(1+3.5%)</f>
        <v>12146.963166778447</v>
      </c>
      <c r="AQ124" s="116">
        <f>+AR124-SUM(AN124:AP124)</f>
        <v>47960.936769197899</v>
      </c>
      <c r="AR124" s="313">
        <v>117462</v>
      </c>
      <c r="AS124" s="148">
        <f>+AN124*(1-6.1%)</f>
        <v>36111.135694810037</v>
      </c>
      <c r="AT124" s="149">
        <f>+AO124*(1-8.5%)</f>
        <v>17290.834188239602</v>
      </c>
      <c r="AU124" s="149">
        <f>+AP124*(1+4.7%)</f>
        <v>12717.870435617033</v>
      </c>
      <c r="AV124" s="116">
        <f>+AW124-SUM(AS124:AU124)</f>
        <v>58091.159681333331</v>
      </c>
      <c r="AW124" s="313">
        <v>124211</v>
      </c>
      <c r="AX124" s="136">
        <f>+AS124</f>
        <v>36111.135694810037</v>
      </c>
      <c r="AY124" s="135">
        <f>+AT124</f>
        <v>17290.834188239602</v>
      </c>
      <c r="AZ124" s="135">
        <f>+AU124</f>
        <v>12717.870435617033</v>
      </c>
      <c r="BA124" s="116">
        <f>+AV124</f>
        <v>58091.159681333331</v>
      </c>
      <c r="BB124" s="82">
        <f>SUM(AX124:BA124)</f>
        <v>124211</v>
      </c>
      <c r="BC124" s="136">
        <f>+AX124</f>
        <v>36111.135694810037</v>
      </c>
      <c r="BD124" s="135">
        <f>+AY124</f>
        <v>17290.834188239602</v>
      </c>
      <c r="BE124" s="135">
        <f>+AZ124</f>
        <v>12717.870435617033</v>
      </c>
      <c r="BF124" s="116">
        <f>+BA124</f>
        <v>58091.159681333331</v>
      </c>
      <c r="BG124" s="82">
        <f>SUM(BC124:BF124)</f>
        <v>124211</v>
      </c>
      <c r="BH124" s="136">
        <f>+BC124</f>
        <v>36111.135694810037</v>
      </c>
      <c r="BI124" s="135">
        <f>+BD124</f>
        <v>17290.834188239602</v>
      </c>
      <c r="BJ124" s="135">
        <f>+BE124</f>
        <v>12717.870435617033</v>
      </c>
      <c r="BK124" s="116">
        <f>+BF124</f>
        <v>58091.159681333331</v>
      </c>
      <c r="BL124" s="82">
        <f>SUM(BH124:BK124)</f>
        <v>124211</v>
      </c>
      <c r="BM124" s="136">
        <f>+BH124</f>
        <v>36111.135694810037</v>
      </c>
      <c r="BN124" s="135">
        <f>+BI124</f>
        <v>17290.834188239602</v>
      </c>
      <c r="BO124" s="135">
        <f>+BJ124</f>
        <v>12717.870435617033</v>
      </c>
      <c r="BP124" s="116">
        <f>+BK124</f>
        <v>58091.159681333331</v>
      </c>
      <c r="BQ124" s="82">
        <f>SUM(BM124:BP124)</f>
        <v>124211</v>
      </c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</row>
    <row r="125" spans="1:104" x14ac:dyDescent="0.2">
      <c r="A125" s="20"/>
      <c r="B125" s="20"/>
      <c r="C125" s="26" t="s">
        <v>278</v>
      </c>
      <c r="D125" s="20"/>
      <c r="E125" s="326">
        <f>SUM(E123:E124)</f>
        <v>88616.609351904393</v>
      </c>
      <c r="F125" s="327">
        <f>SUM(F123:F124)</f>
        <v>38910.738793684221</v>
      </c>
      <c r="G125" s="327">
        <f>SUM(G123:G124)</f>
        <v>24535.470982002065</v>
      </c>
      <c r="H125" s="314">
        <f>SUM(H123:H124)</f>
        <v>93287.180872409284</v>
      </c>
      <c r="I125" s="93">
        <f>+I123+I124</f>
        <v>245350</v>
      </c>
      <c r="J125" s="326">
        <f>SUM(J123:J124)</f>
        <v>102421.3528536068</v>
      </c>
      <c r="K125" s="327">
        <f>SUM(K123:K124)</f>
        <v>36439.432512650565</v>
      </c>
      <c r="L125" s="327">
        <f>SUM(L123:L124)</f>
        <v>22229.736389367761</v>
      </c>
      <c r="M125" s="314">
        <f>SUM(M123:M124)</f>
        <v>75136.478244374885</v>
      </c>
      <c r="N125" s="93">
        <f>SUM(N124:N124)+N123</f>
        <v>236227</v>
      </c>
      <c r="O125" s="326">
        <f>SUM(O123:O124)</f>
        <v>93001.084362293128</v>
      </c>
      <c r="P125" s="327">
        <f>SUM(P123:P124)</f>
        <v>37950.539527041619</v>
      </c>
      <c r="Q125" s="327">
        <f>SUM(Q123:Q124)</f>
        <v>26643.785182059462</v>
      </c>
      <c r="R125" s="123">
        <f>SUM(R123:R124)</f>
        <v>78658.590928605787</v>
      </c>
      <c r="S125" s="93">
        <f>SUM(S124:S124)+S123</f>
        <v>236254</v>
      </c>
      <c r="T125" s="121">
        <f>SUM(T123:T124)</f>
        <v>79329.924961036042</v>
      </c>
      <c r="U125" s="327">
        <f>SUM(U123:U124)</f>
        <v>28121.349789537842</v>
      </c>
      <c r="V125" s="327">
        <f>SUM(V123:V124)</f>
        <v>26297.415974692689</v>
      </c>
      <c r="W125" s="123">
        <f>SUM(W123:W124)</f>
        <v>87618.309274733416</v>
      </c>
      <c r="X125" s="93">
        <f>SUM(X124:X124)+X123</f>
        <v>221367</v>
      </c>
      <c r="Y125" s="121">
        <f>SUM(Y123:Y124)</f>
        <v>96544.518677580869</v>
      </c>
      <c r="Z125" s="327">
        <f>SUM(Z123:Z124)</f>
        <v>46681.440650632823</v>
      </c>
      <c r="AA125" s="327">
        <f>SUM(AA123:AA124)</f>
        <v>27585.989357452629</v>
      </c>
      <c r="AB125" s="123">
        <f>SUM(AB123:AB124)</f>
        <v>79413.051314333672</v>
      </c>
      <c r="AC125" s="93">
        <f>SUM(AC124:AC124)+AC123</f>
        <v>250225</v>
      </c>
      <c r="AD125" s="121">
        <f>SUM(AD123:AD124)</f>
        <v>96158.340602870536</v>
      </c>
      <c r="AE125" s="327">
        <f>SUM(AE123:AE124)</f>
        <v>43880.554211594848</v>
      </c>
      <c r="AF125" s="327">
        <f>SUM(AF123:AF124)</f>
        <v>29296.320697614694</v>
      </c>
      <c r="AG125" s="123">
        <f>SUM(AG123:AG124)</f>
        <v>78235.784487919926</v>
      </c>
      <c r="AH125" s="93">
        <f>SUM(AH124:AH124)+AH123</f>
        <v>247571</v>
      </c>
      <c r="AI125" s="121">
        <f>SUM(AI123:AI124)</f>
        <v>86927.139904994969</v>
      </c>
      <c r="AJ125" s="327">
        <f>SUM(AJ123:AJ124)</f>
        <v>40370.109874667265</v>
      </c>
      <c r="AK125" s="327">
        <f>SUM(AK123:AK124)</f>
        <v>26964.388801239336</v>
      </c>
      <c r="AL125" s="123">
        <f>SUM(AL123:AL124)</f>
        <v>85004.361419098423</v>
      </c>
      <c r="AM125" s="93">
        <f>SUM(AM124:AM124)+AM123</f>
        <v>239266</v>
      </c>
      <c r="AN125" s="326">
        <f>SUM(AN123:AN124)</f>
        <v>88317.974143474887</v>
      </c>
      <c r="AO125" s="327">
        <f>SUM(AO123:AO124)</f>
        <v>43397.868115267309</v>
      </c>
      <c r="AP125" s="327">
        <f>SUM(AP123:AP124)</f>
        <v>27908.142409282707</v>
      </c>
      <c r="AQ125" s="123">
        <f>SUM(AQ123:AQ124)</f>
        <v>86872.015331975097</v>
      </c>
      <c r="AR125" s="93">
        <f>SUM(AR124:AR124)+AR123</f>
        <v>246496</v>
      </c>
      <c r="AS125" s="326">
        <f>SUM(AS123:AS124)</f>
        <v>82930.577720722911</v>
      </c>
      <c r="AT125" s="327">
        <f>SUM(AT123:AT124)</f>
        <v>39709.04932546959</v>
      </c>
      <c r="AU125" s="122">
        <f>SUM(AU123:AU124)</f>
        <v>29219.825102518997</v>
      </c>
      <c r="AV125" s="123">
        <f>SUM(AV123:AV124)</f>
        <v>98499.547851288487</v>
      </c>
      <c r="AW125" s="93">
        <f>SUM(AW124:AW124)+AW123</f>
        <v>250359</v>
      </c>
      <c r="AX125" s="121">
        <f t="shared" ref="AX125:BG125" si="271">SUM(AX123:AX124)</f>
        <v>85201.320658979705</v>
      </c>
      <c r="AY125" s="122">
        <f t="shared" si="271"/>
        <v>39765.094863312661</v>
      </c>
      <c r="AZ125" s="122">
        <f t="shared" si="271"/>
        <v>29178.570215851738</v>
      </c>
      <c r="BA125" s="123">
        <f t="shared" si="271"/>
        <v>98802.610762563156</v>
      </c>
      <c r="BB125" s="86">
        <f t="shared" si="271"/>
        <v>252947.59650070727</v>
      </c>
      <c r="BC125" s="121">
        <f t="shared" si="271"/>
        <v>85078.59519656928</v>
      </c>
      <c r="BD125" s="122">
        <f t="shared" si="271"/>
        <v>39708.909211624981</v>
      </c>
      <c r="BE125" s="122">
        <f t="shared" si="271"/>
        <v>29137.418466401155</v>
      </c>
      <c r="BF125" s="123">
        <f t="shared" si="271"/>
        <v>98700.832134860088</v>
      </c>
      <c r="BG125" s="86">
        <f t="shared" si="271"/>
        <v>252625.75500945549</v>
      </c>
      <c r="BH125" s="121">
        <f t="shared" ref="BH125:BQ125" si="272">SUM(BH123:BH124)</f>
        <v>84956.176547814888</v>
      </c>
      <c r="BI125" s="122">
        <f t="shared" si="272"/>
        <v>39652.864024066519</v>
      </c>
      <c r="BJ125" s="122">
        <f t="shared" si="272"/>
        <v>29096.369596324192</v>
      </c>
      <c r="BK125" s="123">
        <f t="shared" si="272"/>
        <v>98599.307953726267</v>
      </c>
      <c r="BL125" s="86">
        <f t="shared" si="272"/>
        <v>252304.71812193189</v>
      </c>
      <c r="BM125" s="121">
        <f t="shared" si="272"/>
        <v>84834.06394568237</v>
      </c>
      <c r="BN125" s="122">
        <f t="shared" si="272"/>
        <v>39596.958949476953</v>
      </c>
      <c r="BO125" s="122">
        <f t="shared" si="272"/>
        <v>29055.423348422424</v>
      </c>
      <c r="BP125" s="123">
        <f t="shared" si="272"/>
        <v>98498.037583045298</v>
      </c>
      <c r="BQ125" s="86">
        <f t="shared" si="272"/>
        <v>251984.48382662705</v>
      </c>
      <c r="BR125" s="20"/>
      <c r="BS125" s="633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</row>
    <row r="126" spans="1:104" x14ac:dyDescent="0.2">
      <c r="C126" s="20"/>
      <c r="E126" s="273"/>
      <c r="F126" s="274"/>
      <c r="G126" s="274"/>
      <c r="H126" s="624"/>
      <c r="I126" s="68"/>
      <c r="J126" s="625"/>
      <c r="K126" s="626"/>
      <c r="L126" s="626"/>
      <c r="M126" s="624"/>
      <c r="N126" s="169"/>
      <c r="O126" s="273"/>
      <c r="P126" s="274"/>
      <c r="Q126" s="274"/>
      <c r="R126" s="275"/>
      <c r="S126" s="169"/>
      <c r="T126" s="273"/>
      <c r="U126" s="274"/>
      <c r="V126" s="274"/>
      <c r="W126" s="275"/>
      <c r="X126" s="169"/>
      <c r="Y126" s="273"/>
      <c r="Z126" s="274"/>
      <c r="AA126" s="274"/>
      <c r="AB126" s="275"/>
      <c r="AC126" s="169"/>
      <c r="AD126" s="273"/>
      <c r="AE126" s="274"/>
      <c r="AF126" s="274"/>
      <c r="AG126" s="275"/>
      <c r="AH126" s="169"/>
      <c r="AI126" s="273"/>
      <c r="AJ126" s="274"/>
      <c r="AK126" s="274"/>
      <c r="AL126" s="275"/>
      <c r="AM126" s="169"/>
      <c r="AN126" s="273"/>
      <c r="AO126" s="274"/>
      <c r="AP126" s="274"/>
      <c r="AQ126" s="275"/>
      <c r="AR126" s="169"/>
      <c r="AS126" s="273"/>
      <c r="AT126" s="274"/>
      <c r="AU126" s="274"/>
      <c r="AV126" s="275"/>
      <c r="AW126" s="169"/>
      <c r="AX126" s="273"/>
      <c r="AY126" s="274"/>
      <c r="AZ126" s="274"/>
      <c r="BA126" s="275"/>
      <c r="BB126" s="169"/>
      <c r="BC126" s="273"/>
      <c r="BD126" s="274"/>
      <c r="BE126" s="274"/>
      <c r="BF126" s="275"/>
      <c r="BG126" s="169"/>
      <c r="BH126" s="273"/>
      <c r="BI126" s="274"/>
      <c r="BJ126" s="274"/>
      <c r="BK126" s="275"/>
      <c r="BL126" s="169"/>
      <c r="BM126" s="273"/>
      <c r="BN126" s="274"/>
      <c r="BO126" s="274"/>
      <c r="BP126" s="275"/>
      <c r="BQ126" s="169"/>
    </row>
    <row r="127" spans="1:104" x14ac:dyDescent="0.2">
      <c r="A127" s="20"/>
      <c r="B127" s="20"/>
      <c r="C127" s="20" t="s">
        <v>279</v>
      </c>
      <c r="D127" s="20"/>
      <c r="E127" s="203"/>
      <c r="F127" s="204"/>
      <c r="G127" s="204"/>
      <c r="H127" s="205"/>
      <c r="I127" s="206"/>
      <c r="J127" s="207">
        <f t="shared" ref="J127:AD127" si="273">+J123/E123-1</f>
        <v>0.19320202401251829</v>
      </c>
      <c r="K127" s="208">
        <f t="shared" si="273"/>
        <v>-3.3190897735753122E-2</v>
      </c>
      <c r="L127" s="208">
        <f t="shared" si="273"/>
        <v>-6.4640598091567414E-2</v>
      </c>
      <c r="M127" s="209">
        <f t="shared" si="273"/>
        <v>-0.16849001510100547</v>
      </c>
      <c r="N127" s="88">
        <f t="shared" si="273"/>
        <v>-6.0098638551726591E-3</v>
      </c>
      <c r="O127" s="207">
        <f t="shared" si="273"/>
        <v>-0.1005091788461131</v>
      </c>
      <c r="P127" s="208">
        <f t="shared" si="273"/>
        <v>3.1681353463540285E-2</v>
      </c>
      <c r="Q127" s="208">
        <f t="shared" si="273"/>
        <v>0.18730102419860795</v>
      </c>
      <c r="R127" s="209">
        <f t="shared" si="273"/>
        <v>3.7037733239151382E-2</v>
      </c>
      <c r="S127" s="88">
        <f t="shared" si="273"/>
        <v>-9.2847062318948126E-3</v>
      </c>
      <c r="T127" s="207">
        <f t="shared" si="273"/>
        <v>-0.14700000000000002</v>
      </c>
      <c r="U127" s="208">
        <f t="shared" si="273"/>
        <v>-0.25900000000000001</v>
      </c>
      <c r="V127" s="208">
        <f t="shared" si="273"/>
        <v>-1.2999999999999901E-2</v>
      </c>
      <c r="W127" s="209">
        <f t="shared" si="273"/>
        <v>-9.0191912063486424E-4</v>
      </c>
      <c r="X127" s="88">
        <f t="shared" si="273"/>
        <v>-0.10123706702654067</v>
      </c>
      <c r="Y127" s="207">
        <f t="shared" si="273"/>
        <v>0.21700000000000008</v>
      </c>
      <c r="Z127" s="208">
        <f t="shared" si="273"/>
        <v>0.65999999999999992</v>
      </c>
      <c r="AA127" s="208">
        <f t="shared" si="273"/>
        <v>4.8999999999999932E-2</v>
      </c>
      <c r="AB127" s="209">
        <f t="shared" si="273"/>
        <v>-4.812121221472121E-3</v>
      </c>
      <c r="AC127" s="88">
        <f t="shared" si="273"/>
        <v>0.17276875464017283</v>
      </c>
      <c r="AD127" s="207">
        <f t="shared" si="273"/>
        <v>-4.0000000000000036E-3</v>
      </c>
      <c r="AE127" s="208">
        <f t="shared" ref="AE127:AK127" si="274">+AE123/Z123-1</f>
        <v>-6.0000000000000053E-2</v>
      </c>
      <c r="AF127" s="208">
        <f t="shared" si="274"/>
        <v>6.2000000000000055E-2</v>
      </c>
      <c r="AG127" s="209">
        <f t="shared" si="274"/>
        <v>-4.2870948472097936E-3</v>
      </c>
      <c r="AH127" s="88">
        <f t="shared" si="274"/>
        <v>-7.2765812160354715E-3</v>
      </c>
      <c r="AI127" s="207">
        <f t="shared" si="274"/>
        <v>-9.5999999999999974E-2</v>
      </c>
      <c r="AJ127" s="208">
        <f t="shared" si="274"/>
        <v>-7.999999999999996E-2</v>
      </c>
      <c r="AK127" s="208">
        <f t="shared" si="274"/>
        <v>-7.9288146648672897E-2</v>
      </c>
      <c r="AL127" s="209">
        <f t="shared" ref="AL127:AU127" si="275">+AL123/AG123-1</f>
        <v>-1.487917729582966E-2</v>
      </c>
      <c r="AM127" s="88">
        <f t="shared" si="275"/>
        <v>-6.5625335865009182E-2</v>
      </c>
      <c r="AN127" s="207">
        <f t="shared" si="275"/>
        <v>1.6000000000000014E-2</v>
      </c>
      <c r="AO127" s="208">
        <f t="shared" si="275"/>
        <v>7.4999999999999956E-2</v>
      </c>
      <c r="AP127" s="208">
        <f t="shared" si="275"/>
        <v>3.499999999999992E-2</v>
      </c>
      <c r="AQ127" s="209">
        <f t="shared" si="275"/>
        <v>-0.10158141661716968</v>
      </c>
      <c r="AR127" s="88">
        <f t="shared" si="275"/>
        <v>-1.0520988298084455E-2</v>
      </c>
      <c r="AS127" s="207">
        <f t="shared" si="275"/>
        <v>-6.1000000000000054E-2</v>
      </c>
      <c r="AT127" s="208">
        <f t="shared" si="275"/>
        <v>-8.4999999999999964E-2</v>
      </c>
      <c r="AU127" s="208">
        <f t="shared" si="275"/>
        <v>4.6999999999999931E-2</v>
      </c>
      <c r="AV127" s="209">
        <f t="shared" ref="AV127" si="276">+AV123/AQ123-1</f>
        <v>3.8480290510638948E-2</v>
      </c>
      <c r="AW127" s="88">
        <f t="shared" ref="AW127" si="277">+AW123/AR123-1</f>
        <v>-2.2366198056326225E-2</v>
      </c>
      <c r="AX127" s="207">
        <f t="shared" ref="AX127:BG127" si="278">+AX123/AS123-1</f>
        <v>4.8499999999999988E-2</v>
      </c>
      <c r="AY127" s="208">
        <f t="shared" si="278"/>
        <v>2.4999999999999467E-3</v>
      </c>
      <c r="AZ127" s="208">
        <f t="shared" si="278"/>
        <v>-2.5000000000000577E-3</v>
      </c>
      <c r="BA127" s="209">
        <f t="shared" si="278"/>
        <v>7.5000000000000622E-3</v>
      </c>
      <c r="BB127" s="88">
        <f t="shared" si="278"/>
        <v>2.0520313446961147E-2</v>
      </c>
      <c r="BC127" s="207">
        <f t="shared" si="278"/>
        <v>-2.4999999999998357E-3</v>
      </c>
      <c r="BD127" s="208">
        <f t="shared" si="278"/>
        <v>-2.5000000000000577E-3</v>
      </c>
      <c r="BE127" s="208">
        <f t="shared" si="278"/>
        <v>-2.4999999999999467E-3</v>
      </c>
      <c r="BF127" s="209">
        <f t="shared" si="278"/>
        <v>-2.5000000000000577E-3</v>
      </c>
      <c r="BG127" s="88">
        <f t="shared" si="278"/>
        <v>-2.4999999999999467E-3</v>
      </c>
      <c r="BH127" s="207">
        <f t="shared" ref="BH127:BQ127" si="279">+BH123/BC123-1</f>
        <v>-2.4999999999998357E-3</v>
      </c>
      <c r="BI127" s="208">
        <f t="shared" si="279"/>
        <v>-2.4999999999998357E-3</v>
      </c>
      <c r="BJ127" s="208">
        <f t="shared" si="279"/>
        <v>-2.4999999999999467E-3</v>
      </c>
      <c r="BK127" s="209">
        <f t="shared" si="279"/>
        <v>-2.4999999999999467E-3</v>
      </c>
      <c r="BL127" s="88">
        <f t="shared" si="279"/>
        <v>-2.4999999999998357E-3</v>
      </c>
      <c r="BM127" s="207">
        <f t="shared" si="279"/>
        <v>-2.4999999999999467E-3</v>
      </c>
      <c r="BN127" s="208">
        <f t="shared" si="279"/>
        <v>-2.4999999999999467E-3</v>
      </c>
      <c r="BO127" s="208">
        <f t="shared" si="279"/>
        <v>-2.4999999999999467E-3</v>
      </c>
      <c r="BP127" s="209">
        <f t="shared" si="279"/>
        <v>-2.4999999999998357E-3</v>
      </c>
      <c r="BQ127" s="88">
        <f t="shared" si="279"/>
        <v>-2.5000000000000577E-3</v>
      </c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</row>
    <row r="128" spans="1:104" x14ac:dyDescent="0.2">
      <c r="C128" s="316"/>
      <c r="E128" s="273"/>
      <c r="F128" s="274"/>
      <c r="G128" s="274"/>
      <c r="H128" s="275"/>
      <c r="I128" s="169"/>
      <c r="J128" s="273"/>
      <c r="K128" s="274"/>
      <c r="L128" s="274"/>
      <c r="M128" s="275"/>
      <c r="N128" s="169"/>
      <c r="O128" s="273"/>
      <c r="P128" s="274"/>
      <c r="Q128" s="274"/>
      <c r="R128" s="275"/>
      <c r="S128" s="169"/>
      <c r="T128" s="273"/>
      <c r="U128" s="274"/>
      <c r="V128" s="274"/>
      <c r="W128" s="275"/>
      <c r="X128" s="169"/>
      <c r="Y128" s="273"/>
      <c r="Z128" s="274"/>
      <c r="AA128" s="274"/>
      <c r="AB128" s="275"/>
      <c r="AC128" s="169"/>
      <c r="AD128" s="273"/>
      <c r="AE128" s="274"/>
      <c r="AF128" s="274"/>
      <c r="AG128" s="275"/>
      <c r="AH128" s="169"/>
      <c r="AI128" s="273"/>
      <c r="AJ128" s="274"/>
      <c r="AK128" s="274"/>
      <c r="AL128" s="275"/>
      <c r="AM128" s="169"/>
      <c r="AN128" s="273"/>
      <c r="AO128" s="274"/>
      <c r="AP128" s="274"/>
      <c r="AQ128" s="275"/>
      <c r="AR128" s="169"/>
      <c r="AS128" s="273"/>
      <c r="AT128" s="274"/>
      <c r="AU128" s="274"/>
      <c r="AV128" s="275"/>
      <c r="AW128" s="169"/>
      <c r="AX128" s="273"/>
      <c r="AY128" s="274"/>
      <c r="AZ128" s="274"/>
      <c r="BA128" s="275"/>
      <c r="BB128" s="169"/>
      <c r="BC128" s="273"/>
      <c r="BD128" s="274"/>
      <c r="BE128" s="274"/>
      <c r="BF128" s="275"/>
      <c r="BG128" s="169"/>
      <c r="BH128" s="273"/>
      <c r="BI128" s="274"/>
      <c r="BJ128" s="274"/>
      <c r="BK128" s="275"/>
      <c r="BL128" s="169"/>
      <c r="BM128" s="273"/>
      <c r="BN128" s="274"/>
      <c r="BO128" s="274"/>
      <c r="BP128" s="275"/>
      <c r="BQ128" s="169"/>
    </row>
    <row r="129" spans="1:104" x14ac:dyDescent="0.2">
      <c r="C129" s="26" t="s">
        <v>280</v>
      </c>
      <c r="E129" s="335">
        <f t="shared" ref="E129:M129" si="280">E117/E125*1000</f>
        <v>4.458769105359691</v>
      </c>
      <c r="F129" s="323">
        <f t="shared" si="280"/>
        <v>4.458769105359691</v>
      </c>
      <c r="G129" s="323">
        <f t="shared" si="280"/>
        <v>4.4587691053596901</v>
      </c>
      <c r="H129" s="324">
        <f t="shared" si="280"/>
        <v>4.458769105359691</v>
      </c>
      <c r="I129" s="325">
        <f>I117/I125*1000</f>
        <v>4.4587691053596901</v>
      </c>
      <c r="J129" s="335">
        <f t="shared" si="280"/>
        <v>4.5525955966083469</v>
      </c>
      <c r="K129" s="323">
        <f t="shared" si="280"/>
        <v>4.5525955966083478</v>
      </c>
      <c r="L129" s="323">
        <f t="shared" si="280"/>
        <v>4.5525955966083478</v>
      </c>
      <c r="M129" s="324">
        <f t="shared" si="280"/>
        <v>4.5525955966083469</v>
      </c>
      <c r="N129" s="325">
        <f t="shared" ref="N129:AM129" si="281">N117/N125*1000</f>
        <v>4.5525955966083469</v>
      </c>
      <c r="O129" s="322">
        <f t="shared" si="281"/>
        <v>4.6041506175556819</v>
      </c>
      <c r="P129" s="323">
        <f t="shared" si="281"/>
        <v>4.6041506175556828</v>
      </c>
      <c r="Q129" s="323">
        <f t="shared" si="281"/>
        <v>4.6041506175556819</v>
      </c>
      <c r="R129" s="324">
        <f t="shared" si="281"/>
        <v>4.6041506175556819</v>
      </c>
      <c r="S129" s="325">
        <f t="shared" si="281"/>
        <v>4.6041506175556819</v>
      </c>
      <c r="T129" s="322">
        <f t="shared" si="281"/>
        <v>4.8279889359295067</v>
      </c>
      <c r="U129" s="323">
        <f t="shared" si="281"/>
        <v>5.2414980469691885</v>
      </c>
      <c r="V129" s="323">
        <f t="shared" si="281"/>
        <v>4.3057462417207404</v>
      </c>
      <c r="W129" s="324">
        <f t="shared" si="281"/>
        <v>3.6385431611145393</v>
      </c>
      <c r="X129" s="325">
        <f t="shared" si="281"/>
        <v>4.347689583361567</v>
      </c>
      <c r="Y129" s="322">
        <f t="shared" si="281"/>
        <v>3.9766524838364865</v>
      </c>
      <c r="Z129" s="323">
        <f t="shared" si="281"/>
        <v>4.4834948768266596</v>
      </c>
      <c r="AA129" s="323">
        <f t="shared" si="281"/>
        <v>4.9789405128909685</v>
      </c>
      <c r="AB129" s="324">
        <f t="shared" si="281"/>
        <v>4.4090233809817416</v>
      </c>
      <c r="AC129" s="325">
        <f t="shared" si="281"/>
        <v>4.3189249675292238</v>
      </c>
      <c r="AD129" s="322">
        <f t="shared" si="281"/>
        <v>4.7456829760056953</v>
      </c>
      <c r="AE129" s="323">
        <f t="shared" si="281"/>
        <v>5.0862393151138887</v>
      </c>
      <c r="AF129" s="323">
        <f t="shared" si="281"/>
        <v>5.4548829407445547</v>
      </c>
      <c r="AG129" s="324">
        <f t="shared" si="281"/>
        <v>4.8058826592076356</v>
      </c>
      <c r="AH129" s="325">
        <f t="shared" si="281"/>
        <v>4.9089917639788183</v>
      </c>
      <c r="AI129" s="322">
        <f t="shared" si="281"/>
        <v>4.2932851628143256</v>
      </c>
      <c r="AJ129" s="323">
        <f t="shared" si="281"/>
        <v>4.7553747214462412</v>
      </c>
      <c r="AK129" s="323">
        <f t="shared" si="281"/>
        <v>5.6204871216303758</v>
      </c>
      <c r="AL129" s="324">
        <f t="shared" si="281"/>
        <v>3.4108249877971399</v>
      </c>
      <c r="AM129" s="325">
        <f t="shared" si="281"/>
        <v>4.2073090200864307</v>
      </c>
      <c r="AN129" s="322">
        <f t="shared" ref="AN129:AS129" si="282">AN117/AN125*1000</f>
        <v>3.7194467285487418</v>
      </c>
      <c r="AO129" s="323">
        <f t="shared" si="282"/>
        <v>4.1126674592849559</v>
      </c>
      <c r="AP129" s="323">
        <f t="shared" si="282"/>
        <v>5.4737788620853722</v>
      </c>
      <c r="AQ129" s="324">
        <f t="shared" si="282"/>
        <v>3.4301379893315418</v>
      </c>
      <c r="AR129" s="325">
        <f t="shared" si="282"/>
        <v>3.8853409385953528</v>
      </c>
      <c r="AS129" s="322">
        <f t="shared" si="282"/>
        <v>4.2943870619028353</v>
      </c>
      <c r="AT129" s="323">
        <f>AT117/AT125*1000</f>
        <v>4.8547372267699149</v>
      </c>
      <c r="AU129" s="323">
        <f>AU117/AU125*1000</f>
        <v>4.8730271143109913</v>
      </c>
      <c r="AV129" s="324">
        <f t="shared" ref="AV129:AW129" si="283">AV117/AV125*1000</f>
        <v>3.0854151783400749</v>
      </c>
      <c r="AW129" s="325">
        <f t="shared" si="283"/>
        <v>3.9751476879201473</v>
      </c>
      <c r="AX129" s="322">
        <f>AS129+(AX131/AX125)*1000</f>
        <v>4.5225525392644954</v>
      </c>
      <c r="AY129" s="323">
        <f>AT129+(AY131/AY125)*1000</f>
        <v>5.0176942125956536</v>
      </c>
      <c r="AZ129" s="323">
        <f>AU129+(AZ131/AZ125)*1000</f>
        <v>5.0210809760335611</v>
      </c>
      <c r="BA129" s="324">
        <f>AV129+(BA131/BA125)*1000</f>
        <v>3.2165858012616164</v>
      </c>
      <c r="BB129" s="325">
        <f>BB117/BB125*1000</f>
        <v>4.1477823418499895</v>
      </c>
      <c r="BC129" s="322">
        <f>AX129+(BC131/BC125)*1000</f>
        <v>4.6095603228661988</v>
      </c>
      <c r="BD129" s="323">
        <f>AY129+(BD131/BD125)*1000</f>
        <v>5.0798339200061413</v>
      </c>
      <c r="BE129" s="323">
        <f>AZ129+(BE131/BE125)*1000</f>
        <v>5.0775375904689435</v>
      </c>
      <c r="BF129" s="324">
        <f>BA129+(BF131/BF125)*1000</f>
        <v>3.2665853797176223</v>
      </c>
      <c r="BG129" s="325">
        <f>BG117/BG125*1000</f>
        <v>4.2127557952798478</v>
      </c>
      <c r="BH129" s="322">
        <f>BC129+(BH131/BH125)*1000</f>
        <v>4.7231777241220971</v>
      </c>
      <c r="BI129" s="323">
        <f>BD129+(BI131/BI125)*1000</f>
        <v>5.1609755999122182</v>
      </c>
      <c r="BJ129" s="323">
        <f>BE129+(BJ131/BJ125)*1000</f>
        <v>5.1512581277648053</v>
      </c>
      <c r="BK129" s="324">
        <f>BF129+(BK131/BK125)*1000</f>
        <v>3.3318495294723043</v>
      </c>
      <c r="BL129" s="325">
        <f>BL117/BL125*1000</f>
        <v>4.2976269351866874</v>
      </c>
      <c r="BM129" s="322">
        <f>BH129+(BM131/BM125)*1000</f>
        <v>4.8369586695472782</v>
      </c>
      <c r="BN129" s="323">
        <f>BI129+(BN131/BN125)*1000</f>
        <v>5.2422318399205814</v>
      </c>
      <c r="BO129" s="323">
        <f>BJ129+(BO131/BO125)*1000</f>
        <v>5.22508255545522</v>
      </c>
      <c r="BP129" s="324">
        <f>BK129+(BP131/BP125)*1000</f>
        <v>3.3971807803063583</v>
      </c>
      <c r="BQ129" s="325">
        <f>BQ117/BQ125*1000</f>
        <v>4.3826028854142498</v>
      </c>
    </row>
    <row r="130" spans="1:104" x14ac:dyDescent="0.2">
      <c r="C130" s="70"/>
      <c r="E130" s="273"/>
      <c r="F130" s="274"/>
      <c r="G130" s="274"/>
      <c r="H130" s="275"/>
      <c r="I130" s="169"/>
      <c r="J130" s="273"/>
      <c r="K130" s="274"/>
      <c r="L130" s="274"/>
      <c r="M130" s="275"/>
      <c r="N130" s="169"/>
      <c r="O130" s="273"/>
      <c r="P130" s="274"/>
      <c r="Q130" s="274"/>
      <c r="R130" s="275"/>
      <c r="S130" s="169"/>
      <c r="T130" s="273"/>
      <c r="U130" s="274"/>
      <c r="V130" s="274"/>
      <c r="W130" s="275"/>
      <c r="X130" s="169"/>
      <c r="Y130" s="273"/>
      <c r="Z130" s="274"/>
      <c r="AA130" s="274"/>
      <c r="AB130" s="275"/>
      <c r="AC130" s="169"/>
      <c r="AD130" s="273"/>
      <c r="AE130" s="274"/>
      <c r="AF130" s="274"/>
      <c r="AG130" s="275"/>
      <c r="AH130" s="169"/>
      <c r="AI130" s="273"/>
      <c r="AJ130" s="274"/>
      <c r="AK130" s="274"/>
      <c r="AL130" s="275"/>
      <c r="AM130" s="169"/>
      <c r="AN130" s="273"/>
      <c r="AO130" s="274"/>
      <c r="AP130" s="274"/>
      <c r="AQ130" s="275"/>
      <c r="AR130" s="169"/>
      <c r="AS130" s="273"/>
      <c r="AT130" s="274"/>
      <c r="AU130" s="274"/>
      <c r="AV130" s="275"/>
      <c r="AW130" s="169"/>
      <c r="AX130" s="273"/>
      <c r="AY130" s="274"/>
      <c r="AZ130" s="274"/>
      <c r="BA130" s="275"/>
      <c r="BB130" s="169"/>
      <c r="BC130" s="273"/>
      <c r="BD130" s="274"/>
      <c r="BE130" s="274"/>
      <c r="BF130" s="275"/>
      <c r="BG130" s="169"/>
      <c r="BH130" s="273"/>
      <c r="BI130" s="274"/>
      <c r="BJ130" s="274"/>
      <c r="BK130" s="275"/>
      <c r="BL130" s="169"/>
      <c r="BM130" s="273"/>
      <c r="BN130" s="274"/>
      <c r="BO130" s="274"/>
      <c r="BP130" s="275"/>
      <c r="BQ130" s="169"/>
    </row>
    <row r="131" spans="1:104" x14ac:dyDescent="0.2">
      <c r="C131" s="20" t="s">
        <v>281</v>
      </c>
      <c r="E131" s="160"/>
      <c r="F131" s="164"/>
      <c r="G131" s="164"/>
      <c r="H131" s="162"/>
      <c r="I131" s="169"/>
      <c r="J131" s="160"/>
      <c r="K131" s="164"/>
      <c r="L131" s="164"/>
      <c r="M131" s="162"/>
      <c r="N131" s="169"/>
      <c r="O131" s="136"/>
      <c r="P131" s="135"/>
      <c r="Q131" s="135"/>
      <c r="R131" s="116"/>
      <c r="S131" s="82"/>
      <c r="T131" s="136"/>
      <c r="U131" s="135"/>
      <c r="V131" s="135"/>
      <c r="W131" s="116"/>
      <c r="X131" s="82"/>
      <c r="Y131" s="136"/>
      <c r="Z131" s="135"/>
      <c r="AA131" s="135"/>
      <c r="AB131" s="116"/>
      <c r="AC131" s="82"/>
      <c r="AD131" s="136"/>
      <c r="AE131" s="135"/>
      <c r="AF131" s="135"/>
      <c r="AG131" s="116"/>
      <c r="AH131" s="82"/>
      <c r="AI131" s="136"/>
      <c r="AJ131" s="135"/>
      <c r="AK131" s="135"/>
      <c r="AL131" s="116"/>
      <c r="AM131" s="82"/>
      <c r="AN131" s="136"/>
      <c r="AO131" s="135"/>
      <c r="AP131" s="135"/>
      <c r="AQ131" s="116"/>
      <c r="AR131" s="82"/>
      <c r="AS131" s="136"/>
      <c r="AT131" s="135"/>
      <c r="AU131" s="135"/>
      <c r="AV131" s="116"/>
      <c r="AW131" s="82"/>
      <c r="AX131" s="136">
        <f>+AX68</f>
        <v>19.440000000000001</v>
      </c>
      <c r="AY131" s="135">
        <f>+AY68</f>
        <v>6.48</v>
      </c>
      <c r="AZ131" s="135">
        <f>+AZ68</f>
        <v>4.32</v>
      </c>
      <c r="BA131" s="116">
        <f>+BA68</f>
        <v>12.96</v>
      </c>
      <c r="BB131" s="82">
        <f>SUM(AX131:BA131)</f>
        <v>43.2</v>
      </c>
      <c r="BC131" s="136">
        <f>+BC68</f>
        <v>7.4024999999999999</v>
      </c>
      <c r="BD131" s="135">
        <f>+BD68</f>
        <v>2.4674999999999998</v>
      </c>
      <c r="BE131" s="135">
        <f>+BE68</f>
        <v>1.645</v>
      </c>
      <c r="BF131" s="116">
        <f>+BF68</f>
        <v>4.9349999999999996</v>
      </c>
      <c r="BG131" s="82">
        <f>SUM(BC131:BF131)</f>
        <v>16.45</v>
      </c>
      <c r="BH131" s="136">
        <f>+BH68</f>
        <v>9.6524999999999999</v>
      </c>
      <c r="BI131" s="135">
        <f>+BI68</f>
        <v>3.2174999999999998</v>
      </c>
      <c r="BJ131" s="135">
        <f>+BJ68</f>
        <v>2.145</v>
      </c>
      <c r="BK131" s="116">
        <f>+BK68</f>
        <v>6.4349999999999996</v>
      </c>
      <c r="BL131" s="82">
        <f>SUM(BH131:BK131)</f>
        <v>21.45</v>
      </c>
      <c r="BM131" s="136">
        <f>+BM68</f>
        <v>9.6524999999999999</v>
      </c>
      <c r="BN131" s="135">
        <f>+BN68</f>
        <v>3.2174999999999998</v>
      </c>
      <c r="BO131" s="135">
        <f>+BO68</f>
        <v>2.145</v>
      </c>
      <c r="BP131" s="116">
        <f>+BP68</f>
        <v>6.4349999999999996</v>
      </c>
      <c r="BQ131" s="82">
        <f>SUM(BM131:BP131)</f>
        <v>21.45</v>
      </c>
    </row>
    <row r="132" spans="1:104" x14ac:dyDescent="0.2">
      <c r="C132" s="26"/>
      <c r="E132" s="273"/>
      <c r="F132" s="274"/>
      <c r="G132" s="274"/>
      <c r="H132" s="275"/>
      <c r="I132" s="169"/>
      <c r="J132" s="273"/>
      <c r="K132" s="274"/>
      <c r="L132" s="274"/>
      <c r="M132" s="275"/>
      <c r="N132" s="169"/>
      <c r="O132" s="273"/>
      <c r="P132" s="274"/>
      <c r="Q132" s="274"/>
      <c r="R132" s="275"/>
      <c r="S132" s="169"/>
      <c r="T132" s="273"/>
      <c r="U132" s="274"/>
      <c r="V132" s="274"/>
      <c r="W132" s="275"/>
      <c r="X132" s="169"/>
      <c r="Y132" s="273"/>
      <c r="Z132" s="274"/>
      <c r="AA132" s="274"/>
      <c r="AB132" s="275"/>
      <c r="AC132" s="169"/>
      <c r="AD132" s="273"/>
      <c r="AE132" s="274"/>
      <c r="AF132" s="274"/>
      <c r="AG132" s="275"/>
      <c r="AH132" s="169"/>
      <c r="AI132" s="273"/>
      <c r="AJ132" s="274"/>
      <c r="AK132" s="274"/>
      <c r="AL132" s="275"/>
      <c r="AM132" s="169"/>
      <c r="AN132" s="273"/>
      <c r="AO132" s="274"/>
      <c r="AP132" s="274"/>
      <c r="AQ132" s="275"/>
      <c r="AR132" s="169"/>
      <c r="AS132" s="273"/>
      <c r="AT132" s="274"/>
      <c r="AU132" s="274"/>
      <c r="AV132" s="275"/>
      <c r="AW132" s="169"/>
      <c r="AX132" s="273"/>
      <c r="AY132" s="274"/>
      <c r="AZ132" s="274"/>
      <c r="BA132" s="275"/>
      <c r="BB132" s="169"/>
      <c r="BC132" s="273"/>
      <c r="BD132" s="274"/>
      <c r="BE132" s="274"/>
      <c r="BF132" s="275"/>
      <c r="BG132" s="169"/>
      <c r="BH132" s="273"/>
      <c r="BI132" s="274"/>
      <c r="BJ132" s="274"/>
      <c r="BK132" s="275"/>
      <c r="BL132" s="169"/>
      <c r="BM132" s="273"/>
      <c r="BN132" s="274"/>
      <c r="BO132" s="274"/>
      <c r="BP132" s="275"/>
      <c r="BQ132" s="169"/>
    </row>
    <row r="133" spans="1:104" x14ac:dyDescent="0.2">
      <c r="C133" s="26" t="s">
        <v>431</v>
      </c>
      <c r="E133" s="273"/>
      <c r="F133" s="274"/>
      <c r="G133" s="274"/>
      <c r="H133" s="275"/>
      <c r="I133" s="169"/>
      <c r="J133" s="273"/>
      <c r="K133" s="274"/>
      <c r="L133" s="274"/>
      <c r="M133" s="275"/>
      <c r="N133" s="169"/>
      <c r="O133" s="273"/>
      <c r="P133" s="274"/>
      <c r="Q133" s="274"/>
      <c r="R133" s="275"/>
      <c r="S133" s="169"/>
      <c r="T133" s="273"/>
      <c r="U133" s="274"/>
      <c r="V133" s="274"/>
      <c r="W133" s="275"/>
      <c r="X133" s="169"/>
      <c r="Y133" s="273"/>
      <c r="Z133" s="274"/>
      <c r="AA133" s="274"/>
      <c r="AB133" s="275"/>
      <c r="AC133" s="169"/>
      <c r="AD133" s="273"/>
      <c r="AE133" s="274"/>
      <c r="AF133" s="274"/>
      <c r="AG133" s="275"/>
      <c r="AH133" s="169"/>
      <c r="AI133" s="273"/>
      <c r="AJ133" s="274"/>
      <c r="AK133" s="274"/>
      <c r="AL133" s="275"/>
      <c r="AM133" s="169"/>
      <c r="AN133" s="273"/>
      <c r="AO133" s="274"/>
      <c r="AP133" s="274"/>
      <c r="AQ133" s="275"/>
      <c r="AR133" s="169"/>
      <c r="AS133" s="273"/>
      <c r="AT133" s="274"/>
      <c r="AU133" s="274"/>
      <c r="AV133" s="275"/>
      <c r="AW133" s="169"/>
      <c r="AX133" s="273"/>
      <c r="AY133" s="274"/>
      <c r="AZ133" s="274"/>
      <c r="BA133" s="275"/>
      <c r="BB133" s="169"/>
      <c r="BC133" s="273"/>
      <c r="BD133" s="274"/>
      <c r="BE133" s="274"/>
      <c r="BF133" s="275"/>
      <c r="BG133" s="169"/>
      <c r="BH133" s="273"/>
      <c r="BI133" s="274"/>
      <c r="BJ133" s="274"/>
      <c r="BK133" s="275"/>
      <c r="BL133" s="169"/>
      <c r="BM133" s="273"/>
      <c r="BN133" s="274"/>
      <c r="BO133" s="274"/>
      <c r="BP133" s="275"/>
      <c r="BQ133" s="169"/>
    </row>
    <row r="134" spans="1:104" x14ac:dyDescent="0.2">
      <c r="C134" s="20" t="s">
        <v>282</v>
      </c>
      <c r="E134" s="136">
        <f t="shared" ref="E134:AE134" si="284">E14</f>
        <v>282.43599999999998</v>
      </c>
      <c r="F134" s="135">
        <f t="shared" si="284"/>
        <v>92.366</v>
      </c>
      <c r="G134" s="135">
        <f t="shared" si="284"/>
        <v>40.820999999999998</v>
      </c>
      <c r="H134" s="116">
        <f t="shared" si="284"/>
        <v>296.45600000000002</v>
      </c>
      <c r="I134" s="82">
        <f t="shared" si="284"/>
        <v>712.07899999999995</v>
      </c>
      <c r="J134" s="136">
        <f t="shared" si="284"/>
        <v>340.709</v>
      </c>
      <c r="K134" s="135">
        <f t="shared" si="284"/>
        <v>82.120999999999995</v>
      </c>
      <c r="L134" s="135">
        <f t="shared" si="284"/>
        <v>31.266999999999999</v>
      </c>
      <c r="M134" s="116">
        <f t="shared" si="284"/>
        <v>231.11300000000006</v>
      </c>
      <c r="N134" s="82">
        <f t="shared" si="284"/>
        <v>685.21</v>
      </c>
      <c r="O134" s="136">
        <f t="shared" si="284"/>
        <v>304.93799999999999</v>
      </c>
      <c r="P134" s="135">
        <f t="shared" si="284"/>
        <v>94.022000000000006</v>
      </c>
      <c r="Q134" s="135">
        <f t="shared" si="284"/>
        <v>51.103999999999999</v>
      </c>
      <c r="R134" s="116">
        <f t="shared" si="284"/>
        <v>242.03200000000004</v>
      </c>
      <c r="S134" s="82">
        <f t="shared" si="284"/>
        <v>692.096</v>
      </c>
      <c r="T134" s="136">
        <f t="shared" si="284"/>
        <v>256.87700000000001</v>
      </c>
      <c r="U134" s="135">
        <f t="shared" si="284"/>
        <v>57.091000000000001</v>
      </c>
      <c r="V134" s="135">
        <f t="shared" si="284"/>
        <v>24.661999999999999</v>
      </c>
      <c r="W134" s="116">
        <f t="shared" si="284"/>
        <v>193.78700000000003</v>
      </c>
      <c r="X134" s="82">
        <f t="shared" si="284"/>
        <v>532.41700000000003</v>
      </c>
      <c r="Y134" s="136">
        <f t="shared" si="284"/>
        <v>249.62</v>
      </c>
      <c r="Z134" s="135">
        <f t="shared" si="284"/>
        <v>109.697</v>
      </c>
      <c r="AA134" s="135">
        <f t="shared" si="284"/>
        <v>43.881</v>
      </c>
      <c r="AB134" s="116">
        <f t="shared" si="284"/>
        <v>217.92200000000003</v>
      </c>
      <c r="AC134" s="82">
        <f t="shared" si="284"/>
        <v>621.12</v>
      </c>
      <c r="AD134" s="136">
        <f t="shared" si="284"/>
        <v>309.80500000000001</v>
      </c>
      <c r="AE134" s="135">
        <f t="shared" si="284"/>
        <v>117.28100000000001</v>
      </c>
      <c r="AF134" s="135">
        <f t="shared" ref="AF134:AM134" si="285">AF14</f>
        <v>60.073</v>
      </c>
      <c r="AG134" s="116">
        <f t="shared" si="285"/>
        <v>238.59500000000003</v>
      </c>
      <c r="AH134" s="82">
        <f t="shared" si="285"/>
        <v>725.75400000000002</v>
      </c>
      <c r="AI134" s="136">
        <f t="shared" si="285"/>
        <v>228.744</v>
      </c>
      <c r="AJ134" s="135">
        <f t="shared" si="285"/>
        <v>81.128</v>
      </c>
      <c r="AK134" s="135">
        <f t="shared" si="285"/>
        <v>44.953000000000003</v>
      </c>
      <c r="AL134" s="116">
        <f t="shared" si="285"/>
        <v>146.99899999999997</v>
      </c>
      <c r="AM134" s="82">
        <f t="shared" si="285"/>
        <v>501.82400000000001</v>
      </c>
      <c r="AN134" s="136">
        <f t="shared" ref="AN134:AR134" si="286">AN14</f>
        <v>168.476</v>
      </c>
      <c r="AO134" s="135">
        <f t="shared" si="286"/>
        <v>59.326999999999998</v>
      </c>
      <c r="AP134" s="135">
        <f t="shared" si="286"/>
        <v>42.378999999999998</v>
      </c>
      <c r="AQ134" s="116">
        <f t="shared" si="286"/>
        <v>155.22800000000001</v>
      </c>
      <c r="AR134" s="82">
        <f t="shared" si="286"/>
        <v>425.41</v>
      </c>
      <c r="AS134" s="136">
        <f t="shared" ref="AS134:AW134" si="287">AS14</f>
        <v>196.40199999999999</v>
      </c>
      <c r="AT134" s="135">
        <f t="shared" si="287"/>
        <v>70.257999999999996</v>
      </c>
      <c r="AU134" s="135">
        <f t="shared" si="287"/>
        <v>37.243000000000002</v>
      </c>
      <c r="AV134" s="116">
        <f t="shared" si="287"/>
        <v>154.81400000000002</v>
      </c>
      <c r="AW134" s="82">
        <f t="shared" si="287"/>
        <v>458.71699999999998</v>
      </c>
      <c r="AX134" s="136">
        <f>+AX135*AX123/1000</f>
        <v>205.92749699999996</v>
      </c>
      <c r="AY134" s="135">
        <f>+AY135*AY123/1000</f>
        <v>70.433644999999999</v>
      </c>
      <c r="AZ134" s="135">
        <f>+AZ135*AZ123/1000</f>
        <v>37.1498925</v>
      </c>
      <c r="BA134" s="116">
        <f>+BA135*BA123/1000</f>
        <v>155.97510500000004</v>
      </c>
      <c r="BB134" s="82">
        <f>SUM(AX134:BA134)</f>
        <v>469.48613950000004</v>
      </c>
      <c r="BC134" s="136">
        <f>+BC135*BC123/1000</f>
        <v>205.4126782575</v>
      </c>
      <c r="BD134" s="135">
        <f>+BD135*BD123/1000</f>
        <v>70.257560887500006</v>
      </c>
      <c r="BE134" s="135">
        <f>+BE135*BE123/1000</f>
        <v>37.057017768750001</v>
      </c>
      <c r="BF134" s="116">
        <f>+BF135*BF123/1000</f>
        <v>155.58516723750003</v>
      </c>
      <c r="BG134" s="82">
        <f>SUM(BC134:BF134)</f>
        <v>468.31242415125007</v>
      </c>
      <c r="BH134" s="136">
        <f>+BH135*BH123/1000</f>
        <v>204.8991465618563</v>
      </c>
      <c r="BI134" s="135">
        <f>+BI135*BI123/1000</f>
        <v>70.081916985281268</v>
      </c>
      <c r="BJ134" s="135">
        <f>+BJ135*BJ123/1000</f>
        <v>36.96437522432813</v>
      </c>
      <c r="BK134" s="116">
        <f>+BK135*BK123/1000</f>
        <v>155.19620431940629</v>
      </c>
      <c r="BL134" s="82">
        <f>SUM(BH134:BK134)</f>
        <v>467.14164309087198</v>
      </c>
      <c r="BM134" s="136">
        <f>+BM135*BM123/1000</f>
        <v>204.38689869545163</v>
      </c>
      <c r="BN134" s="135">
        <f>+BN135*BN123/1000</f>
        <v>69.906712192818077</v>
      </c>
      <c r="BO134" s="135">
        <f>+BO135*BO123/1000</f>
        <v>36.871964286267307</v>
      </c>
      <c r="BP134" s="116">
        <f>+BP135*BP123/1000</f>
        <v>154.8082138086078</v>
      </c>
      <c r="BQ134" s="82">
        <f>SUM(BM134:BP134)</f>
        <v>465.9737889831448</v>
      </c>
    </row>
    <row r="135" spans="1:104" x14ac:dyDescent="0.2">
      <c r="C135" s="20" t="s">
        <v>283</v>
      </c>
      <c r="E135" s="322">
        <f>+E134/E123*1000</f>
        <v>5.7733942368130791</v>
      </c>
      <c r="F135" s="323">
        <f t="shared" ref="F135:Q135" si="288">+F134/F123*1000</f>
        <v>4.3000049044881363</v>
      </c>
      <c r="G135" s="323">
        <f t="shared" si="288"/>
        <v>3.0138076549407544</v>
      </c>
      <c r="H135" s="324">
        <f t="shared" si="288"/>
        <v>5.7565802953569927</v>
      </c>
      <c r="I135" s="325">
        <f t="shared" si="288"/>
        <v>5.2573683588789457</v>
      </c>
      <c r="J135" s="322">
        <f t="shared" si="288"/>
        <v>5.8368802937905997</v>
      </c>
      <c r="K135" s="323">
        <f t="shared" si="288"/>
        <v>3.9543063587081466</v>
      </c>
      <c r="L135" s="323">
        <f>+L134/L123*1000</f>
        <v>2.4679683722723968</v>
      </c>
      <c r="M135" s="324">
        <f t="shared" si="288"/>
        <v>5.3971094906823227</v>
      </c>
      <c r="N135" s="325">
        <f t="shared" si="288"/>
        <v>5.0895788457253213</v>
      </c>
      <c r="O135" s="322">
        <f t="shared" si="288"/>
        <v>5.8078045471345856</v>
      </c>
      <c r="P135" s="323">
        <f t="shared" si="288"/>
        <v>4.3883371638046071</v>
      </c>
      <c r="Q135" s="323">
        <f t="shared" si="288"/>
        <v>3.3974058336136417</v>
      </c>
      <c r="R135" s="324">
        <f t="shared" ref="R135:Y135" si="289">+R134/R123*1000</f>
        <v>5.4502331940699014</v>
      </c>
      <c r="S135" s="325">
        <f t="shared" si="289"/>
        <v>5.1889038836407257</v>
      </c>
      <c r="T135" s="322">
        <f t="shared" si="289"/>
        <v>5.7355706572524001</v>
      </c>
      <c r="U135" s="323">
        <f t="shared" si="289"/>
        <v>3.5960021677352403</v>
      </c>
      <c r="V135" s="323">
        <f t="shared" si="289"/>
        <v>1.6611302019510452</v>
      </c>
      <c r="W135" s="324">
        <f t="shared" si="289"/>
        <v>4.3677604315448653</v>
      </c>
      <c r="X135" s="325">
        <f t="shared" si="289"/>
        <v>4.4413607280796148</v>
      </c>
      <c r="Y135" s="322">
        <f t="shared" si="289"/>
        <v>4.5797335808945308</v>
      </c>
      <c r="Z135" s="323">
        <f t="shared" ref="Z135:AF135" si="290">+Z134/Z123*1000</f>
        <v>4.1623534631147177</v>
      </c>
      <c r="AA135" s="323">
        <f t="shared" si="290"/>
        <v>2.8175809930938862</v>
      </c>
      <c r="AB135" s="324">
        <f t="shared" si="290"/>
        <v>4.9354887738011417</v>
      </c>
      <c r="AC135" s="325">
        <f t="shared" si="290"/>
        <v>4.4180157623694765</v>
      </c>
      <c r="AD135" s="322">
        <f t="shared" si="290"/>
        <v>5.7067640887604192</v>
      </c>
      <c r="AE135" s="323">
        <f t="shared" si="290"/>
        <v>4.7341717922381283</v>
      </c>
      <c r="AF135" s="323">
        <f t="shared" si="290"/>
        <v>3.6320740724030816</v>
      </c>
      <c r="AG135" s="324">
        <f t="shared" ref="AG135:AM135" si="291">+AG134/AG123*1000</f>
        <v>5.4269559289702647</v>
      </c>
      <c r="AH135" s="325">
        <f t="shared" si="291"/>
        <v>5.2001146419231183</v>
      </c>
      <c r="AI135" s="322">
        <f t="shared" si="291"/>
        <v>4.6610394403081319</v>
      </c>
      <c r="AJ135" s="323">
        <f t="shared" si="291"/>
        <v>3.5595844054273855</v>
      </c>
      <c r="AK135" s="323">
        <f t="shared" si="291"/>
        <v>2.9519590053597744</v>
      </c>
      <c r="AL135" s="324">
        <f t="shared" si="291"/>
        <v>3.3940625193830827</v>
      </c>
      <c r="AM135" s="325">
        <f t="shared" si="291"/>
        <v>3.8481664954066535</v>
      </c>
      <c r="AN135" s="322">
        <f t="shared" ref="AN135:AR135" si="292">+AN134/AN123*1000</f>
        <v>3.3789160475778957</v>
      </c>
      <c r="AO135" s="323">
        <f t="shared" si="292"/>
        <v>2.4214329583201337</v>
      </c>
      <c r="AP135" s="323">
        <f t="shared" si="292"/>
        <v>2.6888216514734897</v>
      </c>
      <c r="AQ135" s="324">
        <f t="shared" si="292"/>
        <v>3.9893008812275115</v>
      </c>
      <c r="AR135" s="325">
        <f t="shared" si="292"/>
        <v>3.296882992079607</v>
      </c>
      <c r="AS135" s="322">
        <f t="shared" ref="AS135:AW135" si="293">+AS134/AS123*1000</f>
        <v>4.1948812608936796</v>
      </c>
      <c r="AT135" s="323">
        <f t="shared" si="293"/>
        <v>3.1339693891741796</v>
      </c>
      <c r="AU135" s="323">
        <f t="shared" si="293"/>
        <v>2.2568841541358999</v>
      </c>
      <c r="AV135" s="324">
        <f t="shared" si="293"/>
        <v>3.8312342315873122</v>
      </c>
      <c r="AW135" s="325">
        <f t="shared" si="293"/>
        <v>3.6363398547737575</v>
      </c>
      <c r="AX135" s="322">
        <f>+AS135</f>
        <v>4.1948812608936796</v>
      </c>
      <c r="AY135" s="323">
        <f>+AT135</f>
        <v>3.1339693891741796</v>
      </c>
      <c r="AZ135" s="323">
        <f>+AU135</f>
        <v>2.2568841541358999</v>
      </c>
      <c r="BA135" s="324">
        <f>+AV135</f>
        <v>3.8312342315873122</v>
      </c>
      <c r="BB135" s="325">
        <f>+BB134/BB123*1000</f>
        <v>3.6468739446395162</v>
      </c>
      <c r="BC135" s="322">
        <f>+AX135</f>
        <v>4.1948812608936796</v>
      </c>
      <c r="BD135" s="323">
        <f>+AY135</f>
        <v>3.1339693891741796</v>
      </c>
      <c r="BE135" s="323">
        <f>+AZ135</f>
        <v>2.2568841541358999</v>
      </c>
      <c r="BF135" s="324">
        <f>+BA135</f>
        <v>3.8312342315873122</v>
      </c>
      <c r="BG135" s="325">
        <f>+BG134/BG123*1000</f>
        <v>3.6468739446395162</v>
      </c>
      <c r="BH135" s="322">
        <f>+BC135</f>
        <v>4.1948812608936796</v>
      </c>
      <c r="BI135" s="323">
        <f>+BD135</f>
        <v>3.1339693891741796</v>
      </c>
      <c r="BJ135" s="323">
        <f>+BE135</f>
        <v>2.2568841541358999</v>
      </c>
      <c r="BK135" s="324">
        <f>+BF135</f>
        <v>3.8312342315873122</v>
      </c>
      <c r="BL135" s="325">
        <f>+BL134/BL123*1000</f>
        <v>3.6468739446395162</v>
      </c>
      <c r="BM135" s="322">
        <f>+BH135</f>
        <v>4.1948812608936796</v>
      </c>
      <c r="BN135" s="323">
        <f>+BI135</f>
        <v>3.1339693891741796</v>
      </c>
      <c r="BO135" s="323">
        <f>+BJ135</f>
        <v>2.2568841541358999</v>
      </c>
      <c r="BP135" s="324">
        <f>+BK135</f>
        <v>3.8312342315873122</v>
      </c>
      <c r="BQ135" s="325">
        <f>+BQ134/BQ123*1000</f>
        <v>3.6468739446395162</v>
      </c>
    </row>
    <row r="136" spans="1:104" x14ac:dyDescent="0.2">
      <c r="C136" s="26"/>
      <c r="E136" s="273"/>
      <c r="F136" s="274"/>
      <c r="G136" s="274"/>
      <c r="H136" s="275"/>
      <c r="I136" s="169"/>
      <c r="J136" s="273"/>
      <c r="K136" s="274"/>
      <c r="L136" s="274"/>
      <c r="M136" s="275"/>
      <c r="N136" s="169"/>
      <c r="O136" s="273"/>
      <c r="P136" s="274"/>
      <c r="Q136" s="274"/>
      <c r="R136" s="275"/>
      <c r="S136" s="169"/>
      <c r="T136" s="273"/>
      <c r="U136" s="274"/>
      <c r="V136" s="274"/>
      <c r="W136" s="275"/>
      <c r="X136" s="169"/>
      <c r="Y136" s="273"/>
      <c r="Z136" s="274"/>
      <c r="AA136" s="274"/>
      <c r="AB136" s="275"/>
      <c r="AC136" s="169"/>
      <c r="AD136" s="273"/>
      <c r="AE136" s="274"/>
      <c r="AF136" s="274"/>
      <c r="AG136" s="275"/>
      <c r="AH136" s="169"/>
      <c r="AI136" s="273"/>
      <c r="AJ136" s="274"/>
      <c r="AK136" s="274"/>
      <c r="AL136" s="275"/>
      <c r="AM136" s="169"/>
      <c r="AN136" s="273"/>
      <c r="AO136" s="274"/>
      <c r="AP136" s="274"/>
      <c r="AQ136" s="275"/>
      <c r="AR136" s="169"/>
      <c r="AS136" s="273"/>
      <c r="AT136" s="274"/>
      <c r="AU136" s="274"/>
      <c r="AV136" s="275"/>
      <c r="AW136" s="169"/>
      <c r="AX136" s="273"/>
      <c r="AY136" s="274"/>
      <c r="AZ136" s="274"/>
      <c r="BA136" s="275"/>
      <c r="BB136" s="169"/>
      <c r="BC136" s="273"/>
      <c r="BD136" s="274"/>
      <c r="BE136" s="274"/>
      <c r="BF136" s="275"/>
      <c r="BG136" s="169"/>
      <c r="BH136" s="273"/>
      <c r="BI136" s="274"/>
      <c r="BJ136" s="274"/>
      <c r="BK136" s="275"/>
      <c r="BL136" s="169"/>
      <c r="BM136" s="273"/>
      <c r="BN136" s="274"/>
      <c r="BO136" s="274"/>
      <c r="BP136" s="275"/>
      <c r="BQ136" s="169"/>
    </row>
    <row r="137" spans="1:104" x14ac:dyDescent="0.2">
      <c r="C137" s="26" t="s">
        <v>284</v>
      </c>
      <c r="E137" s="121">
        <f t="shared" ref="E137:P137" si="294">+E117-E134</f>
        <v>112.685</v>
      </c>
      <c r="F137" s="122">
        <f t="shared" si="294"/>
        <v>81.128</v>
      </c>
      <c r="G137" s="122">
        <f t="shared" si="294"/>
        <v>68.576999999999998</v>
      </c>
      <c r="H137" s="123">
        <f t="shared" si="294"/>
        <v>119.49000000000001</v>
      </c>
      <c r="I137" s="86">
        <f t="shared" si="294"/>
        <v>381.88000000000011</v>
      </c>
      <c r="J137" s="121">
        <f t="shared" si="294"/>
        <v>125.57400000000001</v>
      </c>
      <c r="K137" s="122">
        <f t="shared" si="294"/>
        <v>83.77300000000001</v>
      </c>
      <c r="L137" s="122">
        <f t="shared" si="294"/>
        <v>69.936000000000007</v>
      </c>
      <c r="M137" s="123">
        <f t="shared" si="294"/>
        <v>110.95299999999986</v>
      </c>
      <c r="N137" s="86">
        <f t="shared" si="294"/>
        <v>390.23599999999988</v>
      </c>
      <c r="O137" s="326">
        <f t="shared" si="294"/>
        <v>123.25299999999999</v>
      </c>
      <c r="P137" s="327">
        <f t="shared" si="294"/>
        <v>80.707999999999984</v>
      </c>
      <c r="Q137" s="327">
        <f t="shared" ref="Q137:Y137" si="295">+Q117-Q134</f>
        <v>71.567999999999998</v>
      </c>
      <c r="R137" s="123">
        <f t="shared" si="295"/>
        <v>120.12400000000002</v>
      </c>
      <c r="S137" s="86">
        <f t="shared" si="295"/>
        <v>395.65300000000002</v>
      </c>
      <c r="T137" s="326">
        <f t="shared" si="295"/>
        <v>126.12700000000001</v>
      </c>
      <c r="U137" s="327">
        <f t="shared" si="295"/>
        <v>90.306999999999988</v>
      </c>
      <c r="V137" s="327">
        <f t="shared" si="295"/>
        <v>88.568000000000012</v>
      </c>
      <c r="W137" s="123">
        <f t="shared" si="295"/>
        <v>125.01599999999985</v>
      </c>
      <c r="X137" s="86">
        <f t="shared" si="295"/>
        <v>430.01799999999992</v>
      </c>
      <c r="Y137" s="326">
        <f t="shared" si="295"/>
        <v>134.30399999999997</v>
      </c>
      <c r="Z137" s="327">
        <f t="shared" ref="Z137:AF137" si="296">+Z117-Z134</f>
        <v>99.59899999999999</v>
      </c>
      <c r="AA137" s="327">
        <f t="shared" si="296"/>
        <v>93.467999999999989</v>
      </c>
      <c r="AB137" s="123">
        <f t="shared" si="296"/>
        <v>132.21199999999999</v>
      </c>
      <c r="AC137" s="86">
        <f t="shared" si="296"/>
        <v>459.58299999999997</v>
      </c>
      <c r="AD137" s="326">
        <f t="shared" si="296"/>
        <v>146.53199999999998</v>
      </c>
      <c r="AE137" s="327">
        <f t="shared" si="296"/>
        <v>105.90600000000001</v>
      </c>
      <c r="AF137" s="327">
        <f t="shared" si="296"/>
        <v>99.734999999999985</v>
      </c>
      <c r="AG137" s="123">
        <f t="shared" ref="AG137:AM137" si="297">+AG117-AG134</f>
        <v>137.39700000000005</v>
      </c>
      <c r="AH137" s="86">
        <f t="shared" si="297"/>
        <v>489.57000000000005</v>
      </c>
      <c r="AI137" s="326">
        <f t="shared" si="297"/>
        <v>144.45899999999997</v>
      </c>
      <c r="AJ137" s="327">
        <f t="shared" si="297"/>
        <v>110.84699999999999</v>
      </c>
      <c r="AK137" s="327">
        <f t="shared" si="297"/>
        <v>106.6</v>
      </c>
      <c r="AL137" s="123">
        <f t="shared" si="297"/>
        <v>142.93600000000009</v>
      </c>
      <c r="AM137" s="86">
        <f t="shared" si="297"/>
        <v>504.84200000000004</v>
      </c>
      <c r="AN137" s="326">
        <f t="shared" ref="AN137:AR137" si="298">+AN117-AN134</f>
        <v>160.01800000000003</v>
      </c>
      <c r="AO137" s="327">
        <f t="shared" si="298"/>
        <v>119.154</v>
      </c>
      <c r="AP137" s="327">
        <f t="shared" si="298"/>
        <v>110.38400000000001</v>
      </c>
      <c r="AQ137" s="123">
        <f t="shared" si="298"/>
        <v>142.75499999999994</v>
      </c>
      <c r="AR137" s="86">
        <f t="shared" si="298"/>
        <v>532.31099999999992</v>
      </c>
      <c r="AS137" s="326">
        <f t="shared" ref="AS137:AW137" si="299">+AS117-AS134</f>
        <v>159.73400000000004</v>
      </c>
      <c r="AT137" s="327">
        <f t="shared" si="299"/>
        <v>122.51899999999999</v>
      </c>
      <c r="AU137" s="327">
        <f t="shared" si="299"/>
        <v>105.14600000000002</v>
      </c>
      <c r="AV137" s="123">
        <f t="shared" si="299"/>
        <v>149.09800000000001</v>
      </c>
      <c r="AW137" s="86">
        <f t="shared" si="299"/>
        <v>536.49700000000007</v>
      </c>
      <c r="AX137" s="326">
        <f t="shared" ref="AX137:BG137" si="300">+AX117-AX134</f>
        <v>179.3999520949572</v>
      </c>
      <c r="AY137" s="327">
        <f t="shared" si="300"/>
        <v>129.09544135896112</v>
      </c>
      <c r="AZ137" s="327">
        <f t="shared" si="300"/>
        <v>109.35807131867264</v>
      </c>
      <c r="BA137" s="314">
        <f t="shared" si="300"/>
        <v>161.83196990643876</v>
      </c>
      <c r="BB137" s="93">
        <f t="shared" si="300"/>
        <v>579.68543467902964</v>
      </c>
      <c r="BC137" s="326">
        <f t="shared" si="300"/>
        <v>186.76223848580051</v>
      </c>
      <c r="BD137" s="327">
        <f t="shared" si="300"/>
        <v>131.4571030521569</v>
      </c>
      <c r="BE137" s="327">
        <f t="shared" si="300"/>
        <v>110.88931978362584</v>
      </c>
      <c r="BF137" s="314">
        <f t="shared" si="300"/>
        <v>166.82952798019718</v>
      </c>
      <c r="BG137" s="93">
        <f t="shared" si="300"/>
        <v>595.93818930178054</v>
      </c>
      <c r="BH137" s="326">
        <f t="shared" ref="BH137:BQ137" si="301">+BH117-BH134</f>
        <v>196.36397403536711</v>
      </c>
      <c r="BI137" s="327">
        <f t="shared" si="301"/>
        <v>134.56554670956302</v>
      </c>
      <c r="BJ137" s="327">
        <f t="shared" si="301"/>
        <v>112.91853514718562</v>
      </c>
      <c r="BK137" s="314">
        <f t="shared" si="301"/>
        <v>173.32185349251139</v>
      </c>
      <c r="BL137" s="93">
        <f t="shared" si="301"/>
        <v>617.1699093846272</v>
      </c>
      <c r="BM137" s="326">
        <f t="shared" si="301"/>
        <v>205.95196237954491</v>
      </c>
      <c r="BN137" s="327">
        <f t="shared" si="301"/>
        <v>137.6697267761582</v>
      </c>
      <c r="BO137" s="327">
        <f t="shared" si="301"/>
        <v>114.94502139294099</v>
      </c>
      <c r="BP137" s="314">
        <f t="shared" si="301"/>
        <v>179.80742636640704</v>
      </c>
      <c r="BQ137" s="93">
        <f t="shared" si="301"/>
        <v>638.37413691505128</v>
      </c>
    </row>
    <row r="138" spans="1:104" x14ac:dyDescent="0.2">
      <c r="A138" s="45"/>
      <c r="B138" s="45"/>
      <c r="C138" s="45" t="s">
        <v>269</v>
      </c>
      <c r="D138" s="45"/>
      <c r="E138" s="328"/>
      <c r="F138" s="329"/>
      <c r="G138" s="329"/>
      <c r="H138" s="330"/>
      <c r="I138" s="331"/>
      <c r="J138" s="332">
        <f t="shared" ref="J138:AJ138" si="302">+J137/E137-1</f>
        <v>0.11438079602431572</v>
      </c>
      <c r="K138" s="333">
        <f t="shared" si="302"/>
        <v>3.2602800512770092E-2</v>
      </c>
      <c r="L138" s="333">
        <f t="shared" si="302"/>
        <v>1.9817139857386756E-2</v>
      </c>
      <c r="M138" s="334">
        <f t="shared" si="302"/>
        <v>-7.1445309230899201E-2</v>
      </c>
      <c r="N138" s="46">
        <f t="shared" si="302"/>
        <v>2.1881219231171478E-2</v>
      </c>
      <c r="O138" s="332">
        <f t="shared" si="302"/>
        <v>-1.8483125487760432E-2</v>
      </c>
      <c r="P138" s="333">
        <f t="shared" si="302"/>
        <v>-3.6586967161257533E-2</v>
      </c>
      <c r="Q138" s="333">
        <f t="shared" si="302"/>
        <v>2.333562113932719E-2</v>
      </c>
      <c r="R138" s="334">
        <f t="shared" si="302"/>
        <v>8.2656620370789247E-2</v>
      </c>
      <c r="S138" s="46">
        <f t="shared" si="302"/>
        <v>1.3881343597208273E-2</v>
      </c>
      <c r="T138" s="332">
        <f t="shared" si="302"/>
        <v>2.3317890842413869E-2</v>
      </c>
      <c r="U138" s="333">
        <f t="shared" si="302"/>
        <v>0.1189349259057344</v>
      </c>
      <c r="V138" s="333">
        <f t="shared" si="302"/>
        <v>0.23753632908562516</v>
      </c>
      <c r="W138" s="334">
        <f t="shared" si="302"/>
        <v>4.0724584595916102E-2</v>
      </c>
      <c r="X138" s="46">
        <f t="shared" si="302"/>
        <v>8.68564120580404E-2</v>
      </c>
      <c r="Y138" s="332">
        <f t="shared" si="302"/>
        <v>6.4831479381892487E-2</v>
      </c>
      <c r="Z138" s="333">
        <f t="shared" si="302"/>
        <v>0.1028934634081522</v>
      </c>
      <c r="AA138" s="333">
        <f t="shared" si="302"/>
        <v>5.5324722247312552E-2</v>
      </c>
      <c r="AB138" s="334">
        <f t="shared" si="302"/>
        <v>5.7560632239074483E-2</v>
      </c>
      <c r="AC138" s="46">
        <f t="shared" si="302"/>
        <v>6.8752935923612535E-2</v>
      </c>
      <c r="AD138" s="332">
        <f t="shared" si="302"/>
        <v>9.1047176554682085E-2</v>
      </c>
      <c r="AE138" s="333">
        <f t="shared" si="302"/>
        <v>6.3323928955110187E-2</v>
      </c>
      <c r="AF138" s="333">
        <f t="shared" si="302"/>
        <v>6.7049685453845154E-2</v>
      </c>
      <c r="AG138" s="334">
        <f t="shared" si="302"/>
        <v>3.921731764136438E-2</v>
      </c>
      <c r="AH138" s="46">
        <f t="shared" si="302"/>
        <v>6.5248279418516519E-2</v>
      </c>
      <c r="AI138" s="332">
        <f t="shared" si="302"/>
        <v>-1.4147080501187514E-2</v>
      </c>
      <c r="AJ138" s="333">
        <f t="shared" si="302"/>
        <v>4.6654580477026641E-2</v>
      </c>
      <c r="AK138" s="333">
        <f t="shared" ref="AK138:AP138" si="303">+AK137/AF137-1</f>
        <v>6.8832405875570268E-2</v>
      </c>
      <c r="AL138" s="334">
        <f t="shared" si="303"/>
        <v>4.0313835091013939E-2</v>
      </c>
      <c r="AM138" s="46">
        <f t="shared" si="303"/>
        <v>3.1194721898809119E-2</v>
      </c>
      <c r="AN138" s="332">
        <f t="shared" si="303"/>
        <v>0.10770530046587656</v>
      </c>
      <c r="AO138" s="333">
        <f t="shared" si="303"/>
        <v>7.4941135078080645E-2</v>
      </c>
      <c r="AP138" s="333">
        <f t="shared" si="303"/>
        <v>3.54971857410884E-2</v>
      </c>
      <c r="AQ138" s="334">
        <f t="shared" ref="AQ138:AR138" si="304">+AQ137/AL137-1</f>
        <v>-1.2663010018481025E-3</v>
      </c>
      <c r="AR138" s="46">
        <f t="shared" si="304"/>
        <v>5.4411083071534971E-2</v>
      </c>
      <c r="AS138" s="332">
        <f t="shared" ref="AS138" si="305">+AS137/AN137-1</f>
        <v>-1.7748003349622454E-3</v>
      </c>
      <c r="AT138" s="333">
        <f t="shared" ref="AT138" si="306">+AT137/AO137-1</f>
        <v>2.8240764053242051E-2</v>
      </c>
      <c r="AU138" s="333">
        <f t="shared" ref="AU138" si="307">+AU137/AP137-1</f>
        <v>-4.7452529352079997E-2</v>
      </c>
      <c r="AV138" s="334">
        <f t="shared" ref="AV138" si="308">+AV137/AQ137-1</f>
        <v>4.4432769430143182E-2</v>
      </c>
      <c r="AW138" s="46">
        <f t="shared" ref="AW138" si="309">+AW137/AR137-1</f>
        <v>7.8638239675681287E-3</v>
      </c>
      <c r="AX138" s="332">
        <f t="shared" ref="AX138:BG138" si="310">+AX137/AS137-1</f>
        <v>0.12311688241048957</v>
      </c>
      <c r="AY138" s="333">
        <f t="shared" si="310"/>
        <v>5.3676910185041837E-2</v>
      </c>
      <c r="AZ138" s="333">
        <f t="shared" si="310"/>
        <v>4.0059263487651764E-2</v>
      </c>
      <c r="BA138" s="334">
        <f t="shared" si="310"/>
        <v>8.5406711736164986E-2</v>
      </c>
      <c r="BB138" s="46">
        <f t="shared" si="310"/>
        <v>8.050079437355584E-2</v>
      </c>
      <c r="BC138" s="332">
        <f t="shared" si="310"/>
        <v>4.1038396637622432E-2</v>
      </c>
      <c r="BD138" s="333">
        <f t="shared" si="310"/>
        <v>1.8293920128666485E-2</v>
      </c>
      <c r="BE138" s="333">
        <f t="shared" si="310"/>
        <v>1.4002153169756282E-2</v>
      </c>
      <c r="BF138" s="334">
        <f t="shared" si="310"/>
        <v>3.0881154549670997E-2</v>
      </c>
      <c r="BG138" s="46">
        <f t="shared" si="310"/>
        <v>2.8037196814769016E-2</v>
      </c>
      <c r="BH138" s="332">
        <f t="shared" ref="BH138:BQ138" si="311">+BH137/BC137-1</f>
        <v>5.1411546720653734E-2</v>
      </c>
      <c r="BI138" s="333">
        <f t="shared" si="311"/>
        <v>2.3646068453013314E-2</v>
      </c>
      <c r="BJ138" s="333">
        <f t="shared" si="311"/>
        <v>1.8299466238221207E-2</v>
      </c>
      <c r="BK138" s="334">
        <f t="shared" si="311"/>
        <v>3.8915925681243024E-2</v>
      </c>
      <c r="BL138" s="46">
        <f t="shared" si="311"/>
        <v>3.56273863028016E-2</v>
      </c>
      <c r="BM138" s="332">
        <f t="shared" si="311"/>
        <v>4.8827634454224889E-2</v>
      </c>
      <c r="BN138" s="333">
        <f t="shared" si="311"/>
        <v>2.3068163749930815E-2</v>
      </c>
      <c r="BO138" s="333">
        <f t="shared" si="311"/>
        <v>1.7946444692307661E-2</v>
      </c>
      <c r="BP138" s="334">
        <f t="shared" si="311"/>
        <v>3.7419244851174316E-2</v>
      </c>
      <c r="BQ138" s="46">
        <f t="shared" si="311"/>
        <v>3.4357195981195021E-2</v>
      </c>
      <c r="BR138" s="45"/>
      <c r="BS138" s="45"/>
      <c r="BT138" s="45"/>
      <c r="BU138" s="45"/>
      <c r="BV138" s="45"/>
      <c r="BW138" s="45"/>
      <c r="BX138" s="45"/>
      <c r="BY138" s="45"/>
      <c r="BZ138" s="45"/>
      <c r="CA138" s="45"/>
      <c r="CB138" s="45"/>
      <c r="CC138" s="45"/>
      <c r="CD138" s="45"/>
      <c r="CE138" s="45"/>
      <c r="CF138" s="45"/>
      <c r="CG138" s="45"/>
      <c r="CH138" s="45"/>
      <c r="CI138" s="45"/>
      <c r="CJ138" s="45"/>
      <c r="CK138" s="45"/>
      <c r="CL138" s="45"/>
      <c r="CM138" s="45"/>
      <c r="CN138" s="45"/>
      <c r="CO138" s="45"/>
      <c r="CP138" s="45"/>
      <c r="CQ138" s="45"/>
      <c r="CR138" s="45"/>
      <c r="CS138" s="45"/>
      <c r="CT138" s="45"/>
      <c r="CU138" s="45"/>
      <c r="CV138" s="45"/>
      <c r="CW138" s="45"/>
      <c r="CX138" s="45"/>
      <c r="CY138" s="45"/>
      <c r="CZ138" s="45"/>
    </row>
    <row r="139" spans="1:104" x14ac:dyDescent="0.2">
      <c r="C139" s="26"/>
      <c r="E139" s="273"/>
      <c r="F139" s="274"/>
      <c r="G139" s="274"/>
      <c r="H139" s="275"/>
      <c r="I139" s="169"/>
      <c r="J139" s="273"/>
      <c r="K139" s="274"/>
      <c r="L139" s="274"/>
      <c r="M139" s="275"/>
      <c r="N139" s="169"/>
      <c r="O139" s="273"/>
      <c r="P139" s="274"/>
      <c r="Q139" s="274"/>
      <c r="R139" s="275"/>
      <c r="S139" s="169"/>
      <c r="T139" s="273"/>
      <c r="U139" s="274"/>
      <c r="V139" s="274"/>
      <c r="W139" s="275"/>
      <c r="X139" s="169"/>
      <c r="Y139" s="273"/>
      <c r="Z139" s="274"/>
      <c r="AA139" s="274"/>
      <c r="AB139" s="275"/>
      <c r="AC139" s="169"/>
      <c r="AD139" s="273"/>
      <c r="AE139" s="274"/>
      <c r="AF139" s="274"/>
      <c r="AG139" s="275"/>
      <c r="AH139" s="169"/>
      <c r="AI139" s="273"/>
      <c r="AJ139" s="274"/>
      <c r="AK139" s="274"/>
      <c r="AL139" s="275"/>
      <c r="AM139" s="169"/>
      <c r="AN139" s="273"/>
      <c r="AO139" s="274"/>
      <c r="AP139" s="274"/>
      <c r="AQ139" s="275"/>
      <c r="AR139" s="169"/>
      <c r="AS139" s="273"/>
      <c r="AT139" s="274"/>
      <c r="AU139" s="274"/>
      <c r="AV139" s="275"/>
      <c r="AW139" s="169"/>
      <c r="AX139" s="273"/>
      <c r="AY139" s="274"/>
      <c r="AZ139" s="274"/>
      <c r="BA139" s="275"/>
      <c r="BB139" s="169"/>
      <c r="BC139" s="273"/>
      <c r="BD139" s="274"/>
      <c r="BE139" s="274"/>
      <c r="BF139" s="275"/>
      <c r="BG139" s="169"/>
      <c r="BH139" s="273"/>
      <c r="BI139" s="274"/>
      <c r="BJ139" s="274"/>
      <c r="BK139" s="275"/>
      <c r="BL139" s="169"/>
      <c r="BM139" s="273"/>
      <c r="BN139" s="274"/>
      <c r="BO139" s="274"/>
      <c r="BP139" s="275"/>
      <c r="BQ139" s="169"/>
    </row>
    <row r="140" spans="1:104" x14ac:dyDescent="0.2">
      <c r="C140" s="26"/>
      <c r="E140" s="273"/>
      <c r="F140" s="274"/>
      <c r="G140" s="274"/>
      <c r="H140" s="275"/>
      <c r="I140" s="169"/>
      <c r="J140" s="273"/>
      <c r="K140" s="274"/>
      <c r="L140" s="274"/>
      <c r="M140" s="275"/>
      <c r="N140" s="169"/>
      <c r="O140" s="273"/>
      <c r="P140" s="274"/>
      <c r="Q140" s="274"/>
      <c r="R140" s="275"/>
      <c r="S140" s="169"/>
      <c r="T140" s="273"/>
      <c r="U140" s="274"/>
      <c r="V140" s="274"/>
      <c r="W140" s="275"/>
      <c r="X140" s="169"/>
      <c r="Y140" s="273"/>
      <c r="Z140" s="274"/>
      <c r="AA140" s="274"/>
      <c r="AB140" s="275"/>
      <c r="AC140" s="169"/>
      <c r="AD140" s="273"/>
      <c r="AE140" s="274"/>
      <c r="AF140" s="274"/>
      <c r="AG140" s="275"/>
      <c r="AH140" s="169"/>
      <c r="AI140" s="273"/>
      <c r="AJ140" s="274"/>
      <c r="AK140" s="274"/>
      <c r="AL140" s="275"/>
      <c r="AM140" s="169"/>
      <c r="AN140" s="273"/>
      <c r="AO140" s="274"/>
      <c r="AP140" s="274"/>
      <c r="AQ140" s="275"/>
      <c r="AR140" s="169"/>
      <c r="AS140" s="273"/>
      <c r="AT140" s="274"/>
      <c r="AU140" s="274"/>
      <c r="AV140" s="275"/>
      <c r="AW140" s="169"/>
      <c r="AX140" s="273"/>
      <c r="AY140" s="274"/>
      <c r="AZ140" s="274"/>
      <c r="BA140" s="275"/>
      <c r="BB140" s="169"/>
      <c r="BC140" s="273"/>
      <c r="BD140" s="274"/>
      <c r="BE140" s="274"/>
      <c r="BF140" s="275"/>
      <c r="BG140" s="169"/>
      <c r="BH140" s="273"/>
      <c r="BI140" s="274"/>
      <c r="BJ140" s="274"/>
      <c r="BK140" s="275"/>
      <c r="BL140" s="169"/>
      <c r="BM140" s="273"/>
      <c r="BN140" s="274"/>
      <c r="BO140" s="274"/>
      <c r="BP140" s="275"/>
      <c r="BQ140" s="169"/>
    </row>
    <row r="141" spans="1:104" x14ac:dyDescent="0.2">
      <c r="C141" s="26"/>
      <c r="E141" s="273"/>
      <c r="F141" s="274"/>
      <c r="G141" s="274"/>
      <c r="H141" s="275"/>
      <c r="I141" s="169"/>
      <c r="J141" s="273"/>
      <c r="K141" s="274"/>
      <c r="L141" s="274"/>
      <c r="M141" s="275"/>
      <c r="N141" s="169"/>
      <c r="O141" s="273"/>
      <c r="P141" s="274"/>
      <c r="Q141" s="274"/>
      <c r="R141" s="275"/>
      <c r="S141" s="169"/>
      <c r="T141" s="273"/>
      <c r="U141" s="274"/>
      <c r="V141" s="274"/>
      <c r="W141" s="275"/>
      <c r="X141" s="169"/>
      <c r="Y141" s="273"/>
      <c r="Z141" s="274"/>
      <c r="AA141" s="274"/>
      <c r="AB141" s="275"/>
      <c r="AC141" s="169"/>
      <c r="AD141" s="273"/>
      <c r="AE141" s="274"/>
      <c r="AF141" s="274"/>
      <c r="AG141" s="275"/>
      <c r="AH141" s="169"/>
      <c r="AI141" s="273"/>
      <c r="AJ141" s="274"/>
      <c r="AK141" s="274"/>
      <c r="AL141" s="275"/>
      <c r="AM141" s="169"/>
      <c r="AN141" s="273"/>
      <c r="AO141" s="274"/>
      <c r="AP141" s="274"/>
      <c r="AQ141" s="275"/>
      <c r="AR141" s="169"/>
      <c r="AS141" s="273"/>
      <c r="AT141" s="274"/>
      <c r="AU141" s="274"/>
      <c r="AV141" s="275"/>
      <c r="AW141" s="169"/>
      <c r="AX141" s="273"/>
      <c r="AY141" s="274"/>
      <c r="AZ141" s="274"/>
      <c r="BA141" s="275"/>
      <c r="BB141" s="169"/>
      <c r="BC141" s="273"/>
      <c r="BD141" s="274"/>
      <c r="BE141" s="274"/>
      <c r="BF141" s="275"/>
      <c r="BG141" s="169"/>
      <c r="BH141" s="273"/>
      <c r="BI141" s="274"/>
      <c r="BJ141" s="274"/>
      <c r="BK141" s="275"/>
      <c r="BL141" s="169"/>
      <c r="BM141" s="273"/>
      <c r="BN141" s="274"/>
      <c r="BO141" s="274"/>
      <c r="BP141" s="275"/>
      <c r="BQ141" s="169"/>
    </row>
    <row r="142" spans="1:104" x14ac:dyDescent="0.2">
      <c r="B142" s="16" t="s">
        <v>285</v>
      </c>
      <c r="C142" s="16"/>
      <c r="D142" s="17"/>
      <c r="E142" s="273"/>
      <c r="F142" s="274"/>
      <c r="G142" s="274"/>
      <c r="H142" s="275"/>
      <c r="I142" s="169"/>
      <c r="J142" s="273"/>
      <c r="K142" s="274"/>
      <c r="L142" s="274"/>
      <c r="M142" s="275"/>
      <c r="N142" s="169"/>
      <c r="O142" s="273"/>
      <c r="P142" s="274"/>
      <c r="Q142" s="274"/>
      <c r="R142" s="275"/>
      <c r="S142" s="169"/>
      <c r="T142" s="273"/>
      <c r="U142" s="274"/>
      <c r="V142" s="274"/>
      <c r="W142" s="275"/>
      <c r="X142" s="169"/>
      <c r="Y142" s="273"/>
      <c r="Z142" s="274"/>
      <c r="AA142" s="274"/>
      <c r="AB142" s="275"/>
      <c r="AC142" s="169"/>
      <c r="AD142" s="273"/>
      <c r="AE142" s="274"/>
      <c r="AF142" s="274"/>
      <c r="AG142" s="275"/>
      <c r="AH142" s="169"/>
      <c r="AI142" s="273"/>
      <c r="AJ142" s="274"/>
      <c r="AK142" s="274"/>
      <c r="AL142" s="275"/>
      <c r="AM142" s="169"/>
      <c r="AN142" s="273"/>
      <c r="AO142" s="274"/>
      <c r="AP142" s="274"/>
      <c r="AQ142" s="275"/>
      <c r="AR142" s="169"/>
      <c r="AS142" s="273"/>
      <c r="AT142" s="274"/>
      <c r="AU142" s="274"/>
      <c r="AV142" s="275"/>
      <c r="AW142" s="169"/>
      <c r="AX142" s="273"/>
      <c r="AY142" s="274"/>
      <c r="AZ142" s="274"/>
      <c r="BA142" s="275"/>
      <c r="BB142" s="169"/>
      <c r="BC142" s="273"/>
      <c r="BD142" s="274"/>
      <c r="BE142" s="274"/>
      <c r="BF142" s="275"/>
      <c r="BG142" s="169"/>
      <c r="BH142" s="273"/>
      <c r="BI142" s="274"/>
      <c r="BJ142" s="274"/>
      <c r="BK142" s="275"/>
      <c r="BL142" s="169"/>
      <c r="BM142" s="273"/>
      <c r="BN142" s="274"/>
      <c r="BO142" s="274"/>
      <c r="BP142" s="275"/>
      <c r="BQ142" s="169"/>
    </row>
    <row r="143" spans="1:104" s="20" customFormat="1" x14ac:dyDescent="0.2">
      <c r="A143" s="220"/>
      <c r="B143" s="220"/>
      <c r="C143" s="289" t="s">
        <v>286</v>
      </c>
      <c r="D143" s="82"/>
      <c r="E143" s="136">
        <f t="shared" ref="E143:AF143" si="312">+E20</f>
        <v>154.88999999999999</v>
      </c>
      <c r="F143" s="135">
        <f t="shared" si="312"/>
        <v>148.6</v>
      </c>
      <c r="G143" s="135">
        <f t="shared" si="312"/>
        <v>158.55699999999999</v>
      </c>
      <c r="H143" s="116">
        <f t="shared" si="312"/>
        <v>166.952</v>
      </c>
      <c r="I143" s="82">
        <f t="shared" si="312"/>
        <v>628.99900000000002</v>
      </c>
      <c r="J143" s="136">
        <f t="shared" si="312"/>
        <v>155.69300000000001</v>
      </c>
      <c r="K143" s="135">
        <f t="shared" si="312"/>
        <v>169.02500000000001</v>
      </c>
      <c r="L143" s="135">
        <f t="shared" si="312"/>
        <v>165.98500000000001</v>
      </c>
      <c r="M143" s="116">
        <f t="shared" si="312"/>
        <v>186.65600000000001</v>
      </c>
      <c r="N143" s="82">
        <f t="shared" si="312"/>
        <v>677.35900000000004</v>
      </c>
      <c r="O143" s="136">
        <f t="shared" si="312"/>
        <v>170.67099999999999</v>
      </c>
      <c r="P143" s="135">
        <f t="shared" si="312"/>
        <v>186.66800000000001</v>
      </c>
      <c r="Q143" s="135">
        <f t="shared" si="312"/>
        <v>183.15199999999999</v>
      </c>
      <c r="R143" s="116">
        <f t="shared" si="312"/>
        <v>194.23800000000006</v>
      </c>
      <c r="S143" s="82">
        <f t="shared" si="312"/>
        <v>734.72900000000004</v>
      </c>
      <c r="T143" s="136">
        <f t="shared" si="312"/>
        <v>168.38200000000001</v>
      </c>
      <c r="U143" s="135">
        <f t="shared" si="312"/>
        <v>180.1</v>
      </c>
      <c r="V143" s="135">
        <f t="shared" si="312"/>
        <v>180.994</v>
      </c>
      <c r="W143" s="116">
        <f t="shared" si="312"/>
        <v>213.49900000000002</v>
      </c>
      <c r="X143" s="82">
        <f t="shared" si="312"/>
        <v>742.97500000000002</v>
      </c>
      <c r="Y143" s="136">
        <f t="shared" si="312"/>
        <v>173.041</v>
      </c>
      <c r="Z143" s="135">
        <f t="shared" si="312"/>
        <v>188.15199999999999</v>
      </c>
      <c r="AA143" s="135">
        <f t="shared" si="312"/>
        <v>192.07300000000001</v>
      </c>
      <c r="AB143" s="116">
        <f t="shared" si="312"/>
        <v>209.05600000000004</v>
      </c>
      <c r="AC143" s="82">
        <f t="shared" si="312"/>
        <v>762.322</v>
      </c>
      <c r="AD143" s="136">
        <f t="shared" si="312"/>
        <v>175.524</v>
      </c>
      <c r="AE143" s="135">
        <f t="shared" si="312"/>
        <v>188.90100000000001</v>
      </c>
      <c r="AF143" s="135">
        <f t="shared" si="312"/>
        <v>185.51</v>
      </c>
      <c r="AG143" s="116">
        <f t="shared" ref="AG143:AM143" si="313">+AG20</f>
        <v>201.851</v>
      </c>
      <c r="AH143" s="82">
        <f t="shared" si="313"/>
        <v>751.78599999999994</v>
      </c>
      <c r="AI143" s="136">
        <f t="shared" si="313"/>
        <v>182.417</v>
      </c>
      <c r="AJ143" s="135">
        <f t="shared" si="313"/>
        <v>191.22499999999999</v>
      </c>
      <c r="AK143" s="135">
        <f t="shared" si="313"/>
        <v>186.37899999999999</v>
      </c>
      <c r="AL143" s="116">
        <f t="shared" si="313"/>
        <v>201.88</v>
      </c>
      <c r="AM143" s="82">
        <f t="shared" si="313"/>
        <v>761.90099999999995</v>
      </c>
      <c r="AN143" s="136">
        <f t="shared" ref="AN143:AR143" si="314">+AN20</f>
        <v>178.386</v>
      </c>
      <c r="AO143" s="135">
        <f t="shared" si="314"/>
        <v>200.946</v>
      </c>
      <c r="AP143" s="135">
        <f t="shared" si="314"/>
        <v>191.011</v>
      </c>
      <c r="AQ143" s="116">
        <f t="shared" si="314"/>
        <v>192.07300000000009</v>
      </c>
      <c r="AR143" s="82">
        <f t="shared" si="314"/>
        <v>762.41600000000005</v>
      </c>
      <c r="AS143" s="136">
        <f t="shared" ref="AS143:AW143" si="315">+AS20</f>
        <v>185.601</v>
      </c>
      <c r="AT143" s="135">
        <f t="shared" si="315"/>
        <v>187.90700000000001</v>
      </c>
      <c r="AU143" s="135">
        <f t="shared" si="315"/>
        <v>173.905</v>
      </c>
      <c r="AV143" s="116">
        <f t="shared" si="315"/>
        <v>215.404</v>
      </c>
      <c r="AW143" s="82">
        <f t="shared" si="315"/>
        <v>762.81700000000001</v>
      </c>
      <c r="AX143" s="136">
        <f>AS143*(1+AX144)</f>
        <v>185.601</v>
      </c>
      <c r="AY143" s="135">
        <f>AT143*(1+AY144)</f>
        <v>187.90700000000001</v>
      </c>
      <c r="AZ143" s="135">
        <f>AU143*(1+AZ144)</f>
        <v>173.905</v>
      </c>
      <c r="BA143" s="116">
        <f>AV143*(1+BA144)</f>
        <v>215.404</v>
      </c>
      <c r="BB143" s="82">
        <f>+SUM(AX143:BA143)</f>
        <v>762.81700000000001</v>
      </c>
      <c r="BC143" s="136">
        <f>AX143*(1+BC144)</f>
        <v>187.45701</v>
      </c>
      <c r="BD143" s="135">
        <f>AY143*(1+BD144)</f>
        <v>189.78607000000002</v>
      </c>
      <c r="BE143" s="135">
        <f>AZ143*(1+BE144)</f>
        <v>175.64404999999999</v>
      </c>
      <c r="BF143" s="116">
        <f>BA143*(1+BF144)</f>
        <v>217.55804000000001</v>
      </c>
      <c r="BG143" s="82">
        <f>+SUM(BC143:BF143)</f>
        <v>770.44517000000008</v>
      </c>
      <c r="BH143" s="136">
        <f>BC143*(1+BH144)</f>
        <v>189.3315801</v>
      </c>
      <c r="BI143" s="135">
        <f>BD143*(1+BI144)</f>
        <v>191.68393070000002</v>
      </c>
      <c r="BJ143" s="135">
        <f>BE143*(1+BJ144)</f>
        <v>177.40049049999999</v>
      </c>
      <c r="BK143" s="116">
        <f>BF143*(1+BK144)</f>
        <v>219.73362040000001</v>
      </c>
      <c r="BL143" s="82">
        <f>+SUM(BH143:BK143)</f>
        <v>778.14962170000013</v>
      </c>
      <c r="BM143" s="136">
        <f>BH143*(1+BM144)</f>
        <v>191.224895901</v>
      </c>
      <c r="BN143" s="135">
        <f>BI143*(1+BN144)</f>
        <v>193.60077000700002</v>
      </c>
      <c r="BO143" s="135">
        <f>BJ143*(1+BO144)</f>
        <v>179.17449540499999</v>
      </c>
      <c r="BP143" s="116">
        <f>BK143*(1+BP144)</f>
        <v>221.93095660400002</v>
      </c>
      <c r="BQ143" s="82">
        <f>+SUM(BM143:BP143)</f>
        <v>785.93111791700005</v>
      </c>
      <c r="BR143" s="220"/>
      <c r="BS143" s="220"/>
      <c r="BT143" s="220"/>
      <c r="BU143" s="220"/>
      <c r="BV143" s="220"/>
      <c r="BW143" s="220"/>
      <c r="BX143" s="220"/>
      <c r="BY143" s="220"/>
      <c r="BZ143" s="220"/>
      <c r="CA143" s="220"/>
      <c r="CB143" s="220"/>
      <c r="CC143" s="220"/>
      <c r="CD143" s="220"/>
      <c r="CE143" s="220"/>
      <c r="CF143" s="220"/>
      <c r="CG143" s="220"/>
      <c r="CH143" s="220"/>
      <c r="CI143" s="220"/>
      <c r="CJ143" s="220"/>
      <c r="CK143" s="220"/>
      <c r="CL143" s="220"/>
      <c r="CM143" s="220"/>
      <c r="CN143" s="220"/>
      <c r="CO143" s="220"/>
      <c r="CP143" s="220"/>
      <c r="CQ143" s="220"/>
      <c r="CR143" s="220"/>
      <c r="CS143" s="220"/>
      <c r="CT143" s="220"/>
      <c r="CU143" s="220"/>
      <c r="CV143" s="220"/>
      <c r="CW143" s="220"/>
      <c r="CX143" s="220"/>
      <c r="CY143" s="220"/>
      <c r="CZ143" s="220"/>
    </row>
    <row r="144" spans="1:104" x14ac:dyDescent="0.2">
      <c r="A144" s="45"/>
      <c r="B144" s="45"/>
      <c r="C144" s="338" t="s">
        <v>287</v>
      </c>
      <c r="D144" s="45"/>
      <c r="E144" s="339"/>
      <c r="F144" s="340"/>
      <c r="G144" s="340"/>
      <c r="H144" s="341"/>
      <c r="I144" s="252"/>
      <c r="J144" s="249">
        <f t="shared" ref="J144:P144" si="316">+J143/E143-1</f>
        <v>5.1843243592228916E-3</v>
      </c>
      <c r="K144" s="250">
        <f t="shared" si="316"/>
        <v>0.137449528936743</v>
      </c>
      <c r="L144" s="250">
        <f t="shared" si="316"/>
        <v>4.6847505944234813E-2</v>
      </c>
      <c r="M144" s="251">
        <f t="shared" si="316"/>
        <v>0.11802194642771591</v>
      </c>
      <c r="N144" s="252">
        <f t="shared" si="316"/>
        <v>7.6884064998513635E-2</v>
      </c>
      <c r="O144" s="249">
        <f t="shared" si="316"/>
        <v>9.6202141393639806E-2</v>
      </c>
      <c r="P144" s="250">
        <f t="shared" si="316"/>
        <v>0.10438100872651979</v>
      </c>
      <c r="Q144" s="250">
        <f t="shared" ref="Q144:Y144" si="317">+Q143/L143-1</f>
        <v>0.10342500828388079</v>
      </c>
      <c r="R144" s="251">
        <f t="shared" si="317"/>
        <v>4.0620178295902809E-2</v>
      </c>
      <c r="S144" s="252">
        <f t="shared" si="317"/>
        <v>8.4696593682227705E-2</v>
      </c>
      <c r="T144" s="249">
        <f t="shared" si="317"/>
        <v>-1.3411768841806726E-2</v>
      </c>
      <c r="U144" s="250">
        <f t="shared" si="317"/>
        <v>-3.5185462960978908E-2</v>
      </c>
      <c r="V144" s="250">
        <f t="shared" si="317"/>
        <v>-1.1782563116973788E-2</v>
      </c>
      <c r="W144" s="251">
        <f t="shared" si="317"/>
        <v>9.9161852984482657E-2</v>
      </c>
      <c r="X144" s="252">
        <f t="shared" si="317"/>
        <v>1.1223185691595194E-2</v>
      </c>
      <c r="Y144" s="249">
        <f t="shared" si="317"/>
        <v>2.7669228302312554E-2</v>
      </c>
      <c r="Z144" s="250">
        <f t="shared" ref="Z144:AF144" si="318">+Z143/U143-1</f>
        <v>4.4708495280399774E-2</v>
      </c>
      <c r="AA144" s="250">
        <f t="shared" si="318"/>
        <v>6.1211973877587145E-2</v>
      </c>
      <c r="AB144" s="251">
        <f t="shared" si="318"/>
        <v>-2.0810401922257138E-2</v>
      </c>
      <c r="AC144" s="252">
        <f t="shared" si="318"/>
        <v>2.6039907130118722E-2</v>
      </c>
      <c r="AD144" s="249">
        <f t="shared" si="318"/>
        <v>1.4349200478499302E-2</v>
      </c>
      <c r="AE144" s="250">
        <f t="shared" si="318"/>
        <v>3.9808240146266272E-3</v>
      </c>
      <c r="AF144" s="250">
        <f t="shared" si="318"/>
        <v>-3.4169300213981235E-2</v>
      </c>
      <c r="AG144" s="251">
        <f t="shared" ref="AG144:AP144" si="319">+AG143/AB143-1</f>
        <v>-3.4464449716822498E-2</v>
      </c>
      <c r="AH144" s="252">
        <f t="shared" si="319"/>
        <v>-1.382093131249007E-2</v>
      </c>
      <c r="AI144" s="249">
        <f t="shared" si="319"/>
        <v>3.9270982885531325E-2</v>
      </c>
      <c r="AJ144" s="250">
        <f t="shared" si="319"/>
        <v>1.2302740588985728E-2</v>
      </c>
      <c r="AK144" s="250">
        <f t="shared" si="319"/>
        <v>4.6843835911811738E-3</v>
      </c>
      <c r="AL144" s="251">
        <f t="shared" si="319"/>
        <v>1.4367033108575455E-4</v>
      </c>
      <c r="AM144" s="252">
        <f t="shared" si="319"/>
        <v>1.3454626715581286E-2</v>
      </c>
      <c r="AN144" s="249">
        <f t="shared" si="319"/>
        <v>-2.2097721155374783E-2</v>
      </c>
      <c r="AO144" s="250">
        <f t="shared" si="319"/>
        <v>5.0835403320695471E-2</v>
      </c>
      <c r="AP144" s="250">
        <f t="shared" si="319"/>
        <v>2.4852585323453802E-2</v>
      </c>
      <c r="AQ144" s="251">
        <f>+AQ143/AL143-1</f>
        <v>-4.8578363384188195E-2</v>
      </c>
      <c r="AR144" s="252">
        <f>+AR143/AM143-1</f>
        <v>6.7594083745792233E-4</v>
      </c>
      <c r="AS144" s="249">
        <f t="shared" ref="AS144" si="320">+AS143/AN143-1</f>
        <v>4.044599912549196E-2</v>
      </c>
      <c r="AT144" s="250">
        <f t="shared" ref="AT144" si="321">+AT143/AO143-1</f>
        <v>-6.4888079384511244E-2</v>
      </c>
      <c r="AU144" s="250">
        <f t="shared" ref="AU144" si="322">+AU143/AP143-1</f>
        <v>-8.9555051803299257E-2</v>
      </c>
      <c r="AV144" s="251">
        <f>+AV143/AQ143-1</f>
        <v>0.12146944130616943</v>
      </c>
      <c r="AW144" s="252">
        <f>+AW143/AR143-1</f>
        <v>5.2595958112111596E-4</v>
      </c>
      <c r="AX144" s="249">
        <f>+AX70</f>
        <v>0</v>
      </c>
      <c r="AY144" s="250">
        <f>+AY70</f>
        <v>0</v>
      </c>
      <c r="AZ144" s="250">
        <f>+AZ70</f>
        <v>0</v>
      </c>
      <c r="BA144" s="251">
        <f>+BA70</f>
        <v>0</v>
      </c>
      <c r="BB144" s="252">
        <f>+BB143/AW143-1</f>
        <v>0</v>
      </c>
      <c r="BC144" s="249">
        <f>+BC70</f>
        <v>0.01</v>
      </c>
      <c r="BD144" s="250">
        <f>+BD70</f>
        <v>0.01</v>
      </c>
      <c r="BE144" s="250">
        <f>+BE70</f>
        <v>0.01</v>
      </c>
      <c r="BF144" s="251">
        <f>+BF70</f>
        <v>0.01</v>
      </c>
      <c r="BG144" s="252">
        <f>+BG143/BB143-1</f>
        <v>1.0000000000000009E-2</v>
      </c>
      <c r="BH144" s="249">
        <f>+BH70</f>
        <v>0.01</v>
      </c>
      <c r="BI144" s="250">
        <f>+BI70</f>
        <v>0.01</v>
      </c>
      <c r="BJ144" s="250">
        <f>+BJ70</f>
        <v>0.01</v>
      </c>
      <c r="BK144" s="251">
        <f>+BK70</f>
        <v>0.01</v>
      </c>
      <c r="BL144" s="252">
        <f>+BL143/BG143-1</f>
        <v>1.0000000000000009E-2</v>
      </c>
      <c r="BM144" s="249">
        <f>+BM70</f>
        <v>0.01</v>
      </c>
      <c r="BN144" s="250">
        <f>+BN70</f>
        <v>0.01</v>
      </c>
      <c r="BO144" s="250">
        <f>+BO70</f>
        <v>0.01</v>
      </c>
      <c r="BP144" s="251">
        <f>+BP70</f>
        <v>0.01</v>
      </c>
      <c r="BQ144" s="252">
        <f>+BQ143/BL143-1</f>
        <v>1.0000000000000009E-2</v>
      </c>
      <c r="BR144" s="45"/>
      <c r="BS144" s="45"/>
      <c r="BT144" s="45"/>
      <c r="BU144" s="45"/>
      <c r="BV144" s="45"/>
      <c r="BW144" s="45"/>
      <c r="BX144" s="45"/>
      <c r="BY144" s="45"/>
      <c r="BZ144" s="45"/>
      <c r="CA144" s="45"/>
      <c r="CB144" s="45"/>
      <c r="CC144" s="45"/>
      <c r="CD144" s="45"/>
      <c r="CE144" s="45"/>
      <c r="CF144" s="45"/>
      <c r="CG144" s="45"/>
      <c r="CH144" s="45"/>
      <c r="CI144" s="45"/>
      <c r="CJ144" s="45"/>
      <c r="CK144" s="45"/>
      <c r="CL144" s="45"/>
      <c r="CM144" s="45"/>
      <c r="CN144" s="45"/>
      <c r="CO144" s="45"/>
      <c r="CP144" s="45"/>
      <c r="CQ144" s="45"/>
      <c r="CR144" s="45"/>
      <c r="CS144" s="45"/>
      <c r="CT144" s="45"/>
      <c r="CU144" s="45"/>
      <c r="CV144" s="45"/>
      <c r="CW144" s="45"/>
      <c r="CX144" s="45"/>
      <c r="CY144" s="45"/>
      <c r="CZ144" s="45"/>
    </row>
    <row r="145" spans="1:104" x14ac:dyDescent="0.2">
      <c r="A145" s="20"/>
      <c r="B145" s="20"/>
      <c r="C145" s="289"/>
      <c r="D145" s="20"/>
      <c r="E145" s="203"/>
      <c r="F145" s="204"/>
      <c r="G145" s="204"/>
      <c r="H145" s="205"/>
      <c r="I145" s="206"/>
      <c r="J145" s="203"/>
      <c r="K145" s="204"/>
      <c r="L145" s="204"/>
      <c r="M145" s="205"/>
      <c r="N145" s="206"/>
      <c r="O145" s="203"/>
      <c r="P145" s="204"/>
      <c r="Q145" s="204"/>
      <c r="R145" s="205"/>
      <c r="S145" s="206"/>
      <c r="T145" s="203"/>
      <c r="U145" s="204"/>
      <c r="V145" s="204"/>
      <c r="W145" s="205"/>
      <c r="X145" s="206"/>
      <c r="Y145" s="203"/>
      <c r="Z145" s="204"/>
      <c r="AA145" s="204"/>
      <c r="AB145" s="205"/>
      <c r="AC145" s="206"/>
      <c r="AD145" s="203"/>
      <c r="AE145" s="204"/>
      <c r="AF145" s="204"/>
      <c r="AG145" s="205"/>
      <c r="AH145" s="206"/>
      <c r="AI145" s="203"/>
      <c r="AJ145" s="204"/>
      <c r="AK145" s="204"/>
      <c r="AL145" s="205"/>
      <c r="AM145" s="206"/>
      <c r="AN145" s="203"/>
      <c r="AO145" s="204"/>
      <c r="AP145" s="204"/>
      <c r="AQ145" s="205"/>
      <c r="AR145" s="206"/>
      <c r="AS145" s="203"/>
      <c r="AT145" s="204"/>
      <c r="AU145" s="204"/>
      <c r="AV145" s="205"/>
      <c r="AW145" s="206"/>
      <c r="AX145" s="203"/>
      <c r="AY145" s="204"/>
      <c r="AZ145" s="204"/>
      <c r="BA145" s="205"/>
      <c r="BB145" s="206"/>
      <c r="BC145" s="203"/>
      <c r="BD145" s="204"/>
      <c r="BE145" s="204"/>
      <c r="BF145" s="205"/>
      <c r="BG145" s="206"/>
      <c r="BH145" s="203"/>
      <c r="BI145" s="204"/>
      <c r="BJ145" s="204"/>
      <c r="BK145" s="205"/>
      <c r="BL145" s="206"/>
      <c r="BM145" s="203"/>
      <c r="BN145" s="204"/>
      <c r="BO145" s="204"/>
      <c r="BP145" s="205"/>
      <c r="BQ145" s="206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</row>
    <row r="146" spans="1:104" x14ac:dyDescent="0.2">
      <c r="A146" s="220"/>
      <c r="B146" s="220"/>
      <c r="C146" s="289" t="s">
        <v>122</v>
      </c>
      <c r="D146" s="82"/>
      <c r="E146" s="136">
        <f t="shared" ref="E146:AF146" si="323">+E22</f>
        <v>23.189</v>
      </c>
      <c r="F146" s="135">
        <f t="shared" si="323"/>
        <v>22.210999999999999</v>
      </c>
      <c r="G146" s="135">
        <f t="shared" si="323"/>
        <v>25.678999999999998</v>
      </c>
      <c r="H146" s="116">
        <f t="shared" si="323"/>
        <v>24.533000000000001</v>
      </c>
      <c r="I146" s="82">
        <f t="shared" si="323"/>
        <v>95.611999999999995</v>
      </c>
      <c r="J146" s="136">
        <f t="shared" si="323"/>
        <v>24.616</v>
      </c>
      <c r="K146" s="135">
        <f t="shared" si="323"/>
        <v>25.661999999999999</v>
      </c>
      <c r="L146" s="135">
        <f t="shared" si="323"/>
        <v>26.628</v>
      </c>
      <c r="M146" s="116">
        <f t="shared" si="323"/>
        <v>26.435999999999993</v>
      </c>
      <c r="N146" s="82">
        <f t="shared" si="323"/>
        <v>103.342</v>
      </c>
      <c r="O146" s="136">
        <f t="shared" si="323"/>
        <v>34.320999999999998</v>
      </c>
      <c r="P146" s="135">
        <f t="shared" si="323"/>
        <v>34.984999999999999</v>
      </c>
      <c r="Q146" s="135">
        <f t="shared" si="323"/>
        <v>31.428000000000001</v>
      </c>
      <c r="R146" s="116">
        <f t="shared" si="323"/>
        <v>32.926000000000002</v>
      </c>
      <c r="S146" s="82">
        <f t="shared" si="323"/>
        <v>133.66</v>
      </c>
      <c r="T146" s="136">
        <f t="shared" si="323"/>
        <v>33.787999999999997</v>
      </c>
      <c r="U146" s="135">
        <f t="shared" si="323"/>
        <v>32.875</v>
      </c>
      <c r="V146" s="135">
        <f t="shared" si="323"/>
        <v>32.695999999999998</v>
      </c>
      <c r="W146" s="116">
        <f t="shared" si="323"/>
        <v>32.510000000000005</v>
      </c>
      <c r="X146" s="82">
        <f t="shared" si="323"/>
        <v>131.869</v>
      </c>
      <c r="Y146" s="136">
        <f t="shared" si="323"/>
        <v>35.14</v>
      </c>
      <c r="Z146" s="135">
        <f t="shared" si="323"/>
        <v>36.093000000000004</v>
      </c>
      <c r="AA146" s="135">
        <f t="shared" si="323"/>
        <v>32.887</v>
      </c>
      <c r="AB146" s="116">
        <f t="shared" si="323"/>
        <v>33.695999999999998</v>
      </c>
      <c r="AC146" s="82">
        <f t="shared" si="323"/>
        <v>137.816</v>
      </c>
      <c r="AD146" s="136">
        <f t="shared" si="323"/>
        <v>41.817999999999998</v>
      </c>
      <c r="AE146" s="135">
        <f t="shared" si="323"/>
        <v>41.786999999999999</v>
      </c>
      <c r="AF146" s="135">
        <f t="shared" si="323"/>
        <v>38.862000000000002</v>
      </c>
      <c r="AG146" s="116">
        <f t="shared" ref="AG146:AM146" si="324">+AG22</f>
        <v>39.461000000000013</v>
      </c>
      <c r="AH146" s="82">
        <f t="shared" si="324"/>
        <v>161.928</v>
      </c>
      <c r="AI146" s="136">
        <f t="shared" si="324"/>
        <v>50.326000000000001</v>
      </c>
      <c r="AJ146" s="135">
        <f t="shared" si="324"/>
        <v>50.582000000000001</v>
      </c>
      <c r="AK146" s="135">
        <f t="shared" si="324"/>
        <v>45.987000000000002</v>
      </c>
      <c r="AL146" s="116">
        <f t="shared" si="324"/>
        <v>48.389999999999986</v>
      </c>
      <c r="AM146" s="82">
        <f t="shared" si="324"/>
        <v>195.285</v>
      </c>
      <c r="AN146" s="136">
        <f t="shared" ref="AN146:AR146" si="325">+AN22</f>
        <v>51.473999999999997</v>
      </c>
      <c r="AO146" s="135">
        <f t="shared" si="325"/>
        <v>50.301000000000002</v>
      </c>
      <c r="AP146" s="135">
        <f t="shared" si="325"/>
        <v>45.076000000000001</v>
      </c>
      <c r="AQ146" s="116">
        <f t="shared" si="325"/>
        <v>49.479000000000013</v>
      </c>
      <c r="AR146" s="82">
        <f t="shared" si="325"/>
        <v>196.33</v>
      </c>
      <c r="AS146" s="136">
        <f t="shared" ref="AS146:AW146" si="326">+AS22</f>
        <v>49.798000000000002</v>
      </c>
      <c r="AT146" s="135">
        <f t="shared" si="326"/>
        <v>49.47</v>
      </c>
      <c r="AU146" s="135">
        <f t="shared" si="326"/>
        <v>47.213000000000001</v>
      </c>
      <c r="AV146" s="116">
        <f t="shared" si="326"/>
        <v>49.213999999999999</v>
      </c>
      <c r="AW146" s="82">
        <f t="shared" si="326"/>
        <v>195.69499999999999</v>
      </c>
      <c r="AX146" s="136">
        <f>AS146*(1+AX147)</f>
        <v>53.034869999999998</v>
      </c>
      <c r="AY146" s="135">
        <f>AT146*(1+AY147)</f>
        <v>52.685549999999999</v>
      </c>
      <c r="AZ146" s="135">
        <f>AU146*(1+AZ147)</f>
        <v>50.281844999999997</v>
      </c>
      <c r="BA146" s="116">
        <f>AV146*(1+BA147)</f>
        <v>52.412909999999997</v>
      </c>
      <c r="BB146" s="82">
        <f>+SUM(AX146:BA146)</f>
        <v>208.41517499999998</v>
      </c>
      <c r="BC146" s="136">
        <f>AX146*(1+BC147)</f>
        <v>54.0955674</v>
      </c>
      <c r="BD146" s="135">
        <f>AY146*(1+BD147)</f>
        <v>53.739260999999999</v>
      </c>
      <c r="BE146" s="135">
        <f>AZ146*(1+BE147)</f>
        <v>51.287481899999996</v>
      </c>
      <c r="BF146" s="116">
        <f>BA146*(1+BF147)</f>
        <v>53.461168199999996</v>
      </c>
      <c r="BG146" s="82">
        <f>+SUM(BC146:BF146)</f>
        <v>212.58347849999998</v>
      </c>
      <c r="BH146" s="136">
        <f>BC146*(1+BH147)</f>
        <v>55.177478747999999</v>
      </c>
      <c r="BI146" s="135">
        <f>BD146*(1+BI147)</f>
        <v>54.814046220000002</v>
      </c>
      <c r="BJ146" s="135">
        <f>BE146*(1+BJ147)</f>
        <v>52.313231537999997</v>
      </c>
      <c r="BK146" s="116">
        <f>BF146*(1+BK147)</f>
        <v>54.530391563999999</v>
      </c>
      <c r="BL146" s="82">
        <f>+SUM(BH146:BK146)</f>
        <v>216.83514807</v>
      </c>
      <c r="BM146" s="136">
        <f>BH146*(1+BM147)</f>
        <v>56.281028322959997</v>
      </c>
      <c r="BN146" s="135">
        <f>BI146*(1+BN147)</f>
        <v>55.9103271444</v>
      </c>
      <c r="BO146" s="135">
        <f>BJ146*(1+BO147)</f>
        <v>53.359496168759996</v>
      </c>
      <c r="BP146" s="116">
        <f>BK146*(1+BP147)</f>
        <v>55.620999395280002</v>
      </c>
      <c r="BQ146" s="82">
        <f>+SUM(BM146:BP146)</f>
        <v>221.1718510314</v>
      </c>
      <c r="BR146" s="220"/>
      <c r="BS146" s="220"/>
      <c r="BT146" s="220"/>
      <c r="BU146" s="220"/>
      <c r="BV146" s="220"/>
      <c r="BW146" s="220"/>
      <c r="BX146" s="220"/>
      <c r="BY146" s="220"/>
      <c r="BZ146" s="220"/>
      <c r="CA146" s="220"/>
      <c r="CB146" s="220"/>
      <c r="CC146" s="220"/>
      <c r="CD146" s="220"/>
      <c r="CE146" s="220"/>
      <c r="CF146" s="220"/>
      <c r="CG146" s="220"/>
      <c r="CH146" s="220"/>
      <c r="CI146" s="220"/>
      <c r="CJ146" s="220"/>
      <c r="CK146" s="220"/>
      <c r="CL146" s="220"/>
      <c r="CM146" s="220"/>
      <c r="CN146" s="220"/>
      <c r="CO146" s="220"/>
      <c r="CP146" s="220"/>
      <c r="CQ146" s="220"/>
      <c r="CR146" s="220"/>
      <c r="CS146" s="220"/>
      <c r="CT146" s="220"/>
      <c r="CU146" s="220"/>
      <c r="CV146" s="220"/>
      <c r="CW146" s="220"/>
      <c r="CX146" s="220"/>
      <c r="CY146" s="220"/>
      <c r="CZ146" s="220"/>
    </row>
    <row r="147" spans="1:104" x14ac:dyDescent="0.2">
      <c r="A147" s="45"/>
      <c r="B147" s="45"/>
      <c r="C147" s="338" t="s">
        <v>287</v>
      </c>
      <c r="D147" s="45"/>
      <c r="E147" s="339"/>
      <c r="F147" s="340"/>
      <c r="G147" s="340"/>
      <c r="H147" s="341"/>
      <c r="I147" s="252"/>
      <c r="J147" s="249">
        <f t="shared" ref="J147:P147" si="327">+J146/E146-1</f>
        <v>6.153779809392379E-2</v>
      </c>
      <c r="K147" s="250">
        <f t="shared" si="327"/>
        <v>0.15537346359911752</v>
      </c>
      <c r="L147" s="250">
        <f t="shared" si="327"/>
        <v>3.6956267767436435E-2</v>
      </c>
      <c r="M147" s="251">
        <f t="shared" si="327"/>
        <v>7.7568988709085351E-2</v>
      </c>
      <c r="N147" s="252">
        <f t="shared" si="327"/>
        <v>8.0847592352424336E-2</v>
      </c>
      <c r="O147" s="249">
        <f t="shared" si="327"/>
        <v>0.39425576860578482</v>
      </c>
      <c r="P147" s="250">
        <f t="shared" si="327"/>
        <v>0.36329982074662936</v>
      </c>
      <c r="Q147" s="250">
        <f t="shared" ref="Q147:Y147" si="328">+Q146/L146-1</f>
        <v>0.1802613789995493</v>
      </c>
      <c r="R147" s="251">
        <f t="shared" si="328"/>
        <v>0.24549856256619806</v>
      </c>
      <c r="S147" s="252">
        <f t="shared" si="328"/>
        <v>0.29337539432176651</v>
      </c>
      <c r="T147" s="249">
        <f t="shared" si="328"/>
        <v>-1.5529850528830824E-2</v>
      </c>
      <c r="U147" s="250">
        <f t="shared" si="328"/>
        <v>-6.0311562098042004E-2</v>
      </c>
      <c r="V147" s="250">
        <f t="shared" si="328"/>
        <v>4.0346188112511117E-2</v>
      </c>
      <c r="W147" s="251">
        <f t="shared" si="328"/>
        <v>-1.2634392273583095E-2</v>
      </c>
      <c r="X147" s="252">
        <f t="shared" si="328"/>
        <v>-1.3399670806524044E-2</v>
      </c>
      <c r="Y147" s="249">
        <f t="shared" si="328"/>
        <v>4.0014206227062976E-2</v>
      </c>
      <c r="Z147" s="250">
        <f t="shared" ref="Z147:AF147" si="329">+Z146/U146-1</f>
        <v>9.7885931558935546E-2</v>
      </c>
      <c r="AA147" s="250">
        <f t="shared" si="329"/>
        <v>5.8416931734770472E-3</v>
      </c>
      <c r="AB147" s="251">
        <f t="shared" si="329"/>
        <v>3.6481082743770932E-2</v>
      </c>
      <c r="AC147" s="252">
        <f t="shared" si="329"/>
        <v>4.5097786439572518E-2</v>
      </c>
      <c r="AD147" s="249">
        <f t="shared" si="329"/>
        <v>0.19003984063745016</v>
      </c>
      <c r="AE147" s="250">
        <f t="shared" si="329"/>
        <v>0.15775912226747546</v>
      </c>
      <c r="AF147" s="250">
        <f t="shared" si="329"/>
        <v>0.18168273177851435</v>
      </c>
      <c r="AG147" s="251">
        <f t="shared" ref="AG147:AP147" si="330">+AG146/AB146-1</f>
        <v>0.17108855650522359</v>
      </c>
      <c r="AH147" s="252">
        <f t="shared" si="330"/>
        <v>0.17495791490102741</v>
      </c>
      <c r="AI147" s="249">
        <f t="shared" si="330"/>
        <v>0.20345305849155881</v>
      </c>
      <c r="AJ147" s="250">
        <f t="shared" si="330"/>
        <v>0.21047215641228134</v>
      </c>
      <c r="AK147" s="250">
        <f t="shared" si="330"/>
        <v>0.18334105295661574</v>
      </c>
      <c r="AL147" s="251">
        <f t="shared" si="330"/>
        <v>0.22627404272572837</v>
      </c>
      <c r="AM147" s="252">
        <f t="shared" si="330"/>
        <v>0.20599896250185257</v>
      </c>
      <c r="AN147" s="249">
        <f t="shared" si="330"/>
        <v>2.2811270516233995E-2</v>
      </c>
      <c r="AO147" s="250">
        <f t="shared" si="330"/>
        <v>-5.5553358902376004E-3</v>
      </c>
      <c r="AP147" s="250">
        <f t="shared" si="330"/>
        <v>-1.9809946289168656E-2</v>
      </c>
      <c r="AQ147" s="251">
        <f>+AQ146/AL146-1</f>
        <v>2.2504649721017289E-2</v>
      </c>
      <c r="AR147" s="252">
        <f>+AR146/AM146-1</f>
        <v>5.3511534424046658E-3</v>
      </c>
      <c r="AS147" s="249">
        <f t="shared" ref="AS147" si="331">+AS146/AN146-1</f>
        <v>-3.2560127442980868E-2</v>
      </c>
      <c r="AT147" s="250">
        <f t="shared" ref="AT147" si="332">+AT146/AO146-1</f>
        <v>-1.6520546311206585E-2</v>
      </c>
      <c r="AU147" s="250">
        <f t="shared" ref="AU147" si="333">+AU146/AP146-1</f>
        <v>4.740882065844354E-2</v>
      </c>
      <c r="AV147" s="251">
        <f>+AV146/AQ146-1</f>
        <v>-5.3558075142993156E-3</v>
      </c>
      <c r="AW147" s="252">
        <f>+AW146/AR146-1</f>
        <v>-3.2343503285285902E-3</v>
      </c>
      <c r="AX147" s="249">
        <f>+AX71</f>
        <v>6.5000000000000002E-2</v>
      </c>
      <c r="AY147" s="250">
        <f>+AY71</f>
        <v>6.5000000000000002E-2</v>
      </c>
      <c r="AZ147" s="250">
        <f>+AZ71</f>
        <v>6.5000000000000002E-2</v>
      </c>
      <c r="BA147" s="251">
        <f>+BA71</f>
        <v>6.5000000000000002E-2</v>
      </c>
      <c r="BB147" s="252">
        <f>+BB146/AW146-1</f>
        <v>6.4999999999999947E-2</v>
      </c>
      <c r="BC147" s="249">
        <f>+BC71</f>
        <v>0.02</v>
      </c>
      <c r="BD147" s="250">
        <f>+BD71</f>
        <v>0.02</v>
      </c>
      <c r="BE147" s="250">
        <f>+BE71</f>
        <v>0.02</v>
      </c>
      <c r="BF147" s="251">
        <f>+BF71</f>
        <v>0.02</v>
      </c>
      <c r="BG147" s="252">
        <f>+BG146/BB146-1</f>
        <v>2.0000000000000018E-2</v>
      </c>
      <c r="BH147" s="249">
        <f>+BH71</f>
        <v>0.02</v>
      </c>
      <c r="BI147" s="250">
        <f>+BI71</f>
        <v>0.02</v>
      </c>
      <c r="BJ147" s="250">
        <f>+BJ71</f>
        <v>0.02</v>
      </c>
      <c r="BK147" s="251">
        <f>+BK71</f>
        <v>0.02</v>
      </c>
      <c r="BL147" s="252">
        <f>+BL146/BG146-1</f>
        <v>2.0000000000000018E-2</v>
      </c>
      <c r="BM147" s="249">
        <f>+BM71</f>
        <v>0.02</v>
      </c>
      <c r="BN147" s="250">
        <f>+BN71</f>
        <v>0.02</v>
      </c>
      <c r="BO147" s="250">
        <f>+BO71</f>
        <v>0.02</v>
      </c>
      <c r="BP147" s="251">
        <f>+BP71</f>
        <v>0.02</v>
      </c>
      <c r="BQ147" s="252">
        <f>+BQ146/BL146-1</f>
        <v>2.0000000000000018E-2</v>
      </c>
      <c r="BR147" s="45"/>
      <c r="BS147" s="45"/>
      <c r="BT147" s="45"/>
      <c r="BU147" s="45"/>
      <c r="BV147" s="45"/>
      <c r="BW147" s="45"/>
      <c r="BX147" s="45"/>
      <c r="BY147" s="45"/>
      <c r="BZ147" s="45"/>
      <c r="CA147" s="45"/>
      <c r="CB147" s="45"/>
      <c r="CC147" s="45"/>
      <c r="CD147" s="45"/>
      <c r="CE147" s="45"/>
      <c r="CF147" s="45"/>
      <c r="CG147" s="45"/>
      <c r="CH147" s="45"/>
      <c r="CI147" s="45"/>
      <c r="CJ147" s="45"/>
      <c r="CK147" s="45"/>
      <c r="CL147" s="45"/>
      <c r="CM147" s="45"/>
      <c r="CN147" s="45"/>
      <c r="CO147" s="45"/>
      <c r="CP147" s="45"/>
      <c r="CQ147" s="45"/>
      <c r="CR147" s="45"/>
      <c r="CS147" s="45"/>
      <c r="CT147" s="45"/>
      <c r="CU147" s="45"/>
      <c r="CV147" s="45"/>
      <c r="CW147" s="45"/>
      <c r="CX147" s="45"/>
      <c r="CY147" s="45"/>
      <c r="CZ147" s="45"/>
    </row>
    <row r="148" spans="1:104" x14ac:dyDescent="0.2">
      <c r="A148" s="20"/>
      <c r="B148" s="20"/>
      <c r="C148" s="20"/>
      <c r="D148" s="20"/>
      <c r="E148" s="203"/>
      <c r="F148" s="204"/>
      <c r="G148" s="204"/>
      <c r="H148" s="205"/>
      <c r="I148" s="206"/>
      <c r="J148" s="203"/>
      <c r="K148" s="204"/>
      <c r="L148" s="204"/>
      <c r="M148" s="205"/>
      <c r="N148" s="206"/>
      <c r="O148" s="203"/>
      <c r="P148" s="204"/>
      <c r="Q148" s="204"/>
      <c r="R148" s="205"/>
      <c r="S148" s="206"/>
      <c r="T148" s="203"/>
      <c r="U148" s="204"/>
      <c r="V148" s="204"/>
      <c r="W148" s="205"/>
      <c r="X148" s="206"/>
      <c r="Y148" s="203"/>
      <c r="Z148" s="204"/>
      <c r="AA148" s="204"/>
      <c r="AB148" s="205"/>
      <c r="AC148" s="206"/>
      <c r="AD148" s="203"/>
      <c r="AE148" s="204"/>
      <c r="AF148" s="204"/>
      <c r="AG148" s="205"/>
      <c r="AH148" s="206"/>
      <c r="AI148" s="203"/>
      <c r="AJ148" s="204"/>
      <c r="AK148" s="204"/>
      <c r="AL148" s="205"/>
      <c r="AM148" s="206"/>
      <c r="AN148" s="203"/>
      <c r="AO148" s="204"/>
      <c r="AP148" s="204"/>
      <c r="AQ148" s="205"/>
      <c r="AR148" s="206"/>
      <c r="AS148" s="203"/>
      <c r="AT148" s="204"/>
      <c r="AU148" s="204"/>
      <c r="AV148" s="205"/>
      <c r="AW148" s="206"/>
      <c r="AX148" s="203"/>
      <c r="AY148" s="204"/>
      <c r="AZ148" s="204"/>
      <c r="BA148" s="205"/>
      <c r="BB148" s="206"/>
      <c r="BC148" s="203"/>
      <c r="BD148" s="204"/>
      <c r="BE148" s="204"/>
      <c r="BF148" s="205"/>
      <c r="BG148" s="206"/>
      <c r="BH148" s="203"/>
      <c r="BI148" s="204"/>
      <c r="BJ148" s="204"/>
      <c r="BK148" s="205"/>
      <c r="BL148" s="206"/>
      <c r="BM148" s="203"/>
      <c r="BN148" s="204"/>
      <c r="BO148" s="204"/>
      <c r="BP148" s="205"/>
      <c r="BQ148" s="206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</row>
    <row r="149" spans="1:104" x14ac:dyDescent="0.2">
      <c r="A149" s="220"/>
      <c r="B149" s="220"/>
      <c r="C149" t="s">
        <v>442</v>
      </c>
      <c r="D149" s="82"/>
      <c r="E149" s="136">
        <f t="shared" ref="E149:AF149" si="334">+E23</f>
        <v>26.155999999999999</v>
      </c>
      <c r="F149" s="135">
        <f t="shared" si="334"/>
        <v>23.51</v>
      </c>
      <c r="G149" s="135">
        <f t="shared" si="334"/>
        <v>27.56</v>
      </c>
      <c r="H149" s="116">
        <f t="shared" si="334"/>
        <v>27.692999999999998</v>
      </c>
      <c r="I149" s="82">
        <f t="shared" si="334"/>
        <v>104.919</v>
      </c>
      <c r="J149" s="136">
        <f t="shared" si="334"/>
        <v>33.710999999999999</v>
      </c>
      <c r="K149" s="135">
        <f t="shared" si="334"/>
        <v>33.549999999999997</v>
      </c>
      <c r="L149" s="135">
        <f t="shared" si="334"/>
        <v>32.228000000000002</v>
      </c>
      <c r="M149" s="116">
        <f t="shared" si="334"/>
        <v>29.449999999999989</v>
      </c>
      <c r="N149" s="82">
        <f t="shared" si="334"/>
        <v>128.93899999999999</v>
      </c>
      <c r="O149" s="136">
        <f t="shared" si="334"/>
        <v>30.321999999999999</v>
      </c>
      <c r="P149" s="135">
        <f t="shared" si="334"/>
        <v>27.766999999999999</v>
      </c>
      <c r="Q149" s="135">
        <f t="shared" si="334"/>
        <v>29.795999999999999</v>
      </c>
      <c r="R149" s="116">
        <f t="shared" si="334"/>
        <v>27.193000000000012</v>
      </c>
      <c r="S149" s="82">
        <f t="shared" si="334"/>
        <v>115.078</v>
      </c>
      <c r="T149" s="136">
        <f t="shared" si="334"/>
        <v>29.443999999999999</v>
      </c>
      <c r="U149" s="135">
        <f t="shared" si="334"/>
        <v>29.347999999999999</v>
      </c>
      <c r="V149" s="135">
        <f t="shared" si="334"/>
        <v>33.67</v>
      </c>
      <c r="W149" s="116">
        <f t="shared" si="334"/>
        <v>30.742999999999995</v>
      </c>
      <c r="X149" s="82">
        <f t="shared" si="334"/>
        <v>123.205</v>
      </c>
      <c r="Y149" s="136">
        <f t="shared" si="334"/>
        <v>33.121000000000002</v>
      </c>
      <c r="Z149" s="135">
        <f t="shared" si="334"/>
        <v>32.938000000000002</v>
      </c>
      <c r="AA149" s="135">
        <f t="shared" si="334"/>
        <v>38.015999999999998</v>
      </c>
      <c r="AB149" s="116">
        <f t="shared" si="334"/>
        <v>35.262</v>
      </c>
      <c r="AC149" s="82">
        <f t="shared" si="334"/>
        <v>139.33699999999999</v>
      </c>
      <c r="AD149" s="136">
        <f t="shared" si="334"/>
        <v>35.195</v>
      </c>
      <c r="AE149" s="135">
        <f t="shared" si="334"/>
        <v>34.677999999999997</v>
      </c>
      <c r="AF149" s="135">
        <f t="shared" si="334"/>
        <v>36.119999999999997</v>
      </c>
      <c r="AG149" s="116">
        <f t="shared" ref="AG149:AM149" si="335">+AG23</f>
        <v>33.787000000000006</v>
      </c>
      <c r="AH149" s="82">
        <f t="shared" si="335"/>
        <v>139.78</v>
      </c>
      <c r="AI149" s="136">
        <f t="shared" si="335"/>
        <v>30.068999999999999</v>
      </c>
      <c r="AJ149" s="135">
        <f t="shared" si="335"/>
        <v>33.512999999999998</v>
      </c>
      <c r="AK149" s="135">
        <f t="shared" si="335"/>
        <v>33.04</v>
      </c>
      <c r="AL149" s="116">
        <f t="shared" si="335"/>
        <v>32.059000000000026</v>
      </c>
      <c r="AM149" s="82">
        <f t="shared" si="335"/>
        <v>128.68100000000001</v>
      </c>
      <c r="AN149" s="136">
        <f t="shared" ref="AN149:AR149" si="336">+AN23</f>
        <v>27.722999999999999</v>
      </c>
      <c r="AO149" s="135">
        <f t="shared" si="336"/>
        <v>29.356000000000002</v>
      </c>
      <c r="AP149" s="135">
        <f t="shared" si="336"/>
        <v>31.015000000000001</v>
      </c>
      <c r="AQ149" s="116">
        <f t="shared" si="336"/>
        <v>30.081000000000003</v>
      </c>
      <c r="AR149" s="82">
        <f t="shared" si="336"/>
        <v>118.175</v>
      </c>
      <c r="AS149" s="136">
        <f t="shared" ref="AS149:AW149" si="337">+AS23</f>
        <v>28.103999999999999</v>
      </c>
      <c r="AT149" s="135">
        <f t="shared" si="337"/>
        <v>29.928000000000001</v>
      </c>
      <c r="AU149" s="135">
        <f t="shared" si="337"/>
        <v>34.520000000000003</v>
      </c>
      <c r="AV149" s="116">
        <f t="shared" si="337"/>
        <v>32.477000000000004</v>
      </c>
      <c r="AW149" s="82">
        <f t="shared" si="337"/>
        <v>125.029</v>
      </c>
      <c r="AX149" s="136">
        <f>AS149*(1+AX150)</f>
        <v>28.103999999999999</v>
      </c>
      <c r="AY149" s="135">
        <f>AT149*(1+AY150)</f>
        <v>29.928000000000001</v>
      </c>
      <c r="AZ149" s="135">
        <f>AU149*(1+AZ150)</f>
        <v>34.520000000000003</v>
      </c>
      <c r="BA149" s="116">
        <f>AV149*(1+BA150)</f>
        <v>32.477000000000004</v>
      </c>
      <c r="BB149" s="82">
        <f>+SUM(AX149:BA149)</f>
        <v>125.029</v>
      </c>
      <c r="BC149" s="136">
        <f>AX149*(1+BC150)</f>
        <v>28.103999999999999</v>
      </c>
      <c r="BD149" s="135">
        <f>AY149*(1+BD150)</f>
        <v>29.928000000000001</v>
      </c>
      <c r="BE149" s="135">
        <f>AZ149*(1+BE150)</f>
        <v>34.520000000000003</v>
      </c>
      <c r="BF149" s="116">
        <f>BA149*(1+BF150)</f>
        <v>32.477000000000004</v>
      </c>
      <c r="BG149" s="82">
        <f>+SUM(BC149:BF149)</f>
        <v>125.029</v>
      </c>
      <c r="BH149" s="136">
        <f>BC149*(1+BH150)</f>
        <v>28.103999999999999</v>
      </c>
      <c r="BI149" s="135">
        <f>BD149*(1+BI150)</f>
        <v>29.928000000000001</v>
      </c>
      <c r="BJ149" s="135">
        <f>BE149*(1+BJ150)</f>
        <v>34.520000000000003</v>
      </c>
      <c r="BK149" s="116">
        <f>BF149*(1+BK150)</f>
        <v>32.477000000000004</v>
      </c>
      <c r="BL149" s="82">
        <f>+SUM(BH149:BK149)</f>
        <v>125.029</v>
      </c>
      <c r="BM149" s="136">
        <f>BH149*(1+BM150)</f>
        <v>28.103999999999999</v>
      </c>
      <c r="BN149" s="135">
        <f>BI149*(1+BN150)</f>
        <v>29.928000000000001</v>
      </c>
      <c r="BO149" s="135">
        <f>BJ149*(1+BO150)</f>
        <v>34.520000000000003</v>
      </c>
      <c r="BP149" s="116">
        <f>BK149*(1+BP150)</f>
        <v>32.477000000000004</v>
      </c>
      <c r="BQ149" s="82">
        <f>+SUM(BM149:BP149)</f>
        <v>125.029</v>
      </c>
      <c r="BR149" s="220"/>
      <c r="BS149" s="220"/>
      <c r="BT149" s="220"/>
      <c r="BU149" s="220"/>
      <c r="BV149" s="220"/>
      <c r="BW149" s="220"/>
      <c r="BX149" s="220"/>
      <c r="BY149" s="220"/>
      <c r="BZ149" s="220"/>
      <c r="CA149" s="220"/>
      <c r="CB149" s="220"/>
      <c r="CC149" s="220"/>
      <c r="CD149" s="220"/>
      <c r="CE149" s="220"/>
      <c r="CF149" s="220"/>
      <c r="CG149" s="220"/>
      <c r="CH149" s="220"/>
      <c r="CI149" s="220"/>
      <c r="CJ149" s="220"/>
      <c r="CK149" s="220"/>
      <c r="CL149" s="220"/>
      <c r="CM149" s="220"/>
      <c r="CN149" s="220"/>
      <c r="CO149" s="220"/>
      <c r="CP149" s="220"/>
      <c r="CQ149" s="220"/>
      <c r="CR149" s="220"/>
      <c r="CS149" s="220"/>
      <c r="CT149" s="220"/>
      <c r="CU149" s="220"/>
      <c r="CV149" s="220"/>
      <c r="CW149" s="220"/>
      <c r="CX149" s="220"/>
      <c r="CY149" s="220"/>
      <c r="CZ149" s="220"/>
    </row>
    <row r="150" spans="1:104" x14ac:dyDescent="0.2">
      <c r="A150" s="45"/>
      <c r="B150" s="45"/>
      <c r="C150" s="338" t="s">
        <v>287</v>
      </c>
      <c r="D150" s="45"/>
      <c r="E150" s="339"/>
      <c r="F150" s="340"/>
      <c r="G150" s="340"/>
      <c r="H150" s="341"/>
      <c r="I150" s="252"/>
      <c r="J150" s="249">
        <f t="shared" ref="J150:O150" si="338">+J149/E149-1</f>
        <v>0.28884385991741857</v>
      </c>
      <c r="K150" s="250">
        <f t="shared" si="338"/>
        <v>0.4270523181624839</v>
      </c>
      <c r="L150" s="250">
        <f t="shared" si="338"/>
        <v>0.16937590711175621</v>
      </c>
      <c r="M150" s="251">
        <f t="shared" si="338"/>
        <v>6.3445636081319812E-2</v>
      </c>
      <c r="N150" s="252">
        <f t="shared" si="338"/>
        <v>0.22893851447306957</v>
      </c>
      <c r="O150" s="249">
        <f t="shared" si="338"/>
        <v>-0.1005309839518258</v>
      </c>
      <c r="P150" s="250">
        <f t="shared" ref="P150:U150" si="339">+P149/K149-1</f>
        <v>-0.17236959761549919</v>
      </c>
      <c r="Q150" s="250">
        <f t="shared" si="339"/>
        <v>-7.5462330892391738E-2</v>
      </c>
      <c r="R150" s="251">
        <f t="shared" si="339"/>
        <v>-7.6638370118844779E-2</v>
      </c>
      <c r="S150" s="252">
        <f t="shared" si="339"/>
        <v>-0.10750044594730834</v>
      </c>
      <c r="T150" s="249">
        <f t="shared" si="339"/>
        <v>-2.8955873623111916E-2</v>
      </c>
      <c r="U150" s="250">
        <f t="shared" si="339"/>
        <v>5.6938091979688021E-2</v>
      </c>
      <c r="V150" s="250">
        <f t="shared" ref="V150:AA150" si="340">+V149/Q149-1</f>
        <v>0.13001745200698078</v>
      </c>
      <c r="W150" s="251">
        <f t="shared" si="340"/>
        <v>0.13054830287206198</v>
      </c>
      <c r="X150" s="252">
        <f t="shared" si="340"/>
        <v>7.0621665305271142E-2</v>
      </c>
      <c r="Y150" s="249">
        <f t="shared" si="340"/>
        <v>0.12488113028121184</v>
      </c>
      <c r="Z150" s="250">
        <f t="shared" si="340"/>
        <v>0.12232520103584577</v>
      </c>
      <c r="AA150" s="250">
        <f t="shared" si="340"/>
        <v>0.12907632907632904</v>
      </c>
      <c r="AB150" s="251">
        <f t="shared" ref="AB150:AJ150" si="341">+AB149/W149-1</f>
        <v>0.14699281137169451</v>
      </c>
      <c r="AC150" s="252">
        <f t="shared" si="341"/>
        <v>0.13093624447059771</v>
      </c>
      <c r="AD150" s="249">
        <f t="shared" si="341"/>
        <v>6.2618882280124355E-2</v>
      </c>
      <c r="AE150" s="250">
        <f t="shared" si="341"/>
        <v>5.2826522557532174E-2</v>
      </c>
      <c r="AF150" s="250">
        <f t="shared" si="341"/>
        <v>-4.9873737373737348E-2</v>
      </c>
      <c r="AG150" s="251">
        <f t="shared" si="341"/>
        <v>-4.1829731722534014E-2</v>
      </c>
      <c r="AH150" s="252">
        <f t="shared" si="341"/>
        <v>3.1793421704213731E-3</v>
      </c>
      <c r="AI150" s="249">
        <f t="shared" si="341"/>
        <v>-0.14564568830799829</v>
      </c>
      <c r="AJ150" s="250">
        <f t="shared" si="341"/>
        <v>-3.3594786319856906E-2</v>
      </c>
      <c r="AK150" s="250">
        <f t="shared" ref="AK150:AP150" si="342">+AK149/AF149-1</f>
        <v>-8.5271317829457294E-2</v>
      </c>
      <c r="AL150" s="251">
        <f t="shared" si="342"/>
        <v>-5.1143931097758943E-2</v>
      </c>
      <c r="AM150" s="252">
        <f t="shared" si="342"/>
        <v>-7.9403348118471828E-2</v>
      </c>
      <c r="AN150" s="249">
        <f t="shared" si="342"/>
        <v>-7.8020552728723991E-2</v>
      </c>
      <c r="AO150" s="250">
        <f t="shared" si="342"/>
        <v>-0.12404141676364389</v>
      </c>
      <c r="AP150" s="250">
        <f t="shared" si="342"/>
        <v>-6.1289346246973353E-2</v>
      </c>
      <c r="AQ150" s="251">
        <f>+AQ149/AL149-1</f>
        <v>-6.1698742942700058E-2</v>
      </c>
      <c r="AR150" s="252">
        <f>+AR149/AM149-1</f>
        <v>-8.1643754711262839E-2</v>
      </c>
      <c r="AS150" s="249">
        <f t="shared" ref="AS150" si="343">+AS149/AN149-1</f>
        <v>1.3743101395952806E-2</v>
      </c>
      <c r="AT150" s="250">
        <f t="shared" ref="AT150" si="344">+AT149/AO149-1</f>
        <v>1.9484943452786396E-2</v>
      </c>
      <c r="AU150" s="250">
        <f t="shared" ref="AU150" si="345">+AU149/AP149-1</f>
        <v>0.11300983395131392</v>
      </c>
      <c r="AV150" s="251">
        <f>+AV149/AQ149-1</f>
        <v>7.9651607326884033E-2</v>
      </c>
      <c r="AW150" s="252">
        <f>+AW149/AR149-1</f>
        <v>5.7998730696001699E-2</v>
      </c>
      <c r="AX150" s="249">
        <f>+AX72</f>
        <v>0</v>
      </c>
      <c r="AY150" s="250">
        <f>+AY72</f>
        <v>0</v>
      </c>
      <c r="AZ150" s="250">
        <f>+AZ72</f>
        <v>0</v>
      </c>
      <c r="BA150" s="251">
        <f>+BA72</f>
        <v>0</v>
      </c>
      <c r="BB150" s="252">
        <f>+BB149/AW149-1</f>
        <v>0</v>
      </c>
      <c r="BC150" s="249">
        <f>+BC72</f>
        <v>0</v>
      </c>
      <c r="BD150" s="250">
        <f>+BD72</f>
        <v>0</v>
      </c>
      <c r="BE150" s="250">
        <f>+BE72</f>
        <v>0</v>
      </c>
      <c r="BF150" s="251">
        <f>+BF72</f>
        <v>0</v>
      </c>
      <c r="BG150" s="252">
        <f>+BG149/BB149-1</f>
        <v>0</v>
      </c>
      <c r="BH150" s="249">
        <f>+BH72</f>
        <v>0</v>
      </c>
      <c r="BI150" s="250">
        <f>+BI72</f>
        <v>0</v>
      </c>
      <c r="BJ150" s="250">
        <f>+BJ72</f>
        <v>0</v>
      </c>
      <c r="BK150" s="251">
        <f>+BK72</f>
        <v>0</v>
      </c>
      <c r="BL150" s="252">
        <f>+BL149/BG149-1</f>
        <v>0</v>
      </c>
      <c r="BM150" s="249">
        <f>+BM72</f>
        <v>0</v>
      </c>
      <c r="BN150" s="250">
        <f>+BN72</f>
        <v>0</v>
      </c>
      <c r="BO150" s="250">
        <f>+BO72</f>
        <v>0</v>
      </c>
      <c r="BP150" s="251">
        <f>+BP72</f>
        <v>0</v>
      </c>
      <c r="BQ150" s="252">
        <f>+BQ149/BL149-1</f>
        <v>0</v>
      </c>
      <c r="BR150" s="45"/>
      <c r="BS150" s="45"/>
      <c r="BT150" s="45"/>
      <c r="BU150" s="45"/>
      <c r="BV150" s="45"/>
      <c r="BW150" s="45"/>
      <c r="BX150" s="45"/>
      <c r="BY150" s="45"/>
      <c r="BZ150" s="45"/>
      <c r="CA150" s="45"/>
      <c r="CB150" s="45"/>
      <c r="CC150" s="45"/>
      <c r="CD150" s="45"/>
      <c r="CE150" s="45"/>
      <c r="CF150" s="45"/>
      <c r="CG150" s="45"/>
      <c r="CH150" s="45"/>
      <c r="CI150" s="45"/>
      <c r="CJ150" s="45"/>
      <c r="CK150" s="45"/>
      <c r="CL150" s="45"/>
      <c r="CM150" s="45"/>
      <c r="CN150" s="45"/>
      <c r="CO150" s="45"/>
      <c r="CP150" s="45"/>
      <c r="CQ150" s="45"/>
      <c r="CR150" s="45"/>
      <c r="CS150" s="45"/>
      <c r="CT150" s="45"/>
      <c r="CU150" s="45"/>
      <c r="CV150" s="45"/>
      <c r="CW150" s="45"/>
      <c r="CX150" s="45"/>
      <c r="CY150" s="45"/>
      <c r="CZ150" s="45"/>
    </row>
    <row r="151" spans="1:104" x14ac:dyDescent="0.2">
      <c r="A151" s="20"/>
      <c r="B151" s="20"/>
      <c r="C151" s="20"/>
      <c r="D151" s="20"/>
      <c r="E151" s="203"/>
      <c r="F151" s="204"/>
      <c r="G151" s="204"/>
      <c r="H151" s="205"/>
      <c r="I151" s="206"/>
      <c r="J151" s="203"/>
      <c r="K151" s="204"/>
      <c r="L151" s="204"/>
      <c r="M151" s="205"/>
      <c r="N151" s="206"/>
      <c r="O151" s="203"/>
      <c r="P151" s="204"/>
      <c r="Q151" s="204"/>
      <c r="R151" s="205"/>
      <c r="S151" s="206"/>
      <c r="T151" s="203"/>
      <c r="U151" s="204"/>
      <c r="V151" s="204"/>
      <c r="W151" s="205"/>
      <c r="X151" s="206"/>
      <c r="Y151" s="203"/>
      <c r="Z151" s="204"/>
      <c r="AA151" s="204"/>
      <c r="AB151" s="205"/>
      <c r="AC151" s="206"/>
      <c r="AD151" s="203"/>
      <c r="AE151" s="204"/>
      <c r="AF151" s="204"/>
      <c r="AG151" s="205"/>
      <c r="AH151" s="206"/>
      <c r="AI151" s="203"/>
      <c r="AJ151" s="204"/>
      <c r="AK151" s="204"/>
      <c r="AL151" s="205"/>
      <c r="AM151" s="206"/>
      <c r="AN151" s="203"/>
      <c r="AO151" s="204"/>
      <c r="AP151" s="204"/>
      <c r="AQ151" s="205"/>
      <c r="AR151" s="206"/>
      <c r="AS151" s="203"/>
      <c r="AT151" s="204"/>
      <c r="AU151" s="204"/>
      <c r="AV151" s="205"/>
      <c r="AW151" s="206"/>
      <c r="AX151" s="203"/>
      <c r="AY151" s="204"/>
      <c r="AZ151" s="204"/>
      <c r="BA151" s="205"/>
      <c r="BB151" s="206"/>
      <c r="BC151" s="203"/>
      <c r="BD151" s="204"/>
      <c r="BE151" s="204"/>
      <c r="BF151" s="205"/>
      <c r="BG151" s="206"/>
      <c r="BH151" s="203"/>
      <c r="BI151" s="204"/>
      <c r="BJ151" s="204"/>
      <c r="BK151" s="205"/>
      <c r="BL151" s="206"/>
      <c r="BM151" s="203"/>
      <c r="BN151" s="204"/>
      <c r="BO151" s="204"/>
      <c r="BP151" s="205"/>
      <c r="BQ151" s="206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</row>
    <row r="152" spans="1:104" x14ac:dyDescent="0.2">
      <c r="A152" s="20"/>
      <c r="B152" s="20"/>
      <c r="C152" s="20"/>
      <c r="D152" s="20"/>
      <c r="E152" s="203"/>
      <c r="F152" s="204"/>
      <c r="G152" s="204"/>
      <c r="H152" s="205"/>
      <c r="I152" s="206"/>
      <c r="J152" s="203"/>
      <c r="K152" s="204"/>
      <c r="L152" s="204"/>
      <c r="M152" s="205"/>
      <c r="N152" s="206"/>
      <c r="O152" s="203"/>
      <c r="P152" s="204"/>
      <c r="Q152" s="204"/>
      <c r="R152" s="205"/>
      <c r="S152" s="206"/>
      <c r="T152" s="203"/>
      <c r="U152" s="204"/>
      <c r="V152" s="204"/>
      <c r="W152" s="205"/>
      <c r="X152" s="206"/>
      <c r="Y152" s="203"/>
      <c r="Z152" s="204"/>
      <c r="AA152" s="204"/>
      <c r="AB152" s="205"/>
      <c r="AC152" s="206"/>
      <c r="AD152" s="203"/>
      <c r="AE152" s="204"/>
      <c r="AF152" s="204"/>
      <c r="AG152" s="205"/>
      <c r="AH152" s="206"/>
      <c r="AI152" s="203"/>
      <c r="AJ152" s="204"/>
      <c r="AK152" s="204"/>
      <c r="AL152" s="205"/>
      <c r="AM152" s="206"/>
      <c r="AN152" s="203"/>
      <c r="AO152" s="204"/>
      <c r="AP152" s="204"/>
      <c r="AQ152" s="205"/>
      <c r="AR152" s="206"/>
      <c r="AS152" s="203"/>
      <c r="AT152" s="204"/>
      <c r="AU152" s="204"/>
      <c r="AV152" s="205"/>
      <c r="AW152" s="206"/>
      <c r="AX152" s="203"/>
      <c r="AY152" s="204"/>
      <c r="AZ152" s="204"/>
      <c r="BA152" s="205"/>
      <c r="BB152" s="206"/>
      <c r="BC152" s="203"/>
      <c r="BD152" s="204"/>
      <c r="BE152" s="204"/>
      <c r="BF152" s="205"/>
      <c r="BG152" s="206"/>
      <c r="BH152" s="203"/>
      <c r="BI152" s="204"/>
      <c r="BJ152" s="204"/>
      <c r="BK152" s="205"/>
      <c r="BL152" s="206"/>
      <c r="BM152" s="203"/>
      <c r="BN152" s="204"/>
      <c r="BO152" s="204"/>
      <c r="BP152" s="205"/>
      <c r="BQ152" s="206"/>
      <c r="BR152" s="20"/>
      <c r="BS152" s="20"/>
      <c r="BT152" s="20"/>
      <c r="BU152" s="20"/>
      <c r="BV152" s="20"/>
      <c r="BW152" s="20"/>
      <c r="BX152" s="20"/>
      <c r="BY152" s="20"/>
      <c r="BZ152" s="20"/>
      <c r="CA152" s="20"/>
      <c r="CB152" s="20"/>
      <c r="CC152" s="20"/>
      <c r="CD152" s="20"/>
      <c r="CE152" s="20"/>
      <c r="CF152" s="20"/>
      <c r="CG152" s="20"/>
      <c r="CH152" s="20"/>
      <c r="CI152" s="20"/>
      <c r="CJ152" s="20"/>
      <c r="CK152" s="20"/>
      <c r="CL152" s="20"/>
      <c r="CM152" s="20"/>
      <c r="CN152" s="20"/>
      <c r="CO152" s="20"/>
      <c r="CP152" s="20"/>
      <c r="CQ152" s="20"/>
      <c r="CR152" s="20"/>
      <c r="CS152" s="20"/>
      <c r="CT152" s="20"/>
      <c r="CU152" s="20"/>
      <c r="CV152" s="20"/>
      <c r="CW152" s="20"/>
      <c r="CX152" s="20"/>
      <c r="CY152" s="20"/>
      <c r="CZ152" s="20"/>
    </row>
    <row r="153" spans="1:104" x14ac:dyDescent="0.2">
      <c r="A153" s="20"/>
      <c r="B153" s="16" t="s">
        <v>288</v>
      </c>
      <c r="C153" s="16"/>
      <c r="D153" s="17"/>
      <c r="E153" s="203"/>
      <c r="F153" s="204"/>
      <c r="G153" s="204"/>
      <c r="H153" s="205"/>
      <c r="I153" s="206"/>
      <c r="J153" s="203"/>
      <c r="K153" s="204"/>
      <c r="L153" s="204"/>
      <c r="M153" s="205"/>
      <c r="N153" s="206"/>
      <c r="O153" s="203"/>
      <c r="P153" s="204"/>
      <c r="Q153" s="204"/>
      <c r="R153" s="205"/>
      <c r="S153" s="206"/>
      <c r="T153" s="203"/>
      <c r="U153" s="204"/>
      <c r="V153" s="204"/>
      <c r="W153" s="205"/>
      <c r="X153" s="206"/>
      <c r="Y153" s="203"/>
      <c r="Z153" s="204"/>
      <c r="AA153" s="204"/>
      <c r="AB153" s="205"/>
      <c r="AC153" s="206"/>
      <c r="AD153" s="203"/>
      <c r="AE153" s="204"/>
      <c r="AF153" s="204"/>
      <c r="AG153" s="205"/>
      <c r="AH153" s="206"/>
      <c r="AI153" s="203"/>
      <c r="AJ153" s="204"/>
      <c r="AK153" s="204"/>
      <c r="AL153" s="205"/>
      <c r="AM153" s="206"/>
      <c r="AN153" s="203"/>
      <c r="AO153" s="204"/>
      <c r="AP153" s="204"/>
      <c r="AQ153" s="205"/>
      <c r="AR153" s="206"/>
      <c r="AS153" s="203"/>
      <c r="AT153" s="204"/>
      <c r="AU153" s="204"/>
      <c r="AV153" s="205"/>
      <c r="AW153" s="206"/>
      <c r="AX153" s="203"/>
      <c r="AY153" s="204"/>
      <c r="AZ153" s="204"/>
      <c r="BA153" s="205"/>
      <c r="BB153" s="206"/>
      <c r="BC153" s="203"/>
      <c r="BD153" s="204"/>
      <c r="BE153" s="204"/>
      <c r="BF153" s="205"/>
      <c r="BG153" s="206"/>
      <c r="BH153" s="203"/>
      <c r="BI153" s="204"/>
      <c r="BJ153" s="204"/>
      <c r="BK153" s="205"/>
      <c r="BL153" s="206"/>
      <c r="BM153" s="203"/>
      <c r="BN153" s="204"/>
      <c r="BO153" s="204"/>
      <c r="BP153" s="205"/>
      <c r="BQ153" s="206"/>
      <c r="BR153" s="20"/>
      <c r="BS153" s="20"/>
      <c r="BT153" s="20"/>
      <c r="BU153" s="20"/>
      <c r="BV153" s="20"/>
      <c r="BW153" s="20"/>
      <c r="BX153" s="20"/>
      <c r="BY153" s="20"/>
      <c r="BZ153" s="20"/>
      <c r="CA153" s="20"/>
      <c r="CB153" s="20"/>
      <c r="CC153" s="20"/>
      <c r="CD153" s="20"/>
      <c r="CE153" s="20"/>
      <c r="CF153" s="20"/>
      <c r="CG153" s="20"/>
      <c r="CH153" s="20"/>
      <c r="CI153" s="20"/>
      <c r="CJ153" s="20"/>
      <c r="CK153" s="20"/>
      <c r="CL153" s="20"/>
      <c r="CM153" s="20"/>
      <c r="CN153" s="20"/>
      <c r="CO153" s="20"/>
      <c r="CP153" s="20"/>
      <c r="CQ153" s="20"/>
      <c r="CR153" s="20"/>
      <c r="CS153" s="20"/>
      <c r="CT153" s="20"/>
      <c r="CU153" s="20"/>
      <c r="CV153" s="20"/>
      <c r="CW153" s="20"/>
      <c r="CX153" s="20"/>
      <c r="CY153" s="20"/>
      <c r="CZ153" s="20"/>
    </row>
    <row r="154" spans="1:104" x14ac:dyDescent="0.2">
      <c r="A154" s="20"/>
      <c r="B154" s="20"/>
      <c r="C154" s="20"/>
      <c r="D154" s="20"/>
      <c r="E154" s="203"/>
      <c r="F154" s="204"/>
      <c r="G154" s="204"/>
      <c r="H154" s="205"/>
      <c r="I154" s="206"/>
      <c r="J154" s="203"/>
      <c r="K154" s="204"/>
      <c r="L154" s="204"/>
      <c r="M154" s="205"/>
      <c r="N154" s="206"/>
      <c r="O154" s="203"/>
      <c r="P154" s="204"/>
      <c r="Q154" s="204"/>
      <c r="R154" s="205"/>
      <c r="S154" s="206"/>
      <c r="T154" s="203"/>
      <c r="U154" s="204"/>
      <c r="V154" s="204"/>
      <c r="W154" s="205"/>
      <c r="X154" s="206"/>
      <c r="Y154" s="203"/>
      <c r="Z154" s="204"/>
      <c r="AA154" s="204"/>
      <c r="AB154" s="205"/>
      <c r="AC154" s="206"/>
      <c r="AD154" s="203"/>
      <c r="AE154" s="204"/>
      <c r="AF154" s="204"/>
      <c r="AG154" s="205"/>
      <c r="AH154" s="206"/>
      <c r="AI154" s="203"/>
      <c r="AJ154" s="204"/>
      <c r="AK154" s="204"/>
      <c r="AL154" s="205"/>
      <c r="AM154" s="206"/>
      <c r="AN154" s="203"/>
      <c r="AO154" s="204"/>
      <c r="AP154" s="204"/>
      <c r="AQ154" s="205"/>
      <c r="AR154" s="206"/>
      <c r="AS154" s="203"/>
      <c r="AT154" s="204"/>
      <c r="AU154" s="204"/>
      <c r="AV154" s="205"/>
      <c r="AW154" s="206"/>
      <c r="AX154" s="203"/>
      <c r="AY154" s="204"/>
      <c r="AZ154" s="204"/>
      <c r="BA154" s="205"/>
      <c r="BB154" s="206"/>
      <c r="BC154" s="203"/>
      <c r="BD154" s="204"/>
      <c r="BE154" s="204"/>
      <c r="BF154" s="205"/>
      <c r="BG154" s="206"/>
      <c r="BH154" s="203"/>
      <c r="BI154" s="204"/>
      <c r="BJ154" s="204"/>
      <c r="BK154" s="205"/>
      <c r="BL154" s="206"/>
      <c r="BM154" s="203"/>
      <c r="BN154" s="204"/>
      <c r="BO154" s="204"/>
      <c r="BP154" s="205"/>
      <c r="BQ154" s="206"/>
      <c r="BR154" s="20"/>
      <c r="BS154" s="20"/>
      <c r="BT154" s="20"/>
      <c r="BU154" s="20"/>
      <c r="BV154" s="20"/>
      <c r="BW154" s="20"/>
      <c r="BX154" s="20"/>
      <c r="BY154" s="20"/>
      <c r="BZ154" s="20"/>
      <c r="CA154" s="20"/>
      <c r="CB154" s="20"/>
      <c r="CC154" s="20"/>
      <c r="CD154" s="20"/>
      <c r="CE154" s="20"/>
      <c r="CF154" s="20"/>
      <c r="CG154" s="20"/>
      <c r="CH154" s="20"/>
      <c r="CI154" s="20"/>
      <c r="CJ154" s="20"/>
      <c r="CK154" s="20"/>
      <c r="CL154" s="20"/>
      <c r="CM154" s="20"/>
      <c r="CN154" s="20"/>
      <c r="CO154" s="20"/>
      <c r="CP154" s="20"/>
      <c r="CQ154" s="20"/>
      <c r="CR154" s="20"/>
      <c r="CS154" s="20"/>
      <c r="CT154" s="20"/>
      <c r="CU154" s="20"/>
      <c r="CV154" s="20"/>
      <c r="CW154" s="20"/>
      <c r="CX154" s="20"/>
      <c r="CY154" s="20"/>
      <c r="CZ154" s="20"/>
    </row>
    <row r="155" spans="1:104" x14ac:dyDescent="0.2">
      <c r="A155" s="85"/>
      <c r="B155" s="85"/>
      <c r="C155" s="289" t="s">
        <v>289</v>
      </c>
      <c r="D155" s="86"/>
      <c r="E155" s="114">
        <f>7147.324+1929.145+753.69</f>
        <v>9830.1589999999997</v>
      </c>
      <c r="F155" s="115">
        <f>7512.833+1947.299+723.058</f>
        <v>10183.189999999999</v>
      </c>
      <c r="G155" s="115">
        <f>7579.549+2098.816+741.783</f>
        <v>10420.147999999999</v>
      </c>
      <c r="H155" s="116">
        <f>I155</f>
        <v>10362</v>
      </c>
      <c r="I155" s="117">
        <v>10362</v>
      </c>
      <c r="J155" s="114">
        <f>7682.043+2160.775+738.626</f>
        <v>10581.444</v>
      </c>
      <c r="K155" s="115">
        <f>8570.102+2183.64+766.657</f>
        <v>11520.398999999999</v>
      </c>
      <c r="L155" s="115">
        <f>8619.286+2204.406+739.942</f>
        <v>11563.633999999998</v>
      </c>
      <c r="M155" s="116">
        <f>N155</f>
        <v>12280.979999999998</v>
      </c>
      <c r="N155" s="117">
        <f>9003.103+2284.212+757.059+236.606</f>
        <v>12280.979999999998</v>
      </c>
      <c r="O155" s="114">
        <f>9065.46+2300.768+759.06+220.939</f>
        <v>12346.226999999999</v>
      </c>
      <c r="P155" s="115">
        <f>9186.932+2329.053+772.351+199.315</f>
        <v>12487.651000000002</v>
      </c>
      <c r="Q155" s="115">
        <f>9336.137+2373.634+756.21+182.487</f>
        <v>12648.467999999999</v>
      </c>
      <c r="R155" s="116">
        <f>S155</f>
        <v>12840.405999999999</v>
      </c>
      <c r="S155" s="117">
        <f>9469.434+2456.275+763.513+151.184</f>
        <v>12840.405999999999</v>
      </c>
      <c r="T155" s="114">
        <f>9497.757+2476.727+752.389+115.401</f>
        <v>12842.273999999999</v>
      </c>
      <c r="U155" s="115">
        <f>9654.745+2507.178+736.774+112.823</f>
        <v>13011.52</v>
      </c>
      <c r="V155" s="115">
        <f>9741.933+2535.274+748.553+105.573</f>
        <v>13131.333000000001</v>
      </c>
      <c r="W155" s="116">
        <f>X155</f>
        <v>13279.999</v>
      </c>
      <c r="X155" s="117">
        <f>9782.163+2583.394+761.712+152.73</f>
        <v>13279.999</v>
      </c>
      <c r="Y155" s="114">
        <f>9853.17+2612.393+763.607+141.038</f>
        <v>13370.208000000001</v>
      </c>
      <c r="Z155" s="115">
        <f>9990.142+2638.057+753.157+115.466</f>
        <v>13496.822</v>
      </c>
      <c r="AA155" s="115">
        <f>10045.683+2662.749+749.437+115.753</f>
        <v>13573.622000000001</v>
      </c>
      <c r="AB155" s="116">
        <f>AC155</f>
        <v>13798.856</v>
      </c>
      <c r="AC155" s="117">
        <f>10177.056+2757.605+762.916+101.279</f>
        <v>13798.856</v>
      </c>
      <c r="AD155" s="114">
        <f>10243.897+2819.984+762.75+92.05</f>
        <v>13918.681</v>
      </c>
      <c r="AE155" s="115">
        <f>10356.644+2866.667+751.236+85.808</f>
        <v>14060.355000000001</v>
      </c>
      <c r="AF155" s="115">
        <f>10737.756+2930.43+764.71+77.922</f>
        <v>14510.818000000001</v>
      </c>
      <c r="AG155" s="116">
        <f>AH155</f>
        <v>15037.351000000001</v>
      </c>
      <c r="AH155" s="117">
        <f>10927.867+3210.242+827.708+71.534</f>
        <v>15037.351000000001</v>
      </c>
      <c r="AI155" s="114">
        <f>10987.784+3248.795+828.284+64.13</f>
        <v>15128.992999999999</v>
      </c>
      <c r="AJ155" s="115">
        <f>11057.787+3273.406+833.399+55.397</f>
        <v>15219.989</v>
      </c>
      <c r="AK155" s="115">
        <f>11689.76+3341.157+823.239+42.336</f>
        <v>15896.492</v>
      </c>
      <c r="AL155" s="116">
        <f>AM155</f>
        <v>16177.464</v>
      </c>
      <c r="AM155" s="117">
        <f>11856.126+3420.249+862.84+38.249</f>
        <v>16177.464</v>
      </c>
      <c r="AN155" s="114">
        <f>11888.887+3490.099+863.165+34.607</f>
        <v>16276.758000000002</v>
      </c>
      <c r="AO155" s="115">
        <f>12034.343+3521.245+870.53+29.853</f>
        <v>16455.970999999998</v>
      </c>
      <c r="AP155" s="115">
        <f>12136.597+3590.746+867.34</f>
        <v>16594.683000000001</v>
      </c>
      <c r="AQ155" s="116">
        <f>AR155</f>
        <v>16967.002</v>
      </c>
      <c r="AR155" s="117">
        <f>12304.436+3710.772+919.955+31.839</f>
        <v>16967.002</v>
      </c>
      <c r="AS155" s="114">
        <f>12363.931+3748.344+937.353+22.202</f>
        <v>17071.830000000002</v>
      </c>
      <c r="AT155" s="115">
        <f>12455.436+3826.695+930.588+17.82</f>
        <v>17230.539000000001</v>
      </c>
      <c r="AU155" s="115">
        <f>12542.171+3904.223+943.117+11.412</f>
        <v>17400.922999999999</v>
      </c>
      <c r="AV155" s="116">
        <f>AW155</f>
        <v>17762.949000000001</v>
      </c>
      <c r="AW155" s="117">
        <f>12627.592+4102.075+1022.333+10.949</f>
        <v>17762.949000000001</v>
      </c>
      <c r="AX155" s="136">
        <f>AW155+AX172-(AX159-AW159)</f>
        <v>17930.639746193832</v>
      </c>
      <c r="AY155" s="135">
        <f>AX155+AY172-(AY159-AX159)</f>
        <v>18218.139746193832</v>
      </c>
      <c r="AZ155" s="135">
        <f>AY155+AZ172-(AZ159-AY159)</f>
        <v>18505.639746193832</v>
      </c>
      <c r="BA155" s="116">
        <f>AZ155+BA172-(BA159-AZ159)</f>
        <v>18793.139746193832</v>
      </c>
      <c r="BB155" s="82">
        <f>BA155</f>
        <v>18793.139746193832</v>
      </c>
      <c r="BC155" s="136">
        <f>BB155+BC172-(BC159-BB159)</f>
        <v>19481.177788556186</v>
      </c>
      <c r="BD155" s="135">
        <f>BC155+BD172-(BD159-BC159)</f>
        <v>19736.177788556186</v>
      </c>
      <c r="BE155" s="135">
        <f>BD155+BE172-(BE159-BD159)</f>
        <v>19991.177788556186</v>
      </c>
      <c r="BF155" s="116">
        <f>BE155+BF172-(BF159-BE159)</f>
        <v>20246.177788556186</v>
      </c>
      <c r="BG155" s="82">
        <f>BF155</f>
        <v>20246.177788556186</v>
      </c>
      <c r="BH155" s="136">
        <f>BG155+BH172-(BH159-BG159)</f>
        <v>20531.793126596447</v>
      </c>
      <c r="BI155" s="135">
        <f>BH155+BI172-(BI159-BH159)</f>
        <v>20769.293126596447</v>
      </c>
      <c r="BJ155" s="135">
        <f>BI155+BJ172-(BJ159-BI159)</f>
        <v>21006.793126596447</v>
      </c>
      <c r="BK155" s="116">
        <f>BJ155+BK172-(BK159-BJ159)</f>
        <v>21244.293126596447</v>
      </c>
      <c r="BL155" s="82">
        <f>BK155</f>
        <v>21244.293126596447</v>
      </c>
      <c r="BM155" s="136">
        <f>BL155+BM172-(BM159-BL159)</f>
        <v>21394.320732195698</v>
      </c>
      <c r="BN155" s="135">
        <f>BM155+BN172-(BN159-BM159)</f>
        <v>21681.820732195698</v>
      </c>
      <c r="BO155" s="135">
        <f>BN155+BO172-(BO159-BN159)</f>
        <v>21969.320732195698</v>
      </c>
      <c r="BP155" s="116">
        <f>BO155+BP172-(BP159-BO159)</f>
        <v>22256.820732195698</v>
      </c>
      <c r="BQ155" s="82">
        <f>BP155</f>
        <v>22256.820732195698</v>
      </c>
      <c r="BR155" s="220"/>
      <c r="BS155" s="220"/>
      <c r="BT155" s="220"/>
      <c r="BU155" s="220"/>
      <c r="BV155" s="220"/>
      <c r="BW155" s="220"/>
      <c r="BX155" s="220"/>
      <c r="BY155" s="220"/>
      <c r="BZ155" s="220"/>
      <c r="CA155" s="220"/>
      <c r="CB155" s="220"/>
      <c r="CC155" s="220"/>
      <c r="CD155" s="220"/>
      <c r="CE155" s="220"/>
      <c r="CF155" s="220"/>
      <c r="CG155" s="220"/>
      <c r="CH155" s="220"/>
      <c r="CI155" s="220"/>
      <c r="CJ155" s="220"/>
      <c r="CK155" s="220"/>
      <c r="CL155" s="220"/>
      <c r="CM155" s="220"/>
      <c r="CN155" s="220"/>
      <c r="CO155" s="220"/>
      <c r="CP155" s="220"/>
      <c r="CQ155" s="220"/>
      <c r="CR155" s="220"/>
      <c r="CS155" s="220"/>
      <c r="CT155" s="220"/>
      <c r="CU155" s="220"/>
      <c r="CV155" s="220"/>
      <c r="CW155" s="220"/>
      <c r="CX155" s="220"/>
      <c r="CY155" s="220"/>
      <c r="CZ155" s="220"/>
    </row>
    <row r="156" spans="1:104" x14ac:dyDescent="0.2">
      <c r="A156" s="220"/>
      <c r="B156" s="220"/>
      <c r="C156" s="289" t="s">
        <v>203</v>
      </c>
      <c r="D156" s="82"/>
      <c r="E156" s="114">
        <v>3302.0039999999999</v>
      </c>
      <c r="F156" s="115">
        <v>3356.2640000000001</v>
      </c>
      <c r="G156" s="115">
        <v>3403.7979999999998</v>
      </c>
      <c r="H156" s="119">
        <f>I156</f>
        <v>3295.2820000000002</v>
      </c>
      <c r="I156" s="117">
        <v>3295.2820000000002</v>
      </c>
      <c r="J156" s="114">
        <v>3483.5030000000002</v>
      </c>
      <c r="K156" s="115">
        <v>3547.0169999999998</v>
      </c>
      <c r="L156" s="115">
        <v>3575.0880000000002</v>
      </c>
      <c r="M156" s="119">
        <f>N156</f>
        <v>3312.06</v>
      </c>
      <c r="N156" s="117">
        <v>3312.06</v>
      </c>
      <c r="O156" s="114">
        <v>3370.2809999999999</v>
      </c>
      <c r="P156" s="115">
        <v>3442.7649999999999</v>
      </c>
      <c r="Q156" s="115">
        <v>3507.83</v>
      </c>
      <c r="R156" s="119">
        <f>S156</f>
        <v>3606.93</v>
      </c>
      <c r="S156" s="117">
        <v>3606.93</v>
      </c>
      <c r="T156" s="114">
        <v>3621.444</v>
      </c>
      <c r="U156" s="115">
        <v>3720.4580000000001</v>
      </c>
      <c r="V156" s="115">
        <v>3776.9879999999998</v>
      </c>
      <c r="W156" s="119">
        <f>X156</f>
        <v>3755.2330000000002</v>
      </c>
      <c r="X156" s="117">
        <v>3755.2330000000002</v>
      </c>
      <c r="Y156" s="114">
        <v>3834.2950000000001</v>
      </c>
      <c r="Z156" s="115">
        <v>3895.194</v>
      </c>
      <c r="AA156" s="115">
        <v>3921.8530000000001</v>
      </c>
      <c r="AB156" s="119">
        <f>AC156</f>
        <v>4008.9279999999999</v>
      </c>
      <c r="AC156" s="117">
        <v>4008.9279999999999</v>
      </c>
      <c r="AD156" s="114">
        <v>4073.2849999999999</v>
      </c>
      <c r="AE156" s="115">
        <v>4126.5529999999999</v>
      </c>
      <c r="AF156" s="115">
        <v>4193.3879999999999</v>
      </c>
      <c r="AG156" s="119">
        <f>AH156</f>
        <v>4239.0150000000003</v>
      </c>
      <c r="AH156" s="117">
        <v>4239.0150000000003</v>
      </c>
      <c r="AI156" s="114">
        <v>4306.5540000000001</v>
      </c>
      <c r="AJ156" s="115">
        <v>4364.0010000000002</v>
      </c>
      <c r="AK156" s="115">
        <v>4416.3230000000003</v>
      </c>
      <c r="AL156" s="119">
        <f>AM156</f>
        <v>4414.2160000000003</v>
      </c>
      <c r="AM156" s="117">
        <v>4414.2160000000003</v>
      </c>
      <c r="AN156" s="114">
        <v>4459.5910000000003</v>
      </c>
      <c r="AO156" s="115">
        <v>4525.1469999999999</v>
      </c>
      <c r="AP156" s="115">
        <v>4562.9709999999995</v>
      </c>
      <c r="AQ156" s="119">
        <f>AR156</f>
        <v>4601.5429999999997</v>
      </c>
      <c r="AR156" s="117">
        <v>4601.5429999999997</v>
      </c>
      <c r="AS156" s="114">
        <v>4642.2579999999998</v>
      </c>
      <c r="AT156" s="115">
        <v>4623.3940000000002</v>
      </c>
      <c r="AU156" s="115">
        <v>4724.8339999999998</v>
      </c>
      <c r="AV156" s="119">
        <f>AW156</f>
        <v>4751.5360000000001</v>
      </c>
      <c r="AW156" s="117">
        <v>4751.5360000000001</v>
      </c>
      <c r="AX156" s="136">
        <f>+AW156+AX161</f>
        <v>4881.65013</v>
      </c>
      <c r="AY156" s="135">
        <f>+AX156+AY161</f>
        <v>5012.1400261619383</v>
      </c>
      <c r="AZ156" s="135">
        <f>+AY156+AZ161</f>
        <v>5144.2000233622575</v>
      </c>
      <c r="BA156" s="116">
        <f>+AZ156+BA161</f>
        <v>5277.8144205905737</v>
      </c>
      <c r="BB156" s="82">
        <f>+BA156</f>
        <v>5277.8144205905737</v>
      </c>
      <c r="BC156" s="136">
        <f>+BB156+BC161</f>
        <v>5409.5888425152052</v>
      </c>
      <c r="BD156" s="135">
        <f>+BC156+BD161</f>
        <v>5546.786834739105</v>
      </c>
      <c r="BE156" s="135">
        <f>+BD156+BE161</f>
        <v>5685.1333965388212</v>
      </c>
      <c r="BF156" s="116">
        <f>+BE156+BF161</f>
        <v>5824.6173293609909</v>
      </c>
      <c r="BG156" s="82">
        <f>+BF156</f>
        <v>5824.6173293609909</v>
      </c>
      <c r="BH156" s="136">
        <f>+BG156+BH161</f>
        <v>5965.7524449361727</v>
      </c>
      <c r="BI156" s="135">
        <f>+BH156+BI161</f>
        <v>6108.3015013226577</v>
      </c>
      <c r="BJ156" s="135">
        <f>+BI156+BJ161</f>
        <v>6251.7797853359853</v>
      </c>
      <c r="BK156" s="116">
        <f>+BJ156+BK161</f>
        <v>6396.1782031857247</v>
      </c>
      <c r="BL156" s="82">
        <f>+BK156</f>
        <v>6396.1782031857247</v>
      </c>
      <c r="BM156" s="136">
        <f>+BL156+BM161</f>
        <v>6541.150797335471</v>
      </c>
      <c r="BN156" s="135">
        <f>+BM156+BN161</f>
        <v>6686.1727471190516</v>
      </c>
      <c r="BO156" s="135">
        <f>+BN156+BO161</f>
        <v>6832.5858103642277</v>
      </c>
      <c r="BP156" s="116">
        <f>+BO156+BP161</f>
        <v>6980.3764046513907</v>
      </c>
      <c r="BQ156" s="82">
        <f>+BP156</f>
        <v>6980.3764046513907</v>
      </c>
      <c r="BR156" s="220"/>
      <c r="BS156" s="220"/>
      <c r="BT156" s="220"/>
      <c r="BU156" s="220"/>
      <c r="BV156" s="220"/>
      <c r="BW156" s="220"/>
      <c r="BX156" s="220"/>
      <c r="BY156" s="220"/>
      <c r="BZ156" s="220"/>
      <c r="CA156" s="220"/>
      <c r="CB156" s="220"/>
      <c r="CC156" s="220"/>
      <c r="CD156" s="220"/>
      <c r="CE156" s="220"/>
      <c r="CF156" s="220"/>
      <c r="CG156" s="220"/>
      <c r="CH156" s="220"/>
      <c r="CI156" s="220"/>
      <c r="CJ156" s="220"/>
      <c r="CK156" s="220"/>
      <c r="CL156" s="220"/>
      <c r="CM156" s="220"/>
      <c r="CN156" s="220"/>
      <c r="CO156" s="220"/>
      <c r="CP156" s="220"/>
      <c r="CQ156" s="220"/>
      <c r="CR156" s="220"/>
      <c r="CS156" s="220"/>
      <c r="CT156" s="220"/>
      <c r="CU156" s="220"/>
      <c r="CV156" s="220"/>
      <c r="CW156" s="220"/>
      <c r="CX156" s="220"/>
      <c r="CY156" s="220"/>
      <c r="CZ156" s="220"/>
    </row>
    <row r="157" spans="1:104" x14ac:dyDescent="0.2">
      <c r="A157" s="220"/>
      <c r="B157" s="220"/>
      <c r="C157" s="336" t="s">
        <v>206</v>
      </c>
      <c r="D157" s="82"/>
      <c r="E157" s="121">
        <f t="shared" ref="E157:T157" si="346">E155-E156</f>
        <v>6528.1549999999997</v>
      </c>
      <c r="F157" s="122">
        <f t="shared" si="346"/>
        <v>6826.9259999999986</v>
      </c>
      <c r="G157" s="122">
        <f t="shared" si="346"/>
        <v>7016.3499999999995</v>
      </c>
      <c r="H157" s="123">
        <f t="shared" si="346"/>
        <v>7066.7179999999998</v>
      </c>
      <c r="I157" s="86">
        <f t="shared" si="346"/>
        <v>7066.7179999999998</v>
      </c>
      <c r="J157" s="121">
        <f t="shared" si="346"/>
        <v>7097.9409999999989</v>
      </c>
      <c r="K157" s="122">
        <f t="shared" si="346"/>
        <v>7973.3819999999996</v>
      </c>
      <c r="L157" s="122">
        <f t="shared" si="346"/>
        <v>7988.5459999999985</v>
      </c>
      <c r="M157" s="123">
        <f t="shared" si="346"/>
        <v>8968.9199999999983</v>
      </c>
      <c r="N157" s="86">
        <f t="shared" si="346"/>
        <v>8968.9199999999983</v>
      </c>
      <c r="O157" s="121">
        <f t="shared" si="346"/>
        <v>8975.9459999999999</v>
      </c>
      <c r="P157" s="122">
        <f t="shared" si="346"/>
        <v>9044.8860000000022</v>
      </c>
      <c r="Q157" s="122">
        <f>Q155-Q156</f>
        <v>9140.637999999999</v>
      </c>
      <c r="R157" s="123">
        <f t="shared" si="346"/>
        <v>9233.4759999999987</v>
      </c>
      <c r="S157" s="86">
        <f>S155-S156</f>
        <v>9233.4759999999987</v>
      </c>
      <c r="T157" s="121">
        <f t="shared" si="346"/>
        <v>9220.83</v>
      </c>
      <c r="U157" s="122">
        <f t="shared" ref="U157:AA157" si="347">U155-U156</f>
        <v>9291.0619999999999</v>
      </c>
      <c r="V157" s="122">
        <f t="shared" si="347"/>
        <v>9354.3450000000012</v>
      </c>
      <c r="W157" s="123">
        <f t="shared" si="347"/>
        <v>9524.7659999999996</v>
      </c>
      <c r="X157" s="86">
        <f t="shared" si="347"/>
        <v>9524.7659999999996</v>
      </c>
      <c r="Y157" s="121">
        <f t="shared" si="347"/>
        <v>9535.9130000000005</v>
      </c>
      <c r="Z157" s="122">
        <f t="shared" si="347"/>
        <v>9601.6280000000006</v>
      </c>
      <c r="AA157" s="122">
        <f t="shared" si="347"/>
        <v>9651.7690000000002</v>
      </c>
      <c r="AB157" s="123">
        <f t="shared" ref="AB157:AJ157" si="348">AB155-AB156</f>
        <v>9789.9279999999999</v>
      </c>
      <c r="AC157" s="86">
        <f t="shared" si="348"/>
        <v>9789.9279999999999</v>
      </c>
      <c r="AD157" s="121">
        <f t="shared" si="348"/>
        <v>9845.3960000000006</v>
      </c>
      <c r="AE157" s="122">
        <f t="shared" si="348"/>
        <v>9933.8020000000015</v>
      </c>
      <c r="AF157" s="122">
        <f t="shared" si="348"/>
        <v>10317.43</v>
      </c>
      <c r="AG157" s="123">
        <f t="shared" si="348"/>
        <v>10798.335999999999</v>
      </c>
      <c r="AH157" s="86">
        <f t="shared" si="348"/>
        <v>10798.335999999999</v>
      </c>
      <c r="AI157" s="121">
        <f t="shared" si="348"/>
        <v>10822.438999999998</v>
      </c>
      <c r="AJ157" s="122">
        <f t="shared" si="348"/>
        <v>10855.987999999999</v>
      </c>
      <c r="AK157" s="122">
        <f t="shared" ref="AK157:AU157" si="349">AK155-AK156</f>
        <v>11480.169</v>
      </c>
      <c r="AL157" s="123">
        <f t="shared" si="349"/>
        <v>11763.248</v>
      </c>
      <c r="AM157" s="86">
        <f t="shared" si="349"/>
        <v>11763.248</v>
      </c>
      <c r="AN157" s="121">
        <f t="shared" si="349"/>
        <v>11817.167000000001</v>
      </c>
      <c r="AO157" s="122">
        <f t="shared" si="349"/>
        <v>11930.823999999997</v>
      </c>
      <c r="AP157" s="122">
        <f t="shared" si="349"/>
        <v>12031.712000000001</v>
      </c>
      <c r="AQ157" s="123">
        <f t="shared" si="349"/>
        <v>12365.459000000001</v>
      </c>
      <c r="AR157" s="86">
        <f t="shared" si="349"/>
        <v>12365.459000000001</v>
      </c>
      <c r="AS157" s="121">
        <f t="shared" si="349"/>
        <v>12429.572000000002</v>
      </c>
      <c r="AT157" s="122">
        <f t="shared" si="349"/>
        <v>12607.145</v>
      </c>
      <c r="AU157" s="122">
        <f t="shared" si="349"/>
        <v>12676.089</v>
      </c>
      <c r="AV157" s="123">
        <f t="shared" ref="AV157:AW157" si="350">AV155-AV156</f>
        <v>13011.413</v>
      </c>
      <c r="AW157" s="86">
        <f t="shared" si="350"/>
        <v>13011.413</v>
      </c>
      <c r="AX157" s="121">
        <f t="shared" ref="AX157:BG157" si="351">AX155-AX156</f>
        <v>13048.989616193832</v>
      </c>
      <c r="AY157" s="122">
        <f t="shared" si="351"/>
        <v>13205.999720031894</v>
      </c>
      <c r="AZ157" s="122">
        <f t="shared" si="351"/>
        <v>13361.439722831576</v>
      </c>
      <c r="BA157" s="123">
        <f t="shared" si="351"/>
        <v>13515.325325603259</v>
      </c>
      <c r="BB157" s="86">
        <f t="shared" si="351"/>
        <v>13515.325325603259</v>
      </c>
      <c r="BC157" s="121">
        <f t="shared" si="351"/>
        <v>14071.588946040982</v>
      </c>
      <c r="BD157" s="122">
        <f t="shared" si="351"/>
        <v>14189.390953817081</v>
      </c>
      <c r="BE157" s="122">
        <f t="shared" si="351"/>
        <v>14306.044392017364</v>
      </c>
      <c r="BF157" s="123">
        <f t="shared" si="351"/>
        <v>14421.560459195196</v>
      </c>
      <c r="BG157" s="86">
        <f t="shared" si="351"/>
        <v>14421.560459195196</v>
      </c>
      <c r="BH157" s="121">
        <f t="shared" ref="BH157:BQ157" si="352">BH155-BH156</f>
        <v>14566.040681660274</v>
      </c>
      <c r="BI157" s="122">
        <f t="shared" si="352"/>
        <v>14660.991625273789</v>
      </c>
      <c r="BJ157" s="122">
        <f t="shared" si="352"/>
        <v>14755.013341260463</v>
      </c>
      <c r="BK157" s="123">
        <f t="shared" si="352"/>
        <v>14848.114923410722</v>
      </c>
      <c r="BL157" s="86">
        <f t="shared" si="352"/>
        <v>14848.114923410722</v>
      </c>
      <c r="BM157" s="121">
        <f t="shared" si="352"/>
        <v>14853.169934860227</v>
      </c>
      <c r="BN157" s="122">
        <f t="shared" si="352"/>
        <v>14995.647985076646</v>
      </c>
      <c r="BO157" s="122">
        <f t="shared" si="352"/>
        <v>15136.73492183147</v>
      </c>
      <c r="BP157" s="123">
        <f t="shared" si="352"/>
        <v>15276.444327544308</v>
      </c>
      <c r="BQ157" s="86">
        <f t="shared" si="352"/>
        <v>15276.444327544308</v>
      </c>
      <c r="BR157" s="220"/>
      <c r="BS157" s="220"/>
      <c r="BT157" s="220"/>
      <c r="BU157" s="220"/>
      <c r="BV157" s="220"/>
      <c r="BW157" s="220"/>
      <c r="BX157" s="220"/>
      <c r="BY157" s="220"/>
      <c r="BZ157" s="220"/>
      <c r="CA157" s="220"/>
      <c r="CB157" s="220"/>
      <c r="CC157" s="220"/>
      <c r="CD157" s="220"/>
      <c r="CE157" s="220"/>
      <c r="CF157" s="220"/>
      <c r="CG157" s="220"/>
      <c r="CH157" s="220"/>
      <c r="CI157" s="220"/>
      <c r="CJ157" s="220"/>
      <c r="CK157" s="220"/>
      <c r="CL157" s="220"/>
      <c r="CM157" s="220"/>
      <c r="CN157" s="220"/>
      <c r="CO157" s="220"/>
      <c r="CP157" s="220"/>
      <c r="CQ157" s="220"/>
      <c r="CR157" s="220"/>
      <c r="CS157" s="220"/>
      <c r="CT157" s="220"/>
      <c r="CU157" s="220"/>
      <c r="CV157" s="220"/>
      <c r="CW157" s="220"/>
      <c r="CX157" s="220"/>
      <c r="CY157" s="220"/>
      <c r="CZ157" s="220"/>
    </row>
    <row r="158" spans="1:104" x14ac:dyDescent="0.2">
      <c r="A158" s="220"/>
      <c r="B158" s="220"/>
      <c r="C158" s="289"/>
      <c r="D158" s="82"/>
      <c r="E158" s="136"/>
      <c r="F158" s="137"/>
      <c r="G158" s="137"/>
      <c r="H158" s="116"/>
      <c r="I158" s="82"/>
      <c r="J158" s="136"/>
      <c r="K158" s="137"/>
      <c r="L158" s="137"/>
      <c r="M158" s="116"/>
      <c r="N158" s="82"/>
      <c r="O158" s="136"/>
      <c r="P158" s="137"/>
      <c r="Q158" s="137"/>
      <c r="R158" s="116"/>
      <c r="S158" s="82"/>
      <c r="T158" s="136"/>
      <c r="U158" s="137"/>
      <c r="V158" s="137"/>
      <c r="W158" s="116"/>
      <c r="X158" s="82"/>
      <c r="Y158" s="136"/>
      <c r="Z158" s="137"/>
      <c r="AA158" s="137"/>
      <c r="AB158" s="116"/>
      <c r="AC158" s="82"/>
      <c r="AD158" s="136"/>
      <c r="AE158" s="137"/>
      <c r="AF158" s="137"/>
      <c r="AG158" s="116"/>
      <c r="AH158" s="82"/>
      <c r="AI158" s="136"/>
      <c r="AJ158" s="137"/>
      <c r="AK158" s="137"/>
      <c r="AL158" s="116"/>
      <c r="AM158" s="82"/>
      <c r="AN158" s="136"/>
      <c r="AO158" s="137"/>
      <c r="AP158" s="137"/>
      <c r="AQ158" s="116"/>
      <c r="AR158" s="82"/>
      <c r="AS158" s="136"/>
      <c r="AT158" s="137"/>
      <c r="AU158" s="137"/>
      <c r="AV158" s="116"/>
      <c r="AW158" s="82"/>
      <c r="AX158" s="136"/>
      <c r="AY158" s="137"/>
      <c r="AZ158" s="137"/>
      <c r="BA158" s="116"/>
      <c r="BB158" s="220"/>
      <c r="BC158" s="136"/>
      <c r="BD158" s="137"/>
      <c r="BE158" s="137"/>
      <c r="BF158" s="116"/>
      <c r="BG158" s="220"/>
      <c r="BH158" s="136"/>
      <c r="BI158" s="137"/>
      <c r="BJ158" s="137"/>
      <c r="BK158" s="116"/>
      <c r="BL158" s="220"/>
      <c r="BM158" s="136"/>
      <c r="BN158" s="137"/>
      <c r="BO158" s="137"/>
      <c r="BP158" s="116"/>
      <c r="BQ158" s="220"/>
      <c r="BR158" s="220"/>
      <c r="BS158" s="220"/>
      <c r="BT158" s="220"/>
      <c r="BU158" s="220"/>
      <c r="BV158" s="220"/>
      <c r="BW158" s="220"/>
      <c r="BX158" s="220"/>
      <c r="BY158" s="220"/>
      <c r="BZ158" s="220"/>
      <c r="CA158" s="220"/>
      <c r="CB158" s="220"/>
      <c r="CC158" s="220"/>
      <c r="CD158" s="220"/>
      <c r="CE158" s="220"/>
      <c r="CF158" s="220"/>
      <c r="CG158" s="220"/>
      <c r="CH158" s="220"/>
      <c r="CI158" s="220"/>
      <c r="CJ158" s="220"/>
      <c r="CK158" s="220"/>
      <c r="CL158" s="220"/>
      <c r="CM158" s="220"/>
      <c r="CN158" s="220"/>
      <c r="CO158" s="220"/>
      <c r="CP158" s="220"/>
      <c r="CQ158" s="220"/>
      <c r="CR158" s="220"/>
      <c r="CS158" s="220"/>
      <c r="CT158" s="220"/>
      <c r="CU158" s="220"/>
      <c r="CV158" s="220"/>
      <c r="CW158" s="220"/>
      <c r="CX158" s="220"/>
      <c r="CY158" s="220"/>
      <c r="CZ158" s="220"/>
    </row>
    <row r="159" spans="1:104" x14ac:dyDescent="0.2">
      <c r="A159" s="85"/>
      <c r="B159" s="85"/>
      <c r="C159" s="336" t="s">
        <v>205</v>
      </c>
      <c r="D159" s="86"/>
      <c r="E159" s="235">
        <v>1130.9000000000001</v>
      </c>
      <c r="F159" s="236">
        <v>948.76099999999997</v>
      </c>
      <c r="G159" s="236">
        <v>956.67700000000002</v>
      </c>
      <c r="H159" s="123">
        <f>I159</f>
        <v>1038.0129999999999</v>
      </c>
      <c r="I159" s="237">
        <v>1038.0129999999999</v>
      </c>
      <c r="J159" s="235">
        <v>1053.623</v>
      </c>
      <c r="K159" s="236">
        <v>250.89599999999999</v>
      </c>
      <c r="L159" s="236">
        <v>310.029</v>
      </c>
      <c r="M159" s="123">
        <f>N159</f>
        <v>231.636</v>
      </c>
      <c r="N159" s="237">
        <v>231.636</v>
      </c>
      <c r="O159" s="235">
        <v>255.94399999999999</v>
      </c>
      <c r="P159" s="236">
        <v>247.55099999999999</v>
      </c>
      <c r="Q159" s="236">
        <v>265.202</v>
      </c>
      <c r="R159" s="123">
        <f>S159</f>
        <v>242.095</v>
      </c>
      <c r="S159" s="237">
        <v>242.095</v>
      </c>
      <c r="T159" s="235">
        <v>317.95800000000003</v>
      </c>
      <c r="U159" s="236">
        <v>392.34699999999998</v>
      </c>
      <c r="V159" s="236">
        <v>490.56099999999998</v>
      </c>
      <c r="W159" s="123">
        <f>X159</f>
        <v>506.22500000000002</v>
      </c>
      <c r="X159" s="237">
        <v>506.22500000000002</v>
      </c>
      <c r="Y159" s="235">
        <v>616.85799999999995</v>
      </c>
      <c r="Z159" s="236">
        <v>720.00800000000004</v>
      </c>
      <c r="AA159" s="236">
        <v>850.10599999999999</v>
      </c>
      <c r="AB159" s="123">
        <f>AC159</f>
        <v>952.46900000000005</v>
      </c>
      <c r="AC159" s="237">
        <v>952.46900000000005</v>
      </c>
      <c r="AD159" s="235">
        <v>1056.489</v>
      </c>
      <c r="AE159" s="236">
        <v>1191.6759999999999</v>
      </c>
      <c r="AF159" s="236">
        <v>995.93</v>
      </c>
      <c r="AG159" s="123">
        <f>AH159</f>
        <v>828.62</v>
      </c>
      <c r="AH159" s="237">
        <v>828.62</v>
      </c>
      <c r="AI159" s="235">
        <v>873.43700000000001</v>
      </c>
      <c r="AJ159" s="236">
        <v>940.87800000000004</v>
      </c>
      <c r="AK159" s="236">
        <v>486.13299999999998</v>
      </c>
      <c r="AL159" s="123">
        <f>AM159</f>
        <v>408.96300000000002</v>
      </c>
      <c r="AM159" s="237">
        <v>408.96300000000002</v>
      </c>
      <c r="AN159" s="235">
        <v>452.786</v>
      </c>
      <c r="AO159" s="236">
        <v>525.83100000000002</v>
      </c>
      <c r="AP159" s="236">
        <v>559.80799999999999</v>
      </c>
      <c r="AQ159" s="123">
        <f>AR159</f>
        <v>484.34</v>
      </c>
      <c r="AR159" s="237">
        <v>484.34</v>
      </c>
      <c r="AS159" s="235">
        <v>583.846</v>
      </c>
      <c r="AT159" s="236">
        <v>658.74099999999999</v>
      </c>
      <c r="AU159" s="236">
        <v>874.399</v>
      </c>
      <c r="AV159" s="123">
        <f>AW159</f>
        <v>1014.338</v>
      </c>
      <c r="AW159" s="237">
        <v>1014.338</v>
      </c>
      <c r="AX159" s="124">
        <f>AX164*BB172</f>
        <v>1134.1472538061676</v>
      </c>
      <c r="AY159" s="129">
        <f>AY164*BB172</f>
        <v>1134.1472538061676</v>
      </c>
      <c r="AZ159" s="129">
        <f>AZ164*BB172</f>
        <v>1134.1472538061676</v>
      </c>
      <c r="BA159" s="126">
        <f>+BA164*BB172</f>
        <v>1134.1472538061676</v>
      </c>
      <c r="BB159" s="127">
        <f>BA159</f>
        <v>1134.1472538061676</v>
      </c>
      <c r="BC159" s="124">
        <f>BC164*BG172</f>
        <v>701.10921144381268</v>
      </c>
      <c r="BD159" s="129">
        <f>BD164*BG172</f>
        <v>701.10921144381268</v>
      </c>
      <c r="BE159" s="129">
        <f>BE164*BG172</f>
        <v>701.10921144381268</v>
      </c>
      <c r="BF159" s="126">
        <f>+BF164*BG172</f>
        <v>701.10921144381268</v>
      </c>
      <c r="BG159" s="127">
        <f>BF159</f>
        <v>701.10921144381268</v>
      </c>
      <c r="BH159" s="124">
        <f>BH164*BL172</f>
        <v>652.99387340355099</v>
      </c>
      <c r="BI159" s="129">
        <f>BI164*BL172</f>
        <v>652.99387340355099</v>
      </c>
      <c r="BJ159" s="129">
        <f>BJ164*BL172</f>
        <v>652.99387340355099</v>
      </c>
      <c r="BK159" s="126">
        <f>+BK164*BL172</f>
        <v>652.99387340355099</v>
      </c>
      <c r="BL159" s="127">
        <f>BK159</f>
        <v>652.99387340355099</v>
      </c>
      <c r="BM159" s="124">
        <f>BM164*BQ172</f>
        <v>790.46626780429858</v>
      </c>
      <c r="BN159" s="129">
        <f>BN164*BQ172</f>
        <v>790.46626780429858</v>
      </c>
      <c r="BO159" s="129">
        <f>BO164*BQ172</f>
        <v>790.46626780429858</v>
      </c>
      <c r="BP159" s="126">
        <f>+BP164*BQ172</f>
        <v>790.46626780429858</v>
      </c>
      <c r="BQ159" s="127">
        <f>BP159</f>
        <v>790.46626780429858</v>
      </c>
      <c r="BR159" s="220"/>
      <c r="BS159" s="220"/>
      <c r="BT159" s="220"/>
      <c r="BU159" s="220"/>
      <c r="BV159" s="220"/>
      <c r="BW159" s="220"/>
      <c r="BX159" s="220"/>
      <c r="BY159" s="220"/>
      <c r="BZ159" s="220"/>
      <c r="CA159" s="220"/>
      <c r="CB159" s="220"/>
      <c r="CC159" s="220"/>
      <c r="CD159" s="220"/>
      <c r="CE159" s="220"/>
      <c r="CF159" s="220"/>
      <c r="CG159" s="220"/>
      <c r="CH159" s="220"/>
      <c r="CI159" s="220"/>
      <c r="CJ159" s="220"/>
      <c r="CK159" s="220"/>
      <c r="CL159" s="220"/>
      <c r="CM159" s="220"/>
      <c r="CN159" s="220"/>
      <c r="CO159" s="220"/>
      <c r="CP159" s="220"/>
      <c r="CQ159" s="220"/>
      <c r="CR159" s="220"/>
      <c r="CS159" s="220"/>
      <c r="CT159" s="220"/>
      <c r="CU159" s="220"/>
      <c r="CV159" s="220"/>
      <c r="CW159" s="220"/>
      <c r="CX159" s="220"/>
      <c r="CY159" s="220"/>
      <c r="CZ159" s="220"/>
    </row>
    <row r="160" spans="1:104" x14ac:dyDescent="0.2">
      <c r="A160" s="220"/>
      <c r="B160" s="220"/>
      <c r="C160" s="289"/>
      <c r="D160" s="82"/>
      <c r="E160" s="136"/>
      <c r="F160" s="137"/>
      <c r="G160" s="137"/>
      <c r="H160" s="116"/>
      <c r="I160" s="82"/>
      <c r="J160" s="136"/>
      <c r="K160" s="137"/>
      <c r="L160" s="137"/>
      <c r="M160" s="116"/>
      <c r="N160" s="82"/>
      <c r="O160" s="136"/>
      <c r="P160" s="137"/>
      <c r="Q160" s="137"/>
      <c r="R160" s="116"/>
      <c r="S160" s="82"/>
      <c r="T160" s="136"/>
      <c r="U160" s="137"/>
      <c r="V160" s="137"/>
      <c r="W160" s="116"/>
      <c r="X160" s="82"/>
      <c r="Y160" s="136"/>
      <c r="Z160" s="137"/>
      <c r="AA160" s="137"/>
      <c r="AB160" s="116"/>
      <c r="AC160" s="82"/>
      <c r="AD160" s="136"/>
      <c r="AE160" s="137"/>
      <c r="AF160" s="137"/>
      <c r="AG160" s="116"/>
      <c r="AH160" s="82"/>
      <c r="AI160" s="136"/>
      <c r="AJ160" s="137"/>
      <c r="AK160" s="137"/>
      <c r="AL160" s="116"/>
      <c r="AM160" s="82"/>
      <c r="AN160" s="136"/>
      <c r="AO160" s="137"/>
      <c r="AP160" s="137"/>
      <c r="AQ160" s="116"/>
      <c r="AR160" s="82"/>
      <c r="AS160" s="136"/>
      <c r="AT160" s="137"/>
      <c r="AU160" s="137"/>
      <c r="AV160" s="116"/>
      <c r="AW160" s="82"/>
      <c r="AX160" s="136"/>
      <c r="AY160" s="137"/>
      <c r="AZ160" s="137"/>
      <c r="BA160" s="116"/>
      <c r="BB160" s="220"/>
      <c r="BC160" s="136"/>
      <c r="BD160" s="137"/>
      <c r="BE160" s="137"/>
      <c r="BF160" s="116"/>
      <c r="BG160" s="220"/>
      <c r="BH160" s="136"/>
      <c r="BI160" s="137"/>
      <c r="BJ160" s="137"/>
      <c r="BK160" s="116"/>
      <c r="BL160" s="220"/>
      <c r="BM160" s="136"/>
      <c r="BN160" s="137"/>
      <c r="BO160" s="137"/>
      <c r="BP160" s="116"/>
      <c r="BQ160" s="220"/>
      <c r="BR160" s="220"/>
      <c r="BS160" s="220"/>
      <c r="BT160" s="220"/>
      <c r="BU160" s="220"/>
      <c r="BV160" s="220"/>
      <c r="BW160" s="220"/>
      <c r="BX160" s="220"/>
      <c r="BY160" s="220"/>
      <c r="BZ160" s="220"/>
      <c r="CA160" s="220"/>
      <c r="CB160" s="220"/>
      <c r="CC160" s="220"/>
      <c r="CD160" s="220"/>
      <c r="CE160" s="220"/>
      <c r="CF160" s="220"/>
      <c r="CG160" s="220"/>
      <c r="CH160" s="220"/>
      <c r="CI160" s="220"/>
      <c r="CJ160" s="220"/>
      <c r="CK160" s="220"/>
      <c r="CL160" s="220"/>
      <c r="CM160" s="220"/>
      <c r="CN160" s="220"/>
      <c r="CO160" s="220"/>
      <c r="CP160" s="220"/>
      <c r="CQ160" s="220"/>
      <c r="CR160" s="220"/>
      <c r="CS160" s="220"/>
      <c r="CT160" s="220"/>
      <c r="CU160" s="220"/>
      <c r="CV160" s="220"/>
      <c r="CW160" s="220"/>
      <c r="CX160" s="220"/>
      <c r="CY160" s="220"/>
      <c r="CZ160" s="220"/>
    </row>
    <row r="161" spans="1:104" x14ac:dyDescent="0.2">
      <c r="A161" s="85"/>
      <c r="B161" s="85"/>
      <c r="C161" s="336" t="s">
        <v>178</v>
      </c>
      <c r="D161" s="86"/>
      <c r="E161" s="121">
        <f t="shared" ref="E161:Q161" si="353">E199</f>
        <v>64.716999999999999</v>
      </c>
      <c r="F161" s="122">
        <f t="shared" si="353"/>
        <v>63.070000000000007</v>
      </c>
      <c r="G161" s="122">
        <f t="shared" si="353"/>
        <v>65.73399999999998</v>
      </c>
      <c r="H161" s="123">
        <f t="shared" si="353"/>
        <v>67.414000000000016</v>
      </c>
      <c r="I161" s="86">
        <f t="shared" si="353"/>
        <v>260.935</v>
      </c>
      <c r="J161" s="121">
        <f t="shared" si="353"/>
        <v>68.162999999999997</v>
      </c>
      <c r="K161" s="122">
        <f t="shared" si="353"/>
        <v>70.427000000000007</v>
      </c>
      <c r="L161" s="122">
        <f t="shared" si="353"/>
        <v>73.763000000000005</v>
      </c>
      <c r="M161" s="123">
        <f t="shared" si="353"/>
        <v>76.697000000000003</v>
      </c>
      <c r="N161" s="86">
        <f t="shared" si="353"/>
        <v>289.05</v>
      </c>
      <c r="O161" s="121">
        <f t="shared" si="353"/>
        <v>81.284000000000006</v>
      </c>
      <c r="P161" s="122">
        <f t="shared" si="353"/>
        <v>81.60599999999998</v>
      </c>
      <c r="Q161" s="122">
        <f t="shared" si="353"/>
        <v>86.506</v>
      </c>
      <c r="R161" s="123">
        <f>R199</f>
        <v>84.563999999999993</v>
      </c>
      <c r="S161" s="86">
        <f>SUM(O161:R161)</f>
        <v>333.96</v>
      </c>
      <c r="T161" s="121">
        <f>T199</f>
        <v>84.947999999999993</v>
      </c>
      <c r="U161" s="122">
        <f>U199</f>
        <v>81.512000000000015</v>
      </c>
      <c r="V161" s="122">
        <f>V199</f>
        <v>87.304000000000002</v>
      </c>
      <c r="W161" s="123">
        <f>W199</f>
        <v>90.461999999999989</v>
      </c>
      <c r="X161" s="86">
        <f>SUM(T161:W161)</f>
        <v>344.226</v>
      </c>
      <c r="Y161" s="121">
        <f>Y199</f>
        <v>90.808999999999997</v>
      </c>
      <c r="Z161" s="122">
        <f>Z199</f>
        <v>90.413000000000011</v>
      </c>
      <c r="AA161" s="122">
        <f>AA199</f>
        <v>89.927999999999969</v>
      </c>
      <c r="AB161" s="123">
        <f>AB199</f>
        <v>94.563000000000045</v>
      </c>
      <c r="AC161" s="86">
        <f>SUM(Y161:AB161)</f>
        <v>365.71300000000002</v>
      </c>
      <c r="AD161" s="121">
        <f>AD199</f>
        <v>94.653999999999996</v>
      </c>
      <c r="AE161" s="122">
        <f>AE199</f>
        <v>96.257000000000005</v>
      </c>
      <c r="AF161" s="122">
        <f>AF199</f>
        <v>96.230000000000018</v>
      </c>
      <c r="AG161" s="123">
        <f>AG199</f>
        <v>96.850999999999999</v>
      </c>
      <c r="AH161" s="86">
        <f>SUM(AD161:AG161)</f>
        <v>383.99200000000002</v>
      </c>
      <c r="AI161" s="121">
        <f>AI199</f>
        <v>101.172</v>
      </c>
      <c r="AJ161" s="122">
        <f>AJ199</f>
        <v>102.42099999999999</v>
      </c>
      <c r="AK161" s="122">
        <f>AK199</f>
        <v>105.45500000000001</v>
      </c>
      <c r="AL161" s="123">
        <f>AL199</f>
        <v>107.37900000000002</v>
      </c>
      <c r="AM161" s="86">
        <f>SUM(AI161:AL161)</f>
        <v>416.42700000000002</v>
      </c>
      <c r="AN161" s="121">
        <f>AN199</f>
        <v>109.715</v>
      </c>
      <c r="AO161" s="122">
        <f>AO199</f>
        <v>110.31199999999998</v>
      </c>
      <c r="AP161" s="122">
        <f>AP199</f>
        <v>112.35599999999999</v>
      </c>
      <c r="AQ161" s="123">
        <f>AQ199</f>
        <v>113.79599999999999</v>
      </c>
      <c r="AR161" s="86">
        <f>SUM(AN161:AQ161)</f>
        <v>446.17899999999997</v>
      </c>
      <c r="AS161" s="121">
        <f>AS199</f>
        <v>115.803</v>
      </c>
      <c r="AT161" s="122">
        <f>AT199</f>
        <v>118.34</v>
      </c>
      <c r="AU161" s="122">
        <f>AU199</f>
        <v>119.51000000000002</v>
      </c>
      <c r="AV161" s="123">
        <f>AV199</f>
        <v>121.93899999999996</v>
      </c>
      <c r="AW161" s="86">
        <f>SUM(AS161:AV161)</f>
        <v>475.59199999999998</v>
      </c>
      <c r="AX161" s="121">
        <f>(AX163*AW157)/4</f>
        <v>130.11413000000002</v>
      </c>
      <c r="AY161" s="122">
        <f>(AY163*AX157)/4</f>
        <v>130.48989616193833</v>
      </c>
      <c r="AZ161" s="122">
        <f>(AZ163*AY157)/4</f>
        <v>132.05999720031895</v>
      </c>
      <c r="BA161" s="123">
        <f>(BA163*AZ157)/4</f>
        <v>133.61439722831577</v>
      </c>
      <c r="BB161" s="85">
        <f>SUM(AX161:BA161)</f>
        <v>526.27842059057309</v>
      </c>
      <c r="BC161" s="121">
        <f>(BC163*BB157)/4</f>
        <v>131.77442192463178</v>
      </c>
      <c r="BD161" s="122">
        <f>(BD163*BC157)/4</f>
        <v>137.19799222389958</v>
      </c>
      <c r="BE161" s="122">
        <f>(BE163*BD157)/4</f>
        <v>138.34656179971654</v>
      </c>
      <c r="BF161" s="123">
        <f>(BF163*BE157)/4</f>
        <v>139.48393282216929</v>
      </c>
      <c r="BG161" s="85">
        <f>SUM(BC161:BF161)</f>
        <v>546.80290877041716</v>
      </c>
      <c r="BH161" s="121">
        <f>(BH163*BG157)/4</f>
        <v>141.1351155751818</v>
      </c>
      <c r="BI161" s="122">
        <f>(BI163*BH157)/4</f>
        <v>142.54905638648526</v>
      </c>
      <c r="BJ161" s="122">
        <f>(BJ163*BI157)/4</f>
        <v>143.47828401332794</v>
      </c>
      <c r="BK161" s="123">
        <f>(BK163*BJ157)/4</f>
        <v>144.39841784973919</v>
      </c>
      <c r="BL161" s="85">
        <f>SUM(BH161:BK161)</f>
        <v>571.56087382473424</v>
      </c>
      <c r="BM161" s="121">
        <f>(BM163*BL157)/4</f>
        <v>144.97259414974653</v>
      </c>
      <c r="BN161" s="122">
        <f>(BN163*BM157)/4</f>
        <v>145.02194978358096</v>
      </c>
      <c r="BO161" s="122">
        <f>(BO163*BN157)/4</f>
        <v>146.41306324517637</v>
      </c>
      <c r="BP161" s="123">
        <f>(BP163*BO157)/4</f>
        <v>147.79059428716332</v>
      </c>
      <c r="BQ161" s="85">
        <f>SUM(BM161:BP161)</f>
        <v>584.19820146566713</v>
      </c>
      <c r="BR161" s="85"/>
      <c r="BS161" s="85"/>
      <c r="BT161" s="85"/>
      <c r="BU161" s="85"/>
      <c r="BV161" s="85"/>
      <c r="BW161" s="85"/>
      <c r="BX161" s="85"/>
      <c r="BY161" s="85"/>
      <c r="BZ161" s="85"/>
      <c r="CA161" s="85"/>
      <c r="CB161" s="85"/>
      <c r="CC161" s="85"/>
      <c r="CD161" s="85"/>
      <c r="CE161" s="85"/>
      <c r="CF161" s="85"/>
      <c r="CG161" s="85"/>
      <c r="CH161" s="85"/>
      <c r="CI161" s="85"/>
      <c r="CJ161" s="85"/>
      <c r="CK161" s="85"/>
      <c r="CL161" s="85"/>
      <c r="CM161" s="85"/>
      <c r="CN161" s="85"/>
      <c r="CO161" s="85"/>
      <c r="CP161" s="85"/>
      <c r="CQ161" s="85"/>
      <c r="CR161" s="85"/>
      <c r="CS161" s="85"/>
      <c r="CT161" s="85"/>
      <c r="CU161" s="85"/>
      <c r="CV161" s="85"/>
      <c r="CW161" s="85"/>
      <c r="CX161" s="85"/>
      <c r="CY161" s="85"/>
      <c r="CZ161" s="85"/>
    </row>
    <row r="162" spans="1:104" x14ac:dyDescent="0.2">
      <c r="A162" s="220"/>
      <c r="B162" s="220"/>
      <c r="C162" s="289"/>
      <c r="D162" s="82"/>
      <c r="E162" s="136"/>
      <c r="F162" s="137"/>
      <c r="G162" s="137"/>
      <c r="H162" s="116"/>
      <c r="I162" s="82"/>
      <c r="J162" s="136"/>
      <c r="K162" s="137"/>
      <c r="L162" s="137"/>
      <c r="M162" s="116"/>
      <c r="N162" s="82"/>
      <c r="O162" s="136"/>
      <c r="P162" s="137"/>
      <c r="Q162" s="137"/>
      <c r="R162" s="116"/>
      <c r="S162" s="82"/>
      <c r="T162" s="136"/>
      <c r="U162" s="137"/>
      <c r="V162" s="137"/>
      <c r="W162" s="116"/>
      <c r="X162" s="82"/>
      <c r="Y162" s="136"/>
      <c r="Z162" s="137"/>
      <c r="AA162" s="137"/>
      <c r="AB162" s="116"/>
      <c r="AC162" s="82"/>
      <c r="AD162" s="136"/>
      <c r="AE162" s="137"/>
      <c r="AF162" s="137"/>
      <c r="AG162" s="116"/>
      <c r="AH162" s="82"/>
      <c r="AI162" s="136"/>
      <c r="AJ162" s="137"/>
      <c r="AK162" s="137"/>
      <c r="AL162" s="116"/>
      <c r="AM162" s="82"/>
      <c r="AN162" s="136"/>
      <c r="AO162" s="137"/>
      <c r="AP162" s="137"/>
      <c r="AQ162" s="116"/>
      <c r="AR162" s="82"/>
      <c r="AS162" s="136"/>
      <c r="AT162" s="137"/>
      <c r="AU162" s="137"/>
      <c r="AV162" s="116"/>
      <c r="AW162" s="82"/>
      <c r="AX162" s="136"/>
      <c r="AY162" s="137"/>
      <c r="AZ162" s="137"/>
      <c r="BA162" s="116"/>
      <c r="BB162" s="220"/>
      <c r="BC162" s="136"/>
      <c r="BD162" s="137"/>
      <c r="BE162" s="137"/>
      <c r="BF162" s="116"/>
      <c r="BG162" s="220"/>
      <c r="BH162" s="136"/>
      <c r="BI162" s="137"/>
      <c r="BJ162" s="137"/>
      <c r="BK162" s="116"/>
      <c r="BL162" s="220"/>
      <c r="BM162" s="136"/>
      <c r="BN162" s="137"/>
      <c r="BO162" s="137"/>
      <c r="BP162" s="116"/>
      <c r="BQ162" s="220"/>
      <c r="BR162" s="220"/>
      <c r="BS162" s="220"/>
      <c r="BT162" s="220"/>
      <c r="BU162" s="220"/>
      <c r="BV162" s="220"/>
      <c r="BW162" s="220"/>
      <c r="BX162" s="220"/>
      <c r="BY162" s="220"/>
      <c r="BZ162" s="924"/>
      <c r="CA162" s="220"/>
      <c r="CB162" s="220"/>
      <c r="CC162" s="220"/>
      <c r="CD162" s="220"/>
      <c r="CE162" s="220"/>
      <c r="CF162" s="220"/>
      <c r="CG162" s="220"/>
      <c r="CH162" s="220"/>
      <c r="CI162" s="220"/>
      <c r="CJ162" s="220"/>
      <c r="CK162" s="220"/>
      <c r="CL162" s="220"/>
      <c r="CM162" s="220"/>
      <c r="CN162" s="220"/>
      <c r="CO162" s="220"/>
      <c r="CP162" s="220"/>
      <c r="CQ162" s="220"/>
      <c r="CR162" s="220"/>
      <c r="CS162" s="220"/>
      <c r="CT162" s="220"/>
      <c r="CU162" s="220"/>
      <c r="CV162" s="220"/>
      <c r="CW162" s="220"/>
      <c r="CX162" s="220"/>
      <c r="CY162" s="220"/>
      <c r="CZ162" s="220"/>
    </row>
    <row r="163" spans="1:104" x14ac:dyDescent="0.2">
      <c r="A163" s="20"/>
      <c r="B163" s="20"/>
      <c r="C163" s="289" t="s">
        <v>291</v>
      </c>
      <c r="D163" s="20"/>
      <c r="E163" s="207">
        <f>E161/AVERAGE(D157:E157)*4</f>
        <v>3.9654082968311875E-2</v>
      </c>
      <c r="F163" s="208">
        <f>F161/AVERAGE(E157:F157)*4</f>
        <v>3.778037737097964E-2</v>
      </c>
      <c r="G163" s="208">
        <f>G161/AVERAGE(F157:G157)*4</f>
        <v>3.7987539943579826E-2</v>
      </c>
      <c r="H163" s="209">
        <f>H161/AVERAGE(G157:H157)*4</f>
        <v>3.829506468334884E-2</v>
      </c>
      <c r="I163" s="88">
        <f>I161/AVERAGE(D157,I157)</f>
        <v>3.6924495925831483E-2</v>
      </c>
      <c r="J163" s="207">
        <f>J161/AVERAGE(I157:J157)*4</f>
        <v>3.8497502834342855E-2</v>
      </c>
      <c r="K163" s="208">
        <f>K161/AVERAGE(J157:K157)*4</f>
        <v>3.7383313993071488E-2</v>
      </c>
      <c r="L163" s="208">
        <f>L161/AVERAGE(K157:L157)*4</f>
        <v>3.6969468851131275E-2</v>
      </c>
      <c r="M163" s="209">
        <f>M161/AVERAGE(L157:M157)*4</f>
        <v>3.6183236339674817E-2</v>
      </c>
      <c r="N163" s="88">
        <f>N161/AVERAGE(I157,N157)</f>
        <v>3.6050951012987449E-2</v>
      </c>
      <c r="O163" s="207">
        <f>O161/AVERAGE(N157:O157)*4</f>
        <v>3.6237216817333724E-2</v>
      </c>
      <c r="P163" s="208">
        <f>P161/AVERAGE(O157:P157)*4</f>
        <v>3.6227406148617324E-2</v>
      </c>
      <c r="Q163" s="208">
        <f>Q161/AVERAGE(P157:Q157)*4</f>
        <v>3.8054883653613716E-2</v>
      </c>
      <c r="R163" s="209">
        <f>R161/AVERAGE(Q157:R157)*4</f>
        <v>3.6818754907039328E-2</v>
      </c>
      <c r="S163" s="88">
        <f>S161/AVERAGE(N157,S157)</f>
        <v>3.6694070385019643E-2</v>
      </c>
      <c r="T163" s="207">
        <f>T161/AVERAGE(S157:T157)*4</f>
        <v>3.6825226589393287E-2</v>
      </c>
      <c r="U163" s="208">
        <f>U161/AVERAGE(T157:U157)*4</f>
        <v>3.522578891449886E-2</v>
      </c>
      <c r="V163" s="208">
        <f>V161/AVERAGE(U157:V157)*4</f>
        <v>3.7458662071576131E-2</v>
      </c>
      <c r="W163" s="209">
        <f>W161/AVERAGE(V157:W157)*4</f>
        <v>3.833316092055393E-2</v>
      </c>
      <c r="X163" s="88">
        <f>X161/AVERAGE(S157,X157)</f>
        <v>3.6701307084107349E-2</v>
      </c>
      <c r="Y163" s="207">
        <f>Y161/AVERAGE(X157:Y157)*4</f>
        <v>3.8113647472894328E-2</v>
      </c>
      <c r="Z163" s="208">
        <f>Z161/AVERAGE(Y157:Z157)*4</f>
        <v>3.77950333326523E-2</v>
      </c>
      <c r="AA163" s="208">
        <f>AA161/AVERAGE(Z157:AA157)*4</f>
        <v>3.736608142448835E-2</v>
      </c>
      <c r="AB163" s="209">
        <f>AB161/AVERAGE(AA157:AB157)*4</f>
        <v>3.891141807219814E-2</v>
      </c>
      <c r="AC163" s="88">
        <f>AC161/AVERAGE(X157,AC157)</f>
        <v>3.7868888836654624E-2</v>
      </c>
      <c r="AD163" s="207">
        <f>AD161/AVERAGE(AC157:AD157)*4</f>
        <v>3.8564782531727002E-2</v>
      </c>
      <c r="AE163" s="208">
        <f>AE161/AVERAGE(AD157:AE157)*4</f>
        <v>3.8932620018263628E-2</v>
      </c>
      <c r="AF163" s="208">
        <f>AF161/AVERAGE(AE157:AF157)*4</f>
        <v>3.8014477341427919E-2</v>
      </c>
      <c r="AG163" s="209">
        <f>AG161/AVERAGE(AF157:AG157)*4</f>
        <v>3.669334089040388E-2</v>
      </c>
      <c r="AH163" s="88">
        <f>AH161/AVERAGE(AC157,AH157)</f>
        <v>3.7302027990315262E-2</v>
      </c>
      <c r="AI163" s="207">
        <f>AI161/AVERAGE(AH157:AI157)*4</f>
        <v>3.7435105818362201E-2</v>
      </c>
      <c r="AJ163" s="208">
        <f>AJ161/AVERAGE(AI157:AJ157)*4</f>
        <v>3.7796469273347191E-2</v>
      </c>
      <c r="AK163" s="208">
        <f>AK161/AVERAGE(AJ157:AK157)*4</f>
        <v>3.7770149985962231E-2</v>
      </c>
      <c r="AL163" s="209">
        <f>AL161/AVERAGE(AK157:AL157)*4</f>
        <v>3.6958077205257733E-2</v>
      </c>
      <c r="AM163" s="88">
        <f>AM161/AVERAGE(AH157,AM157)</f>
        <v>3.6914695351177473E-2</v>
      </c>
      <c r="AN163" s="207">
        <f>AN161/AVERAGE(AM157:AN157)*4</f>
        <v>3.7222415296762165E-2</v>
      </c>
      <c r="AO163" s="208">
        <f>AO161/AVERAGE(AN157:AO157)*4</f>
        <v>3.7160869734201935E-2</v>
      </c>
      <c r="AP163" s="208">
        <f>AP161/AVERAGE(AO157:AP157)*4</f>
        <v>3.7510553974754592E-2</v>
      </c>
      <c r="AQ163" s="209">
        <f>AQ161/AVERAGE(AP157:AQ157)*4</f>
        <v>3.7314490274302697E-2</v>
      </c>
      <c r="AR163" s="88">
        <f>AR161/AVERAGE(AM157,AR157)</f>
        <v>3.698324986912891E-2</v>
      </c>
      <c r="AS163" s="207">
        <f>AS161/AVERAGE(AR157:AS157)*4</f>
        <v>3.7363292669406217E-2</v>
      </c>
      <c r="AT163" s="208">
        <f>AT161/AVERAGE(AS157:AT157)*4</f>
        <v>3.7813264414819241E-2</v>
      </c>
      <c r="AU163" s="208">
        <f>AU161/AVERAGE(AT157:AU157)*4</f>
        <v>3.7814782713319041E-2</v>
      </c>
      <c r="AV163" s="209">
        <f>AV161/AVERAGE(AU157:AV157)*4</f>
        <v>3.7976133296262114E-2</v>
      </c>
      <c r="AW163" s="88">
        <f>AW161/AVERAGE(AR157,AW157)</f>
        <v>3.7482318545800281E-2</v>
      </c>
      <c r="AX163" s="858">
        <v>0.04</v>
      </c>
      <c r="AY163" s="208">
        <f>AX163</f>
        <v>0.04</v>
      </c>
      <c r="AZ163" s="342">
        <f>AY163</f>
        <v>0.04</v>
      </c>
      <c r="BA163" s="343">
        <f>AZ163</f>
        <v>0.04</v>
      </c>
      <c r="BB163" s="88">
        <f>BB161/AVERAGE(AW157,BB157)</f>
        <v>3.9679090141483103E-2</v>
      </c>
      <c r="BC163" s="858">
        <v>3.9E-2</v>
      </c>
      <c r="BD163" s="208">
        <f>BC163</f>
        <v>3.9E-2</v>
      </c>
      <c r="BE163" s="342">
        <f>BD163</f>
        <v>3.9E-2</v>
      </c>
      <c r="BF163" s="343">
        <f>BE163</f>
        <v>3.9E-2</v>
      </c>
      <c r="BG163" s="88">
        <f>BG161/AVERAGE(BB157,BG157)</f>
        <v>3.9145587878513924E-2</v>
      </c>
      <c r="BH163" s="207">
        <f>BG163</f>
        <v>3.9145587878513924E-2</v>
      </c>
      <c r="BI163" s="208">
        <f>BH163</f>
        <v>3.9145587878513924E-2</v>
      </c>
      <c r="BJ163" s="342">
        <f>BI163</f>
        <v>3.9145587878513924E-2</v>
      </c>
      <c r="BK163" s="343">
        <f>BJ163</f>
        <v>3.9145587878513924E-2</v>
      </c>
      <c r="BL163" s="88">
        <f>BL161/AVERAGE(BG157,BL157)</f>
        <v>3.9054814674466504E-2</v>
      </c>
      <c r="BM163" s="207">
        <f>BL163</f>
        <v>3.9054814674466504E-2</v>
      </c>
      <c r="BN163" s="208">
        <f>BM163</f>
        <v>3.9054814674466504E-2</v>
      </c>
      <c r="BO163" s="342">
        <f>BN163</f>
        <v>3.9054814674466504E-2</v>
      </c>
      <c r="BP163" s="343">
        <f>BO163</f>
        <v>3.9054814674466504E-2</v>
      </c>
      <c r="BQ163" s="88">
        <f>BQ161/AVERAGE(BL157,BQ157)</f>
        <v>3.8785510294040003E-2</v>
      </c>
      <c r="BR163" s="20"/>
      <c r="BS163" s="20"/>
      <c r="BT163" s="20"/>
      <c r="BU163" s="20"/>
      <c r="BV163" s="20"/>
      <c r="BW163" s="20"/>
      <c r="BX163" s="20"/>
      <c r="BY163" s="923"/>
      <c r="BZ163" s="20"/>
      <c r="CA163" s="925"/>
      <c r="CB163" s="20"/>
      <c r="CC163" s="20"/>
      <c r="CD163" s="20"/>
      <c r="CE163" s="20"/>
      <c r="CF163" s="20"/>
      <c r="CG163" s="20"/>
      <c r="CH163" s="20"/>
      <c r="CI163" s="20"/>
      <c r="CJ163" s="20"/>
      <c r="CK163" s="20"/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</row>
    <row r="164" spans="1:104" x14ac:dyDescent="0.2">
      <c r="A164" s="289"/>
      <c r="B164" s="289"/>
      <c r="C164" s="289" t="s">
        <v>419</v>
      </c>
      <c r="D164" s="289"/>
      <c r="E164" s="254">
        <f>E159/I172</f>
        <v>1.8024579986962501</v>
      </c>
      <c r="F164" s="255">
        <f>F159/I172</f>
        <v>1.5121600966496178</v>
      </c>
      <c r="G164" s="255">
        <f>G159/I172</f>
        <v>1.5247768244926452</v>
      </c>
      <c r="H164" s="256">
        <f>H159/I172</f>
        <v>1.6544122686362106</v>
      </c>
      <c r="I164" s="79">
        <f>I159/I172</f>
        <v>1.6544122686362106</v>
      </c>
      <c r="J164" s="254">
        <f>J159/N172</f>
        <v>1.8428165653979216</v>
      </c>
      <c r="K164" s="255">
        <f>K159/N172</f>
        <v>0.43882423313849156</v>
      </c>
      <c r="L164" s="255">
        <f>L159/N172</f>
        <v>0.54224953038587065</v>
      </c>
      <c r="M164" s="256">
        <f>M159/N172</f>
        <v>0.40513794587106861</v>
      </c>
      <c r="N164" s="79">
        <f>N159/N172</f>
        <v>0.40513794587106861</v>
      </c>
      <c r="O164" s="254">
        <f>O159/S172</f>
        <v>0.35213736362010373</v>
      </c>
      <c r="P164" s="255">
        <f>P159/S172</f>
        <v>0.34058995913762502</v>
      </c>
      <c r="Q164" s="255">
        <f>Q159/S172</f>
        <v>0.36487486757563664</v>
      </c>
      <c r="R164" s="256">
        <f>R159/S172</f>
        <v>0.33308338951336625</v>
      </c>
      <c r="S164" s="79">
        <f>S159/S172</f>
        <v>0.33308338951336625</v>
      </c>
      <c r="T164" s="254">
        <f>T159/X172</f>
        <v>0.36405334200459594</v>
      </c>
      <c r="U164" s="255">
        <f>U159/$X$172</f>
        <v>0.44922674244861643</v>
      </c>
      <c r="V164" s="255">
        <f>V159/X172</f>
        <v>0.56167912588177238</v>
      </c>
      <c r="W164" s="256">
        <f>W159/X172</f>
        <v>0.5796139837848916</v>
      </c>
      <c r="X164" s="79">
        <f>X159/X172</f>
        <v>0.5796139837848916</v>
      </c>
      <c r="Y164" s="254">
        <f>Y159/AC172</f>
        <v>0.57828630355301391</v>
      </c>
      <c r="Z164" s="255">
        <f>Z159/AC172</f>
        <v>0.67498640667479137</v>
      </c>
      <c r="AA164" s="255">
        <f>AA159/AC172</f>
        <v>0.79694947032905217</v>
      </c>
      <c r="AB164" s="256">
        <f>AB159/AC172</f>
        <v>0.89291178400674975</v>
      </c>
      <c r="AC164" s="79">
        <f>AC159/AC172</f>
        <v>0.89291178400674975</v>
      </c>
      <c r="AD164" s="254">
        <f>AD159/AH172</f>
        <v>0.94808666670256247</v>
      </c>
      <c r="AE164" s="255">
        <f>AE159/AH172</f>
        <v>1.069402640850442</v>
      </c>
      <c r="AF164" s="255">
        <f>AF159/AH172</f>
        <v>0.8937413962370484</v>
      </c>
      <c r="AG164" s="256">
        <f>AG159/AH172</f>
        <v>0.74359844140646736</v>
      </c>
      <c r="AH164" s="79">
        <f>AH159/AH172</f>
        <v>0.74359844140646736</v>
      </c>
      <c r="AI164" s="254">
        <f>AI159/AM172</f>
        <v>0.87729975080278466</v>
      </c>
      <c r="AJ164" s="255">
        <f>AJ159/AM172</f>
        <v>0.94503900674670582</v>
      </c>
      <c r="AK164" s="255">
        <f>AK159/AM172</f>
        <v>0.4882829096511942</v>
      </c>
      <c r="AL164" s="256">
        <f>AL159/AM172</f>
        <v>0.41077162747577589</v>
      </c>
      <c r="AM164" s="79">
        <f>AM159/AM172</f>
        <v>0.41077162747577589</v>
      </c>
      <c r="AN164" s="254">
        <f>AN159/AR172</f>
        <v>0.40652361285688637</v>
      </c>
      <c r="AO164" s="255">
        <f>AO159/AR172</f>
        <v>0.4721054049200934</v>
      </c>
      <c r="AP164" s="255">
        <f>AP159/AR172</f>
        <v>0.50261088166636736</v>
      </c>
      <c r="AQ164" s="256">
        <f>AQ159/AR172</f>
        <v>0.43485365415694022</v>
      </c>
      <c r="AR164" s="79">
        <f>AR159/AR172</f>
        <v>0.43485365415694022</v>
      </c>
      <c r="AS164" s="254">
        <f>AS159/AW172</f>
        <v>0.39564083954904022</v>
      </c>
      <c r="AT164" s="255">
        <f>AT159/AW172</f>
        <v>0.44639312812860638</v>
      </c>
      <c r="AU164" s="255">
        <f>AU159/AW172</f>
        <v>0.59253288446069896</v>
      </c>
      <c r="AV164" s="256">
        <f>AV159/AW172</f>
        <v>0.68736197200373794</v>
      </c>
      <c r="AW164" s="79">
        <f>AW159/AW172</f>
        <v>0.68736197200373794</v>
      </c>
      <c r="AX164" s="254">
        <f t="shared" ref="AX164:BG164" si="354">+AW164</f>
        <v>0.68736197200373794</v>
      </c>
      <c r="AY164" s="255">
        <f t="shared" si="354"/>
        <v>0.68736197200373794</v>
      </c>
      <c r="AZ164" s="255">
        <f t="shared" si="354"/>
        <v>0.68736197200373794</v>
      </c>
      <c r="BA164" s="256">
        <f t="shared" si="354"/>
        <v>0.68736197200373794</v>
      </c>
      <c r="BB164" s="79">
        <f t="shared" si="354"/>
        <v>0.68736197200373794</v>
      </c>
      <c r="BC164" s="254">
        <f t="shared" si="354"/>
        <v>0.68736197200373794</v>
      </c>
      <c r="BD164" s="255">
        <f t="shared" si="354"/>
        <v>0.68736197200373794</v>
      </c>
      <c r="BE164" s="255">
        <f t="shared" si="354"/>
        <v>0.68736197200373794</v>
      </c>
      <c r="BF164" s="256">
        <f t="shared" si="354"/>
        <v>0.68736197200373794</v>
      </c>
      <c r="BG164" s="79">
        <f t="shared" si="354"/>
        <v>0.68736197200373794</v>
      </c>
      <c r="BH164" s="254">
        <f t="shared" ref="BH164:BQ164" si="355">+BG164</f>
        <v>0.68736197200373794</v>
      </c>
      <c r="BI164" s="255">
        <f t="shared" si="355"/>
        <v>0.68736197200373794</v>
      </c>
      <c r="BJ164" s="255">
        <f t="shared" si="355"/>
        <v>0.68736197200373794</v>
      </c>
      <c r="BK164" s="256">
        <f t="shared" si="355"/>
        <v>0.68736197200373794</v>
      </c>
      <c r="BL164" s="79">
        <f t="shared" si="355"/>
        <v>0.68736197200373794</v>
      </c>
      <c r="BM164" s="254">
        <f t="shared" si="355"/>
        <v>0.68736197200373794</v>
      </c>
      <c r="BN164" s="255">
        <f t="shared" si="355"/>
        <v>0.68736197200373794</v>
      </c>
      <c r="BO164" s="255">
        <f t="shared" si="355"/>
        <v>0.68736197200373794</v>
      </c>
      <c r="BP164" s="256">
        <f t="shared" si="355"/>
        <v>0.68736197200373794</v>
      </c>
      <c r="BQ164" s="79">
        <f t="shared" si="355"/>
        <v>0.68736197200373794</v>
      </c>
      <c r="BR164" s="289"/>
      <c r="BS164" s="289"/>
      <c r="BT164" s="289"/>
      <c r="BU164" s="289"/>
      <c r="BV164" s="289"/>
      <c r="BW164" s="289"/>
      <c r="BX164" s="289"/>
      <c r="BY164" s="890"/>
      <c r="BZ164" s="289"/>
      <c r="CA164" s="925"/>
      <c r="CB164" s="289"/>
      <c r="CC164" s="289"/>
      <c r="CD164" s="289"/>
      <c r="CE164" s="289"/>
      <c r="CF164" s="289"/>
      <c r="CG164" s="289"/>
      <c r="CH164" s="289"/>
      <c r="CI164" s="289"/>
      <c r="CJ164" s="289"/>
      <c r="CK164" s="289"/>
      <c r="CL164" s="289"/>
      <c r="CM164" s="289"/>
      <c r="CN164" s="289"/>
      <c r="CO164" s="289"/>
      <c r="CP164" s="289"/>
      <c r="CQ164" s="289"/>
      <c r="CR164" s="289"/>
      <c r="CS164" s="289"/>
      <c r="CT164" s="289"/>
      <c r="CU164" s="289"/>
      <c r="CV164" s="289"/>
      <c r="CW164" s="289"/>
      <c r="CX164" s="289"/>
      <c r="CY164" s="289"/>
      <c r="CZ164" s="289"/>
    </row>
    <row r="165" spans="1:104" x14ac:dyDescent="0.2">
      <c r="A165" s="289"/>
      <c r="B165" s="289"/>
      <c r="C165" s="289"/>
      <c r="D165" s="289"/>
      <c r="E165" s="291"/>
      <c r="F165" s="292"/>
      <c r="G165" s="292"/>
      <c r="H165" s="293"/>
      <c r="I165" s="289"/>
      <c r="J165" s="291"/>
      <c r="K165" s="292"/>
      <c r="L165" s="292"/>
      <c r="M165" s="293"/>
      <c r="N165" s="289"/>
      <c r="O165" s="291"/>
      <c r="P165" s="292"/>
      <c r="Q165" s="292"/>
      <c r="R165" s="293"/>
      <c r="S165" s="289"/>
      <c r="T165" s="291"/>
      <c r="U165" s="292"/>
      <c r="V165" s="292"/>
      <c r="W165" s="293"/>
      <c r="X165" s="289"/>
      <c r="Y165" s="291"/>
      <c r="Z165" s="292"/>
      <c r="AA165" s="292"/>
      <c r="AB165" s="293"/>
      <c r="AC165" s="289"/>
      <c r="AD165" s="291"/>
      <c r="AE165" s="292"/>
      <c r="AF165" s="292"/>
      <c r="AG165" s="293"/>
      <c r="AH165" s="289"/>
      <c r="AI165" s="291"/>
      <c r="AJ165" s="292"/>
      <c r="AK165" s="292"/>
      <c r="AL165" s="293"/>
      <c r="AM165" s="289"/>
      <c r="AN165" s="291"/>
      <c r="AO165" s="292"/>
      <c r="AP165" s="292"/>
      <c r="AQ165" s="293"/>
      <c r="AR165" s="289"/>
      <c r="AS165" s="291"/>
      <c r="AT165" s="292"/>
      <c r="AU165" s="292"/>
      <c r="AV165" s="293"/>
      <c r="AW165" s="289"/>
      <c r="AX165" s="291"/>
      <c r="AY165" s="292"/>
      <c r="AZ165" s="292"/>
      <c r="BA165" s="293"/>
      <c r="BB165" s="289"/>
      <c r="BC165" s="291"/>
      <c r="BD165" s="292"/>
      <c r="BE165" s="292"/>
      <c r="BF165" s="293"/>
      <c r="BG165" s="289"/>
      <c r="BH165" s="291"/>
      <c r="BI165" s="292"/>
      <c r="BJ165" s="292"/>
      <c r="BK165" s="293"/>
      <c r="BL165" s="289"/>
      <c r="BM165" s="291"/>
      <c r="BN165" s="292"/>
      <c r="BO165" s="292"/>
      <c r="BP165" s="293"/>
      <c r="BQ165" s="289"/>
      <c r="BR165" s="289"/>
      <c r="BS165" s="289"/>
      <c r="BT165" s="289"/>
      <c r="BU165" s="289"/>
      <c r="BV165" s="289"/>
      <c r="BW165" s="289"/>
      <c r="BX165" s="289"/>
      <c r="BY165" s="890"/>
      <c r="BZ165" s="289"/>
      <c r="CA165" s="925"/>
      <c r="CB165" s="289"/>
      <c r="CC165" s="289"/>
      <c r="CD165" s="289"/>
      <c r="CE165" s="289"/>
      <c r="CF165" s="289"/>
      <c r="CG165" s="289"/>
      <c r="CH165" s="289"/>
      <c r="CI165" s="289"/>
      <c r="CJ165" s="289"/>
      <c r="CK165" s="289"/>
      <c r="CL165" s="289"/>
      <c r="CM165" s="289"/>
      <c r="CN165" s="289"/>
      <c r="CO165" s="289"/>
      <c r="CP165" s="289"/>
      <c r="CQ165" s="289"/>
      <c r="CR165" s="289"/>
      <c r="CS165" s="289"/>
      <c r="CT165" s="289"/>
      <c r="CU165" s="289"/>
      <c r="CV165" s="289"/>
      <c r="CW165" s="289"/>
      <c r="CX165" s="289"/>
      <c r="CY165" s="289"/>
      <c r="CZ165" s="289"/>
    </row>
    <row r="166" spans="1:104" x14ac:dyDescent="0.2">
      <c r="A166" s="289"/>
      <c r="B166" s="289"/>
      <c r="C166" s="605" t="s">
        <v>422</v>
      </c>
      <c r="D166" s="289"/>
      <c r="E166" s="291"/>
      <c r="F166" s="292"/>
      <c r="G166" s="292"/>
      <c r="H166" s="293"/>
      <c r="I166" s="289"/>
      <c r="J166" s="291"/>
      <c r="K166" s="292"/>
      <c r="L166" s="292"/>
      <c r="M166" s="293"/>
      <c r="N166" s="289"/>
      <c r="O166" s="291"/>
      <c r="P166" s="292"/>
      <c r="Q166" s="292"/>
      <c r="R166" s="293"/>
      <c r="S166" s="34">
        <v>210</v>
      </c>
      <c r="T166" s="136"/>
      <c r="U166" s="135"/>
      <c r="V166" s="135"/>
      <c r="W166" s="116"/>
      <c r="X166" s="34">
        <v>265</v>
      </c>
      <c r="Y166" s="136"/>
      <c r="Z166" s="135"/>
      <c r="AA166" s="135"/>
      <c r="AB166" s="116"/>
      <c r="AC166" s="34">
        <v>430</v>
      </c>
      <c r="AD166" s="136"/>
      <c r="AE166" s="135"/>
      <c r="AF166" s="135"/>
      <c r="AG166" s="116"/>
      <c r="AH166" s="34">
        <v>345</v>
      </c>
      <c r="AI166" s="136"/>
      <c r="AJ166" s="135"/>
      <c r="AK166" s="135"/>
      <c r="AL166" s="116"/>
      <c r="AM166" s="34">
        <f>+AM172-SUM(AM167:AM170)</f>
        <v>240.59699999999998</v>
      </c>
      <c r="AN166" s="136"/>
      <c r="AO166" s="135"/>
      <c r="AP166" s="135"/>
      <c r="AQ166" s="116"/>
      <c r="AR166" s="34">
        <f>+AR172-SUM(AR167:AR170)</f>
        <v>278.79999999999995</v>
      </c>
      <c r="AS166" s="136"/>
      <c r="AT166" s="135"/>
      <c r="AU166" s="135"/>
      <c r="AV166" s="116"/>
      <c r="AW166" s="34">
        <f>+AW172-SUM(AW167:AW171)</f>
        <v>5.696999999999889</v>
      </c>
      <c r="AX166" s="136">
        <f>+BB166/4</f>
        <v>25</v>
      </c>
      <c r="AY166" s="135">
        <f>(BB166-SUM(AX166:AX166))/3</f>
        <v>25</v>
      </c>
      <c r="AZ166" s="135">
        <f>(BB166-SUM(AX166:AY166))/2</f>
        <v>25</v>
      </c>
      <c r="BA166" s="116">
        <f>(BB166-SUM(AX166:AZ166))/1</f>
        <v>25</v>
      </c>
      <c r="BB166" s="34">
        <v>100</v>
      </c>
      <c r="BC166" s="136">
        <f>+BG166/4</f>
        <v>27.5</v>
      </c>
      <c r="BD166" s="135">
        <f>(BG166-SUM(BC166:BC166))/3</f>
        <v>27.5</v>
      </c>
      <c r="BE166" s="135">
        <f>(BG166-SUM(BC166:BD166))/2</f>
        <v>27.5</v>
      </c>
      <c r="BF166" s="116">
        <f>(BG166-SUM(BC166:BE166))/1</f>
        <v>27.5</v>
      </c>
      <c r="BG166" s="34">
        <v>110</v>
      </c>
      <c r="BH166" s="136">
        <f>+BL166/4</f>
        <v>15</v>
      </c>
      <c r="BI166" s="135">
        <f>(BL166-SUM(BH166:BH166))/3</f>
        <v>15</v>
      </c>
      <c r="BJ166" s="135">
        <f>(BL166-SUM(BH166:BI166))/2</f>
        <v>15</v>
      </c>
      <c r="BK166" s="116">
        <f>(BL166-SUM(BH166:BJ166))/1</f>
        <v>15</v>
      </c>
      <c r="BL166" s="34">
        <v>60</v>
      </c>
      <c r="BM166" s="136">
        <f>+BQ166/4</f>
        <v>37.5</v>
      </c>
      <c r="BN166" s="135">
        <f>(BQ166-SUM(BM166:BM166))/3</f>
        <v>37.5</v>
      </c>
      <c r="BO166" s="135">
        <f>(BQ166-SUM(BM166:BN166))/2</f>
        <v>37.5</v>
      </c>
      <c r="BP166" s="116">
        <f>(BQ166-SUM(BM166:BO166))/1</f>
        <v>37.5</v>
      </c>
      <c r="BQ166" s="853">
        <v>150</v>
      </c>
      <c r="BR166" s="289"/>
      <c r="BS166" s="289"/>
      <c r="BT166" s="289"/>
      <c r="BU166" s="890"/>
      <c r="BV166" s="890"/>
      <c r="BW166" s="890"/>
      <c r="BX166" s="289"/>
      <c r="BY166" s="890"/>
      <c r="BZ166" s="289"/>
      <c r="CA166" s="925"/>
      <c r="CB166" s="289"/>
      <c r="CC166" s="289"/>
      <c r="CD166" s="289"/>
      <c r="CE166" s="289"/>
      <c r="CF166" s="289"/>
      <c r="CG166" s="289"/>
      <c r="CH166" s="289"/>
      <c r="CI166" s="289"/>
      <c r="CJ166" s="289"/>
      <c r="CK166" s="289"/>
      <c r="CL166" s="289"/>
      <c r="CM166" s="289"/>
      <c r="CN166" s="289"/>
      <c r="CO166" s="289"/>
      <c r="CP166" s="289"/>
      <c r="CQ166" s="289"/>
      <c r="CR166" s="289"/>
      <c r="CS166" s="289"/>
      <c r="CT166" s="289"/>
      <c r="CU166" s="289"/>
      <c r="CV166" s="289"/>
      <c r="CW166" s="289"/>
      <c r="CX166" s="289"/>
      <c r="CY166" s="289"/>
      <c r="CZ166" s="289"/>
    </row>
    <row r="167" spans="1:104" x14ac:dyDescent="0.2">
      <c r="A167" s="289"/>
      <c r="B167" s="289"/>
      <c r="C167" s="605" t="s">
        <v>421</v>
      </c>
      <c r="D167" s="289"/>
      <c r="E167" s="291"/>
      <c r="F167" s="292"/>
      <c r="G167" s="292"/>
      <c r="H167" s="293"/>
      <c r="I167" s="289"/>
      <c r="J167" s="291"/>
      <c r="K167" s="292"/>
      <c r="L167" s="292"/>
      <c r="M167" s="293"/>
      <c r="N167" s="289"/>
      <c r="O167" s="291"/>
      <c r="P167" s="292"/>
      <c r="Q167" s="292"/>
      <c r="R167" s="293"/>
      <c r="S167" s="34">
        <v>95</v>
      </c>
      <c r="T167" s="136"/>
      <c r="U167" s="135"/>
      <c r="V167" s="135"/>
      <c r="W167" s="116"/>
      <c r="X167" s="34">
        <v>160</v>
      </c>
      <c r="Y167" s="136"/>
      <c r="Z167" s="135"/>
      <c r="AA167" s="135"/>
      <c r="AB167" s="116"/>
      <c r="AC167" s="34">
        <v>95</v>
      </c>
      <c r="AD167" s="136"/>
      <c r="AE167" s="135"/>
      <c r="AF167" s="135"/>
      <c r="AG167" s="116"/>
      <c r="AH167" s="34">
        <v>60</v>
      </c>
      <c r="AI167" s="136"/>
      <c r="AJ167" s="135"/>
      <c r="AK167" s="135"/>
      <c r="AL167" s="116"/>
      <c r="AM167" s="34">
        <v>155</v>
      </c>
      <c r="AN167" s="136"/>
      <c r="AO167" s="135"/>
      <c r="AP167" s="135"/>
      <c r="AQ167" s="116"/>
      <c r="AR167" s="34">
        <v>165</v>
      </c>
      <c r="AS167" s="136"/>
      <c r="AT167" s="135"/>
      <c r="AU167" s="135"/>
      <c r="AV167" s="116"/>
      <c r="AW167" s="34">
        <v>185</v>
      </c>
      <c r="AX167" s="136">
        <f>+BB167/4</f>
        <v>50</v>
      </c>
      <c r="AY167" s="135">
        <f>(BB167-SUM(AX167:AX167))/3</f>
        <v>50</v>
      </c>
      <c r="AZ167" s="135">
        <f>(BB167-SUM(AX167:AY167))/2</f>
        <v>50</v>
      </c>
      <c r="BA167" s="116">
        <f>(BB167-SUM(AX167:AZ167))/1</f>
        <v>50</v>
      </c>
      <c r="BB167" s="34">
        <v>200</v>
      </c>
      <c r="BC167" s="136">
        <f>+BG167/4</f>
        <v>25</v>
      </c>
      <c r="BD167" s="135">
        <f>(BG167-SUM(BC167:BC167))/3</f>
        <v>25</v>
      </c>
      <c r="BE167" s="135">
        <f>(BG167-SUM(BC167:BD167))/2</f>
        <v>25</v>
      </c>
      <c r="BF167" s="116">
        <f>(BG167-SUM(BC167:BE167))/1</f>
        <v>25</v>
      </c>
      <c r="BG167" s="34">
        <v>100</v>
      </c>
      <c r="BH167" s="136">
        <f>+BL167/4</f>
        <v>25</v>
      </c>
      <c r="BI167" s="135">
        <f>(BL167-SUM(BH167:BH167))/3</f>
        <v>25</v>
      </c>
      <c r="BJ167" s="135">
        <f>(BL167-SUM(BH167:BI167))/2</f>
        <v>25</v>
      </c>
      <c r="BK167" s="116">
        <f>(BL167-SUM(BH167:BJ167))/1</f>
        <v>25</v>
      </c>
      <c r="BL167" s="34">
        <v>100</v>
      </c>
      <c r="BM167" s="136">
        <f>+BQ167/4</f>
        <v>47.5</v>
      </c>
      <c r="BN167" s="135">
        <f>(BQ167-SUM(BM167:BM167))/3</f>
        <v>47.5</v>
      </c>
      <c r="BO167" s="135">
        <f>(BQ167-SUM(BM167:BN167))/2</f>
        <v>47.5</v>
      </c>
      <c r="BP167" s="116">
        <f>(BQ167-SUM(BM167:BO167))/1</f>
        <v>47.5</v>
      </c>
      <c r="BQ167" s="853">
        <v>190</v>
      </c>
      <c r="BR167" s="289"/>
      <c r="BS167" s="289"/>
      <c r="BT167" s="289"/>
      <c r="BU167" s="846"/>
      <c r="BV167" s="890"/>
      <c r="BW167" s="846"/>
      <c r="BX167" s="289"/>
      <c r="BY167" s="890"/>
      <c r="BZ167" s="289"/>
      <c r="CA167" s="925"/>
      <c r="CB167" s="289"/>
      <c r="CC167" s="289"/>
      <c r="CD167" s="289"/>
      <c r="CE167" s="289"/>
      <c r="CF167" s="289"/>
      <c r="CG167" s="289"/>
      <c r="CH167" s="289"/>
      <c r="CI167" s="289"/>
      <c r="CJ167" s="289"/>
      <c r="CK167" s="289"/>
      <c r="CL167" s="289"/>
      <c r="CM167" s="289"/>
      <c r="CN167" s="289"/>
      <c r="CO167" s="289"/>
      <c r="CP167" s="289"/>
      <c r="CQ167" s="289"/>
      <c r="CR167" s="289"/>
      <c r="CS167" s="289"/>
      <c r="CT167" s="289"/>
      <c r="CU167" s="289"/>
      <c r="CV167" s="289"/>
      <c r="CW167" s="289"/>
      <c r="CX167" s="289"/>
      <c r="CY167" s="289"/>
      <c r="CZ167" s="289"/>
    </row>
    <row r="168" spans="1:104" x14ac:dyDescent="0.2">
      <c r="A168" s="289"/>
      <c r="B168" s="289"/>
      <c r="C168" s="605" t="s">
        <v>423</v>
      </c>
      <c r="D168" s="289"/>
      <c r="E168" s="291"/>
      <c r="F168" s="292"/>
      <c r="G168" s="292"/>
      <c r="H168" s="293"/>
      <c r="I168" s="289"/>
      <c r="J168" s="291"/>
      <c r="K168" s="292"/>
      <c r="L168" s="292"/>
      <c r="M168" s="293"/>
      <c r="N168" s="289"/>
      <c r="O168" s="291"/>
      <c r="P168" s="292"/>
      <c r="Q168" s="292"/>
      <c r="R168" s="293"/>
      <c r="S168" s="34">
        <v>180</v>
      </c>
      <c r="T168" s="136"/>
      <c r="U168" s="135"/>
      <c r="V168" s="135"/>
      <c r="W168" s="116"/>
      <c r="X168" s="34">
        <v>200</v>
      </c>
      <c r="Y168" s="136"/>
      <c r="Z168" s="135"/>
      <c r="AA168" s="135"/>
      <c r="AB168" s="116"/>
      <c r="AC168" s="34">
        <v>215</v>
      </c>
      <c r="AD168" s="136"/>
      <c r="AE168" s="135"/>
      <c r="AF168" s="135"/>
      <c r="AG168" s="116"/>
      <c r="AH168" s="34">
        <v>210</v>
      </c>
      <c r="AI168" s="136"/>
      <c r="AJ168" s="135"/>
      <c r="AK168" s="135"/>
      <c r="AL168" s="116"/>
      <c r="AM168" s="34">
        <v>245</v>
      </c>
      <c r="AN168" s="136"/>
      <c r="AO168" s="135"/>
      <c r="AP168" s="135"/>
      <c r="AQ168" s="116"/>
      <c r="AR168" s="34">
        <v>260</v>
      </c>
      <c r="AS168" s="136"/>
      <c r="AT168" s="135"/>
      <c r="AU168" s="135"/>
      <c r="AV168" s="116"/>
      <c r="AW168" s="34">
        <v>330</v>
      </c>
      <c r="AX168" s="136">
        <f>+BB168/4</f>
        <v>85</v>
      </c>
      <c r="AY168" s="135">
        <f>(BB168-SUM(AX168:AX168))/3</f>
        <v>85</v>
      </c>
      <c r="AZ168" s="135">
        <f>(BB168-SUM(AX168:AY168))/2</f>
        <v>85</v>
      </c>
      <c r="BA168" s="116">
        <f>(BB168-SUM(AX168:AZ168))/1</f>
        <v>85</v>
      </c>
      <c r="BB168" s="34">
        <v>340</v>
      </c>
      <c r="BC168" s="136">
        <f>+BG168/4</f>
        <v>97.5</v>
      </c>
      <c r="BD168" s="135">
        <f>(BG168-SUM(BC168:BC168))/3</f>
        <v>97.5</v>
      </c>
      <c r="BE168" s="135">
        <f>(BG168-SUM(BC168:BD168))/2</f>
        <v>97.5</v>
      </c>
      <c r="BF168" s="116">
        <f>(BG168-SUM(BC168:BE168))/1</f>
        <v>97.5</v>
      </c>
      <c r="BG168" s="34">
        <v>390</v>
      </c>
      <c r="BH168" s="136">
        <f>+BL168/4</f>
        <v>95</v>
      </c>
      <c r="BI168" s="135">
        <f>(BL168-SUM(BH168:BH168))/3</f>
        <v>95</v>
      </c>
      <c r="BJ168" s="135">
        <f>(BL168-SUM(BH168:BI168))/2</f>
        <v>95</v>
      </c>
      <c r="BK168" s="116">
        <f>(BL168-SUM(BH168:BJ168))/1</f>
        <v>95</v>
      </c>
      <c r="BL168" s="34">
        <v>380</v>
      </c>
      <c r="BM168" s="136">
        <f>+BQ168/4</f>
        <v>105</v>
      </c>
      <c r="BN168" s="135">
        <f>(BQ168-SUM(BM168:BM168))/3</f>
        <v>105</v>
      </c>
      <c r="BO168" s="135">
        <f>(BQ168-SUM(BM168:BN168))/2</f>
        <v>105</v>
      </c>
      <c r="BP168" s="116">
        <f>(BQ168-SUM(BM168:BO168))/1</f>
        <v>105</v>
      </c>
      <c r="BQ168" s="853">
        <v>420</v>
      </c>
      <c r="BR168" s="289"/>
      <c r="BS168" s="289"/>
      <c r="BU168" s="289"/>
      <c r="BV168" s="289"/>
      <c r="BW168" s="289"/>
      <c r="BX168" s="289"/>
      <c r="BY168" s="890"/>
      <c r="BZ168" s="289"/>
      <c r="CA168" s="925"/>
      <c r="CB168" s="289"/>
      <c r="CC168" s="289"/>
      <c r="CD168" s="289"/>
      <c r="CE168" s="289"/>
      <c r="CF168" s="289"/>
      <c r="CG168" s="289"/>
      <c r="CH168" s="289"/>
      <c r="CI168" s="289"/>
      <c r="CJ168" s="289"/>
      <c r="CK168" s="289"/>
      <c r="CL168" s="289"/>
      <c r="CM168" s="289"/>
      <c r="CN168" s="289"/>
      <c r="CO168" s="289"/>
      <c r="CP168" s="289"/>
      <c r="CQ168" s="289"/>
      <c r="CR168" s="289"/>
      <c r="CS168" s="289"/>
      <c r="CT168" s="289"/>
      <c r="CU168" s="289"/>
      <c r="CV168" s="289"/>
      <c r="CW168" s="289"/>
      <c r="CX168" s="289"/>
      <c r="CY168" s="289"/>
      <c r="CZ168" s="289"/>
    </row>
    <row r="169" spans="1:104" x14ac:dyDescent="0.2">
      <c r="A169" s="289"/>
      <c r="B169" s="289"/>
      <c r="C169" s="605" t="s">
        <v>113</v>
      </c>
      <c r="D169" s="289"/>
      <c r="E169" s="291"/>
      <c r="F169" s="292"/>
      <c r="G169" s="292"/>
      <c r="H169" s="293"/>
      <c r="I169" s="289"/>
      <c r="J169" s="291"/>
      <c r="K169" s="292"/>
      <c r="L169" s="292"/>
      <c r="M169" s="293"/>
      <c r="N169" s="289"/>
      <c r="O169" s="291"/>
      <c r="P169" s="292"/>
      <c r="Q169" s="292"/>
      <c r="R169" s="293"/>
      <c r="S169" s="34">
        <v>150</v>
      </c>
      <c r="T169" s="136"/>
      <c r="U169" s="135"/>
      <c r="V169" s="135"/>
      <c r="W169" s="116"/>
      <c r="X169" s="34">
        <v>185</v>
      </c>
      <c r="Y169" s="136"/>
      <c r="Z169" s="135"/>
      <c r="AA169" s="135"/>
      <c r="AB169" s="116"/>
      <c r="AC169" s="34">
        <v>295</v>
      </c>
      <c r="AD169" s="136"/>
      <c r="AE169" s="135"/>
      <c r="AF169" s="135"/>
      <c r="AG169" s="116"/>
      <c r="AH169" s="34">
        <v>295</v>
      </c>
      <c r="AI169" s="136"/>
      <c r="AJ169" s="135"/>
      <c r="AK169" s="135"/>
      <c r="AL169" s="116"/>
      <c r="AM169" s="34">
        <v>265</v>
      </c>
      <c r="AN169" s="136"/>
      <c r="AO169" s="135"/>
      <c r="AP169" s="135"/>
      <c r="AQ169" s="116"/>
      <c r="AR169" s="34">
        <v>275</v>
      </c>
      <c r="AS169" s="136"/>
      <c r="AT169" s="135"/>
      <c r="AU169" s="135"/>
      <c r="AV169" s="116"/>
      <c r="AW169" s="34">
        <v>295</v>
      </c>
      <c r="AX169" s="136">
        <f>+BB169/4</f>
        <v>85</v>
      </c>
      <c r="AY169" s="135">
        <f>(BB169-SUM(AX169:AX169))/3</f>
        <v>85</v>
      </c>
      <c r="AZ169" s="135">
        <f>(BB169-SUM(AX169:AY169))/2</f>
        <v>85</v>
      </c>
      <c r="BA169" s="116">
        <f>(BB169-SUM(AX169:AZ169))/1</f>
        <v>85</v>
      </c>
      <c r="BB169" s="34">
        <v>340</v>
      </c>
      <c r="BC169" s="136">
        <f>+BG169/4</f>
        <v>70</v>
      </c>
      <c r="BD169" s="135">
        <f>(BG169-SUM(BC169:BC169))/3</f>
        <v>70</v>
      </c>
      <c r="BE169" s="135">
        <f>(BG169-SUM(BC169:BD169))/2</f>
        <v>70</v>
      </c>
      <c r="BF169" s="116">
        <f>(BG169-SUM(BC169:BE169))/1</f>
        <v>70</v>
      </c>
      <c r="BG169" s="34">
        <v>280</v>
      </c>
      <c r="BH169" s="136">
        <f>+BL169/4</f>
        <v>72.5</v>
      </c>
      <c r="BI169" s="135">
        <f>(BL169-SUM(BH169:BH169))/3</f>
        <v>72.5</v>
      </c>
      <c r="BJ169" s="135">
        <f>(BL169-SUM(BH169:BI169))/2</f>
        <v>72.5</v>
      </c>
      <c r="BK169" s="116">
        <f>(BL169-SUM(BH169:BJ169))/1</f>
        <v>72.5</v>
      </c>
      <c r="BL169" s="34">
        <v>290</v>
      </c>
      <c r="BM169" s="136">
        <f>+BQ169/4</f>
        <v>70</v>
      </c>
      <c r="BN169" s="135">
        <f>(BQ169-SUM(BM169:BM169))/3</f>
        <v>70</v>
      </c>
      <c r="BO169" s="135">
        <f>(BQ169-SUM(BM169:BN169))/2</f>
        <v>70</v>
      </c>
      <c r="BP169" s="116">
        <f>(BQ169-SUM(BM169:BO169))/1</f>
        <v>70</v>
      </c>
      <c r="BQ169" s="853">
        <v>280</v>
      </c>
      <c r="BR169" s="289"/>
      <c r="BS169" s="289"/>
      <c r="BV169" s="890"/>
      <c r="BW169" s="846"/>
      <c r="BX169" s="289"/>
      <c r="BY169" s="890"/>
      <c r="BZ169" s="289"/>
      <c r="CA169" s="925"/>
      <c r="CB169" s="289"/>
      <c r="CC169" s="289"/>
      <c r="CD169" s="289"/>
      <c r="CE169" s="289"/>
      <c r="CF169" s="289"/>
      <c r="CG169" s="289"/>
      <c r="CH169" s="289"/>
      <c r="CI169" s="289"/>
      <c r="CJ169" s="289"/>
      <c r="CK169" s="289"/>
      <c r="CL169" s="289"/>
      <c r="CM169" s="289"/>
      <c r="CN169" s="289"/>
      <c r="CO169" s="289"/>
      <c r="CP169" s="289"/>
      <c r="CQ169" s="289"/>
      <c r="CR169" s="289"/>
      <c r="CS169" s="289"/>
      <c r="CT169" s="289"/>
      <c r="CU169" s="289"/>
      <c r="CV169" s="289"/>
      <c r="CW169" s="289"/>
      <c r="CX169" s="289"/>
      <c r="CY169" s="289"/>
      <c r="CZ169" s="289"/>
    </row>
    <row r="170" spans="1:104" x14ac:dyDescent="0.2">
      <c r="A170" s="289"/>
      <c r="B170" s="289"/>
      <c r="C170" s="605" t="s">
        <v>97</v>
      </c>
      <c r="D170" s="289"/>
      <c r="E170" s="291"/>
      <c r="F170" s="292"/>
      <c r="G170" s="292"/>
      <c r="H170" s="293"/>
      <c r="I170" s="289"/>
      <c r="J170" s="291"/>
      <c r="K170" s="292"/>
      <c r="L170" s="292"/>
      <c r="M170" s="293"/>
      <c r="N170" s="289"/>
      <c r="O170" s="291"/>
      <c r="P170" s="292"/>
      <c r="Q170" s="292"/>
      <c r="R170" s="293"/>
      <c r="S170" s="34">
        <v>65</v>
      </c>
      <c r="T170" s="136"/>
      <c r="U170" s="135"/>
      <c r="V170" s="135"/>
      <c r="W170" s="116"/>
      <c r="X170" s="34">
        <v>90</v>
      </c>
      <c r="Y170" s="136"/>
      <c r="Z170" s="135"/>
      <c r="AA170" s="135"/>
      <c r="AB170" s="116"/>
      <c r="AC170" s="34">
        <v>55</v>
      </c>
      <c r="AD170" s="136"/>
      <c r="AE170" s="135"/>
      <c r="AF170" s="135"/>
      <c r="AG170" s="116"/>
      <c r="AH170" s="34">
        <v>145</v>
      </c>
      <c r="AI170" s="136"/>
      <c r="AJ170" s="135"/>
      <c r="AK170" s="135"/>
      <c r="AL170" s="116"/>
      <c r="AM170" s="34">
        <v>90</v>
      </c>
      <c r="AN170" s="136"/>
      <c r="AO170" s="135"/>
      <c r="AP170" s="135"/>
      <c r="AQ170" s="116"/>
      <c r="AR170" s="34">
        <v>135</v>
      </c>
      <c r="AS170" s="136"/>
      <c r="AT170" s="135"/>
      <c r="AU170" s="135"/>
      <c r="AV170" s="116"/>
      <c r="AW170" s="34">
        <v>195</v>
      </c>
      <c r="AX170" s="136">
        <f>+BB170/4</f>
        <v>42.5</v>
      </c>
      <c r="AY170" s="135">
        <f>(BB170-SUM(AX170:AX170))/3</f>
        <v>42.5</v>
      </c>
      <c r="AZ170" s="135">
        <f>(BB170-SUM(AX170:AY170))/2</f>
        <v>42.5</v>
      </c>
      <c r="BA170" s="116">
        <f>(BB170-SUM(AX170:AZ170))/1</f>
        <v>42.5</v>
      </c>
      <c r="BB170" s="34">
        <v>170</v>
      </c>
      <c r="BC170" s="136">
        <f>+BG170/4</f>
        <v>35</v>
      </c>
      <c r="BD170" s="135">
        <f>(BG170-SUM(BC170:BC170))/3</f>
        <v>35</v>
      </c>
      <c r="BE170" s="135">
        <f>(BG170-SUM(BC170:BD170))/2</f>
        <v>35</v>
      </c>
      <c r="BF170" s="116">
        <f>(BG170-SUM(BC170:BE170))/1</f>
        <v>35</v>
      </c>
      <c r="BG170" s="34">
        <v>140</v>
      </c>
      <c r="BH170" s="136">
        <f>+BL170/4</f>
        <v>30</v>
      </c>
      <c r="BI170" s="135">
        <f>(BL170-SUM(BH170:BH170))/3</f>
        <v>30</v>
      </c>
      <c r="BJ170" s="135">
        <f>(BL170-SUM(BH170:BI170))/2</f>
        <v>30</v>
      </c>
      <c r="BK170" s="116">
        <f>(BL170-SUM(BH170:BJ170))/1</f>
        <v>30</v>
      </c>
      <c r="BL170" s="34">
        <v>120</v>
      </c>
      <c r="BM170" s="136">
        <f>+BQ170/4</f>
        <v>27.5</v>
      </c>
      <c r="BN170" s="135">
        <f>(BQ170-SUM(BM170:BM170))/3</f>
        <v>27.5</v>
      </c>
      <c r="BO170" s="135">
        <f>(BQ170-SUM(BM170:BN170))/2</f>
        <v>27.5</v>
      </c>
      <c r="BP170" s="116">
        <f>(BQ170-SUM(BM170:BO170))/1</f>
        <v>27.5</v>
      </c>
      <c r="BQ170" s="853">
        <v>110</v>
      </c>
      <c r="BR170" s="289"/>
      <c r="BS170" s="289"/>
      <c r="BV170" s="289"/>
      <c r="BX170" s="289"/>
      <c r="BY170" s="890"/>
      <c r="BZ170" s="289"/>
      <c r="CA170" s="925"/>
      <c r="CB170" s="289"/>
      <c r="CC170" s="289"/>
      <c r="CD170" s="289"/>
      <c r="CE170" s="289"/>
      <c r="CF170" s="289"/>
      <c r="CG170" s="289"/>
      <c r="CH170" s="289"/>
      <c r="CI170" s="289"/>
      <c r="CJ170" s="289"/>
      <c r="CK170" s="289"/>
      <c r="CL170" s="289"/>
      <c r="CM170" s="289"/>
      <c r="CN170" s="289"/>
      <c r="CO170" s="289"/>
      <c r="CP170" s="289"/>
      <c r="CQ170" s="289"/>
      <c r="CR170" s="289"/>
      <c r="CS170" s="289"/>
      <c r="CT170" s="289"/>
      <c r="CU170" s="289"/>
      <c r="CV170" s="289"/>
      <c r="CW170" s="289"/>
      <c r="CX170" s="289"/>
      <c r="CY170" s="289"/>
      <c r="CZ170" s="289"/>
    </row>
    <row r="171" spans="1:104" x14ac:dyDescent="0.2">
      <c r="A171" s="289"/>
      <c r="B171" s="289"/>
      <c r="C171" s="932" t="s">
        <v>596</v>
      </c>
      <c r="D171" s="289"/>
      <c r="E171" s="291"/>
      <c r="F171" s="292"/>
      <c r="G171" s="292"/>
      <c r="H171" s="293"/>
      <c r="I171" s="289"/>
      <c r="J171" s="291"/>
      <c r="K171" s="292"/>
      <c r="L171" s="292"/>
      <c r="M171" s="293"/>
      <c r="N171" s="289"/>
      <c r="O171" s="291"/>
      <c r="P171" s="292"/>
      <c r="Q171" s="292"/>
      <c r="R171" s="293"/>
      <c r="S171" s="34"/>
      <c r="T171" s="136"/>
      <c r="U171" s="135"/>
      <c r="V171" s="135"/>
      <c r="W171" s="116"/>
      <c r="X171" s="34"/>
      <c r="Y171" s="136"/>
      <c r="Z171" s="135"/>
      <c r="AA171" s="135"/>
      <c r="AB171" s="116"/>
      <c r="AC171" s="34"/>
      <c r="AD171" s="136"/>
      <c r="AE171" s="135"/>
      <c r="AF171" s="135"/>
      <c r="AG171" s="116"/>
      <c r="AH171" s="34"/>
      <c r="AI171" s="136"/>
      <c r="AJ171" s="135"/>
      <c r="AK171" s="135"/>
      <c r="AL171" s="116"/>
      <c r="AM171" s="34"/>
      <c r="AN171" s="136"/>
      <c r="AO171" s="135"/>
      <c r="AP171" s="135"/>
      <c r="AQ171" s="116"/>
      <c r="AR171" s="34"/>
      <c r="AS171" s="136"/>
      <c r="AT171" s="137"/>
      <c r="AU171" s="137"/>
      <c r="AV171" s="116"/>
      <c r="AW171" s="34">
        <v>465</v>
      </c>
      <c r="AX171" s="136"/>
      <c r="AY171" s="135"/>
      <c r="AZ171" s="135"/>
      <c r="BA171" s="116"/>
      <c r="BB171" s="34">
        <v>500</v>
      </c>
      <c r="BC171" s="136"/>
      <c r="BD171" s="135"/>
      <c r="BE171" s="135"/>
      <c r="BF171" s="116"/>
      <c r="BG171" s="34">
        <v>0</v>
      </c>
      <c r="BH171" s="136"/>
      <c r="BI171" s="135"/>
      <c r="BJ171" s="135"/>
      <c r="BK171" s="116"/>
      <c r="BL171" s="34">
        <v>0</v>
      </c>
      <c r="BM171" s="136"/>
      <c r="BN171" s="135"/>
      <c r="BO171" s="135"/>
      <c r="BP171" s="116"/>
      <c r="BQ171" s="853">
        <v>0</v>
      </c>
      <c r="BR171" s="289"/>
      <c r="BS171" s="920"/>
      <c r="BT171" s="289"/>
      <c r="BU171" s="289"/>
      <c r="BV171" s="289"/>
      <c r="BW171" s="289"/>
      <c r="BX171" s="289"/>
      <c r="BY171" s="85"/>
      <c r="BZ171" s="85"/>
      <c r="CA171" s="893"/>
      <c r="CB171" s="289"/>
      <c r="CC171" s="289"/>
      <c r="CD171" s="289"/>
      <c r="CE171" s="289"/>
      <c r="CF171" s="289"/>
      <c r="CG171" s="289"/>
      <c r="CH171" s="289"/>
      <c r="CI171" s="289"/>
      <c r="CJ171" s="289"/>
      <c r="CK171" s="289"/>
      <c r="CL171" s="289"/>
      <c r="CM171" s="289"/>
      <c r="CN171" s="289"/>
      <c r="CO171" s="289"/>
      <c r="CP171" s="289"/>
      <c r="CQ171" s="289"/>
      <c r="CR171" s="289"/>
      <c r="CS171" s="289"/>
      <c r="CT171" s="289"/>
      <c r="CU171" s="289"/>
      <c r="CV171" s="289"/>
      <c r="CW171" s="289"/>
      <c r="CX171" s="289"/>
      <c r="CY171" s="289"/>
      <c r="CZ171" s="289"/>
    </row>
    <row r="172" spans="1:104" x14ac:dyDescent="0.2">
      <c r="A172" s="85"/>
      <c r="B172" s="85"/>
      <c r="C172" s="336" t="s">
        <v>292</v>
      </c>
      <c r="D172" s="86"/>
      <c r="E172" s="124">
        <f t="shared" ref="E172:M172" si="356">-E206</f>
        <v>133.17699999999999</v>
      </c>
      <c r="F172" s="129">
        <f t="shared" si="356"/>
        <v>173.03900000000002</v>
      </c>
      <c r="G172" s="129">
        <f t="shared" si="356"/>
        <v>133.29300000000001</v>
      </c>
      <c r="H172" s="126">
        <f t="shared" si="356"/>
        <v>187.91200000000003</v>
      </c>
      <c r="I172" s="127">
        <f t="shared" si="356"/>
        <v>627.42100000000005</v>
      </c>
      <c r="J172" s="124">
        <f t="shared" si="356"/>
        <v>115.89</v>
      </c>
      <c r="K172" s="129">
        <f t="shared" si="356"/>
        <v>106.67399999999999</v>
      </c>
      <c r="L172" s="129">
        <f t="shared" si="356"/>
        <v>160.33799999999999</v>
      </c>
      <c r="M172" s="126">
        <f t="shared" si="356"/>
        <v>188.84399999999999</v>
      </c>
      <c r="N172" s="127">
        <f t="shared" ref="N172:X172" si="357">-N206</f>
        <v>571.74599999999998</v>
      </c>
      <c r="O172" s="124">
        <f t="shared" si="357"/>
        <v>115.991</v>
      </c>
      <c r="P172" s="129">
        <f t="shared" si="357"/>
        <v>162.291</v>
      </c>
      <c r="Q172" s="129">
        <f t="shared" si="357"/>
        <v>197.16200000000003</v>
      </c>
      <c r="R172" s="126">
        <f t="shared" si="357"/>
        <v>251.38600000000002</v>
      </c>
      <c r="S172" s="127">
        <f t="shared" si="357"/>
        <v>726.83</v>
      </c>
      <c r="T172" s="124">
        <f>-T206</f>
        <v>152.41999999999999</v>
      </c>
      <c r="U172" s="122">
        <f t="shared" si="357"/>
        <v>230.256</v>
      </c>
      <c r="V172" s="129">
        <f t="shared" si="357"/>
        <v>227.63299999999998</v>
      </c>
      <c r="W172" s="126">
        <f t="shared" si="357"/>
        <v>263.07400000000007</v>
      </c>
      <c r="X172" s="127">
        <f t="shared" si="357"/>
        <v>873.38300000000004</v>
      </c>
      <c r="Y172" s="124">
        <f t="shared" ref="Y172:AH172" si="358">-Y206</f>
        <v>226.94800000000001</v>
      </c>
      <c r="Z172" s="122">
        <f t="shared" si="358"/>
        <v>270.678</v>
      </c>
      <c r="AA172" s="129">
        <f t="shared" si="358"/>
        <v>245.19600000000003</v>
      </c>
      <c r="AB172" s="126">
        <f t="shared" si="358"/>
        <v>323.87800000000004</v>
      </c>
      <c r="AC172" s="127">
        <f t="shared" si="358"/>
        <v>1066.7</v>
      </c>
      <c r="AD172" s="124">
        <f t="shared" si="358"/>
        <v>299.08600000000001</v>
      </c>
      <c r="AE172" s="122">
        <f t="shared" si="358"/>
        <v>274.31499999999994</v>
      </c>
      <c r="AF172" s="129">
        <f t="shared" si="358"/>
        <v>258.86900000000003</v>
      </c>
      <c r="AG172" s="126">
        <f t="shared" si="358"/>
        <v>282.06799999999998</v>
      </c>
      <c r="AH172" s="127">
        <f t="shared" si="358"/>
        <v>1114.338</v>
      </c>
      <c r="AI172" s="124">
        <f t="shared" ref="AI172:AN172" si="359">-AI206</f>
        <v>241.19399999999999</v>
      </c>
      <c r="AJ172" s="122">
        <f t="shared" si="359"/>
        <v>212.99600000000001</v>
      </c>
      <c r="AK172" s="122">
        <f t="shared" si="359"/>
        <v>214.19099999999997</v>
      </c>
      <c r="AL172" s="123">
        <f t="shared" si="359"/>
        <v>327.21600000000001</v>
      </c>
      <c r="AM172" s="86">
        <f t="shared" si="359"/>
        <v>995.59699999999998</v>
      </c>
      <c r="AN172" s="124">
        <f t="shared" si="359"/>
        <v>238.63499999999999</v>
      </c>
      <c r="AO172" s="122">
        <f t="shared" ref="AO172:AW172" si="360">-AO206</f>
        <v>285.45100000000002</v>
      </c>
      <c r="AP172" s="122">
        <f t="shared" si="360"/>
        <v>277.96500000000003</v>
      </c>
      <c r="AQ172" s="123">
        <f t="shared" si="360"/>
        <v>311.74899999999991</v>
      </c>
      <c r="AR172" s="86">
        <f t="shared" si="360"/>
        <v>1113.8</v>
      </c>
      <c r="AS172" s="124">
        <f t="shared" si="360"/>
        <v>272.92700000000002</v>
      </c>
      <c r="AT172" s="122">
        <f t="shared" si="360"/>
        <v>336.44200000000001</v>
      </c>
      <c r="AU172" s="122">
        <f t="shared" si="360"/>
        <v>386.31099999999992</v>
      </c>
      <c r="AV172" s="123">
        <f t="shared" si="360"/>
        <v>480.01699999999994</v>
      </c>
      <c r="AW172" s="86">
        <f t="shared" si="360"/>
        <v>1475.6969999999999</v>
      </c>
      <c r="AX172" s="121">
        <f t="shared" ref="AX172:BG172" si="361">SUM(AX166:AX171)</f>
        <v>287.5</v>
      </c>
      <c r="AY172" s="122">
        <f t="shared" si="361"/>
        <v>287.5</v>
      </c>
      <c r="AZ172" s="122">
        <f t="shared" si="361"/>
        <v>287.5</v>
      </c>
      <c r="BA172" s="123">
        <f t="shared" si="361"/>
        <v>287.5</v>
      </c>
      <c r="BB172" s="86">
        <f t="shared" si="361"/>
        <v>1650</v>
      </c>
      <c r="BC172" s="121">
        <f t="shared" si="361"/>
        <v>255</v>
      </c>
      <c r="BD172" s="122">
        <f t="shared" si="361"/>
        <v>255</v>
      </c>
      <c r="BE172" s="122">
        <f t="shared" si="361"/>
        <v>255</v>
      </c>
      <c r="BF172" s="123">
        <f t="shared" si="361"/>
        <v>255</v>
      </c>
      <c r="BG172" s="86">
        <f t="shared" si="361"/>
        <v>1020</v>
      </c>
      <c r="BH172" s="121">
        <f t="shared" ref="BH172:BQ172" si="362">SUM(BH166:BH171)</f>
        <v>237.5</v>
      </c>
      <c r="BI172" s="122">
        <f t="shared" si="362"/>
        <v>237.5</v>
      </c>
      <c r="BJ172" s="122">
        <f t="shared" si="362"/>
        <v>237.5</v>
      </c>
      <c r="BK172" s="123">
        <f t="shared" si="362"/>
        <v>237.5</v>
      </c>
      <c r="BL172" s="86">
        <f t="shared" si="362"/>
        <v>950</v>
      </c>
      <c r="BM172" s="121">
        <f t="shared" si="362"/>
        <v>287.5</v>
      </c>
      <c r="BN172" s="122">
        <f t="shared" si="362"/>
        <v>287.5</v>
      </c>
      <c r="BO172" s="122">
        <f t="shared" si="362"/>
        <v>287.5</v>
      </c>
      <c r="BP172" s="123">
        <f t="shared" si="362"/>
        <v>287.5</v>
      </c>
      <c r="BQ172" s="969">
        <f t="shared" si="362"/>
        <v>1150</v>
      </c>
      <c r="BR172" s="85"/>
      <c r="BS172" s="85"/>
      <c r="BT172" s="85"/>
      <c r="BU172" s="85"/>
      <c r="BV172" s="85"/>
      <c r="BW172" s="85"/>
      <c r="BX172" s="85"/>
      <c r="BY172" s="890"/>
      <c r="BZ172" s="289"/>
      <c r="CA172" s="925"/>
      <c r="CB172" s="85"/>
      <c r="CC172" s="85"/>
      <c r="CD172" s="85"/>
      <c r="CE172" s="85"/>
      <c r="CF172" s="85"/>
      <c r="CG172" s="85"/>
      <c r="CH172" s="85"/>
      <c r="CI172" s="85"/>
      <c r="CJ172" s="85"/>
      <c r="CK172" s="85"/>
      <c r="CL172" s="85"/>
      <c r="CM172" s="85"/>
      <c r="CN172" s="85"/>
      <c r="CO172" s="85"/>
      <c r="CP172" s="85"/>
      <c r="CQ172" s="85"/>
      <c r="CR172" s="85"/>
      <c r="CS172" s="85"/>
      <c r="CT172" s="85"/>
      <c r="CU172" s="85"/>
      <c r="CV172" s="85"/>
      <c r="CW172" s="85"/>
      <c r="CX172" s="85"/>
      <c r="CY172" s="85"/>
      <c r="CZ172" s="85"/>
    </row>
    <row r="173" spans="1:104" x14ac:dyDescent="0.2">
      <c r="A173" s="289"/>
      <c r="B173" s="289"/>
      <c r="C173" s="289"/>
      <c r="D173" s="289"/>
      <c r="E173" s="294"/>
      <c r="F173" s="345"/>
      <c r="G173" s="345"/>
      <c r="H173" s="296"/>
      <c r="I173" s="346"/>
      <c r="J173" s="294"/>
      <c r="K173" s="345"/>
      <c r="L173" s="345"/>
      <c r="M173" s="296"/>
      <c r="N173" s="346"/>
      <c r="O173" s="291"/>
      <c r="P173" s="292"/>
      <c r="Q173" s="292"/>
      <c r="R173" s="293"/>
      <c r="S173" s="289"/>
      <c r="T173" s="291"/>
      <c r="U173" s="292"/>
      <c r="V173" s="292"/>
      <c r="W173" s="293"/>
      <c r="X173" s="289"/>
      <c r="Y173" s="291"/>
      <c r="Z173" s="292"/>
      <c r="AA173" s="292"/>
      <c r="AB173" s="293"/>
      <c r="AC173" s="289"/>
      <c r="AD173" s="291"/>
      <c r="AE173" s="292"/>
      <c r="AF173" s="292"/>
      <c r="AG173" s="293"/>
      <c r="AH173" s="289"/>
      <c r="AI173" s="291"/>
      <c r="AJ173" s="292"/>
      <c r="AK173" s="292"/>
      <c r="AL173" s="293"/>
      <c r="AM173" s="289"/>
      <c r="AN173" s="291"/>
      <c r="AO173" s="292"/>
      <c r="AP173" s="292"/>
      <c r="AQ173" s="293"/>
      <c r="AR173" s="289"/>
      <c r="AS173" s="291"/>
      <c r="AT173" s="292"/>
      <c r="AU173" s="292"/>
      <c r="AV173" s="293"/>
      <c r="AW173" s="289"/>
      <c r="AX173" s="291"/>
      <c r="AY173" s="292"/>
      <c r="AZ173" s="292"/>
      <c r="BA173" s="293"/>
      <c r="BB173" s="289"/>
      <c r="BC173" s="291"/>
      <c r="BD173" s="292"/>
      <c r="BE173" s="292"/>
      <c r="BF173" s="293"/>
      <c r="BG173" s="289"/>
      <c r="BH173" s="291"/>
      <c r="BI173" s="292"/>
      <c r="BJ173" s="292"/>
      <c r="BK173" s="293"/>
      <c r="BL173" s="289"/>
      <c r="BM173" s="291"/>
      <c r="BN173" s="292"/>
      <c r="BO173" s="292"/>
      <c r="BP173" s="293"/>
      <c r="BQ173" s="289"/>
      <c r="BR173" s="289"/>
      <c r="BS173" s="289"/>
      <c r="BT173" s="289"/>
      <c r="BU173" s="289"/>
      <c r="BV173" s="289"/>
      <c r="BW173" s="289"/>
      <c r="BX173" s="289"/>
      <c r="BY173" s="890"/>
      <c r="BZ173" s="289"/>
      <c r="CA173" s="925"/>
      <c r="CB173" s="289"/>
      <c r="CC173" s="289"/>
      <c r="CD173" s="289"/>
      <c r="CE173" s="289"/>
      <c r="CF173" s="289"/>
      <c r="CG173" s="289"/>
      <c r="CH173" s="289"/>
      <c r="CI173" s="289"/>
      <c r="CJ173" s="289"/>
      <c r="CK173" s="289"/>
      <c r="CL173" s="289"/>
      <c r="CM173" s="289"/>
      <c r="CN173" s="289"/>
      <c r="CO173" s="289"/>
      <c r="CP173" s="289"/>
      <c r="CQ173" s="289"/>
      <c r="CR173" s="289"/>
      <c r="CS173" s="289"/>
      <c r="CT173" s="289"/>
      <c r="CU173" s="289"/>
      <c r="CV173" s="289"/>
      <c r="CW173" s="289"/>
      <c r="CX173" s="289"/>
      <c r="CY173" s="289"/>
      <c r="CZ173" s="289"/>
    </row>
    <row r="174" spans="1:104" x14ac:dyDescent="0.2">
      <c r="A174" s="289"/>
      <c r="B174" s="289"/>
      <c r="C174" s="289"/>
      <c r="D174" s="289"/>
      <c r="E174" s="291"/>
      <c r="F174" s="292"/>
      <c r="G174" s="292"/>
      <c r="H174" s="293"/>
      <c r="I174" s="289"/>
      <c r="J174" s="291"/>
      <c r="K174" s="292"/>
      <c r="L174" s="292"/>
      <c r="M174" s="293"/>
      <c r="N174" s="289"/>
      <c r="O174" s="291"/>
      <c r="P174" s="292"/>
      <c r="Q174" s="292"/>
      <c r="R174" s="293"/>
      <c r="S174" s="289"/>
      <c r="T174" s="291"/>
      <c r="U174" s="292"/>
      <c r="V174" s="292"/>
      <c r="W174" s="293"/>
      <c r="X174" s="289"/>
      <c r="Y174" s="291"/>
      <c r="Z174" s="292"/>
      <c r="AA174" s="292"/>
      <c r="AB174" s="293"/>
      <c r="AC174" s="289"/>
      <c r="AD174" s="291"/>
      <c r="AE174" s="292"/>
      <c r="AF174" s="292"/>
      <c r="AG174" s="293"/>
      <c r="AH174" s="289"/>
      <c r="AI174" s="291"/>
      <c r="AJ174" s="292"/>
      <c r="AK174" s="292"/>
      <c r="AL174" s="293"/>
      <c r="AM174" s="289"/>
      <c r="AN174" s="291"/>
      <c r="AO174" s="292"/>
      <c r="AP174" s="292"/>
      <c r="AQ174" s="293"/>
      <c r="AR174" s="289"/>
      <c r="AS174" s="291"/>
      <c r="AT174" s="292"/>
      <c r="AU174" s="292"/>
      <c r="AV174" s="293"/>
      <c r="AW174" s="289"/>
      <c r="AX174" s="291"/>
      <c r="AY174" s="292"/>
      <c r="AZ174" s="292"/>
      <c r="BA174" s="293"/>
      <c r="BB174" s="289"/>
      <c r="BC174" s="291"/>
      <c r="BD174" s="292"/>
      <c r="BE174" s="292"/>
      <c r="BF174" s="293"/>
      <c r="BG174" s="289"/>
      <c r="BH174" s="291"/>
      <c r="BI174" s="292"/>
      <c r="BJ174" s="292"/>
      <c r="BK174" s="293"/>
      <c r="BL174" s="289"/>
      <c r="BM174" s="291"/>
      <c r="BN174" s="292"/>
      <c r="BO174" s="292"/>
      <c r="BP174" s="293"/>
      <c r="BQ174" s="289"/>
      <c r="BR174" s="289"/>
      <c r="BS174" s="289"/>
      <c r="BT174" s="289"/>
      <c r="BU174" s="289"/>
      <c r="BV174" s="289"/>
      <c r="BW174" s="289"/>
      <c r="BX174" s="289"/>
      <c r="BY174" s="924"/>
      <c r="BZ174" s="220"/>
      <c r="CA174" s="926"/>
      <c r="CB174" s="289"/>
      <c r="CC174" s="925"/>
      <c r="CD174" s="289"/>
      <c r="CE174" s="289"/>
      <c r="CF174" s="289"/>
      <c r="CG174" s="289"/>
      <c r="CH174" s="289"/>
      <c r="CI174" s="289"/>
      <c r="CJ174" s="289"/>
      <c r="CK174" s="289"/>
      <c r="CL174" s="289"/>
      <c r="CM174" s="289"/>
      <c r="CN174" s="289"/>
      <c r="CO174" s="289"/>
      <c r="CP174" s="289"/>
      <c r="CQ174" s="289"/>
      <c r="CR174" s="289"/>
      <c r="CS174" s="289"/>
      <c r="CT174" s="289"/>
      <c r="CU174" s="289"/>
      <c r="CV174" s="289"/>
      <c r="CW174" s="289"/>
      <c r="CX174" s="289"/>
      <c r="CY174" s="289"/>
      <c r="CZ174" s="289"/>
    </row>
    <row r="175" spans="1:104" x14ac:dyDescent="0.2">
      <c r="A175" s="289"/>
      <c r="B175" s="347" t="s">
        <v>293</v>
      </c>
      <c r="C175" s="347"/>
      <c r="D175" s="348"/>
      <c r="E175" s="291"/>
      <c r="F175" s="292"/>
      <c r="G175" s="292"/>
      <c r="H175" s="293"/>
      <c r="I175" s="289"/>
      <c r="J175" s="291"/>
      <c r="K175" s="292"/>
      <c r="L175" s="292"/>
      <c r="M175" s="293"/>
      <c r="N175" s="289"/>
      <c r="O175" s="291"/>
      <c r="P175" s="292"/>
      <c r="Q175" s="292"/>
      <c r="R175" s="293"/>
      <c r="S175" s="289"/>
      <c r="T175" s="291"/>
      <c r="U175" s="292"/>
      <c r="V175" s="292"/>
      <c r="W175" s="293"/>
      <c r="X175" s="289"/>
      <c r="Y175" s="291"/>
      <c r="Z175" s="292"/>
      <c r="AA175" s="292"/>
      <c r="AB175" s="293"/>
      <c r="AC175" s="289"/>
      <c r="AD175" s="291"/>
      <c r="AE175" s="292"/>
      <c r="AF175" s="292"/>
      <c r="AG175" s="293"/>
      <c r="AH175" s="289"/>
      <c r="AI175" s="291"/>
      <c r="AJ175" s="292"/>
      <c r="AK175" s="292"/>
      <c r="AL175" s="293"/>
      <c r="AM175" s="289"/>
      <c r="AN175" s="291"/>
      <c r="AO175" s="292"/>
      <c r="AP175" s="292"/>
      <c r="AQ175" s="293"/>
      <c r="AR175" s="289"/>
      <c r="AS175" s="291"/>
      <c r="AT175" s="292"/>
      <c r="AU175" s="292"/>
      <c r="AV175" s="293"/>
      <c r="AW175" s="289"/>
      <c r="AX175" s="291"/>
      <c r="AY175" s="292"/>
      <c r="AZ175" s="292"/>
      <c r="BA175" s="293"/>
      <c r="BB175" s="289"/>
      <c r="BC175" s="291"/>
      <c r="BD175" s="292"/>
      <c r="BE175" s="292"/>
      <c r="BF175" s="293"/>
      <c r="BG175" s="289"/>
      <c r="BH175" s="291"/>
      <c r="BI175" s="292"/>
      <c r="BJ175" s="292"/>
      <c r="BK175" s="293"/>
      <c r="BL175" s="289"/>
      <c r="BM175" s="291"/>
      <c r="BN175" s="292"/>
      <c r="BO175" s="292"/>
      <c r="BP175" s="293"/>
      <c r="BQ175" s="289"/>
      <c r="BR175" s="289"/>
      <c r="BS175" s="289"/>
      <c r="BT175" s="289"/>
      <c r="BU175" s="289"/>
      <c r="BV175" s="289"/>
      <c r="BW175" s="289"/>
      <c r="BX175" s="289"/>
      <c r="CB175" s="289"/>
      <c r="CC175" s="289"/>
      <c r="CD175" s="289"/>
      <c r="CE175" s="289"/>
      <c r="CF175" s="289"/>
      <c r="CG175" s="289"/>
      <c r="CH175" s="289"/>
      <c r="CI175" s="289"/>
      <c r="CJ175" s="289"/>
      <c r="CK175" s="289"/>
      <c r="CL175" s="289"/>
      <c r="CM175" s="289"/>
      <c r="CN175" s="289"/>
      <c r="CO175" s="289"/>
      <c r="CP175" s="289"/>
      <c r="CQ175" s="289"/>
      <c r="CR175" s="289"/>
      <c r="CS175" s="289"/>
      <c r="CT175" s="289"/>
      <c r="CU175" s="289"/>
      <c r="CV175" s="289"/>
      <c r="CW175" s="289"/>
      <c r="CX175" s="289"/>
      <c r="CY175" s="289"/>
      <c r="CZ175" s="289"/>
    </row>
    <row r="176" spans="1:104" x14ac:dyDescent="0.2">
      <c r="A176" s="220"/>
      <c r="B176" s="220"/>
      <c r="C176" s="20" t="s">
        <v>126</v>
      </c>
      <c r="D176" s="82"/>
      <c r="E176" s="136">
        <f t="shared" ref="E176:AF176" si="363">+E28</f>
        <v>10.135</v>
      </c>
      <c r="F176" s="135">
        <f t="shared" si="363"/>
        <v>9.6890000000000001</v>
      </c>
      <c r="G176" s="135">
        <f t="shared" si="363"/>
        <v>10.396000000000001</v>
      </c>
      <c r="H176" s="116">
        <f t="shared" si="363"/>
        <v>10.898000000000003</v>
      </c>
      <c r="I176" s="82">
        <f t="shared" si="363"/>
        <v>41.118000000000002</v>
      </c>
      <c r="J176" s="136">
        <f t="shared" si="363"/>
        <v>2.9780000000000002</v>
      </c>
      <c r="K176" s="135">
        <f t="shared" si="363"/>
        <v>3.2789999999999999</v>
      </c>
      <c r="L176" s="135">
        <f t="shared" si="363"/>
        <v>2.544</v>
      </c>
      <c r="M176" s="116">
        <f t="shared" si="363"/>
        <v>2.5689999999999991</v>
      </c>
      <c r="N176" s="82">
        <f t="shared" si="363"/>
        <v>11.37</v>
      </c>
      <c r="O176" s="136">
        <f t="shared" si="363"/>
        <v>1.619</v>
      </c>
      <c r="P176" s="135">
        <f t="shared" si="363"/>
        <v>1.798</v>
      </c>
      <c r="Q176" s="135">
        <f t="shared" si="363"/>
        <v>1.956</v>
      </c>
      <c r="R176" s="116">
        <f t="shared" si="363"/>
        <v>2.3370000000000006</v>
      </c>
      <c r="S176" s="82">
        <f t="shared" si="363"/>
        <v>7.71</v>
      </c>
      <c r="T176" s="136">
        <f t="shared" si="363"/>
        <v>2.726</v>
      </c>
      <c r="U176" s="135">
        <f t="shared" si="363"/>
        <v>3.548</v>
      </c>
      <c r="V176" s="135">
        <f t="shared" si="363"/>
        <v>4.6870000000000003</v>
      </c>
      <c r="W176" s="116">
        <f t="shared" si="363"/>
        <v>5.3929999999999989</v>
      </c>
      <c r="X176" s="82">
        <f t="shared" si="363"/>
        <v>16.353999999999999</v>
      </c>
      <c r="Y176" s="136">
        <f t="shared" si="363"/>
        <v>5.923</v>
      </c>
      <c r="Z176" s="135">
        <f t="shared" si="363"/>
        <v>6.7910000000000004</v>
      </c>
      <c r="AA176" s="135">
        <f t="shared" si="363"/>
        <v>8.8149999999999995</v>
      </c>
      <c r="AB176" s="116">
        <f t="shared" si="363"/>
        <v>11.644000000000002</v>
      </c>
      <c r="AC176" s="82">
        <f t="shared" si="363"/>
        <v>33.173000000000002</v>
      </c>
      <c r="AD176" s="136">
        <f t="shared" si="363"/>
        <v>11.43</v>
      </c>
      <c r="AE176" s="135">
        <f t="shared" si="363"/>
        <v>12.952</v>
      </c>
      <c r="AF176" s="135">
        <f t="shared" si="363"/>
        <v>12.315</v>
      </c>
      <c r="AG176" s="116">
        <f t="shared" ref="AG176:AM176" si="364">+AG28</f>
        <v>10.087000000000003</v>
      </c>
      <c r="AH176" s="82">
        <f t="shared" si="364"/>
        <v>46.783999999999999</v>
      </c>
      <c r="AI176" s="136">
        <f t="shared" si="364"/>
        <v>2.806</v>
      </c>
      <c r="AJ176" s="135">
        <f t="shared" si="364"/>
        <v>3.391</v>
      </c>
      <c r="AK176" s="135">
        <f t="shared" si="364"/>
        <v>3.9580000000000002</v>
      </c>
      <c r="AL176" s="116">
        <f t="shared" si="364"/>
        <v>4.3299999999999983</v>
      </c>
      <c r="AM176" s="82">
        <f t="shared" si="364"/>
        <v>14.484999999999999</v>
      </c>
      <c r="AN176" s="136">
        <f t="shared" ref="AN176:AR176" si="365">+AN28</f>
        <v>4.3179999999999996</v>
      </c>
      <c r="AO176" s="135">
        <f t="shared" si="365"/>
        <v>4.0529999999999999</v>
      </c>
      <c r="AP176" s="135">
        <f t="shared" si="365"/>
        <v>5.343</v>
      </c>
      <c r="AQ176" s="116">
        <f t="shared" si="365"/>
        <v>4.843</v>
      </c>
      <c r="AR176" s="82">
        <f t="shared" si="365"/>
        <v>18.556999999999999</v>
      </c>
      <c r="AS176" s="136">
        <f t="shared" ref="AS176:AW176" si="366">+AS28</f>
        <v>4.6079999999999997</v>
      </c>
      <c r="AT176" s="135">
        <f t="shared" si="366"/>
        <v>6.3410000000000002</v>
      </c>
      <c r="AU176" s="135">
        <f t="shared" si="366"/>
        <v>8.6419999999999995</v>
      </c>
      <c r="AV176" s="116">
        <f t="shared" si="366"/>
        <v>10.212</v>
      </c>
      <c r="AW176" s="82">
        <f t="shared" si="366"/>
        <v>29.803000000000001</v>
      </c>
      <c r="AX176" s="136">
        <f>+AX159*AX177/4</f>
        <v>9.9237884708039665</v>
      </c>
      <c r="AY176" s="135">
        <f>+AY159*AY177/4</f>
        <v>9.9237884708039665</v>
      </c>
      <c r="AZ176" s="135">
        <f>+AZ159*AZ177/4</f>
        <v>9.9237884708039665</v>
      </c>
      <c r="BA176" s="116">
        <f>+BA159*BA177/4</f>
        <v>9.9237884708039665</v>
      </c>
      <c r="BB176" s="82">
        <f>SUM(AX176:BA176)</f>
        <v>39.695153883215866</v>
      </c>
      <c r="BC176" s="136">
        <f>+BC159*BC177/4</f>
        <v>6.134705600133362</v>
      </c>
      <c r="BD176" s="135">
        <f>+BD159*BD177/4</f>
        <v>6.134705600133362</v>
      </c>
      <c r="BE176" s="135">
        <f>+BE159*BE177/4</f>
        <v>6.134705600133362</v>
      </c>
      <c r="BF176" s="116">
        <f>+BF159*BF177/4</f>
        <v>6.134705600133362</v>
      </c>
      <c r="BG176" s="82">
        <f>SUM(BC176:BF176)</f>
        <v>24.538822400533448</v>
      </c>
      <c r="BH176" s="136">
        <f>+BH159*BH177/4</f>
        <v>5.7136963922810713</v>
      </c>
      <c r="BI176" s="135">
        <f>+BI159*BI177/4</f>
        <v>5.7136963922810713</v>
      </c>
      <c r="BJ176" s="135">
        <f>+BJ159*BJ177/4</f>
        <v>5.7136963922810713</v>
      </c>
      <c r="BK176" s="116">
        <f>+BK159*BK177/4</f>
        <v>5.7136963922810713</v>
      </c>
      <c r="BL176" s="82">
        <f>SUM(BH176:BK176)</f>
        <v>22.854785569124285</v>
      </c>
      <c r="BM176" s="136">
        <f>+BM159*BM177/4</f>
        <v>6.9165798432876135</v>
      </c>
      <c r="BN176" s="135">
        <f>+BN159*BN177/4</f>
        <v>6.9165798432876135</v>
      </c>
      <c r="BO176" s="135">
        <f>+BO159*BO177/4</f>
        <v>6.9165798432876135</v>
      </c>
      <c r="BP176" s="116">
        <f>+BP159*BP177/4</f>
        <v>6.9165798432876135</v>
      </c>
      <c r="BQ176" s="82">
        <f>SUM(BM176:BP176)</f>
        <v>27.666319373150454</v>
      </c>
      <c r="BR176" s="220"/>
      <c r="BS176" s="220"/>
      <c r="BT176" s="220"/>
      <c r="BU176" s="220"/>
      <c r="BV176" s="220"/>
      <c r="BW176" s="220"/>
      <c r="BX176" s="220"/>
      <c r="CB176" s="220"/>
      <c r="CC176" s="220"/>
      <c r="CD176" s="220"/>
      <c r="CE176" s="220"/>
      <c r="CF176" s="220"/>
      <c r="CG176" s="220"/>
      <c r="CH176" s="220"/>
      <c r="CI176" s="220"/>
      <c r="CJ176" s="220"/>
      <c r="CK176" s="220"/>
      <c r="CL176" s="220"/>
      <c r="CM176" s="220"/>
      <c r="CN176" s="220"/>
      <c r="CO176" s="220"/>
      <c r="CP176" s="220"/>
      <c r="CQ176" s="220"/>
      <c r="CR176" s="220"/>
      <c r="CS176" s="220"/>
      <c r="CT176" s="220"/>
      <c r="CU176" s="220"/>
      <c r="CV176" s="220"/>
      <c r="CW176" s="220"/>
      <c r="CX176" s="220"/>
      <c r="CY176" s="220"/>
      <c r="CZ176" s="220"/>
    </row>
    <row r="177" spans="1:104" x14ac:dyDescent="0.2">
      <c r="A177" s="20"/>
      <c r="B177" s="20"/>
      <c r="C177" s="20" t="s">
        <v>294</v>
      </c>
      <c r="D177" s="20"/>
      <c r="E177" s="207">
        <f>+E176/E159*4</f>
        <v>3.5847555044654693E-2</v>
      </c>
      <c r="F177" s="208">
        <f>+F176/F159*4</f>
        <v>4.0849065254579396E-2</v>
      </c>
      <c r="G177" s="208">
        <f>+G176/G159*4</f>
        <v>4.3467126313269787E-2</v>
      </c>
      <c r="H177" s="209">
        <f>+H176/H159*4</f>
        <v>4.1995620478741613E-2</v>
      </c>
      <c r="I177" s="88">
        <f>+I176/AVERAGE(I159,D159)</f>
        <v>3.9612220656196025E-2</v>
      </c>
      <c r="J177" s="207">
        <f>+J176/J159*4</f>
        <v>1.1305751677782281E-2</v>
      </c>
      <c r="K177" s="208">
        <f>+K176/K159*4</f>
        <v>5.2276640520374978E-2</v>
      </c>
      <c r="L177" s="208">
        <f>+L176/L159*4</f>
        <v>3.2822735937605839E-2</v>
      </c>
      <c r="M177" s="209">
        <f>+M176/M159*4</f>
        <v>4.4362707005819457E-2</v>
      </c>
      <c r="N177" s="88">
        <f>+N176/AVERAGE(N159,I159)</f>
        <v>1.7910461867807561E-2</v>
      </c>
      <c r="O177" s="207">
        <f>+O176/O159*4</f>
        <v>2.53024099021661E-2</v>
      </c>
      <c r="P177" s="208">
        <f>+P176/P159*4</f>
        <v>2.9052599262374221E-2</v>
      </c>
      <c r="Q177" s="208">
        <f>+Q176/Q159*4</f>
        <v>2.9502039954449815E-2</v>
      </c>
      <c r="R177" s="209">
        <f>+R176/R159*4</f>
        <v>3.8612941200768303E-2</v>
      </c>
      <c r="S177" s="88">
        <f>+S176/AVERAGE(S159,N159)</f>
        <v>3.2550118105000518E-2</v>
      </c>
      <c r="T177" s="207">
        <f>+T176/T159*4</f>
        <v>3.4293837550871495E-2</v>
      </c>
      <c r="U177" s="208">
        <f>+U176/U159*4</f>
        <v>3.6172061975751062E-2</v>
      </c>
      <c r="V177" s="208">
        <f>+V176/V159*4</f>
        <v>3.8217469387089482E-2</v>
      </c>
      <c r="W177" s="209">
        <f>+W176/W159*4</f>
        <v>4.2613462393204592E-2</v>
      </c>
      <c r="X177" s="88">
        <f>+X176/AVERAGE(X159,S159)</f>
        <v>4.3708573872140256E-2</v>
      </c>
      <c r="Y177" s="207">
        <f>+Y176/Y159*4</f>
        <v>3.840754274079286E-2</v>
      </c>
      <c r="Z177" s="208">
        <f>+Z176/Z159*4</f>
        <v>3.7727358584904613E-2</v>
      </c>
      <c r="AA177" s="208">
        <f>+AA176/AA159*4</f>
        <v>4.1477180492785606E-2</v>
      </c>
      <c r="AB177" s="209">
        <f>+AB176/AB159*4</f>
        <v>4.8900279169190812E-2</v>
      </c>
      <c r="AC177" s="88">
        <f>+AC176/AVERAGE(AC159,X159)</f>
        <v>4.5483151366907663E-2</v>
      </c>
      <c r="AD177" s="207">
        <f>+AD176/AD159*4</f>
        <v>4.3275415077677098E-2</v>
      </c>
      <c r="AE177" s="208">
        <f>+AE176/AE159*4</f>
        <v>4.3474904252498163E-2</v>
      </c>
      <c r="AF177" s="208">
        <f>+AF176/AF159*4</f>
        <v>4.9461307521612964E-2</v>
      </c>
      <c r="AG177" s="209">
        <f>+AG176/AG159*4</f>
        <v>4.8693007651275627E-2</v>
      </c>
      <c r="AH177" s="88">
        <f>+AH176/AVERAGE(AH159,AC159)</f>
        <v>5.2534151858778536E-2</v>
      </c>
      <c r="AI177" s="207">
        <f>+AI176/AI159*4</f>
        <v>1.2850383027052896E-2</v>
      </c>
      <c r="AJ177" s="208">
        <f>+AJ176/AJ159*4</f>
        <v>1.4416321776043227E-2</v>
      </c>
      <c r="AK177" s="208">
        <f>+AK176/AK159*4</f>
        <v>3.256721925892709E-2</v>
      </c>
      <c r="AL177" s="209">
        <f>+AL176/AL159*4</f>
        <v>4.2351019529884106E-2</v>
      </c>
      <c r="AM177" s="88">
        <f>+AM176/AVERAGE(AM159,AH159)</f>
        <v>2.3408530983376467E-2</v>
      </c>
      <c r="AN177" s="207">
        <f>+AN176/AN159*4</f>
        <v>3.814605575260719E-2</v>
      </c>
      <c r="AO177" s="208">
        <f>+AO176/AO159*4</f>
        <v>3.0831198617046161E-2</v>
      </c>
      <c r="AP177" s="208">
        <f>+AP176/AP159*4</f>
        <v>3.81773751000343E-2</v>
      </c>
      <c r="AQ177" s="209">
        <f>+AQ176/AQ159*4</f>
        <v>3.9996696535491601E-2</v>
      </c>
      <c r="AR177" s="88">
        <f>+AR176/AVERAGE(AR159,AM159)</f>
        <v>4.154693312347546E-2</v>
      </c>
      <c r="AS177" s="207">
        <f>+AS176/AS159*4</f>
        <v>3.1569968793140654E-2</v>
      </c>
      <c r="AT177" s="208">
        <f>+AT176/AT159*4</f>
        <v>3.8503751853915275E-2</v>
      </c>
      <c r="AU177" s="208">
        <f>+AU176/AU159*4</f>
        <v>3.953343953961521E-2</v>
      </c>
      <c r="AV177" s="209">
        <f>+AV176/AV159*4</f>
        <v>4.0270600135260633E-2</v>
      </c>
      <c r="AW177" s="88">
        <f>+AW176/AVERAGE(AW159,AR159)</f>
        <v>3.977238606291679E-2</v>
      </c>
      <c r="AX177" s="858">
        <v>3.5000000000000003E-2</v>
      </c>
      <c r="AY177" s="208">
        <f>+AX177</f>
        <v>3.5000000000000003E-2</v>
      </c>
      <c r="AZ177" s="208">
        <f>+AY177</f>
        <v>3.5000000000000003E-2</v>
      </c>
      <c r="BA177" s="209">
        <f>+AZ177</f>
        <v>3.5000000000000003E-2</v>
      </c>
      <c r="BB177" s="88">
        <f>+BB176/BB159</f>
        <v>3.5000000000000003E-2</v>
      </c>
      <c r="BC177" s="207">
        <f>+BA177</f>
        <v>3.5000000000000003E-2</v>
      </c>
      <c r="BD177" s="208">
        <f>+BC177</f>
        <v>3.5000000000000003E-2</v>
      </c>
      <c r="BE177" s="208">
        <f>+BD177</f>
        <v>3.5000000000000003E-2</v>
      </c>
      <c r="BF177" s="209">
        <f>+BE177</f>
        <v>3.5000000000000003E-2</v>
      </c>
      <c r="BG177" s="88">
        <f>+BG176/BG159</f>
        <v>3.5000000000000003E-2</v>
      </c>
      <c r="BH177" s="207">
        <f>+BF177</f>
        <v>3.5000000000000003E-2</v>
      </c>
      <c r="BI177" s="208">
        <f>+BH177</f>
        <v>3.5000000000000003E-2</v>
      </c>
      <c r="BJ177" s="208">
        <f>+BI177</f>
        <v>3.5000000000000003E-2</v>
      </c>
      <c r="BK177" s="209">
        <f>+BJ177</f>
        <v>3.5000000000000003E-2</v>
      </c>
      <c r="BL177" s="88">
        <f>+BL176/BL159</f>
        <v>3.5000000000000003E-2</v>
      </c>
      <c r="BM177" s="207">
        <f>+BK177</f>
        <v>3.5000000000000003E-2</v>
      </c>
      <c r="BN177" s="208">
        <f>+BM177</f>
        <v>3.5000000000000003E-2</v>
      </c>
      <c r="BO177" s="208">
        <f>+BN177</f>
        <v>3.5000000000000003E-2</v>
      </c>
      <c r="BP177" s="209">
        <f>+BO177</f>
        <v>3.5000000000000003E-2</v>
      </c>
      <c r="BQ177" s="88">
        <f>+BQ176/BQ159</f>
        <v>3.5000000000000003E-2</v>
      </c>
      <c r="BR177" s="20"/>
      <c r="BS177" s="20"/>
      <c r="BT177" s="20"/>
      <c r="BU177" s="20"/>
      <c r="BV177" s="20"/>
      <c r="BW177" s="20"/>
      <c r="BX177" s="20"/>
      <c r="BY177" s="890"/>
      <c r="BZ177" s="289"/>
      <c r="CA177" s="927"/>
      <c r="CB177" s="20"/>
      <c r="CC177" s="20"/>
      <c r="CD177" s="20"/>
      <c r="CE177" s="20"/>
      <c r="CF177" s="20"/>
      <c r="CG177" s="20"/>
      <c r="CH177" s="20"/>
      <c r="CI177" s="20"/>
      <c r="CJ177" s="20"/>
      <c r="CK177" s="20"/>
      <c r="CL177" s="20"/>
      <c r="CM177" s="20"/>
      <c r="CN177" s="20"/>
      <c r="CO177" s="20"/>
      <c r="CP177" s="20"/>
      <c r="CQ177" s="20"/>
      <c r="CR177" s="20"/>
      <c r="CS177" s="20"/>
      <c r="CT177" s="20"/>
      <c r="CU177" s="20"/>
      <c r="CV177" s="20"/>
      <c r="CW177" s="20"/>
      <c r="CX177" s="20"/>
      <c r="CY177" s="20"/>
      <c r="CZ177" s="20"/>
    </row>
    <row r="178" spans="1:104" x14ac:dyDescent="0.2">
      <c r="A178" s="20"/>
      <c r="B178" s="20"/>
      <c r="C178" s="20"/>
      <c r="D178" s="20"/>
      <c r="E178" s="203"/>
      <c r="F178" s="204"/>
      <c r="G178" s="204"/>
      <c r="H178" s="205"/>
      <c r="I178" s="82"/>
      <c r="J178" s="203"/>
      <c r="K178" s="204"/>
      <c r="L178" s="204"/>
      <c r="M178" s="205"/>
      <c r="N178" s="82"/>
      <c r="O178" s="203"/>
      <c r="P178" s="204"/>
      <c r="Q178" s="204"/>
      <c r="R178" s="205"/>
      <c r="S178" s="82"/>
      <c r="T178" s="203"/>
      <c r="U178" s="204"/>
      <c r="V178" s="204"/>
      <c r="W178" s="205"/>
      <c r="X178" s="82"/>
      <c r="Y178" s="203"/>
      <c r="Z178" s="204"/>
      <c r="AA178" s="204"/>
      <c r="AB178" s="205"/>
      <c r="AC178" s="82"/>
      <c r="AD178" s="203"/>
      <c r="AE178" s="204"/>
      <c r="AF178" s="204"/>
      <c r="AG178" s="205"/>
      <c r="AH178" s="82"/>
      <c r="AI178" s="203"/>
      <c r="AJ178" s="204"/>
      <c r="AK178" s="204"/>
      <c r="AL178" s="205"/>
      <c r="AM178" s="82"/>
      <c r="AN178" s="203"/>
      <c r="AO178" s="204"/>
      <c r="AP178" s="204"/>
      <c r="AQ178" s="205"/>
      <c r="AR178" s="82"/>
      <c r="AS178" s="203"/>
      <c r="AT178" s="204"/>
      <c r="AU178" s="204"/>
      <c r="AV178" s="205"/>
      <c r="AW178" s="82"/>
      <c r="AX178" s="207"/>
      <c r="AY178" s="208"/>
      <c r="AZ178" s="208"/>
      <c r="BA178" s="209"/>
      <c r="BB178" s="88"/>
      <c r="BC178" s="207"/>
      <c r="BD178" s="208"/>
      <c r="BE178" s="208"/>
      <c r="BF178" s="209"/>
      <c r="BG178" s="88"/>
      <c r="BH178" s="207"/>
      <c r="BI178" s="208"/>
      <c r="BJ178" s="208"/>
      <c r="BK178" s="209"/>
      <c r="BL178" s="88"/>
      <c r="BM178" s="207"/>
      <c r="BN178" s="208"/>
      <c r="BO178" s="208"/>
      <c r="BP178" s="209"/>
      <c r="BQ178" s="88"/>
      <c r="BR178" s="20"/>
      <c r="BS178" s="20"/>
      <c r="BT178" s="20"/>
      <c r="BU178" s="20"/>
      <c r="BV178" s="20"/>
      <c r="BW178" s="20"/>
      <c r="BX178" s="20"/>
      <c r="BY178" s="890"/>
      <c r="BZ178" s="289"/>
      <c r="CA178" s="927"/>
      <c r="CB178" s="20"/>
      <c r="CC178" s="20"/>
      <c r="CD178" s="20"/>
      <c r="CE178" s="20"/>
      <c r="CF178" s="20"/>
      <c r="CG178" s="20"/>
      <c r="CH178" s="20"/>
      <c r="CI178" s="20"/>
      <c r="CJ178" s="20"/>
      <c r="CK178" s="20"/>
      <c r="CL178" s="20"/>
      <c r="CM178" s="20"/>
      <c r="CN178" s="20"/>
      <c r="CO178" s="20"/>
      <c r="CP178" s="20"/>
      <c r="CQ178" s="20"/>
      <c r="CR178" s="20"/>
      <c r="CS178" s="20"/>
      <c r="CT178" s="20"/>
      <c r="CU178" s="20"/>
      <c r="CV178" s="20"/>
      <c r="CW178" s="20"/>
      <c r="CX178" s="20"/>
      <c r="CY178" s="20"/>
      <c r="CZ178" s="20"/>
    </row>
    <row r="179" spans="1:104" x14ac:dyDescent="0.2">
      <c r="A179" s="220"/>
      <c r="B179" s="220"/>
      <c r="C179" s="20" t="s">
        <v>133</v>
      </c>
      <c r="D179" s="82"/>
      <c r="E179" s="136">
        <f t="shared" ref="E179:AF179" si="367">-E36</f>
        <v>4.9619999999999997</v>
      </c>
      <c r="F179" s="135">
        <f t="shared" si="367"/>
        <v>4.367</v>
      </c>
      <c r="G179" s="135">
        <f t="shared" si="367"/>
        <v>4.4870000000000001</v>
      </c>
      <c r="H179" s="116">
        <f t="shared" si="367"/>
        <v>4.636000000000001</v>
      </c>
      <c r="I179" s="82">
        <f t="shared" si="367"/>
        <v>18.452000000000002</v>
      </c>
      <c r="J179" s="136">
        <f t="shared" si="367"/>
        <v>1.665</v>
      </c>
      <c r="K179" s="135">
        <f t="shared" si="367"/>
        <v>1.4259999999999999</v>
      </c>
      <c r="L179" s="135">
        <f t="shared" si="367"/>
        <v>1.111</v>
      </c>
      <c r="M179" s="116">
        <f t="shared" si="367"/>
        <v>1.1050000000000004</v>
      </c>
      <c r="N179" s="82">
        <f t="shared" si="367"/>
        <v>5.3070000000000004</v>
      </c>
      <c r="O179" s="136">
        <f t="shared" si="367"/>
        <v>0.72599999999999998</v>
      </c>
      <c r="P179" s="135">
        <f t="shared" si="367"/>
        <v>0.82</v>
      </c>
      <c r="Q179" s="135">
        <f t="shared" si="367"/>
        <v>0.85299999999999998</v>
      </c>
      <c r="R179" s="116">
        <f t="shared" si="367"/>
        <v>1.0070000000000001</v>
      </c>
      <c r="S179" s="82">
        <f t="shared" si="367"/>
        <v>3.4060000000000001</v>
      </c>
      <c r="T179" s="136">
        <f t="shared" si="367"/>
        <v>1.161</v>
      </c>
      <c r="U179" s="135">
        <f t="shared" si="367"/>
        <v>1.534</v>
      </c>
      <c r="V179" s="135">
        <f t="shared" si="367"/>
        <v>2.633</v>
      </c>
      <c r="W179" s="116">
        <f t="shared" si="367"/>
        <v>3.0769999999999991</v>
      </c>
      <c r="X179" s="82">
        <f t="shared" si="367"/>
        <v>8.4049999999999994</v>
      </c>
      <c r="Y179" s="136">
        <f t="shared" si="367"/>
        <v>2.1509999999999998</v>
      </c>
      <c r="Z179" s="135">
        <f t="shared" si="367"/>
        <v>3.1</v>
      </c>
      <c r="AA179" s="135">
        <f t="shared" si="367"/>
        <v>3.1869999999999998</v>
      </c>
      <c r="AB179" s="116">
        <f t="shared" si="367"/>
        <v>4.2190000000000012</v>
      </c>
      <c r="AC179" s="82">
        <f t="shared" si="367"/>
        <v>12.657</v>
      </c>
      <c r="AD179" s="136">
        <f t="shared" si="367"/>
        <v>4.2080000000000002</v>
      </c>
      <c r="AE179" s="135">
        <f t="shared" si="367"/>
        <v>4.8120000000000003</v>
      </c>
      <c r="AF179" s="135">
        <f t="shared" si="367"/>
        <v>4.5640000000000001</v>
      </c>
      <c r="AG179" s="116">
        <f t="shared" ref="AG179:AM179" si="368">-AG36</f>
        <v>3.657</v>
      </c>
      <c r="AH179" s="82">
        <f t="shared" si="368"/>
        <v>17.241</v>
      </c>
      <c r="AI179" s="136">
        <f t="shared" si="368"/>
        <v>1.0980000000000001</v>
      </c>
      <c r="AJ179" s="135">
        <f t="shared" si="368"/>
        <v>1.325</v>
      </c>
      <c r="AK179" s="135">
        <f t="shared" si="368"/>
        <v>1.4670000000000001</v>
      </c>
      <c r="AL179" s="116">
        <f t="shared" si="368"/>
        <v>1.6320000000000001</v>
      </c>
      <c r="AM179" s="82">
        <f t="shared" si="368"/>
        <v>5.5220000000000002</v>
      </c>
      <c r="AN179" s="136">
        <f t="shared" ref="AN179:AR179" si="369">-AN36</f>
        <v>1.61</v>
      </c>
      <c r="AO179" s="135">
        <f t="shared" si="369"/>
        <v>1.617</v>
      </c>
      <c r="AP179" s="135">
        <f t="shared" si="369"/>
        <v>1.9950000000000001</v>
      </c>
      <c r="AQ179" s="116">
        <f t="shared" si="369"/>
        <v>1.8229999999999995</v>
      </c>
      <c r="AR179" s="82">
        <f t="shared" si="369"/>
        <v>7.0449999999999999</v>
      </c>
      <c r="AS179" s="136">
        <f t="shared" ref="AS179:AW179" si="370">-AS36</f>
        <v>1.9059999999999999</v>
      </c>
      <c r="AT179" s="135">
        <f t="shared" si="370"/>
        <v>2.4380000000000002</v>
      </c>
      <c r="AU179" s="135">
        <f t="shared" si="370"/>
        <v>3.266</v>
      </c>
      <c r="AV179" s="116">
        <f t="shared" si="370"/>
        <v>3.7969999999999997</v>
      </c>
      <c r="AW179" s="82">
        <f t="shared" si="370"/>
        <v>11.407</v>
      </c>
      <c r="AX179" s="136">
        <f>+AX159*AX180/4</f>
        <v>5.6707362690308383</v>
      </c>
      <c r="AY179" s="135">
        <f>+AY159*AY180/4</f>
        <v>5.6707362690308383</v>
      </c>
      <c r="AZ179" s="135">
        <f>+AZ159*AZ180/4</f>
        <v>5.6707362690308383</v>
      </c>
      <c r="BA179" s="116">
        <f>+BA159*BA180/4</f>
        <v>5.6707362690308383</v>
      </c>
      <c r="BB179" s="82">
        <f>SUM(AX179:BA179)</f>
        <v>22.682945076123353</v>
      </c>
      <c r="BC179" s="136">
        <f>+BC159*BC180/4</f>
        <v>3.5055460572190635</v>
      </c>
      <c r="BD179" s="135">
        <f>+BD159*BD180/4</f>
        <v>3.5055460572190635</v>
      </c>
      <c r="BE179" s="135">
        <f>+BE159*BE180/4</f>
        <v>3.5055460572190635</v>
      </c>
      <c r="BF179" s="116">
        <f>+BF159*BF180/4</f>
        <v>3.5055460572190635</v>
      </c>
      <c r="BG179" s="82">
        <f>SUM(BC179:BF179)</f>
        <v>14.022184228876254</v>
      </c>
      <c r="BH179" s="136">
        <f>+BH159*BH180/4</f>
        <v>3.2649693670177551</v>
      </c>
      <c r="BI179" s="135">
        <f>+BI159*BI180/4</f>
        <v>3.2649693670177551</v>
      </c>
      <c r="BJ179" s="135">
        <f>+BJ159*BJ180/4</f>
        <v>3.2649693670177551</v>
      </c>
      <c r="BK179" s="116">
        <f>+BK159*BK180/4</f>
        <v>3.2649693670177551</v>
      </c>
      <c r="BL179" s="82">
        <f>SUM(BH179:BK179)</f>
        <v>13.05987746807102</v>
      </c>
      <c r="BM179" s="136">
        <f>+BM159*BM180/4</f>
        <v>3.9523313390214931</v>
      </c>
      <c r="BN179" s="135">
        <f>+BN159*BN180/4</f>
        <v>3.9523313390214931</v>
      </c>
      <c r="BO179" s="135">
        <f>+BO159*BO180/4</f>
        <v>3.9523313390214931</v>
      </c>
      <c r="BP179" s="116">
        <f>+BP159*BP180/4</f>
        <v>3.9523313390214931</v>
      </c>
      <c r="BQ179" s="82">
        <f>SUM(BM179:BP179)</f>
        <v>15.809325356085973</v>
      </c>
      <c r="BR179" s="220"/>
      <c r="BS179" s="220"/>
      <c r="BT179" s="220"/>
      <c r="BU179" s="220"/>
      <c r="BV179" s="220"/>
      <c r="BW179" s="220"/>
      <c r="BX179" s="220"/>
      <c r="CB179" s="220"/>
      <c r="CC179" s="220"/>
      <c r="CD179" s="220"/>
      <c r="CE179" s="220"/>
      <c r="CF179" s="220"/>
      <c r="CG179" s="220"/>
      <c r="CH179" s="220"/>
      <c r="CI179" s="220"/>
      <c r="CJ179" s="220"/>
      <c r="CK179" s="220"/>
      <c r="CL179" s="220"/>
      <c r="CM179" s="220"/>
      <c r="CN179" s="220"/>
      <c r="CO179" s="220"/>
      <c r="CP179" s="220"/>
      <c r="CQ179" s="220"/>
      <c r="CR179" s="220"/>
      <c r="CS179" s="220"/>
      <c r="CT179" s="220"/>
      <c r="CU179" s="220"/>
      <c r="CV179" s="220"/>
      <c r="CW179" s="220"/>
      <c r="CX179" s="220"/>
      <c r="CY179" s="220"/>
      <c r="CZ179" s="220"/>
    </row>
    <row r="180" spans="1:104" x14ac:dyDescent="0.2">
      <c r="A180" s="20"/>
      <c r="B180" s="20"/>
      <c r="C180" s="20" t="s">
        <v>295</v>
      </c>
      <c r="D180" s="20"/>
      <c r="E180" s="207">
        <f>+E179/E159*4</f>
        <v>1.7550623397294188E-2</v>
      </c>
      <c r="F180" s="208">
        <f>+F179/F159*4</f>
        <v>1.8411380737614638E-2</v>
      </c>
      <c r="G180" s="208">
        <f>+G179/G159*4</f>
        <v>1.8760772967260631E-2</v>
      </c>
      <c r="H180" s="209">
        <f>+H179/H159*4</f>
        <v>1.7864901499306855E-2</v>
      </c>
      <c r="I180" s="88">
        <f>+I179/AVERAGE(I159,D159)</f>
        <v>1.7776270624741696E-2</v>
      </c>
      <c r="J180" s="207">
        <f>+J179/J159*4</f>
        <v>6.3210465223329402E-3</v>
      </c>
      <c r="K180" s="208">
        <f>+K179/K159*4</f>
        <v>2.2734519482175881E-2</v>
      </c>
      <c r="L180" s="208">
        <f>+L179/L159*4</f>
        <v>1.4334142935015757E-2</v>
      </c>
      <c r="M180" s="209">
        <f>+M179/M159*4</f>
        <v>1.9081662608575533E-2</v>
      </c>
      <c r="N180" s="88">
        <f>+N179/AVERAGE(N159,I159)</f>
        <v>8.359790776820997E-3</v>
      </c>
      <c r="O180" s="207">
        <f>+O179/O159*4</f>
        <v>1.134623198824743E-2</v>
      </c>
      <c r="P180" s="208">
        <f>+P179/P159*4</f>
        <v>1.3249794991739075E-2</v>
      </c>
      <c r="Q180" s="208">
        <f>+Q179/Q159*4</f>
        <v>1.286566466316242E-2</v>
      </c>
      <c r="R180" s="209">
        <f>+R179/R159*4</f>
        <v>1.6638096614965202E-2</v>
      </c>
      <c r="S180" s="88">
        <f>+S179/AVERAGE(S159,N159)</f>
        <v>1.4379468516943161E-2</v>
      </c>
      <c r="T180" s="207">
        <f>+T179/T159*4</f>
        <v>1.4605702639971315E-2</v>
      </c>
      <c r="U180" s="208">
        <f>+U179/U159*4</f>
        <v>1.5639217325479741E-2</v>
      </c>
      <c r="V180" s="208">
        <f>+V179/V159*4</f>
        <v>2.146929739624634E-2</v>
      </c>
      <c r="W180" s="209">
        <f>+W179/W159*4</f>
        <v>2.4313299422193679E-2</v>
      </c>
      <c r="X180" s="88">
        <f>+X179/AVERAGE(X159,S159)</f>
        <v>2.2463651913619837E-2</v>
      </c>
      <c r="Y180" s="207">
        <f>+Y179/Y159*4</f>
        <v>1.3948104750201829E-2</v>
      </c>
      <c r="Z180" s="208">
        <f>+Z179/Z159*4</f>
        <v>1.7222030866323706E-2</v>
      </c>
      <c r="AA180" s="208">
        <f>+AA179/AA159*4</f>
        <v>1.4995776997221523E-2</v>
      </c>
      <c r="AB180" s="209">
        <f>+AB179/AB159*4</f>
        <v>1.7718161955927177E-2</v>
      </c>
      <c r="AC180" s="88">
        <f>+AC179/AVERAGE(AC159,X159)</f>
        <v>1.7353879566242132E-2</v>
      </c>
      <c r="AD180" s="207">
        <f>+AD179/AD159*4</f>
        <v>1.5932016329559512E-2</v>
      </c>
      <c r="AE180" s="208">
        <f>+AE179/AE159*4</f>
        <v>1.6152041326669333E-2</v>
      </c>
      <c r="AF180" s="208">
        <f>+AF179/AF159*4</f>
        <v>1.833060556464812E-2</v>
      </c>
      <c r="AG180" s="209">
        <f>+AG179/AG159*4</f>
        <v>1.7653447901329923E-2</v>
      </c>
      <c r="AH180" s="88">
        <f>+AH179/AVERAGE(AH159,AC159)</f>
        <v>1.9360065667689823E-2</v>
      </c>
      <c r="AI180" s="207">
        <f>+AI179/AI159*4</f>
        <v>5.0284107497163512E-3</v>
      </c>
      <c r="AJ180" s="208">
        <f>+AJ179/AJ159*4</f>
        <v>5.6330363766609482E-3</v>
      </c>
      <c r="AK180" s="208">
        <f>+AK179/AK159*4</f>
        <v>1.2070770756151096E-2</v>
      </c>
      <c r="AL180" s="209">
        <f>+AL179/AL159*4</f>
        <v>1.5962324220039466E-2</v>
      </c>
      <c r="AM180" s="88">
        <f>+AM179/AVERAGE(AM159,AH159)</f>
        <v>8.9238459157890814E-3</v>
      </c>
      <c r="AN180" s="207">
        <f>+AN179/AN159*4</f>
        <v>1.4223054599744692E-2</v>
      </c>
      <c r="AO180" s="208">
        <f>+AO179/AO159*4</f>
        <v>1.2300530018199763E-2</v>
      </c>
      <c r="AP180" s="208">
        <f>+AP179/AP159*4</f>
        <v>1.4254887389962273E-2</v>
      </c>
      <c r="AQ180" s="209">
        <f>+AQ179/AQ159*4</f>
        <v>1.5055539497047526E-2</v>
      </c>
      <c r="AR180" s="88">
        <f>+AR179/AVERAGE(AR159,AM159)</f>
        <v>1.5772923632854697E-2</v>
      </c>
      <c r="AS180" s="207">
        <f>+AS179/AS159*4</f>
        <v>1.3058237960010002E-2</v>
      </c>
      <c r="AT180" s="208">
        <f>+AT179/AT159*4</f>
        <v>1.4803997322164555E-2</v>
      </c>
      <c r="AU180" s="208">
        <f>+AU179/AU159*4</f>
        <v>1.4940547736216532E-2</v>
      </c>
      <c r="AV180" s="209">
        <f>+AV179/AV159*4</f>
        <v>1.4973312643320077E-2</v>
      </c>
      <c r="AW180" s="88">
        <f>+AW179/AVERAGE(AW159,AR159)</f>
        <v>1.5222749650024891E-2</v>
      </c>
      <c r="AX180" s="858">
        <v>0.02</v>
      </c>
      <c r="AY180" s="208">
        <f>+AX180</f>
        <v>0.02</v>
      </c>
      <c r="AZ180" s="208">
        <f>+AY180</f>
        <v>0.02</v>
      </c>
      <c r="BA180" s="209">
        <f>+AZ180</f>
        <v>0.02</v>
      </c>
      <c r="BB180" s="88">
        <f>+BB179/BB159</f>
        <v>0.02</v>
      </c>
      <c r="BC180" s="207">
        <f>+BA180</f>
        <v>0.02</v>
      </c>
      <c r="BD180" s="208">
        <f>+BC180</f>
        <v>0.02</v>
      </c>
      <c r="BE180" s="208">
        <f>+BD180</f>
        <v>0.02</v>
      </c>
      <c r="BF180" s="209">
        <f>+BE180</f>
        <v>0.02</v>
      </c>
      <c r="BG180" s="88">
        <f>+BG179/BG159</f>
        <v>0.02</v>
      </c>
      <c r="BH180" s="207">
        <f>+BF180</f>
        <v>0.02</v>
      </c>
      <c r="BI180" s="208">
        <f>+BH180</f>
        <v>0.02</v>
      </c>
      <c r="BJ180" s="208">
        <f>+BI180</f>
        <v>0.02</v>
      </c>
      <c r="BK180" s="209">
        <f>+BJ180</f>
        <v>0.02</v>
      </c>
      <c r="BL180" s="88">
        <f>+BL179/BL159</f>
        <v>0.02</v>
      </c>
      <c r="BM180" s="207">
        <f>+BK180</f>
        <v>0.02</v>
      </c>
      <c r="BN180" s="208">
        <f>+BM180</f>
        <v>0.02</v>
      </c>
      <c r="BO180" s="208">
        <f>+BN180</f>
        <v>0.02</v>
      </c>
      <c r="BP180" s="209">
        <f>+BO180</f>
        <v>0.02</v>
      </c>
      <c r="BQ180" s="88">
        <f>+BQ179/BQ159</f>
        <v>0.02</v>
      </c>
      <c r="BR180" s="20"/>
      <c r="BS180" s="20"/>
      <c r="BT180" s="20"/>
      <c r="BU180" s="20"/>
      <c r="BV180" s="20"/>
      <c r="BW180" s="20"/>
      <c r="BX180" s="20"/>
      <c r="CB180" s="20"/>
      <c r="CC180" s="20"/>
      <c r="CD180" s="20"/>
      <c r="CE180" s="20"/>
      <c r="CF180" s="20"/>
      <c r="CG180" s="20"/>
      <c r="CH180" s="20"/>
      <c r="CI180" s="20"/>
      <c r="CJ180" s="20"/>
      <c r="CK180" s="20"/>
      <c r="CL180" s="20"/>
      <c r="CM180" s="20"/>
      <c r="CN180" s="20"/>
      <c r="CO180" s="20"/>
      <c r="CP180" s="20"/>
      <c r="CQ180" s="20"/>
      <c r="CR180" s="20"/>
      <c r="CS180" s="20"/>
      <c r="CT180" s="20"/>
      <c r="CU180" s="20"/>
      <c r="CV180" s="20"/>
      <c r="CW180" s="20"/>
      <c r="CX180" s="20"/>
      <c r="CY180" s="20"/>
      <c r="CZ180" s="20"/>
    </row>
    <row r="181" spans="1:104" x14ac:dyDescent="0.2">
      <c r="A181" s="289"/>
      <c r="B181" s="289"/>
      <c r="C181" s="289"/>
      <c r="D181" s="289"/>
      <c r="E181" s="291"/>
      <c r="F181" s="292"/>
      <c r="G181" s="292"/>
      <c r="H181" s="293"/>
      <c r="I181" s="289"/>
      <c r="J181" s="291"/>
      <c r="K181" s="292"/>
      <c r="L181" s="292"/>
      <c r="M181" s="293"/>
      <c r="N181" s="289"/>
      <c r="O181" s="291"/>
      <c r="P181" s="292"/>
      <c r="Q181" s="292"/>
      <c r="R181" s="293"/>
      <c r="S181" s="289"/>
      <c r="T181" s="291"/>
      <c r="U181" s="292"/>
      <c r="V181" s="292"/>
      <c r="W181" s="293"/>
      <c r="X181" s="289"/>
      <c r="Y181" s="291"/>
      <c r="Z181" s="292"/>
      <c r="AA181" s="292"/>
      <c r="AB181" s="293"/>
      <c r="AC181" s="289"/>
      <c r="AD181" s="291"/>
      <c r="AE181" s="292"/>
      <c r="AF181" s="292"/>
      <c r="AG181" s="293"/>
      <c r="AH181" s="289"/>
      <c r="AI181" s="291"/>
      <c r="AJ181" s="292"/>
      <c r="AK181" s="292"/>
      <c r="AL181" s="293"/>
      <c r="AM181" s="289"/>
      <c r="AN181" s="291"/>
      <c r="AO181" s="292"/>
      <c r="AP181" s="292"/>
      <c r="AQ181" s="293"/>
      <c r="AR181" s="289"/>
      <c r="AS181" s="291"/>
      <c r="AT181" s="292"/>
      <c r="AU181" s="292"/>
      <c r="AV181" s="293"/>
      <c r="AW181" s="289"/>
      <c r="AX181" s="291"/>
      <c r="AY181" s="292"/>
      <c r="AZ181" s="292"/>
      <c r="BA181" s="293"/>
      <c r="BB181" s="289"/>
      <c r="BC181" s="291"/>
      <c r="BD181" s="292"/>
      <c r="BE181" s="292"/>
      <c r="BF181" s="293"/>
      <c r="BG181" s="289"/>
      <c r="BH181" s="291"/>
      <c r="BI181" s="292"/>
      <c r="BJ181" s="292"/>
      <c r="BK181" s="293"/>
      <c r="BL181" s="289"/>
      <c r="BM181" s="291"/>
      <c r="BN181" s="292"/>
      <c r="BO181" s="292"/>
      <c r="BP181" s="293"/>
      <c r="BQ181" s="289"/>
      <c r="BR181" s="289"/>
      <c r="BS181" s="289"/>
      <c r="BT181" s="289"/>
      <c r="BU181" s="289"/>
      <c r="BV181" s="289"/>
      <c r="BW181" s="289"/>
      <c r="BX181" s="289"/>
      <c r="CB181" s="289"/>
      <c r="CC181" s="289"/>
      <c r="CD181" s="289"/>
      <c r="CE181" s="289"/>
      <c r="CF181" s="289"/>
      <c r="CG181" s="289"/>
      <c r="CH181" s="289"/>
      <c r="CI181" s="289"/>
      <c r="CJ181" s="289"/>
      <c r="CK181" s="289"/>
      <c r="CL181" s="289"/>
      <c r="CM181" s="289"/>
      <c r="CN181" s="289"/>
      <c r="CO181" s="289"/>
      <c r="CP181" s="289"/>
      <c r="CQ181" s="289"/>
      <c r="CR181" s="289"/>
      <c r="CS181" s="289"/>
      <c r="CT181" s="289"/>
      <c r="CU181" s="289"/>
      <c r="CV181" s="289"/>
      <c r="CW181" s="289"/>
      <c r="CX181" s="289"/>
      <c r="CY181" s="289"/>
      <c r="CZ181" s="289"/>
    </row>
    <row r="182" spans="1:104" x14ac:dyDescent="0.2">
      <c r="A182" s="289"/>
      <c r="B182" s="289"/>
      <c r="C182" s="289"/>
      <c r="D182" s="289"/>
      <c r="E182" s="291"/>
      <c r="F182" s="292"/>
      <c r="G182" s="292"/>
      <c r="H182" s="293"/>
      <c r="I182" s="289"/>
      <c r="J182" s="291"/>
      <c r="K182" s="292"/>
      <c r="L182" s="292"/>
      <c r="M182" s="293"/>
      <c r="N182" s="289"/>
      <c r="O182" s="291"/>
      <c r="P182" s="292"/>
      <c r="Q182" s="292"/>
      <c r="R182" s="293"/>
      <c r="S182" s="289"/>
      <c r="T182" s="291"/>
      <c r="U182" s="292"/>
      <c r="V182" s="292"/>
      <c r="W182" s="293"/>
      <c r="X182" s="289"/>
      <c r="Y182" s="291"/>
      <c r="Z182" s="292"/>
      <c r="AA182" s="292"/>
      <c r="AB182" s="293"/>
      <c r="AC182" s="289"/>
      <c r="AD182" s="291"/>
      <c r="AE182" s="292"/>
      <c r="AF182" s="292"/>
      <c r="AG182" s="293"/>
      <c r="AH182" s="289"/>
      <c r="AI182" s="291"/>
      <c r="AJ182" s="292"/>
      <c r="AK182" s="292"/>
      <c r="AL182" s="293"/>
      <c r="AM182" s="289"/>
      <c r="AN182" s="291"/>
      <c r="AO182" s="292"/>
      <c r="AP182" s="292"/>
      <c r="AQ182" s="293"/>
      <c r="AR182" s="289"/>
      <c r="AS182" s="291"/>
      <c r="AT182" s="292"/>
      <c r="AU182" s="292"/>
      <c r="AV182" s="293"/>
      <c r="AW182" s="289"/>
      <c r="AX182" s="291"/>
      <c r="AY182" s="292"/>
      <c r="AZ182" s="292"/>
      <c r="BA182" s="293"/>
      <c r="BB182" s="289"/>
      <c r="BC182" s="291"/>
      <c r="BD182" s="292"/>
      <c r="BE182" s="292"/>
      <c r="BF182" s="293"/>
      <c r="BG182" s="289"/>
      <c r="BH182" s="291"/>
      <c r="BI182" s="292"/>
      <c r="BJ182" s="292"/>
      <c r="BK182" s="293"/>
      <c r="BL182" s="289"/>
      <c r="BM182" s="291"/>
      <c r="BN182" s="292"/>
      <c r="BO182" s="292"/>
      <c r="BP182" s="293"/>
      <c r="BQ182" s="289"/>
      <c r="BR182" s="289"/>
      <c r="BS182" s="289"/>
      <c r="BT182" s="289"/>
      <c r="BU182" s="289"/>
      <c r="BV182" s="289"/>
      <c r="BW182" s="289"/>
      <c r="BX182" s="289"/>
      <c r="BY182" s="20"/>
      <c r="BZ182" s="20"/>
      <c r="CA182" s="20"/>
      <c r="CB182" s="289"/>
      <c r="CC182" s="289"/>
      <c r="CD182" s="289"/>
      <c r="CE182" s="289"/>
      <c r="CF182" s="289"/>
      <c r="CG182" s="289"/>
      <c r="CH182" s="289"/>
      <c r="CI182" s="289"/>
      <c r="CJ182" s="289"/>
      <c r="CK182" s="289"/>
      <c r="CL182" s="289"/>
      <c r="CM182" s="289"/>
      <c r="CN182" s="289"/>
      <c r="CO182" s="289"/>
      <c r="CP182" s="289"/>
      <c r="CQ182" s="289"/>
      <c r="CR182" s="289"/>
      <c r="CS182" s="289"/>
      <c r="CT182" s="289"/>
      <c r="CU182" s="289"/>
      <c r="CV182" s="289"/>
      <c r="CW182" s="289"/>
      <c r="CX182" s="289"/>
      <c r="CY182" s="289"/>
      <c r="CZ182" s="289"/>
    </row>
    <row r="183" spans="1:104" x14ac:dyDescent="0.2">
      <c r="A183" s="289"/>
      <c r="B183" s="347" t="s">
        <v>296</v>
      </c>
      <c r="C183" s="347"/>
      <c r="D183" s="348"/>
      <c r="E183" s="291"/>
      <c r="F183" s="292"/>
      <c r="G183" s="292"/>
      <c r="H183" s="293"/>
      <c r="I183" s="289"/>
      <c r="J183" s="291"/>
      <c r="K183" s="292"/>
      <c r="L183" s="292"/>
      <c r="M183" s="293"/>
      <c r="N183" s="289"/>
      <c r="O183" s="291"/>
      <c r="P183" s="292"/>
      <c r="Q183" s="292"/>
      <c r="R183" s="293"/>
      <c r="S183" s="289"/>
      <c r="T183" s="291"/>
      <c r="U183" s="292"/>
      <c r="V183" s="292"/>
      <c r="W183" s="293"/>
      <c r="X183" s="289"/>
      <c r="Y183" s="291"/>
      <c r="Z183" s="292"/>
      <c r="AA183" s="292"/>
      <c r="AB183" s="293"/>
      <c r="AC183" s="289"/>
      <c r="AD183" s="291"/>
      <c r="AE183" s="292"/>
      <c r="AF183" s="292"/>
      <c r="AG183" s="293"/>
      <c r="AH183" s="289"/>
      <c r="AI183" s="291"/>
      <c r="AJ183" s="292"/>
      <c r="AK183" s="292"/>
      <c r="AL183" s="293"/>
      <c r="AM183" s="289"/>
      <c r="AN183" s="291"/>
      <c r="AO183" s="292"/>
      <c r="AP183" s="292"/>
      <c r="AQ183" s="293"/>
      <c r="AR183" s="289"/>
      <c r="AS183" s="291"/>
      <c r="AT183" s="292"/>
      <c r="AU183" s="292"/>
      <c r="AV183" s="293"/>
      <c r="AW183" s="289"/>
      <c r="AX183" s="291"/>
      <c r="AY183" s="292"/>
      <c r="AZ183" s="292"/>
      <c r="BA183" s="293"/>
      <c r="BB183" s="289"/>
      <c r="BC183" s="291"/>
      <c r="BD183" s="292"/>
      <c r="BE183" s="292"/>
      <c r="BF183" s="293"/>
      <c r="BG183" s="289"/>
      <c r="BH183" s="291"/>
      <c r="BI183" s="292"/>
      <c r="BJ183" s="292"/>
      <c r="BK183" s="293"/>
      <c r="BL183" s="289"/>
      <c r="BM183" s="291"/>
      <c r="BN183" s="292"/>
      <c r="BO183" s="292"/>
      <c r="BP183" s="293"/>
      <c r="BQ183" s="289"/>
      <c r="BR183" s="289"/>
      <c r="BS183" s="289"/>
      <c r="BT183" s="289"/>
      <c r="BU183" s="289"/>
      <c r="BV183" s="289"/>
      <c r="BW183" s="289"/>
      <c r="BX183" s="289"/>
      <c r="BY183" s="289"/>
      <c r="BZ183" s="289"/>
      <c r="CA183" s="289"/>
      <c r="CB183" s="289"/>
      <c r="CC183" s="289"/>
      <c r="CD183" s="289"/>
      <c r="CE183" s="289"/>
      <c r="CF183" s="289"/>
      <c r="CG183" s="289"/>
      <c r="CH183" s="289"/>
      <c r="CI183" s="289"/>
      <c r="CJ183" s="289"/>
      <c r="CK183" s="289"/>
      <c r="CL183" s="289"/>
      <c r="CM183" s="289"/>
      <c r="CN183" s="289"/>
      <c r="CO183" s="289"/>
      <c r="CP183" s="289"/>
      <c r="CQ183" s="289"/>
      <c r="CR183" s="289"/>
      <c r="CS183" s="289"/>
      <c r="CT183" s="289"/>
      <c r="CU183" s="289"/>
      <c r="CV183" s="289"/>
      <c r="CW183" s="289"/>
      <c r="CX183" s="289"/>
      <c r="CY183" s="289"/>
      <c r="CZ183" s="289"/>
    </row>
    <row r="184" spans="1:104" x14ac:dyDescent="0.2">
      <c r="A184" s="289"/>
      <c r="B184" s="289"/>
      <c r="C184" s="141" t="s">
        <v>157</v>
      </c>
      <c r="D184" s="289"/>
      <c r="E184" s="291"/>
      <c r="F184" s="292"/>
      <c r="G184" s="292"/>
      <c r="H184" s="293"/>
      <c r="I184" s="289"/>
      <c r="J184" s="291"/>
      <c r="K184" s="292"/>
      <c r="L184" s="292"/>
      <c r="M184" s="293"/>
      <c r="N184" s="289"/>
      <c r="O184" s="291"/>
      <c r="P184" s="292"/>
      <c r="Q184" s="292"/>
      <c r="R184" s="293"/>
      <c r="S184" s="289"/>
      <c r="T184" s="291"/>
      <c r="U184" s="292"/>
      <c r="V184" s="292"/>
      <c r="W184" s="293"/>
      <c r="X184" s="289"/>
      <c r="Y184" s="291"/>
      <c r="Z184" s="292"/>
      <c r="AA184" s="292"/>
      <c r="AB184" s="293"/>
      <c r="AC184" s="289"/>
      <c r="AD184" s="291"/>
      <c r="AE184" s="292"/>
      <c r="AF184" s="292"/>
      <c r="AG184" s="293"/>
      <c r="AH184" s="289"/>
      <c r="AI184" s="291"/>
      <c r="AJ184" s="292"/>
      <c r="AK184" s="292"/>
      <c r="AL184" s="293"/>
      <c r="AM184" s="289"/>
      <c r="AN184" s="291"/>
      <c r="AO184" s="292"/>
      <c r="AP184" s="292"/>
      <c r="AQ184" s="293"/>
      <c r="AR184" s="289"/>
      <c r="AS184" s="291"/>
      <c r="AT184" s="292"/>
      <c r="AU184" s="292"/>
      <c r="AV184" s="293"/>
      <c r="AW184" s="289"/>
      <c r="AX184" s="291"/>
      <c r="AY184" s="292"/>
      <c r="AZ184" s="292"/>
      <c r="BA184" s="293"/>
      <c r="BB184" s="289"/>
      <c r="BC184" s="291"/>
      <c r="BD184" s="292"/>
      <c r="BE184" s="292"/>
      <c r="BF184" s="293"/>
      <c r="BG184" s="289"/>
      <c r="BH184" s="291"/>
      <c r="BI184" s="292"/>
      <c r="BJ184" s="292"/>
      <c r="BK184" s="293"/>
      <c r="BL184" s="289"/>
      <c r="BM184" s="291"/>
      <c r="BN184" s="292"/>
      <c r="BO184" s="292"/>
      <c r="BP184" s="293"/>
      <c r="BQ184" s="289"/>
      <c r="BR184" s="289"/>
      <c r="BS184" s="289"/>
      <c r="BT184" s="289"/>
      <c r="BU184" s="289"/>
      <c r="BV184" s="289"/>
      <c r="BW184" s="289"/>
      <c r="BX184" s="289"/>
      <c r="BY184" s="289"/>
      <c r="BZ184" s="289"/>
      <c r="CA184" s="289"/>
      <c r="CB184" s="289"/>
      <c r="CC184" s="289"/>
      <c r="CD184" s="289"/>
      <c r="CE184" s="289"/>
      <c r="CF184" s="289"/>
      <c r="CG184" s="289"/>
      <c r="CH184" s="289"/>
      <c r="CI184" s="289"/>
      <c r="CJ184" s="289"/>
      <c r="CK184" s="289"/>
      <c r="CL184" s="289"/>
      <c r="CM184" s="289"/>
      <c r="CN184" s="289"/>
      <c r="CO184" s="289"/>
      <c r="CP184" s="289"/>
      <c r="CQ184" s="289"/>
      <c r="CR184" s="289"/>
      <c r="CS184" s="289"/>
      <c r="CT184" s="289"/>
      <c r="CU184" s="289"/>
      <c r="CV184" s="289"/>
      <c r="CW184" s="289"/>
      <c r="CX184" s="289"/>
      <c r="CY184" s="289"/>
      <c r="CZ184" s="289"/>
    </row>
    <row r="185" spans="1:104" x14ac:dyDescent="0.2">
      <c r="A185" s="220"/>
      <c r="B185" s="220"/>
      <c r="C185" s="70" t="s">
        <v>158</v>
      </c>
      <c r="D185" s="82"/>
      <c r="E185" s="136">
        <f t="shared" ref="E185:P186" si="371">+E211</f>
        <v>0</v>
      </c>
      <c r="F185" s="135">
        <f t="shared" si="371"/>
        <v>394.84399999999999</v>
      </c>
      <c r="G185" s="135">
        <f t="shared" si="371"/>
        <v>-0.25</v>
      </c>
      <c r="H185" s="116">
        <f t="shared" si="371"/>
        <v>-2.4000000000000909E-2</v>
      </c>
      <c r="I185" s="82">
        <f t="shared" si="371"/>
        <v>394.57</v>
      </c>
      <c r="J185" s="136">
        <f t="shared" si="371"/>
        <v>0</v>
      </c>
      <c r="K185" s="135">
        <f t="shared" si="371"/>
        <v>0</v>
      </c>
      <c r="L185" s="135">
        <f t="shared" si="371"/>
        <v>0</v>
      </c>
      <c r="M185" s="116">
        <f t="shared" si="371"/>
        <v>395.31299999999999</v>
      </c>
      <c r="N185" s="82">
        <f t="shared" si="371"/>
        <v>395.31299999999999</v>
      </c>
      <c r="O185" s="136">
        <f t="shared" si="371"/>
        <v>0</v>
      </c>
      <c r="P185" s="135">
        <f t="shared" si="371"/>
        <v>0</v>
      </c>
      <c r="Q185" s="135">
        <f t="shared" ref="Q185:U186" si="372">+Q211</f>
        <v>246.602</v>
      </c>
      <c r="R185" s="116">
        <f t="shared" si="372"/>
        <v>-0.29699999999999704</v>
      </c>
      <c r="S185" s="82">
        <f t="shared" si="372"/>
        <v>246.30500000000001</v>
      </c>
      <c r="T185" s="136">
        <f t="shared" si="372"/>
        <v>0</v>
      </c>
      <c r="U185" s="135">
        <f t="shared" si="372"/>
        <v>0</v>
      </c>
      <c r="V185" s="135">
        <f t="shared" ref="V185:Y186" si="373">+V211</f>
        <v>791.00699999999995</v>
      </c>
      <c r="W185" s="116">
        <f t="shared" si="373"/>
        <v>-0.62799999999992906</v>
      </c>
      <c r="X185" s="82">
        <f t="shared" si="373"/>
        <v>790.37900000000002</v>
      </c>
      <c r="Y185" s="136">
        <f t="shared" si="373"/>
        <v>493.16399999999999</v>
      </c>
      <c r="Z185" s="135">
        <f t="shared" ref="Z185:AD186" si="374">+Z211</f>
        <v>-0.78100000000000591</v>
      </c>
      <c r="AA185" s="135">
        <f t="shared" si="374"/>
        <v>-1.0999999999967258E-2</v>
      </c>
      <c r="AB185" s="116">
        <f t="shared" si="374"/>
        <v>-5.9000000000025921E-2</v>
      </c>
      <c r="AC185" s="82">
        <f t="shared" si="374"/>
        <v>492.31299999999999</v>
      </c>
      <c r="AD185" s="136">
        <f t="shared" si="374"/>
        <v>296.04500000000002</v>
      </c>
      <c r="AE185" s="135">
        <f t="shared" ref="AE185:AI186" si="375">+AE211</f>
        <v>-0.40300000000002001</v>
      </c>
      <c r="AF185" s="135">
        <f t="shared" si="375"/>
        <v>-4.0999999999996817E-2</v>
      </c>
      <c r="AG185" s="116">
        <f t="shared" si="375"/>
        <v>-2.9999999999859028E-3</v>
      </c>
      <c r="AH185" s="82">
        <f t="shared" si="375"/>
        <v>295.59800000000001</v>
      </c>
      <c r="AI185" s="136">
        <f t="shared" si="375"/>
        <v>0</v>
      </c>
      <c r="AJ185" s="135">
        <f t="shared" ref="AJ185:AN186" si="376">+AJ211</f>
        <v>247.19300000000001</v>
      </c>
      <c r="AK185" s="135">
        <f t="shared" si="376"/>
        <v>-0.36700000000001864</v>
      </c>
      <c r="AL185" s="116">
        <f t="shared" si="376"/>
        <v>-7.4999999999988631E-2</v>
      </c>
      <c r="AM185" s="82">
        <f t="shared" si="376"/>
        <v>246.751</v>
      </c>
      <c r="AN185" s="136">
        <f t="shared" si="376"/>
        <v>0</v>
      </c>
      <c r="AO185" s="135">
        <f t="shared" ref="AO185:AS186" si="377">+AO211</f>
        <v>244.83</v>
      </c>
      <c r="AP185" s="135">
        <f>+AP211</f>
        <v>-0.30300000000002569</v>
      </c>
      <c r="AQ185" s="116">
        <f t="shared" si="377"/>
        <v>-1.999999999998181E-2</v>
      </c>
      <c r="AR185" s="82">
        <f t="shared" si="377"/>
        <v>244.50700000000001</v>
      </c>
      <c r="AS185" s="136">
        <f t="shared" si="377"/>
        <v>0</v>
      </c>
      <c r="AT185" s="135">
        <f t="shared" ref="AT185" si="378">+AT211</f>
        <v>394.61099999999999</v>
      </c>
      <c r="AU185" s="135">
        <f>+AU211</f>
        <v>-0.81599999999997408</v>
      </c>
      <c r="AV185" s="116">
        <f t="shared" ref="AV185:AW185" si="379">+AV211</f>
        <v>-4.0000000000190994E-3</v>
      </c>
      <c r="AW185" s="82">
        <f t="shared" si="379"/>
        <v>393.791</v>
      </c>
      <c r="AX185" s="136">
        <f>Debt!AV139</f>
        <v>0</v>
      </c>
      <c r="AY185" s="135">
        <f>Debt!AW139</f>
        <v>0</v>
      </c>
      <c r="AZ185" s="135">
        <f>Debt!AX139</f>
        <v>750</v>
      </c>
      <c r="BA185" s="116">
        <f>Debt!AY139</f>
        <v>0</v>
      </c>
      <c r="BB185" s="34">
        <v>750</v>
      </c>
      <c r="BC185" s="136">
        <f>Debt!BA139</f>
        <v>0</v>
      </c>
      <c r="BD185" s="135">
        <f>Debt!BB139</f>
        <v>200</v>
      </c>
      <c r="BE185" s="135">
        <f>Debt!BC139</f>
        <v>0</v>
      </c>
      <c r="BF185" s="116">
        <f>Debt!BD139</f>
        <v>0</v>
      </c>
      <c r="BG185" s="34">
        <v>200</v>
      </c>
      <c r="BH185" s="136">
        <f>Debt!BF139</f>
        <v>0</v>
      </c>
      <c r="BI185" s="135">
        <f>Debt!BG139</f>
        <v>400</v>
      </c>
      <c r="BJ185" s="135">
        <f>Debt!BH139</f>
        <v>0</v>
      </c>
      <c r="BK185" s="116">
        <f>Debt!BI139</f>
        <v>0</v>
      </c>
      <c r="BL185" s="34">
        <v>400</v>
      </c>
      <c r="BM185" s="136">
        <f>Debt!BK139</f>
        <v>0</v>
      </c>
      <c r="BN185" s="135">
        <f>Debt!BL139</f>
        <v>400</v>
      </c>
      <c r="BO185" s="135">
        <f>Debt!BM139</f>
        <v>0</v>
      </c>
      <c r="BP185" s="116">
        <f>Debt!BN139</f>
        <v>0</v>
      </c>
      <c r="BQ185" s="34">
        <v>400</v>
      </c>
      <c r="BR185" s="220"/>
      <c r="BS185" s="220"/>
      <c r="BT185" s="220"/>
      <c r="BU185" s="220"/>
      <c r="BV185" s="220"/>
      <c r="BW185" s="220"/>
      <c r="BX185" s="220"/>
      <c r="BY185" s="220"/>
      <c r="BZ185" s="220"/>
      <c r="CA185" s="220"/>
      <c r="CB185" s="220"/>
      <c r="CC185" s="220"/>
      <c r="CD185" s="220"/>
      <c r="CE185" s="220"/>
      <c r="CF185" s="220"/>
      <c r="CG185" s="220"/>
      <c r="CH185" s="220"/>
      <c r="CI185" s="220"/>
      <c r="CJ185" s="220"/>
      <c r="CK185" s="220"/>
      <c r="CL185" s="220"/>
      <c r="CM185" s="220"/>
      <c r="CN185" s="220"/>
      <c r="CO185" s="220"/>
      <c r="CP185" s="220"/>
      <c r="CQ185" s="220"/>
      <c r="CR185" s="220"/>
      <c r="CS185" s="220"/>
      <c r="CT185" s="220"/>
      <c r="CU185" s="220"/>
      <c r="CV185" s="220"/>
      <c r="CW185" s="220"/>
      <c r="CX185" s="220"/>
      <c r="CY185" s="220"/>
      <c r="CZ185" s="220"/>
    </row>
    <row r="186" spans="1:104" x14ac:dyDescent="0.2">
      <c r="A186" s="220"/>
      <c r="B186" s="220"/>
      <c r="C186" s="70" t="s">
        <v>159</v>
      </c>
      <c r="D186" s="82"/>
      <c r="E186" s="136">
        <f t="shared" si="371"/>
        <v>-0.377</v>
      </c>
      <c r="F186" s="135">
        <f t="shared" si="371"/>
        <v>-0.379</v>
      </c>
      <c r="G186" s="135">
        <f t="shared" si="371"/>
        <v>-199.244</v>
      </c>
      <c r="H186" s="116">
        <f t="shared" si="371"/>
        <v>0</v>
      </c>
      <c r="I186" s="82">
        <f t="shared" si="371"/>
        <v>-200</v>
      </c>
      <c r="J186" s="136">
        <f t="shared" si="371"/>
        <v>0</v>
      </c>
      <c r="K186" s="135">
        <f t="shared" si="371"/>
        <v>0</v>
      </c>
      <c r="L186" s="135">
        <f t="shared" si="371"/>
        <v>0</v>
      </c>
      <c r="M186" s="116">
        <f t="shared" si="371"/>
        <v>0</v>
      </c>
      <c r="N186" s="82">
        <f t="shared" si="371"/>
        <v>0</v>
      </c>
      <c r="O186" s="136">
        <f t="shared" si="371"/>
        <v>0</v>
      </c>
      <c r="P186" s="135">
        <f t="shared" si="371"/>
        <v>0</v>
      </c>
      <c r="Q186" s="135">
        <f t="shared" si="372"/>
        <v>0</v>
      </c>
      <c r="R186" s="116">
        <f t="shared" si="372"/>
        <v>0</v>
      </c>
      <c r="S186" s="82">
        <f t="shared" si="372"/>
        <v>0</v>
      </c>
      <c r="T186" s="136">
        <f t="shared" si="372"/>
        <v>0</v>
      </c>
      <c r="U186" s="135">
        <f t="shared" si="372"/>
        <v>0</v>
      </c>
      <c r="V186" s="135">
        <f t="shared" si="373"/>
        <v>0</v>
      </c>
      <c r="W186" s="116">
        <f t="shared" si="373"/>
        <v>-648.75</v>
      </c>
      <c r="X186" s="82">
        <f t="shared" si="373"/>
        <v>-648.75</v>
      </c>
      <c r="Y186" s="136">
        <f t="shared" si="373"/>
        <v>-250</v>
      </c>
      <c r="Z186" s="135">
        <f t="shared" si="374"/>
        <v>0</v>
      </c>
      <c r="AA186" s="135">
        <f t="shared" si="374"/>
        <v>0</v>
      </c>
      <c r="AB186" s="116">
        <f t="shared" si="374"/>
        <v>0</v>
      </c>
      <c r="AC186" s="82">
        <f t="shared" si="374"/>
        <v>-250</v>
      </c>
      <c r="AD186" s="136">
        <f t="shared" si="374"/>
        <v>0</v>
      </c>
      <c r="AE186" s="135">
        <f t="shared" si="375"/>
        <v>-275</v>
      </c>
      <c r="AF186" s="135">
        <f t="shared" si="375"/>
        <v>0</v>
      </c>
      <c r="AG186" s="116">
        <f t="shared" si="375"/>
        <v>0</v>
      </c>
      <c r="AH186" s="82">
        <f t="shared" si="375"/>
        <v>-275</v>
      </c>
      <c r="AI186" s="136">
        <f t="shared" si="375"/>
        <v>0</v>
      </c>
      <c r="AJ186" s="135">
        <f t="shared" si="376"/>
        <v>0</v>
      </c>
      <c r="AK186" s="135">
        <f t="shared" si="376"/>
        <v>0</v>
      </c>
      <c r="AL186" s="116">
        <f t="shared" si="376"/>
        <v>0</v>
      </c>
      <c r="AM186" s="82">
        <f t="shared" si="376"/>
        <v>0</v>
      </c>
      <c r="AN186" s="136">
        <f t="shared" si="376"/>
        <v>0</v>
      </c>
      <c r="AO186" s="135">
        <f t="shared" si="377"/>
        <v>-129.5</v>
      </c>
      <c r="AP186" s="135">
        <f t="shared" si="377"/>
        <v>0</v>
      </c>
      <c r="AQ186" s="116">
        <f t="shared" si="377"/>
        <v>0</v>
      </c>
      <c r="AR186" s="82">
        <f t="shared" si="377"/>
        <v>-129.5</v>
      </c>
      <c r="AS186" s="136">
        <f t="shared" si="377"/>
        <v>0</v>
      </c>
      <c r="AT186" s="135">
        <f t="shared" ref="AT186:AW186" si="380">+AT212</f>
        <v>0</v>
      </c>
      <c r="AU186" s="135">
        <f t="shared" si="380"/>
        <v>0</v>
      </c>
      <c r="AV186" s="116">
        <f t="shared" si="380"/>
        <v>0</v>
      </c>
      <c r="AW186" s="82">
        <f t="shared" si="380"/>
        <v>0</v>
      </c>
      <c r="AX186" s="136">
        <f>Debt!AV130</f>
        <v>0</v>
      </c>
      <c r="AY186" s="135">
        <f>Debt!AW130</f>
        <v>0</v>
      </c>
      <c r="AZ186" s="135">
        <f>Debt!AX130</f>
        <v>-300</v>
      </c>
      <c r="BA186" s="116">
        <f>Debt!AY130</f>
        <v>0</v>
      </c>
      <c r="BB186" s="82">
        <f>Debt!AZ130</f>
        <v>-300</v>
      </c>
      <c r="BC186" s="136">
        <f>Debt!BA130</f>
        <v>0</v>
      </c>
      <c r="BD186" s="135">
        <f>Debt!BB130</f>
        <v>-400</v>
      </c>
      <c r="BE186" s="135">
        <f>Debt!BC130</f>
        <v>0</v>
      </c>
      <c r="BF186" s="116">
        <f>Debt!BD130</f>
        <v>0</v>
      </c>
      <c r="BG186" s="82">
        <f>Debt!BE130</f>
        <v>-400</v>
      </c>
      <c r="BH186" s="136">
        <f>Debt!BF130</f>
        <v>0</v>
      </c>
      <c r="BI186" s="135">
        <f>Debt!BG130</f>
        <v>0</v>
      </c>
      <c r="BJ186" s="135">
        <f>Debt!BH130</f>
        <v>0</v>
      </c>
      <c r="BK186" s="116">
        <f>Debt!BI130</f>
        <v>-400</v>
      </c>
      <c r="BL186" s="82">
        <f>Debt!BJ130</f>
        <v>-400</v>
      </c>
      <c r="BM186" s="136">
        <f>Debt!BK130</f>
        <v>0</v>
      </c>
      <c r="BN186" s="135">
        <f>Debt!BL130</f>
        <v>0</v>
      </c>
      <c r="BO186" s="135">
        <f>Debt!BM130</f>
        <v>0</v>
      </c>
      <c r="BP186" s="116">
        <f>Debt!BN130</f>
        <v>0</v>
      </c>
      <c r="BQ186" s="82">
        <f>Debt!BO130</f>
        <v>0</v>
      </c>
      <c r="BR186" s="220"/>
      <c r="BS186" s="220"/>
      <c r="BT186" s="220"/>
      <c r="BU186" s="220"/>
      <c r="BV186" s="220"/>
      <c r="BW186" s="220"/>
      <c r="BX186" s="220"/>
      <c r="BY186" s="220"/>
      <c r="BZ186" s="220"/>
      <c r="CA186" s="220"/>
      <c r="CB186" s="220"/>
      <c r="CC186" s="220"/>
      <c r="CD186" s="220"/>
      <c r="CE186" s="220"/>
      <c r="CF186" s="220"/>
      <c r="CG186" s="220"/>
      <c r="CH186" s="220"/>
      <c r="CI186" s="220"/>
      <c r="CJ186" s="220"/>
      <c r="CK186" s="220"/>
      <c r="CL186" s="220"/>
      <c r="CM186" s="220"/>
      <c r="CN186" s="220"/>
      <c r="CO186" s="220"/>
      <c r="CP186" s="220"/>
      <c r="CQ186" s="220"/>
      <c r="CR186" s="220"/>
      <c r="CS186" s="220"/>
      <c r="CT186" s="220"/>
      <c r="CU186" s="220"/>
      <c r="CV186" s="220"/>
      <c r="CW186" s="220"/>
      <c r="CX186" s="220"/>
      <c r="CY186" s="220"/>
      <c r="CZ186" s="220"/>
    </row>
    <row r="187" spans="1:104" x14ac:dyDescent="0.2">
      <c r="A187" s="289"/>
      <c r="B187" s="289"/>
      <c r="C187" s="70"/>
      <c r="D187" s="289"/>
      <c r="E187" s="291"/>
      <c r="F187" s="292"/>
      <c r="G187" s="292"/>
      <c r="H187" s="293"/>
      <c r="I187" s="289"/>
      <c r="J187" s="291"/>
      <c r="K187" s="292"/>
      <c r="L187" s="292"/>
      <c r="M187" s="293"/>
      <c r="N187" s="289"/>
      <c r="O187" s="291"/>
      <c r="P187" s="292"/>
      <c r="Q187" s="292"/>
      <c r="R187" s="116"/>
      <c r="S187" s="82"/>
      <c r="T187" s="136"/>
      <c r="U187" s="292"/>
      <c r="V187" s="292"/>
      <c r="W187" s="116"/>
      <c r="X187" s="82"/>
      <c r="Y187" s="136"/>
      <c r="Z187" s="137"/>
      <c r="AA187" s="292"/>
      <c r="AB187" s="116"/>
      <c r="AC187" s="82"/>
      <c r="AD187" s="136"/>
      <c r="AE187" s="137"/>
      <c r="AF187" s="292"/>
      <c r="AG187" s="116"/>
      <c r="AH187" s="82"/>
      <c r="AI187" s="136"/>
      <c r="AJ187" s="137"/>
      <c r="AK187" s="292"/>
      <c r="AL187" s="116"/>
      <c r="AM187" s="82"/>
      <c r="AN187" s="136"/>
      <c r="AO187" s="137"/>
      <c r="AP187" s="292"/>
      <c r="AQ187" s="116"/>
      <c r="AR187" s="82"/>
      <c r="AS187" s="136"/>
      <c r="AT187" s="137"/>
      <c r="AU187" s="137"/>
      <c r="AV187" s="116"/>
      <c r="AW187" s="82"/>
      <c r="AX187" s="136"/>
      <c r="AY187" s="137"/>
      <c r="AZ187" s="137"/>
      <c r="BA187" s="116"/>
      <c r="BB187" s="82"/>
      <c r="BC187" s="136"/>
      <c r="BD187" s="137"/>
      <c r="BE187" s="137"/>
      <c r="BF187" s="116"/>
      <c r="BG187" s="82"/>
      <c r="BH187" s="136"/>
      <c r="BI187" s="137"/>
      <c r="BJ187" s="137"/>
      <c r="BK187" s="116"/>
      <c r="BL187" s="82"/>
      <c r="BM187" s="136"/>
      <c r="BN187" s="137"/>
      <c r="BO187" s="137"/>
      <c r="BP187" s="116"/>
      <c r="BQ187" s="82"/>
      <c r="BR187" s="289"/>
      <c r="BS187" s="289"/>
      <c r="BT187" s="289"/>
      <c r="BU187" s="289"/>
      <c r="BV187" s="289"/>
      <c r="BW187" s="289"/>
      <c r="BX187" s="289"/>
      <c r="BY187" s="289"/>
      <c r="BZ187" s="289"/>
      <c r="CA187" s="289"/>
      <c r="CB187" s="289"/>
      <c r="CC187" s="289"/>
      <c r="CD187" s="289"/>
      <c r="CE187" s="289"/>
      <c r="CF187" s="289"/>
      <c r="CG187" s="289"/>
      <c r="CH187" s="289"/>
      <c r="CI187" s="289"/>
      <c r="CJ187" s="289"/>
      <c r="CK187" s="289"/>
      <c r="CL187" s="289"/>
      <c r="CM187" s="289"/>
      <c r="CN187" s="289"/>
      <c r="CO187" s="289"/>
      <c r="CP187" s="289"/>
      <c r="CQ187" s="289"/>
      <c r="CR187" s="289"/>
      <c r="CS187" s="289"/>
      <c r="CT187" s="289"/>
      <c r="CU187" s="289"/>
      <c r="CV187" s="289"/>
      <c r="CW187" s="289"/>
      <c r="CX187" s="289"/>
      <c r="CY187" s="289"/>
      <c r="CZ187" s="289"/>
    </row>
    <row r="188" spans="1:104" x14ac:dyDescent="0.2">
      <c r="A188" s="289"/>
      <c r="B188" s="289"/>
      <c r="C188" s="141" t="s">
        <v>132</v>
      </c>
      <c r="D188" s="289"/>
      <c r="E188" s="291"/>
      <c r="F188" s="292"/>
      <c r="G188" s="292"/>
      <c r="H188" s="293"/>
      <c r="I188" s="289"/>
      <c r="J188" s="291"/>
      <c r="K188" s="292"/>
      <c r="L188" s="292"/>
      <c r="M188" s="293"/>
      <c r="N188" s="289"/>
      <c r="O188" s="291"/>
      <c r="P188" s="292"/>
      <c r="Q188" s="292"/>
      <c r="R188" s="116"/>
      <c r="S188" s="82"/>
      <c r="T188" s="136"/>
      <c r="U188" s="292"/>
      <c r="V188" s="292"/>
      <c r="W188" s="116"/>
      <c r="X188" s="82"/>
      <c r="Y188" s="136"/>
      <c r="Z188" s="135"/>
      <c r="AA188" s="292"/>
      <c r="AB188" s="116"/>
      <c r="AC188" s="82"/>
      <c r="AD188" s="136"/>
      <c r="AE188" s="135"/>
      <c r="AF188" s="292"/>
      <c r="AG188" s="116"/>
      <c r="AH188" s="82"/>
      <c r="AI188" s="136"/>
      <c r="AJ188" s="135"/>
      <c r="AK188" s="292"/>
      <c r="AL188" s="116"/>
      <c r="AM188" s="82"/>
      <c r="AN188" s="136"/>
      <c r="AO188" s="135"/>
      <c r="AP188" s="292"/>
      <c r="AQ188" s="116"/>
      <c r="AR188" s="82"/>
      <c r="AS188" s="136"/>
      <c r="AT188" s="135"/>
      <c r="AU188" s="135"/>
      <c r="AV188" s="116"/>
      <c r="AW188" s="82"/>
      <c r="AX188" s="136"/>
      <c r="AY188" s="135"/>
      <c r="AZ188" s="135"/>
      <c r="BA188" s="116"/>
      <c r="BB188" s="82"/>
      <c r="BC188" s="136"/>
      <c r="BD188" s="135"/>
      <c r="BE188" s="135"/>
      <c r="BF188" s="116"/>
      <c r="BG188" s="82"/>
      <c r="BH188" s="136"/>
      <c r="BI188" s="135"/>
      <c r="BJ188" s="135"/>
      <c r="BK188" s="116"/>
      <c r="BL188" s="82"/>
      <c r="BM188" s="136"/>
      <c r="BN188" s="135"/>
      <c r="BO188" s="135"/>
      <c r="BP188" s="116"/>
      <c r="BQ188" s="82"/>
      <c r="BR188" s="289"/>
      <c r="BS188" s="289"/>
      <c r="BT188" s="289"/>
      <c r="BU188" s="289"/>
      <c r="BV188" s="289"/>
      <c r="BW188" s="289"/>
      <c r="BX188" s="289"/>
      <c r="BY188" s="289"/>
      <c r="BZ188" s="289"/>
      <c r="CA188" s="289"/>
      <c r="CB188" s="289"/>
      <c r="CC188" s="289"/>
      <c r="CD188" s="289"/>
      <c r="CE188" s="289"/>
      <c r="CF188" s="289"/>
      <c r="CG188" s="289"/>
      <c r="CH188" s="289"/>
      <c r="CI188" s="289"/>
      <c r="CJ188" s="289"/>
      <c r="CK188" s="289"/>
      <c r="CL188" s="289"/>
      <c r="CM188" s="289"/>
      <c r="CN188" s="289"/>
      <c r="CO188" s="289"/>
      <c r="CP188" s="289"/>
      <c r="CQ188" s="289"/>
      <c r="CR188" s="289"/>
      <c r="CS188" s="289"/>
      <c r="CT188" s="289"/>
      <c r="CU188" s="289"/>
      <c r="CV188" s="289"/>
      <c r="CW188" s="289"/>
      <c r="CX188" s="289"/>
      <c r="CY188" s="289"/>
      <c r="CZ188" s="289"/>
    </row>
    <row r="189" spans="1:104" x14ac:dyDescent="0.2">
      <c r="A189" s="220"/>
      <c r="B189" s="220"/>
      <c r="C189" s="70" t="s">
        <v>160</v>
      </c>
      <c r="D189" s="82"/>
      <c r="E189" s="136"/>
      <c r="F189" s="137"/>
      <c r="G189" s="137"/>
      <c r="H189" s="116"/>
      <c r="I189" s="82"/>
      <c r="J189" s="136"/>
      <c r="K189" s="137"/>
      <c r="L189" s="137"/>
      <c r="M189" s="116"/>
      <c r="N189" s="82"/>
      <c r="O189" s="136"/>
      <c r="P189" s="135"/>
      <c r="Q189" s="135"/>
      <c r="R189" s="116"/>
      <c r="S189" s="82"/>
      <c r="T189" s="136"/>
      <c r="U189" s="135"/>
      <c r="V189" s="135"/>
      <c r="W189" s="116"/>
      <c r="X189" s="82"/>
      <c r="Y189" s="136"/>
      <c r="Z189" s="135"/>
      <c r="AA189" s="135"/>
      <c r="AB189" s="116"/>
      <c r="AC189" s="82"/>
      <c r="AD189" s="136"/>
      <c r="AE189" s="135"/>
      <c r="AF189" s="135"/>
      <c r="AG189" s="116"/>
      <c r="AH189" s="82"/>
      <c r="AI189" s="136"/>
      <c r="AJ189" s="135"/>
      <c r="AK189" s="135"/>
      <c r="AL189" s="116"/>
      <c r="AM189" s="82"/>
      <c r="AN189" s="136"/>
      <c r="AO189" s="135"/>
      <c r="AP189" s="135"/>
      <c r="AQ189" s="116"/>
      <c r="AR189" s="82"/>
      <c r="AS189" s="136"/>
      <c r="AT189" s="135"/>
      <c r="AU189" s="135"/>
      <c r="AV189" s="116"/>
      <c r="AW189" s="82"/>
      <c r="AX189" s="136">
        <f t="shared" ref="AX189:BA189" si="381">(((AW227-AS227)*AX194)/4)-((AW225-AS225)*(AX194-1%)/4)</f>
        <v>-0.15806999999999999</v>
      </c>
      <c r="AY189" s="135">
        <f t="shared" si="381"/>
        <v>0.2265573104008578</v>
      </c>
      <c r="AZ189" s="135">
        <f t="shared" si="381"/>
        <v>0.78365783743302042</v>
      </c>
      <c r="BA189" s="116">
        <f t="shared" si="381"/>
        <v>-0.84514501774403872</v>
      </c>
      <c r="BB189" s="82">
        <f>SUM(AX189:BA189)</f>
        <v>7.0001300898394625E-3</v>
      </c>
      <c r="BC189" s="136">
        <f>(((BB227-AX227)*BC194)/4)-((BB225-AX225)*(BC194-1%)/4)</f>
        <v>-0.81513423461774703</v>
      </c>
      <c r="BD189" s="135">
        <f>(((BC227-AY227)*BD194)/4)-((BC225-AY225)*(BD194-1%)/4)</f>
        <v>-1.1227532857461906</v>
      </c>
      <c r="BE189" s="135">
        <f>(((BD227-AZ227)*BE194)/4)-((BD225-AZ225)*(BE194-1%)/4)</f>
        <v>1.3012606903380319</v>
      </c>
      <c r="BF189" s="116">
        <f>(((BE227-BA227)*BF194)/4)-((BE225-BA225)*(BF194-1%)/4)</f>
        <v>0.8812412941510801</v>
      </c>
      <c r="BG189" s="82">
        <f>SUM(BC189:BF189)</f>
        <v>0.2446144641251744</v>
      </c>
      <c r="BH189" s="136">
        <f>(((BG227-BC227)*BH194)/4)-((BG225-BC225)*(BH194-1%)/4)</f>
        <v>1.2610170087274359</v>
      </c>
      <c r="BI189" s="135">
        <f>(((BH227-BD227)*BI194)/4)-((BH225-BD225)*(BI194-1%)/4)</f>
        <v>0.31165478788018536</v>
      </c>
      <c r="BJ189" s="135">
        <f>(((BI227-BE227)*BJ194)/4)-((BI225-BE225)*(BJ194-1%)/4)</f>
        <v>-0.80195764019723015</v>
      </c>
      <c r="BK189" s="116">
        <f>(((BJ227-BF227)*BK194)/4)-((BJ225-BF225)*(BK194-1%)/4)</f>
        <v>-1.4699961870541458</v>
      </c>
      <c r="BL189" s="82">
        <f>SUM(BH189:BK189)</f>
        <v>-0.6992820306437546</v>
      </c>
      <c r="BM189" s="136">
        <f>(((BL227-BH227)*BM194)/4)-((BL225-BH225)*(BM194-1%)/4)</f>
        <v>0.13178178511120281</v>
      </c>
      <c r="BN189" s="135">
        <f>(((BM227-BI227)*BN194)/4)-((BM225-BI225)*(BN194-1%)/4)</f>
        <v>1.4698104785779049</v>
      </c>
      <c r="BO189" s="135">
        <f>(((BN227-BJ227)*BO194)/4)-((BN225-BJ225)*(BO194-1%)/4)</f>
        <v>0.34224673307522424</v>
      </c>
      <c r="BP189" s="116">
        <f>(((BO227-BK227)*BP194)/4)-((BO225-BK225)*(BP194-1%)/4)</f>
        <v>-1.352154458579359</v>
      </c>
      <c r="BQ189" s="82">
        <f>SUM(BM189:BP189)</f>
        <v>0.59168453818497291</v>
      </c>
      <c r="BR189" s="220"/>
      <c r="BS189" s="220"/>
      <c r="BT189" s="220"/>
      <c r="BU189" s="220"/>
      <c r="BV189" s="220"/>
      <c r="BW189" s="220"/>
      <c r="BX189" s="220"/>
      <c r="BY189" s="220"/>
      <c r="BZ189" s="220"/>
      <c r="CA189" s="220"/>
      <c r="CB189" s="220"/>
      <c r="CC189" s="220"/>
      <c r="CD189" s="220"/>
      <c r="CE189" s="220"/>
      <c r="CF189" s="220"/>
      <c r="CG189" s="220"/>
      <c r="CH189" s="220"/>
      <c r="CI189" s="220"/>
      <c r="CJ189" s="220"/>
      <c r="CK189" s="220"/>
      <c r="CL189" s="220"/>
      <c r="CM189" s="220"/>
      <c r="CN189" s="220"/>
      <c r="CO189" s="220"/>
      <c r="CP189" s="220"/>
      <c r="CQ189" s="220"/>
      <c r="CR189" s="220"/>
      <c r="CS189" s="220"/>
      <c r="CT189" s="220"/>
      <c r="CU189" s="220"/>
      <c r="CV189" s="220"/>
      <c r="CW189" s="220"/>
      <c r="CX189" s="220"/>
      <c r="CY189" s="220"/>
      <c r="CZ189" s="220"/>
    </row>
    <row r="190" spans="1:104" x14ac:dyDescent="0.2">
      <c r="A190" s="220"/>
      <c r="B190" s="220"/>
      <c r="C190" s="70"/>
      <c r="D190" s="82"/>
      <c r="E190" s="136"/>
      <c r="F190" s="137"/>
      <c r="G190" s="137"/>
      <c r="H190" s="116"/>
      <c r="I190" s="82"/>
      <c r="J190" s="136"/>
      <c r="K190" s="137"/>
      <c r="L190" s="137"/>
      <c r="M190" s="116"/>
      <c r="N190" s="82"/>
      <c r="O190" s="136"/>
      <c r="P190" s="137"/>
      <c r="Q190" s="137"/>
      <c r="R190" s="116"/>
      <c r="S190" s="82"/>
      <c r="T190" s="136"/>
      <c r="U190" s="137"/>
      <c r="V190" s="137"/>
      <c r="W190" s="116"/>
      <c r="X190" s="82"/>
      <c r="Y190" s="136"/>
      <c r="Z190" s="137"/>
      <c r="AA190" s="137"/>
      <c r="AB190" s="116"/>
      <c r="AC190" s="82"/>
      <c r="AD190" s="136"/>
      <c r="AE190" s="137"/>
      <c r="AF190" s="137"/>
      <c r="AG190" s="116"/>
      <c r="AH190" s="82"/>
      <c r="AI190" s="136"/>
      <c r="AJ190" s="137"/>
      <c r="AK190" s="137"/>
      <c r="AL190" s="116"/>
      <c r="AM190" s="220"/>
      <c r="AN190" s="136"/>
      <c r="AO190" s="137"/>
      <c r="AP190" s="137"/>
      <c r="AQ190" s="116"/>
      <c r="AR190" s="220"/>
      <c r="AS190" s="136"/>
      <c r="AT190" s="137"/>
      <c r="AU190" s="137"/>
      <c r="AV190" s="116"/>
      <c r="AW190" s="220"/>
      <c r="AX190" s="136"/>
      <c r="AY190" s="137"/>
      <c r="AZ190" s="137"/>
      <c r="BA190" s="116"/>
      <c r="BB190" s="220"/>
      <c r="BC190" s="136"/>
      <c r="BD190" s="137"/>
      <c r="BE190" s="137"/>
      <c r="BF190" s="116"/>
      <c r="BG190" s="220"/>
      <c r="BH190" s="136"/>
      <c r="BI190" s="137"/>
      <c r="BJ190" s="137"/>
      <c r="BK190" s="116"/>
      <c r="BL190" s="220"/>
      <c r="BM190" s="136"/>
      <c r="BN190" s="137"/>
      <c r="BO190" s="137"/>
      <c r="BP190" s="116"/>
      <c r="BQ190" s="220"/>
      <c r="BR190" s="220"/>
      <c r="BS190" s="220"/>
      <c r="BT190" s="220"/>
      <c r="BU190" s="220"/>
      <c r="BV190" s="220"/>
      <c r="BW190" s="220"/>
      <c r="BX190" s="220"/>
      <c r="BY190" s="220"/>
      <c r="BZ190" s="220"/>
      <c r="CA190" s="220"/>
      <c r="CB190" s="220"/>
      <c r="CC190" s="220"/>
      <c r="CD190" s="220"/>
      <c r="CE190" s="220"/>
      <c r="CF190" s="220"/>
      <c r="CG190" s="220"/>
      <c r="CH190" s="220"/>
      <c r="CI190" s="220"/>
      <c r="CJ190" s="220"/>
      <c r="CK190" s="220"/>
      <c r="CL190" s="220"/>
      <c r="CM190" s="220"/>
      <c r="CN190" s="220"/>
      <c r="CO190" s="220"/>
      <c r="CP190" s="220"/>
      <c r="CQ190" s="220"/>
      <c r="CR190" s="220"/>
      <c r="CS190" s="220"/>
      <c r="CT190" s="220"/>
      <c r="CU190" s="220"/>
      <c r="CV190" s="220"/>
      <c r="CW190" s="220"/>
      <c r="CX190" s="220"/>
      <c r="CY190" s="220"/>
      <c r="CZ190" s="220"/>
    </row>
    <row r="191" spans="1:104" x14ac:dyDescent="0.2">
      <c r="A191" s="220"/>
      <c r="B191" s="220"/>
      <c r="C191" s="70" t="s">
        <v>161</v>
      </c>
      <c r="D191" s="82"/>
      <c r="E191" s="136"/>
      <c r="F191" s="137"/>
      <c r="G191" s="137"/>
      <c r="H191" s="116"/>
      <c r="I191" s="82"/>
      <c r="J191" s="136"/>
      <c r="K191" s="137"/>
      <c r="L191" s="137"/>
      <c r="M191" s="116"/>
      <c r="N191" s="82"/>
      <c r="O191" s="136"/>
      <c r="P191" s="135"/>
      <c r="Q191" s="135"/>
      <c r="R191" s="116"/>
      <c r="S191" s="82"/>
      <c r="T191" s="136"/>
      <c r="U191" s="135"/>
      <c r="V191" s="135"/>
      <c r="W191" s="116"/>
      <c r="X191" s="82"/>
      <c r="Y191" s="136"/>
      <c r="Z191" s="135"/>
      <c r="AA191" s="135"/>
      <c r="AB191" s="116"/>
      <c r="AC191" s="82"/>
      <c r="AD191" s="136"/>
      <c r="AE191" s="135"/>
      <c r="AF191" s="135"/>
      <c r="AG191" s="116"/>
      <c r="AH191" s="82"/>
      <c r="AI191" s="136"/>
      <c r="AJ191" s="135"/>
      <c r="AK191" s="135"/>
      <c r="AL191" s="116"/>
      <c r="AM191" s="82"/>
      <c r="AN191" s="136"/>
      <c r="AO191" s="135"/>
      <c r="AP191" s="135"/>
      <c r="AQ191" s="116"/>
      <c r="AR191" s="82"/>
      <c r="AS191" s="136"/>
      <c r="AT191" s="135"/>
      <c r="AU191" s="135"/>
      <c r="AV191" s="116"/>
      <c r="AW191" s="82"/>
      <c r="AX191" s="136">
        <f>Debt!DA139</f>
        <v>3.8</v>
      </c>
      <c r="AY191" s="135">
        <f>Debt!DB139</f>
        <v>2.5333333333333332</v>
      </c>
      <c r="AZ191" s="135">
        <f>Debt!DC139</f>
        <v>7.5</v>
      </c>
      <c r="BA191" s="116">
        <f>Debt!DD139</f>
        <v>7.5</v>
      </c>
      <c r="BB191" s="82">
        <f>Debt!DE139</f>
        <v>21.333333333333336</v>
      </c>
      <c r="BC191" s="136">
        <f>Debt!DF139</f>
        <v>7.5</v>
      </c>
      <c r="BD191" s="135">
        <f>Debt!DG139</f>
        <v>9.75</v>
      </c>
      <c r="BE191" s="135">
        <f>Debt!DH139</f>
        <v>2.25</v>
      </c>
      <c r="BF191" s="116">
        <f>Debt!DI139</f>
        <v>2.25</v>
      </c>
      <c r="BG191" s="82">
        <f>Debt!DJ139</f>
        <v>21.75</v>
      </c>
      <c r="BH191" s="136">
        <f>Debt!DK139</f>
        <v>2.25</v>
      </c>
      <c r="BI191" s="135">
        <f>Debt!DL139</f>
        <v>4.5</v>
      </c>
      <c r="BJ191" s="135">
        <f>Debt!DM139</f>
        <v>4.5</v>
      </c>
      <c r="BK191" s="116">
        <f>Debt!DN139</f>
        <v>4.5</v>
      </c>
      <c r="BL191" s="82">
        <f>Debt!DO139</f>
        <v>15.75</v>
      </c>
      <c r="BM191" s="136">
        <f>Debt!DP139</f>
        <v>4.5</v>
      </c>
      <c r="BN191" s="135">
        <f>Debt!DQ139</f>
        <v>4.5</v>
      </c>
      <c r="BO191" s="135">
        <f>Debt!DR139</f>
        <v>4.5</v>
      </c>
      <c r="BP191" s="116">
        <f>Debt!DS139</f>
        <v>4.5</v>
      </c>
      <c r="BQ191" s="82">
        <f>Debt!DT139</f>
        <v>18</v>
      </c>
      <c r="BR191" s="220"/>
      <c r="BS191" s="220"/>
      <c r="BT191" s="220"/>
      <c r="BU191" s="220"/>
      <c r="BV191" s="220"/>
      <c r="BW191" s="220"/>
      <c r="BX191" s="220"/>
      <c r="BY191" s="220"/>
      <c r="BZ191" s="220"/>
      <c r="CA191" s="220"/>
      <c r="CB191" s="220"/>
      <c r="CC191" s="220"/>
      <c r="CD191" s="220"/>
      <c r="CE191" s="220"/>
      <c r="CF191" s="220"/>
      <c r="CG191" s="220"/>
      <c r="CH191" s="220"/>
      <c r="CI191" s="220"/>
      <c r="CJ191" s="220"/>
      <c r="CK191" s="220"/>
      <c r="CL191" s="220"/>
      <c r="CM191" s="220"/>
      <c r="CN191" s="220"/>
      <c r="CO191" s="220"/>
      <c r="CP191" s="220"/>
      <c r="CQ191" s="220"/>
      <c r="CR191" s="220"/>
      <c r="CS191" s="220"/>
      <c r="CT191" s="220"/>
      <c r="CU191" s="220"/>
      <c r="CV191" s="220"/>
      <c r="CW191" s="220"/>
      <c r="CX191" s="220"/>
      <c r="CY191" s="220"/>
      <c r="CZ191" s="220"/>
    </row>
    <row r="192" spans="1:104" x14ac:dyDescent="0.2">
      <c r="A192" s="220"/>
      <c r="B192" s="220"/>
      <c r="C192" s="70" t="s">
        <v>162</v>
      </c>
      <c r="D192" s="82"/>
      <c r="E192" s="136"/>
      <c r="F192" s="137"/>
      <c r="G192" s="137"/>
      <c r="H192" s="116"/>
      <c r="I192" s="82"/>
      <c r="J192" s="136"/>
      <c r="K192" s="137"/>
      <c r="L192" s="137"/>
      <c r="M192" s="116"/>
      <c r="N192" s="82"/>
      <c r="O192" s="136"/>
      <c r="P192" s="135"/>
      <c r="Q192" s="135"/>
      <c r="R192" s="116"/>
      <c r="S192" s="82"/>
      <c r="T192" s="136"/>
      <c r="U192" s="135"/>
      <c r="V192" s="135"/>
      <c r="W192" s="116"/>
      <c r="X192" s="82"/>
      <c r="Y192" s="136"/>
      <c r="Z192" s="135"/>
      <c r="AA192" s="135"/>
      <c r="AB192" s="116"/>
      <c r="AC192" s="82"/>
      <c r="AD192" s="136"/>
      <c r="AE192" s="135"/>
      <c r="AF192" s="135"/>
      <c r="AG192" s="116"/>
      <c r="AH192" s="82"/>
      <c r="AI192" s="136"/>
      <c r="AJ192" s="135"/>
      <c r="AK192" s="135"/>
      <c r="AL192" s="116"/>
      <c r="AM192" s="82"/>
      <c r="AN192" s="136"/>
      <c r="AO192" s="135"/>
      <c r="AP192" s="135"/>
      <c r="AQ192" s="116"/>
      <c r="AR192" s="82"/>
      <c r="AS192" s="136"/>
      <c r="AT192" s="135"/>
      <c r="AU192" s="135"/>
      <c r="AV192" s="116"/>
      <c r="AW192" s="82"/>
      <c r="AX192" s="136">
        <f>Debt!DA130</f>
        <v>-0.11366278532608695</v>
      </c>
      <c r="AY192" s="135">
        <f>Debt!DB130</f>
        <v>-0.11366278532608695</v>
      </c>
      <c r="AZ192" s="135">
        <f>Debt!DC130</f>
        <v>-2.9000000000000004</v>
      </c>
      <c r="BA192" s="116">
        <f>Debt!DD130</f>
        <v>-4.3500000000000005</v>
      </c>
      <c r="BB192" s="82">
        <f>Debt!DE130</f>
        <v>-7.4773255706521748</v>
      </c>
      <c r="BC192" s="136">
        <f>Debt!DF130</f>
        <v>-4.3500000000000005</v>
      </c>
      <c r="BD192" s="135">
        <f>Debt!DG130</f>
        <v>-6.0583333333333336</v>
      </c>
      <c r="BE192" s="135">
        <f>Debt!DH130</f>
        <v>-6.5750000000000002</v>
      </c>
      <c r="BF192" s="116">
        <f>Debt!DI130</f>
        <v>-5.125</v>
      </c>
      <c r="BG192" s="82">
        <f>Debt!DJ130</f>
        <v>-22.108333333333334</v>
      </c>
      <c r="BH192" s="136">
        <f>Debt!DK130</f>
        <v>-5.125</v>
      </c>
      <c r="BI192" s="135">
        <f>Debt!DL130</f>
        <v>-3.4166666666666665</v>
      </c>
      <c r="BJ192" s="135">
        <f>Debt!DM130</f>
        <v>0</v>
      </c>
      <c r="BK192" s="116">
        <f>Debt!DN130</f>
        <v>-2.1333333333333333</v>
      </c>
      <c r="BL192" s="82">
        <f>Debt!DO130</f>
        <v>-10.674999999999999</v>
      </c>
      <c r="BM192" s="136">
        <f>Debt!DP130</f>
        <v>-3.2</v>
      </c>
      <c r="BN192" s="135">
        <f>Debt!DQ130</f>
        <v>-3.2</v>
      </c>
      <c r="BO192" s="135">
        <f>Debt!DR130</f>
        <v>-3.2</v>
      </c>
      <c r="BP192" s="116">
        <f>Debt!DS130</f>
        <v>-1.0666666666666667</v>
      </c>
      <c r="BQ192" s="82">
        <f>Debt!DT130</f>
        <v>-10.666666666666668</v>
      </c>
      <c r="BR192" s="220"/>
      <c r="BS192" s="220"/>
      <c r="BT192" s="220"/>
      <c r="BU192" s="220"/>
      <c r="BV192" s="220"/>
      <c r="BW192" s="220"/>
      <c r="BX192" s="220"/>
      <c r="BY192" s="220"/>
      <c r="BZ192" s="220"/>
      <c r="CA192" s="220"/>
      <c r="CB192" s="220"/>
      <c r="CC192" s="220"/>
      <c r="CD192" s="220"/>
      <c r="CE192" s="220"/>
      <c r="CF192" s="220"/>
      <c r="CG192" s="220"/>
      <c r="CH192" s="220"/>
      <c r="CI192" s="220"/>
      <c r="CJ192" s="220"/>
      <c r="CK192" s="220"/>
      <c r="CL192" s="220"/>
      <c r="CM192" s="220"/>
      <c r="CN192" s="220"/>
      <c r="CO192" s="220"/>
      <c r="CP192" s="220"/>
      <c r="CQ192" s="220"/>
      <c r="CR192" s="220"/>
      <c r="CS192" s="220"/>
      <c r="CT192" s="220"/>
      <c r="CU192" s="220"/>
      <c r="CV192" s="220"/>
      <c r="CW192" s="220"/>
      <c r="CX192" s="220"/>
      <c r="CY192" s="220"/>
      <c r="CZ192" s="220"/>
    </row>
    <row r="193" spans="1:134" x14ac:dyDescent="0.2">
      <c r="A193" s="289"/>
      <c r="B193" s="289"/>
      <c r="C193" s="20"/>
      <c r="D193" s="289"/>
      <c r="E193" s="291"/>
      <c r="F193" s="292"/>
      <c r="G193" s="292"/>
      <c r="H193" s="293"/>
      <c r="I193" s="289"/>
      <c r="J193" s="291"/>
      <c r="K193" s="292"/>
      <c r="L193" s="292"/>
      <c r="M193" s="293"/>
      <c r="N193" s="289"/>
      <c r="O193" s="291"/>
      <c r="P193" s="292"/>
      <c r="Q193" s="292"/>
      <c r="R193" s="293"/>
      <c r="S193" s="289"/>
      <c r="T193" s="291"/>
      <c r="U193" s="292"/>
      <c r="V193" s="292"/>
      <c r="W193" s="293"/>
      <c r="X193" s="289"/>
      <c r="Y193" s="291"/>
      <c r="Z193" s="292"/>
      <c r="AA193" s="292"/>
      <c r="AB193" s="293"/>
      <c r="AC193" s="289"/>
      <c r="AD193" s="291"/>
      <c r="AE193" s="292"/>
      <c r="AF193" s="292"/>
      <c r="AG193" s="293"/>
      <c r="AH193" s="289"/>
      <c r="AI193" s="291"/>
      <c r="AJ193" s="292"/>
      <c r="AK193" s="292"/>
      <c r="AL193" s="293"/>
      <c r="AM193" s="289"/>
      <c r="AN193" s="291"/>
      <c r="AO193" s="292"/>
      <c r="AP193" s="292"/>
      <c r="AQ193" s="293"/>
      <c r="AR193" s="289"/>
      <c r="AS193" s="291"/>
      <c r="AT193" s="292"/>
      <c r="AU193" s="292"/>
      <c r="AV193" s="293"/>
      <c r="AW193" s="289"/>
      <c r="AX193" s="291"/>
      <c r="AY193" s="292"/>
      <c r="AZ193" s="292"/>
      <c r="BA193" s="293"/>
      <c r="BB193" s="289"/>
      <c r="BC193" s="291"/>
      <c r="BD193" s="292"/>
      <c r="BE193" s="292"/>
      <c r="BF193" s="293"/>
      <c r="BG193" s="289"/>
      <c r="BH193" s="291"/>
      <c r="BI193" s="292"/>
      <c r="BJ193" s="292"/>
      <c r="BK193" s="293"/>
      <c r="BL193" s="289"/>
      <c r="BM193" s="291"/>
      <c r="BN193" s="292"/>
      <c r="BO193" s="292"/>
      <c r="BP193" s="293"/>
      <c r="BQ193" s="289"/>
      <c r="BR193" s="289"/>
      <c r="BS193" s="289"/>
      <c r="BT193" s="289"/>
      <c r="BU193" s="289"/>
      <c r="BV193" s="289"/>
      <c r="BW193" s="289"/>
      <c r="BX193" s="289"/>
      <c r="BY193" s="289"/>
      <c r="BZ193" s="289"/>
      <c r="CA193" s="289"/>
      <c r="CB193" s="289"/>
      <c r="CC193" s="289"/>
      <c r="CD193" s="289"/>
      <c r="CE193" s="289"/>
      <c r="CF193" s="289"/>
      <c r="CG193" s="289"/>
      <c r="CH193" s="289"/>
      <c r="CI193" s="289"/>
      <c r="CJ193" s="289"/>
      <c r="CK193" s="289"/>
      <c r="CL193" s="289"/>
      <c r="CM193" s="289"/>
      <c r="CN193" s="289"/>
      <c r="CO193" s="289"/>
      <c r="CP193" s="289"/>
      <c r="CQ193" s="289"/>
      <c r="CR193" s="289"/>
      <c r="CS193" s="289"/>
      <c r="CT193" s="289"/>
      <c r="CU193" s="289"/>
      <c r="CV193" s="289"/>
      <c r="CW193" s="289"/>
      <c r="CX193" s="289"/>
      <c r="CY193" s="289"/>
      <c r="CZ193" s="289"/>
    </row>
    <row r="194" spans="1:134" x14ac:dyDescent="0.2">
      <c r="A194" s="289"/>
      <c r="B194" s="289"/>
      <c r="C194" s="70" t="s">
        <v>164</v>
      </c>
      <c r="D194" s="289"/>
      <c r="E194" s="291"/>
      <c r="F194" s="292"/>
      <c r="G194" s="292"/>
      <c r="H194" s="293"/>
      <c r="I194" s="289"/>
      <c r="J194" s="291"/>
      <c r="K194" s="292"/>
      <c r="L194" s="292"/>
      <c r="M194" s="293"/>
      <c r="N194" s="289"/>
      <c r="O194" s="291"/>
      <c r="P194" s="292"/>
      <c r="Q194" s="292"/>
      <c r="R194" s="209"/>
      <c r="S194" s="88"/>
      <c r="T194" s="207"/>
      <c r="U194" s="292"/>
      <c r="V194" s="292"/>
      <c r="W194" s="209"/>
      <c r="X194" s="88"/>
      <c r="Y194" s="207"/>
      <c r="Z194" s="208"/>
      <c r="AA194" s="292"/>
      <c r="AB194" s="209"/>
      <c r="AC194" s="88"/>
      <c r="AD194" s="207"/>
      <c r="AE194" s="208"/>
      <c r="AF194" s="292"/>
      <c r="AG194" s="209"/>
      <c r="AH194" s="88"/>
      <c r="AI194" s="207"/>
      <c r="AJ194" s="208"/>
      <c r="AK194" s="292"/>
      <c r="AL194" s="209"/>
      <c r="AM194" s="88"/>
      <c r="AN194" s="207"/>
      <c r="AO194" s="208"/>
      <c r="AP194" s="292"/>
      <c r="AQ194" s="209"/>
      <c r="AR194" s="88"/>
      <c r="AS194" s="207"/>
      <c r="AT194" s="208"/>
      <c r="AU194" s="208"/>
      <c r="AV194" s="209"/>
      <c r="AW194" s="88"/>
      <c r="AX194" s="207">
        <f>+XEL!AX113</f>
        <v>0.02</v>
      </c>
      <c r="AY194" s="208">
        <f>+XEL!AY113</f>
        <v>0.02</v>
      </c>
      <c r="AZ194" s="208">
        <f>+XEL!AZ113</f>
        <v>0.02</v>
      </c>
      <c r="BA194" s="209">
        <f>+XEL!BA113</f>
        <v>0.02</v>
      </c>
      <c r="BB194" s="88">
        <f>+XEL!BB113</f>
        <v>0.02</v>
      </c>
      <c r="BC194" s="207">
        <f>+XEL!BC113</f>
        <v>0.02</v>
      </c>
      <c r="BD194" s="208">
        <f>+XEL!BD113</f>
        <v>0.02</v>
      </c>
      <c r="BE194" s="208">
        <f>+XEL!BE113</f>
        <v>0.02</v>
      </c>
      <c r="BF194" s="209">
        <f>+XEL!BF113</f>
        <v>0.02</v>
      </c>
      <c r="BG194" s="88">
        <f>+XEL!BG113</f>
        <v>0.02</v>
      </c>
      <c r="BH194" s="207">
        <f>+XEL!BH113</f>
        <v>0.02</v>
      </c>
      <c r="BI194" s="208">
        <f>+XEL!BI113</f>
        <v>0.02</v>
      </c>
      <c r="BJ194" s="208">
        <f>+XEL!BJ113</f>
        <v>0.02</v>
      </c>
      <c r="BK194" s="209">
        <f>+XEL!BK113</f>
        <v>0.02</v>
      </c>
      <c r="BL194" s="88">
        <f>+XEL!BL113</f>
        <v>0.02</v>
      </c>
      <c r="BM194" s="207">
        <f>+XEL!BM113</f>
        <v>0.02</v>
      </c>
      <c r="BN194" s="208">
        <f>+XEL!BN113</f>
        <v>0.02</v>
      </c>
      <c r="BO194" s="208">
        <f>+XEL!BO113</f>
        <v>0.02</v>
      </c>
      <c r="BP194" s="209">
        <f>+XEL!BP113</f>
        <v>0.02</v>
      </c>
      <c r="BQ194" s="88">
        <f>+XEL!BQ113</f>
        <v>0.02</v>
      </c>
      <c r="BR194" s="289"/>
      <c r="BS194" s="289"/>
      <c r="BT194" s="289"/>
      <c r="BU194" s="289"/>
      <c r="BV194" s="289"/>
      <c r="BW194" s="289"/>
      <c r="BX194" s="289"/>
      <c r="BY194" s="289"/>
      <c r="BZ194" s="289"/>
      <c r="CA194" s="289"/>
      <c r="CB194" s="289"/>
      <c r="CC194" s="289"/>
      <c r="CD194" s="289"/>
      <c r="CE194" s="289"/>
      <c r="CF194" s="289"/>
      <c r="CG194" s="289"/>
      <c r="CH194" s="289"/>
      <c r="CI194" s="289"/>
      <c r="CJ194" s="289"/>
      <c r="CK194" s="289"/>
      <c r="CL194" s="289"/>
      <c r="CM194" s="289"/>
      <c r="CN194" s="289"/>
      <c r="CO194" s="289"/>
      <c r="CP194" s="289"/>
      <c r="CQ194" s="289"/>
      <c r="CR194" s="289"/>
      <c r="CS194" s="289"/>
      <c r="CT194" s="289"/>
      <c r="CU194" s="289"/>
      <c r="CV194" s="289"/>
      <c r="CW194" s="289"/>
      <c r="CX194" s="289"/>
      <c r="CY194" s="289"/>
      <c r="CZ194" s="289"/>
    </row>
    <row r="195" spans="1:134" x14ac:dyDescent="0.2">
      <c r="A195" s="289"/>
      <c r="B195" s="289"/>
      <c r="C195" s="289"/>
      <c r="D195" s="289"/>
      <c r="E195" s="291"/>
      <c r="F195" s="292"/>
      <c r="G195" s="292"/>
      <c r="H195" s="293"/>
      <c r="I195" s="289"/>
      <c r="J195" s="291"/>
      <c r="K195" s="292"/>
      <c r="L195" s="292"/>
      <c r="M195" s="293"/>
      <c r="N195" s="289"/>
      <c r="O195" s="291"/>
      <c r="P195" s="292"/>
      <c r="Q195" s="292"/>
      <c r="R195" s="293"/>
      <c r="S195" s="289"/>
      <c r="T195" s="291"/>
      <c r="U195" s="292"/>
      <c r="V195" s="292"/>
      <c r="W195" s="293"/>
      <c r="X195" s="289"/>
      <c r="Y195" s="291"/>
      <c r="Z195" s="292"/>
      <c r="AA195" s="292"/>
      <c r="AB195" s="293"/>
      <c r="AC195" s="289"/>
      <c r="AD195" s="291"/>
      <c r="AE195" s="292"/>
      <c r="AF195" s="292"/>
      <c r="AG195" s="293"/>
      <c r="AH195" s="289"/>
      <c r="AI195" s="291"/>
      <c r="AJ195" s="292"/>
      <c r="AK195" s="292"/>
      <c r="AL195" s="293"/>
      <c r="AM195" s="289"/>
      <c r="AN195" s="291"/>
      <c r="AO195" s="292"/>
      <c r="AP195" s="292"/>
      <c r="AQ195" s="293"/>
      <c r="AR195" s="289"/>
      <c r="AS195" s="291"/>
      <c r="AT195" s="292"/>
      <c r="AU195" s="292"/>
      <c r="AV195" s="293"/>
      <c r="AW195" s="289"/>
      <c r="AX195" s="291"/>
      <c r="AY195" s="292"/>
      <c r="AZ195" s="292"/>
      <c r="BA195" s="293"/>
      <c r="BB195" s="289"/>
      <c r="BC195" s="291"/>
      <c r="BD195" s="292"/>
      <c r="BE195" s="292"/>
      <c r="BF195" s="293"/>
      <c r="BG195" s="289"/>
      <c r="BH195" s="291"/>
      <c r="BI195" s="292"/>
      <c r="BJ195" s="292"/>
      <c r="BK195" s="293"/>
      <c r="BL195" s="289"/>
      <c r="BM195" s="291"/>
      <c r="BN195" s="292"/>
      <c r="BO195" s="292"/>
      <c r="BP195" s="293"/>
      <c r="BQ195" s="289"/>
      <c r="BR195" s="289"/>
      <c r="BS195" s="289"/>
      <c r="BT195" s="289"/>
      <c r="BU195" s="289"/>
      <c r="BV195" s="289"/>
      <c r="BW195" s="289"/>
      <c r="BX195" s="289"/>
      <c r="BY195" s="289"/>
      <c r="BZ195" s="289"/>
      <c r="CA195" s="289"/>
      <c r="CB195" s="289"/>
      <c r="CC195" s="289"/>
      <c r="CD195" s="289"/>
      <c r="CE195" s="289"/>
      <c r="CF195" s="289"/>
      <c r="CG195" s="289"/>
      <c r="CH195" s="289"/>
      <c r="CI195" s="289"/>
      <c r="CJ195" s="289"/>
      <c r="CK195" s="289"/>
      <c r="CL195" s="349"/>
      <c r="CM195" s="349"/>
      <c r="CN195" s="349"/>
      <c r="CO195" s="346"/>
      <c r="CP195" s="349"/>
      <c r="CQ195" s="349"/>
      <c r="CR195" s="349"/>
      <c r="CS195" s="349"/>
      <c r="CT195" s="346"/>
      <c r="CU195" s="349"/>
      <c r="CV195" s="349"/>
      <c r="CW195" s="349"/>
      <c r="CX195" s="349"/>
      <c r="CY195" s="346"/>
      <c r="CZ195" s="289"/>
    </row>
    <row r="196" spans="1:134" x14ac:dyDescent="0.2">
      <c r="A196" s="289"/>
      <c r="B196" s="289"/>
      <c r="C196" s="289"/>
      <c r="D196" s="289"/>
      <c r="E196" s="291"/>
      <c r="F196" s="292"/>
      <c r="G196" s="292"/>
      <c r="H196" s="293"/>
      <c r="I196" s="289"/>
      <c r="J196" s="291"/>
      <c r="K196" s="292"/>
      <c r="L196" s="292"/>
      <c r="M196" s="293"/>
      <c r="N196" s="289"/>
      <c r="O196" s="291"/>
      <c r="P196" s="292"/>
      <c r="Q196" s="292"/>
      <c r="R196" s="293"/>
      <c r="S196" s="289"/>
      <c r="T196" s="291"/>
      <c r="U196" s="292"/>
      <c r="V196" s="292"/>
      <c r="W196" s="293"/>
      <c r="X196" s="289"/>
      <c r="Y196" s="291"/>
      <c r="Z196" s="292"/>
      <c r="AA196" s="292"/>
      <c r="AB196" s="293"/>
      <c r="AC196" s="289"/>
      <c r="AD196" s="291"/>
      <c r="AE196" s="292"/>
      <c r="AF196" s="292"/>
      <c r="AG196" s="293"/>
      <c r="AH196" s="289"/>
      <c r="AI196" s="291"/>
      <c r="AJ196" s="292"/>
      <c r="AK196" s="292"/>
      <c r="AL196" s="293"/>
      <c r="AM196" s="289"/>
      <c r="AN196" s="291"/>
      <c r="AO196" s="292"/>
      <c r="AP196" s="292"/>
      <c r="AQ196" s="293"/>
      <c r="AR196" s="289"/>
      <c r="AS196" s="291"/>
      <c r="AT196" s="292"/>
      <c r="AU196" s="292"/>
      <c r="AV196" s="293"/>
      <c r="AW196" s="289"/>
      <c r="AX196" s="291"/>
      <c r="AY196" s="292"/>
      <c r="AZ196" s="292"/>
      <c r="BA196" s="293"/>
      <c r="BB196" s="289"/>
      <c r="BC196" s="291"/>
      <c r="BD196" s="292"/>
      <c r="BE196" s="292"/>
      <c r="BF196" s="293"/>
      <c r="BG196" s="289"/>
      <c r="BH196" s="291"/>
      <c r="BI196" s="292"/>
      <c r="BJ196" s="292"/>
      <c r="BK196" s="293"/>
      <c r="BL196" s="289"/>
      <c r="BM196" s="291"/>
      <c r="BN196" s="292"/>
      <c r="BO196" s="292"/>
      <c r="BP196" s="293"/>
      <c r="BQ196" s="289"/>
      <c r="BR196" s="289"/>
      <c r="BS196" s="289"/>
      <c r="BT196" s="289"/>
      <c r="BU196" s="289"/>
      <c r="BV196" s="289"/>
      <c r="BW196" s="289"/>
      <c r="BX196" s="289"/>
      <c r="BY196" s="289"/>
      <c r="BZ196" s="289"/>
      <c r="CA196" s="289"/>
      <c r="CB196" s="289"/>
      <c r="CC196" s="289"/>
      <c r="CD196" s="289"/>
      <c r="CE196" s="289"/>
      <c r="CF196" s="289"/>
      <c r="CG196" s="289"/>
      <c r="CH196" s="289"/>
      <c r="CI196" s="289"/>
      <c r="CJ196" s="289"/>
      <c r="CK196" s="289"/>
      <c r="CL196" s="7" t="s">
        <v>171</v>
      </c>
      <c r="CM196" s="7"/>
      <c r="CN196" s="7"/>
      <c r="CO196" s="20"/>
      <c r="CP196" s="20"/>
      <c r="CQ196" s="20"/>
      <c r="CR196" s="20"/>
      <c r="CS196" s="20"/>
      <c r="CT196" s="20"/>
      <c r="CU196" s="20"/>
      <c r="CV196" s="20"/>
      <c r="CW196" s="20"/>
      <c r="CX196" s="20"/>
    </row>
    <row r="197" spans="1:134" x14ac:dyDescent="0.2">
      <c r="A197" s="289"/>
      <c r="B197" s="347" t="s">
        <v>297</v>
      </c>
      <c r="C197" s="347"/>
      <c r="D197" s="348"/>
      <c r="E197" s="291"/>
      <c r="F197" s="292"/>
      <c r="G197" s="292"/>
      <c r="H197" s="293"/>
      <c r="I197" s="289"/>
      <c r="J197" s="291"/>
      <c r="K197" s="292"/>
      <c r="L197" s="292"/>
      <c r="M197" s="293"/>
      <c r="N197" s="289"/>
      <c r="O197" s="291"/>
      <c r="P197" s="292"/>
      <c r="Q197" s="292"/>
      <c r="R197" s="293"/>
      <c r="S197" s="289"/>
      <c r="T197" s="291"/>
      <c r="U197" s="292"/>
      <c r="V197" s="292"/>
      <c r="W197" s="293"/>
      <c r="X197" s="289"/>
      <c r="Y197" s="291"/>
      <c r="Z197" s="292"/>
      <c r="AA197" s="292"/>
      <c r="AB197" s="293"/>
      <c r="AC197" s="289"/>
      <c r="AD197" s="291"/>
      <c r="AE197" s="292"/>
      <c r="AF197" s="292"/>
      <c r="AG197" s="293"/>
      <c r="AH197" s="289"/>
      <c r="AI197" s="291"/>
      <c r="AJ197" s="292"/>
      <c r="AK197" s="292"/>
      <c r="AL197" s="293"/>
      <c r="AM197" s="289"/>
      <c r="AN197" s="291"/>
      <c r="AO197" s="292"/>
      <c r="AP197" s="292"/>
      <c r="AQ197" s="293"/>
      <c r="AR197" s="289"/>
      <c r="AS197" s="291"/>
      <c r="AT197" s="292"/>
      <c r="AU197" s="292"/>
      <c r="AV197" s="293"/>
      <c r="AW197" s="289"/>
      <c r="AX197" s="291"/>
      <c r="AY197" s="292"/>
      <c r="AZ197" s="292"/>
      <c r="BA197" s="293"/>
      <c r="BB197" s="289"/>
      <c r="BC197" s="291"/>
      <c r="BD197" s="292"/>
      <c r="BE197" s="292"/>
      <c r="BF197" s="293"/>
      <c r="BG197" s="289"/>
      <c r="BH197" s="291"/>
      <c r="BI197" s="292"/>
      <c r="BJ197" s="292"/>
      <c r="BK197" s="293"/>
      <c r="BL197" s="289"/>
      <c r="BM197" s="291"/>
      <c r="BN197" s="292"/>
      <c r="BO197" s="292"/>
      <c r="BP197" s="293"/>
      <c r="BQ197" s="289"/>
      <c r="BR197" s="289"/>
      <c r="BS197" s="289"/>
      <c r="BT197" s="289"/>
      <c r="BU197" s="289"/>
      <c r="BV197" s="289"/>
      <c r="BW197" s="289"/>
      <c r="BX197" s="289"/>
      <c r="BY197" s="289"/>
      <c r="BZ197" s="289"/>
      <c r="CA197" s="289"/>
      <c r="CB197" s="289"/>
      <c r="CC197" s="289"/>
      <c r="CD197" s="289"/>
      <c r="CE197" s="289"/>
      <c r="CF197" s="289"/>
      <c r="CG197" s="289"/>
      <c r="CH197" s="289"/>
      <c r="CI197" s="289"/>
      <c r="CJ197" s="289"/>
      <c r="CK197" s="289"/>
      <c r="CL197" s="218" t="s">
        <v>101</v>
      </c>
      <c r="CM197" s="218" t="s">
        <v>102</v>
      </c>
      <c r="CN197" s="218" t="s">
        <v>103</v>
      </c>
      <c r="CO197" s="218" t="s">
        <v>104</v>
      </c>
      <c r="CP197" s="218" t="s">
        <v>173</v>
      </c>
      <c r="CQ197" s="218" t="s">
        <v>105</v>
      </c>
      <c r="CR197" s="218" t="s">
        <v>106</v>
      </c>
      <c r="CS197" s="218" t="s">
        <v>107</v>
      </c>
      <c r="CT197" s="218" t="s">
        <v>108</v>
      </c>
      <c r="CU197" s="218" t="s">
        <v>174</v>
      </c>
      <c r="CV197" s="218" t="s">
        <v>109</v>
      </c>
      <c r="CW197" s="218" t="s">
        <v>110</v>
      </c>
      <c r="CX197" s="218" t="s">
        <v>479</v>
      </c>
      <c r="CY197" s="218" t="s">
        <v>175</v>
      </c>
      <c r="CZ197" s="218" t="s">
        <v>176</v>
      </c>
      <c r="DA197" s="218" t="s">
        <v>508</v>
      </c>
      <c r="DB197" s="218" t="s">
        <v>509</v>
      </c>
      <c r="DC197" s="218" t="s">
        <v>510</v>
      </c>
      <c r="DD197" s="218" t="s">
        <v>522</v>
      </c>
      <c r="DE197" s="218" t="s">
        <v>525</v>
      </c>
      <c r="DF197" s="218" t="s">
        <v>524</v>
      </c>
      <c r="DG197" s="218" t="s">
        <v>527</v>
      </c>
      <c r="DH197" s="218" t="s">
        <v>528</v>
      </c>
      <c r="DI197" s="218" t="s">
        <v>537</v>
      </c>
      <c r="DJ197" s="218" t="s">
        <v>540</v>
      </c>
      <c r="DK197" s="218" t="s">
        <v>539</v>
      </c>
      <c r="DL197" s="218" t="s">
        <v>543</v>
      </c>
      <c r="DM197" s="218" t="s">
        <v>544</v>
      </c>
      <c r="DN197" s="218" t="s">
        <v>550</v>
      </c>
      <c r="DO197" s="218" t="s">
        <v>552</v>
      </c>
      <c r="DP197" s="218" t="s">
        <v>553</v>
      </c>
      <c r="DQ197" s="218" t="s">
        <v>554</v>
      </c>
      <c r="DR197" s="218" t="s">
        <v>569</v>
      </c>
      <c r="DS197" s="218" t="s">
        <v>570</v>
      </c>
      <c r="DT197" s="218" t="s">
        <v>573</v>
      </c>
      <c r="DU197" s="218" t="s">
        <v>574</v>
      </c>
      <c r="DV197" s="218" t="s">
        <v>589</v>
      </c>
      <c r="DW197" s="218" t="s">
        <v>597</v>
      </c>
      <c r="DX197" s="218" t="s">
        <v>605</v>
      </c>
      <c r="DY197" s="218" t="s">
        <v>606</v>
      </c>
      <c r="DZ197" s="218" t="s">
        <v>631</v>
      </c>
      <c r="EA197" s="218" t="s">
        <v>638</v>
      </c>
      <c r="EB197" s="218" t="s">
        <v>640</v>
      </c>
      <c r="EC197" s="218" t="s">
        <v>664</v>
      </c>
      <c r="ED197" s="218" t="s">
        <v>666</v>
      </c>
    </row>
    <row r="198" spans="1:134" x14ac:dyDescent="0.2">
      <c r="A198" s="220"/>
      <c r="B198" s="220"/>
      <c r="C198" s="70" t="s">
        <v>177</v>
      </c>
      <c r="D198" s="82"/>
      <c r="E198" s="136">
        <f t="shared" ref="E198:E203" si="382">+CL198</f>
        <v>78.287999999999997</v>
      </c>
      <c r="F198" s="135">
        <f t="shared" ref="F198:G203" si="383">+CM198-CL198</f>
        <v>60.547000000000011</v>
      </c>
      <c r="G198" s="135">
        <f t="shared" si="383"/>
        <v>91.222999999999985</v>
      </c>
      <c r="H198" s="116">
        <f t="shared" ref="H198:H203" si="384">+CP198-CN198</f>
        <v>93.262</v>
      </c>
      <c r="I198" s="223">
        <f t="shared" ref="I198:I204" si="385">CP198</f>
        <v>323.32</v>
      </c>
      <c r="J198" s="136">
        <f t="shared" ref="J198:J203" si="386">+CQ198</f>
        <v>84.25</v>
      </c>
      <c r="K198" s="135">
        <f t="shared" ref="K198:L203" si="387">+CR198-CQ198</f>
        <v>77.685000000000002</v>
      </c>
      <c r="L198" s="135">
        <f t="shared" si="387"/>
        <v>158.09100000000001</v>
      </c>
      <c r="M198" s="116">
        <f t="shared" ref="M198:M203" si="388">+CU198-CS198</f>
        <v>79.694000000000017</v>
      </c>
      <c r="N198" s="223">
        <f t="shared" ref="N198:N204" si="389">CU198</f>
        <v>399.72</v>
      </c>
      <c r="O198" s="136">
        <f t="shared" ref="O198:O203" si="390">+CV198</f>
        <v>96.63</v>
      </c>
      <c r="P198" s="135">
        <f t="shared" ref="P198:Q203" si="391">+CW198-CV198</f>
        <v>71.018000000000001</v>
      </c>
      <c r="Q198" s="135">
        <f t="shared" si="391"/>
        <v>140.71799999999999</v>
      </c>
      <c r="R198" s="116">
        <f t="shared" ref="R198:R203" si="392">+CZ198-CX198</f>
        <v>88.437000000000012</v>
      </c>
      <c r="S198" s="223">
        <f t="shared" ref="S198:S204" si="393">CZ198</f>
        <v>396.803</v>
      </c>
      <c r="T198" s="136">
        <f t="shared" ref="T198:T203" si="394">+DA198</f>
        <v>93.284999999999997</v>
      </c>
      <c r="U198" s="135">
        <f t="shared" ref="U198:U203" si="395">+DB198-DA198</f>
        <v>95.407000000000011</v>
      </c>
      <c r="V198" s="135">
        <f t="shared" ref="V198:V203" si="396">+DC198-DB198</f>
        <v>192.44299999999998</v>
      </c>
      <c r="W198" s="116">
        <f t="shared" ref="W198:W203" si="397">+DE198-DC198</f>
        <v>76.941000000000031</v>
      </c>
      <c r="X198" s="223">
        <f t="shared" ref="X198:X204" si="398">DE198</f>
        <v>458.07600000000002</v>
      </c>
      <c r="Y198" s="136">
        <f t="shared" ref="Y198:Y203" si="399">+DF198</f>
        <v>116.605</v>
      </c>
      <c r="Z198" s="135">
        <f t="shared" ref="Z198:Z203" si="400">+DG198-DF198</f>
        <v>97.298999999999992</v>
      </c>
      <c r="AA198" s="135">
        <f t="shared" ref="AA198:AA203" si="401">+DH198-DG198</f>
        <v>166.26600000000002</v>
      </c>
      <c r="AB198" s="116">
        <f t="shared" ref="AB198:AB203" si="402">+DJ198-DH198</f>
        <v>73.212999999999965</v>
      </c>
      <c r="AC198" s="223">
        <f t="shared" ref="AC198:AC204" si="403">DJ198</f>
        <v>453.38299999999998</v>
      </c>
      <c r="AD198" s="136">
        <f t="shared" ref="AD198:AD203" si="404">+DK198</f>
        <v>118.40300000000001</v>
      </c>
      <c r="AE198" s="135">
        <f t="shared" ref="AE198:AF203" si="405">+DL198-DK198</f>
        <v>89.791999999999987</v>
      </c>
      <c r="AF198" s="135">
        <f t="shared" si="405"/>
        <v>154.15899999999999</v>
      </c>
      <c r="AG198" s="116">
        <f t="shared" ref="AG198:AG203" si="406">+DO198-DM198</f>
        <v>92.834000000000003</v>
      </c>
      <c r="AH198" s="223">
        <f t="shared" ref="AH198:AH204" si="407">DO198</f>
        <v>455.18799999999999</v>
      </c>
      <c r="AI198" s="136">
        <f t="shared" ref="AI198:AI203" si="408">+DP198</f>
        <v>110.96599999999999</v>
      </c>
      <c r="AJ198" s="135">
        <f t="shared" ref="AJ198:AK203" si="409">+DQ198-DP198</f>
        <v>98.500000000000014</v>
      </c>
      <c r="AK198" s="135">
        <f t="shared" si="409"/>
        <v>173.08100000000002</v>
      </c>
      <c r="AL198" s="116">
        <f t="shared" ref="AL198:AL203" si="410">+DT198-DR198</f>
        <v>84.254999999999995</v>
      </c>
      <c r="AM198" s="223">
        <f t="shared" ref="AM198:AM204" si="411">DT198</f>
        <v>466.80200000000002</v>
      </c>
      <c r="AN198" s="136">
        <f t="shared" ref="AN198:AN203" si="412">+DU198</f>
        <v>115.874</v>
      </c>
      <c r="AO198" s="135">
        <f t="shared" ref="AO198:AP203" si="413">+DV198-DU198</f>
        <v>87.343999999999994</v>
      </c>
      <c r="AP198" s="135">
        <f t="shared" si="413"/>
        <v>173.607</v>
      </c>
      <c r="AQ198" s="116">
        <f t="shared" ref="AQ198:AQ203" si="414">+DY198-DW198</f>
        <v>86.665999999999997</v>
      </c>
      <c r="AR198" s="223">
        <f t="shared" ref="AR198:AR204" si="415">DY198</f>
        <v>463.49099999999999</v>
      </c>
      <c r="AS198" s="136">
        <f t="shared" ref="AS198:AS203" si="416">+DZ198</f>
        <v>111.54600000000001</v>
      </c>
      <c r="AT198" s="135">
        <f t="shared" ref="AT198:AT203" si="417">+EA198-DZ198</f>
        <v>100.587</v>
      </c>
      <c r="AU198" s="135">
        <f t="shared" ref="AU198:AU203" si="418">+EB198-EA198</f>
        <v>186.07699999999997</v>
      </c>
      <c r="AV198" s="116">
        <f t="shared" ref="AV198:AV203" si="419">+ED198-EB198</f>
        <v>95.909000000000049</v>
      </c>
      <c r="AW198" s="223">
        <f t="shared" ref="AW198:AW204" si="420">ED198</f>
        <v>494.11900000000003</v>
      </c>
      <c r="AX198" s="136">
        <f>+AX43</f>
        <v>135.13086456331928</v>
      </c>
      <c r="AY198" s="135">
        <f>+AY43</f>
        <v>109.28318925740587</v>
      </c>
      <c r="AZ198" s="135">
        <f>+AZ43</f>
        <v>189.69820005065486</v>
      </c>
      <c r="BA198" s="116">
        <f>+BA43</f>
        <v>89.649626792886181</v>
      </c>
      <c r="BB198" s="82">
        <f>SUM(AX198:BA198)</f>
        <v>523.76188066426619</v>
      </c>
      <c r="BC198" s="136">
        <f>+BC43</f>
        <v>139.065225039067</v>
      </c>
      <c r="BD198" s="135">
        <f>+BD43</f>
        <v>105.64661382704486</v>
      </c>
      <c r="BE198" s="135">
        <f>+BE43</f>
        <v>191.99480252320677</v>
      </c>
      <c r="BF198" s="116">
        <f>+BF43</f>
        <v>91.50936389237711</v>
      </c>
      <c r="BG198" s="82">
        <f>SUM(BC198:BF198)</f>
        <v>528.21600528169574</v>
      </c>
      <c r="BH198" s="136">
        <f>+BH43</f>
        <v>146.70384017671677</v>
      </c>
      <c r="BI198" s="135">
        <f>+BI43</f>
        <v>109.4044545152793</v>
      </c>
      <c r="BJ198" s="135">
        <f>+BJ43</f>
        <v>195.27209385263774</v>
      </c>
      <c r="BK198" s="116">
        <f>+BK43</f>
        <v>97.895987209302518</v>
      </c>
      <c r="BL198" s="82">
        <f>SUM(BH198:BK198)</f>
        <v>549.27637575393635</v>
      </c>
      <c r="BM198" s="136">
        <f>+BM43</f>
        <v>158.70136508188966</v>
      </c>
      <c r="BN198" s="135">
        <f>+BN43</f>
        <v>116.72076180258102</v>
      </c>
      <c r="BO198" s="135">
        <f>+BO43</f>
        <v>203.88130852298031</v>
      </c>
      <c r="BP198" s="116">
        <f>+BP43</f>
        <v>107.00579285698115</v>
      </c>
      <c r="BQ198" s="82">
        <f>SUM(BM198:BP198)</f>
        <v>586.30922826443214</v>
      </c>
      <c r="BR198" s="220"/>
      <c r="BS198" s="220"/>
      <c r="BT198" s="220"/>
      <c r="BU198" s="220"/>
      <c r="BV198" s="220"/>
      <c r="BW198" s="220"/>
      <c r="BX198" s="220"/>
      <c r="BY198" s="220"/>
      <c r="BZ198" s="220"/>
      <c r="CA198" s="220"/>
      <c r="CB198" s="220"/>
      <c r="CC198" s="220"/>
      <c r="CD198" s="220"/>
      <c r="CE198" s="220"/>
      <c r="CF198" s="220"/>
      <c r="CG198" s="220"/>
      <c r="CH198" s="220"/>
      <c r="CI198" s="220"/>
      <c r="CJ198" s="220"/>
      <c r="CK198" s="220"/>
      <c r="CL198" s="117">
        <v>78.287999999999997</v>
      </c>
      <c r="CM198" s="117">
        <v>138.83500000000001</v>
      </c>
      <c r="CN198" s="117">
        <v>230.05799999999999</v>
      </c>
      <c r="CO198" s="82">
        <f t="shared" ref="CO198:CO203" si="421">CP198-CN198</f>
        <v>93.262</v>
      </c>
      <c r="CP198" s="117">
        <v>323.32</v>
      </c>
      <c r="CQ198" s="117">
        <v>84.25</v>
      </c>
      <c r="CR198" s="117">
        <v>161.935</v>
      </c>
      <c r="CS198" s="117">
        <v>320.02600000000001</v>
      </c>
      <c r="CT198" s="82">
        <f t="shared" ref="CT198:CT203" si="422">CU198-CS198</f>
        <v>79.694000000000017</v>
      </c>
      <c r="CU198" s="117">
        <v>399.72</v>
      </c>
      <c r="CV198" s="117">
        <v>96.63</v>
      </c>
      <c r="CW198" s="117">
        <v>167.648</v>
      </c>
      <c r="CX198" s="117">
        <v>308.36599999999999</v>
      </c>
      <c r="CY198" s="82">
        <f t="shared" ref="CY198:CY203" si="423">CZ198-CX198</f>
        <v>88.437000000000012</v>
      </c>
      <c r="CZ198" s="117">
        <v>396.803</v>
      </c>
      <c r="DA198" s="117">
        <v>93.284999999999997</v>
      </c>
      <c r="DB198" s="117">
        <v>188.69200000000001</v>
      </c>
      <c r="DC198" s="117">
        <v>381.13499999999999</v>
      </c>
      <c r="DD198" s="82">
        <f t="shared" ref="DD198:DD203" si="424">DE198-DC198</f>
        <v>76.941000000000031</v>
      </c>
      <c r="DE198" s="117">
        <v>458.07600000000002</v>
      </c>
      <c r="DF198" s="117">
        <v>116.605</v>
      </c>
      <c r="DG198" s="117">
        <v>213.904</v>
      </c>
      <c r="DH198" s="117">
        <v>380.17</v>
      </c>
      <c r="DI198" s="82">
        <f t="shared" ref="DI198:DI203" si="425">DJ198-DH198</f>
        <v>73.212999999999965</v>
      </c>
      <c r="DJ198" s="117">
        <v>453.38299999999998</v>
      </c>
      <c r="DK198" s="117">
        <v>118.40300000000001</v>
      </c>
      <c r="DL198" s="117">
        <v>208.19499999999999</v>
      </c>
      <c r="DM198" s="117">
        <v>362.35399999999998</v>
      </c>
      <c r="DN198" s="82">
        <f t="shared" ref="DN198:DN203" si="426">DO198-DM198</f>
        <v>92.834000000000003</v>
      </c>
      <c r="DO198" s="117">
        <v>455.18799999999999</v>
      </c>
      <c r="DP198" s="117">
        <v>110.96599999999999</v>
      </c>
      <c r="DQ198" s="117">
        <v>209.46600000000001</v>
      </c>
      <c r="DR198" s="117">
        <v>382.54700000000003</v>
      </c>
      <c r="DS198" s="82">
        <f t="shared" ref="DS198:DS203" si="427">DT198-DR198</f>
        <v>84.254999999999995</v>
      </c>
      <c r="DT198" s="117">
        <v>466.80200000000002</v>
      </c>
      <c r="DU198" s="117">
        <v>115.874</v>
      </c>
      <c r="DV198" s="117">
        <v>203.21799999999999</v>
      </c>
      <c r="DW198" s="117">
        <v>376.82499999999999</v>
      </c>
      <c r="DX198" s="82">
        <f t="shared" ref="DX198:DX203" si="428">DY198-DW198</f>
        <v>86.665999999999997</v>
      </c>
      <c r="DY198" s="117">
        <v>463.49099999999999</v>
      </c>
      <c r="DZ198" s="117">
        <v>111.54600000000001</v>
      </c>
      <c r="EA198" s="117">
        <v>212.13300000000001</v>
      </c>
      <c r="EB198" s="117">
        <v>398.21</v>
      </c>
      <c r="EC198" s="82">
        <f t="shared" ref="EC198:EC203" si="429">ED198-EB198</f>
        <v>95.909000000000049</v>
      </c>
      <c r="ED198" s="117">
        <v>494.11900000000003</v>
      </c>
    </row>
    <row r="199" spans="1:134" x14ac:dyDescent="0.2">
      <c r="A199" s="220"/>
      <c r="B199" s="220"/>
      <c r="C199" s="70" t="s">
        <v>178</v>
      </c>
      <c r="D199" s="82"/>
      <c r="E199" s="136">
        <f t="shared" si="382"/>
        <v>64.716999999999999</v>
      </c>
      <c r="F199" s="135">
        <f t="shared" si="383"/>
        <v>63.070000000000007</v>
      </c>
      <c r="G199" s="135">
        <f t="shared" si="383"/>
        <v>65.73399999999998</v>
      </c>
      <c r="H199" s="116">
        <f t="shared" si="384"/>
        <v>67.414000000000016</v>
      </c>
      <c r="I199" s="223">
        <f t="shared" si="385"/>
        <v>260.935</v>
      </c>
      <c r="J199" s="136">
        <f t="shared" si="386"/>
        <v>68.162999999999997</v>
      </c>
      <c r="K199" s="135">
        <f t="shared" si="387"/>
        <v>70.427000000000007</v>
      </c>
      <c r="L199" s="135">
        <f t="shared" si="387"/>
        <v>73.763000000000005</v>
      </c>
      <c r="M199" s="116">
        <f t="shared" si="388"/>
        <v>76.697000000000003</v>
      </c>
      <c r="N199" s="223">
        <f t="shared" si="389"/>
        <v>289.05</v>
      </c>
      <c r="O199" s="136">
        <f t="shared" si="390"/>
        <v>81.284000000000006</v>
      </c>
      <c r="P199" s="135">
        <f t="shared" si="391"/>
        <v>81.60599999999998</v>
      </c>
      <c r="Q199" s="135">
        <f t="shared" si="391"/>
        <v>86.506</v>
      </c>
      <c r="R199" s="116">
        <f t="shared" si="392"/>
        <v>84.563999999999993</v>
      </c>
      <c r="S199" s="223">
        <f t="shared" si="393"/>
        <v>333.96</v>
      </c>
      <c r="T199" s="136">
        <f t="shared" si="394"/>
        <v>84.947999999999993</v>
      </c>
      <c r="U199" s="135">
        <f t="shared" si="395"/>
        <v>81.512000000000015</v>
      </c>
      <c r="V199" s="135">
        <f t="shared" si="396"/>
        <v>87.304000000000002</v>
      </c>
      <c r="W199" s="116">
        <f t="shared" si="397"/>
        <v>90.461999999999989</v>
      </c>
      <c r="X199" s="223">
        <f t="shared" si="398"/>
        <v>344.226</v>
      </c>
      <c r="Y199" s="136">
        <f t="shared" si="399"/>
        <v>90.808999999999997</v>
      </c>
      <c r="Z199" s="135">
        <f t="shared" si="400"/>
        <v>90.413000000000011</v>
      </c>
      <c r="AA199" s="135">
        <f t="shared" si="401"/>
        <v>89.927999999999969</v>
      </c>
      <c r="AB199" s="116">
        <f t="shared" si="402"/>
        <v>94.563000000000045</v>
      </c>
      <c r="AC199" s="223">
        <f t="shared" si="403"/>
        <v>365.71300000000002</v>
      </c>
      <c r="AD199" s="136">
        <f t="shared" si="404"/>
        <v>94.653999999999996</v>
      </c>
      <c r="AE199" s="135">
        <f t="shared" si="405"/>
        <v>96.257000000000005</v>
      </c>
      <c r="AF199" s="135">
        <f t="shared" si="405"/>
        <v>96.230000000000018</v>
      </c>
      <c r="AG199" s="116">
        <f t="shared" si="406"/>
        <v>96.850999999999999</v>
      </c>
      <c r="AH199" s="223">
        <f t="shared" si="407"/>
        <v>383.99200000000002</v>
      </c>
      <c r="AI199" s="136">
        <f t="shared" si="408"/>
        <v>101.172</v>
      </c>
      <c r="AJ199" s="135">
        <f t="shared" si="409"/>
        <v>102.42099999999999</v>
      </c>
      <c r="AK199" s="135">
        <f t="shared" si="409"/>
        <v>105.45500000000001</v>
      </c>
      <c r="AL199" s="116">
        <f t="shared" si="410"/>
        <v>107.37900000000002</v>
      </c>
      <c r="AM199" s="223">
        <f t="shared" si="411"/>
        <v>416.42700000000002</v>
      </c>
      <c r="AN199" s="136">
        <f t="shared" si="412"/>
        <v>109.715</v>
      </c>
      <c r="AO199" s="135">
        <f t="shared" si="413"/>
        <v>110.31199999999998</v>
      </c>
      <c r="AP199" s="135">
        <f t="shared" si="413"/>
        <v>112.35599999999999</v>
      </c>
      <c r="AQ199" s="116">
        <f t="shared" si="414"/>
        <v>113.79599999999999</v>
      </c>
      <c r="AR199" s="223">
        <f t="shared" si="415"/>
        <v>446.17899999999997</v>
      </c>
      <c r="AS199" s="136">
        <f t="shared" si="416"/>
        <v>115.803</v>
      </c>
      <c r="AT199" s="135">
        <f t="shared" si="417"/>
        <v>118.34</v>
      </c>
      <c r="AU199" s="135">
        <f t="shared" si="418"/>
        <v>119.51000000000002</v>
      </c>
      <c r="AV199" s="116">
        <f t="shared" si="419"/>
        <v>121.93899999999996</v>
      </c>
      <c r="AW199" s="223">
        <f t="shared" si="420"/>
        <v>475.59199999999998</v>
      </c>
      <c r="AX199" s="136">
        <f>AX21+(AS199-AS21)</f>
        <v>130.92313000000001</v>
      </c>
      <c r="AY199" s="135">
        <f>AY21+(AT199-AT21)</f>
        <v>131.31689616193833</v>
      </c>
      <c r="AZ199" s="135">
        <f>AZ21+(AU199-AU21)</f>
        <v>133.28099720031895</v>
      </c>
      <c r="BA199" s="116">
        <f>BA21+(AV199-AV21)</f>
        <v>134.83439722831574</v>
      </c>
      <c r="BB199" s="82">
        <f>SUM(AX199:BA199)</f>
        <v>530.35542059057298</v>
      </c>
      <c r="BC199" s="136">
        <f>BC21+(AX199-AX21)</f>
        <v>132.58342192463178</v>
      </c>
      <c r="BD199" s="135">
        <f>BD21+(AY199-AY21)</f>
        <v>138.02499222389957</v>
      </c>
      <c r="BE199" s="135">
        <f>BE21+(AZ199-AZ21)</f>
        <v>139.56756179971654</v>
      </c>
      <c r="BF199" s="116">
        <f>BF21+(BA199-BA21)</f>
        <v>140.70393282216926</v>
      </c>
      <c r="BG199" s="82">
        <f>SUM(BC199:BF199)</f>
        <v>550.87990877041716</v>
      </c>
      <c r="BH199" s="136">
        <f>BH21+(BC199-BC21)</f>
        <v>141.9441155751818</v>
      </c>
      <c r="BI199" s="135">
        <f>BI21+(BD199-BD21)</f>
        <v>143.37605638648526</v>
      </c>
      <c r="BJ199" s="135">
        <f>BJ21+(BE199-BE21)</f>
        <v>144.69928401332794</v>
      </c>
      <c r="BK199" s="116">
        <f>BK21+(BF199-BF21)</f>
        <v>145.61841784973916</v>
      </c>
      <c r="BL199" s="82">
        <f>SUM(BH199:BK199)</f>
        <v>575.63787382473413</v>
      </c>
      <c r="BM199" s="136">
        <f>BM21+(BH199-BH21)</f>
        <v>145.78159414974652</v>
      </c>
      <c r="BN199" s="135">
        <f>BN21+(BI199-BI21)</f>
        <v>145.84894978358096</v>
      </c>
      <c r="BO199" s="135">
        <f>BO21+(BJ199-BJ21)</f>
        <v>147.63406324517638</v>
      </c>
      <c r="BP199" s="116">
        <f>BP21+(BK199-BK21)</f>
        <v>149.01059428716329</v>
      </c>
      <c r="BQ199" s="82">
        <f>SUM(BM199:BP199)</f>
        <v>588.27520146566712</v>
      </c>
      <c r="BR199" s="220"/>
      <c r="BS199" s="220"/>
      <c r="BT199" s="220"/>
      <c r="BU199" s="220"/>
      <c r="BV199" s="220"/>
      <c r="BW199" s="220"/>
      <c r="BX199" s="220"/>
      <c r="BY199" s="220"/>
      <c r="BZ199" s="220"/>
      <c r="CA199" s="220"/>
      <c r="CB199" s="220"/>
      <c r="CC199" s="220"/>
      <c r="CD199" s="220"/>
      <c r="CE199" s="220"/>
      <c r="CF199" s="220"/>
      <c r="CG199" s="220"/>
      <c r="CH199" s="220"/>
      <c r="CI199" s="220"/>
      <c r="CJ199" s="220"/>
      <c r="CK199" s="220"/>
      <c r="CL199" s="117">
        <v>64.716999999999999</v>
      </c>
      <c r="CM199" s="117">
        <v>127.78700000000001</v>
      </c>
      <c r="CN199" s="117">
        <v>193.52099999999999</v>
      </c>
      <c r="CO199" s="82">
        <f t="shared" si="421"/>
        <v>67.414000000000016</v>
      </c>
      <c r="CP199" s="117">
        <v>260.935</v>
      </c>
      <c r="CQ199" s="117">
        <v>68.162999999999997</v>
      </c>
      <c r="CR199" s="117">
        <v>138.59</v>
      </c>
      <c r="CS199" s="117">
        <v>212.35300000000001</v>
      </c>
      <c r="CT199" s="82">
        <f t="shared" si="422"/>
        <v>76.697000000000003</v>
      </c>
      <c r="CU199" s="117">
        <v>289.05</v>
      </c>
      <c r="CV199" s="117">
        <v>81.284000000000006</v>
      </c>
      <c r="CW199" s="117">
        <v>162.88999999999999</v>
      </c>
      <c r="CX199" s="117">
        <v>249.39599999999999</v>
      </c>
      <c r="CY199" s="82">
        <f t="shared" si="423"/>
        <v>84.563999999999993</v>
      </c>
      <c r="CZ199" s="117">
        <v>333.96</v>
      </c>
      <c r="DA199" s="117">
        <v>84.947999999999993</v>
      </c>
      <c r="DB199" s="117">
        <v>166.46</v>
      </c>
      <c r="DC199" s="117">
        <v>253.76400000000001</v>
      </c>
      <c r="DD199" s="82">
        <f t="shared" si="424"/>
        <v>90.461999999999989</v>
      </c>
      <c r="DE199" s="117">
        <v>344.226</v>
      </c>
      <c r="DF199" s="117">
        <v>90.808999999999997</v>
      </c>
      <c r="DG199" s="117">
        <v>181.22200000000001</v>
      </c>
      <c r="DH199" s="117">
        <v>271.14999999999998</v>
      </c>
      <c r="DI199" s="82">
        <f t="shared" si="425"/>
        <v>94.563000000000045</v>
      </c>
      <c r="DJ199" s="117">
        <v>365.71300000000002</v>
      </c>
      <c r="DK199" s="117">
        <v>94.653999999999996</v>
      </c>
      <c r="DL199" s="117">
        <v>190.911</v>
      </c>
      <c r="DM199" s="117">
        <v>287.14100000000002</v>
      </c>
      <c r="DN199" s="82">
        <f t="shared" si="426"/>
        <v>96.850999999999999</v>
      </c>
      <c r="DO199" s="117">
        <v>383.99200000000002</v>
      </c>
      <c r="DP199" s="117">
        <v>101.172</v>
      </c>
      <c r="DQ199" s="117">
        <v>203.59299999999999</v>
      </c>
      <c r="DR199" s="117">
        <v>309.048</v>
      </c>
      <c r="DS199" s="82">
        <f t="shared" si="427"/>
        <v>107.37900000000002</v>
      </c>
      <c r="DT199" s="117">
        <v>416.42700000000002</v>
      </c>
      <c r="DU199" s="117">
        <v>109.715</v>
      </c>
      <c r="DV199" s="117">
        <v>220.02699999999999</v>
      </c>
      <c r="DW199" s="117">
        <v>332.38299999999998</v>
      </c>
      <c r="DX199" s="82">
        <f t="shared" si="428"/>
        <v>113.79599999999999</v>
      </c>
      <c r="DY199" s="117">
        <v>446.17899999999997</v>
      </c>
      <c r="DZ199" s="117">
        <v>115.803</v>
      </c>
      <c r="EA199" s="117">
        <v>234.143</v>
      </c>
      <c r="EB199" s="117">
        <v>353.65300000000002</v>
      </c>
      <c r="EC199" s="82">
        <f t="shared" si="429"/>
        <v>121.93899999999996</v>
      </c>
      <c r="ED199" s="117">
        <v>475.59199999999998</v>
      </c>
    </row>
    <row r="200" spans="1:134" x14ac:dyDescent="0.2">
      <c r="A200" s="220"/>
      <c r="B200" s="220"/>
      <c r="C200" s="70" t="s">
        <v>179</v>
      </c>
      <c r="D200" s="82"/>
      <c r="E200" s="136">
        <f t="shared" si="382"/>
        <v>-10.135</v>
      </c>
      <c r="F200" s="135">
        <f t="shared" si="383"/>
        <v>-9.6890000000000018</v>
      </c>
      <c r="G200" s="135">
        <f t="shared" si="383"/>
        <v>-10.395999999999997</v>
      </c>
      <c r="H200" s="116">
        <f t="shared" si="384"/>
        <v>-10.898000000000003</v>
      </c>
      <c r="I200" s="223">
        <f t="shared" si="385"/>
        <v>-41.118000000000002</v>
      </c>
      <c r="J200" s="136">
        <f t="shared" si="386"/>
        <v>-2.9780000000000002</v>
      </c>
      <c r="K200" s="135">
        <f t="shared" si="387"/>
        <v>-3.2789999999999995</v>
      </c>
      <c r="L200" s="135">
        <f t="shared" si="387"/>
        <v>-2.5440000000000005</v>
      </c>
      <c r="M200" s="116">
        <f t="shared" si="388"/>
        <v>-2.5689999999999991</v>
      </c>
      <c r="N200" s="223">
        <f t="shared" si="389"/>
        <v>-11.37</v>
      </c>
      <c r="O200" s="136">
        <f t="shared" si="390"/>
        <v>-1.619</v>
      </c>
      <c r="P200" s="135">
        <f t="shared" si="391"/>
        <v>-1.7979999999999998</v>
      </c>
      <c r="Q200" s="135">
        <f t="shared" si="391"/>
        <v>-1.9560000000000004</v>
      </c>
      <c r="R200" s="116">
        <f t="shared" si="392"/>
        <v>-2.3369999999999997</v>
      </c>
      <c r="S200" s="223">
        <f t="shared" si="393"/>
        <v>-7.71</v>
      </c>
      <c r="T200" s="136">
        <f t="shared" si="394"/>
        <v>-2.726</v>
      </c>
      <c r="U200" s="135">
        <f t="shared" si="395"/>
        <v>-3.548</v>
      </c>
      <c r="V200" s="135">
        <f t="shared" si="396"/>
        <v>-4.6870000000000003</v>
      </c>
      <c r="W200" s="116">
        <f t="shared" si="397"/>
        <v>-5.3929999999999989</v>
      </c>
      <c r="X200" s="223">
        <f t="shared" si="398"/>
        <v>-16.353999999999999</v>
      </c>
      <c r="Y200" s="136">
        <f t="shared" si="399"/>
        <v>-5.923</v>
      </c>
      <c r="Z200" s="135">
        <f t="shared" si="400"/>
        <v>-6.7910000000000004</v>
      </c>
      <c r="AA200" s="135">
        <f t="shared" si="401"/>
        <v>-8.8149999999999995</v>
      </c>
      <c r="AB200" s="116">
        <f t="shared" si="402"/>
        <v>-11.644000000000002</v>
      </c>
      <c r="AC200" s="223">
        <f t="shared" si="403"/>
        <v>-33.173000000000002</v>
      </c>
      <c r="AD200" s="136">
        <f t="shared" si="404"/>
        <v>-11.43</v>
      </c>
      <c r="AE200" s="135">
        <f t="shared" si="405"/>
        <v>-12.952000000000002</v>
      </c>
      <c r="AF200" s="135">
        <f t="shared" si="405"/>
        <v>-12.315000000000001</v>
      </c>
      <c r="AG200" s="116">
        <f t="shared" si="406"/>
        <v>-10.086999999999996</v>
      </c>
      <c r="AH200" s="223">
        <f t="shared" si="407"/>
        <v>-46.783999999999999</v>
      </c>
      <c r="AI200" s="136">
        <f t="shared" si="408"/>
        <v>-2.806</v>
      </c>
      <c r="AJ200" s="135">
        <f t="shared" si="409"/>
        <v>-3.391</v>
      </c>
      <c r="AK200" s="135">
        <f t="shared" si="409"/>
        <v>-3.9579999999999993</v>
      </c>
      <c r="AL200" s="116">
        <f t="shared" si="410"/>
        <v>-4.33</v>
      </c>
      <c r="AM200" s="223">
        <f t="shared" si="411"/>
        <v>-14.484999999999999</v>
      </c>
      <c r="AN200" s="136">
        <f t="shared" si="412"/>
        <v>-4.3179999999999996</v>
      </c>
      <c r="AO200" s="135">
        <f t="shared" si="413"/>
        <v>-4.0530000000000008</v>
      </c>
      <c r="AP200" s="135">
        <f t="shared" si="413"/>
        <v>-5.343</v>
      </c>
      <c r="AQ200" s="116">
        <f t="shared" si="414"/>
        <v>-4.8429999999999982</v>
      </c>
      <c r="AR200" s="223">
        <f t="shared" si="415"/>
        <v>-18.556999999999999</v>
      </c>
      <c r="AS200" s="136">
        <f t="shared" si="416"/>
        <v>-4.6079999999999997</v>
      </c>
      <c r="AT200" s="135">
        <f t="shared" si="417"/>
        <v>-6.3410000000000002</v>
      </c>
      <c r="AU200" s="135">
        <f t="shared" si="418"/>
        <v>-8.6420000000000012</v>
      </c>
      <c r="AV200" s="116">
        <f t="shared" si="419"/>
        <v>-10.212</v>
      </c>
      <c r="AW200" s="223">
        <f t="shared" si="420"/>
        <v>-29.803000000000001</v>
      </c>
      <c r="AX200" s="136">
        <f>+-AX28</f>
        <v>-9.9237884708039665</v>
      </c>
      <c r="AY200" s="135">
        <f>+-AY28</f>
        <v>-9.9237884708039665</v>
      </c>
      <c r="AZ200" s="135">
        <f>+-AZ28</f>
        <v>-9.9237884708039665</v>
      </c>
      <c r="BA200" s="116">
        <f>+-BA28</f>
        <v>-9.9237884708039665</v>
      </c>
      <c r="BB200" s="82">
        <f>SUM(AX200:BA200)</f>
        <v>-39.695153883215866</v>
      </c>
      <c r="BC200" s="136">
        <f>+-BC28</f>
        <v>-6.134705600133362</v>
      </c>
      <c r="BD200" s="135">
        <f>+-BD28</f>
        <v>-6.134705600133362</v>
      </c>
      <c r="BE200" s="135">
        <f>+-BE28</f>
        <v>-6.134705600133362</v>
      </c>
      <c r="BF200" s="116">
        <f>+-BF28</f>
        <v>-6.134705600133362</v>
      </c>
      <c r="BG200" s="82">
        <f>SUM(BC200:BF200)</f>
        <v>-24.538822400533448</v>
      </c>
      <c r="BH200" s="136">
        <f>+-BH28</f>
        <v>-5.7136963922810713</v>
      </c>
      <c r="BI200" s="135">
        <f>+-BI28</f>
        <v>-5.7136963922810713</v>
      </c>
      <c r="BJ200" s="135">
        <f>+-BJ28</f>
        <v>-5.7136963922810713</v>
      </c>
      <c r="BK200" s="116">
        <f>+-BK28</f>
        <v>-5.7136963922810713</v>
      </c>
      <c r="BL200" s="82">
        <f>SUM(BH200:BK200)</f>
        <v>-22.854785569124285</v>
      </c>
      <c r="BM200" s="136">
        <f>+-BM28</f>
        <v>-6.9165798432876135</v>
      </c>
      <c r="BN200" s="135">
        <f>+-BN28</f>
        <v>-6.9165798432876135</v>
      </c>
      <c r="BO200" s="135">
        <f>+-BO28</f>
        <v>-6.9165798432876135</v>
      </c>
      <c r="BP200" s="116">
        <f>+-BP28</f>
        <v>-6.9165798432876135</v>
      </c>
      <c r="BQ200" s="82">
        <f>SUM(BM200:BP200)</f>
        <v>-27.666319373150454</v>
      </c>
      <c r="BR200" s="220"/>
      <c r="BS200" s="220"/>
      <c r="BT200" s="220"/>
      <c r="BU200" s="220"/>
      <c r="BV200" s="220"/>
      <c r="BW200" s="220"/>
      <c r="BX200" s="220"/>
      <c r="BY200" s="220"/>
      <c r="BZ200" s="220"/>
      <c r="CA200" s="220"/>
      <c r="CB200" s="220"/>
      <c r="CC200" s="220"/>
      <c r="CD200" s="220"/>
      <c r="CE200" s="220"/>
      <c r="CF200" s="220"/>
      <c r="CG200" s="220"/>
      <c r="CH200" s="220"/>
      <c r="CI200" s="220"/>
      <c r="CJ200" s="220"/>
      <c r="CK200" s="220"/>
      <c r="CL200" s="117">
        <v>-10.135</v>
      </c>
      <c r="CM200" s="117">
        <v>-19.824000000000002</v>
      </c>
      <c r="CN200" s="117">
        <v>-30.22</v>
      </c>
      <c r="CO200" s="82">
        <f t="shared" si="421"/>
        <v>-10.898000000000003</v>
      </c>
      <c r="CP200" s="117">
        <v>-41.118000000000002</v>
      </c>
      <c r="CQ200" s="117">
        <v>-2.9780000000000002</v>
      </c>
      <c r="CR200" s="117">
        <v>-6.2569999999999997</v>
      </c>
      <c r="CS200" s="117">
        <v>-8.8010000000000002</v>
      </c>
      <c r="CT200" s="82">
        <f t="shared" si="422"/>
        <v>-2.5689999999999991</v>
      </c>
      <c r="CU200" s="117">
        <v>-11.37</v>
      </c>
      <c r="CV200" s="117">
        <v>-1.619</v>
      </c>
      <c r="CW200" s="117">
        <v>-3.4169999999999998</v>
      </c>
      <c r="CX200" s="117">
        <v>-5.3730000000000002</v>
      </c>
      <c r="CY200" s="82">
        <f t="shared" si="423"/>
        <v>-2.3369999999999997</v>
      </c>
      <c r="CZ200" s="117">
        <v>-7.71</v>
      </c>
      <c r="DA200" s="117">
        <v>-2.726</v>
      </c>
      <c r="DB200" s="117">
        <v>-6.274</v>
      </c>
      <c r="DC200" s="117">
        <v>-10.961</v>
      </c>
      <c r="DD200" s="82">
        <f t="shared" si="424"/>
        <v>-5.3929999999999989</v>
      </c>
      <c r="DE200" s="117">
        <v>-16.353999999999999</v>
      </c>
      <c r="DF200" s="117">
        <v>-5.923</v>
      </c>
      <c r="DG200" s="117">
        <v>-12.714</v>
      </c>
      <c r="DH200" s="117">
        <v>-21.529</v>
      </c>
      <c r="DI200" s="82">
        <f t="shared" si="425"/>
        <v>-11.644000000000002</v>
      </c>
      <c r="DJ200" s="117">
        <v>-33.173000000000002</v>
      </c>
      <c r="DK200" s="117">
        <v>-11.43</v>
      </c>
      <c r="DL200" s="117">
        <v>-24.382000000000001</v>
      </c>
      <c r="DM200" s="117">
        <v>-36.697000000000003</v>
      </c>
      <c r="DN200" s="82">
        <f t="shared" si="426"/>
        <v>-10.086999999999996</v>
      </c>
      <c r="DO200" s="117">
        <v>-46.783999999999999</v>
      </c>
      <c r="DP200" s="117">
        <v>-2.806</v>
      </c>
      <c r="DQ200" s="117">
        <v>-6.1970000000000001</v>
      </c>
      <c r="DR200" s="117">
        <v>-10.154999999999999</v>
      </c>
      <c r="DS200" s="82">
        <f t="shared" si="427"/>
        <v>-4.33</v>
      </c>
      <c r="DT200" s="117">
        <v>-14.484999999999999</v>
      </c>
      <c r="DU200" s="117">
        <v>-4.3179999999999996</v>
      </c>
      <c r="DV200" s="117">
        <v>-8.3710000000000004</v>
      </c>
      <c r="DW200" s="117">
        <v>-13.714</v>
      </c>
      <c r="DX200" s="82">
        <f t="shared" si="428"/>
        <v>-4.8429999999999982</v>
      </c>
      <c r="DY200" s="117">
        <v>-18.556999999999999</v>
      </c>
      <c r="DZ200" s="117">
        <v>-4.6079999999999997</v>
      </c>
      <c r="EA200" s="117">
        <v>-10.949</v>
      </c>
      <c r="EB200" s="117">
        <v>-19.591000000000001</v>
      </c>
      <c r="EC200" s="82">
        <f t="shared" si="429"/>
        <v>-10.212</v>
      </c>
      <c r="ED200" s="117">
        <v>-29.803000000000001</v>
      </c>
    </row>
    <row r="201" spans="1:134" x14ac:dyDescent="0.2">
      <c r="A201" s="220"/>
      <c r="B201" s="220"/>
      <c r="C201" s="70" t="s">
        <v>180</v>
      </c>
      <c r="D201" s="82"/>
      <c r="E201" s="136">
        <f t="shared" si="382"/>
        <v>53.408000000000001</v>
      </c>
      <c r="F201" s="135">
        <f t="shared" si="383"/>
        <v>60.094999999999999</v>
      </c>
      <c r="G201" s="135">
        <f t="shared" si="383"/>
        <v>53.333000000000013</v>
      </c>
      <c r="H201" s="116">
        <f t="shared" si="384"/>
        <v>30.512</v>
      </c>
      <c r="I201" s="223">
        <f t="shared" si="385"/>
        <v>197.34800000000001</v>
      </c>
      <c r="J201" s="136">
        <f t="shared" si="386"/>
        <v>36.988999999999997</v>
      </c>
      <c r="K201" s="135">
        <f t="shared" si="387"/>
        <v>5.2560000000000002</v>
      </c>
      <c r="L201" s="135">
        <f t="shared" si="387"/>
        <v>52.342999999999996</v>
      </c>
      <c r="M201" s="116">
        <f t="shared" si="388"/>
        <v>60.272999999999996</v>
      </c>
      <c r="N201" s="223">
        <f t="shared" si="389"/>
        <v>154.86099999999999</v>
      </c>
      <c r="O201" s="136">
        <f t="shared" si="390"/>
        <v>47.171999999999997</v>
      </c>
      <c r="P201" s="135">
        <f t="shared" si="391"/>
        <v>41.894999999999996</v>
      </c>
      <c r="Q201" s="135">
        <f t="shared" si="391"/>
        <v>94.851000000000013</v>
      </c>
      <c r="R201" s="116">
        <f t="shared" si="392"/>
        <v>42.637</v>
      </c>
      <c r="S201" s="223">
        <f t="shared" si="393"/>
        <v>226.55500000000001</v>
      </c>
      <c r="T201" s="136">
        <f t="shared" si="394"/>
        <v>49.182000000000002</v>
      </c>
      <c r="U201" s="135">
        <f t="shared" si="395"/>
        <v>67.852000000000004</v>
      </c>
      <c r="V201" s="135">
        <f t="shared" si="396"/>
        <v>62.219999999999985</v>
      </c>
      <c r="W201" s="116">
        <f t="shared" si="397"/>
        <v>-141.16199999999998</v>
      </c>
      <c r="X201" s="223">
        <f t="shared" si="398"/>
        <v>38.091999999999999</v>
      </c>
      <c r="Y201" s="136">
        <f t="shared" si="399"/>
        <v>66.372</v>
      </c>
      <c r="Z201" s="135">
        <f t="shared" si="400"/>
        <v>61.117999999999995</v>
      </c>
      <c r="AA201" s="135">
        <f t="shared" si="401"/>
        <v>103.175</v>
      </c>
      <c r="AB201" s="116">
        <f t="shared" si="402"/>
        <v>85.587999999999994</v>
      </c>
      <c r="AC201" s="223">
        <f t="shared" si="403"/>
        <v>316.25299999999999</v>
      </c>
      <c r="AD201" s="136">
        <f t="shared" si="404"/>
        <v>41.863</v>
      </c>
      <c r="AE201" s="135">
        <f t="shared" si="405"/>
        <v>23.861999999999995</v>
      </c>
      <c r="AF201" s="135">
        <f t="shared" si="405"/>
        <v>54.86</v>
      </c>
      <c r="AG201" s="116">
        <f t="shared" si="406"/>
        <v>107.23800000000001</v>
      </c>
      <c r="AH201" s="223">
        <f t="shared" si="407"/>
        <v>227.82300000000001</v>
      </c>
      <c r="AI201" s="136">
        <f t="shared" si="408"/>
        <v>37.771000000000001</v>
      </c>
      <c r="AJ201" s="135">
        <f t="shared" si="409"/>
        <v>50.647000000000006</v>
      </c>
      <c r="AK201" s="135">
        <f t="shared" si="409"/>
        <v>96.793999999999983</v>
      </c>
      <c r="AL201" s="116">
        <f t="shared" si="410"/>
        <v>92.684000000000026</v>
      </c>
      <c r="AM201" s="223">
        <f t="shared" si="411"/>
        <v>277.89600000000002</v>
      </c>
      <c r="AN201" s="136">
        <f t="shared" si="412"/>
        <v>64.561999999999998</v>
      </c>
      <c r="AO201" s="135">
        <f t="shared" si="413"/>
        <v>62.234000000000009</v>
      </c>
      <c r="AP201" s="135">
        <f t="shared" si="413"/>
        <v>75.802999999999983</v>
      </c>
      <c r="AQ201" s="116">
        <f t="shared" si="414"/>
        <v>19.40300000000002</v>
      </c>
      <c r="AR201" s="223">
        <f t="shared" si="415"/>
        <v>222.00200000000001</v>
      </c>
      <c r="AS201" s="136">
        <f t="shared" si="416"/>
        <v>61.725999999999999</v>
      </c>
      <c r="AT201" s="135">
        <f t="shared" si="417"/>
        <v>64.525999999999996</v>
      </c>
      <c r="AU201" s="135">
        <f t="shared" si="418"/>
        <v>96.869000000000014</v>
      </c>
      <c r="AV201" s="116">
        <f t="shared" si="419"/>
        <v>-15.304000000000002</v>
      </c>
      <c r="AW201" s="223">
        <f t="shared" si="420"/>
        <v>207.81700000000001</v>
      </c>
      <c r="AX201" s="136">
        <f>AX41</f>
        <v>37.399516235426645</v>
      </c>
      <c r="AY201" s="135">
        <f>AY41</f>
        <v>29.678782053140825</v>
      </c>
      <c r="AZ201" s="135">
        <f>AZ41</f>
        <v>53.698850212163258</v>
      </c>
      <c r="BA201" s="116">
        <f>BA41</f>
        <v>23.814211446855882</v>
      </c>
      <c r="BB201" s="34">
        <f>SUM(AX201:BA201)</f>
        <v>144.59135994758662</v>
      </c>
      <c r="BC201" s="136">
        <f>BC41</f>
        <v>39.706518793447714</v>
      </c>
      <c r="BD201" s="135">
        <f>BD41</f>
        <v>29.724336223622913</v>
      </c>
      <c r="BE201" s="135">
        <f>BE41</f>
        <v>55.516652327671281</v>
      </c>
      <c r="BF201" s="116">
        <f>BF41</f>
        <v>25.501521308072761</v>
      </c>
      <c r="BG201" s="34">
        <f>SUM(BC201:BF201)</f>
        <v>150.44902865281466</v>
      </c>
      <c r="BH201" s="136">
        <f>BH41</f>
        <v>42.113939052493784</v>
      </c>
      <c r="BI201" s="135">
        <f>BI41</f>
        <v>30.972564114661814</v>
      </c>
      <c r="BJ201" s="135">
        <f>BJ41</f>
        <v>56.621339501145499</v>
      </c>
      <c r="BK201" s="116">
        <f>BK41</f>
        <v>27.534969984304961</v>
      </c>
      <c r="BL201" s="34">
        <f>SUM(BH201:BK201)</f>
        <v>157.24281265260606</v>
      </c>
      <c r="BM201" s="136">
        <f>BM41</f>
        <v>45.338312473868143</v>
      </c>
      <c r="BN201" s="135">
        <f>BN41</f>
        <v>32.798651754074655</v>
      </c>
      <c r="BO201" s="135">
        <f>BO41</f>
        <v>58.833620254973141</v>
      </c>
      <c r="BP201" s="116">
        <f>BP41</f>
        <v>29.896777913181218</v>
      </c>
      <c r="BQ201" s="34">
        <f>SUM(BM201:BP201)</f>
        <v>166.86736239609715</v>
      </c>
      <c r="BR201" s="220"/>
      <c r="BS201" s="220"/>
      <c r="BT201" s="220"/>
      <c r="BU201" s="220"/>
      <c r="BV201" s="220"/>
      <c r="BW201" s="220"/>
      <c r="BX201" s="220"/>
      <c r="BY201" s="220"/>
      <c r="BZ201" s="220"/>
      <c r="CA201" s="220"/>
      <c r="CB201" s="220"/>
      <c r="CC201" s="220"/>
      <c r="CD201" s="220"/>
      <c r="CE201" s="220"/>
      <c r="CF201" s="220"/>
      <c r="CG201" s="220"/>
      <c r="CH201" s="220"/>
      <c r="CI201" s="220"/>
      <c r="CJ201" s="220"/>
      <c r="CK201" s="220"/>
      <c r="CL201" s="117">
        <v>53.408000000000001</v>
      </c>
      <c r="CM201" s="117">
        <v>113.503</v>
      </c>
      <c r="CN201" s="117">
        <v>166.83600000000001</v>
      </c>
      <c r="CO201" s="82">
        <f t="shared" si="421"/>
        <v>30.512</v>
      </c>
      <c r="CP201" s="117">
        <v>197.34800000000001</v>
      </c>
      <c r="CQ201" s="117">
        <v>36.988999999999997</v>
      </c>
      <c r="CR201" s="117">
        <v>42.244999999999997</v>
      </c>
      <c r="CS201" s="117">
        <v>94.587999999999994</v>
      </c>
      <c r="CT201" s="82">
        <f t="shared" si="422"/>
        <v>60.272999999999996</v>
      </c>
      <c r="CU201" s="117">
        <v>154.86099999999999</v>
      </c>
      <c r="CV201" s="117">
        <v>47.171999999999997</v>
      </c>
      <c r="CW201" s="117">
        <v>89.066999999999993</v>
      </c>
      <c r="CX201" s="117">
        <v>183.91800000000001</v>
      </c>
      <c r="CY201" s="82">
        <f t="shared" si="423"/>
        <v>42.637</v>
      </c>
      <c r="CZ201" s="117">
        <v>226.55500000000001</v>
      </c>
      <c r="DA201" s="117">
        <v>49.182000000000002</v>
      </c>
      <c r="DB201" s="117">
        <v>117.03400000000001</v>
      </c>
      <c r="DC201" s="117">
        <v>179.25399999999999</v>
      </c>
      <c r="DD201" s="82">
        <f t="shared" si="424"/>
        <v>-141.16199999999998</v>
      </c>
      <c r="DE201" s="117">
        <v>38.091999999999999</v>
      </c>
      <c r="DF201" s="117">
        <v>66.372</v>
      </c>
      <c r="DG201" s="117">
        <v>127.49</v>
      </c>
      <c r="DH201" s="117">
        <v>230.66499999999999</v>
      </c>
      <c r="DI201" s="82">
        <f t="shared" si="425"/>
        <v>85.587999999999994</v>
      </c>
      <c r="DJ201" s="117">
        <v>316.25299999999999</v>
      </c>
      <c r="DK201" s="117">
        <v>41.863</v>
      </c>
      <c r="DL201" s="117">
        <v>65.724999999999994</v>
      </c>
      <c r="DM201" s="117">
        <v>120.58499999999999</v>
      </c>
      <c r="DN201" s="82">
        <f t="shared" si="426"/>
        <v>107.23800000000001</v>
      </c>
      <c r="DO201" s="117">
        <v>227.82300000000001</v>
      </c>
      <c r="DP201" s="117">
        <v>37.771000000000001</v>
      </c>
      <c r="DQ201" s="117">
        <v>88.418000000000006</v>
      </c>
      <c r="DR201" s="117">
        <v>185.21199999999999</v>
      </c>
      <c r="DS201" s="82">
        <f t="shared" si="427"/>
        <v>92.684000000000026</v>
      </c>
      <c r="DT201" s="117">
        <v>277.89600000000002</v>
      </c>
      <c r="DU201" s="117">
        <v>64.561999999999998</v>
      </c>
      <c r="DV201" s="117">
        <v>126.79600000000001</v>
      </c>
      <c r="DW201" s="117">
        <v>202.59899999999999</v>
      </c>
      <c r="DX201" s="82">
        <f t="shared" si="428"/>
        <v>19.40300000000002</v>
      </c>
      <c r="DY201" s="117">
        <v>222.00200000000001</v>
      </c>
      <c r="DZ201" s="117">
        <v>61.725999999999999</v>
      </c>
      <c r="EA201" s="117">
        <v>126.252</v>
      </c>
      <c r="EB201" s="117">
        <v>223.12100000000001</v>
      </c>
      <c r="EC201" s="82">
        <f t="shared" si="429"/>
        <v>-15.304000000000002</v>
      </c>
      <c r="ED201" s="117">
        <v>207.81700000000001</v>
      </c>
    </row>
    <row r="202" spans="1:134" x14ac:dyDescent="0.2">
      <c r="A202" s="220"/>
      <c r="B202" s="220"/>
      <c r="C202" s="70" t="s">
        <v>97</v>
      </c>
      <c r="D202" s="82"/>
      <c r="E202" s="136">
        <f t="shared" si="382"/>
        <v>36.291000000000004</v>
      </c>
      <c r="F202" s="135">
        <f t="shared" si="383"/>
        <v>18.112000000000002</v>
      </c>
      <c r="G202" s="135">
        <f t="shared" si="383"/>
        <v>5.3129999999999953</v>
      </c>
      <c r="H202" s="116">
        <f t="shared" si="384"/>
        <v>29.619000000000007</v>
      </c>
      <c r="I202" s="223">
        <f t="shared" si="385"/>
        <v>89.335000000000008</v>
      </c>
      <c r="J202" s="136">
        <f t="shared" si="386"/>
        <v>-3.351</v>
      </c>
      <c r="K202" s="135">
        <f t="shared" si="387"/>
        <v>7.0480000000000009</v>
      </c>
      <c r="L202" s="135">
        <f t="shared" si="387"/>
        <v>-36.311000000000007</v>
      </c>
      <c r="M202" s="116">
        <f t="shared" si="388"/>
        <v>48.046000000000006</v>
      </c>
      <c r="N202" s="223">
        <f t="shared" si="389"/>
        <v>15.432000000000004</v>
      </c>
      <c r="O202" s="136">
        <f t="shared" si="390"/>
        <v>20.398</v>
      </c>
      <c r="P202" s="135">
        <f t="shared" si="391"/>
        <v>2.6679999999999993</v>
      </c>
      <c r="Q202" s="135">
        <f t="shared" si="391"/>
        <v>-1.7949999999999982</v>
      </c>
      <c r="R202" s="116">
        <f t="shared" si="392"/>
        <v>16.465000000000003</v>
      </c>
      <c r="S202" s="223">
        <f t="shared" si="393"/>
        <v>37.736000000000004</v>
      </c>
      <c r="T202" s="136">
        <f t="shared" si="394"/>
        <v>7.2370000000000001</v>
      </c>
      <c r="U202" s="135">
        <f t="shared" si="395"/>
        <v>0.1980000000000004</v>
      </c>
      <c r="V202" s="135">
        <f t="shared" si="396"/>
        <v>-44.588999999999999</v>
      </c>
      <c r="W202" s="116">
        <f t="shared" si="397"/>
        <v>27.146999999999995</v>
      </c>
      <c r="X202" s="223">
        <f t="shared" si="398"/>
        <v>-10.007000000000001</v>
      </c>
      <c r="Y202" s="136">
        <f t="shared" si="399"/>
        <v>0.35299999999999987</v>
      </c>
      <c r="Z202" s="135">
        <f t="shared" si="400"/>
        <v>-4.4120000000000008</v>
      </c>
      <c r="AA202" s="135">
        <f t="shared" si="401"/>
        <v>-3.5539999999999985</v>
      </c>
      <c r="AB202" s="116">
        <f t="shared" si="402"/>
        <v>22.692999999999998</v>
      </c>
      <c r="AC202" s="223">
        <f t="shared" si="403"/>
        <v>15.08</v>
      </c>
      <c r="AD202" s="136">
        <f t="shared" si="404"/>
        <v>3.2279999999999998</v>
      </c>
      <c r="AE202" s="135">
        <f t="shared" si="405"/>
        <v>-5.3</v>
      </c>
      <c r="AF202" s="135">
        <f t="shared" si="405"/>
        <v>-3.7669999999999995</v>
      </c>
      <c r="AG202" s="116">
        <f t="shared" si="406"/>
        <v>21.655999999999999</v>
      </c>
      <c r="AH202" s="223">
        <f t="shared" si="407"/>
        <v>15.817</v>
      </c>
      <c r="AI202" s="136">
        <f t="shared" si="408"/>
        <v>5.375</v>
      </c>
      <c r="AJ202" s="135">
        <f t="shared" si="409"/>
        <v>0.10999999999999943</v>
      </c>
      <c r="AK202" s="135">
        <f t="shared" si="409"/>
        <v>-1.6539999999999999</v>
      </c>
      <c r="AL202" s="116">
        <f t="shared" si="410"/>
        <v>14.837</v>
      </c>
      <c r="AM202" s="223">
        <f t="shared" si="411"/>
        <v>18.667999999999999</v>
      </c>
      <c r="AN202" s="136">
        <f t="shared" si="412"/>
        <v>2.4260000000000002</v>
      </c>
      <c r="AO202" s="135">
        <f t="shared" si="413"/>
        <v>-3.1219999999999999</v>
      </c>
      <c r="AP202" s="135">
        <f t="shared" si="413"/>
        <v>-1.7949999999999997</v>
      </c>
      <c r="AQ202" s="116">
        <f t="shared" si="414"/>
        <v>16.881999999999998</v>
      </c>
      <c r="AR202" s="223">
        <f t="shared" si="415"/>
        <v>14.391</v>
      </c>
      <c r="AS202" s="136">
        <f t="shared" si="416"/>
        <v>1.3140000000000001</v>
      </c>
      <c r="AT202" s="135">
        <f t="shared" si="417"/>
        <v>-9.2000000000000082E-2</v>
      </c>
      <c r="AU202" s="135">
        <f t="shared" si="418"/>
        <v>-1.7559999999999998</v>
      </c>
      <c r="AV202" s="116">
        <f t="shared" si="419"/>
        <v>15.076000000000001</v>
      </c>
      <c r="AW202" s="223">
        <f t="shared" si="420"/>
        <v>14.542000000000002</v>
      </c>
      <c r="AX202" s="136">
        <f>+BB202/4</f>
        <v>0</v>
      </c>
      <c r="AY202" s="135">
        <f>(BB202-SUM(AX202:AX202))/3</f>
        <v>0</v>
      </c>
      <c r="AZ202" s="135">
        <f>(BB202-SUM(AX202:AY202))/2</f>
        <v>0</v>
      </c>
      <c r="BA202" s="116">
        <f>(BB202-SUM(AX202:AZ202))/1</f>
        <v>0</v>
      </c>
      <c r="BB202" s="34">
        <v>0</v>
      </c>
      <c r="BC202" s="136">
        <f>+BG202/4</f>
        <v>0</v>
      </c>
      <c r="BD202" s="135">
        <f>(BG202-SUM(BC202:BC202))/3</f>
        <v>0</v>
      </c>
      <c r="BE202" s="135">
        <f>(BG202-SUM(BC202:BD202))/2</f>
        <v>0</v>
      </c>
      <c r="BF202" s="116">
        <f>(BG202-SUM(BC202:BE202))/1</f>
        <v>0</v>
      </c>
      <c r="BG202" s="34">
        <v>0</v>
      </c>
      <c r="BH202" s="136">
        <f>+BL202/4</f>
        <v>0</v>
      </c>
      <c r="BI202" s="135">
        <f>(BL202-SUM(BH202:BH202))/3</f>
        <v>0</v>
      </c>
      <c r="BJ202" s="135">
        <f>(BL202-SUM(BH202:BI202))/2</f>
        <v>0</v>
      </c>
      <c r="BK202" s="116">
        <f>(BL202-SUM(BH202:BJ202))/1</f>
        <v>0</v>
      </c>
      <c r="BL202" s="34">
        <v>0</v>
      </c>
      <c r="BM202" s="136">
        <f>+BQ202/4</f>
        <v>0</v>
      </c>
      <c r="BN202" s="135">
        <f>(BQ202-SUM(BM202:BM202))/3</f>
        <v>0</v>
      </c>
      <c r="BO202" s="135">
        <f>(BQ202-SUM(BM202:BN202))/2</f>
        <v>0</v>
      </c>
      <c r="BP202" s="116">
        <f>(BQ202-SUM(BM202:BO202))/1</f>
        <v>0</v>
      </c>
      <c r="BQ202" s="34">
        <v>0</v>
      </c>
      <c r="BR202" s="220"/>
      <c r="BS202" s="220"/>
      <c r="BT202" s="220"/>
      <c r="BU202" s="220"/>
      <c r="BV202" s="220"/>
      <c r="BW202" s="220"/>
      <c r="BX202" s="220"/>
      <c r="BY202" s="220"/>
      <c r="BZ202" s="220"/>
      <c r="CA202" s="220"/>
      <c r="CB202" s="220"/>
      <c r="CC202" s="220"/>
      <c r="CD202" s="220"/>
      <c r="CE202" s="220"/>
      <c r="CF202" s="220"/>
      <c r="CG202" s="220"/>
      <c r="CH202" s="220"/>
      <c r="CI202" s="220"/>
      <c r="CJ202" s="220"/>
      <c r="CK202" s="220"/>
      <c r="CL202" s="117">
        <f>30.384-0.624+6.531</f>
        <v>36.291000000000004</v>
      </c>
      <c r="CM202" s="117">
        <f>42.588-1.248+13.063</f>
        <v>54.403000000000006</v>
      </c>
      <c r="CN202" s="117">
        <f>41.244-1.872+20.344</f>
        <v>59.716000000000001</v>
      </c>
      <c r="CO202" s="82">
        <f t="shared" si="421"/>
        <v>29.619000000000007</v>
      </c>
      <c r="CP202" s="117">
        <f>42.896+21.189-2.375+27.625</f>
        <v>89.335000000000008</v>
      </c>
      <c r="CQ202" s="117">
        <f>-10.048-0.584+7.281</f>
        <v>-3.351</v>
      </c>
      <c r="CR202" s="117">
        <f>-1.168-9.697+14.562</f>
        <v>3.697000000000001</v>
      </c>
      <c r="CS202" s="117">
        <f>-47.982-1.752+17.12</f>
        <v>-32.614000000000004</v>
      </c>
      <c r="CT202" s="82">
        <f t="shared" si="422"/>
        <v>48.046000000000006</v>
      </c>
      <c r="CU202" s="117">
        <f>-23.112+21.571-2.693+19.666</f>
        <v>15.432000000000004</v>
      </c>
      <c r="CV202" s="117">
        <f>18.52-0.668+2.546</f>
        <v>20.398</v>
      </c>
      <c r="CW202" s="117">
        <f>-1.335+19.31+5.091</f>
        <v>23.065999999999999</v>
      </c>
      <c r="CX202" s="117">
        <f>6.484-2.002+16.789</f>
        <v>21.271000000000001</v>
      </c>
      <c r="CY202" s="82">
        <f t="shared" si="423"/>
        <v>16.465000000000003</v>
      </c>
      <c r="CZ202" s="117">
        <f>7.876-2.613+20.371+12.102</f>
        <v>37.736000000000004</v>
      </c>
      <c r="DA202" s="117">
        <f>1.392-0.651+6.496</f>
        <v>7.2370000000000001</v>
      </c>
      <c r="DB202" s="117">
        <f>-1.303+2.785+5.953</f>
        <v>7.4350000000000005</v>
      </c>
      <c r="DC202" s="117">
        <f>4.042-1.955-39.241</f>
        <v>-37.153999999999996</v>
      </c>
      <c r="DD202" s="82">
        <f t="shared" si="424"/>
        <v>27.146999999999995</v>
      </c>
      <c r="DE202" s="117">
        <f>5.299-2.957+16.323+10.666-39.338</f>
        <v>-10.007000000000001</v>
      </c>
      <c r="DF202" s="117">
        <f>1.257-0.74-0.164</f>
        <v>0.35299999999999987</v>
      </c>
      <c r="DG202" s="117">
        <f>2.514-1.479-5.094</f>
        <v>-4.0590000000000011</v>
      </c>
      <c r="DH202" s="117">
        <f>3.658-2.219-9.052</f>
        <v>-7.6129999999999995</v>
      </c>
      <c r="DI202" s="82">
        <f t="shared" si="425"/>
        <v>22.692999999999998</v>
      </c>
      <c r="DJ202" s="117">
        <f>4.802-2.935+16.784-3.571</f>
        <v>15.08</v>
      </c>
      <c r="DK202" s="117">
        <f>1.144-0.734+2.818</f>
        <v>3.2279999999999998</v>
      </c>
      <c r="DL202" s="117">
        <f>2.288-1.468-2.892</f>
        <v>-2.0720000000000001</v>
      </c>
      <c r="DM202" s="117">
        <f>3.309-2.202-6.946</f>
        <v>-5.8389999999999995</v>
      </c>
      <c r="DN202" s="82">
        <f t="shared" si="426"/>
        <v>21.655999999999999</v>
      </c>
      <c r="DO202" s="117">
        <f>4.331-2.941+17.005-2.578</f>
        <v>15.817</v>
      </c>
      <c r="DP202" s="117">
        <f>1.022-0.733+5.086</f>
        <v>5.375</v>
      </c>
      <c r="DQ202" s="117">
        <f>2.043-1.467+4.909</f>
        <v>5.4849999999999994</v>
      </c>
      <c r="DR202" s="117">
        <f>3.255+2.776-2.2</f>
        <v>3.8309999999999995</v>
      </c>
      <c r="DS202" s="82">
        <f t="shared" si="427"/>
        <v>14.837</v>
      </c>
      <c r="DT202" s="117">
        <f>3.509-2.807+13.052+2.414+2.5</f>
        <v>18.667999999999999</v>
      </c>
      <c r="DU202" s="117">
        <f>0.733-0.701+2.782-0.388</f>
        <v>2.4260000000000002</v>
      </c>
      <c r="DV202" s="117">
        <f>1.466-1.402-0.372-0.388</f>
        <v>-0.69599999999999995</v>
      </c>
      <c r="DW202" s="117">
        <f>1.802-2.104-1.801-0.388</f>
        <v>-2.4909999999999997</v>
      </c>
      <c r="DX202" s="82">
        <f t="shared" si="428"/>
        <v>16.881999999999998</v>
      </c>
      <c r="DY202" s="117">
        <f>2.138-2.805+14.121+1.325-0.388</f>
        <v>14.391</v>
      </c>
      <c r="DZ202" s="117">
        <f>0.336-0.701+1.679</f>
        <v>1.3140000000000001</v>
      </c>
      <c r="EA202" s="117">
        <f>0.672-1.401+1.951</f>
        <v>1.222</v>
      </c>
      <c r="EB202" s="117">
        <f>0.672-2.102+0.907-0.011</f>
        <v>-0.5339999999999997</v>
      </c>
      <c r="EC202" s="82">
        <f t="shared" si="429"/>
        <v>15.076000000000001</v>
      </c>
      <c r="ED202" s="117">
        <f>0.672-2.803+14.303+2.364+0.006</f>
        <v>14.542000000000002</v>
      </c>
    </row>
    <row r="203" spans="1:134" x14ac:dyDescent="0.2">
      <c r="A203" s="220"/>
      <c r="B203" s="220"/>
      <c r="C203" s="70" t="s">
        <v>181</v>
      </c>
      <c r="D203" s="82"/>
      <c r="E203" s="136">
        <f t="shared" si="382"/>
        <v>8.5980000000000025</v>
      </c>
      <c r="F203" s="135">
        <f t="shared" si="383"/>
        <v>-106.682</v>
      </c>
      <c r="G203" s="135">
        <f t="shared" si="383"/>
        <v>-31.547999999999973</v>
      </c>
      <c r="H203" s="116">
        <f t="shared" si="384"/>
        <v>-226.84900000000002</v>
      </c>
      <c r="I203" s="223">
        <f t="shared" si="385"/>
        <v>-356.48099999999999</v>
      </c>
      <c r="J203" s="136">
        <f t="shared" si="386"/>
        <v>106.34899999999999</v>
      </c>
      <c r="K203" s="135">
        <f t="shared" si="387"/>
        <v>-2.6799999999999784</v>
      </c>
      <c r="L203" s="135">
        <f t="shared" si="387"/>
        <v>-11.900999999999996</v>
      </c>
      <c r="M203" s="116">
        <f t="shared" si="388"/>
        <v>-127.13000000000002</v>
      </c>
      <c r="N203" s="223">
        <f t="shared" si="389"/>
        <v>-35.362000000000002</v>
      </c>
      <c r="O203" s="136">
        <f t="shared" si="390"/>
        <v>81.501000000000019</v>
      </c>
      <c r="P203" s="135">
        <f t="shared" si="391"/>
        <v>-78.191000000000031</v>
      </c>
      <c r="Q203" s="135">
        <f t="shared" si="391"/>
        <v>-16.006999999999977</v>
      </c>
      <c r="R203" s="116">
        <f t="shared" si="392"/>
        <v>-0.23400000000000531</v>
      </c>
      <c r="S203" s="223">
        <f t="shared" si="393"/>
        <v>-12.930999999999996</v>
      </c>
      <c r="T203" s="136">
        <f t="shared" si="394"/>
        <v>74.366000000000042</v>
      </c>
      <c r="U203" s="135">
        <f t="shared" si="395"/>
        <v>-125.96200000000005</v>
      </c>
      <c r="V203" s="135">
        <f t="shared" si="396"/>
        <v>-35.566000000000052</v>
      </c>
      <c r="W203" s="116">
        <f t="shared" si="397"/>
        <v>-48.395999999999944</v>
      </c>
      <c r="X203" s="223">
        <f t="shared" si="398"/>
        <v>-135.55799999999999</v>
      </c>
      <c r="Y203" s="136">
        <f t="shared" si="399"/>
        <v>144.01900000000001</v>
      </c>
      <c r="Z203" s="135">
        <f t="shared" si="400"/>
        <v>-35.60499999999999</v>
      </c>
      <c r="AA203" s="135">
        <f t="shared" si="401"/>
        <v>11.415999999999997</v>
      </c>
      <c r="AB203" s="116">
        <f t="shared" si="402"/>
        <v>34.388000000000005</v>
      </c>
      <c r="AC203" s="223">
        <f t="shared" si="403"/>
        <v>154.21800000000002</v>
      </c>
      <c r="AD203" s="136">
        <f t="shared" si="404"/>
        <v>115.05799999999999</v>
      </c>
      <c r="AE203" s="135">
        <f t="shared" si="405"/>
        <v>-144.82599999999996</v>
      </c>
      <c r="AF203" s="135">
        <f t="shared" si="405"/>
        <v>50.801999999999992</v>
      </c>
      <c r="AG203" s="116">
        <f t="shared" si="406"/>
        <v>-109.27800000000001</v>
      </c>
      <c r="AH203" s="223">
        <f t="shared" si="407"/>
        <v>-88.244</v>
      </c>
      <c r="AI203" s="136">
        <f t="shared" si="408"/>
        <v>289.16200000000009</v>
      </c>
      <c r="AJ203" s="135">
        <f t="shared" si="409"/>
        <v>-142.67200000000011</v>
      </c>
      <c r="AK203" s="135">
        <f t="shared" si="409"/>
        <v>-39.04299999999995</v>
      </c>
      <c r="AL203" s="116">
        <f t="shared" si="410"/>
        <v>-34.808000000000021</v>
      </c>
      <c r="AM203" s="223">
        <f t="shared" si="411"/>
        <v>72.63900000000001</v>
      </c>
      <c r="AN203" s="136">
        <f t="shared" si="412"/>
        <v>168.64099999999996</v>
      </c>
      <c r="AO203" s="135">
        <f t="shared" si="413"/>
        <v>-135.19699999999995</v>
      </c>
      <c r="AP203" s="135">
        <f t="shared" si="413"/>
        <v>-35.899000000000008</v>
      </c>
      <c r="AQ203" s="116">
        <f t="shared" si="414"/>
        <v>41.203999999999986</v>
      </c>
      <c r="AR203" s="223">
        <f t="shared" si="415"/>
        <v>38.748999999999981</v>
      </c>
      <c r="AS203" s="136">
        <f t="shared" si="416"/>
        <v>87.740000000000009</v>
      </c>
      <c r="AT203" s="135">
        <f t="shared" si="417"/>
        <v>-87.733000000000004</v>
      </c>
      <c r="AU203" s="135">
        <f t="shared" si="418"/>
        <v>-52.036000000000001</v>
      </c>
      <c r="AV203" s="116">
        <f t="shared" si="419"/>
        <v>91.521999999999991</v>
      </c>
      <c r="AW203" s="223">
        <f t="shared" si="420"/>
        <v>39.493000000000002</v>
      </c>
      <c r="AX203" s="136">
        <f>+BB203/4</f>
        <v>0</v>
      </c>
      <c r="AY203" s="135">
        <f>(BB203-SUM(AX203:AX203))/3</f>
        <v>0</v>
      </c>
      <c r="AZ203" s="135">
        <f>(BB203-SUM(AX203:AY203))/2</f>
        <v>0</v>
      </c>
      <c r="BA203" s="116">
        <f>(BB203-SUM(AX203:AZ203))/1</f>
        <v>0</v>
      </c>
      <c r="BB203" s="34">
        <v>0</v>
      </c>
      <c r="BC203" s="136">
        <f>+BG203/4</f>
        <v>0</v>
      </c>
      <c r="BD203" s="135">
        <f>(BG203-SUM(BC203:BC203))/3</f>
        <v>0</v>
      </c>
      <c r="BE203" s="135">
        <f>(BG203-SUM(BC203:BD203))/2</f>
        <v>0</v>
      </c>
      <c r="BF203" s="116">
        <f>(BG203-SUM(BC203:BE203))/1</f>
        <v>0</v>
      </c>
      <c r="BG203" s="34">
        <v>0</v>
      </c>
      <c r="BH203" s="136">
        <f>+BL203/4</f>
        <v>0</v>
      </c>
      <c r="BI203" s="135">
        <f>(BL203-SUM(BH203:BH203))/3</f>
        <v>0</v>
      </c>
      <c r="BJ203" s="135">
        <f>(BL203-SUM(BH203:BI203))/2</f>
        <v>0</v>
      </c>
      <c r="BK203" s="116">
        <f>(BL203-SUM(BH203:BJ203))/1</f>
        <v>0</v>
      </c>
      <c r="BL203" s="34">
        <v>0</v>
      </c>
      <c r="BM203" s="136">
        <f>+BQ203/4</f>
        <v>0</v>
      </c>
      <c r="BN203" s="135">
        <f>(BQ203-SUM(BM203:BM203))/3</f>
        <v>0</v>
      </c>
      <c r="BO203" s="135">
        <f>(BQ203-SUM(BM203:BN203))/2</f>
        <v>0</v>
      </c>
      <c r="BP203" s="116">
        <f>(BQ203-SUM(BM203:BO203))/1</f>
        <v>0</v>
      </c>
      <c r="BQ203" s="34">
        <v>0</v>
      </c>
      <c r="BR203" s="220"/>
      <c r="BS203" s="220"/>
      <c r="BT203" s="220"/>
      <c r="BU203" s="220"/>
      <c r="BV203" s="220"/>
      <c r="BW203" s="220"/>
      <c r="BX203" s="220"/>
      <c r="BY203" s="220"/>
      <c r="BZ203" s="220"/>
      <c r="CA203" s="220"/>
      <c r="CB203" s="220"/>
      <c r="CC203" s="220"/>
      <c r="CD203" s="220"/>
      <c r="CE203" s="220"/>
      <c r="CF203" s="220"/>
      <c r="CG203" s="220"/>
      <c r="CH203" s="220"/>
      <c r="CI203" s="220"/>
      <c r="CJ203" s="220"/>
      <c r="CK203" s="220"/>
      <c r="CL203" s="117">
        <f>55.175+161.123-13.63+51.251+1.071-163.036-93.906+8.906+7.504+1.114-6.974</f>
        <v>8.5980000000000025</v>
      </c>
      <c r="CM203" s="117">
        <f>78.28+191.712-41.861+60.601+3.814-179.394-95.856+8.29-26.608+6.325-103.387</f>
        <v>-98.084000000000003</v>
      </c>
      <c r="CN203" s="117">
        <f>117.429+168.854-35.002+1.553-31.659-168.492-86.39+22.67-9.415+5.169-114.349</f>
        <v>-129.63199999999998</v>
      </c>
      <c r="CO203" s="82">
        <f t="shared" si="421"/>
        <v>-226.84900000000002</v>
      </c>
      <c r="CP203" s="117">
        <f>7.082+40.573-19.7-44.555-32.982-64.251-1.531-216.696+0.375-24.796</f>
        <v>-356.48099999999999</v>
      </c>
      <c r="CQ203" s="117">
        <f>5.822+100.139+51.746+43.613-120.659-16.279+55.578-4.349-1.489-7.773</f>
        <v>106.34899999999999</v>
      </c>
      <c r="CR203" s="117">
        <f>46.213+98.842+56.489+47.588-137.259+16.571-6.901-11.262-1.65-4.962</f>
        <v>103.66900000000001</v>
      </c>
      <c r="CS203" s="117">
        <f>73.274+109.79+7.617-4.783+43.106-154.001-12.381+49.115+10.068-2.676-27.361</f>
        <v>91.768000000000015</v>
      </c>
      <c r="CT203" s="82">
        <f t="shared" si="422"/>
        <v>-127.13000000000002</v>
      </c>
      <c r="CU203" s="117">
        <f>16.807+16.418+34.424+14.328-106.632+17.098+16.067-29.82-2.578-11.474</f>
        <v>-35.362000000000002</v>
      </c>
      <c r="CV203" s="117">
        <f>11.885+76.879+37.815+28.913-55.823+2.239+43.374-57.91-0.283-5.588</f>
        <v>81.501000000000019</v>
      </c>
      <c r="CW203" s="117">
        <f>35.878+73.003+20.067+28.819-37.276-32.457-15.066-58.054-0.162-11.442</f>
        <v>3.3099999999999863</v>
      </c>
      <c r="CX203" s="117">
        <f>12.232+77.382-38.563+28.297-38.903+14.038+2.508-60.047+3.467-13.108</f>
        <v>-12.69699999999999</v>
      </c>
      <c r="CY203" s="82">
        <f t="shared" si="423"/>
        <v>-0.23400000000000531</v>
      </c>
      <c r="CZ203" s="117">
        <f>-22.962-7.009-30.939+26.152+40.754+46.334+29.843-84.181+4.116-15.039</f>
        <v>-12.930999999999996</v>
      </c>
      <c r="DA203" s="117">
        <f>30.996+112.15+56.836-3.25-124.292+10.147+39.057-39.547-6.434-1.297</f>
        <v>74.366000000000042</v>
      </c>
      <c r="DB203" s="117">
        <f>57.355+100.953+69.268-34.38-106.008-33.991-54.416-38.19-7.45-4.737</f>
        <v>-51.595999999999997</v>
      </c>
      <c r="DC203" s="117">
        <f>50.612+110.88+11.553-33.967-83.4-66.007-8.444-59.154-8.73-0.505</f>
        <v>-87.162000000000049</v>
      </c>
      <c r="DD203" s="82">
        <f t="shared" si="424"/>
        <v>-48.395999999999944</v>
      </c>
      <c r="DE203" s="117">
        <f>-58.226+18.92+30.203-3.466-56.176-31.776+34.305-57.974-10.101-1.267</f>
        <v>-135.55799999999999</v>
      </c>
      <c r="DF203" s="117">
        <f>41.048+49.579+42.434-10.662-18.383+67.907+10.87-44.273+3.779+1.72</f>
        <v>144.01900000000001</v>
      </c>
      <c r="DG203" s="117">
        <f>83.949+56.802+32.123-8.183-16.087+64.131-63.653-44.007+0.479+2.86</f>
        <v>108.41400000000002</v>
      </c>
      <c r="DH203" s="117">
        <f>61.66+80.347-28.021+5.818-28.581+74.709-16.662-44.101+6.917+7.744</f>
        <v>119.83000000000001</v>
      </c>
      <c r="DI203" s="82">
        <f t="shared" si="425"/>
        <v>34.388000000000005</v>
      </c>
      <c r="DJ203" s="117">
        <f>5.089+14.707-14.857-7.21+59.361+108.4+16.561-48.886+3.862+17.191</f>
        <v>154.21800000000002</v>
      </c>
      <c r="DK203" s="117">
        <f>0.41+63.76+56.296+7.395-29.27+10.199+38.157-35.614+4.616-0.891</f>
        <v>115.05799999999999</v>
      </c>
      <c r="DL203" s="117">
        <f>20.17+53.838+31.49+4.636-83.451+51.798-69.978-36.769+5.811-7.313</f>
        <v>-29.767999999999983</v>
      </c>
      <c r="DM203" s="117">
        <f>55.07+58.758-26.409+1.001-86.984+110.692-43.323-37.769+5.353-15.355</f>
        <v>21.03400000000001</v>
      </c>
      <c r="DN203" s="82">
        <f t="shared" si="426"/>
        <v>-109.27800000000001</v>
      </c>
      <c r="DO203" s="117">
        <f>-42.921-23.132-0.972-81.715-22.789+130.499+5.284-38.905+5.537-19.13</f>
        <v>-88.244</v>
      </c>
      <c r="DP203" s="117">
        <f>35.312+89.193+43.638+89.21-61.624+73.34+43.42-20.496+0.903-3.734</f>
        <v>289.16200000000009</v>
      </c>
      <c r="DQ203" s="117">
        <f>76.019+80.721+40.314+72.954-81.167+61.031-65.671-21.912+1.467-17.266</f>
        <v>146.48999999999998</v>
      </c>
      <c r="DR203" s="117">
        <f>61.044+92.819+1.215+75.488-78.61+43.125-36.587-22.653+2.273-30.667</f>
        <v>107.44700000000003</v>
      </c>
      <c r="DS203" s="82">
        <f t="shared" si="427"/>
        <v>-34.808000000000021</v>
      </c>
      <c r="DT203" s="117">
        <f>8.872+17.837+33.417+10.483+78.055-40.982+19.654-23.449+4.086-35.334</f>
        <v>72.63900000000001</v>
      </c>
      <c r="DU203" s="117">
        <f>39.022+80.374+40.165+76.646-32.194-27.163+15.458-16.318+0.595-7.944</f>
        <v>168.64099999999996</v>
      </c>
      <c r="DV203" s="117">
        <f>55.101+69.983+39.833+34.979-22.032-37.452-72.786-15.676-0.337-18.169</f>
        <v>33.444000000000003</v>
      </c>
      <c r="DW203" s="117">
        <f>27.08+70.498-11.712+52.526-20.164-31.152-59.596-13.08-1.422-15.433</f>
        <v>-2.4550000000000036</v>
      </c>
      <c r="DX203" s="82">
        <f t="shared" si="428"/>
        <v>41.203999999999986</v>
      </c>
      <c r="DY203" s="117">
        <f>-14.227-20.866+0.172+68.693+38.439+4.143+1.892-10.627-6.75-22.12</f>
        <v>38.748999999999981</v>
      </c>
      <c r="DZ203" s="117">
        <f>1.086+91.1+43.667+0.659-65.886+14.345+17.86-16.506+0.936+0.479</f>
        <v>87.740000000000009</v>
      </c>
      <c r="EA203" s="117">
        <f>24.042+81.649+38.452-4.837-51.894-2.499-67.418-16.543-0.717-0.228</f>
        <v>7.0000000000053075E-3</v>
      </c>
      <c r="EB203" s="117">
        <f>4.431+74.918-0.25+11.717-53.706-28.594-40.789-16.691-1.149-1.916</f>
        <v>-52.028999999999996</v>
      </c>
      <c r="EC203" s="82">
        <f t="shared" si="429"/>
        <v>91.521999999999991</v>
      </c>
      <c r="ED203" s="117">
        <f>-2.229+1.277-9.099+0.188+20.41-22.548+71.776-16.515-0.785-2.982</f>
        <v>39.493000000000002</v>
      </c>
    </row>
    <row r="204" spans="1:134" x14ac:dyDescent="0.2">
      <c r="A204" s="220"/>
      <c r="B204" s="220"/>
      <c r="C204" s="141" t="s">
        <v>182</v>
      </c>
      <c r="D204" s="82"/>
      <c r="E204" s="121">
        <f>SUM(E198:E203)</f>
        <v>231.16700000000003</v>
      </c>
      <c r="F204" s="122">
        <f>SUM(F198:F203)</f>
        <v>85.453000000000017</v>
      </c>
      <c r="G204" s="122">
        <f>SUM(G198:G203)</f>
        <v>173.65900000000002</v>
      </c>
      <c r="H204" s="123">
        <f>SUM(H198:H203)</f>
        <v>-16.939999999999998</v>
      </c>
      <c r="I204" s="127">
        <f t="shared" si="385"/>
        <v>473.33899999999994</v>
      </c>
      <c r="J204" s="121">
        <f>SUM(J198:J203)</f>
        <v>289.42200000000003</v>
      </c>
      <c r="K204" s="122">
        <f>SUM(K198:K203)</f>
        <v>154.45700000000005</v>
      </c>
      <c r="L204" s="122">
        <f>SUM(L198:L203)</f>
        <v>233.44100000000003</v>
      </c>
      <c r="M204" s="123">
        <f>SUM(M198:M203)</f>
        <v>135.011</v>
      </c>
      <c r="N204" s="127">
        <f t="shared" si="389"/>
        <v>812.33100000000002</v>
      </c>
      <c r="O204" s="121">
        <f>SUM(O198:O203)</f>
        <v>325.36599999999999</v>
      </c>
      <c r="P204" s="122">
        <f>SUM(P198:P203)</f>
        <v>117.19799999999992</v>
      </c>
      <c r="Q204" s="122">
        <f>SUM(Q198:Q203)</f>
        <v>302.31700000000001</v>
      </c>
      <c r="R204" s="123">
        <f>SUM(R198:R203)</f>
        <v>229.53200000000001</v>
      </c>
      <c r="S204" s="127">
        <f t="shared" si="393"/>
        <v>974.4129999999999</v>
      </c>
      <c r="T204" s="121">
        <f>SUM(T198:T203)</f>
        <v>306.29200000000003</v>
      </c>
      <c r="U204" s="122">
        <f>SUM(U198:U203)</f>
        <v>115.459</v>
      </c>
      <c r="V204" s="122">
        <f>SUM(V198:V203)</f>
        <v>257.12499999999989</v>
      </c>
      <c r="W204" s="123">
        <f>SUM(W198:W203)</f>
        <v>-0.40099999999991098</v>
      </c>
      <c r="X204" s="127">
        <f t="shared" si="398"/>
        <v>678.47500000000002</v>
      </c>
      <c r="Y204" s="121">
        <f>SUM(Y198:Y203)</f>
        <v>412.23500000000001</v>
      </c>
      <c r="Z204" s="122">
        <f>SUM(Z198:Z203)</f>
        <v>202.02199999999999</v>
      </c>
      <c r="AA204" s="122">
        <f>SUM(AA198:AA203)</f>
        <v>358.416</v>
      </c>
      <c r="AB204" s="123">
        <f>SUM(AB198:AB203)</f>
        <v>298.80100000000004</v>
      </c>
      <c r="AC204" s="127">
        <f t="shared" si="403"/>
        <v>1271.4739999999999</v>
      </c>
      <c r="AD204" s="121">
        <f>SUM(AD198:AD203)</f>
        <v>361.77600000000001</v>
      </c>
      <c r="AE204" s="122">
        <f>SUM(AE198:AE203)</f>
        <v>46.832999999999998</v>
      </c>
      <c r="AF204" s="122">
        <f>SUM(AF198:AF203)</f>
        <v>339.96900000000005</v>
      </c>
      <c r="AG204" s="123">
        <f>SUM(AG198:AG203)</f>
        <v>199.214</v>
      </c>
      <c r="AH204" s="127">
        <f t="shared" si="407"/>
        <v>947.79200000000003</v>
      </c>
      <c r="AI204" s="121">
        <f>SUM(AI198:AI203)</f>
        <v>541.6400000000001</v>
      </c>
      <c r="AJ204" s="122">
        <f>SUM(AJ198:AJ203)</f>
        <v>105.61499999999992</v>
      </c>
      <c r="AK204" s="122">
        <f>SUM(AK198:AK203)</f>
        <v>330.67500000000007</v>
      </c>
      <c r="AL204" s="123">
        <f>SUM(AL198:AL203)</f>
        <v>260.01700000000005</v>
      </c>
      <c r="AM204" s="127">
        <f t="shared" si="411"/>
        <v>1237.9470000000001</v>
      </c>
      <c r="AN204" s="121">
        <f>SUM(AN198:AN203)</f>
        <v>456.89999999999992</v>
      </c>
      <c r="AO204" s="122">
        <f>SUM(AO198:AO203)</f>
        <v>117.51800000000003</v>
      </c>
      <c r="AP204" s="122">
        <f>SUM(AP198:AP203)</f>
        <v>318.72899999999993</v>
      </c>
      <c r="AQ204" s="123">
        <f>SUM(AQ198:AQ203)</f>
        <v>273.108</v>
      </c>
      <c r="AR204" s="127">
        <f t="shared" si="415"/>
        <v>1166.2550000000001</v>
      </c>
      <c r="AS204" s="121">
        <f>SUM(AS198:AS203)</f>
        <v>373.52100000000002</v>
      </c>
      <c r="AT204" s="122">
        <f>SUM(AT198:AT203)</f>
        <v>189.28700000000003</v>
      </c>
      <c r="AU204" s="122">
        <f>SUM(AU198:AU203)</f>
        <v>340.02200000000005</v>
      </c>
      <c r="AV204" s="123">
        <f>SUM(AV198:AV203)</f>
        <v>298.93</v>
      </c>
      <c r="AW204" s="127">
        <f t="shared" si="420"/>
        <v>1201.7599999999998</v>
      </c>
      <c r="AX204" s="121">
        <f t="shared" ref="AX204:BG204" si="430">SUM(AX198:AX203)</f>
        <v>293.52972232794195</v>
      </c>
      <c r="AY204" s="122">
        <f t="shared" si="430"/>
        <v>260.35507900168108</v>
      </c>
      <c r="AZ204" s="122">
        <f t="shared" si="430"/>
        <v>366.75425899233312</v>
      </c>
      <c r="BA204" s="123">
        <f t="shared" si="430"/>
        <v>238.37444699725384</v>
      </c>
      <c r="BB204" s="86">
        <f t="shared" si="430"/>
        <v>1159.01350731921</v>
      </c>
      <c r="BC204" s="121">
        <f t="shared" si="430"/>
        <v>305.22046015701312</v>
      </c>
      <c r="BD204" s="122">
        <f t="shared" si="430"/>
        <v>267.26123667443397</v>
      </c>
      <c r="BE204" s="122">
        <f t="shared" si="430"/>
        <v>380.94431105046124</v>
      </c>
      <c r="BF204" s="123">
        <f t="shared" si="430"/>
        <v>251.58011242248577</v>
      </c>
      <c r="BG204" s="86">
        <f t="shared" si="430"/>
        <v>1205.006120304394</v>
      </c>
      <c r="BH204" s="121">
        <f t="shared" ref="BH204:BQ204" si="431">SUM(BH198:BH203)</f>
        <v>325.04819841211128</v>
      </c>
      <c r="BI204" s="122">
        <f t="shared" si="431"/>
        <v>278.03937862414529</v>
      </c>
      <c r="BJ204" s="122">
        <f t="shared" si="431"/>
        <v>390.8790209748301</v>
      </c>
      <c r="BK204" s="123">
        <f t="shared" si="431"/>
        <v>265.33567865106556</v>
      </c>
      <c r="BL204" s="86">
        <f t="shared" si="431"/>
        <v>1259.3022766621523</v>
      </c>
      <c r="BM204" s="121">
        <f t="shared" si="431"/>
        <v>342.90469186221674</v>
      </c>
      <c r="BN204" s="122">
        <f t="shared" si="431"/>
        <v>288.45178349694902</v>
      </c>
      <c r="BO204" s="122">
        <f t="shared" si="431"/>
        <v>403.43241217984223</v>
      </c>
      <c r="BP204" s="123">
        <f t="shared" si="431"/>
        <v>278.99658521403808</v>
      </c>
      <c r="BQ204" s="86">
        <f t="shared" si="431"/>
        <v>1313.785472753046</v>
      </c>
      <c r="BR204" s="220"/>
      <c r="BS204" s="220"/>
      <c r="BT204" s="220"/>
      <c r="BU204" s="220"/>
      <c r="BV204" s="220"/>
      <c r="BW204" s="220"/>
      <c r="BX204" s="220"/>
      <c r="BY204" s="220"/>
      <c r="BZ204" s="220"/>
      <c r="CA204" s="220"/>
      <c r="CB204" s="220"/>
      <c r="CC204" s="220"/>
      <c r="CD204" s="220"/>
      <c r="CE204" s="220"/>
      <c r="CF204" s="220"/>
      <c r="CG204" s="220"/>
      <c r="CH204" s="220"/>
      <c r="CI204" s="220"/>
      <c r="CJ204" s="220"/>
      <c r="CK204" s="220"/>
      <c r="CL204" s="86">
        <f t="shared" ref="CL204:CW204" si="432">SUM(CL198:CL203)</f>
        <v>231.16700000000003</v>
      </c>
      <c r="CM204" s="86">
        <f t="shared" si="432"/>
        <v>316.62</v>
      </c>
      <c r="CN204" s="86">
        <f t="shared" si="432"/>
        <v>490.279</v>
      </c>
      <c r="CO204" s="86">
        <f t="shared" si="432"/>
        <v>-16.939999999999998</v>
      </c>
      <c r="CP204" s="86">
        <f t="shared" si="432"/>
        <v>473.33899999999994</v>
      </c>
      <c r="CQ204" s="86">
        <f t="shared" si="432"/>
        <v>289.42200000000003</v>
      </c>
      <c r="CR204" s="86">
        <f t="shared" si="432"/>
        <v>443.87900000000002</v>
      </c>
      <c r="CS204" s="86">
        <f t="shared" si="432"/>
        <v>677.31999999999994</v>
      </c>
      <c r="CT204" s="86">
        <f t="shared" si="432"/>
        <v>135.011</v>
      </c>
      <c r="CU204" s="86">
        <f t="shared" si="432"/>
        <v>812.33100000000002</v>
      </c>
      <c r="CV204" s="86">
        <f t="shared" si="432"/>
        <v>325.36599999999999</v>
      </c>
      <c r="CW204" s="86">
        <f t="shared" si="432"/>
        <v>442.56400000000002</v>
      </c>
      <c r="CX204" s="86">
        <v>744.88099999999997</v>
      </c>
      <c r="CY204" s="86">
        <f t="shared" ref="CY204:DH204" si="433">SUM(CY198:CY203)</f>
        <v>229.53200000000001</v>
      </c>
      <c r="CZ204" s="86">
        <f t="shared" si="433"/>
        <v>974.4129999999999</v>
      </c>
      <c r="DA204" s="86">
        <f t="shared" si="433"/>
        <v>306.29200000000003</v>
      </c>
      <c r="DB204" s="86">
        <f t="shared" si="433"/>
        <v>421.75100000000003</v>
      </c>
      <c r="DC204" s="86">
        <f t="shared" si="433"/>
        <v>678.87599999999998</v>
      </c>
      <c r="DD204" s="86">
        <f t="shared" si="433"/>
        <v>-0.40099999999991098</v>
      </c>
      <c r="DE204" s="86">
        <f t="shared" si="433"/>
        <v>678.47500000000002</v>
      </c>
      <c r="DF204" s="86">
        <f t="shared" si="433"/>
        <v>412.23500000000001</v>
      </c>
      <c r="DG204" s="86">
        <f>SUM(DG198:DG203)</f>
        <v>614.25699999999995</v>
      </c>
      <c r="DH204" s="86">
        <f t="shared" si="433"/>
        <v>972.67299999999989</v>
      </c>
      <c r="DI204" s="86">
        <f t="shared" ref="DI204:DQ204" si="434">SUM(DI198:DI203)</f>
        <v>298.80100000000004</v>
      </c>
      <c r="DJ204" s="86">
        <f t="shared" si="434"/>
        <v>1271.4739999999999</v>
      </c>
      <c r="DK204" s="86">
        <f t="shared" si="434"/>
        <v>361.77600000000001</v>
      </c>
      <c r="DL204" s="86">
        <f t="shared" si="434"/>
        <v>408.60899999999998</v>
      </c>
      <c r="DM204" s="86">
        <f t="shared" si="434"/>
        <v>748.57799999999997</v>
      </c>
      <c r="DN204" s="86">
        <f t="shared" si="434"/>
        <v>199.214</v>
      </c>
      <c r="DO204" s="86">
        <f t="shared" si="434"/>
        <v>947.79200000000003</v>
      </c>
      <c r="DP204" s="86">
        <f t="shared" si="434"/>
        <v>541.6400000000001</v>
      </c>
      <c r="DQ204" s="86">
        <f t="shared" si="434"/>
        <v>647.255</v>
      </c>
      <c r="DR204" s="86">
        <f t="shared" ref="DR204:DW204" si="435">SUM(DR198:DR203)</f>
        <v>977.93000000000006</v>
      </c>
      <c r="DS204" s="86">
        <f t="shared" si="435"/>
        <v>260.01700000000005</v>
      </c>
      <c r="DT204" s="86">
        <f t="shared" si="435"/>
        <v>1237.9470000000001</v>
      </c>
      <c r="DU204" s="86">
        <f t="shared" si="435"/>
        <v>456.89999999999992</v>
      </c>
      <c r="DV204" s="86">
        <f t="shared" si="435"/>
        <v>574.41800000000001</v>
      </c>
      <c r="DW204" s="86">
        <f t="shared" si="435"/>
        <v>893.14699999999982</v>
      </c>
      <c r="DX204" s="86">
        <f t="shared" ref="DX204:ED204" si="436">SUM(DX198:DX203)</f>
        <v>273.108</v>
      </c>
      <c r="DY204" s="86">
        <f t="shared" si="436"/>
        <v>1166.2550000000001</v>
      </c>
      <c r="DZ204" s="86">
        <f t="shared" si="436"/>
        <v>373.52100000000002</v>
      </c>
      <c r="EA204" s="86">
        <f t="shared" si="436"/>
        <v>562.80799999999999</v>
      </c>
      <c r="EB204" s="86">
        <f t="shared" si="436"/>
        <v>902.83</v>
      </c>
      <c r="EC204" s="86">
        <f t="shared" si="436"/>
        <v>298.93</v>
      </c>
      <c r="ED204" s="86">
        <f t="shared" si="436"/>
        <v>1201.7599999999998</v>
      </c>
    </row>
    <row r="205" spans="1:134" x14ac:dyDescent="0.2">
      <c r="A205" s="220"/>
      <c r="B205" s="220"/>
      <c r="C205" s="70"/>
      <c r="D205" s="82"/>
      <c r="E205" s="136"/>
      <c r="F205" s="137"/>
      <c r="G205" s="137"/>
      <c r="H205" s="116"/>
      <c r="I205" s="223"/>
      <c r="J205" s="136"/>
      <c r="K205" s="137"/>
      <c r="L205" s="137"/>
      <c r="M205" s="116"/>
      <c r="N205" s="223"/>
      <c r="O205" s="136"/>
      <c r="P205" s="137"/>
      <c r="Q205" s="137"/>
      <c r="R205" s="116"/>
      <c r="S205" s="223"/>
      <c r="T205" s="136"/>
      <c r="U205" s="137"/>
      <c r="V205" s="137"/>
      <c r="W205" s="116"/>
      <c r="X205" s="223"/>
      <c r="Y205" s="136"/>
      <c r="Z205" s="137"/>
      <c r="AA205" s="137"/>
      <c r="AB205" s="116"/>
      <c r="AC205" s="223"/>
      <c r="AD205" s="136"/>
      <c r="AE205" s="137"/>
      <c r="AF205" s="137"/>
      <c r="AG205" s="116"/>
      <c r="AH205" s="223"/>
      <c r="AI205" s="136"/>
      <c r="AJ205" s="137"/>
      <c r="AK205" s="137"/>
      <c r="AL205" s="116"/>
      <c r="AM205" s="223"/>
      <c r="AN205" s="136"/>
      <c r="AO205" s="137"/>
      <c r="AP205" s="137"/>
      <c r="AQ205" s="116"/>
      <c r="AR205" s="223"/>
      <c r="AS205" s="136"/>
      <c r="AT205" s="137"/>
      <c r="AU205" s="137"/>
      <c r="AV205" s="116"/>
      <c r="AW205" s="223"/>
      <c r="AX205" s="136"/>
      <c r="AY205" s="137"/>
      <c r="AZ205" s="137"/>
      <c r="BA205" s="116"/>
      <c r="BB205" s="220"/>
      <c r="BC205" s="136"/>
      <c r="BD205" s="137"/>
      <c r="BE205" s="137"/>
      <c r="BF205" s="116"/>
      <c r="BG205" s="220"/>
      <c r="BH205" s="136"/>
      <c r="BI205" s="137"/>
      <c r="BJ205" s="137"/>
      <c r="BK205" s="116"/>
      <c r="BL205" s="220"/>
      <c r="BM205" s="136"/>
      <c r="BN205" s="137"/>
      <c r="BO205" s="137"/>
      <c r="BP205" s="116"/>
      <c r="BQ205" s="220"/>
      <c r="BR205" s="220"/>
      <c r="BS205" s="220"/>
      <c r="BT205" s="220"/>
      <c r="BU205" s="220"/>
      <c r="BV205" s="220"/>
      <c r="BW205" s="220"/>
      <c r="BX205" s="220"/>
      <c r="BY205" s="220"/>
      <c r="BZ205" s="220"/>
      <c r="CA205" s="220"/>
      <c r="CB205" s="220"/>
      <c r="CC205" s="220"/>
      <c r="CD205" s="220"/>
      <c r="CE205" s="220"/>
      <c r="CF205" s="220"/>
      <c r="CG205" s="220"/>
      <c r="CH205" s="220"/>
      <c r="CI205" s="220"/>
      <c r="CJ205" s="220"/>
      <c r="CK205" s="220"/>
      <c r="CL205" s="220"/>
      <c r="CM205" s="220"/>
      <c r="CN205" s="220"/>
      <c r="CO205" s="220"/>
      <c r="CP205" s="220"/>
      <c r="CQ205" s="220"/>
      <c r="CR205" s="220"/>
      <c r="CS205" s="220"/>
      <c r="CT205" s="220"/>
      <c r="CU205" s="220"/>
      <c r="CV205" s="220"/>
      <c r="CW205" s="220"/>
      <c r="CX205" s="220"/>
      <c r="CY205" s="220"/>
      <c r="CZ205" s="220"/>
      <c r="DA205" s="220"/>
      <c r="DB205" s="220"/>
      <c r="DC205" s="220"/>
      <c r="DD205" s="220"/>
      <c r="DE205" s="220"/>
      <c r="DF205" s="220"/>
      <c r="DG205" s="220"/>
      <c r="DH205" s="220"/>
      <c r="DI205" s="220"/>
      <c r="DJ205" s="220"/>
      <c r="DK205" s="220"/>
      <c r="DL205" s="220"/>
      <c r="DM205" s="220"/>
      <c r="DN205" s="220"/>
      <c r="DO205" s="220"/>
      <c r="DP205" s="220"/>
      <c r="DQ205" s="220"/>
      <c r="DR205" s="220"/>
      <c r="DS205" s="220"/>
      <c r="DT205" s="220"/>
      <c r="DU205" s="220"/>
      <c r="DV205" s="220"/>
      <c r="DW205" s="220"/>
      <c r="DX205" s="220"/>
      <c r="DY205" s="220"/>
      <c r="DZ205" s="220"/>
      <c r="EA205" s="220"/>
      <c r="EC205" s="220"/>
      <c r="ED205" s="220"/>
    </row>
    <row r="206" spans="1:134" x14ac:dyDescent="0.2">
      <c r="A206" s="220"/>
      <c r="B206" s="220"/>
      <c r="C206" s="70" t="s">
        <v>183</v>
      </c>
      <c r="D206" s="82"/>
      <c r="E206" s="136">
        <f>+CL206</f>
        <v>-133.17699999999999</v>
      </c>
      <c r="F206" s="135">
        <f t="shared" ref="F206:G208" si="437">+CM206-CL206</f>
        <v>-173.03900000000002</v>
      </c>
      <c r="G206" s="135">
        <f t="shared" si="437"/>
        <v>-133.29300000000001</v>
      </c>
      <c r="H206" s="116">
        <f>+CP206-CN206</f>
        <v>-187.91200000000003</v>
      </c>
      <c r="I206" s="223">
        <f t="shared" ref="I206:I218" si="438">CP206</f>
        <v>-627.42100000000005</v>
      </c>
      <c r="J206" s="136">
        <f>+CQ206</f>
        <v>-115.89</v>
      </c>
      <c r="K206" s="135">
        <f t="shared" ref="K206:L208" si="439">+CR206-CQ206</f>
        <v>-106.67399999999999</v>
      </c>
      <c r="L206" s="135">
        <f t="shared" si="439"/>
        <v>-160.33799999999999</v>
      </c>
      <c r="M206" s="116">
        <f>+CU206-CS206</f>
        <v>-188.84399999999999</v>
      </c>
      <c r="N206" s="223">
        <f t="shared" ref="N206:N219" si="440">CU206</f>
        <v>-571.74599999999998</v>
      </c>
      <c r="O206" s="136">
        <f>+CV206</f>
        <v>-115.991</v>
      </c>
      <c r="P206" s="135">
        <f t="shared" ref="P206:Q208" si="441">+CW206-CV206</f>
        <v>-162.291</v>
      </c>
      <c r="Q206" s="135">
        <f t="shared" si="441"/>
        <v>-197.16200000000003</v>
      </c>
      <c r="R206" s="116">
        <f>+CZ206-CX206</f>
        <v>-251.38600000000002</v>
      </c>
      <c r="S206" s="223">
        <f>CZ206</f>
        <v>-726.83</v>
      </c>
      <c r="T206" s="136">
        <f>+DA206</f>
        <v>-152.41999999999999</v>
      </c>
      <c r="U206" s="135">
        <f t="shared" ref="U206:V208" si="442">+DB206-DA206</f>
        <v>-230.256</v>
      </c>
      <c r="V206" s="135">
        <f t="shared" si="442"/>
        <v>-227.63299999999998</v>
      </c>
      <c r="W206" s="116">
        <f>+DE206-DC206</f>
        <v>-263.07400000000007</v>
      </c>
      <c r="X206" s="223">
        <f>DE206</f>
        <v>-873.38300000000004</v>
      </c>
      <c r="Y206" s="136">
        <f>+DF206</f>
        <v>-226.94800000000001</v>
      </c>
      <c r="Z206" s="135">
        <f t="shared" ref="Z206:AA208" si="443">+DG206-DF206</f>
        <v>-270.678</v>
      </c>
      <c r="AA206" s="135">
        <f t="shared" si="443"/>
        <v>-245.19600000000003</v>
      </c>
      <c r="AB206" s="116">
        <f>+DJ206-DH206</f>
        <v>-323.87800000000004</v>
      </c>
      <c r="AC206" s="223">
        <f>DJ206</f>
        <v>-1066.7</v>
      </c>
      <c r="AD206" s="136">
        <f>+DK206</f>
        <v>-299.08600000000001</v>
      </c>
      <c r="AE206" s="135">
        <f t="shared" ref="AE206:AF208" si="444">+DL206-DK206</f>
        <v>-274.31499999999994</v>
      </c>
      <c r="AF206" s="135">
        <f t="shared" si="444"/>
        <v>-258.86900000000003</v>
      </c>
      <c r="AG206" s="116">
        <f>+DO206-DM206</f>
        <v>-282.06799999999998</v>
      </c>
      <c r="AH206" s="223">
        <f>DO206</f>
        <v>-1114.338</v>
      </c>
      <c r="AI206" s="136">
        <f>+DP206</f>
        <v>-241.19399999999999</v>
      </c>
      <c r="AJ206" s="135">
        <f t="shared" ref="AJ206:AK208" si="445">+DQ206-DP206</f>
        <v>-212.99600000000001</v>
      </c>
      <c r="AK206" s="135">
        <f t="shared" si="445"/>
        <v>-214.19099999999997</v>
      </c>
      <c r="AL206" s="116">
        <f>+DT206-DR206</f>
        <v>-327.21600000000001</v>
      </c>
      <c r="AM206" s="223">
        <f>DT206</f>
        <v>-995.59699999999998</v>
      </c>
      <c r="AN206" s="136">
        <f>+DU206</f>
        <v>-238.63499999999999</v>
      </c>
      <c r="AO206" s="135">
        <f t="shared" ref="AO206:AP208" si="446">+DV206-DU206</f>
        <v>-285.45100000000002</v>
      </c>
      <c r="AP206" s="135">
        <f t="shared" si="446"/>
        <v>-277.96500000000003</v>
      </c>
      <c r="AQ206" s="116">
        <f>+DY206-DW206</f>
        <v>-311.74899999999991</v>
      </c>
      <c r="AR206" s="223">
        <f>DY206</f>
        <v>-1113.8</v>
      </c>
      <c r="AS206" s="136">
        <f>+DZ206</f>
        <v>-272.92700000000002</v>
      </c>
      <c r="AT206" s="135">
        <f t="shared" ref="AT206:AT208" si="447">+EA206-DZ206</f>
        <v>-336.44200000000001</v>
      </c>
      <c r="AU206" s="135">
        <f t="shared" ref="AU206:AU208" si="448">+EB206-EA206</f>
        <v>-386.31099999999992</v>
      </c>
      <c r="AV206" s="116">
        <f>+ED206-EB206</f>
        <v>-480.01699999999994</v>
      </c>
      <c r="AW206" s="223">
        <f>ED206</f>
        <v>-1475.6969999999999</v>
      </c>
      <c r="AX206" s="136">
        <f>+-AX172</f>
        <v>-287.5</v>
      </c>
      <c r="AY206" s="135">
        <f>+-AY172</f>
        <v>-287.5</v>
      </c>
      <c r="AZ206" s="135">
        <f>+-AZ172</f>
        <v>-287.5</v>
      </c>
      <c r="BA206" s="116">
        <f>+-BA172</f>
        <v>-287.5</v>
      </c>
      <c r="BB206" s="82">
        <f>SUM(AX206:BA206)</f>
        <v>-1150</v>
      </c>
      <c r="BC206" s="136">
        <f>+-BC172</f>
        <v>-255</v>
      </c>
      <c r="BD206" s="135">
        <f>+-BD172</f>
        <v>-255</v>
      </c>
      <c r="BE206" s="135">
        <f>+-BE172</f>
        <v>-255</v>
      </c>
      <c r="BF206" s="116">
        <f>+-BF172</f>
        <v>-255</v>
      </c>
      <c r="BG206" s="82">
        <f>SUM(BC206:BF206)</f>
        <v>-1020</v>
      </c>
      <c r="BH206" s="136">
        <f>+-BH172</f>
        <v>-237.5</v>
      </c>
      <c r="BI206" s="135">
        <f>+-BI172</f>
        <v>-237.5</v>
      </c>
      <c r="BJ206" s="135">
        <f>+-BJ172</f>
        <v>-237.5</v>
      </c>
      <c r="BK206" s="116">
        <f>+-BK172</f>
        <v>-237.5</v>
      </c>
      <c r="BL206" s="82">
        <f>SUM(BH206:BK206)</f>
        <v>-950</v>
      </c>
      <c r="BM206" s="136">
        <f>+-BM172</f>
        <v>-287.5</v>
      </c>
      <c r="BN206" s="135">
        <f>+-BN172</f>
        <v>-287.5</v>
      </c>
      <c r="BO206" s="135">
        <f>+-BO172</f>
        <v>-287.5</v>
      </c>
      <c r="BP206" s="116">
        <f>+-BP172</f>
        <v>-287.5</v>
      </c>
      <c r="BQ206" s="82">
        <f>SUM(BM206:BP206)</f>
        <v>-1150</v>
      </c>
      <c r="BR206" s="220"/>
      <c r="BS206" s="220"/>
      <c r="BT206" s="220"/>
      <c r="BU206" s="220"/>
      <c r="BV206" s="220"/>
      <c r="BW206" s="220"/>
      <c r="BX206" s="220"/>
      <c r="BY206" s="220"/>
      <c r="BZ206" s="220"/>
      <c r="CA206" s="220"/>
      <c r="CB206" s="220"/>
      <c r="CC206" s="220"/>
      <c r="CD206" s="220"/>
      <c r="CE206" s="220"/>
      <c r="CF206" s="220"/>
      <c r="CG206" s="220"/>
      <c r="CH206" s="220"/>
      <c r="CI206" s="220"/>
      <c r="CJ206" s="220"/>
      <c r="CK206" s="220"/>
      <c r="CL206" s="117">
        <v>-133.17699999999999</v>
      </c>
      <c r="CM206" s="117">
        <v>-306.21600000000001</v>
      </c>
      <c r="CN206" s="117">
        <v>-439.50900000000001</v>
      </c>
      <c r="CO206" s="82">
        <f>CP206-CN206</f>
        <v>-187.91200000000003</v>
      </c>
      <c r="CP206" s="117">
        <v>-627.42100000000005</v>
      </c>
      <c r="CQ206" s="117">
        <v>-115.89</v>
      </c>
      <c r="CR206" s="117">
        <v>-222.56399999999999</v>
      </c>
      <c r="CS206" s="117">
        <v>-382.90199999999999</v>
      </c>
      <c r="CT206" s="82">
        <f>CU206-CS206</f>
        <v>-188.84399999999999</v>
      </c>
      <c r="CU206" s="117">
        <v>-571.74599999999998</v>
      </c>
      <c r="CV206" s="117">
        <v>-115.991</v>
      </c>
      <c r="CW206" s="117">
        <v>-278.28199999999998</v>
      </c>
      <c r="CX206" s="524">
        <v>-475.44400000000002</v>
      </c>
      <c r="CY206" s="82">
        <f>CZ206-CX206</f>
        <v>-251.38600000000002</v>
      </c>
      <c r="CZ206" s="117">
        <v>-726.83</v>
      </c>
      <c r="DA206" s="117">
        <v>-152.41999999999999</v>
      </c>
      <c r="DB206" s="117">
        <v>-382.67599999999999</v>
      </c>
      <c r="DC206" s="524">
        <v>-610.30899999999997</v>
      </c>
      <c r="DD206" s="82">
        <f>DE206-DC206</f>
        <v>-263.07400000000007</v>
      </c>
      <c r="DE206" s="117">
        <v>-873.38300000000004</v>
      </c>
      <c r="DF206" s="117">
        <v>-226.94800000000001</v>
      </c>
      <c r="DG206" s="117">
        <v>-497.62599999999998</v>
      </c>
      <c r="DH206" s="524">
        <v>-742.822</v>
      </c>
      <c r="DI206" s="82">
        <f>DJ206-DH206</f>
        <v>-323.87800000000004</v>
      </c>
      <c r="DJ206" s="117">
        <v>-1066.7</v>
      </c>
      <c r="DK206" s="117">
        <v>-299.08600000000001</v>
      </c>
      <c r="DL206" s="117">
        <v>-573.40099999999995</v>
      </c>
      <c r="DM206" s="524">
        <v>-832.27</v>
      </c>
      <c r="DN206" s="82">
        <f>DO206-DM206</f>
        <v>-282.06799999999998</v>
      </c>
      <c r="DO206" s="117">
        <v>-1114.338</v>
      </c>
      <c r="DP206" s="117">
        <v>-241.19399999999999</v>
      </c>
      <c r="DQ206" s="117">
        <v>-454.19</v>
      </c>
      <c r="DR206" s="524">
        <v>-668.38099999999997</v>
      </c>
      <c r="DS206" s="82">
        <f>DT206-DR206</f>
        <v>-327.21600000000001</v>
      </c>
      <c r="DT206" s="117">
        <v>-995.59699999999998</v>
      </c>
      <c r="DU206" s="117">
        <v>-238.63499999999999</v>
      </c>
      <c r="DV206" s="117">
        <v>-524.08600000000001</v>
      </c>
      <c r="DW206" s="117">
        <v>-802.05100000000004</v>
      </c>
      <c r="DX206" s="82">
        <f>DY206-DW206</f>
        <v>-311.74899999999991</v>
      </c>
      <c r="DY206" s="117">
        <v>-1113.8</v>
      </c>
      <c r="DZ206" s="117">
        <v>-272.92700000000002</v>
      </c>
      <c r="EA206" s="117">
        <v>-609.36900000000003</v>
      </c>
      <c r="EB206" s="117">
        <v>-995.68</v>
      </c>
      <c r="EC206" s="82">
        <f>ED206-EB206</f>
        <v>-480.01699999999994</v>
      </c>
      <c r="ED206" s="117">
        <v>-1475.6969999999999</v>
      </c>
    </row>
    <row r="207" spans="1:134" x14ac:dyDescent="0.2">
      <c r="A207" s="220"/>
      <c r="B207" s="220"/>
      <c r="C207" s="70" t="s">
        <v>179</v>
      </c>
      <c r="D207" s="82"/>
      <c r="E207" s="136">
        <f>+CL207</f>
        <v>10.135</v>
      </c>
      <c r="F207" s="135">
        <f t="shared" si="437"/>
        <v>9.6890000000000018</v>
      </c>
      <c r="G207" s="135">
        <f t="shared" si="437"/>
        <v>10.395999999999997</v>
      </c>
      <c r="H207" s="116">
        <f>+CP207-CN207</f>
        <v>10.898000000000003</v>
      </c>
      <c r="I207" s="223">
        <f t="shared" si="438"/>
        <v>41.118000000000002</v>
      </c>
      <c r="J207" s="136">
        <f>+CQ207</f>
        <v>2.9780000000000002</v>
      </c>
      <c r="K207" s="135">
        <f t="shared" si="439"/>
        <v>3.2789999999999995</v>
      </c>
      <c r="L207" s="135">
        <f t="shared" si="439"/>
        <v>2.5440000000000005</v>
      </c>
      <c r="M207" s="116">
        <f>+CU207-CS207</f>
        <v>2.5689999999999991</v>
      </c>
      <c r="N207" s="223">
        <f t="shared" si="440"/>
        <v>11.37</v>
      </c>
      <c r="O207" s="136">
        <f>+CV207</f>
        <v>1.619</v>
      </c>
      <c r="P207" s="135">
        <f t="shared" si="441"/>
        <v>1.7979999999999998</v>
      </c>
      <c r="Q207" s="135">
        <f t="shared" si="441"/>
        <v>1.9560000000000004</v>
      </c>
      <c r="R207" s="116">
        <f>+CZ207-CX207</f>
        <v>2.3369999999999997</v>
      </c>
      <c r="S207" s="223">
        <f>CZ207</f>
        <v>7.71</v>
      </c>
      <c r="T207" s="136">
        <f>+DA207</f>
        <v>2.726</v>
      </c>
      <c r="U207" s="135">
        <f t="shared" si="442"/>
        <v>3.548</v>
      </c>
      <c r="V207" s="135">
        <f t="shared" si="442"/>
        <v>4.6870000000000003</v>
      </c>
      <c r="W207" s="116">
        <f>+DE207-DC207</f>
        <v>5.3929999999999989</v>
      </c>
      <c r="X207" s="223">
        <f>DE207</f>
        <v>16.353999999999999</v>
      </c>
      <c r="Y207" s="136">
        <f>+DF207</f>
        <v>5.923</v>
      </c>
      <c r="Z207" s="135">
        <f t="shared" si="443"/>
        <v>6.7910000000000004</v>
      </c>
      <c r="AA207" s="135">
        <f t="shared" si="443"/>
        <v>8.8149999999999995</v>
      </c>
      <c r="AB207" s="116">
        <f>+DJ207-DH207</f>
        <v>11.644000000000002</v>
      </c>
      <c r="AC207" s="223">
        <f>DJ207</f>
        <v>33.173000000000002</v>
      </c>
      <c r="AD207" s="136">
        <f>+DK207</f>
        <v>11.43</v>
      </c>
      <c r="AE207" s="135">
        <f t="shared" si="444"/>
        <v>12.952000000000002</v>
      </c>
      <c r="AF207" s="135">
        <f t="shared" si="444"/>
        <v>12.315000000000001</v>
      </c>
      <c r="AG207" s="116">
        <f>+DO207-DM207</f>
        <v>10.086999999999996</v>
      </c>
      <c r="AH207" s="223">
        <f>DO207</f>
        <v>46.783999999999999</v>
      </c>
      <c r="AI207" s="136">
        <f>+DP207</f>
        <v>2.806</v>
      </c>
      <c r="AJ207" s="135">
        <f t="shared" si="445"/>
        <v>3.391</v>
      </c>
      <c r="AK207" s="135">
        <f t="shared" si="445"/>
        <v>3.9579999999999993</v>
      </c>
      <c r="AL207" s="116">
        <f>+DT207-DR207</f>
        <v>4.33</v>
      </c>
      <c r="AM207" s="223">
        <f>DT207</f>
        <v>14.484999999999999</v>
      </c>
      <c r="AN207" s="136">
        <f>+DU207</f>
        <v>4.3179999999999996</v>
      </c>
      <c r="AO207" s="135">
        <f t="shared" si="446"/>
        <v>4.0530000000000008</v>
      </c>
      <c r="AP207" s="135">
        <f t="shared" si="446"/>
        <v>5.343</v>
      </c>
      <c r="AQ207" s="116">
        <f>+DY207-DW207</f>
        <v>4.8429999999999982</v>
      </c>
      <c r="AR207" s="223">
        <f>DY207</f>
        <v>18.556999999999999</v>
      </c>
      <c r="AS207" s="136">
        <f>+DZ207</f>
        <v>4.6079999999999997</v>
      </c>
      <c r="AT207" s="135">
        <f t="shared" si="447"/>
        <v>6.3410000000000002</v>
      </c>
      <c r="AU207" s="135">
        <f t="shared" si="448"/>
        <v>8.6420000000000012</v>
      </c>
      <c r="AV207" s="116">
        <f>+ED207-EB207</f>
        <v>10.212</v>
      </c>
      <c r="AW207" s="223">
        <f>ED207</f>
        <v>29.803000000000001</v>
      </c>
      <c r="AX207" s="136">
        <f>+(AW207/AW206)*AX206</f>
        <v>5.8063155918864107</v>
      </c>
      <c r="AY207" s="135">
        <f>+(AX207/AX206)*AY206</f>
        <v>5.8063155918864107</v>
      </c>
      <c r="AZ207" s="135">
        <f>+(AY207/AY206)*AZ206</f>
        <v>5.8063155918864107</v>
      </c>
      <c r="BA207" s="116">
        <f>+(AZ207/AZ206)*BA206</f>
        <v>5.8063155918864107</v>
      </c>
      <c r="BB207" s="82">
        <f>SUM(AX207:BA207)</f>
        <v>23.225262367545643</v>
      </c>
      <c r="BC207" s="136">
        <f>+(BB207/BB206)*BC206</f>
        <v>5.1499494814992515</v>
      </c>
      <c r="BD207" s="135">
        <f>+(BC207/BC206)*BD206</f>
        <v>5.1499494814992515</v>
      </c>
      <c r="BE207" s="135">
        <f>+(BD207/BD206)*BE206</f>
        <v>5.1499494814992515</v>
      </c>
      <c r="BF207" s="116">
        <f>+(BE207/BE206)*BF206</f>
        <v>5.1499494814992515</v>
      </c>
      <c r="BG207" s="82">
        <f>SUM(BC207:BF207)</f>
        <v>20.599797925997006</v>
      </c>
      <c r="BH207" s="136">
        <f>+(BG207/BG206)*BH206</f>
        <v>4.7965215759061657</v>
      </c>
      <c r="BI207" s="135">
        <f>+(BH207/BH206)*BI206</f>
        <v>4.7965215759061657</v>
      </c>
      <c r="BJ207" s="135">
        <f>+(BI207/BI206)*BJ206</f>
        <v>4.7965215759061657</v>
      </c>
      <c r="BK207" s="116">
        <f>+(BJ207/BJ206)*BK206</f>
        <v>4.7965215759061657</v>
      </c>
      <c r="BL207" s="82">
        <f>SUM(BH207:BK207)</f>
        <v>19.186086303624663</v>
      </c>
      <c r="BM207" s="136">
        <f>+(BL207/BL206)*BM206</f>
        <v>5.8063155918864107</v>
      </c>
      <c r="BN207" s="135">
        <f>+(BM207/BM206)*BN206</f>
        <v>5.8063155918864107</v>
      </c>
      <c r="BO207" s="135">
        <f>+(BN207/BN206)*BO206</f>
        <v>5.8063155918864107</v>
      </c>
      <c r="BP207" s="116">
        <f>+(BO207/BO206)*BP206</f>
        <v>5.8063155918864107</v>
      </c>
      <c r="BQ207" s="82">
        <f>SUM(BM207:BP207)</f>
        <v>23.225262367545643</v>
      </c>
      <c r="BR207" s="220"/>
      <c r="BS207" s="220"/>
      <c r="BT207" s="220"/>
      <c r="BU207" s="220"/>
      <c r="BV207" s="220"/>
      <c r="BW207" s="220"/>
      <c r="BX207" s="220"/>
      <c r="BY207" s="220"/>
      <c r="BZ207" s="220"/>
      <c r="CA207" s="220"/>
      <c r="CB207" s="220"/>
      <c r="CC207" s="220"/>
      <c r="CD207" s="220"/>
      <c r="CE207" s="220"/>
      <c r="CF207" s="220"/>
      <c r="CG207" s="220"/>
      <c r="CH207" s="220"/>
      <c r="CI207" s="220"/>
      <c r="CJ207" s="220"/>
      <c r="CK207" s="220"/>
      <c r="CL207" s="117">
        <v>10.135</v>
      </c>
      <c r="CM207" s="117">
        <v>19.824000000000002</v>
      </c>
      <c r="CN207" s="117">
        <v>30.22</v>
      </c>
      <c r="CO207" s="82">
        <f>CP207-CN207</f>
        <v>10.898000000000003</v>
      </c>
      <c r="CP207" s="117">
        <v>41.118000000000002</v>
      </c>
      <c r="CQ207" s="117">
        <v>2.9780000000000002</v>
      </c>
      <c r="CR207" s="117">
        <v>6.2569999999999997</v>
      </c>
      <c r="CS207" s="117">
        <v>8.8010000000000002</v>
      </c>
      <c r="CT207" s="82">
        <f>CU207-CS207</f>
        <v>2.5689999999999991</v>
      </c>
      <c r="CU207" s="117">
        <v>11.37</v>
      </c>
      <c r="CV207" s="117">
        <v>1.619</v>
      </c>
      <c r="CW207" s="117">
        <v>3.4169999999999998</v>
      </c>
      <c r="CX207" s="117">
        <v>5.3730000000000002</v>
      </c>
      <c r="CY207" s="82">
        <f>CZ207-CX207</f>
        <v>2.3369999999999997</v>
      </c>
      <c r="CZ207" s="117">
        <v>7.71</v>
      </c>
      <c r="DA207" s="117">
        <v>2.726</v>
      </c>
      <c r="DB207" s="117">
        <v>6.274</v>
      </c>
      <c r="DC207" s="117">
        <v>10.961</v>
      </c>
      <c r="DD207" s="82">
        <f>DE207-DC207</f>
        <v>5.3929999999999989</v>
      </c>
      <c r="DE207" s="117">
        <v>16.353999999999999</v>
      </c>
      <c r="DF207" s="117">
        <v>5.923</v>
      </c>
      <c r="DG207" s="117">
        <v>12.714</v>
      </c>
      <c r="DH207" s="117">
        <v>21.529</v>
      </c>
      <c r="DI207" s="82">
        <f>DJ207-DH207</f>
        <v>11.644000000000002</v>
      </c>
      <c r="DJ207" s="117">
        <v>33.173000000000002</v>
      </c>
      <c r="DK207" s="117">
        <v>11.43</v>
      </c>
      <c r="DL207" s="117">
        <v>24.382000000000001</v>
      </c>
      <c r="DM207" s="117">
        <v>36.697000000000003</v>
      </c>
      <c r="DN207" s="82">
        <f>DO207-DM207</f>
        <v>10.086999999999996</v>
      </c>
      <c r="DO207" s="117">
        <v>46.783999999999999</v>
      </c>
      <c r="DP207" s="117">
        <v>2.806</v>
      </c>
      <c r="DQ207" s="117">
        <v>6.1970000000000001</v>
      </c>
      <c r="DR207" s="117">
        <v>10.154999999999999</v>
      </c>
      <c r="DS207" s="82">
        <f>DT207-DR207</f>
        <v>4.33</v>
      </c>
      <c r="DT207" s="117">
        <v>14.484999999999999</v>
      </c>
      <c r="DU207" s="117">
        <v>4.3179999999999996</v>
      </c>
      <c r="DV207" s="117">
        <v>8.3710000000000004</v>
      </c>
      <c r="DW207" s="117">
        <v>13.714</v>
      </c>
      <c r="DX207" s="82">
        <f>DY207-DW207</f>
        <v>4.8429999999999982</v>
      </c>
      <c r="DY207" s="117">
        <v>18.556999999999999</v>
      </c>
      <c r="DZ207" s="117">
        <v>4.6079999999999997</v>
      </c>
      <c r="EA207" s="117">
        <v>10.949</v>
      </c>
      <c r="EB207" s="117">
        <v>19.591000000000001</v>
      </c>
      <c r="EC207" s="82">
        <f>ED207-EB207</f>
        <v>10.212</v>
      </c>
      <c r="ED207" s="117">
        <v>29.803000000000001</v>
      </c>
    </row>
    <row r="208" spans="1:134" x14ac:dyDescent="0.2">
      <c r="A208" s="220"/>
      <c r="B208" s="220"/>
      <c r="C208" s="70" t="s">
        <v>433</v>
      </c>
      <c r="D208" s="82"/>
      <c r="E208" s="136">
        <f>+CL208</f>
        <v>0</v>
      </c>
      <c r="F208" s="135">
        <f t="shared" si="437"/>
        <v>-38</v>
      </c>
      <c r="G208" s="135">
        <f t="shared" si="437"/>
        <v>11</v>
      </c>
      <c r="H208" s="116">
        <f>+CP208-CN208</f>
        <v>27</v>
      </c>
      <c r="I208" s="223">
        <f t="shared" si="438"/>
        <v>0</v>
      </c>
      <c r="J208" s="136">
        <f>+CQ208</f>
        <v>0</v>
      </c>
      <c r="K208" s="135">
        <f t="shared" si="439"/>
        <v>-79</v>
      </c>
      <c r="L208" s="135">
        <f t="shared" si="439"/>
        <v>18</v>
      </c>
      <c r="M208" s="116">
        <f>+CU208-CS208</f>
        <v>-671.495</v>
      </c>
      <c r="N208" s="223">
        <f t="shared" si="440"/>
        <v>-732.495</v>
      </c>
      <c r="O208" s="136">
        <f>+CV208</f>
        <v>0</v>
      </c>
      <c r="P208" s="135">
        <f t="shared" si="441"/>
        <v>0</v>
      </c>
      <c r="Q208" s="135">
        <f t="shared" si="441"/>
        <v>-69</v>
      </c>
      <c r="R208" s="116">
        <f>+CZ208-CX208</f>
        <v>17</v>
      </c>
      <c r="S208" s="223">
        <f>CZ208</f>
        <v>-52</v>
      </c>
      <c r="T208" s="136">
        <f>+DA208</f>
        <v>-20</v>
      </c>
      <c r="U208" s="135">
        <f t="shared" si="442"/>
        <v>72</v>
      </c>
      <c r="V208" s="135">
        <f t="shared" si="442"/>
        <v>-120</v>
      </c>
      <c r="W208" s="116">
        <f>+DE208-DC208</f>
        <v>120</v>
      </c>
      <c r="X208" s="223">
        <f>DE208</f>
        <v>52</v>
      </c>
      <c r="Y208" s="136">
        <f>+DF208</f>
        <v>-200</v>
      </c>
      <c r="Z208" s="135">
        <f t="shared" si="443"/>
        <v>114</v>
      </c>
      <c r="AA208" s="135">
        <f t="shared" si="443"/>
        <v>-49</v>
      </c>
      <c r="AB208" s="116">
        <f>+DJ208-DH208</f>
        <v>63</v>
      </c>
      <c r="AC208" s="223">
        <f>DJ208</f>
        <v>-72</v>
      </c>
      <c r="AD208" s="136">
        <f>+DK208</f>
        <v>-178</v>
      </c>
      <c r="AE208" s="135">
        <f t="shared" si="444"/>
        <v>250</v>
      </c>
      <c r="AF208" s="135">
        <f t="shared" si="444"/>
        <v>0</v>
      </c>
      <c r="AG208" s="116">
        <f>+DO208-DM208</f>
        <v>-16</v>
      </c>
      <c r="AH208" s="223">
        <f>DO208</f>
        <v>56</v>
      </c>
      <c r="AI208" s="136">
        <f>+DP208</f>
        <v>16</v>
      </c>
      <c r="AJ208" s="135">
        <f t="shared" si="445"/>
        <v>0</v>
      </c>
      <c r="AK208" s="135">
        <f t="shared" si="445"/>
        <v>0</v>
      </c>
      <c r="AL208" s="116">
        <f>+DT208-DR208</f>
        <v>0</v>
      </c>
      <c r="AM208" s="223">
        <f>DT208</f>
        <v>16</v>
      </c>
      <c r="AN208" s="136">
        <f>+DU208</f>
        <v>-92.316999999999993</v>
      </c>
      <c r="AO208" s="135">
        <f t="shared" si="446"/>
        <v>91.465000000000003</v>
      </c>
      <c r="AP208" s="135">
        <f t="shared" si="446"/>
        <v>0</v>
      </c>
      <c r="AQ208" s="116">
        <f>+DY208-DW208</f>
        <v>0</v>
      </c>
      <c r="AR208" s="223">
        <f>DY208</f>
        <v>-0.85199999999999587</v>
      </c>
      <c r="AS208" s="136">
        <f>+DZ208</f>
        <v>0</v>
      </c>
      <c r="AT208" s="135">
        <f t="shared" si="447"/>
        <v>-152.65700000000001</v>
      </c>
      <c r="AU208" s="135">
        <f t="shared" si="448"/>
        <v>102.00000000000001</v>
      </c>
      <c r="AV208" s="116">
        <f>+ED208-EB208</f>
        <v>29.999999999999996</v>
      </c>
      <c r="AW208" s="223">
        <f>ED208</f>
        <v>-20.657</v>
      </c>
      <c r="AX208" s="136">
        <f>+BB208/4</f>
        <v>0</v>
      </c>
      <c r="AY208" s="135">
        <f>(BB208-SUM(AX208:AX208))/3</f>
        <v>0</v>
      </c>
      <c r="AZ208" s="135">
        <f>(BB208-SUM(AX208:AY208))/2</f>
        <v>0</v>
      </c>
      <c r="BA208" s="116">
        <f>(BB208-SUM(AX208:AZ208))/1</f>
        <v>0</v>
      </c>
      <c r="BB208" s="34">
        <v>0</v>
      </c>
      <c r="BC208" s="136">
        <f>+BG208/4</f>
        <v>0</v>
      </c>
      <c r="BD208" s="135">
        <f>(BG208-SUM(BC208:BC208))/3</f>
        <v>0</v>
      </c>
      <c r="BE208" s="135">
        <f>(BG208-SUM(BC208:BD208))/2</f>
        <v>0</v>
      </c>
      <c r="BF208" s="116">
        <f>(BG208-SUM(BC208:BE208))/1</f>
        <v>0</v>
      </c>
      <c r="BG208" s="34">
        <v>0</v>
      </c>
      <c r="BH208" s="136">
        <f>+BL208/4</f>
        <v>0</v>
      </c>
      <c r="BI208" s="135">
        <f>(BL208-SUM(BH208:BH208))/3</f>
        <v>0</v>
      </c>
      <c r="BJ208" s="135">
        <f>(BL208-SUM(BH208:BI208))/2</f>
        <v>0</v>
      </c>
      <c r="BK208" s="116">
        <f>(BL208-SUM(BH208:BJ208))/1</f>
        <v>0</v>
      </c>
      <c r="BL208" s="34">
        <v>0</v>
      </c>
      <c r="BM208" s="136">
        <f>+BQ208/4</f>
        <v>0</v>
      </c>
      <c r="BN208" s="135">
        <f>(BQ208-SUM(BM208:BM208))/3</f>
        <v>0</v>
      </c>
      <c r="BO208" s="135">
        <f>(BQ208-SUM(BM208:BN208))/2</f>
        <v>0</v>
      </c>
      <c r="BP208" s="116">
        <f>(BQ208-SUM(BM208:BO208))/1</f>
        <v>0</v>
      </c>
      <c r="BQ208" s="34">
        <v>0</v>
      </c>
      <c r="BR208" s="220"/>
      <c r="BS208" s="220"/>
      <c r="BT208" s="220"/>
      <c r="BU208" s="220"/>
      <c r="BV208" s="220"/>
      <c r="BW208" s="220"/>
      <c r="BX208" s="220"/>
      <c r="BY208" s="220"/>
      <c r="BZ208" s="220"/>
      <c r="CA208" s="220"/>
      <c r="CB208" s="220"/>
      <c r="CC208" s="220"/>
      <c r="CD208" s="220"/>
      <c r="CE208" s="220"/>
      <c r="CF208" s="220"/>
      <c r="CG208" s="220"/>
      <c r="CH208" s="220"/>
      <c r="CI208" s="220"/>
      <c r="CJ208" s="220"/>
      <c r="CK208" s="220"/>
      <c r="CL208" s="117">
        <v>0</v>
      </c>
      <c r="CM208" s="117">
        <v>-38</v>
      </c>
      <c r="CN208" s="117">
        <v>-27</v>
      </c>
      <c r="CO208" s="82">
        <f>CP208-CN208</f>
        <v>27</v>
      </c>
      <c r="CP208" s="117">
        <v>0</v>
      </c>
      <c r="CQ208" s="117">
        <v>0</v>
      </c>
      <c r="CR208" s="117">
        <v>-79</v>
      </c>
      <c r="CS208" s="117">
        <v>-61</v>
      </c>
      <c r="CT208" s="82">
        <f>CU208-CS208</f>
        <v>-671.495</v>
      </c>
      <c r="CU208" s="117">
        <v>-732.495</v>
      </c>
      <c r="CV208" s="117">
        <v>0</v>
      </c>
      <c r="CW208" s="117">
        <v>0</v>
      </c>
      <c r="CX208" s="117">
        <f>-268.3+199.3</f>
        <v>-69</v>
      </c>
      <c r="CY208" s="82">
        <f>CZ208-CX208</f>
        <v>17</v>
      </c>
      <c r="CZ208" s="117">
        <f>-609.3+557.3</f>
        <v>-52</v>
      </c>
      <c r="DA208" s="117">
        <f>-383+363</f>
        <v>-20</v>
      </c>
      <c r="DB208" s="117">
        <f>-610+662</f>
        <v>52</v>
      </c>
      <c r="DC208" s="117">
        <f>-820+752</f>
        <v>-68</v>
      </c>
      <c r="DD208" s="82">
        <f>DE208-DC208</f>
        <v>120</v>
      </c>
      <c r="DE208" s="117">
        <f>-1000+1052</f>
        <v>52</v>
      </c>
      <c r="DF208" s="117">
        <f>-276+76</f>
        <v>-200</v>
      </c>
      <c r="DG208" s="117">
        <f>-617+531</f>
        <v>-86</v>
      </c>
      <c r="DH208" s="117">
        <f>-1086+951</f>
        <v>-135</v>
      </c>
      <c r="DI208" s="82">
        <f>DJ208-DH208</f>
        <v>63</v>
      </c>
      <c r="DJ208" s="117">
        <f>-1495+1423</f>
        <v>-72</v>
      </c>
      <c r="DK208" s="117">
        <f>-495+317</f>
        <v>-178</v>
      </c>
      <c r="DL208" s="117">
        <f>-567+639</f>
        <v>72</v>
      </c>
      <c r="DM208" s="117">
        <f>-587+659</f>
        <v>72</v>
      </c>
      <c r="DN208" s="82">
        <f>DO208-DM208</f>
        <v>-16</v>
      </c>
      <c r="DO208" s="117">
        <f>-603+659</f>
        <v>56</v>
      </c>
      <c r="DP208" s="117">
        <f>-57+73</f>
        <v>16</v>
      </c>
      <c r="DQ208" s="117">
        <f>-141.3+157.3</f>
        <v>16</v>
      </c>
      <c r="DR208" s="117">
        <f>-150.3+166.3</f>
        <v>16</v>
      </c>
      <c r="DS208" s="82">
        <f>DT208-DR208</f>
        <v>0</v>
      </c>
      <c r="DT208" s="117">
        <f>212.3-196.3</f>
        <v>16</v>
      </c>
      <c r="DU208" s="117">
        <f>-314+221+0.683</f>
        <v>-92.316999999999993</v>
      </c>
      <c r="DV208" s="117">
        <f>0.608-437+437-1.46</f>
        <v>-0.85199999999999587</v>
      </c>
      <c r="DW208" s="117">
        <f>0.608-437+437-1.46</f>
        <v>-0.85199999999999587</v>
      </c>
      <c r="DX208" s="82">
        <f>DY208-DW208</f>
        <v>0</v>
      </c>
      <c r="DY208" s="117">
        <f>0.608-444+444-1.46</f>
        <v>-0.85199999999999587</v>
      </c>
      <c r="DZ208" s="117">
        <f>-38+38</f>
        <v>0</v>
      </c>
      <c r="EA208" s="117">
        <f>-777+625-0.657</f>
        <v>-152.65700000000001</v>
      </c>
      <c r="EB208" s="117">
        <f>-659+609-0.657</f>
        <v>-50.656999999999996</v>
      </c>
      <c r="EC208" s="82">
        <f>ED208-EB208</f>
        <v>29.999999999999996</v>
      </c>
      <c r="ED208" s="117">
        <f>-954+934-0.657</f>
        <v>-20.657</v>
      </c>
    </row>
    <row r="209" spans="1:134" x14ac:dyDescent="0.2">
      <c r="A209" s="220"/>
      <c r="B209" s="220"/>
      <c r="C209" s="141" t="s">
        <v>185</v>
      </c>
      <c r="D209" s="82"/>
      <c r="E209" s="121">
        <f>SUM(E206:E208)</f>
        <v>-123.04199999999999</v>
      </c>
      <c r="F209" s="122">
        <f>SUM(F206:F208)</f>
        <v>-201.35000000000002</v>
      </c>
      <c r="G209" s="122">
        <f>SUM(G206:G208)</f>
        <v>-111.89700000000001</v>
      </c>
      <c r="H209" s="123">
        <f>SUM(H206:H208)</f>
        <v>-150.01400000000004</v>
      </c>
      <c r="I209" s="127">
        <f t="shared" si="438"/>
        <v>-586.303</v>
      </c>
      <c r="J209" s="121">
        <f>SUM(J206:J208)</f>
        <v>-112.91200000000001</v>
      </c>
      <c r="K209" s="122">
        <f>SUM(K206:K208)</f>
        <v>-182.39499999999998</v>
      </c>
      <c r="L209" s="122">
        <f>SUM(L206:L208)</f>
        <v>-139.79399999999998</v>
      </c>
      <c r="M209" s="123">
        <f>SUM(M206:M208)</f>
        <v>-857.77</v>
      </c>
      <c r="N209" s="127">
        <f t="shared" si="440"/>
        <v>-1292.8710000000001</v>
      </c>
      <c r="O209" s="121">
        <f>SUM(O206:O208)</f>
        <v>-114.372</v>
      </c>
      <c r="P209" s="122">
        <f>SUM(P206:P208)</f>
        <v>-160.49299999999999</v>
      </c>
      <c r="Q209" s="122">
        <f>SUM(Q206:Q208)</f>
        <v>-264.20600000000002</v>
      </c>
      <c r="R209" s="123">
        <f>SUM(R206:R208)</f>
        <v>-232.04900000000004</v>
      </c>
      <c r="S209" s="127">
        <f>CZ209</f>
        <v>-771.12</v>
      </c>
      <c r="T209" s="121">
        <f>SUM(T206:T208)</f>
        <v>-169.69399999999999</v>
      </c>
      <c r="U209" s="122">
        <f>SUM(U206:U208)</f>
        <v>-154.708</v>
      </c>
      <c r="V209" s="122">
        <f>SUM(V206:V208)</f>
        <v>-342.94599999999997</v>
      </c>
      <c r="W209" s="123">
        <f>SUM(W206:W208)</f>
        <v>-137.6810000000001</v>
      </c>
      <c r="X209" s="127">
        <f>DE209</f>
        <v>-805.029</v>
      </c>
      <c r="Y209" s="121">
        <f>SUM(Y206:Y208)</f>
        <v>-421.02499999999998</v>
      </c>
      <c r="Z209" s="122">
        <f>SUM(Z206:Z208)</f>
        <v>-149.887</v>
      </c>
      <c r="AA209" s="122">
        <f>SUM(AA206:AA208)</f>
        <v>-285.38100000000003</v>
      </c>
      <c r="AB209" s="123">
        <f>SUM(AB206:AB208)</f>
        <v>-249.23400000000004</v>
      </c>
      <c r="AC209" s="127">
        <f>DJ209</f>
        <v>-1105.527</v>
      </c>
      <c r="AD209" s="121">
        <f>SUM(AD206:AD208)</f>
        <v>-465.65600000000001</v>
      </c>
      <c r="AE209" s="122">
        <f>SUM(AE206:AE208)</f>
        <v>-11.362999999999943</v>
      </c>
      <c r="AF209" s="122">
        <f>SUM(AF206:AF208)</f>
        <v>-246.55400000000003</v>
      </c>
      <c r="AG209" s="123">
        <f>SUM(AG206:AG208)</f>
        <v>-287.98099999999999</v>
      </c>
      <c r="AH209" s="127">
        <f>DO209</f>
        <v>-1011.5539999999999</v>
      </c>
      <c r="AI209" s="121">
        <f>SUM(AI206:AI208)</f>
        <v>-222.38799999999998</v>
      </c>
      <c r="AJ209" s="122">
        <f>SUM(AJ206:AJ208)</f>
        <v>-209.60500000000002</v>
      </c>
      <c r="AK209" s="122">
        <f>SUM(AK206:AK208)</f>
        <v>-210.23299999999998</v>
      </c>
      <c r="AL209" s="123">
        <f>SUM(AL206:AL208)</f>
        <v>-322.88600000000002</v>
      </c>
      <c r="AM209" s="127">
        <f>DT209</f>
        <v>-965.11199999999997</v>
      </c>
      <c r="AN209" s="121">
        <f>SUM(AN206:AN208)</f>
        <v>-326.63399999999996</v>
      </c>
      <c r="AO209" s="122">
        <f>SUM(AO206:AO208)</f>
        <v>-189.93300000000002</v>
      </c>
      <c r="AP209" s="122">
        <f>SUM(AP206:AP208)</f>
        <v>-272.62200000000001</v>
      </c>
      <c r="AQ209" s="123">
        <f>SUM(AQ206:AQ208)</f>
        <v>-306.90599999999989</v>
      </c>
      <c r="AR209" s="127">
        <f>DY209</f>
        <v>-1096.095</v>
      </c>
      <c r="AS209" s="121">
        <f>SUM(AS206:AS208)</f>
        <v>-268.31900000000002</v>
      </c>
      <c r="AT209" s="122">
        <f>SUM(AT206:AT208)</f>
        <v>-482.75800000000004</v>
      </c>
      <c r="AU209" s="122">
        <f>SUM(AU206:AU208)</f>
        <v>-275.66899999999993</v>
      </c>
      <c r="AV209" s="123">
        <f>SUM(AV206:AV208)</f>
        <v>-439.80499999999995</v>
      </c>
      <c r="AW209" s="127">
        <f>ED209</f>
        <v>-1466.5509999999997</v>
      </c>
      <c r="AX209" s="121">
        <f t="shared" ref="AX209:BG209" si="449">SUM(AX206:AX208)</f>
        <v>-281.6936844081136</v>
      </c>
      <c r="AY209" s="122">
        <f t="shared" si="449"/>
        <v>-281.6936844081136</v>
      </c>
      <c r="AZ209" s="122">
        <f t="shared" si="449"/>
        <v>-281.6936844081136</v>
      </c>
      <c r="BA209" s="123">
        <f t="shared" si="449"/>
        <v>-281.6936844081136</v>
      </c>
      <c r="BB209" s="86">
        <f t="shared" si="449"/>
        <v>-1126.7747376324544</v>
      </c>
      <c r="BC209" s="121">
        <f t="shared" si="449"/>
        <v>-249.85005051850075</v>
      </c>
      <c r="BD209" s="122">
        <f t="shared" si="449"/>
        <v>-249.85005051850075</v>
      </c>
      <c r="BE209" s="122">
        <f t="shared" si="449"/>
        <v>-249.85005051850075</v>
      </c>
      <c r="BF209" s="123">
        <f t="shared" si="449"/>
        <v>-249.85005051850075</v>
      </c>
      <c r="BG209" s="86">
        <f t="shared" si="449"/>
        <v>-999.400202074003</v>
      </c>
      <c r="BH209" s="121">
        <f t="shared" ref="BH209:BQ209" si="450">SUM(BH206:BH208)</f>
        <v>-232.70347842409384</v>
      </c>
      <c r="BI209" s="122">
        <f t="shared" si="450"/>
        <v>-232.70347842409384</v>
      </c>
      <c r="BJ209" s="122">
        <f t="shared" si="450"/>
        <v>-232.70347842409384</v>
      </c>
      <c r="BK209" s="123">
        <f t="shared" si="450"/>
        <v>-232.70347842409384</v>
      </c>
      <c r="BL209" s="86">
        <f t="shared" si="450"/>
        <v>-930.81391369637538</v>
      </c>
      <c r="BM209" s="121">
        <f t="shared" si="450"/>
        <v>-281.6936844081136</v>
      </c>
      <c r="BN209" s="122">
        <f t="shared" si="450"/>
        <v>-281.6936844081136</v>
      </c>
      <c r="BO209" s="122">
        <f t="shared" si="450"/>
        <v>-281.6936844081136</v>
      </c>
      <c r="BP209" s="123">
        <f t="shared" si="450"/>
        <v>-281.6936844081136</v>
      </c>
      <c r="BQ209" s="86">
        <f t="shared" si="450"/>
        <v>-1126.7747376324544</v>
      </c>
      <c r="BR209" s="220"/>
      <c r="BS209" s="220"/>
      <c r="BT209" s="220"/>
      <c r="BU209" s="220"/>
      <c r="BV209" s="220"/>
      <c r="BW209" s="220"/>
      <c r="BX209" s="220"/>
      <c r="BY209" s="220"/>
      <c r="BZ209" s="220"/>
      <c r="CA209" s="220"/>
      <c r="CB209" s="220"/>
      <c r="CC209" s="220"/>
      <c r="CD209" s="220"/>
      <c r="CE209" s="220"/>
      <c r="CF209" s="220"/>
      <c r="CG209" s="220"/>
      <c r="CH209" s="220"/>
      <c r="CI209" s="220"/>
      <c r="CJ209" s="220"/>
      <c r="CK209" s="220"/>
      <c r="CL209" s="86">
        <f t="shared" ref="CL209:CX209" si="451">SUM(CL206:CL208)</f>
        <v>-123.04199999999999</v>
      </c>
      <c r="CM209" s="86">
        <f t="shared" si="451"/>
        <v>-324.392</v>
      </c>
      <c r="CN209" s="86">
        <f t="shared" si="451"/>
        <v>-436.28899999999999</v>
      </c>
      <c r="CO209" s="86">
        <f t="shared" si="451"/>
        <v>-150.01400000000004</v>
      </c>
      <c r="CP209" s="86">
        <f t="shared" si="451"/>
        <v>-586.303</v>
      </c>
      <c r="CQ209" s="86">
        <f t="shared" si="451"/>
        <v>-112.91200000000001</v>
      </c>
      <c r="CR209" s="86">
        <f t="shared" si="451"/>
        <v>-295.30700000000002</v>
      </c>
      <c r="CS209" s="86">
        <f t="shared" si="451"/>
        <v>-435.101</v>
      </c>
      <c r="CT209" s="86">
        <f t="shared" si="451"/>
        <v>-857.77</v>
      </c>
      <c r="CU209" s="86">
        <f t="shared" si="451"/>
        <v>-1292.8710000000001</v>
      </c>
      <c r="CV209" s="86">
        <f t="shared" si="451"/>
        <v>-114.372</v>
      </c>
      <c r="CW209" s="86">
        <f t="shared" si="451"/>
        <v>-274.86500000000001</v>
      </c>
      <c r="CX209" s="86">
        <f t="shared" si="451"/>
        <v>-539.07100000000003</v>
      </c>
      <c r="CY209" s="86">
        <f t="shared" ref="CY209:DH209" si="452">SUM(CY206:CY208)</f>
        <v>-232.04900000000004</v>
      </c>
      <c r="CZ209" s="86">
        <f t="shared" si="452"/>
        <v>-771.12</v>
      </c>
      <c r="DA209" s="86">
        <f t="shared" si="452"/>
        <v>-169.69399999999999</v>
      </c>
      <c r="DB209" s="86">
        <f t="shared" si="452"/>
        <v>-324.40199999999999</v>
      </c>
      <c r="DC209" s="86">
        <f t="shared" si="452"/>
        <v>-667.34799999999996</v>
      </c>
      <c r="DD209" s="86">
        <f t="shared" si="452"/>
        <v>-137.6810000000001</v>
      </c>
      <c r="DE209" s="86">
        <f t="shared" si="452"/>
        <v>-805.029</v>
      </c>
      <c r="DF209" s="86">
        <f t="shared" si="452"/>
        <v>-421.02499999999998</v>
      </c>
      <c r="DG209" s="86">
        <f>SUM(DG206:DG208)</f>
        <v>-570.91200000000003</v>
      </c>
      <c r="DH209" s="86">
        <f t="shared" si="452"/>
        <v>-856.29300000000001</v>
      </c>
      <c r="DI209" s="86">
        <f t="shared" ref="DI209:DQ209" si="453">SUM(DI206:DI208)</f>
        <v>-249.23400000000004</v>
      </c>
      <c r="DJ209" s="86">
        <f t="shared" si="453"/>
        <v>-1105.527</v>
      </c>
      <c r="DK209" s="86">
        <f t="shared" si="453"/>
        <v>-465.65600000000001</v>
      </c>
      <c r="DL209" s="86">
        <f t="shared" si="453"/>
        <v>-477.01900000000001</v>
      </c>
      <c r="DM209" s="86">
        <f t="shared" si="453"/>
        <v>-723.57299999999998</v>
      </c>
      <c r="DN209" s="86">
        <f t="shared" si="453"/>
        <v>-287.98099999999999</v>
      </c>
      <c r="DO209" s="86">
        <f t="shared" si="453"/>
        <v>-1011.5539999999999</v>
      </c>
      <c r="DP209" s="86">
        <f t="shared" si="453"/>
        <v>-222.38799999999998</v>
      </c>
      <c r="DQ209" s="86">
        <f t="shared" si="453"/>
        <v>-431.99299999999999</v>
      </c>
      <c r="DR209" s="86">
        <f t="shared" ref="DR209:DW209" si="454">SUM(DR206:DR208)</f>
        <v>-642.226</v>
      </c>
      <c r="DS209" s="86">
        <f t="shared" si="454"/>
        <v>-322.88600000000002</v>
      </c>
      <c r="DT209" s="86">
        <f t="shared" si="454"/>
        <v>-965.11199999999997</v>
      </c>
      <c r="DU209" s="86">
        <f t="shared" si="454"/>
        <v>-326.63399999999996</v>
      </c>
      <c r="DV209" s="86">
        <f t="shared" si="454"/>
        <v>-516.56700000000001</v>
      </c>
      <c r="DW209" s="86">
        <f t="shared" si="454"/>
        <v>-789.18899999999996</v>
      </c>
      <c r="DX209" s="86">
        <f t="shared" ref="DX209:ED209" si="455">SUM(DX206:DX208)</f>
        <v>-306.90599999999989</v>
      </c>
      <c r="DY209" s="86">
        <f t="shared" si="455"/>
        <v>-1096.095</v>
      </c>
      <c r="DZ209" s="86">
        <f t="shared" si="455"/>
        <v>-268.31900000000002</v>
      </c>
      <c r="EA209" s="86">
        <f t="shared" si="455"/>
        <v>-751.07700000000011</v>
      </c>
      <c r="EB209" s="86">
        <f t="shared" si="455"/>
        <v>-1026.7459999999999</v>
      </c>
      <c r="EC209" s="86">
        <f t="shared" si="455"/>
        <v>-439.80499999999995</v>
      </c>
      <c r="ED209" s="86">
        <f t="shared" si="455"/>
        <v>-1466.5509999999997</v>
      </c>
    </row>
    <row r="210" spans="1:134" x14ac:dyDescent="0.2">
      <c r="A210" s="220"/>
      <c r="B210" s="220"/>
      <c r="C210" s="70"/>
      <c r="D210" s="82"/>
      <c r="E210" s="136"/>
      <c r="F210" s="137"/>
      <c r="G210" s="137"/>
      <c r="H210" s="116"/>
      <c r="I210" s="223">
        <f t="shared" si="438"/>
        <v>0</v>
      </c>
      <c r="J210" s="136"/>
      <c r="K210" s="137"/>
      <c r="L210" s="137"/>
      <c r="M210" s="116"/>
      <c r="N210" s="223"/>
      <c r="O210" s="136"/>
      <c r="P210" s="137"/>
      <c r="Q210" s="137"/>
      <c r="R210" s="116"/>
      <c r="S210" s="223"/>
      <c r="T210" s="136"/>
      <c r="U210" s="137"/>
      <c r="V210" s="137"/>
      <c r="W210" s="116"/>
      <c r="X210" s="223"/>
      <c r="Y210" s="136"/>
      <c r="Z210" s="137"/>
      <c r="AA210" s="137"/>
      <c r="AB210" s="116"/>
      <c r="AC210" s="223"/>
      <c r="AD210" s="136"/>
      <c r="AE210" s="137"/>
      <c r="AF210" s="137"/>
      <c r="AG210" s="116"/>
      <c r="AH210" s="223"/>
      <c r="AI210" s="136"/>
      <c r="AJ210" s="137"/>
      <c r="AK210" s="137"/>
      <c r="AL210" s="116"/>
      <c r="AM210" s="223"/>
      <c r="AN210" s="136"/>
      <c r="AO210" s="137"/>
      <c r="AP210" s="137"/>
      <c r="AQ210" s="116"/>
      <c r="AR210" s="223"/>
      <c r="AS210" s="136"/>
      <c r="AT210" s="137"/>
      <c r="AU210" s="137"/>
      <c r="AV210" s="116"/>
      <c r="AW210" s="223"/>
      <c r="AX210" s="136"/>
      <c r="AY210" s="137"/>
      <c r="AZ210" s="137"/>
      <c r="BA210" s="116"/>
      <c r="BB210" s="220"/>
      <c r="BC210" s="136"/>
      <c r="BD210" s="137"/>
      <c r="BE210" s="137"/>
      <c r="BF210" s="116"/>
      <c r="BG210" s="220"/>
      <c r="BH210" s="136"/>
      <c r="BI210" s="137"/>
      <c r="BJ210" s="137"/>
      <c r="BK210" s="116"/>
      <c r="BL210" s="220"/>
      <c r="BM210" s="136"/>
      <c r="BN210" s="137"/>
      <c r="BO210" s="137"/>
      <c r="BP210" s="116"/>
      <c r="BQ210" s="220"/>
      <c r="BR210" s="220"/>
      <c r="BS210" s="220"/>
      <c r="BT210" s="220"/>
      <c r="BU210" s="220"/>
      <c r="BV210" s="220"/>
      <c r="BW210" s="220"/>
      <c r="BX210" s="220"/>
      <c r="BY210" s="220"/>
      <c r="BZ210" s="220"/>
      <c r="CA210" s="220"/>
      <c r="CB210" s="220"/>
      <c r="CC210" s="220"/>
      <c r="CD210" s="220"/>
      <c r="CE210" s="220"/>
      <c r="CF210" s="220"/>
      <c r="CG210" s="220"/>
      <c r="CH210" s="220"/>
      <c r="CI210" s="220"/>
      <c r="CJ210" s="220"/>
      <c r="CK210" s="220"/>
      <c r="CL210" s="220"/>
      <c r="CM210" s="220"/>
      <c r="CN210" s="220"/>
      <c r="CO210" s="220"/>
      <c r="CP210" s="220"/>
      <c r="CQ210" s="220"/>
      <c r="CR210" s="220"/>
      <c r="CS210" s="220"/>
      <c r="CT210" s="220"/>
      <c r="CU210" s="220"/>
      <c r="CV210" s="220"/>
      <c r="CW210" s="220"/>
      <c r="CX210" s="220"/>
      <c r="CY210" s="220"/>
      <c r="CZ210" s="220"/>
      <c r="DA210" s="220"/>
      <c r="DB210" s="220"/>
      <c r="DC210" s="220"/>
      <c r="DD210" s="220"/>
      <c r="DE210" s="220"/>
      <c r="DF210" s="220"/>
      <c r="DG210" s="220"/>
      <c r="DH210" s="220"/>
      <c r="DI210" s="220"/>
      <c r="DJ210" s="220"/>
      <c r="DK210" s="220"/>
      <c r="DL210" s="220"/>
      <c r="DM210" s="220"/>
      <c r="DN210" s="220"/>
      <c r="DO210" s="220"/>
      <c r="DP210" s="220"/>
      <c r="DQ210" s="220"/>
      <c r="DR210" s="220"/>
      <c r="DS210" s="220"/>
      <c r="DT210" s="220"/>
      <c r="DU210" s="220"/>
      <c r="DV210" s="220"/>
      <c r="DW210" s="220"/>
      <c r="DX210" s="220"/>
      <c r="DY210" s="220"/>
      <c r="DZ210" s="220"/>
      <c r="EA210" s="220"/>
      <c r="EC210" s="220"/>
      <c r="ED210" s="220"/>
    </row>
    <row r="211" spans="1:134" x14ac:dyDescent="0.2">
      <c r="A211" s="220"/>
      <c r="B211" s="220"/>
      <c r="C211" s="70" t="s">
        <v>186</v>
      </c>
      <c r="D211" s="82"/>
      <c r="E211" s="136">
        <f>+CL211</f>
        <v>0</v>
      </c>
      <c r="F211" s="135">
        <f t="shared" ref="F211:G215" si="456">+CM211-CL211</f>
        <v>394.84399999999999</v>
      </c>
      <c r="G211" s="135">
        <f t="shared" si="456"/>
        <v>-0.25</v>
      </c>
      <c r="H211" s="116">
        <f>+CP211-CN211</f>
        <v>-2.4000000000000909E-2</v>
      </c>
      <c r="I211" s="223">
        <f t="shared" si="438"/>
        <v>394.57</v>
      </c>
      <c r="J211" s="136">
        <f>+CQ211</f>
        <v>0</v>
      </c>
      <c r="K211" s="135">
        <f t="shared" ref="K211:L215" si="457">+CR211-CQ211</f>
        <v>0</v>
      </c>
      <c r="L211" s="135">
        <f t="shared" si="457"/>
        <v>0</v>
      </c>
      <c r="M211" s="116">
        <f>+CU211-CS211</f>
        <v>395.31299999999999</v>
      </c>
      <c r="N211" s="223">
        <f t="shared" si="440"/>
        <v>395.31299999999999</v>
      </c>
      <c r="O211" s="136">
        <f>+CV211</f>
        <v>0</v>
      </c>
      <c r="P211" s="135">
        <f t="shared" ref="P211:Q215" si="458">+CW211-CV211</f>
        <v>0</v>
      </c>
      <c r="Q211" s="135">
        <f t="shared" si="458"/>
        <v>246.602</v>
      </c>
      <c r="R211" s="116">
        <f>+CZ211-CX211</f>
        <v>-0.29699999999999704</v>
      </c>
      <c r="S211" s="223">
        <f t="shared" ref="S211:S216" si="459">CZ211</f>
        <v>246.30500000000001</v>
      </c>
      <c r="T211" s="136">
        <f>+DA211</f>
        <v>0</v>
      </c>
      <c r="U211" s="135">
        <f t="shared" ref="U211:V215" si="460">+DB211-DA211</f>
        <v>0</v>
      </c>
      <c r="V211" s="135">
        <f t="shared" si="460"/>
        <v>791.00699999999995</v>
      </c>
      <c r="W211" s="116">
        <f>+DE211-DC211</f>
        <v>-0.62799999999992906</v>
      </c>
      <c r="X211" s="223">
        <f t="shared" ref="X211:X216" si="461">DE211</f>
        <v>790.37900000000002</v>
      </c>
      <c r="Y211" s="136">
        <f>+DF211</f>
        <v>493.16399999999999</v>
      </c>
      <c r="Z211" s="135">
        <f t="shared" ref="Z211:AA215" si="462">+DG211-DF211</f>
        <v>-0.78100000000000591</v>
      </c>
      <c r="AA211" s="135">
        <f t="shared" si="462"/>
        <v>-1.0999999999967258E-2</v>
      </c>
      <c r="AB211" s="116">
        <f>+DJ211-DH211</f>
        <v>-5.9000000000025921E-2</v>
      </c>
      <c r="AC211" s="223">
        <f t="shared" ref="AC211:AC216" si="463">DJ211</f>
        <v>492.31299999999999</v>
      </c>
      <c r="AD211" s="136">
        <f>+DK211</f>
        <v>296.04500000000002</v>
      </c>
      <c r="AE211" s="135">
        <f t="shared" ref="AE211:AF215" si="464">+DL211-DK211</f>
        <v>-0.40300000000002001</v>
      </c>
      <c r="AF211" s="135">
        <f t="shared" si="464"/>
        <v>-4.0999999999996817E-2</v>
      </c>
      <c r="AG211" s="116">
        <f>+DO211-DM211</f>
        <v>-2.9999999999859028E-3</v>
      </c>
      <c r="AH211" s="223">
        <f t="shared" ref="AH211:AH216" si="465">DO211</f>
        <v>295.59800000000001</v>
      </c>
      <c r="AI211" s="136">
        <f>+DP211</f>
        <v>0</v>
      </c>
      <c r="AJ211" s="135">
        <f t="shared" ref="AJ211:AK215" si="466">+DQ211-DP211</f>
        <v>247.19300000000001</v>
      </c>
      <c r="AK211" s="135">
        <f t="shared" si="466"/>
        <v>-0.36700000000001864</v>
      </c>
      <c r="AL211" s="116">
        <f>+DT211-DR211</f>
        <v>-7.4999999999988631E-2</v>
      </c>
      <c r="AM211" s="223">
        <f t="shared" ref="AM211:AM216" si="467">DT211</f>
        <v>246.751</v>
      </c>
      <c r="AN211" s="136">
        <f>+DU211</f>
        <v>0</v>
      </c>
      <c r="AO211" s="135">
        <f t="shared" ref="AO211:AP215" si="468">+DV211-DU211</f>
        <v>244.83</v>
      </c>
      <c r="AP211" s="135">
        <f t="shared" si="468"/>
        <v>-0.30300000000002569</v>
      </c>
      <c r="AQ211" s="116">
        <f>+DY211-DW211</f>
        <v>-1.999999999998181E-2</v>
      </c>
      <c r="AR211" s="223">
        <f t="shared" ref="AR211:AR216" si="469">DY211</f>
        <v>244.50700000000001</v>
      </c>
      <c r="AS211" s="136">
        <f>+DZ211</f>
        <v>0</v>
      </c>
      <c r="AT211" s="135">
        <f t="shared" ref="AT211:AT215" si="470">+EA211-DZ211</f>
        <v>394.61099999999999</v>
      </c>
      <c r="AU211" s="135">
        <f t="shared" ref="AU211:AU215" si="471">+EB211-EA211</f>
        <v>-0.81599999999997408</v>
      </c>
      <c r="AV211" s="116">
        <f>+ED211-EB211</f>
        <v>-4.0000000000190994E-3</v>
      </c>
      <c r="AW211" s="223">
        <f t="shared" ref="AW211:AW216" si="472">ED211</f>
        <v>393.791</v>
      </c>
      <c r="AX211" s="136">
        <f t="shared" ref="AX211:BA212" si="473">+AX185</f>
        <v>0</v>
      </c>
      <c r="AY211" s="135">
        <f t="shared" si="473"/>
        <v>0</v>
      </c>
      <c r="AZ211" s="135">
        <f t="shared" si="473"/>
        <v>750</v>
      </c>
      <c r="BA211" s="116">
        <f t="shared" si="473"/>
        <v>0</v>
      </c>
      <c r="BB211" s="82">
        <f>SUM(AX211:BA211)</f>
        <v>750</v>
      </c>
      <c r="BC211" s="136">
        <f t="shared" ref="BC211:BF212" si="474">+BC185</f>
        <v>0</v>
      </c>
      <c r="BD211" s="135">
        <f t="shared" si="474"/>
        <v>200</v>
      </c>
      <c r="BE211" s="135">
        <f t="shared" si="474"/>
        <v>0</v>
      </c>
      <c r="BF211" s="116">
        <f t="shared" si="474"/>
        <v>0</v>
      </c>
      <c r="BG211" s="82">
        <f>SUM(BC211:BF211)</f>
        <v>200</v>
      </c>
      <c r="BH211" s="136">
        <f t="shared" ref="BH211:BK212" si="475">+BH185</f>
        <v>0</v>
      </c>
      <c r="BI211" s="135">
        <f t="shared" si="475"/>
        <v>400</v>
      </c>
      <c r="BJ211" s="135">
        <f t="shared" si="475"/>
        <v>0</v>
      </c>
      <c r="BK211" s="116">
        <f t="shared" si="475"/>
        <v>0</v>
      </c>
      <c r="BL211" s="82">
        <f>SUM(BH211:BK211)</f>
        <v>400</v>
      </c>
      <c r="BM211" s="136">
        <f t="shared" ref="BM211:BP211" si="476">+BM185</f>
        <v>0</v>
      </c>
      <c r="BN211" s="135">
        <f t="shared" si="476"/>
        <v>400</v>
      </c>
      <c r="BO211" s="135">
        <f t="shared" si="476"/>
        <v>0</v>
      </c>
      <c r="BP211" s="116">
        <f t="shared" si="476"/>
        <v>0</v>
      </c>
      <c r="BQ211" s="82">
        <f>SUM(BM211:BP211)</f>
        <v>400</v>
      </c>
      <c r="BR211" s="220"/>
      <c r="BS211" s="220"/>
      <c r="BT211" s="220"/>
      <c r="BU211" s="220"/>
      <c r="BV211" s="220"/>
      <c r="BW211" s="220"/>
      <c r="BX211" s="220"/>
      <c r="BY211" s="220"/>
      <c r="BZ211" s="220"/>
      <c r="CA211" s="220"/>
      <c r="CB211" s="220"/>
      <c r="CC211" s="220"/>
      <c r="CD211" s="220"/>
      <c r="CE211" s="220"/>
      <c r="CF211" s="220"/>
      <c r="CG211" s="220"/>
      <c r="CH211" s="220"/>
      <c r="CI211" s="220"/>
      <c r="CJ211" s="220"/>
      <c r="CK211" s="220"/>
      <c r="CL211" s="117">
        <v>0</v>
      </c>
      <c r="CM211" s="117">
        <v>394.84399999999999</v>
      </c>
      <c r="CN211" s="117">
        <v>394.59399999999999</v>
      </c>
      <c r="CO211" s="82">
        <f>CP211-CN211</f>
        <v>-2.4000000000000909E-2</v>
      </c>
      <c r="CP211" s="117">
        <v>394.57</v>
      </c>
      <c r="CQ211" s="117">
        <v>0</v>
      </c>
      <c r="CR211" s="117">
        <v>0</v>
      </c>
      <c r="CS211" s="117">
        <v>0</v>
      </c>
      <c r="CT211" s="82">
        <f>CU211-CS211</f>
        <v>395.31299999999999</v>
      </c>
      <c r="CU211" s="117">
        <v>395.31299999999999</v>
      </c>
      <c r="CV211" s="117">
        <v>0</v>
      </c>
      <c r="CW211" s="117">
        <v>0</v>
      </c>
      <c r="CX211" s="117">
        <v>246.602</v>
      </c>
      <c r="CY211" s="82">
        <f>CZ211-CX211</f>
        <v>-0.29699999999999704</v>
      </c>
      <c r="CZ211" s="117">
        <v>246.30500000000001</v>
      </c>
      <c r="DA211" s="117">
        <v>0</v>
      </c>
      <c r="DB211" s="117">
        <v>0</v>
      </c>
      <c r="DC211" s="117">
        <v>791.00699999999995</v>
      </c>
      <c r="DD211" s="82">
        <f>DE211-DC211</f>
        <v>-0.62799999999992906</v>
      </c>
      <c r="DE211" s="117">
        <v>790.37900000000002</v>
      </c>
      <c r="DF211" s="117">
        <v>493.16399999999999</v>
      </c>
      <c r="DG211" s="117">
        <v>492.38299999999998</v>
      </c>
      <c r="DH211" s="117">
        <v>492.37200000000001</v>
      </c>
      <c r="DI211" s="82">
        <f>DJ211-DH211</f>
        <v>-5.9000000000025921E-2</v>
      </c>
      <c r="DJ211" s="117">
        <v>492.31299999999999</v>
      </c>
      <c r="DK211" s="117">
        <v>296.04500000000002</v>
      </c>
      <c r="DL211" s="117">
        <v>295.642</v>
      </c>
      <c r="DM211" s="117">
        <v>295.601</v>
      </c>
      <c r="DN211" s="82">
        <f>DO211-DM211</f>
        <v>-2.9999999999859028E-3</v>
      </c>
      <c r="DO211" s="117">
        <v>295.59800000000001</v>
      </c>
      <c r="DP211" s="117">
        <v>0</v>
      </c>
      <c r="DQ211" s="117">
        <v>247.19300000000001</v>
      </c>
      <c r="DR211" s="117">
        <v>246.82599999999999</v>
      </c>
      <c r="DS211" s="82">
        <f>DT211-DR211</f>
        <v>-7.4999999999988631E-2</v>
      </c>
      <c r="DT211" s="117">
        <v>246.751</v>
      </c>
      <c r="DU211" s="117">
        <v>0</v>
      </c>
      <c r="DV211" s="117">
        <v>244.83</v>
      </c>
      <c r="DW211" s="117">
        <v>244.52699999999999</v>
      </c>
      <c r="DX211" s="82">
        <f>DY211-DW211</f>
        <v>-1.999999999998181E-2</v>
      </c>
      <c r="DY211" s="117">
        <v>244.50700000000001</v>
      </c>
      <c r="DZ211" s="117">
        <v>0</v>
      </c>
      <c r="EA211" s="117">
        <v>394.61099999999999</v>
      </c>
      <c r="EB211" s="117">
        <v>393.79500000000002</v>
      </c>
      <c r="EC211" s="82">
        <f>ED211-EB211</f>
        <v>-4.0000000000190994E-3</v>
      </c>
      <c r="ED211" s="117">
        <v>393.791</v>
      </c>
    </row>
    <row r="212" spans="1:134" x14ac:dyDescent="0.2">
      <c r="A212" s="220"/>
      <c r="B212" s="220"/>
      <c r="C212" s="70" t="s">
        <v>187</v>
      </c>
      <c r="D212" s="82"/>
      <c r="E212" s="136">
        <f>+CL212</f>
        <v>-0.377</v>
      </c>
      <c r="F212" s="135">
        <f t="shared" si="456"/>
        <v>-0.379</v>
      </c>
      <c r="G212" s="135">
        <f t="shared" si="456"/>
        <v>-199.244</v>
      </c>
      <c r="H212" s="116">
        <f>+CP212-CN212</f>
        <v>0</v>
      </c>
      <c r="I212" s="223">
        <f t="shared" si="438"/>
        <v>-200</v>
      </c>
      <c r="J212" s="136">
        <f>+CQ212</f>
        <v>0</v>
      </c>
      <c r="K212" s="135">
        <f t="shared" si="457"/>
        <v>0</v>
      </c>
      <c r="L212" s="135">
        <f t="shared" si="457"/>
        <v>0</v>
      </c>
      <c r="M212" s="116">
        <f>+CU212-CS212</f>
        <v>0</v>
      </c>
      <c r="N212" s="223">
        <f t="shared" si="440"/>
        <v>0</v>
      </c>
      <c r="O212" s="136">
        <f>+CV212</f>
        <v>0</v>
      </c>
      <c r="P212" s="135">
        <f t="shared" si="458"/>
        <v>0</v>
      </c>
      <c r="Q212" s="135">
        <f t="shared" si="458"/>
        <v>0</v>
      </c>
      <c r="R212" s="116">
        <f>+CZ212-CX212</f>
        <v>0</v>
      </c>
      <c r="S212" s="223">
        <f t="shared" si="459"/>
        <v>0</v>
      </c>
      <c r="T212" s="136">
        <f>+DA212</f>
        <v>0</v>
      </c>
      <c r="U212" s="135">
        <f t="shared" si="460"/>
        <v>0</v>
      </c>
      <c r="V212" s="135">
        <f t="shared" si="460"/>
        <v>0</v>
      </c>
      <c r="W212" s="116">
        <f>+DE212-DC212</f>
        <v>-648.75</v>
      </c>
      <c r="X212" s="223">
        <f t="shared" si="461"/>
        <v>-648.75</v>
      </c>
      <c r="Y212" s="136">
        <f>+DF212</f>
        <v>-250</v>
      </c>
      <c r="Z212" s="135">
        <f t="shared" si="462"/>
        <v>0</v>
      </c>
      <c r="AA212" s="135">
        <f t="shared" si="462"/>
        <v>0</v>
      </c>
      <c r="AB212" s="116">
        <f>+DJ212-DH212</f>
        <v>0</v>
      </c>
      <c r="AC212" s="223">
        <f t="shared" si="463"/>
        <v>-250</v>
      </c>
      <c r="AD212" s="136">
        <f>+DK212</f>
        <v>0</v>
      </c>
      <c r="AE212" s="135">
        <f t="shared" si="464"/>
        <v>-275</v>
      </c>
      <c r="AF212" s="135">
        <f t="shared" si="464"/>
        <v>0</v>
      </c>
      <c r="AG212" s="116">
        <f>+DO212-DM212</f>
        <v>0</v>
      </c>
      <c r="AH212" s="223">
        <f t="shared" si="465"/>
        <v>-275</v>
      </c>
      <c r="AI212" s="136">
        <f>+DP212</f>
        <v>0</v>
      </c>
      <c r="AJ212" s="135">
        <f t="shared" si="466"/>
        <v>0</v>
      </c>
      <c r="AK212" s="135">
        <f t="shared" si="466"/>
        <v>0</v>
      </c>
      <c r="AL212" s="116">
        <f>+DT212-DR212</f>
        <v>0</v>
      </c>
      <c r="AM212" s="223">
        <f t="shared" si="467"/>
        <v>0</v>
      </c>
      <c r="AN212" s="136">
        <f>+DU212</f>
        <v>0</v>
      </c>
      <c r="AO212" s="135">
        <f t="shared" si="468"/>
        <v>-129.5</v>
      </c>
      <c r="AP212" s="135">
        <f t="shared" si="468"/>
        <v>0</v>
      </c>
      <c r="AQ212" s="116">
        <f>+DY212-DW212</f>
        <v>0</v>
      </c>
      <c r="AR212" s="223">
        <f t="shared" si="469"/>
        <v>-129.5</v>
      </c>
      <c r="AS212" s="136">
        <f>+DZ212</f>
        <v>0</v>
      </c>
      <c r="AT212" s="135">
        <f t="shared" si="470"/>
        <v>0</v>
      </c>
      <c r="AU212" s="135">
        <f t="shared" si="471"/>
        <v>0</v>
      </c>
      <c r="AV212" s="116">
        <f>+ED212-EB212</f>
        <v>0</v>
      </c>
      <c r="AW212" s="223">
        <f t="shared" si="472"/>
        <v>0</v>
      </c>
      <c r="AX212" s="136">
        <f t="shared" si="473"/>
        <v>0</v>
      </c>
      <c r="AY212" s="135">
        <f t="shared" si="473"/>
        <v>0</v>
      </c>
      <c r="AZ212" s="135">
        <f t="shared" si="473"/>
        <v>-300</v>
      </c>
      <c r="BA212" s="116">
        <f t="shared" si="473"/>
        <v>0</v>
      </c>
      <c r="BB212" s="82">
        <f>SUM(AX212:BA212)</f>
        <v>-300</v>
      </c>
      <c r="BC212" s="136">
        <f t="shared" si="474"/>
        <v>0</v>
      </c>
      <c r="BD212" s="135">
        <f t="shared" si="474"/>
        <v>-400</v>
      </c>
      <c r="BE212" s="135">
        <f t="shared" si="474"/>
        <v>0</v>
      </c>
      <c r="BF212" s="116">
        <f t="shared" si="474"/>
        <v>0</v>
      </c>
      <c r="BG212" s="82">
        <f>SUM(BC212:BF212)</f>
        <v>-400</v>
      </c>
      <c r="BH212" s="136">
        <f t="shared" si="475"/>
        <v>0</v>
      </c>
      <c r="BI212" s="135">
        <f t="shared" si="475"/>
        <v>0</v>
      </c>
      <c r="BJ212" s="135">
        <f t="shared" si="475"/>
        <v>0</v>
      </c>
      <c r="BK212" s="116">
        <f t="shared" si="475"/>
        <v>-400</v>
      </c>
      <c r="BL212" s="82">
        <f>SUM(BH212:BK212)</f>
        <v>-400</v>
      </c>
      <c r="BM212" s="136">
        <f t="shared" ref="BM212:BP212" si="477">+BM186</f>
        <v>0</v>
      </c>
      <c r="BN212" s="135">
        <f t="shared" si="477"/>
        <v>0</v>
      </c>
      <c r="BO212" s="135">
        <f t="shared" si="477"/>
        <v>0</v>
      </c>
      <c r="BP212" s="116">
        <f t="shared" si="477"/>
        <v>0</v>
      </c>
      <c r="BQ212" s="82">
        <f>SUM(BM212:BP212)</f>
        <v>0</v>
      </c>
      <c r="BR212" s="220"/>
      <c r="BS212" s="220"/>
      <c r="BT212" s="220"/>
      <c r="BU212" s="220"/>
      <c r="BV212" s="220"/>
      <c r="BW212" s="220"/>
      <c r="BX212" s="220"/>
      <c r="BY212" s="220"/>
      <c r="BZ212" s="220"/>
      <c r="CA212" s="220"/>
      <c r="CB212" s="220"/>
      <c r="CC212" s="220"/>
      <c r="CD212" s="220"/>
      <c r="CE212" s="220"/>
      <c r="CF212" s="220"/>
      <c r="CG212" s="220"/>
      <c r="CH212" s="220"/>
      <c r="CI212" s="220"/>
      <c r="CJ212" s="220"/>
      <c r="CK212" s="220"/>
      <c r="CL212" s="117">
        <v>-0.377</v>
      </c>
      <c r="CM212" s="117">
        <v>-0.75600000000000001</v>
      </c>
      <c r="CN212" s="117">
        <v>-200</v>
      </c>
      <c r="CO212" s="82">
        <f>CP212-CN212</f>
        <v>0</v>
      </c>
      <c r="CP212" s="117">
        <v>-200</v>
      </c>
      <c r="CQ212" s="117">
        <v>0</v>
      </c>
      <c r="CR212" s="117">
        <v>0</v>
      </c>
      <c r="CS212" s="117">
        <v>0</v>
      </c>
      <c r="CT212" s="82">
        <f>CU212-CS212</f>
        <v>0</v>
      </c>
      <c r="CU212" s="117">
        <v>0</v>
      </c>
      <c r="CV212" s="117">
        <v>0</v>
      </c>
      <c r="CW212" s="117">
        <v>0</v>
      </c>
      <c r="CX212" s="117">
        <v>0</v>
      </c>
      <c r="CY212" s="82">
        <f>CZ212-CX212</f>
        <v>0</v>
      </c>
      <c r="CZ212" s="117">
        <v>0</v>
      </c>
      <c r="DA212" s="117">
        <v>0</v>
      </c>
      <c r="DB212" s="117">
        <v>0</v>
      </c>
      <c r="DC212" s="117">
        <v>0</v>
      </c>
      <c r="DD212" s="82">
        <f>DE212-DC212</f>
        <v>-648.75</v>
      </c>
      <c r="DE212" s="117">
        <v>-648.75</v>
      </c>
      <c r="DF212" s="117">
        <v>-250</v>
      </c>
      <c r="DG212" s="117">
        <v>-250</v>
      </c>
      <c r="DH212" s="117">
        <v>-250</v>
      </c>
      <c r="DI212" s="82">
        <f>DJ212-DH212</f>
        <v>0</v>
      </c>
      <c r="DJ212" s="117">
        <v>-250</v>
      </c>
      <c r="DK212" s="117">
        <v>0</v>
      </c>
      <c r="DL212" s="117">
        <v>-275</v>
      </c>
      <c r="DM212" s="117">
        <v>-275</v>
      </c>
      <c r="DN212" s="82">
        <f>DO212-DM212</f>
        <v>0</v>
      </c>
      <c r="DO212" s="117">
        <v>-275</v>
      </c>
      <c r="DP212" s="117">
        <v>0</v>
      </c>
      <c r="DQ212" s="117">
        <v>0</v>
      </c>
      <c r="DR212" s="117">
        <v>0</v>
      </c>
      <c r="DS212" s="82">
        <f>DT212-DR212</f>
        <v>0</v>
      </c>
      <c r="DT212" s="117">
        <v>0</v>
      </c>
      <c r="DU212" s="117">
        <v>0</v>
      </c>
      <c r="DV212" s="117">
        <v>-129.5</v>
      </c>
      <c r="DW212" s="117">
        <v>-129.5</v>
      </c>
      <c r="DX212" s="82">
        <f>DY212-DW212</f>
        <v>0</v>
      </c>
      <c r="DY212" s="117">
        <v>-129.5</v>
      </c>
      <c r="DZ212" s="117">
        <v>0</v>
      </c>
      <c r="EA212" s="117">
        <v>0</v>
      </c>
      <c r="EB212" s="117">
        <v>0</v>
      </c>
      <c r="EC212" s="82">
        <f>ED212-EB212</f>
        <v>0</v>
      </c>
      <c r="ED212" s="117">
        <v>0</v>
      </c>
    </row>
    <row r="213" spans="1:134" x14ac:dyDescent="0.2">
      <c r="A213" s="220"/>
      <c r="B213" s="220"/>
      <c r="C213" s="70" t="s">
        <v>188</v>
      </c>
      <c r="D213" s="82"/>
      <c r="E213" s="136">
        <f>+CL213</f>
        <v>-40</v>
      </c>
      <c r="F213" s="135">
        <f t="shared" si="456"/>
        <v>0</v>
      </c>
      <c r="G213" s="135">
        <f t="shared" si="456"/>
        <v>0</v>
      </c>
      <c r="H213" s="116">
        <f>+CP213-CN213</f>
        <v>95</v>
      </c>
      <c r="I213" s="223">
        <f t="shared" si="438"/>
        <v>55</v>
      </c>
      <c r="J213" s="136">
        <f>+CQ213</f>
        <v>-59</v>
      </c>
      <c r="K213" s="135">
        <f t="shared" si="457"/>
        <v>-36</v>
      </c>
      <c r="L213" s="135">
        <f t="shared" si="457"/>
        <v>0</v>
      </c>
      <c r="M213" s="116">
        <f>+CU213-CS213</f>
        <v>269.39999999999998</v>
      </c>
      <c r="N213" s="223">
        <f t="shared" si="440"/>
        <v>174.4</v>
      </c>
      <c r="O213" s="136">
        <f>+CV213</f>
        <v>-227.4</v>
      </c>
      <c r="P213" s="135">
        <f t="shared" si="458"/>
        <v>107</v>
      </c>
      <c r="Q213" s="135">
        <f t="shared" si="458"/>
        <v>-148.99999999999997</v>
      </c>
      <c r="R213" s="116">
        <f>+CZ213-CX213</f>
        <v>0</v>
      </c>
      <c r="S213" s="223">
        <f t="shared" si="459"/>
        <v>-269.39999999999998</v>
      </c>
      <c r="T213" s="136">
        <f>+DA213</f>
        <v>0</v>
      </c>
      <c r="U213" s="135">
        <f t="shared" si="460"/>
        <v>5</v>
      </c>
      <c r="V213" s="135">
        <f t="shared" si="460"/>
        <v>-5</v>
      </c>
      <c r="W213" s="116">
        <f>+DE213-DC213</f>
        <v>154</v>
      </c>
      <c r="X213" s="223">
        <f t="shared" si="461"/>
        <v>154</v>
      </c>
      <c r="Y213" s="136">
        <f>+DF213</f>
        <v>-154</v>
      </c>
      <c r="Z213" s="135">
        <f t="shared" si="462"/>
        <v>0</v>
      </c>
      <c r="AA213" s="135">
        <f t="shared" si="462"/>
        <v>0</v>
      </c>
      <c r="AB213" s="116">
        <f>+DJ213-DH213</f>
        <v>0</v>
      </c>
      <c r="AC213" s="223">
        <f t="shared" si="463"/>
        <v>-154</v>
      </c>
      <c r="AD213" s="136">
        <f>+DK213</f>
        <v>0</v>
      </c>
      <c r="AE213" s="135">
        <f t="shared" si="464"/>
        <v>256.8</v>
      </c>
      <c r="AF213" s="135">
        <f t="shared" si="464"/>
        <v>7.1999999999999886</v>
      </c>
      <c r="AG213" s="116">
        <f>+DO213-DM213</f>
        <v>118</v>
      </c>
      <c r="AH213" s="223">
        <f t="shared" si="465"/>
        <v>382</v>
      </c>
      <c r="AI213" s="136">
        <f>+DP213</f>
        <v>-240</v>
      </c>
      <c r="AJ213" s="135">
        <f t="shared" si="466"/>
        <v>-89</v>
      </c>
      <c r="AK213" s="135">
        <f t="shared" si="466"/>
        <v>-53</v>
      </c>
      <c r="AL213" s="116">
        <f>+DT213-DR213</f>
        <v>14</v>
      </c>
      <c r="AM213" s="223">
        <f t="shared" si="467"/>
        <v>-368</v>
      </c>
      <c r="AN213" s="136">
        <f>+DU213</f>
        <v>-14</v>
      </c>
      <c r="AO213" s="135">
        <f t="shared" si="468"/>
        <v>40</v>
      </c>
      <c r="AP213" s="135">
        <f t="shared" si="468"/>
        <v>11</v>
      </c>
      <c r="AQ213" s="116">
        <f>+DY213-DW213</f>
        <v>78</v>
      </c>
      <c r="AR213" s="223">
        <f t="shared" si="469"/>
        <v>115</v>
      </c>
      <c r="AS213" s="136">
        <f>+DZ213</f>
        <v>-98</v>
      </c>
      <c r="AT213" s="135">
        <f t="shared" si="470"/>
        <v>-31</v>
      </c>
      <c r="AU213" s="135">
        <f t="shared" si="471"/>
        <v>0</v>
      </c>
      <c r="AV213" s="116">
        <f>+ED213-EB213</f>
        <v>0</v>
      </c>
      <c r="AW213" s="223">
        <f t="shared" si="472"/>
        <v>-129</v>
      </c>
      <c r="AX213" s="148">
        <v>0</v>
      </c>
      <c r="AY213" s="221">
        <v>0</v>
      </c>
      <c r="AZ213" s="221">
        <v>0</v>
      </c>
      <c r="BA213" s="150">
        <v>0</v>
      </c>
      <c r="BB213" s="82">
        <f>SUM(AX213:BA213)</f>
        <v>0</v>
      </c>
      <c r="BC213" s="148">
        <v>0</v>
      </c>
      <c r="BD213" s="221">
        <v>0</v>
      </c>
      <c r="BE213" s="221">
        <v>0</v>
      </c>
      <c r="BF213" s="150">
        <v>0</v>
      </c>
      <c r="BG213" s="82">
        <f>SUM(BC213:BF213)</f>
        <v>0</v>
      </c>
      <c r="BH213" s="148">
        <v>0</v>
      </c>
      <c r="BI213" s="221">
        <v>0</v>
      </c>
      <c r="BJ213" s="221">
        <v>0</v>
      </c>
      <c r="BK213" s="150">
        <v>0</v>
      </c>
      <c r="BL213" s="82">
        <f>SUM(BH213:BK213)</f>
        <v>0</v>
      </c>
      <c r="BM213" s="148">
        <v>0</v>
      </c>
      <c r="BN213" s="221">
        <v>0</v>
      </c>
      <c r="BO213" s="221">
        <v>0</v>
      </c>
      <c r="BP213" s="150">
        <v>0</v>
      </c>
      <c r="BQ213" s="82">
        <f>SUM(BM213:BP213)</f>
        <v>0</v>
      </c>
      <c r="BR213" s="220"/>
      <c r="BS213" s="220"/>
      <c r="BT213" s="220"/>
      <c r="BU213" s="220"/>
      <c r="BV213" s="220"/>
      <c r="BW213" s="220"/>
      <c r="BX213" s="220"/>
      <c r="BY213" s="220"/>
      <c r="BZ213" s="220"/>
      <c r="CA213" s="220"/>
      <c r="CB213" s="220"/>
      <c r="CC213" s="220"/>
      <c r="CD213" s="220"/>
      <c r="CE213" s="220"/>
      <c r="CF213" s="220"/>
      <c r="CG213" s="220"/>
      <c r="CH213" s="220"/>
      <c r="CI213" s="220"/>
      <c r="CJ213" s="220"/>
      <c r="CK213" s="220"/>
      <c r="CL213" s="313">
        <v>-40</v>
      </c>
      <c r="CM213" s="313">
        <v>-40</v>
      </c>
      <c r="CN213" s="313">
        <v>-40</v>
      </c>
      <c r="CO213" s="82">
        <f>CP213-CN213</f>
        <v>95</v>
      </c>
      <c r="CP213" s="313">
        <v>55</v>
      </c>
      <c r="CQ213" s="313">
        <v>-59</v>
      </c>
      <c r="CR213" s="313">
        <v>-95</v>
      </c>
      <c r="CS213" s="313">
        <v>-95</v>
      </c>
      <c r="CT213" s="82">
        <f>CU213-CS213</f>
        <v>269.39999999999998</v>
      </c>
      <c r="CU213" s="313">
        <v>174.4</v>
      </c>
      <c r="CV213" s="313">
        <v>-227.4</v>
      </c>
      <c r="CW213" s="313">
        <v>-120.4</v>
      </c>
      <c r="CX213" s="313">
        <f>-269.4</f>
        <v>-269.39999999999998</v>
      </c>
      <c r="CY213" s="82">
        <f>CZ213-CX213</f>
        <v>0</v>
      </c>
      <c r="CZ213" s="313">
        <f>-269.4+203.8-203.8</f>
        <v>-269.39999999999998</v>
      </c>
      <c r="DA213" s="313">
        <v>0</v>
      </c>
      <c r="DB213" s="313">
        <v>5</v>
      </c>
      <c r="DC213" s="313">
        <v>0</v>
      </c>
      <c r="DD213" s="82">
        <f>DE213-DC213</f>
        <v>154</v>
      </c>
      <c r="DE213" s="313">
        <f>154+36-36</f>
        <v>154</v>
      </c>
      <c r="DF213" s="313">
        <f>-154-14+14</f>
        <v>-154</v>
      </c>
      <c r="DG213" s="313">
        <v>-154</v>
      </c>
      <c r="DH213" s="313">
        <v>-154</v>
      </c>
      <c r="DI213" s="82">
        <f>DJ213-DH213</f>
        <v>0</v>
      </c>
      <c r="DJ213" s="313">
        <f>-154+14-14</f>
        <v>-154</v>
      </c>
      <c r="DK213" s="313">
        <f>2-2</f>
        <v>0</v>
      </c>
      <c r="DL213" s="313">
        <v>256.8</v>
      </c>
      <c r="DM213" s="313">
        <f>253+303-292</f>
        <v>264</v>
      </c>
      <c r="DN213" s="82">
        <f>DO213-DM213</f>
        <v>118</v>
      </c>
      <c r="DO213" s="313">
        <f>382-333+333</f>
        <v>382</v>
      </c>
      <c r="DP213" s="313">
        <f>-240+9-9</f>
        <v>-240</v>
      </c>
      <c r="DQ213" s="313">
        <f>-329+45-45</f>
        <v>-329</v>
      </c>
      <c r="DR213" s="313">
        <f>-382+67-67</f>
        <v>-382</v>
      </c>
      <c r="DS213" s="82">
        <f>DT213-DR213</f>
        <v>14</v>
      </c>
      <c r="DT213" s="313">
        <f>-368+165-165</f>
        <v>-368</v>
      </c>
      <c r="DU213" s="313">
        <v>-14</v>
      </c>
      <c r="DV213" s="313">
        <f>-14+123-83</f>
        <v>26</v>
      </c>
      <c r="DW213" s="313">
        <f>-14+357-306</f>
        <v>37</v>
      </c>
      <c r="DX213" s="82">
        <f>DY213-DW213</f>
        <v>78</v>
      </c>
      <c r="DY213" s="313">
        <f>115+524.5-524.5</f>
        <v>115</v>
      </c>
      <c r="DZ213" s="313">
        <f>-98+40-40</f>
        <v>-98</v>
      </c>
      <c r="EA213" s="313">
        <f>-129+40-40</f>
        <v>-129</v>
      </c>
      <c r="EB213" s="313">
        <f>-129+40-40</f>
        <v>-129</v>
      </c>
      <c r="EC213" s="82">
        <f>ED213-EB213</f>
        <v>0</v>
      </c>
      <c r="ED213" s="313">
        <f>-129+40-40</f>
        <v>-129</v>
      </c>
    </row>
    <row r="214" spans="1:134" x14ac:dyDescent="0.2">
      <c r="A214" s="220"/>
      <c r="B214" s="220"/>
      <c r="C214" s="70" t="s">
        <v>298</v>
      </c>
      <c r="D214" s="82"/>
      <c r="E214" s="136">
        <f>+CL214</f>
        <v>-47.417000000000002</v>
      </c>
      <c r="F214" s="135">
        <f t="shared" si="456"/>
        <v>-46.399000000000001</v>
      </c>
      <c r="G214" s="135">
        <f t="shared" si="456"/>
        <v>-65.960000000000008</v>
      </c>
      <c r="H214" s="116">
        <f>+CP214-CN214</f>
        <v>2.4010000000000105</v>
      </c>
      <c r="I214" s="223">
        <f t="shared" si="438"/>
        <v>-157.375</v>
      </c>
      <c r="J214" s="136">
        <f>+CQ214</f>
        <v>-65.822000000000003</v>
      </c>
      <c r="K214" s="135">
        <f t="shared" si="457"/>
        <v>71.135999999999996</v>
      </c>
      <c r="L214" s="135">
        <f t="shared" si="457"/>
        <v>-66.728999999999985</v>
      </c>
      <c r="M214" s="116">
        <f>+CU214-CS214</f>
        <v>55.724999999999994</v>
      </c>
      <c r="N214" s="223">
        <f t="shared" si="440"/>
        <v>-5.6899999999999977</v>
      </c>
      <c r="O214" s="136">
        <f>+CV214</f>
        <v>8.171999999999997</v>
      </c>
      <c r="P214" s="135">
        <f t="shared" si="458"/>
        <v>-66.99799999999999</v>
      </c>
      <c r="Q214" s="135">
        <f t="shared" si="458"/>
        <v>-67.588999999999999</v>
      </c>
      <c r="R214" s="116">
        <f>+CZ214-CX214</f>
        <v>-82.931999999999988</v>
      </c>
      <c r="S214" s="223">
        <f t="shared" si="459"/>
        <v>-209.34699999999998</v>
      </c>
      <c r="T214" s="136">
        <f>+DA214</f>
        <v>-134.00399999999999</v>
      </c>
      <c r="U214" s="135">
        <f t="shared" si="460"/>
        <v>28.122</v>
      </c>
      <c r="V214" s="135">
        <f t="shared" si="460"/>
        <v>-66.497000000000028</v>
      </c>
      <c r="W214" s="116">
        <f>+DE214-DC214</f>
        <v>4.6910000000000309</v>
      </c>
      <c r="X214" s="223">
        <f t="shared" si="461"/>
        <v>-167.68799999999999</v>
      </c>
      <c r="Y214" s="136">
        <f>+DF214</f>
        <v>-66.802999999999997</v>
      </c>
      <c r="Z214" s="135">
        <f t="shared" si="462"/>
        <v>-66.217999999999989</v>
      </c>
      <c r="AA214" s="135">
        <f t="shared" si="462"/>
        <v>-61.435000000000002</v>
      </c>
      <c r="AB214" s="116">
        <f>+DJ214-DH214</f>
        <v>-43.865000000000009</v>
      </c>
      <c r="AC214" s="223">
        <f t="shared" si="463"/>
        <v>-238.321</v>
      </c>
      <c r="AD214" s="136">
        <f>+DK214</f>
        <v>-195.13399999999999</v>
      </c>
      <c r="AE214" s="135">
        <f t="shared" si="464"/>
        <v>-28.53600000000003</v>
      </c>
      <c r="AF214" s="135">
        <f t="shared" si="464"/>
        <v>-96.39100000000002</v>
      </c>
      <c r="AG214" s="116">
        <f>+DO214-DM214</f>
        <v>-32.228999999999985</v>
      </c>
      <c r="AH214" s="223">
        <f t="shared" si="465"/>
        <v>-352.29</v>
      </c>
      <c r="AI214" s="136">
        <f>+DP214</f>
        <v>-83.793999999999997</v>
      </c>
      <c r="AJ214" s="135">
        <f t="shared" si="466"/>
        <v>-52.801000000000002</v>
      </c>
      <c r="AK214" s="135">
        <f t="shared" si="466"/>
        <v>-36.861000000000018</v>
      </c>
      <c r="AL214" s="116">
        <f>+DT214-DR214</f>
        <v>17.820000000000022</v>
      </c>
      <c r="AM214" s="223">
        <f t="shared" si="467"/>
        <v>-155.636</v>
      </c>
      <c r="AN214" s="136">
        <f>+DU214</f>
        <v>-114.536</v>
      </c>
      <c r="AO214" s="135">
        <f t="shared" si="468"/>
        <v>-83.914000000000016</v>
      </c>
      <c r="AP214" s="135">
        <f t="shared" si="468"/>
        <v>-53.774999999999977</v>
      </c>
      <c r="AQ214" s="116">
        <f>+DY214-DW214</f>
        <v>-45.601000000000028</v>
      </c>
      <c r="AR214" s="223">
        <f t="shared" si="469"/>
        <v>-297.82600000000002</v>
      </c>
      <c r="AS214" s="136">
        <f>+DZ214</f>
        <v>-6.7330000000000041</v>
      </c>
      <c r="AT214" s="135">
        <f t="shared" si="470"/>
        <v>-72.104000000000013</v>
      </c>
      <c r="AU214" s="135">
        <f t="shared" si="471"/>
        <v>-8.3739999999999668</v>
      </c>
      <c r="AV214" s="116">
        <f>+ED214-EB214</f>
        <v>88.797999999999988</v>
      </c>
      <c r="AW214" s="223">
        <f t="shared" si="472"/>
        <v>1.5870000000000026</v>
      </c>
      <c r="AX214" s="136">
        <f>+BB214/4</f>
        <v>-62.5</v>
      </c>
      <c r="AY214" s="135">
        <f>(BB214-SUM(AX214:AX214))/3</f>
        <v>-62.5</v>
      </c>
      <c r="AZ214" s="135">
        <f>(BB214-SUM(AX214:AY214))/2</f>
        <v>-62.5</v>
      </c>
      <c r="BA214" s="116">
        <f>(BB214-SUM(AX214:AZ214))/1</f>
        <v>-62.5</v>
      </c>
      <c r="BB214" s="34">
        <v>-250</v>
      </c>
      <c r="BC214" s="136">
        <f>+BG214/4</f>
        <v>-100</v>
      </c>
      <c r="BD214" s="135">
        <f>(BG214-SUM(BC214:BC214))/3</f>
        <v>-100</v>
      </c>
      <c r="BE214" s="135">
        <f>(BG214-SUM(BC214:BD214))/2</f>
        <v>-100</v>
      </c>
      <c r="BF214" s="116">
        <f>(BG214-SUM(BC214:BE214))/1</f>
        <v>-100</v>
      </c>
      <c r="BG214" s="34">
        <v>-400</v>
      </c>
      <c r="BH214" s="136">
        <f>+BL214/4</f>
        <v>-87.5</v>
      </c>
      <c r="BI214" s="135">
        <f>(BL214-SUM(BH214:BH214))/3</f>
        <v>-87.5</v>
      </c>
      <c r="BJ214" s="135">
        <f>(BL214-SUM(BH214:BI214))/2</f>
        <v>-87.5</v>
      </c>
      <c r="BK214" s="116">
        <f>(BL214-SUM(BH214:BJ214))/1</f>
        <v>-87.5</v>
      </c>
      <c r="BL214" s="34">
        <v>-350</v>
      </c>
      <c r="BM214" s="136">
        <f>+BQ214/4</f>
        <v>-75</v>
      </c>
      <c r="BN214" s="135">
        <f>(BQ214-SUM(BM214:BM214))/3</f>
        <v>-75</v>
      </c>
      <c r="BO214" s="135">
        <f>(BQ214-SUM(BM214:BN214))/2</f>
        <v>-75</v>
      </c>
      <c r="BP214" s="116">
        <f>(BQ214-SUM(BM214:BO214))/1</f>
        <v>-75</v>
      </c>
      <c r="BQ214" s="34">
        <v>-300</v>
      </c>
      <c r="BR214" s="220"/>
      <c r="BS214" s="220"/>
      <c r="BT214" s="220"/>
      <c r="BU214" s="220"/>
      <c r="BV214" s="220"/>
      <c r="BW214" s="220"/>
      <c r="BX214" s="220"/>
      <c r="BY214" s="220"/>
      <c r="BZ214" s="220"/>
      <c r="CA214" s="220"/>
      <c r="CB214" s="220"/>
      <c r="CC214" s="220"/>
      <c r="CD214" s="220"/>
      <c r="CE214" s="220"/>
      <c r="CF214" s="220"/>
      <c r="CG214" s="220"/>
      <c r="CH214" s="220"/>
      <c r="CI214" s="220"/>
      <c r="CJ214" s="220"/>
      <c r="CK214" s="220"/>
      <c r="CL214" s="313">
        <f>-67.417+20</f>
        <v>-47.417000000000002</v>
      </c>
      <c r="CM214" s="313">
        <f>-134.233+40.417</f>
        <v>-93.816000000000003</v>
      </c>
      <c r="CN214" s="313">
        <f>-200.193+40.417</f>
        <v>-159.77600000000001</v>
      </c>
      <c r="CO214" s="82">
        <f>CP214-CN214</f>
        <v>2.4010000000000105</v>
      </c>
      <c r="CP214" s="313">
        <f>-266.188+108.813</f>
        <v>-157.375</v>
      </c>
      <c r="CQ214" s="313">
        <v>-65.822000000000003</v>
      </c>
      <c r="CR214" s="313">
        <f>-132.477+137.791</f>
        <v>5.313999999999993</v>
      </c>
      <c r="CS214" s="313">
        <f>-199.206+137.791</f>
        <v>-61.414999999999992</v>
      </c>
      <c r="CT214" s="82">
        <f>CU214-CS214</f>
        <v>55.724999999999994</v>
      </c>
      <c r="CU214" s="313">
        <f>-265.806+260.116</f>
        <v>-5.6899999999999977</v>
      </c>
      <c r="CV214" s="313">
        <f>-66.828+75</f>
        <v>8.171999999999997</v>
      </c>
      <c r="CW214" s="313">
        <f>-135.047+76.221</f>
        <v>-58.825999999999993</v>
      </c>
      <c r="CX214" s="313">
        <f>76.221-202.636</f>
        <v>-126.41499999999999</v>
      </c>
      <c r="CY214" s="82">
        <f>CZ214-CX214</f>
        <v>-82.931999999999988</v>
      </c>
      <c r="CZ214" s="313">
        <f>60.8-270.147</f>
        <v>-209.34699999999998</v>
      </c>
      <c r="DA214" s="313">
        <v>-134.00399999999999</v>
      </c>
      <c r="DB214" s="313">
        <f>28.122-134.004</f>
        <v>-105.88199999999999</v>
      </c>
      <c r="DC214" s="313">
        <f>28.122-200.501</f>
        <v>-172.37900000000002</v>
      </c>
      <c r="DD214" s="82">
        <f>DE214-DC214</f>
        <v>4.6910000000000309</v>
      </c>
      <c r="DE214" s="313">
        <f>99.283-266.971</f>
        <v>-167.68799999999999</v>
      </c>
      <c r="DF214" s="313">
        <v>-66.802999999999997</v>
      </c>
      <c r="DG214" s="313">
        <f>0.46-133.481</f>
        <v>-133.02099999999999</v>
      </c>
      <c r="DH214" s="313">
        <f>4.485-198.941</f>
        <v>-194.45599999999999</v>
      </c>
      <c r="DI214" s="82">
        <f>DJ214-DH214</f>
        <v>-43.865000000000009</v>
      </c>
      <c r="DJ214" s="313">
        <f>25.621-263.942</f>
        <v>-238.321</v>
      </c>
      <c r="DK214" s="313">
        <v>-195.13399999999999</v>
      </c>
      <c r="DL214" s="313">
        <f>35.486-259.156</f>
        <v>-223.67000000000002</v>
      </c>
      <c r="DM214" s="313">
        <f>35.486-355.547</f>
        <v>-320.06100000000004</v>
      </c>
      <c r="DN214" s="82">
        <f>DO214-DM214</f>
        <v>-32.228999999999985</v>
      </c>
      <c r="DO214" s="313">
        <f>81.498-433.788</f>
        <v>-352.29</v>
      </c>
      <c r="DP214" s="313">
        <v>-83.793999999999997</v>
      </c>
      <c r="DQ214" s="313">
        <f>27.707-164.302</f>
        <v>-136.595</v>
      </c>
      <c r="DR214" s="313">
        <f>73.718-247.174</f>
        <v>-173.45600000000002</v>
      </c>
      <c r="DS214" s="82">
        <f>DT214-DR214</f>
        <v>17.820000000000022</v>
      </c>
      <c r="DT214" s="313">
        <f>175.21-330.846</f>
        <v>-155.636</v>
      </c>
      <c r="DU214" s="313">
        <f>-31.162-83.374</f>
        <v>-114.536</v>
      </c>
      <c r="DV214" s="313">
        <f>-31.162-167.288</f>
        <v>-198.45000000000002</v>
      </c>
      <c r="DW214" s="313">
        <f>1.571-253.796</f>
        <v>-252.22499999999999</v>
      </c>
      <c r="DX214" s="82">
        <f>DY214-DW214</f>
        <v>-45.601000000000028</v>
      </c>
      <c r="DY214" s="313">
        <f>38.755-336.581</f>
        <v>-297.82600000000002</v>
      </c>
      <c r="DZ214" s="313">
        <f>67.475-74.208</f>
        <v>-6.7330000000000041</v>
      </c>
      <c r="EA214" s="313">
        <f>82.475-161.312</f>
        <v>-78.837000000000018</v>
      </c>
      <c r="EB214" s="313">
        <f>158.08-245.291</f>
        <v>-87.210999999999984</v>
      </c>
      <c r="EC214" s="82">
        <f>ED214-EB214</f>
        <v>88.797999999999988</v>
      </c>
      <c r="ED214" s="313">
        <f>335.576-333.879-0.11</f>
        <v>1.5870000000000026</v>
      </c>
    </row>
    <row r="215" spans="1:134" x14ac:dyDescent="0.2">
      <c r="A215" s="220"/>
      <c r="B215" s="220"/>
      <c r="C215" s="70" t="s">
        <v>97</v>
      </c>
      <c r="D215" s="82"/>
      <c r="E215" s="136">
        <f>+CL215</f>
        <v>-22</v>
      </c>
      <c r="F215" s="135">
        <f t="shared" si="456"/>
        <v>-19</v>
      </c>
      <c r="G215" s="135">
        <f t="shared" si="456"/>
        <v>0</v>
      </c>
      <c r="H215" s="116">
        <f>+CP215-CN215</f>
        <v>84</v>
      </c>
      <c r="I215" s="223">
        <f t="shared" si="438"/>
        <v>43</v>
      </c>
      <c r="J215" s="136">
        <f>+CQ215</f>
        <v>-77</v>
      </c>
      <c r="K215" s="135">
        <f t="shared" si="457"/>
        <v>-7</v>
      </c>
      <c r="L215" s="135">
        <f t="shared" si="457"/>
        <v>0</v>
      </c>
      <c r="M215" s="116">
        <f>+CU215-CS215</f>
        <v>0</v>
      </c>
      <c r="N215" s="223">
        <f t="shared" si="440"/>
        <v>-84</v>
      </c>
      <c r="O215" s="136">
        <f>+CV215</f>
        <v>0</v>
      </c>
      <c r="P215" s="135">
        <f t="shared" si="458"/>
        <v>0</v>
      </c>
      <c r="Q215" s="135">
        <f t="shared" si="458"/>
        <v>0</v>
      </c>
      <c r="R215" s="116">
        <f>+CZ215-CX215</f>
        <v>0</v>
      </c>
      <c r="S215" s="223">
        <f t="shared" si="459"/>
        <v>0</v>
      </c>
      <c r="T215" s="136">
        <f>+DA215</f>
        <v>0</v>
      </c>
      <c r="U215" s="135">
        <f t="shared" si="460"/>
        <v>5</v>
      </c>
      <c r="V215" s="135">
        <f t="shared" si="460"/>
        <v>-5</v>
      </c>
      <c r="W215" s="116">
        <f>+DE215-DC215</f>
        <v>0</v>
      </c>
      <c r="X215" s="223">
        <f t="shared" si="461"/>
        <v>0</v>
      </c>
      <c r="Y215" s="136">
        <f>+DF215</f>
        <v>0</v>
      </c>
      <c r="Z215" s="135">
        <f t="shared" si="462"/>
        <v>0</v>
      </c>
      <c r="AA215" s="135">
        <f t="shared" si="462"/>
        <v>0</v>
      </c>
      <c r="AB215" s="116">
        <f>+DJ215-DH215</f>
        <v>0</v>
      </c>
      <c r="AC215" s="223">
        <f t="shared" si="463"/>
        <v>0</v>
      </c>
      <c r="AD215" s="136">
        <f>+DK215</f>
        <v>0</v>
      </c>
      <c r="AE215" s="135">
        <f t="shared" si="464"/>
        <v>0</v>
      </c>
      <c r="AF215" s="135">
        <f t="shared" si="464"/>
        <v>0</v>
      </c>
      <c r="AG215" s="116">
        <f>+DO215-DM215</f>
        <v>0</v>
      </c>
      <c r="AH215" s="223">
        <f t="shared" si="465"/>
        <v>0</v>
      </c>
      <c r="AI215" s="136">
        <f>+DP215</f>
        <v>0</v>
      </c>
      <c r="AJ215" s="135">
        <f t="shared" si="466"/>
        <v>0</v>
      </c>
      <c r="AK215" s="135">
        <f t="shared" si="466"/>
        <v>0</v>
      </c>
      <c r="AL215" s="116">
        <f>+DT215-DR215</f>
        <v>0</v>
      </c>
      <c r="AM215" s="223">
        <f t="shared" si="467"/>
        <v>0</v>
      </c>
      <c r="AN215" s="136">
        <f>+DU215</f>
        <v>0</v>
      </c>
      <c r="AO215" s="135">
        <f t="shared" si="468"/>
        <v>0</v>
      </c>
      <c r="AP215" s="135">
        <f t="shared" si="468"/>
        <v>0</v>
      </c>
      <c r="AQ215" s="116">
        <f>+DY215-DW215</f>
        <v>0</v>
      </c>
      <c r="AR215" s="223">
        <f t="shared" si="469"/>
        <v>0</v>
      </c>
      <c r="AS215" s="136">
        <f>+DZ215</f>
        <v>-0.11</v>
      </c>
      <c r="AT215" s="135">
        <f t="shared" si="470"/>
        <v>0</v>
      </c>
      <c r="AU215" s="135">
        <f t="shared" si="471"/>
        <v>0</v>
      </c>
      <c r="AV215" s="116">
        <f>+ED215-EB215</f>
        <v>0.11</v>
      </c>
      <c r="AW215" s="223">
        <f t="shared" si="472"/>
        <v>0</v>
      </c>
      <c r="AX215" s="136">
        <f>+BB215/4</f>
        <v>0</v>
      </c>
      <c r="AY215" s="135">
        <f>(BB215-SUM(AX215:AX215))/3</f>
        <v>0</v>
      </c>
      <c r="AZ215" s="135">
        <f>(BB215-SUM(AX215:AY215))/2</f>
        <v>0</v>
      </c>
      <c r="BA215" s="116">
        <f>(BB215-SUM(AX215:AZ215))/1</f>
        <v>0</v>
      </c>
      <c r="BB215" s="34">
        <v>0</v>
      </c>
      <c r="BC215" s="136">
        <f>+BG215/4</f>
        <v>0</v>
      </c>
      <c r="BD215" s="135">
        <f>(BG215-SUM(BC215:BC215))/3</f>
        <v>0</v>
      </c>
      <c r="BE215" s="135">
        <f>(BG215-SUM(BC215:BD215))/2</f>
        <v>0</v>
      </c>
      <c r="BF215" s="116">
        <f>(BG215-SUM(BC215:BE215))/1</f>
        <v>0</v>
      </c>
      <c r="BG215" s="34">
        <v>0</v>
      </c>
      <c r="BH215" s="136">
        <f>+BL215/4</f>
        <v>0</v>
      </c>
      <c r="BI215" s="135">
        <f>(BL215-SUM(BH215:BH215))/3</f>
        <v>0</v>
      </c>
      <c r="BJ215" s="135">
        <f>(BL215-SUM(BH215:BI215))/2</f>
        <v>0</v>
      </c>
      <c r="BK215" s="116">
        <f>(BL215-SUM(BH215:BJ215))/1</f>
        <v>0</v>
      </c>
      <c r="BL215" s="34">
        <v>0</v>
      </c>
      <c r="BM215" s="136">
        <f>+BQ215/4</f>
        <v>0</v>
      </c>
      <c r="BN215" s="135">
        <f>(BQ215-SUM(BM215:BM215))/3</f>
        <v>0</v>
      </c>
      <c r="BO215" s="135">
        <f>(BQ215-SUM(BM215:BN215))/2</f>
        <v>0</v>
      </c>
      <c r="BP215" s="116">
        <f>(BQ215-SUM(BM215:BO215))/1</f>
        <v>0</v>
      </c>
      <c r="BQ215" s="34">
        <v>0</v>
      </c>
      <c r="BR215" s="220"/>
      <c r="BS215" s="220"/>
      <c r="BT215" s="220"/>
      <c r="BU215" s="220"/>
      <c r="BV215" s="220"/>
      <c r="BW215" s="220"/>
      <c r="BX215" s="220"/>
      <c r="BY215" s="220"/>
      <c r="BZ215" s="220"/>
      <c r="CA215" s="220"/>
      <c r="CB215" s="220"/>
      <c r="CC215" s="220"/>
      <c r="CD215" s="220"/>
      <c r="CE215" s="220"/>
      <c r="CF215" s="220"/>
      <c r="CG215" s="220"/>
      <c r="CH215" s="220"/>
      <c r="CI215" s="220"/>
      <c r="CJ215" s="220"/>
      <c r="CK215" s="220"/>
      <c r="CL215" s="117">
        <v>-22</v>
      </c>
      <c r="CM215" s="117">
        <v>-41</v>
      </c>
      <c r="CN215" s="117">
        <v>-41</v>
      </c>
      <c r="CO215" s="82">
        <f>CP215-CN215</f>
        <v>84</v>
      </c>
      <c r="CP215" s="117">
        <v>43</v>
      </c>
      <c r="CQ215" s="117">
        <v>-77</v>
      </c>
      <c r="CR215" s="117">
        <v>-84</v>
      </c>
      <c r="CS215" s="117">
        <v>-84</v>
      </c>
      <c r="CT215" s="82">
        <f>CU215-CS215</f>
        <v>0</v>
      </c>
      <c r="CU215" s="117">
        <v>-84</v>
      </c>
      <c r="CV215" s="117">
        <v>0</v>
      </c>
      <c r="CW215" s="117">
        <v>0</v>
      </c>
      <c r="CX215" s="117">
        <f>203.8-203.8</f>
        <v>0</v>
      </c>
      <c r="CY215" s="82">
        <f>CZ215-CX215</f>
        <v>0</v>
      </c>
      <c r="CZ215" s="117">
        <v>0</v>
      </c>
      <c r="DA215" s="117">
        <v>0</v>
      </c>
      <c r="DB215" s="117">
        <f>19-14</f>
        <v>5</v>
      </c>
      <c r="DC215" s="117">
        <f>203.8-203.8</f>
        <v>0</v>
      </c>
      <c r="DD215" s="82">
        <f>DE215-DC215</f>
        <v>0</v>
      </c>
      <c r="DE215" s="117">
        <v>0</v>
      </c>
      <c r="DF215" s="117">
        <v>0</v>
      </c>
      <c r="DG215" s="117">
        <f>14-14</f>
        <v>0</v>
      </c>
      <c r="DH215" s="117">
        <f>203.8-203.8</f>
        <v>0</v>
      </c>
      <c r="DI215" s="82">
        <f>DJ215-DH215</f>
        <v>0</v>
      </c>
      <c r="DJ215" s="117">
        <v>0</v>
      </c>
      <c r="DK215" s="117">
        <v>0</v>
      </c>
      <c r="DL215" s="117">
        <f>14-14</f>
        <v>0</v>
      </c>
      <c r="DM215" s="117">
        <v>0</v>
      </c>
      <c r="DN215" s="82">
        <f>DO215-DM215</f>
        <v>0</v>
      </c>
      <c r="DO215" s="117">
        <v>0</v>
      </c>
      <c r="DP215" s="117"/>
      <c r="DQ215" s="117"/>
      <c r="DR215" s="117">
        <v>0</v>
      </c>
      <c r="DS215" s="82">
        <f>DT215-DR215</f>
        <v>0</v>
      </c>
      <c r="DT215" s="117">
        <v>0</v>
      </c>
      <c r="DU215" s="117"/>
      <c r="DV215" s="117"/>
      <c r="DW215" s="117"/>
      <c r="DX215" s="82">
        <f>DY215-DW215</f>
        <v>0</v>
      </c>
      <c r="DY215" s="117">
        <v>0</v>
      </c>
      <c r="DZ215" s="117">
        <v>-0.11</v>
      </c>
      <c r="EA215" s="117">
        <v>-0.11</v>
      </c>
      <c r="EB215" s="117">
        <v>-0.11</v>
      </c>
      <c r="EC215" s="82">
        <f>ED215-EB215</f>
        <v>0.11</v>
      </c>
      <c r="ED215" s="117">
        <v>0</v>
      </c>
    </row>
    <row r="216" spans="1:134" x14ac:dyDescent="0.2">
      <c r="A216" s="220"/>
      <c r="B216" s="220"/>
      <c r="C216" s="141" t="s">
        <v>192</v>
      </c>
      <c r="D216" s="82"/>
      <c r="E216" s="121">
        <f>SUM(E211:E215)</f>
        <v>-109.79400000000001</v>
      </c>
      <c r="F216" s="122">
        <f>SUM(F211:F215)</f>
        <v>329.06599999999997</v>
      </c>
      <c r="G216" s="122">
        <f>SUM(G211:G215)</f>
        <v>-265.45400000000001</v>
      </c>
      <c r="H216" s="123">
        <f>SUM(H211:H215)</f>
        <v>181.37700000000001</v>
      </c>
      <c r="I216" s="127">
        <f t="shared" si="438"/>
        <v>135.19499999999999</v>
      </c>
      <c r="J216" s="121">
        <f>SUM(J211:J215)</f>
        <v>-201.822</v>
      </c>
      <c r="K216" s="122">
        <f>SUM(K211:K215)</f>
        <v>28.135999999999996</v>
      </c>
      <c r="L216" s="122">
        <f>SUM(L211:L215)</f>
        <v>-66.728999999999985</v>
      </c>
      <c r="M216" s="123">
        <f>SUM(M211:M215)</f>
        <v>720.43799999999999</v>
      </c>
      <c r="N216" s="127">
        <f t="shared" si="440"/>
        <v>480.02299999999991</v>
      </c>
      <c r="O216" s="121">
        <f>SUM(O211:O215)</f>
        <v>-219.22800000000001</v>
      </c>
      <c r="P216" s="122">
        <f>SUM(P211:P215)</f>
        <v>40.00200000000001</v>
      </c>
      <c r="Q216" s="122">
        <f>SUM(Q211:Q215)</f>
        <v>30.013000000000034</v>
      </c>
      <c r="R216" s="123">
        <f>SUM(R211:R215)</f>
        <v>-83.228999999999985</v>
      </c>
      <c r="S216" s="127">
        <f t="shared" si="459"/>
        <v>-232.44199999999995</v>
      </c>
      <c r="T216" s="121">
        <f>SUM(T211:T215)</f>
        <v>-134.00399999999999</v>
      </c>
      <c r="U216" s="122">
        <f>SUM(U211:U215)</f>
        <v>38.122</v>
      </c>
      <c r="V216" s="122">
        <f>SUM(V211:V215)</f>
        <v>714.50999999999988</v>
      </c>
      <c r="W216" s="123">
        <f>SUM(W211:W215)</f>
        <v>-490.6869999999999</v>
      </c>
      <c r="X216" s="127">
        <f t="shared" si="461"/>
        <v>127.94100000000003</v>
      </c>
      <c r="Y216" s="121">
        <f>SUM(Y211:Y215)</f>
        <v>22.36099999999999</v>
      </c>
      <c r="Z216" s="122">
        <f>SUM(Z211:Z215)</f>
        <v>-66.998999999999995</v>
      </c>
      <c r="AA216" s="122">
        <f>SUM(AA211:AA215)</f>
        <v>-61.44599999999997</v>
      </c>
      <c r="AB216" s="123">
        <f>SUM(AB211:AB215)</f>
        <v>-43.924000000000035</v>
      </c>
      <c r="AC216" s="127">
        <f t="shared" si="463"/>
        <v>-150.00800000000001</v>
      </c>
      <c r="AD216" s="121">
        <f>SUM(AD211:AD215)</f>
        <v>100.91100000000003</v>
      </c>
      <c r="AE216" s="122">
        <f>SUM(AE211:AE215)</f>
        <v>-47.139000000000038</v>
      </c>
      <c r="AF216" s="122">
        <f>SUM(AF211:AF215)</f>
        <v>-89.232000000000028</v>
      </c>
      <c r="AG216" s="123">
        <f>SUM(AG211:AG215)</f>
        <v>85.768000000000029</v>
      </c>
      <c r="AH216" s="127">
        <f t="shared" si="465"/>
        <v>50.307999999999993</v>
      </c>
      <c r="AI216" s="121">
        <f>SUM(AI211:AI215)</f>
        <v>-323.79399999999998</v>
      </c>
      <c r="AJ216" s="122">
        <f>SUM(AJ211:AJ215)</f>
        <v>105.39200000000001</v>
      </c>
      <c r="AK216" s="122">
        <f>SUM(AK211:AK215)</f>
        <v>-90.228000000000037</v>
      </c>
      <c r="AL216" s="123">
        <f>SUM(AL211:AL215)</f>
        <v>31.745000000000033</v>
      </c>
      <c r="AM216" s="127">
        <f t="shared" si="467"/>
        <v>-276.88499999999999</v>
      </c>
      <c r="AN216" s="121">
        <f>SUM(AN211:AN215)</f>
        <v>-128.536</v>
      </c>
      <c r="AO216" s="122">
        <f>SUM(AO211:AO215)</f>
        <v>71.415999999999997</v>
      </c>
      <c r="AP216" s="122">
        <f>SUM(AP211:AP215)</f>
        <v>-43.078000000000003</v>
      </c>
      <c r="AQ216" s="123">
        <f>SUM(AQ211:AQ215)</f>
        <v>32.378999999999991</v>
      </c>
      <c r="AR216" s="127">
        <f t="shared" si="469"/>
        <v>-67.819000000000017</v>
      </c>
      <c r="AS216" s="121">
        <f>SUM(AS211:AS215)</f>
        <v>-104.843</v>
      </c>
      <c r="AT216" s="122">
        <f>SUM(AT211:AT215)</f>
        <v>291.50699999999995</v>
      </c>
      <c r="AU216" s="122">
        <f>SUM(AU211:AU215)</f>
        <v>-9.1899999999999409</v>
      </c>
      <c r="AV216" s="123">
        <f>SUM(AV211:AV215)</f>
        <v>88.903999999999968</v>
      </c>
      <c r="AW216" s="127">
        <f t="shared" si="472"/>
        <v>266.37799999999999</v>
      </c>
      <c r="AX216" s="121">
        <f t="shared" ref="AX216:BG216" si="478">SUM(AX211:AX215)</f>
        <v>-62.5</v>
      </c>
      <c r="AY216" s="122">
        <f t="shared" si="478"/>
        <v>-62.5</v>
      </c>
      <c r="AZ216" s="122">
        <f t="shared" si="478"/>
        <v>387.5</v>
      </c>
      <c r="BA216" s="123">
        <f t="shared" si="478"/>
        <v>-62.5</v>
      </c>
      <c r="BB216" s="86">
        <f t="shared" si="478"/>
        <v>200</v>
      </c>
      <c r="BC216" s="121">
        <f t="shared" si="478"/>
        <v>-100</v>
      </c>
      <c r="BD216" s="122">
        <f t="shared" si="478"/>
        <v>-300</v>
      </c>
      <c r="BE216" s="122">
        <f t="shared" si="478"/>
        <v>-100</v>
      </c>
      <c r="BF216" s="123">
        <f t="shared" si="478"/>
        <v>-100</v>
      </c>
      <c r="BG216" s="86">
        <f t="shared" si="478"/>
        <v>-600</v>
      </c>
      <c r="BH216" s="121">
        <f t="shared" ref="BH216:BQ216" si="479">SUM(BH211:BH215)</f>
        <v>-87.5</v>
      </c>
      <c r="BI216" s="122">
        <f t="shared" si="479"/>
        <v>312.5</v>
      </c>
      <c r="BJ216" s="122">
        <f t="shared" si="479"/>
        <v>-87.5</v>
      </c>
      <c r="BK216" s="123">
        <f t="shared" si="479"/>
        <v>-487.5</v>
      </c>
      <c r="BL216" s="86">
        <f t="shared" si="479"/>
        <v>-350</v>
      </c>
      <c r="BM216" s="121">
        <f t="shared" si="479"/>
        <v>-75</v>
      </c>
      <c r="BN216" s="122">
        <f t="shared" si="479"/>
        <v>325</v>
      </c>
      <c r="BO216" s="122">
        <f t="shared" si="479"/>
        <v>-75</v>
      </c>
      <c r="BP216" s="123">
        <f t="shared" si="479"/>
        <v>-75</v>
      </c>
      <c r="BQ216" s="86">
        <f t="shared" si="479"/>
        <v>100</v>
      </c>
      <c r="BR216" s="220"/>
      <c r="BS216" s="220"/>
      <c r="BT216" s="220"/>
      <c r="BU216" s="220"/>
      <c r="BV216" s="220"/>
      <c r="BW216" s="220"/>
      <c r="BX216" s="220"/>
      <c r="BY216" s="220"/>
      <c r="BZ216" s="220"/>
      <c r="CA216" s="220"/>
      <c r="CB216" s="220"/>
      <c r="CC216" s="220"/>
      <c r="CD216" s="220"/>
      <c r="CE216" s="220"/>
      <c r="CF216" s="220"/>
      <c r="CG216" s="220"/>
      <c r="CH216" s="220"/>
      <c r="CI216" s="220"/>
      <c r="CJ216" s="220"/>
      <c r="CK216" s="220"/>
      <c r="CL216" s="86">
        <f t="shared" ref="CL216:CX216" si="480">SUM(CL211:CL215)</f>
        <v>-109.79400000000001</v>
      </c>
      <c r="CM216" s="86">
        <f t="shared" si="480"/>
        <v>219.27200000000005</v>
      </c>
      <c r="CN216" s="86">
        <f t="shared" si="480"/>
        <v>-46.182000000000016</v>
      </c>
      <c r="CO216" s="86">
        <f t="shared" si="480"/>
        <v>181.37700000000001</v>
      </c>
      <c r="CP216" s="86">
        <f t="shared" si="480"/>
        <v>135.19499999999999</v>
      </c>
      <c r="CQ216" s="86">
        <f t="shared" si="480"/>
        <v>-201.822</v>
      </c>
      <c r="CR216" s="86">
        <f t="shared" si="480"/>
        <v>-173.68600000000001</v>
      </c>
      <c r="CS216" s="86">
        <f t="shared" si="480"/>
        <v>-240.41499999999999</v>
      </c>
      <c r="CT216" s="86">
        <f t="shared" si="480"/>
        <v>720.43799999999999</v>
      </c>
      <c r="CU216" s="86">
        <f t="shared" si="480"/>
        <v>480.02299999999991</v>
      </c>
      <c r="CV216" s="86">
        <f t="shared" si="480"/>
        <v>-219.22800000000001</v>
      </c>
      <c r="CW216" s="86">
        <f t="shared" si="480"/>
        <v>-179.226</v>
      </c>
      <c r="CX216" s="86">
        <f t="shared" si="480"/>
        <v>-149.21299999999997</v>
      </c>
      <c r="CY216" s="86">
        <f t="shared" ref="CY216:DH216" si="481">SUM(CY211:CY215)</f>
        <v>-83.228999999999985</v>
      </c>
      <c r="CZ216" s="86">
        <f t="shared" si="481"/>
        <v>-232.44199999999995</v>
      </c>
      <c r="DA216" s="86">
        <f t="shared" si="481"/>
        <v>-134.00399999999999</v>
      </c>
      <c r="DB216" s="86">
        <f t="shared" si="481"/>
        <v>-95.881999999999991</v>
      </c>
      <c r="DC216" s="86">
        <f t="shared" si="481"/>
        <v>618.62799999999993</v>
      </c>
      <c r="DD216" s="86">
        <f t="shared" si="481"/>
        <v>-490.6869999999999</v>
      </c>
      <c r="DE216" s="86">
        <f t="shared" si="481"/>
        <v>127.94100000000003</v>
      </c>
      <c r="DF216" s="86">
        <f t="shared" si="481"/>
        <v>22.36099999999999</v>
      </c>
      <c r="DG216" s="86">
        <f>SUM(DG211:DG215)</f>
        <v>-44.638000000000005</v>
      </c>
      <c r="DH216" s="86">
        <f t="shared" si="481"/>
        <v>-106.08399999999997</v>
      </c>
      <c r="DI216" s="86">
        <f t="shared" ref="DI216:DQ216" si="482">SUM(DI211:DI215)</f>
        <v>-43.924000000000035</v>
      </c>
      <c r="DJ216" s="86">
        <f t="shared" si="482"/>
        <v>-150.00800000000001</v>
      </c>
      <c r="DK216" s="86">
        <f t="shared" si="482"/>
        <v>100.91100000000003</v>
      </c>
      <c r="DL216" s="86">
        <f t="shared" si="482"/>
        <v>53.771999999999991</v>
      </c>
      <c r="DM216" s="86">
        <f t="shared" si="482"/>
        <v>-35.460000000000036</v>
      </c>
      <c r="DN216" s="86">
        <f t="shared" si="482"/>
        <v>85.768000000000029</v>
      </c>
      <c r="DO216" s="86">
        <f t="shared" si="482"/>
        <v>50.307999999999993</v>
      </c>
      <c r="DP216" s="86">
        <f t="shared" si="482"/>
        <v>-323.79399999999998</v>
      </c>
      <c r="DQ216" s="86">
        <f t="shared" si="482"/>
        <v>-218.40199999999999</v>
      </c>
      <c r="DR216" s="86">
        <f t="shared" ref="DR216:DW216" si="483">SUM(DR211:DR215)</f>
        <v>-308.63</v>
      </c>
      <c r="DS216" s="86">
        <f t="shared" si="483"/>
        <v>31.745000000000033</v>
      </c>
      <c r="DT216" s="86">
        <f t="shared" si="483"/>
        <v>-276.88499999999999</v>
      </c>
      <c r="DU216" s="86">
        <f t="shared" si="483"/>
        <v>-128.536</v>
      </c>
      <c r="DV216" s="86">
        <f t="shared" si="483"/>
        <v>-57.120000000000005</v>
      </c>
      <c r="DW216" s="86">
        <f t="shared" si="483"/>
        <v>-100.19800000000001</v>
      </c>
      <c r="DX216" s="86">
        <f t="shared" ref="DX216:ED216" si="484">SUM(DX211:DX215)</f>
        <v>32.378999999999991</v>
      </c>
      <c r="DY216" s="86">
        <f t="shared" si="484"/>
        <v>-67.819000000000017</v>
      </c>
      <c r="DZ216" s="86">
        <f t="shared" si="484"/>
        <v>-104.843</v>
      </c>
      <c r="EA216" s="86">
        <f t="shared" si="484"/>
        <v>186.66399999999996</v>
      </c>
      <c r="EB216" s="86">
        <f t="shared" si="484"/>
        <v>177.47400000000002</v>
      </c>
      <c r="EC216" s="86">
        <f t="shared" si="484"/>
        <v>88.903999999999968</v>
      </c>
      <c r="ED216" s="86">
        <f t="shared" si="484"/>
        <v>266.37799999999999</v>
      </c>
    </row>
    <row r="217" spans="1:134" x14ac:dyDescent="0.2">
      <c r="A217" s="220"/>
      <c r="B217" s="220"/>
      <c r="C217" s="70"/>
      <c r="D217" s="82"/>
      <c r="E217" s="136"/>
      <c r="F217" s="137"/>
      <c r="G217" s="137"/>
      <c r="H217" s="116"/>
      <c r="I217" s="223"/>
      <c r="J217" s="136"/>
      <c r="K217" s="137"/>
      <c r="L217" s="137"/>
      <c r="M217" s="116"/>
      <c r="N217" s="223"/>
      <c r="O217" s="136"/>
      <c r="P217" s="137"/>
      <c r="Q217" s="137"/>
      <c r="R217" s="116"/>
      <c r="S217" s="223"/>
      <c r="T217" s="136"/>
      <c r="U217" s="137"/>
      <c r="V217" s="137"/>
      <c r="W217" s="116"/>
      <c r="X217" s="223"/>
      <c r="Y217" s="136"/>
      <c r="Z217" s="137"/>
      <c r="AA217" s="137"/>
      <c r="AB217" s="116"/>
      <c r="AC217" s="223"/>
      <c r="AD217" s="136"/>
      <c r="AE217" s="137"/>
      <c r="AF217" s="137"/>
      <c r="AG217" s="116"/>
      <c r="AH217" s="223"/>
      <c r="AI217" s="136"/>
      <c r="AJ217" s="137"/>
      <c r="AK217" s="137"/>
      <c r="AL217" s="116"/>
      <c r="AM217" s="223"/>
      <c r="AN217" s="136"/>
      <c r="AO217" s="137"/>
      <c r="AP217" s="137"/>
      <c r="AQ217" s="116"/>
      <c r="AR217" s="223"/>
      <c r="AS217" s="136"/>
      <c r="AT217" s="137"/>
      <c r="AU217" s="137"/>
      <c r="AV217" s="116"/>
      <c r="AW217" s="223"/>
      <c r="AX217" s="136"/>
      <c r="AY217" s="137"/>
      <c r="AZ217" s="137"/>
      <c r="BA217" s="116"/>
      <c r="BB217" s="220"/>
      <c r="BC217" s="136"/>
      <c r="BD217" s="137"/>
      <c r="BE217" s="137"/>
      <c r="BF217" s="116"/>
      <c r="BG217" s="220"/>
      <c r="BH217" s="136"/>
      <c r="BI217" s="137"/>
      <c r="BJ217" s="137"/>
      <c r="BK217" s="116"/>
      <c r="BL217" s="220"/>
      <c r="BM217" s="136"/>
      <c r="BN217" s="137"/>
      <c r="BO217" s="137"/>
      <c r="BP217" s="116"/>
      <c r="BQ217" s="220"/>
      <c r="BR217" s="220"/>
      <c r="BS217" s="220"/>
      <c r="BT217" s="220"/>
      <c r="BU217" s="220"/>
      <c r="BV217" s="220"/>
      <c r="BW217" s="220"/>
      <c r="BX217" s="220"/>
      <c r="BY217" s="220"/>
      <c r="BZ217" s="220"/>
      <c r="CA217" s="220"/>
      <c r="CB217" s="220"/>
      <c r="CC217" s="220"/>
      <c r="CD217" s="220"/>
      <c r="CE217" s="220"/>
      <c r="CF217" s="220"/>
      <c r="CG217" s="220"/>
      <c r="CH217" s="220"/>
      <c r="CI217" s="220"/>
      <c r="CJ217" s="220"/>
      <c r="CK217" s="220"/>
      <c r="CL217" s="85"/>
      <c r="CM217" s="85"/>
      <c r="CN217" s="85"/>
      <c r="CO217" s="85"/>
      <c r="CP217" s="85"/>
      <c r="CQ217" s="85"/>
      <c r="CR217" s="85"/>
      <c r="CS217" s="85"/>
      <c r="CT217" s="85"/>
      <c r="CU217" s="85"/>
      <c r="CV217" s="85"/>
      <c r="CW217" s="85"/>
      <c r="CX217" s="85"/>
      <c r="CY217" s="85"/>
      <c r="CZ217" s="85"/>
      <c r="DA217" s="85"/>
      <c r="DB217" s="85"/>
      <c r="DC217" s="85"/>
      <c r="DD217" s="85"/>
      <c r="DE217" s="85"/>
      <c r="DF217" s="85"/>
      <c r="DG217" s="85"/>
      <c r="DH217" s="85"/>
      <c r="DI217" s="85"/>
      <c r="DJ217" s="85"/>
      <c r="DK217" s="85"/>
      <c r="DL217" s="85"/>
      <c r="DM217" s="85"/>
      <c r="DN217" s="85"/>
      <c r="DO217" s="85"/>
      <c r="DP217" s="85"/>
      <c r="DQ217" s="85"/>
      <c r="DR217" s="85"/>
      <c r="DS217" s="85"/>
      <c r="DT217" s="85"/>
      <c r="DU217" s="85"/>
      <c r="DV217" s="85"/>
      <c r="DW217" s="85"/>
      <c r="DX217" s="85"/>
      <c r="DY217" s="85"/>
      <c r="DZ217" s="85"/>
      <c r="EA217" s="85"/>
      <c r="EC217" s="85"/>
      <c r="ED217" s="85"/>
    </row>
    <row r="218" spans="1:134" ht="12.75" customHeight="1" x14ac:dyDescent="0.2">
      <c r="A218" s="220"/>
      <c r="B218" s="220"/>
      <c r="C218" s="141" t="s">
        <v>193</v>
      </c>
      <c r="D218" s="82"/>
      <c r="E218" s="121">
        <f>+E204+E209+E216</f>
        <v>-1.6689999999999685</v>
      </c>
      <c r="F218" s="122">
        <f>+F204+F209+F216</f>
        <v>213.16899999999998</v>
      </c>
      <c r="G218" s="122">
        <f>+G204+G209+G216</f>
        <v>-203.69200000000001</v>
      </c>
      <c r="H218" s="123">
        <f>+H204+H209+H216</f>
        <v>14.422999999999973</v>
      </c>
      <c r="I218" s="127">
        <f t="shared" si="438"/>
        <v>22.230999999999938</v>
      </c>
      <c r="J218" s="121">
        <f>+J204+J209+J216</f>
        <v>-25.311999999999983</v>
      </c>
      <c r="K218" s="122">
        <f>+K204+K209+K216</f>
        <v>0.19800000000006435</v>
      </c>
      <c r="L218" s="122">
        <f>+L204+L209+L216</f>
        <v>26.918000000000063</v>
      </c>
      <c r="M218" s="123">
        <f>+M204+M209+M216</f>
        <v>-2.3210000000000264</v>
      </c>
      <c r="N218" s="127">
        <f t="shared" si="440"/>
        <v>-0.51700000000016644</v>
      </c>
      <c r="O218" s="121">
        <f>+O204+O209+O216</f>
        <v>-8.2340000000000373</v>
      </c>
      <c r="P218" s="122">
        <f>+P204+P209+P216</f>
        <v>-3.2930000000000632</v>
      </c>
      <c r="Q218" s="122">
        <f>+Q204+Q209+Q216</f>
        <v>68.124000000000024</v>
      </c>
      <c r="R218" s="123">
        <f>+R204+R209+R216</f>
        <v>-85.746000000000009</v>
      </c>
      <c r="S218" s="127">
        <f>CZ218</f>
        <v>-29.149000000000058</v>
      </c>
      <c r="T218" s="121">
        <f>+T204+T209+T216</f>
        <v>2.5940000000000509</v>
      </c>
      <c r="U218" s="122">
        <f>+U204+U209+U216</f>
        <v>-1.1269999999999953</v>
      </c>
      <c r="V218" s="122">
        <f>+V204+V209+V216</f>
        <v>628.68899999999985</v>
      </c>
      <c r="W218" s="123">
        <f>+W204+W209+W216</f>
        <v>-628.76899999999989</v>
      </c>
      <c r="X218" s="127">
        <f>DE218</f>
        <v>1.3870000000000573</v>
      </c>
      <c r="Y218" s="121">
        <f>+Y204+Y209+Y216</f>
        <v>13.571000000000026</v>
      </c>
      <c r="Z218" s="122">
        <f>+Z204+Z209+Z216</f>
        <v>-14.864000000000004</v>
      </c>
      <c r="AA218" s="122">
        <f>+AA204+AA209+AA216</f>
        <v>11.588999999999999</v>
      </c>
      <c r="AB218" s="123">
        <f>+AB204+AB209+AB216</f>
        <v>5.6429999999999723</v>
      </c>
      <c r="AC218" s="127">
        <f>DJ218</f>
        <v>15.938999999999879</v>
      </c>
      <c r="AD218" s="121">
        <f>+AD204+AD209+AD216</f>
        <v>-2.9689999999999657</v>
      </c>
      <c r="AE218" s="122">
        <f>+AE204+AE209+AE216</f>
        <v>-11.668999999999983</v>
      </c>
      <c r="AF218" s="122">
        <f>+AF204+AF209+AF216</f>
        <v>4.1829999999999927</v>
      </c>
      <c r="AG218" s="123">
        <f>+AG204+AG209+AG216</f>
        <v>-2.9989999999999668</v>
      </c>
      <c r="AH218" s="127">
        <f>DO218</f>
        <v>-13.453999999999837</v>
      </c>
      <c r="AI218" s="121">
        <f>+AI204+AI209+AI216</f>
        <v>-4.5419999999998595</v>
      </c>
      <c r="AJ218" s="122">
        <f>+AJ204+AJ209+AJ216</f>
        <v>1.4019999999999158</v>
      </c>
      <c r="AK218" s="122">
        <f>+AK204+AK209+AK216</f>
        <v>30.214000000000055</v>
      </c>
      <c r="AL218" s="123">
        <f>+AL204+AL209+AL216</f>
        <v>-31.123999999999938</v>
      </c>
      <c r="AM218" s="127">
        <f>DT218</f>
        <v>-4.0499999999998408</v>
      </c>
      <c r="AN218" s="121">
        <f>+AN204+AN209+AN216</f>
        <v>1.7299999999999613</v>
      </c>
      <c r="AO218" s="122">
        <f>+AO204+AO209+AO216</f>
        <v>-0.99899999999999523</v>
      </c>
      <c r="AP218" s="122">
        <f>+AP204+AP209+AP216</f>
        <v>3.0289999999999111</v>
      </c>
      <c r="AQ218" s="123">
        <f>+AQ204+AQ209+AQ216</f>
        <v>-1.4189999999998975</v>
      </c>
      <c r="AR218" s="127">
        <f>DY218</f>
        <v>2.341000000000065</v>
      </c>
      <c r="AS218" s="121">
        <f>+AS204+AS209+AS216</f>
        <v>0.35899999999999466</v>
      </c>
      <c r="AT218" s="122">
        <f>+AT204+AT209+AT216</f>
        <v>-1.9640000000000555</v>
      </c>
      <c r="AU218" s="122">
        <f>+AU204+AU209+AU216</f>
        <v>55.163000000000181</v>
      </c>
      <c r="AV218" s="123">
        <f>+AV204+AV209+AV216</f>
        <v>-51.970999999999975</v>
      </c>
      <c r="AW218" s="127">
        <f>ED218</f>
        <v>1.5870000000000459</v>
      </c>
      <c r="AX218" s="121">
        <f t="shared" ref="AX218:BG218" si="485">+AX204+AX209+AX216</f>
        <v>-50.663962080171643</v>
      </c>
      <c r="AY218" s="122">
        <f t="shared" si="485"/>
        <v>-83.838605406432521</v>
      </c>
      <c r="AZ218" s="122">
        <f t="shared" si="485"/>
        <v>472.56057458421952</v>
      </c>
      <c r="BA218" s="123">
        <f t="shared" si="485"/>
        <v>-105.81923741085976</v>
      </c>
      <c r="BB218" s="86">
        <f t="shared" si="485"/>
        <v>232.23876968675563</v>
      </c>
      <c r="BC218" s="121">
        <f t="shared" si="485"/>
        <v>-44.629590361487629</v>
      </c>
      <c r="BD218" s="122">
        <f t="shared" si="485"/>
        <v>-282.58881384406675</v>
      </c>
      <c r="BE218" s="122">
        <f t="shared" si="485"/>
        <v>31.094260531960487</v>
      </c>
      <c r="BF218" s="123">
        <f t="shared" si="485"/>
        <v>-98.269938096014982</v>
      </c>
      <c r="BG218" s="86">
        <f t="shared" si="485"/>
        <v>-394.39408176960899</v>
      </c>
      <c r="BH218" s="121">
        <f t="shared" ref="BH218:BQ218" si="486">+BH204+BH209+BH216</f>
        <v>4.844719988017431</v>
      </c>
      <c r="BI218" s="122">
        <f t="shared" si="486"/>
        <v>357.83590020005147</v>
      </c>
      <c r="BJ218" s="122">
        <f t="shared" si="486"/>
        <v>70.675542550736253</v>
      </c>
      <c r="BK218" s="123">
        <f t="shared" si="486"/>
        <v>-454.86779977302831</v>
      </c>
      <c r="BL218" s="86">
        <f t="shared" si="486"/>
        <v>-21.511637034223099</v>
      </c>
      <c r="BM218" s="121">
        <f t="shared" si="486"/>
        <v>-13.788992545896861</v>
      </c>
      <c r="BN218" s="122">
        <f t="shared" si="486"/>
        <v>331.75809908883542</v>
      </c>
      <c r="BO218" s="122">
        <f t="shared" si="486"/>
        <v>46.738727771728634</v>
      </c>
      <c r="BP218" s="123">
        <f t="shared" si="486"/>
        <v>-77.69709919407552</v>
      </c>
      <c r="BQ218" s="86">
        <f t="shared" si="486"/>
        <v>287.01073512059156</v>
      </c>
      <c r="BR218" s="220"/>
      <c r="BS218" s="220"/>
      <c r="BT218" s="220"/>
      <c r="BU218" s="220"/>
      <c r="BV218" s="220"/>
      <c r="BW218" s="220"/>
      <c r="BX218" s="220"/>
      <c r="BY218" s="220"/>
      <c r="BZ218" s="220"/>
      <c r="CA218" s="220"/>
      <c r="CB218" s="220"/>
      <c r="CC218" s="220"/>
      <c r="CD218" s="220"/>
      <c r="CE218" s="220"/>
      <c r="CF218" s="220"/>
      <c r="CG218" s="220"/>
      <c r="CH218" s="220"/>
      <c r="CI218" s="220"/>
      <c r="CJ218" s="220"/>
      <c r="CK218" s="220"/>
      <c r="CL218" s="86">
        <f t="shared" ref="CL218:CX218" si="487">CL204+CL209+CL216</f>
        <v>-1.6689999999999685</v>
      </c>
      <c r="CM218" s="86">
        <f t="shared" si="487"/>
        <v>211.50000000000006</v>
      </c>
      <c r="CN218" s="86">
        <f t="shared" si="487"/>
        <v>7.8079999999999927</v>
      </c>
      <c r="CO218" s="86">
        <f t="shared" si="487"/>
        <v>14.422999999999973</v>
      </c>
      <c r="CP218" s="86">
        <f t="shared" si="487"/>
        <v>22.230999999999938</v>
      </c>
      <c r="CQ218" s="86">
        <f t="shared" si="487"/>
        <v>-25.311999999999983</v>
      </c>
      <c r="CR218" s="86">
        <f t="shared" si="487"/>
        <v>-25.114000000000004</v>
      </c>
      <c r="CS218" s="86">
        <f t="shared" si="487"/>
        <v>1.8039999999999452</v>
      </c>
      <c r="CT218" s="86">
        <f t="shared" si="487"/>
        <v>-2.3210000000000264</v>
      </c>
      <c r="CU218" s="86">
        <f t="shared" si="487"/>
        <v>-0.51700000000016644</v>
      </c>
      <c r="CV218" s="86">
        <f t="shared" si="487"/>
        <v>-8.2340000000000373</v>
      </c>
      <c r="CW218" s="86">
        <f t="shared" si="487"/>
        <v>-11.526999999999987</v>
      </c>
      <c r="CX218" s="86">
        <f t="shared" si="487"/>
        <v>56.59699999999998</v>
      </c>
      <c r="CY218" s="86">
        <f t="shared" ref="CY218:DF218" si="488">CY204+CY209+CY216</f>
        <v>-85.746000000000009</v>
      </c>
      <c r="CZ218" s="86">
        <f t="shared" si="488"/>
        <v>-29.149000000000058</v>
      </c>
      <c r="DA218" s="86">
        <f t="shared" si="488"/>
        <v>2.5940000000000509</v>
      </c>
      <c r="DB218" s="86">
        <f t="shared" si="488"/>
        <v>1.4670000000000556</v>
      </c>
      <c r="DC218" s="86">
        <f t="shared" si="488"/>
        <v>630.15599999999995</v>
      </c>
      <c r="DD218" s="86">
        <f t="shared" si="488"/>
        <v>-628.76899999999989</v>
      </c>
      <c r="DE218" s="86">
        <f t="shared" si="488"/>
        <v>1.3870000000000573</v>
      </c>
      <c r="DF218" s="86">
        <f t="shared" si="488"/>
        <v>13.571000000000026</v>
      </c>
      <c r="DG218" s="86">
        <f t="shared" ref="DG218:DM218" si="489">DG204+DG209+DG216</f>
        <v>-1.2930000000000916</v>
      </c>
      <c r="DH218" s="86">
        <f t="shared" si="489"/>
        <v>10.295999999999907</v>
      </c>
      <c r="DI218" s="86">
        <f t="shared" si="489"/>
        <v>5.6429999999999723</v>
      </c>
      <c r="DJ218" s="86">
        <f t="shared" si="489"/>
        <v>15.938999999999879</v>
      </c>
      <c r="DK218" s="86">
        <f t="shared" si="489"/>
        <v>-2.9689999999999657</v>
      </c>
      <c r="DL218" s="86">
        <f t="shared" si="489"/>
        <v>-14.638000000000034</v>
      </c>
      <c r="DM218" s="86">
        <f t="shared" si="489"/>
        <v>-10.455000000000041</v>
      </c>
      <c r="DN218" s="86">
        <f t="shared" ref="DN218:DT218" si="490">DN204+DN209+DN216</f>
        <v>-2.9989999999999668</v>
      </c>
      <c r="DO218" s="86">
        <f t="shared" si="490"/>
        <v>-13.453999999999837</v>
      </c>
      <c r="DP218" s="86">
        <f t="shared" si="490"/>
        <v>-4.5419999999998595</v>
      </c>
      <c r="DQ218" s="86">
        <f t="shared" si="490"/>
        <v>-3.1399999999999864</v>
      </c>
      <c r="DR218" s="86">
        <f t="shared" si="490"/>
        <v>27.074000000000069</v>
      </c>
      <c r="DS218" s="86">
        <f t="shared" si="490"/>
        <v>-31.123999999999938</v>
      </c>
      <c r="DT218" s="86">
        <f t="shared" si="490"/>
        <v>-4.0499999999998408</v>
      </c>
      <c r="DU218" s="86">
        <f t="shared" ref="DU218:DZ218" si="491">DU204+DU209+DU216</f>
        <v>1.7299999999999613</v>
      </c>
      <c r="DV218" s="86">
        <f t="shared" si="491"/>
        <v>0.73099999999999454</v>
      </c>
      <c r="DW218" s="86">
        <f t="shared" si="491"/>
        <v>3.7599999999998488</v>
      </c>
      <c r="DX218" s="86">
        <f t="shared" si="491"/>
        <v>-1.4189999999998975</v>
      </c>
      <c r="DY218" s="86">
        <f t="shared" si="491"/>
        <v>2.341000000000065</v>
      </c>
      <c r="DZ218" s="86">
        <f t="shared" si="491"/>
        <v>0.35899999999999466</v>
      </c>
      <c r="EA218" s="86">
        <f>EA204+EA209+EA216</f>
        <v>-1.6050000000001603</v>
      </c>
      <c r="EB218" s="86">
        <f>EB204+EB209+EB216</f>
        <v>53.558000000000192</v>
      </c>
      <c r="EC218" s="86">
        <f t="shared" ref="EC218:ED218" si="492">EC204+EC209+EC216</f>
        <v>-51.970999999999975</v>
      </c>
      <c r="ED218" s="86">
        <f t="shared" si="492"/>
        <v>1.5870000000000459</v>
      </c>
    </row>
    <row r="219" spans="1:134" ht="12.75" customHeight="1" x14ac:dyDescent="0.2">
      <c r="A219" s="220"/>
      <c r="B219" s="220"/>
      <c r="C219" s="70" t="s">
        <v>194</v>
      </c>
      <c r="D219" s="82"/>
      <c r="E219" s="222">
        <f>CL219</f>
        <v>11.198</v>
      </c>
      <c r="F219" s="135">
        <f>+E221</f>
        <v>9.5290000000000319</v>
      </c>
      <c r="G219" s="135">
        <f>+F221</f>
        <v>222.69800000000001</v>
      </c>
      <c r="H219" s="116">
        <f>+G221</f>
        <v>19.006</v>
      </c>
      <c r="I219" s="223">
        <f>+E219</f>
        <v>11.198</v>
      </c>
      <c r="J219" s="136">
        <f>+I221</f>
        <v>33.428999999999938</v>
      </c>
      <c r="K219" s="135">
        <f>+J221</f>
        <v>8.1169999999999547</v>
      </c>
      <c r="L219" s="135">
        <f>+K221</f>
        <v>8.315000000000019</v>
      </c>
      <c r="M219" s="116">
        <f>+L221</f>
        <v>35.233000000000082</v>
      </c>
      <c r="N219" s="223">
        <f t="shared" si="440"/>
        <v>33.428999999999938</v>
      </c>
      <c r="O219" s="136">
        <f>+N221</f>
        <v>32.911999999999772</v>
      </c>
      <c r="P219" s="135">
        <f>+O221</f>
        <v>24.677999999999734</v>
      </c>
      <c r="Q219" s="135">
        <f>+P221</f>
        <v>21.384999999999671</v>
      </c>
      <c r="R219" s="116">
        <f>+Q221</f>
        <v>89.508999999999702</v>
      </c>
      <c r="S219" s="223">
        <f>CZ219</f>
        <v>32.911999999999772</v>
      </c>
      <c r="T219" s="136">
        <f>+S221</f>
        <v>3.7629999999997139</v>
      </c>
      <c r="U219" s="135">
        <f>+T221</f>
        <v>6.3569999999997648</v>
      </c>
      <c r="V219" s="135">
        <f>+U221</f>
        <v>5.2299999999997695</v>
      </c>
      <c r="W219" s="116">
        <f>+V221</f>
        <v>633.91899999999964</v>
      </c>
      <c r="X219" s="223">
        <f>DE219</f>
        <v>3.7629999999997139</v>
      </c>
      <c r="Y219" s="136">
        <f>+X221</f>
        <v>5.1499999999997712</v>
      </c>
      <c r="Z219" s="135">
        <f>+Y221</f>
        <v>18.720999999999798</v>
      </c>
      <c r="AA219" s="135">
        <f>+Z221</f>
        <v>3.8569999999997933</v>
      </c>
      <c r="AB219" s="116">
        <f>+AA221</f>
        <v>15.445999999999792</v>
      </c>
      <c r="AC219" s="223">
        <f>DJ219</f>
        <v>5.1499999999997712</v>
      </c>
      <c r="AD219" s="136">
        <f>+AC221</f>
        <v>21.08899999999965</v>
      </c>
      <c r="AE219" s="135">
        <f>+AD221</f>
        <v>18.119999999999685</v>
      </c>
      <c r="AF219" s="135">
        <f>+AE221</f>
        <v>6.4509999999997021</v>
      </c>
      <c r="AG219" s="116">
        <f>+AF221</f>
        <v>10.633999999999695</v>
      </c>
      <c r="AH219" s="223">
        <f>DO219</f>
        <v>21.08899999999965</v>
      </c>
      <c r="AI219" s="136">
        <f>+AH221</f>
        <v>7.6349999999998133</v>
      </c>
      <c r="AJ219" s="135">
        <f>+AI221</f>
        <v>3.0929999999999538</v>
      </c>
      <c r="AK219" s="135">
        <f>+AJ221</f>
        <v>4.4949999999998695</v>
      </c>
      <c r="AL219" s="116">
        <f>+AK221</f>
        <v>34.708999999999925</v>
      </c>
      <c r="AM219" s="223">
        <f>DT219</f>
        <v>7.6349999999998133</v>
      </c>
      <c r="AN219" s="136">
        <f>+AM221</f>
        <v>3.5849999999999724</v>
      </c>
      <c r="AO219" s="135">
        <f>+AN221</f>
        <v>5.3149999999999338</v>
      </c>
      <c r="AP219" s="135">
        <f>+AO221</f>
        <v>4.3159999999999386</v>
      </c>
      <c r="AQ219" s="116">
        <f>+AP221</f>
        <v>7.3449999999998496</v>
      </c>
      <c r="AR219" s="223">
        <f>DY219</f>
        <v>3.5849999999999724</v>
      </c>
      <c r="AS219" s="136">
        <f>+AR221</f>
        <v>5.9260000000000375</v>
      </c>
      <c r="AT219" s="135">
        <f>+AS221</f>
        <v>6.2850000000000321</v>
      </c>
      <c r="AU219" s="135">
        <f>+AT221</f>
        <v>4.3209999999999766</v>
      </c>
      <c r="AV219" s="116">
        <f>+AU221</f>
        <v>59.484000000000158</v>
      </c>
      <c r="AW219" s="223">
        <f>ED219</f>
        <v>5.9260000000000375</v>
      </c>
      <c r="AX219" s="136">
        <f>+AW221</f>
        <v>7.5130000000000834</v>
      </c>
      <c r="AY219" s="135">
        <f>+AX221</f>
        <v>0</v>
      </c>
      <c r="AZ219" s="135">
        <f>+AY221</f>
        <v>0</v>
      </c>
      <c r="BA219" s="116">
        <f>+AZ221</f>
        <v>345.57100709761545</v>
      </c>
      <c r="BB219" s="82">
        <f>+AW221</f>
        <v>7.5130000000000834</v>
      </c>
      <c r="BC219" s="136">
        <f>+BB221</f>
        <v>239.75176968675572</v>
      </c>
      <c r="BD219" s="135">
        <f>+BC221</f>
        <v>195.12217932526809</v>
      </c>
      <c r="BE219" s="135">
        <f>+BD221</f>
        <v>0</v>
      </c>
      <c r="BF219" s="116">
        <f>+BE221</f>
        <v>0</v>
      </c>
      <c r="BG219" s="82">
        <f>+BB221</f>
        <v>239.75176968675572</v>
      </c>
      <c r="BH219" s="136">
        <f>+BG221</f>
        <v>0</v>
      </c>
      <c r="BI219" s="135">
        <f>+BH221</f>
        <v>0</v>
      </c>
      <c r="BJ219" s="135">
        <f>+BI221</f>
        <v>208.03830810521575</v>
      </c>
      <c r="BK219" s="116">
        <f>+BJ221</f>
        <v>278.713850655952</v>
      </c>
      <c r="BL219" s="82">
        <f>+BG221</f>
        <v>0</v>
      </c>
      <c r="BM219" s="136">
        <f>+BL221</f>
        <v>5.6843418860808015E-14</v>
      </c>
      <c r="BN219" s="135">
        <f>+BM221</f>
        <v>0</v>
      </c>
      <c r="BO219" s="135">
        <f>+BN221</f>
        <v>141.81515742586231</v>
      </c>
      <c r="BP219" s="116">
        <f>+BO221</f>
        <v>188.55388519759094</v>
      </c>
      <c r="BQ219" s="82">
        <f>+BL221</f>
        <v>5.6843418860808015E-14</v>
      </c>
      <c r="BR219" s="220"/>
      <c r="BS219" s="220"/>
      <c r="BT219" s="220"/>
      <c r="BU219" s="220"/>
      <c r="BV219" s="220"/>
      <c r="BW219" s="220"/>
      <c r="BX219" s="220"/>
      <c r="BY219" s="220"/>
      <c r="BZ219" s="220"/>
      <c r="CA219" s="220"/>
      <c r="CB219" s="220"/>
      <c r="CC219" s="220"/>
      <c r="CD219" s="220"/>
      <c r="CE219" s="220"/>
      <c r="CF219" s="220"/>
      <c r="CG219" s="220"/>
      <c r="CH219" s="220"/>
      <c r="CI219" s="220"/>
      <c r="CJ219" s="220"/>
      <c r="CK219" s="220"/>
      <c r="CL219" s="117">
        <v>11.198</v>
      </c>
      <c r="CM219" s="82">
        <f>CL219</f>
        <v>11.198</v>
      </c>
      <c r="CN219" s="82">
        <f>CM219</f>
        <v>11.198</v>
      </c>
      <c r="CO219" s="82">
        <f>CN221</f>
        <v>19.005999999999993</v>
      </c>
      <c r="CP219" s="82">
        <f>CL219</f>
        <v>11.198</v>
      </c>
      <c r="CQ219" s="82">
        <f>CP221</f>
        <v>33.428999999999938</v>
      </c>
      <c r="CR219" s="82">
        <f>CQ219</f>
        <v>33.428999999999938</v>
      </c>
      <c r="CS219" s="82">
        <f>CR219</f>
        <v>33.428999999999938</v>
      </c>
      <c r="CT219" s="82">
        <f>CS221</f>
        <v>35.232999999999883</v>
      </c>
      <c r="CU219" s="223">
        <f>CQ219</f>
        <v>33.428999999999938</v>
      </c>
      <c r="CV219" s="82">
        <f>CU221</f>
        <v>32.911999999999772</v>
      </c>
      <c r="CW219" s="82">
        <f>CV219</f>
        <v>32.911999999999772</v>
      </c>
      <c r="CX219" s="82">
        <f>CW219</f>
        <v>32.911999999999772</v>
      </c>
      <c r="CY219" s="82">
        <f>CX221</f>
        <v>89.508999999999759</v>
      </c>
      <c r="CZ219" s="223">
        <f>CV219</f>
        <v>32.911999999999772</v>
      </c>
      <c r="DA219" s="82">
        <f>CZ221</f>
        <v>3.7629999999997139</v>
      </c>
      <c r="DB219" s="82">
        <f>DA219</f>
        <v>3.7629999999997139</v>
      </c>
      <c r="DC219" s="82">
        <f>DB219</f>
        <v>3.7629999999997139</v>
      </c>
      <c r="DD219" s="82">
        <f>DC221</f>
        <v>633.91899999999964</v>
      </c>
      <c r="DE219" s="223">
        <f>DA219</f>
        <v>3.7629999999997139</v>
      </c>
      <c r="DF219" s="82">
        <f>DE221</f>
        <v>5.1499999999997712</v>
      </c>
      <c r="DG219" s="82">
        <f>DF219</f>
        <v>5.1499999999997712</v>
      </c>
      <c r="DH219" s="82">
        <f>DG219</f>
        <v>5.1499999999997712</v>
      </c>
      <c r="DI219" s="82">
        <f>DH221</f>
        <v>15.445999999999678</v>
      </c>
      <c r="DJ219" s="223">
        <f>DF219</f>
        <v>5.1499999999997712</v>
      </c>
      <c r="DK219" s="82">
        <f>DJ221</f>
        <v>21.08899999999965</v>
      </c>
      <c r="DL219" s="82">
        <f>DK219</f>
        <v>21.08899999999965</v>
      </c>
      <c r="DM219" s="82">
        <f>DL219</f>
        <v>21.08899999999965</v>
      </c>
      <c r="DN219" s="82">
        <f>DM221</f>
        <v>10.63399999999961</v>
      </c>
      <c r="DO219" s="223">
        <f>DK219</f>
        <v>21.08899999999965</v>
      </c>
      <c r="DP219" s="82">
        <f>DO221</f>
        <v>7.6349999999998133</v>
      </c>
      <c r="DQ219" s="82">
        <f>DP219</f>
        <v>7.6349999999998133</v>
      </c>
      <c r="DR219" s="82">
        <f>DQ219</f>
        <v>7.6349999999998133</v>
      </c>
      <c r="DS219" s="82">
        <f>DR221</f>
        <v>34.708999999999882</v>
      </c>
      <c r="DT219" s="223">
        <f>DP219</f>
        <v>7.6349999999998133</v>
      </c>
      <c r="DU219" s="82">
        <f>DT221</f>
        <v>3.5849999999999724</v>
      </c>
      <c r="DV219" s="82">
        <f>DU219</f>
        <v>3.5849999999999724</v>
      </c>
      <c r="DW219" s="82">
        <f>DV219</f>
        <v>3.5849999999999724</v>
      </c>
      <c r="DX219" s="82">
        <f>DW221</f>
        <v>7.3449999999998212</v>
      </c>
      <c r="DY219" s="223">
        <f>DU219</f>
        <v>3.5849999999999724</v>
      </c>
      <c r="DZ219" s="82">
        <f>DY221</f>
        <v>5.9260000000000375</v>
      </c>
      <c r="EA219" s="82">
        <f>DZ219</f>
        <v>5.9260000000000375</v>
      </c>
      <c r="EB219" s="82">
        <f>EA219</f>
        <v>5.9260000000000375</v>
      </c>
      <c r="EC219" s="82">
        <f>EB221</f>
        <v>59.484000000000229</v>
      </c>
      <c r="ED219" s="223">
        <f>DZ219</f>
        <v>5.9260000000000375</v>
      </c>
    </row>
    <row r="220" spans="1:134" x14ac:dyDescent="0.2">
      <c r="A220" s="220"/>
      <c r="B220" s="220"/>
      <c r="C220" s="70" t="s">
        <v>188</v>
      </c>
      <c r="D220" s="82"/>
      <c r="E220" s="114"/>
      <c r="F220" s="133"/>
      <c r="G220" s="133"/>
      <c r="H220" s="132"/>
      <c r="I220" s="223"/>
      <c r="J220" s="114"/>
      <c r="K220" s="133"/>
      <c r="L220" s="133"/>
      <c r="M220" s="132"/>
      <c r="N220" s="223"/>
      <c r="O220" s="114"/>
      <c r="P220" s="115"/>
      <c r="Q220" s="115"/>
      <c r="R220" s="132"/>
      <c r="S220" s="223"/>
      <c r="T220" s="114">
        <v>0</v>
      </c>
      <c r="U220" s="115"/>
      <c r="V220" s="115"/>
      <c r="W220" s="132"/>
      <c r="X220" s="223"/>
      <c r="Y220" s="114">
        <v>0</v>
      </c>
      <c r="Z220" s="115"/>
      <c r="AA220" s="115"/>
      <c r="AB220" s="132"/>
      <c r="AC220" s="223"/>
      <c r="AD220" s="114">
        <v>0</v>
      </c>
      <c r="AE220" s="115"/>
      <c r="AF220" s="115"/>
      <c r="AG220" s="132"/>
      <c r="AH220" s="223"/>
      <c r="AI220" s="114">
        <v>0</v>
      </c>
      <c r="AJ220" s="115"/>
      <c r="AK220" s="115"/>
      <c r="AL220" s="132"/>
      <c r="AM220" s="223"/>
      <c r="AN220" s="114">
        <v>0</v>
      </c>
      <c r="AO220" s="115"/>
      <c r="AP220" s="115"/>
      <c r="AQ220" s="132"/>
      <c r="AR220" s="223"/>
      <c r="AS220" s="114">
        <v>0</v>
      </c>
      <c r="AT220" s="115"/>
      <c r="AU220" s="115"/>
      <c r="AV220" s="132"/>
      <c r="AW220" s="223"/>
      <c r="AX220" s="136">
        <f>IF((AX218+AX219)&gt;=AW227,-AW227,-(AX218+AX219))</f>
        <v>43.15096208017156</v>
      </c>
      <c r="AY220" s="135">
        <f>IF((AY218+AY219)&gt;=AX227,-AX227,-(AY218+AY219))</f>
        <v>83.838605406432521</v>
      </c>
      <c r="AZ220" s="135">
        <f>IF((AZ218+AZ219)&gt;=AY227,-AY227,-(AZ218+AZ219))</f>
        <v>-126.98956748660407</v>
      </c>
      <c r="BA220" s="116">
        <f>IF((BA218+BA219)&gt;=AZ227,-AZ227,-(BA218+BA219))</f>
        <v>0</v>
      </c>
      <c r="BB220" s="82">
        <f>SUM(AX220:BA220)</f>
        <v>0</v>
      </c>
      <c r="BC220" s="136">
        <f>IF((BC218+BC219)&gt;=BB227,-BB227,-(BC218+BC219))</f>
        <v>0</v>
      </c>
      <c r="BD220" s="135">
        <f>IF((BD218+BD219)&gt;=BC227,-BC227,-(BD218+BD219))</f>
        <v>87.466634518798656</v>
      </c>
      <c r="BE220" s="135">
        <f>IF((BE218+BE219)&gt;=BD227,-BD227,-(BE218+BE219))</f>
        <v>-31.094260531960487</v>
      </c>
      <c r="BF220" s="116">
        <f>IF((BF218+BF219)&gt;=BE227,-BE227,-(BF218+BF219))</f>
        <v>98.269938096014982</v>
      </c>
      <c r="BG220" s="82">
        <f>SUM(BC220:BF220)</f>
        <v>154.64231208285315</v>
      </c>
      <c r="BH220" s="136">
        <f>IF((BH218+BH219)&gt;=BG227,-BG227,-(BH218+BH219))</f>
        <v>-4.844719988017431</v>
      </c>
      <c r="BI220" s="135">
        <f>IF((BI218+BI219)&gt;=BH227,-BH227,-(BI218+BI219))</f>
        <v>-149.79759209483572</v>
      </c>
      <c r="BJ220" s="135">
        <f>IF((BJ218+BJ219)&gt;=BI227,-BI227,-(BJ218+BJ219))</f>
        <v>0</v>
      </c>
      <c r="BK220" s="116">
        <f>IF((BK218+BK219)&gt;=BJ227,-BJ227,-(BK218+BK219))</f>
        <v>176.15394911707631</v>
      </c>
      <c r="BL220" s="82">
        <f>SUM(BH220:BK220)</f>
        <v>21.511637034223156</v>
      </c>
      <c r="BM220" s="136">
        <f>IF((BM218+BM219)&gt;=BL227,-BL227,-(BM218+BM219))</f>
        <v>13.788992545896804</v>
      </c>
      <c r="BN220" s="135">
        <f>IF((BN218+BN219)&gt;=BM227,-BM227,-(BN218+BN219))</f>
        <v>-189.94294166297311</v>
      </c>
      <c r="BO220" s="135">
        <f>IF((BO218+BO219)&gt;=BN227,-BN227,-(BO218+BO219))</f>
        <v>0</v>
      </c>
      <c r="BP220" s="116">
        <f>IF((BP218+BP219)&gt;=BO227,-BO227,-(BP218+BP219))</f>
        <v>0</v>
      </c>
      <c r="BQ220" s="82">
        <f>SUM(BM220:BP220)</f>
        <v>-176.15394911707631</v>
      </c>
      <c r="BR220" s="220"/>
      <c r="BS220" s="220"/>
      <c r="BT220" s="220"/>
      <c r="BU220" s="220"/>
      <c r="BV220" s="220"/>
      <c r="BW220" s="220"/>
      <c r="BX220" s="220"/>
      <c r="BY220" s="220"/>
      <c r="BZ220" s="220"/>
      <c r="CA220" s="220"/>
      <c r="CB220" s="220"/>
      <c r="CC220" s="220"/>
      <c r="CD220" s="220"/>
      <c r="CE220" s="220"/>
      <c r="CF220" s="220"/>
      <c r="CG220" s="220"/>
      <c r="CH220" s="220"/>
      <c r="CI220" s="220"/>
      <c r="CJ220" s="220"/>
      <c r="CK220" s="220"/>
      <c r="CL220" s="220"/>
      <c r="CM220" s="220"/>
      <c r="CN220" s="220"/>
      <c r="CO220" s="220"/>
      <c r="CP220" s="220"/>
      <c r="CQ220" s="220"/>
      <c r="CR220" s="220"/>
      <c r="CS220" s="220"/>
      <c r="CT220" s="220"/>
      <c r="CU220" s="220"/>
      <c r="CV220" s="220"/>
      <c r="CW220" s="220"/>
      <c r="CX220" s="220"/>
      <c r="CY220" s="220"/>
      <c r="CZ220" s="220"/>
      <c r="DA220" s="220"/>
      <c r="DB220" s="220"/>
      <c r="DC220" s="220"/>
      <c r="DD220" s="220"/>
      <c r="DE220" s="220"/>
      <c r="DF220" s="220"/>
      <c r="DG220" s="220"/>
      <c r="DH220" s="220"/>
      <c r="DI220" s="220"/>
      <c r="DJ220" s="220"/>
      <c r="DK220" s="220"/>
      <c r="DL220" s="220"/>
      <c r="DM220" s="220"/>
      <c r="DN220" s="220"/>
      <c r="DO220" s="220"/>
      <c r="DP220" s="220"/>
      <c r="DQ220" s="220"/>
      <c r="DR220" s="220"/>
      <c r="DS220" s="220"/>
      <c r="DT220" s="220"/>
      <c r="DU220" s="220"/>
      <c r="DV220" s="220"/>
      <c r="DW220" s="220"/>
      <c r="DX220" s="220"/>
      <c r="DY220" s="220"/>
      <c r="DZ220" s="220"/>
      <c r="EA220" s="220"/>
      <c r="EB220" s="220"/>
      <c r="EC220" s="220"/>
      <c r="ED220" s="220"/>
    </row>
    <row r="221" spans="1:134" x14ac:dyDescent="0.2">
      <c r="A221" s="220"/>
      <c r="B221" s="220"/>
      <c r="C221" s="141" t="s">
        <v>195</v>
      </c>
      <c r="D221" s="82"/>
      <c r="E221" s="121">
        <f t="shared" ref="E221:Q221" si="493">E220+E219+E218</f>
        <v>9.5290000000000319</v>
      </c>
      <c r="F221" s="122">
        <f t="shared" si="493"/>
        <v>222.69800000000001</v>
      </c>
      <c r="G221" s="122">
        <f t="shared" si="493"/>
        <v>19.006</v>
      </c>
      <c r="H221" s="123">
        <f t="shared" si="493"/>
        <v>33.428999999999974</v>
      </c>
      <c r="I221" s="127">
        <f t="shared" si="493"/>
        <v>33.428999999999938</v>
      </c>
      <c r="J221" s="121">
        <f t="shared" si="493"/>
        <v>8.1169999999999547</v>
      </c>
      <c r="K221" s="122">
        <f t="shared" si="493"/>
        <v>8.315000000000019</v>
      </c>
      <c r="L221" s="122">
        <f t="shared" si="493"/>
        <v>35.233000000000082</v>
      </c>
      <c r="M221" s="123">
        <f t="shared" si="493"/>
        <v>32.912000000000056</v>
      </c>
      <c r="N221" s="127">
        <f t="shared" si="493"/>
        <v>32.911999999999772</v>
      </c>
      <c r="O221" s="121">
        <f t="shared" si="493"/>
        <v>24.677999999999734</v>
      </c>
      <c r="P221" s="122">
        <f t="shared" si="493"/>
        <v>21.384999999999671</v>
      </c>
      <c r="Q221" s="122">
        <f t="shared" si="493"/>
        <v>89.508999999999702</v>
      </c>
      <c r="R221" s="123">
        <f t="shared" ref="R221:Y221" si="494">R220+R219+R218</f>
        <v>3.7629999999996926</v>
      </c>
      <c r="S221" s="127">
        <f t="shared" si="494"/>
        <v>3.7629999999997139</v>
      </c>
      <c r="T221" s="121">
        <f t="shared" si="494"/>
        <v>6.3569999999997648</v>
      </c>
      <c r="U221" s="122">
        <f t="shared" si="494"/>
        <v>5.2299999999997695</v>
      </c>
      <c r="V221" s="122">
        <f t="shared" si="494"/>
        <v>633.91899999999964</v>
      </c>
      <c r="W221" s="123">
        <f t="shared" si="494"/>
        <v>5.1499999999997499</v>
      </c>
      <c r="X221" s="127">
        <f t="shared" si="494"/>
        <v>5.1499999999997712</v>
      </c>
      <c r="Y221" s="121">
        <f t="shared" si="494"/>
        <v>18.720999999999798</v>
      </c>
      <c r="Z221" s="122">
        <f t="shared" ref="Z221:AF221" si="495">Z220+Z219+Z218</f>
        <v>3.8569999999997933</v>
      </c>
      <c r="AA221" s="122">
        <f t="shared" si="495"/>
        <v>15.445999999999792</v>
      </c>
      <c r="AB221" s="123">
        <f t="shared" si="495"/>
        <v>21.088999999999764</v>
      </c>
      <c r="AC221" s="127">
        <f t="shared" si="495"/>
        <v>21.08899999999965</v>
      </c>
      <c r="AD221" s="121">
        <f t="shared" si="495"/>
        <v>18.119999999999685</v>
      </c>
      <c r="AE221" s="122">
        <f t="shared" si="495"/>
        <v>6.4509999999997021</v>
      </c>
      <c r="AF221" s="122">
        <f t="shared" si="495"/>
        <v>10.633999999999695</v>
      </c>
      <c r="AG221" s="123">
        <f t="shared" ref="AG221:AM221" si="496">AG220+AG219+AG218</f>
        <v>7.634999999999728</v>
      </c>
      <c r="AH221" s="127">
        <f t="shared" si="496"/>
        <v>7.6349999999998133</v>
      </c>
      <c r="AI221" s="121">
        <f t="shared" si="496"/>
        <v>3.0929999999999538</v>
      </c>
      <c r="AJ221" s="122">
        <f t="shared" si="496"/>
        <v>4.4949999999998695</v>
      </c>
      <c r="AK221" s="122">
        <f t="shared" si="496"/>
        <v>34.708999999999925</v>
      </c>
      <c r="AL221" s="123">
        <f t="shared" si="496"/>
        <v>3.5849999999999866</v>
      </c>
      <c r="AM221" s="127">
        <f t="shared" si="496"/>
        <v>3.5849999999999724</v>
      </c>
      <c r="AN221" s="121">
        <f t="shared" ref="AN221:AR221" si="497">AN220+AN219+AN218</f>
        <v>5.3149999999999338</v>
      </c>
      <c r="AO221" s="122">
        <f t="shared" si="497"/>
        <v>4.3159999999999386</v>
      </c>
      <c r="AP221" s="122">
        <f t="shared" si="497"/>
        <v>7.3449999999998496</v>
      </c>
      <c r="AQ221" s="123">
        <f t="shared" si="497"/>
        <v>5.9259999999999522</v>
      </c>
      <c r="AR221" s="127">
        <f t="shared" si="497"/>
        <v>5.9260000000000375</v>
      </c>
      <c r="AS221" s="121">
        <f t="shared" ref="AS221:AW221" si="498">AS220+AS219+AS218</f>
        <v>6.2850000000000321</v>
      </c>
      <c r="AT221" s="122">
        <f t="shared" si="498"/>
        <v>4.3209999999999766</v>
      </c>
      <c r="AU221" s="122">
        <f t="shared" si="498"/>
        <v>59.484000000000158</v>
      </c>
      <c r="AV221" s="123">
        <f t="shared" si="498"/>
        <v>7.5130000000001829</v>
      </c>
      <c r="AW221" s="127">
        <f t="shared" si="498"/>
        <v>7.5130000000000834</v>
      </c>
      <c r="AX221" s="121">
        <f t="shared" ref="AX221:BG221" si="499">AX220+AX219+AX218</f>
        <v>0</v>
      </c>
      <c r="AY221" s="122">
        <f t="shared" si="499"/>
        <v>0</v>
      </c>
      <c r="AZ221" s="122">
        <f t="shared" si="499"/>
        <v>345.57100709761545</v>
      </c>
      <c r="BA221" s="123">
        <f t="shared" si="499"/>
        <v>239.75176968675569</v>
      </c>
      <c r="BB221" s="86">
        <f t="shared" si="499"/>
        <v>239.75176968675572</v>
      </c>
      <c r="BC221" s="121">
        <f t="shared" si="499"/>
        <v>195.12217932526809</v>
      </c>
      <c r="BD221" s="122">
        <f t="shared" si="499"/>
        <v>0</v>
      </c>
      <c r="BE221" s="122">
        <f t="shared" si="499"/>
        <v>0</v>
      </c>
      <c r="BF221" s="123">
        <f t="shared" si="499"/>
        <v>0</v>
      </c>
      <c r="BG221" s="86">
        <f t="shared" si="499"/>
        <v>0</v>
      </c>
      <c r="BH221" s="121">
        <f t="shared" ref="BH221:BQ221" si="500">BH220+BH219+BH218</f>
        <v>0</v>
      </c>
      <c r="BI221" s="122">
        <f t="shared" si="500"/>
        <v>208.03830810521575</v>
      </c>
      <c r="BJ221" s="122">
        <f t="shared" si="500"/>
        <v>278.713850655952</v>
      </c>
      <c r="BK221" s="123">
        <f t="shared" si="500"/>
        <v>0</v>
      </c>
      <c r="BL221" s="86">
        <f t="shared" si="500"/>
        <v>5.6843418860808015E-14</v>
      </c>
      <c r="BM221" s="121">
        <f t="shared" si="500"/>
        <v>0</v>
      </c>
      <c r="BN221" s="122">
        <f t="shared" si="500"/>
        <v>141.81515742586231</v>
      </c>
      <c r="BO221" s="122">
        <f t="shared" si="500"/>
        <v>188.55388519759094</v>
      </c>
      <c r="BP221" s="123">
        <f t="shared" si="500"/>
        <v>110.85678600351542</v>
      </c>
      <c r="BQ221" s="86">
        <f t="shared" si="500"/>
        <v>110.85678600351531</v>
      </c>
      <c r="BR221" s="220"/>
      <c r="BS221" s="220"/>
      <c r="BT221" s="220"/>
      <c r="BU221" s="220"/>
      <c r="BV221" s="220"/>
      <c r="BW221" s="220"/>
      <c r="BX221" s="220"/>
      <c r="BY221" s="220"/>
      <c r="BZ221" s="220"/>
      <c r="CA221" s="220"/>
      <c r="CB221" s="220"/>
      <c r="CC221" s="220"/>
      <c r="CD221" s="220"/>
      <c r="CE221" s="220"/>
      <c r="CF221" s="220"/>
      <c r="CG221" s="220"/>
      <c r="CH221" s="220"/>
      <c r="CI221" s="220"/>
      <c r="CJ221" s="220"/>
      <c r="CK221" s="220"/>
      <c r="CL221" s="127">
        <f t="shared" ref="CL221:CX221" si="501">CL218+CL219+CL220</f>
        <v>9.5290000000000319</v>
      </c>
      <c r="CM221" s="127">
        <f t="shared" si="501"/>
        <v>222.69800000000006</v>
      </c>
      <c r="CN221" s="127">
        <f t="shared" si="501"/>
        <v>19.005999999999993</v>
      </c>
      <c r="CO221" s="127">
        <f t="shared" si="501"/>
        <v>33.428999999999967</v>
      </c>
      <c r="CP221" s="127">
        <f t="shared" si="501"/>
        <v>33.428999999999938</v>
      </c>
      <c r="CQ221" s="127">
        <f t="shared" si="501"/>
        <v>8.1169999999999547</v>
      </c>
      <c r="CR221" s="127">
        <f t="shared" si="501"/>
        <v>8.3149999999999338</v>
      </c>
      <c r="CS221" s="127">
        <f t="shared" si="501"/>
        <v>35.232999999999883</v>
      </c>
      <c r="CT221" s="127">
        <f t="shared" si="501"/>
        <v>32.911999999999857</v>
      </c>
      <c r="CU221" s="127">
        <f t="shared" si="501"/>
        <v>32.911999999999772</v>
      </c>
      <c r="CV221" s="127">
        <f t="shared" si="501"/>
        <v>24.677999999999734</v>
      </c>
      <c r="CW221" s="127">
        <f t="shared" si="501"/>
        <v>21.384999999999785</v>
      </c>
      <c r="CX221" s="127">
        <f t="shared" si="501"/>
        <v>89.508999999999759</v>
      </c>
      <c r="CY221" s="127">
        <f t="shared" ref="CY221:DH221" si="502">CY218+CY219+CY220</f>
        <v>3.7629999999997494</v>
      </c>
      <c r="CZ221" s="127">
        <f t="shared" si="502"/>
        <v>3.7629999999997139</v>
      </c>
      <c r="DA221" s="127">
        <f t="shared" si="502"/>
        <v>6.3569999999997648</v>
      </c>
      <c r="DB221" s="127">
        <f t="shared" si="502"/>
        <v>5.2299999999997695</v>
      </c>
      <c r="DC221" s="127">
        <f t="shared" si="502"/>
        <v>633.91899999999964</v>
      </c>
      <c r="DD221" s="127">
        <f t="shared" si="502"/>
        <v>5.1499999999997499</v>
      </c>
      <c r="DE221" s="127">
        <f t="shared" si="502"/>
        <v>5.1499999999997712</v>
      </c>
      <c r="DF221" s="127">
        <f t="shared" si="502"/>
        <v>18.720999999999798</v>
      </c>
      <c r="DG221" s="127">
        <f>DG218+DG219+DG220</f>
        <v>3.8569999999996796</v>
      </c>
      <c r="DH221" s="127">
        <f t="shared" si="502"/>
        <v>15.445999999999678</v>
      </c>
      <c r="DI221" s="127">
        <f t="shared" ref="DI221:DQ221" si="503">DI218+DI219+DI220</f>
        <v>21.08899999999965</v>
      </c>
      <c r="DJ221" s="127">
        <f t="shared" si="503"/>
        <v>21.08899999999965</v>
      </c>
      <c r="DK221" s="127">
        <f t="shared" si="503"/>
        <v>18.119999999999685</v>
      </c>
      <c r="DL221" s="127">
        <f t="shared" si="503"/>
        <v>6.4509999999996168</v>
      </c>
      <c r="DM221" s="127">
        <f t="shared" si="503"/>
        <v>10.63399999999961</v>
      </c>
      <c r="DN221" s="127">
        <f t="shared" si="503"/>
        <v>7.6349999999996427</v>
      </c>
      <c r="DO221" s="127">
        <f t="shared" si="503"/>
        <v>7.6349999999998133</v>
      </c>
      <c r="DP221" s="127">
        <f t="shared" si="503"/>
        <v>3.0929999999999538</v>
      </c>
      <c r="DQ221" s="127">
        <f t="shared" si="503"/>
        <v>4.4949999999998269</v>
      </c>
      <c r="DR221" s="127">
        <f t="shared" ref="DR221:DW221" si="504">DR218+DR219+DR220</f>
        <v>34.708999999999882</v>
      </c>
      <c r="DS221" s="127">
        <f t="shared" si="504"/>
        <v>3.584999999999944</v>
      </c>
      <c r="DT221" s="127">
        <f t="shared" si="504"/>
        <v>3.5849999999999724</v>
      </c>
      <c r="DU221" s="127">
        <f t="shared" si="504"/>
        <v>5.3149999999999338</v>
      </c>
      <c r="DV221" s="127">
        <f t="shared" si="504"/>
        <v>4.315999999999967</v>
      </c>
      <c r="DW221" s="127">
        <f t="shared" si="504"/>
        <v>7.3449999999998212</v>
      </c>
      <c r="DX221" s="127">
        <f t="shared" ref="DX221:ED221" si="505">DX218+DX219+DX220</f>
        <v>5.9259999999999238</v>
      </c>
      <c r="DY221" s="127">
        <f t="shared" si="505"/>
        <v>5.9260000000000375</v>
      </c>
      <c r="DZ221" s="127">
        <f t="shared" si="505"/>
        <v>6.2850000000000321</v>
      </c>
      <c r="EA221" s="127">
        <f t="shared" si="505"/>
        <v>4.3209999999998772</v>
      </c>
      <c r="EB221" s="127">
        <f t="shared" si="505"/>
        <v>59.484000000000229</v>
      </c>
      <c r="EC221" s="127">
        <f t="shared" si="505"/>
        <v>7.5130000000002539</v>
      </c>
      <c r="ED221" s="127">
        <f t="shared" si="505"/>
        <v>7.5130000000000834</v>
      </c>
    </row>
    <row r="222" spans="1:134" x14ac:dyDescent="0.2">
      <c r="A222" s="289"/>
      <c r="B222" s="289"/>
      <c r="C222" s="289"/>
      <c r="D222" s="289"/>
      <c r="E222" s="291"/>
      <c r="F222" s="292"/>
      <c r="G222" s="292"/>
      <c r="H222" s="293"/>
      <c r="I222" s="289"/>
      <c r="J222" s="291"/>
      <c r="K222" s="292"/>
      <c r="L222" s="292"/>
      <c r="M222" s="293"/>
      <c r="N222" s="289"/>
      <c r="O222" s="291"/>
      <c r="P222" s="292"/>
      <c r="Q222" s="292"/>
      <c r="R222" s="293"/>
      <c r="S222" s="289"/>
      <c r="T222" s="291"/>
      <c r="U222" s="292"/>
      <c r="V222" s="292"/>
      <c r="W222" s="293"/>
      <c r="X222" s="289"/>
      <c r="Y222" s="291"/>
      <c r="Z222" s="292"/>
      <c r="AA222" s="292"/>
      <c r="AB222" s="293"/>
      <c r="AC222" s="289"/>
      <c r="AD222" s="291"/>
      <c r="AE222" s="292"/>
      <c r="AF222" s="292"/>
      <c r="AG222" s="293"/>
      <c r="AH222" s="289"/>
      <c r="AI222" s="291"/>
      <c r="AJ222" s="292"/>
      <c r="AK222" s="292"/>
      <c r="AL222" s="293"/>
      <c r="AM222" s="289"/>
      <c r="AN222" s="291"/>
      <c r="AO222" s="292"/>
      <c r="AP222" s="292"/>
      <c r="AQ222" s="293"/>
      <c r="AR222" s="289"/>
      <c r="AS222" s="291"/>
      <c r="AT222" s="292"/>
      <c r="AU222" s="292"/>
      <c r="AV222" s="293"/>
      <c r="AW222" s="289"/>
      <c r="AX222" s="291"/>
      <c r="AY222" s="292"/>
      <c r="AZ222" s="292"/>
      <c r="BA222" s="293"/>
      <c r="BB222" s="289"/>
      <c r="BC222" s="291"/>
      <c r="BD222" s="292"/>
      <c r="BE222" s="292"/>
      <c r="BF222" s="293"/>
      <c r="BG222" s="289"/>
      <c r="BH222" s="291"/>
      <c r="BI222" s="292"/>
      <c r="BJ222" s="292"/>
      <c r="BK222" s="293"/>
      <c r="BL222" s="289"/>
      <c r="BM222" s="291"/>
      <c r="BN222" s="292"/>
      <c r="BO222" s="292"/>
      <c r="BP222" s="293"/>
      <c r="BQ222" s="289"/>
      <c r="BR222" s="289"/>
      <c r="BS222" s="289"/>
      <c r="BT222" s="289"/>
      <c r="BU222" s="289"/>
      <c r="BV222" s="289"/>
      <c r="BW222" s="289"/>
      <c r="BX222" s="289"/>
      <c r="BY222" s="289"/>
      <c r="BZ222" s="289"/>
      <c r="CA222" s="289"/>
      <c r="CB222" s="289"/>
      <c r="CC222" s="289"/>
      <c r="CD222" s="289"/>
      <c r="CE222" s="289"/>
      <c r="CF222" s="289"/>
      <c r="CG222" s="289"/>
      <c r="CH222" s="289"/>
      <c r="CI222" s="289"/>
      <c r="CJ222" s="289"/>
      <c r="CK222" s="289"/>
      <c r="CL222" s="289"/>
      <c r="CM222" s="289"/>
      <c r="CN222" s="289"/>
      <c r="CO222" s="289"/>
      <c r="CP222" s="289"/>
      <c r="CQ222" s="289"/>
      <c r="CR222" s="289"/>
      <c r="CS222" s="289"/>
      <c r="CT222" s="289"/>
      <c r="CU222" s="289"/>
      <c r="CV222" s="289"/>
      <c r="CW222" s="289"/>
      <c r="CX222" s="289"/>
      <c r="CY222" s="289"/>
      <c r="CZ222" s="289"/>
    </row>
    <row r="223" spans="1:134" x14ac:dyDescent="0.2">
      <c r="A223" s="289"/>
      <c r="B223" s="289"/>
      <c r="C223" s="289"/>
      <c r="D223" s="289"/>
      <c r="E223" s="291"/>
      <c r="F223" s="292"/>
      <c r="G223" s="292"/>
      <c r="H223" s="293"/>
      <c r="I223" s="289"/>
      <c r="J223" s="291"/>
      <c r="K223" s="292"/>
      <c r="L223" s="292"/>
      <c r="M223" s="293"/>
      <c r="N223" s="289"/>
      <c r="O223" s="291"/>
      <c r="P223" s="292"/>
      <c r="Q223" s="292"/>
      <c r="R223" s="293"/>
      <c r="S223" s="289"/>
      <c r="T223" s="701"/>
      <c r="U223" s="292"/>
      <c r="V223" s="292"/>
      <c r="W223" s="293"/>
      <c r="X223" s="289"/>
      <c r="Y223" s="291"/>
      <c r="Z223" s="292"/>
      <c r="AA223" s="292"/>
      <c r="AB223" s="293"/>
      <c r="AC223" s="289"/>
      <c r="AD223" s="291"/>
      <c r="AE223" s="794"/>
      <c r="AF223" s="794"/>
      <c r="AG223" s="293"/>
      <c r="AH223" s="289"/>
      <c r="AI223" s="291"/>
      <c r="AJ223" s="292"/>
      <c r="AK223" s="292"/>
      <c r="AL223" s="293"/>
      <c r="AM223" s="289"/>
      <c r="AN223" s="291"/>
      <c r="AO223" s="292"/>
      <c r="AP223" s="292"/>
      <c r="AQ223" s="293"/>
      <c r="AR223" s="289"/>
      <c r="AS223" s="291"/>
      <c r="AT223" s="292"/>
      <c r="AU223" s="292"/>
      <c r="AV223" s="293"/>
      <c r="AW223" s="289"/>
      <c r="AX223" s="291"/>
      <c r="AY223" s="292"/>
      <c r="AZ223" s="292"/>
      <c r="BA223" s="293"/>
      <c r="BB223" s="289"/>
      <c r="BC223" s="291"/>
      <c r="BD223" s="292"/>
      <c r="BE223" s="292"/>
      <c r="BF223" s="293"/>
      <c r="BG223" s="289"/>
      <c r="BH223" s="291"/>
      <c r="BI223" s="292"/>
      <c r="BJ223" s="292"/>
      <c r="BK223" s="293"/>
      <c r="BL223" s="289"/>
      <c r="BM223" s="291"/>
      <c r="BN223" s="292"/>
      <c r="BO223" s="292"/>
      <c r="BP223" s="293"/>
      <c r="BQ223" s="289"/>
      <c r="BR223" s="289"/>
      <c r="BS223" s="289"/>
      <c r="BT223" s="289"/>
      <c r="BU223" s="289"/>
      <c r="BV223" s="289"/>
      <c r="BW223" s="289"/>
      <c r="BX223" s="289"/>
      <c r="BY223" s="289"/>
      <c r="BZ223" s="289"/>
      <c r="CA223" s="289"/>
      <c r="CB223" s="289"/>
      <c r="CC223" s="289"/>
      <c r="CD223" s="289"/>
      <c r="CE223" s="289"/>
      <c r="CF223" s="289"/>
      <c r="CG223" s="289"/>
      <c r="CH223" s="289"/>
      <c r="CI223" s="289"/>
      <c r="CJ223" s="289"/>
      <c r="CK223" s="289"/>
      <c r="CL223" s="289"/>
      <c r="CM223" s="289"/>
      <c r="CN223" s="289"/>
      <c r="CO223" s="289"/>
      <c r="CP223" s="289"/>
      <c r="CQ223" s="289"/>
      <c r="CR223" s="289"/>
      <c r="CS223" s="289"/>
      <c r="CT223" s="289"/>
      <c r="CU223" s="289"/>
      <c r="CV223" s="289"/>
      <c r="CW223" s="289"/>
      <c r="CX223" s="289"/>
      <c r="CY223" s="289"/>
      <c r="CZ223" s="289"/>
    </row>
    <row r="224" spans="1:134" x14ac:dyDescent="0.2">
      <c r="A224" s="289"/>
      <c r="B224" s="347" t="s">
        <v>230</v>
      </c>
      <c r="C224" s="347"/>
      <c r="D224" s="348"/>
      <c r="E224" s="701"/>
      <c r="F224" s="702"/>
      <c r="G224" s="702"/>
      <c r="H224" s="703"/>
      <c r="I224" s="704"/>
      <c r="J224" s="701"/>
      <c r="K224" s="702"/>
      <c r="L224" s="702"/>
      <c r="M224" s="703"/>
      <c r="N224" s="704"/>
      <c r="O224" s="701"/>
      <c r="P224" s="702"/>
      <c r="Q224" s="702"/>
      <c r="R224" s="703"/>
      <c r="S224" s="704"/>
      <c r="T224" s="291"/>
      <c r="U224" s="292"/>
      <c r="V224" s="292"/>
      <c r="W224" s="293"/>
      <c r="X224" s="289"/>
      <c r="Y224" s="291"/>
      <c r="Z224" s="292"/>
      <c r="AA224" s="292"/>
      <c r="AB224" s="293"/>
      <c r="AC224" s="289"/>
      <c r="AD224" s="291"/>
      <c r="AE224" s="292"/>
      <c r="AF224" s="292"/>
      <c r="AG224" s="293"/>
      <c r="AH224" s="289"/>
      <c r="AI224" s="291"/>
      <c r="AJ224" s="292"/>
      <c r="AK224" s="292"/>
      <c r="AL224" s="293"/>
      <c r="AM224" s="289"/>
      <c r="AN224" s="291"/>
      <c r="AO224" s="292"/>
      <c r="AP224" s="292"/>
      <c r="AQ224" s="293"/>
      <c r="AR224" s="289"/>
      <c r="AS224" s="291"/>
      <c r="AT224" s="292"/>
      <c r="AU224" s="292"/>
      <c r="AV224" s="293"/>
      <c r="AW224" s="289"/>
      <c r="AX224" s="291"/>
      <c r="AY224" s="292"/>
      <c r="AZ224" s="292"/>
      <c r="BA224" s="293"/>
      <c r="BB224" s="289"/>
      <c r="BC224" s="291"/>
      <c r="BD224" s="292"/>
      <c r="BE224" s="292"/>
      <c r="BF224" s="293"/>
      <c r="BG224" s="289"/>
      <c r="BH224" s="291"/>
      <c r="BI224" s="292"/>
      <c r="BJ224" s="292"/>
      <c r="BK224" s="293"/>
      <c r="BL224" s="289"/>
      <c r="BM224" s="291"/>
      <c r="BN224" s="292"/>
      <c r="BO224" s="292"/>
      <c r="BP224" s="293"/>
      <c r="BQ224" s="289"/>
      <c r="BR224" s="289"/>
      <c r="BS224" s="289"/>
      <c r="BT224" s="289"/>
      <c r="BU224" s="289"/>
      <c r="BV224" s="289"/>
      <c r="BW224" s="289"/>
      <c r="BX224" s="289"/>
      <c r="BY224" s="289"/>
      <c r="BZ224" s="289"/>
      <c r="CA224" s="289"/>
      <c r="CB224" s="289"/>
      <c r="CC224" s="289"/>
      <c r="CD224" s="289"/>
      <c r="CE224" s="289"/>
      <c r="CF224" s="289"/>
      <c r="CG224" s="289"/>
      <c r="CH224" s="289"/>
      <c r="CI224" s="289"/>
      <c r="CJ224" s="289"/>
      <c r="CK224" s="289"/>
      <c r="CL224" s="289"/>
      <c r="CM224" s="289"/>
      <c r="CN224" s="289"/>
      <c r="CO224" s="289"/>
      <c r="CP224" s="289"/>
      <c r="CQ224" s="289"/>
      <c r="CR224" s="289"/>
      <c r="CS224" s="289"/>
      <c r="CT224" s="289"/>
      <c r="CU224" s="289"/>
      <c r="CV224" s="289"/>
      <c r="CW224" s="289"/>
      <c r="CX224" s="289"/>
      <c r="CY224" s="289"/>
      <c r="CZ224" s="289"/>
    </row>
    <row r="225" spans="1:104" x14ac:dyDescent="0.2">
      <c r="A225" s="220"/>
      <c r="B225" s="220"/>
      <c r="C225" s="70" t="s">
        <v>231</v>
      </c>
      <c r="D225" s="82"/>
      <c r="E225" s="114">
        <v>9.5289999999999999</v>
      </c>
      <c r="F225" s="115">
        <v>222.69800000000001</v>
      </c>
      <c r="G225" s="115">
        <v>19.006</v>
      </c>
      <c r="H225" s="119">
        <f>I225</f>
        <v>33.429000000000002</v>
      </c>
      <c r="I225" s="117">
        <v>33.429000000000002</v>
      </c>
      <c r="J225" s="114">
        <v>8.1170000000000009</v>
      </c>
      <c r="K225" s="115">
        <v>8.3149999999999995</v>
      </c>
      <c r="L225" s="115">
        <v>35.232999999999997</v>
      </c>
      <c r="M225" s="119">
        <f>N225</f>
        <v>32.911999999999999</v>
      </c>
      <c r="N225" s="117">
        <v>32.911999999999999</v>
      </c>
      <c r="O225" s="114">
        <v>24.678000000000001</v>
      </c>
      <c r="P225" s="115">
        <v>21.385000000000002</v>
      </c>
      <c r="Q225" s="115">
        <v>89.509</v>
      </c>
      <c r="R225" s="119">
        <f>S225</f>
        <v>3.7629999999999999</v>
      </c>
      <c r="S225" s="117">
        <v>3.7629999999999999</v>
      </c>
      <c r="T225" s="114">
        <v>6.3570000000000002</v>
      </c>
      <c r="U225" s="115">
        <v>5.23</v>
      </c>
      <c r="V225" s="115">
        <v>633.91899999999998</v>
      </c>
      <c r="W225" s="119">
        <f>X225</f>
        <v>5.15</v>
      </c>
      <c r="X225" s="117">
        <v>5.15</v>
      </c>
      <c r="Y225" s="114">
        <v>18.721</v>
      </c>
      <c r="Z225" s="115">
        <v>3.8570000000000002</v>
      </c>
      <c r="AA225" s="115">
        <v>15.446</v>
      </c>
      <c r="AB225" s="119">
        <f>AC225</f>
        <v>21.088999999999999</v>
      </c>
      <c r="AC225" s="117">
        <v>21.088999999999999</v>
      </c>
      <c r="AD225" s="114">
        <v>18.12</v>
      </c>
      <c r="AE225" s="115">
        <v>6.4509999999999996</v>
      </c>
      <c r="AF225" s="115">
        <v>10.634</v>
      </c>
      <c r="AG225" s="119">
        <f>AH225</f>
        <v>7.6349999999999998</v>
      </c>
      <c r="AH225" s="117">
        <v>7.6349999999999998</v>
      </c>
      <c r="AI225" s="114">
        <v>3.093</v>
      </c>
      <c r="AJ225" s="115">
        <v>4.4950000000000001</v>
      </c>
      <c r="AK225" s="115">
        <v>34.709000000000003</v>
      </c>
      <c r="AL225" s="119">
        <f>AM225</f>
        <v>3.585</v>
      </c>
      <c r="AM225" s="117">
        <v>3.585</v>
      </c>
      <c r="AN225" s="114">
        <v>5.3150000000000004</v>
      </c>
      <c r="AO225" s="115">
        <v>4.3159999999999998</v>
      </c>
      <c r="AP225" s="115">
        <v>7.3449999999999998</v>
      </c>
      <c r="AQ225" s="119">
        <f>AR225</f>
        <v>5.9260000000000002</v>
      </c>
      <c r="AR225" s="117">
        <v>5.9260000000000002</v>
      </c>
      <c r="AS225" s="114">
        <v>6.2850000000000001</v>
      </c>
      <c r="AT225" s="115">
        <v>4.3209999999999997</v>
      </c>
      <c r="AU225" s="115">
        <v>59.484000000000002</v>
      </c>
      <c r="AV225" s="119">
        <f>AW225</f>
        <v>7.5129999999999999</v>
      </c>
      <c r="AW225" s="117">
        <v>7.5129999999999999</v>
      </c>
      <c r="AX225" s="136">
        <f t="shared" ref="AX225:BG225" si="506">+AX221</f>
        <v>0</v>
      </c>
      <c r="AY225" s="135">
        <f t="shared" si="506"/>
        <v>0</v>
      </c>
      <c r="AZ225" s="135">
        <f t="shared" si="506"/>
        <v>345.57100709761545</v>
      </c>
      <c r="BA225" s="116">
        <f t="shared" si="506"/>
        <v>239.75176968675569</v>
      </c>
      <c r="BB225" s="82">
        <f t="shared" si="506"/>
        <v>239.75176968675572</v>
      </c>
      <c r="BC225" s="136">
        <f t="shared" si="506"/>
        <v>195.12217932526809</v>
      </c>
      <c r="BD225" s="135">
        <f t="shared" si="506"/>
        <v>0</v>
      </c>
      <c r="BE225" s="135">
        <f t="shared" si="506"/>
        <v>0</v>
      </c>
      <c r="BF225" s="116">
        <f t="shared" si="506"/>
        <v>0</v>
      </c>
      <c r="BG225" s="82">
        <f t="shared" si="506"/>
        <v>0</v>
      </c>
      <c r="BH225" s="136">
        <f t="shared" ref="BH225:BQ225" si="507">+BH221</f>
        <v>0</v>
      </c>
      <c r="BI225" s="135">
        <f t="shared" si="507"/>
        <v>208.03830810521575</v>
      </c>
      <c r="BJ225" s="135">
        <f t="shared" si="507"/>
        <v>278.713850655952</v>
      </c>
      <c r="BK225" s="116">
        <f t="shared" si="507"/>
        <v>0</v>
      </c>
      <c r="BL225" s="82">
        <f t="shared" si="507"/>
        <v>5.6843418860808015E-14</v>
      </c>
      <c r="BM225" s="136">
        <f t="shared" si="507"/>
        <v>0</v>
      </c>
      <c r="BN225" s="135">
        <f t="shared" si="507"/>
        <v>141.81515742586231</v>
      </c>
      <c r="BO225" s="135">
        <f t="shared" si="507"/>
        <v>188.55388519759094</v>
      </c>
      <c r="BP225" s="116">
        <f t="shared" si="507"/>
        <v>110.85678600351542</v>
      </c>
      <c r="BQ225" s="82">
        <f t="shared" si="507"/>
        <v>110.85678600351531</v>
      </c>
      <c r="BR225" s="220"/>
      <c r="BS225" s="220"/>
      <c r="BT225" s="220"/>
      <c r="BU225" s="220"/>
      <c r="BV225" s="220"/>
      <c r="BW225" s="220"/>
      <c r="BX225" s="220"/>
      <c r="BY225" s="220"/>
      <c r="BZ225" s="220"/>
      <c r="CA225" s="220"/>
      <c r="CB225" s="220"/>
      <c r="CC225" s="220"/>
      <c r="CD225" s="220"/>
      <c r="CE225" s="220"/>
      <c r="CF225" s="220"/>
      <c r="CG225" s="220"/>
      <c r="CH225" s="220"/>
      <c r="CI225" s="220"/>
      <c r="CJ225" s="220"/>
      <c r="CK225" s="220"/>
      <c r="CL225" s="220"/>
      <c r="CM225" s="220"/>
      <c r="CN225" s="220"/>
      <c r="CO225" s="220"/>
      <c r="CP225" s="220"/>
      <c r="CQ225" s="220"/>
      <c r="CR225" s="220"/>
      <c r="CS225" s="220"/>
      <c r="CT225" s="220"/>
      <c r="CU225" s="220"/>
      <c r="CV225" s="220"/>
      <c r="CW225" s="220"/>
      <c r="CX225" s="220"/>
      <c r="CY225" s="220"/>
      <c r="CZ225" s="220"/>
    </row>
    <row r="226" spans="1:104" x14ac:dyDescent="0.2">
      <c r="A226" s="220"/>
      <c r="B226" s="220"/>
      <c r="C226" s="70"/>
      <c r="D226" s="82"/>
      <c r="E226" s="351"/>
      <c r="F226" s="352"/>
      <c r="G226" s="352"/>
      <c r="H226" s="353"/>
      <c r="I226" s="354"/>
      <c r="J226" s="351"/>
      <c r="K226" s="352"/>
      <c r="L226" s="352"/>
      <c r="M226" s="353"/>
      <c r="N226" s="354"/>
      <c r="O226" s="351"/>
      <c r="P226" s="337"/>
      <c r="Q226" s="337"/>
      <c r="R226" s="353"/>
      <c r="S226" s="354"/>
      <c r="T226" s="351"/>
      <c r="U226" s="337"/>
      <c r="V226" s="337"/>
      <c r="W226" s="353"/>
      <c r="X226" s="354"/>
      <c r="Y226" s="351"/>
      <c r="Z226" s="337"/>
      <c r="AA226" s="337"/>
      <c r="AB226" s="353"/>
      <c r="AC226" s="354"/>
      <c r="AD226" s="351"/>
      <c r="AE226" s="337"/>
      <c r="AF226" s="337"/>
      <c r="AG226" s="353"/>
      <c r="AH226" s="354"/>
      <c r="AI226" s="351"/>
      <c r="AJ226" s="337"/>
      <c r="AK226" s="337"/>
      <c r="AL226" s="353"/>
      <c r="AM226" s="354"/>
      <c r="AN226" s="351"/>
      <c r="AO226" s="337"/>
      <c r="AP226" s="337"/>
      <c r="AQ226" s="353"/>
      <c r="AR226" s="354"/>
      <c r="AS226" s="351"/>
      <c r="AT226" s="337"/>
      <c r="AU226" s="137"/>
      <c r="AV226" s="353"/>
      <c r="AW226" s="354"/>
      <c r="AX226" s="136"/>
      <c r="AY226" s="137"/>
      <c r="AZ226" s="137"/>
      <c r="BA226" s="116"/>
      <c r="BB226" s="220"/>
      <c r="BC226" s="136"/>
      <c r="BD226" s="137"/>
      <c r="BE226" s="137"/>
      <c r="BF226" s="116"/>
      <c r="BG226" s="220"/>
      <c r="BH226" s="136"/>
      <c r="BI226" s="137"/>
      <c r="BJ226" s="137"/>
      <c r="BK226" s="116"/>
      <c r="BL226" s="220"/>
      <c r="BM226" s="136"/>
      <c r="BN226" s="137"/>
      <c r="BO226" s="137"/>
      <c r="BP226" s="116"/>
      <c r="BQ226" s="220"/>
      <c r="BR226" s="220"/>
      <c r="BS226" s="220"/>
      <c r="BT226" s="220"/>
      <c r="BU226" s="220"/>
      <c r="BV226" s="220"/>
      <c r="BW226" s="220"/>
      <c r="BX226" s="220"/>
      <c r="BY226" s="220"/>
      <c r="BZ226" s="220"/>
      <c r="CA226" s="220"/>
      <c r="CB226" s="220"/>
      <c r="CC226" s="220"/>
      <c r="CD226" s="220"/>
      <c r="CE226" s="220"/>
      <c r="CF226" s="220"/>
      <c r="CG226" s="220"/>
      <c r="CH226" s="220"/>
      <c r="CI226" s="220"/>
      <c r="CJ226" s="220"/>
      <c r="CK226" s="220"/>
      <c r="CL226" s="220"/>
      <c r="CM226" s="220"/>
      <c r="CN226" s="220"/>
      <c r="CO226" s="220"/>
      <c r="CP226" s="220"/>
      <c r="CQ226" s="220"/>
      <c r="CR226" s="220"/>
      <c r="CS226" s="220"/>
      <c r="CT226" s="220"/>
      <c r="CU226" s="220"/>
      <c r="CV226" s="220"/>
      <c r="CW226" s="220"/>
      <c r="CX226" s="220"/>
      <c r="CY226" s="220"/>
      <c r="CZ226" s="220"/>
    </row>
    <row r="227" spans="1:104" x14ac:dyDescent="0.2">
      <c r="A227" s="220"/>
      <c r="B227" s="220"/>
      <c r="C227" s="70" t="s">
        <v>232</v>
      </c>
      <c r="D227" s="82"/>
      <c r="E227" s="114">
        <v>0</v>
      </c>
      <c r="F227" s="115">
        <v>0</v>
      </c>
      <c r="G227" s="115">
        <v>0</v>
      </c>
      <c r="H227" s="119">
        <f>I227</f>
        <v>95</v>
      </c>
      <c r="I227" s="117">
        <v>95</v>
      </c>
      <c r="J227" s="114">
        <v>36</v>
      </c>
      <c r="K227" s="115">
        <v>0</v>
      </c>
      <c r="L227" s="115">
        <v>0</v>
      </c>
      <c r="M227" s="119">
        <f>N227</f>
        <v>269.39999999999998</v>
      </c>
      <c r="N227" s="117">
        <v>269.39999999999998</v>
      </c>
      <c r="O227" s="114">
        <v>42</v>
      </c>
      <c r="P227" s="115">
        <v>149</v>
      </c>
      <c r="Q227" s="115">
        <v>0</v>
      </c>
      <c r="R227" s="119">
        <f>S227</f>
        <v>0</v>
      </c>
      <c r="S227" s="117">
        <v>0</v>
      </c>
      <c r="T227" s="114">
        <v>0</v>
      </c>
      <c r="U227" s="115">
        <f>5+5</f>
        <v>10</v>
      </c>
      <c r="V227" s="115">
        <v>0</v>
      </c>
      <c r="W227" s="119">
        <f>X227</f>
        <v>154</v>
      </c>
      <c r="X227" s="117">
        <v>154</v>
      </c>
      <c r="Y227" s="114">
        <v>0</v>
      </c>
      <c r="Z227" s="115">
        <v>0</v>
      </c>
      <c r="AA227" s="115">
        <v>0</v>
      </c>
      <c r="AB227" s="119">
        <f>AC227</f>
        <v>0</v>
      </c>
      <c r="AC227" s="117">
        <v>0</v>
      </c>
      <c r="AD227" s="114">
        <v>0</v>
      </c>
      <c r="AE227" s="115">
        <v>0</v>
      </c>
      <c r="AF227" s="115">
        <f>253+11</f>
        <v>264</v>
      </c>
      <c r="AG227" s="119">
        <f>AH227</f>
        <v>382</v>
      </c>
      <c r="AH227" s="117">
        <v>382</v>
      </c>
      <c r="AI227" s="114">
        <v>142</v>
      </c>
      <c r="AJ227" s="115">
        <v>53</v>
      </c>
      <c r="AK227" s="115">
        <v>0</v>
      </c>
      <c r="AL227" s="119">
        <f>AM227</f>
        <v>14</v>
      </c>
      <c r="AM227" s="117">
        <v>14</v>
      </c>
      <c r="AN227" s="114">
        <v>0</v>
      </c>
      <c r="AO227" s="115">
        <v>40</v>
      </c>
      <c r="AP227" s="115">
        <v>51</v>
      </c>
      <c r="AQ227" s="119">
        <f>AR227</f>
        <v>129</v>
      </c>
      <c r="AR227" s="117">
        <v>129</v>
      </c>
      <c r="AS227" s="114">
        <v>31</v>
      </c>
      <c r="AT227" s="115">
        <v>0</v>
      </c>
      <c r="AU227" s="115">
        <v>0</v>
      </c>
      <c r="AV227" s="119">
        <f>AW227</f>
        <v>0</v>
      </c>
      <c r="AW227" s="117">
        <v>0</v>
      </c>
      <c r="AX227" s="136">
        <f>+AW227+AX220</f>
        <v>43.15096208017156</v>
      </c>
      <c r="AY227" s="135">
        <f>+AX227+AY220</f>
        <v>126.98956748660407</v>
      </c>
      <c r="AZ227" s="135">
        <f>+AY227+AZ220</f>
        <v>0</v>
      </c>
      <c r="BA227" s="116">
        <f>+AZ227+BA220</f>
        <v>0</v>
      </c>
      <c r="BB227" s="82">
        <f>+BA227</f>
        <v>0</v>
      </c>
      <c r="BC227" s="136">
        <f>+BB227+BC220</f>
        <v>0</v>
      </c>
      <c r="BD227" s="135">
        <f>+BC227+BD220</f>
        <v>87.466634518798656</v>
      </c>
      <c r="BE227" s="135">
        <f>+BD227+BE220</f>
        <v>56.37237398683817</v>
      </c>
      <c r="BF227" s="116">
        <f>+BE227+BF220</f>
        <v>154.64231208285315</v>
      </c>
      <c r="BG227" s="82">
        <f>+BF227</f>
        <v>154.64231208285315</v>
      </c>
      <c r="BH227" s="136">
        <f>+BG227+BH220</f>
        <v>149.79759209483572</v>
      </c>
      <c r="BI227" s="135">
        <f>+BH227+BI220</f>
        <v>0</v>
      </c>
      <c r="BJ227" s="135">
        <f>+BI227+BJ220</f>
        <v>0</v>
      </c>
      <c r="BK227" s="116">
        <f>+BJ227+BK220</f>
        <v>176.15394911707631</v>
      </c>
      <c r="BL227" s="82">
        <f>+BK227</f>
        <v>176.15394911707631</v>
      </c>
      <c r="BM227" s="136">
        <f>+BL227+BM220</f>
        <v>189.94294166297311</v>
      </c>
      <c r="BN227" s="135">
        <f>+BM227+BN220</f>
        <v>0</v>
      </c>
      <c r="BO227" s="135">
        <f>+BN227+BO220</f>
        <v>0</v>
      </c>
      <c r="BP227" s="116">
        <f>+BO227+BP220</f>
        <v>0</v>
      </c>
      <c r="BQ227" s="82">
        <f>+BP227</f>
        <v>0</v>
      </c>
      <c r="BR227" s="220"/>
      <c r="BS227" s="220"/>
      <c r="BT227" s="220"/>
      <c r="BU227" s="220"/>
      <c r="BV227" s="220"/>
      <c r="BW227" s="220"/>
      <c r="BX227" s="220"/>
      <c r="BY227" s="220"/>
      <c r="BZ227" s="220"/>
      <c r="CA227" s="220"/>
      <c r="CB227" s="220"/>
      <c r="CC227" s="220"/>
      <c r="CD227" s="220"/>
      <c r="CE227" s="220"/>
      <c r="CF227" s="220"/>
      <c r="CG227" s="220"/>
      <c r="CH227" s="220"/>
      <c r="CI227" s="220"/>
      <c r="CJ227" s="220"/>
      <c r="CK227" s="220"/>
      <c r="CL227" s="220"/>
      <c r="CM227" s="220"/>
      <c r="CN227" s="220"/>
      <c r="CO227" s="220"/>
      <c r="CP227" s="220"/>
      <c r="CQ227" s="220"/>
      <c r="CR227" s="220"/>
      <c r="CS227" s="220"/>
      <c r="CT227" s="220"/>
      <c r="CU227" s="220"/>
      <c r="CV227" s="220"/>
      <c r="CW227" s="220"/>
      <c r="CX227" s="220"/>
      <c r="CY227" s="220"/>
      <c r="CZ227" s="220"/>
    </row>
    <row r="228" spans="1:104" x14ac:dyDescent="0.2">
      <c r="A228" s="220"/>
      <c r="B228" s="220"/>
      <c r="C228" s="70" t="s">
        <v>299</v>
      </c>
      <c r="D228" s="82"/>
      <c r="E228" s="114">
        <f>2289.048+201.524</f>
        <v>2490.5719999999997</v>
      </c>
      <c r="F228" s="115">
        <f>2686.701+201.537</f>
        <v>2888.2379999999998</v>
      </c>
      <c r="G228" s="115">
        <f>2816.265+5.137</f>
        <v>2821.402</v>
      </c>
      <c r="H228" s="116">
        <f>+I228</f>
        <v>2828.9519999999998</v>
      </c>
      <c r="I228" s="117">
        <f>2824.988+3.964</f>
        <v>2828.9519999999998</v>
      </c>
      <c r="J228" s="114">
        <f>2823.157+4.62</f>
        <v>2827.777</v>
      </c>
      <c r="K228" s="115">
        <f>2826.911+5.453</f>
        <v>2832.364</v>
      </c>
      <c r="L228" s="115">
        <f>2828.427+6.394</f>
        <v>2834.8209999999999</v>
      </c>
      <c r="M228" s="116">
        <f>+N228</f>
        <v>3235.223</v>
      </c>
      <c r="N228" s="117">
        <f>3228.253+6.97</f>
        <v>3235.223</v>
      </c>
      <c r="O228" s="114">
        <f>3228.956+6.504</f>
        <v>3235.46</v>
      </c>
      <c r="P228" s="115">
        <f>3227.966+5.77</f>
        <v>3233.7359999999999</v>
      </c>
      <c r="Q228" s="115">
        <f>3475.692+6.902</f>
        <v>3482.5940000000001</v>
      </c>
      <c r="R228" s="116">
        <f>+S228</f>
        <v>3486.2749999999996</v>
      </c>
      <c r="S228" s="117">
        <f>2880.642+605.633</f>
        <v>3486.2749999999996</v>
      </c>
      <c r="T228" s="114">
        <f>2629.346+855.791</f>
        <v>3485.1370000000002</v>
      </c>
      <c r="U228" s="115">
        <f>2628.01+855.954</f>
        <v>3483.9639999999999</v>
      </c>
      <c r="V228" s="115">
        <f>3424.623+856.122</f>
        <v>4280.7449999999999</v>
      </c>
      <c r="W228" s="116">
        <f>+X228</f>
        <v>3630.7730000000001</v>
      </c>
      <c r="X228" s="117">
        <f>3374.476+256.297</f>
        <v>3630.7730000000001</v>
      </c>
      <c r="Y228" s="114">
        <f>6.477+3870.164</f>
        <v>3876.6410000000001</v>
      </c>
      <c r="Z228" s="115">
        <f>281.676+3593.671</f>
        <v>3875.3469999999998</v>
      </c>
      <c r="AA228" s="115">
        <f>281.906+3592.116</f>
        <v>3874.0219999999999</v>
      </c>
      <c r="AB228" s="116">
        <f>+AC228</f>
        <v>3872.643</v>
      </c>
      <c r="AC228" s="117">
        <f>3590.5+282.143</f>
        <v>3872.643</v>
      </c>
      <c r="AD228" s="114">
        <f>3887.712+282.389</f>
        <v>4170.1009999999997</v>
      </c>
      <c r="AE228" s="115">
        <f>7.631+3885.939</f>
        <v>3893.5699999999997</v>
      </c>
      <c r="AF228" s="115">
        <f>7.854+3884.051</f>
        <v>3891.9049999999997</v>
      </c>
      <c r="AG228" s="116">
        <f>+AH228</f>
        <v>3890.2289999999998</v>
      </c>
      <c r="AH228" s="117">
        <f>8.178+3882.051</f>
        <v>3890.2289999999998</v>
      </c>
      <c r="AI228" s="114">
        <f>8.418+3880.066</f>
        <v>3888.4839999999999</v>
      </c>
      <c r="AJ228" s="115">
        <f>8.666+4127.235</f>
        <v>4135.9009999999998</v>
      </c>
      <c r="AK228" s="115">
        <f>8.921+4125.159</f>
        <v>4134.08</v>
      </c>
      <c r="AL228" s="116">
        <f>+AM228</f>
        <v>4132.1909999999998</v>
      </c>
      <c r="AM228" s="117">
        <f>8.103+4124.088</f>
        <v>4132.1909999999998</v>
      </c>
      <c r="AN228" s="114">
        <f>7.255+4097</f>
        <v>4104.2550000000001</v>
      </c>
      <c r="AO228" s="115">
        <f>6.33+4212.101</f>
        <v>4218.4309999999996</v>
      </c>
      <c r="AP228" s="115">
        <f>5.277+4211.396</f>
        <v>4216.6729999999998</v>
      </c>
      <c r="AQ228" s="116">
        <f>+AR228</f>
        <v>4216.2060000000001</v>
      </c>
      <c r="AR228" s="117">
        <f>5.27+4210.936</f>
        <v>4216.2060000000001</v>
      </c>
      <c r="AS228" s="114">
        <f>5.263+4210.435</f>
        <v>4215.6980000000003</v>
      </c>
      <c r="AT228" s="115">
        <f>5.303+4604.528</f>
        <v>4609.8310000000001</v>
      </c>
      <c r="AU228" s="115">
        <f>4303.229+305.437</f>
        <v>4608.6660000000002</v>
      </c>
      <c r="AV228" s="116">
        <f>+AW228</f>
        <v>4608.2750000000005</v>
      </c>
      <c r="AW228" s="117">
        <f>305.577+4302.698</f>
        <v>4608.2750000000005</v>
      </c>
      <c r="AX228" s="136">
        <f>+AW228+AX211+AX212</f>
        <v>4608.2750000000005</v>
      </c>
      <c r="AY228" s="135">
        <f>+AX228+AY211+AY212</f>
        <v>4608.2750000000005</v>
      </c>
      <c r="AZ228" s="135">
        <f>+AY228+AZ211+AZ212</f>
        <v>5058.2750000000005</v>
      </c>
      <c r="BA228" s="116">
        <f>+AZ228+BA211+BA212</f>
        <v>5058.2750000000005</v>
      </c>
      <c r="BB228" s="82">
        <f>+BA228</f>
        <v>5058.2750000000005</v>
      </c>
      <c r="BC228" s="136">
        <f>+BB228+BC211+BC212</f>
        <v>5058.2750000000005</v>
      </c>
      <c r="BD228" s="135">
        <f>+BC228+BD211+BD212</f>
        <v>4858.2750000000005</v>
      </c>
      <c r="BE228" s="135">
        <f>+BD228+BE211+BE212</f>
        <v>4858.2750000000005</v>
      </c>
      <c r="BF228" s="116">
        <f>+BE228+BF211+BF212</f>
        <v>4858.2750000000005</v>
      </c>
      <c r="BG228" s="82">
        <f>+BF228</f>
        <v>4858.2750000000005</v>
      </c>
      <c r="BH228" s="136">
        <f>+BG228+BH211+BH212</f>
        <v>4858.2750000000005</v>
      </c>
      <c r="BI228" s="135">
        <f>+BH228+BI211+BI212</f>
        <v>5258.2750000000005</v>
      </c>
      <c r="BJ228" s="135">
        <f>+BI228+BJ211+BJ212</f>
        <v>5258.2750000000005</v>
      </c>
      <c r="BK228" s="116">
        <f>+BJ228+BK211+BK212</f>
        <v>4858.2750000000005</v>
      </c>
      <c r="BL228" s="82">
        <f>+BK228</f>
        <v>4858.2750000000005</v>
      </c>
      <c r="BM228" s="136">
        <f>+BL228+BM211+BM212</f>
        <v>4858.2750000000005</v>
      </c>
      <c r="BN228" s="135">
        <f>+BM228+BN211+BN212</f>
        <v>5258.2750000000005</v>
      </c>
      <c r="BO228" s="135">
        <f>+BN228+BO211+BO212</f>
        <v>5258.2750000000005</v>
      </c>
      <c r="BP228" s="116">
        <f>+BO228+BP211+BP212</f>
        <v>5258.2750000000005</v>
      </c>
      <c r="BQ228" s="82">
        <f>+BP228</f>
        <v>5258.2750000000005</v>
      </c>
      <c r="BR228" s="220"/>
      <c r="BS228" s="220"/>
      <c r="BT228" s="220"/>
      <c r="BU228" s="220"/>
      <c r="BV228" s="220"/>
      <c r="BW228" s="220"/>
      <c r="BX228" s="220"/>
      <c r="BY228" s="220"/>
      <c r="BZ228" s="220"/>
      <c r="CA228" s="220"/>
      <c r="CB228" s="220"/>
      <c r="CC228" s="220"/>
      <c r="CD228" s="220"/>
      <c r="CE228" s="220"/>
      <c r="CF228" s="220"/>
      <c r="CG228" s="220"/>
      <c r="CH228" s="220"/>
      <c r="CI228" s="220"/>
      <c r="CJ228" s="220"/>
      <c r="CK228" s="220"/>
      <c r="CL228" s="220"/>
      <c r="CM228" s="220"/>
      <c r="CN228" s="220"/>
      <c r="CO228" s="220"/>
      <c r="CP228" s="220"/>
      <c r="CQ228" s="220"/>
      <c r="CR228" s="220"/>
      <c r="CS228" s="220"/>
      <c r="CT228" s="220"/>
      <c r="CU228" s="220"/>
      <c r="CV228" s="220"/>
      <c r="CW228" s="220"/>
      <c r="CX228" s="220"/>
      <c r="CY228" s="220"/>
      <c r="CZ228" s="220"/>
    </row>
    <row r="229" spans="1:104" x14ac:dyDescent="0.2">
      <c r="A229" s="220"/>
      <c r="B229" s="220"/>
      <c r="C229" s="141" t="s">
        <v>48</v>
      </c>
      <c r="D229" s="82"/>
      <c r="E229" s="121">
        <f>SUM(E227:E228)</f>
        <v>2490.5719999999997</v>
      </c>
      <c r="F229" s="122">
        <f>SUM(F227:F228)</f>
        <v>2888.2379999999998</v>
      </c>
      <c r="G229" s="122">
        <f>SUM(G227:G228)</f>
        <v>2821.402</v>
      </c>
      <c r="H229" s="123">
        <f>+I229</f>
        <v>2923.9519999999998</v>
      </c>
      <c r="I229" s="86">
        <f>SUM(I227:I228)</f>
        <v>2923.9519999999998</v>
      </c>
      <c r="J229" s="121">
        <f>SUM(J227:J228)</f>
        <v>2863.777</v>
      </c>
      <c r="K229" s="122">
        <f>SUM(K227:K228)</f>
        <v>2832.364</v>
      </c>
      <c r="L229" s="122">
        <f>SUM(L227:L228)</f>
        <v>2834.8209999999999</v>
      </c>
      <c r="M229" s="123">
        <f>+N229</f>
        <v>3504.623</v>
      </c>
      <c r="N229" s="86">
        <f>SUM(N227:N228)</f>
        <v>3504.623</v>
      </c>
      <c r="O229" s="121">
        <f>SUM(O227:O228)</f>
        <v>3277.46</v>
      </c>
      <c r="P229" s="122">
        <f>SUM(P227:P228)</f>
        <v>3382.7359999999999</v>
      </c>
      <c r="Q229" s="122">
        <f>SUM(Q227:Q228)</f>
        <v>3482.5940000000001</v>
      </c>
      <c r="R229" s="123">
        <f>+S229</f>
        <v>3486.2749999999996</v>
      </c>
      <c r="S229" s="86">
        <f>SUM(S227:S228)</f>
        <v>3486.2749999999996</v>
      </c>
      <c r="T229" s="121">
        <f>SUM(T227:T228)</f>
        <v>3485.1370000000002</v>
      </c>
      <c r="U229" s="122">
        <f>SUM(U227:U228)</f>
        <v>3493.9639999999999</v>
      </c>
      <c r="V229" s="122">
        <f>SUM(V227:V228)</f>
        <v>4280.7449999999999</v>
      </c>
      <c r="W229" s="123">
        <f>+X229</f>
        <v>3784.7730000000001</v>
      </c>
      <c r="X229" s="86">
        <f>SUM(X227:X228)</f>
        <v>3784.7730000000001</v>
      </c>
      <c r="Y229" s="121">
        <f>SUM(Y227:Y228)</f>
        <v>3876.6410000000001</v>
      </c>
      <c r="Z229" s="122">
        <f>SUM(Z227:Z228)</f>
        <v>3875.3469999999998</v>
      </c>
      <c r="AA229" s="122">
        <f>SUM(AA227:AA228)</f>
        <v>3874.0219999999999</v>
      </c>
      <c r="AB229" s="123">
        <f>+AC229</f>
        <v>3872.643</v>
      </c>
      <c r="AC229" s="86">
        <f t="shared" ref="AC229:AI229" si="508">SUM(AC227:AC228)</f>
        <v>3872.643</v>
      </c>
      <c r="AD229" s="121">
        <f t="shared" si="508"/>
        <v>4170.1009999999997</v>
      </c>
      <c r="AE229" s="122">
        <f t="shared" si="508"/>
        <v>3893.5699999999997</v>
      </c>
      <c r="AF229" s="122">
        <f t="shared" si="508"/>
        <v>4155.9049999999997</v>
      </c>
      <c r="AG229" s="123">
        <f>+AH229</f>
        <v>4272.2289999999994</v>
      </c>
      <c r="AH229" s="86">
        <f>SUM(AH227:AH228)</f>
        <v>4272.2289999999994</v>
      </c>
      <c r="AI229" s="121">
        <f t="shared" si="508"/>
        <v>4030.4839999999999</v>
      </c>
      <c r="AJ229" s="122">
        <f>SUM(AJ227:AJ228)</f>
        <v>4188.9009999999998</v>
      </c>
      <c r="AK229" s="122">
        <f>SUM(AK227:AK228)</f>
        <v>4134.08</v>
      </c>
      <c r="AL229" s="123">
        <f>+AM229</f>
        <v>4146.1909999999998</v>
      </c>
      <c r="AM229" s="86">
        <f>SUM(AM227:AM228)</f>
        <v>4146.1909999999998</v>
      </c>
      <c r="AN229" s="121">
        <f>SUM(AN227:AN228)</f>
        <v>4104.2550000000001</v>
      </c>
      <c r="AO229" s="122">
        <f>SUM(AO227:AO228)</f>
        <v>4258.4309999999996</v>
      </c>
      <c r="AP229" s="122">
        <f>SUM(AP227:AP228)</f>
        <v>4267.6729999999998</v>
      </c>
      <c r="AQ229" s="123">
        <f>+AR229</f>
        <v>4345.2060000000001</v>
      </c>
      <c r="AR229" s="86">
        <f t="shared" ref="AR229:AU229" si="509">SUM(AR227:AR228)</f>
        <v>4345.2060000000001</v>
      </c>
      <c r="AS229" s="121">
        <f t="shared" si="509"/>
        <v>4246.6980000000003</v>
      </c>
      <c r="AT229" s="122">
        <f t="shared" si="509"/>
        <v>4609.8310000000001</v>
      </c>
      <c r="AU229" s="122">
        <f t="shared" si="509"/>
        <v>4608.6660000000002</v>
      </c>
      <c r="AV229" s="123">
        <f>+AW229</f>
        <v>4608.2750000000005</v>
      </c>
      <c r="AW229" s="86">
        <f t="shared" ref="AW229" si="510">SUM(AW227:AW228)</f>
        <v>4608.2750000000005</v>
      </c>
      <c r="AX229" s="121">
        <f t="shared" ref="AX229:BG229" si="511">SUM(AX227:AX228)</f>
        <v>4651.4259620801722</v>
      </c>
      <c r="AY229" s="122">
        <f t="shared" si="511"/>
        <v>4735.2645674866044</v>
      </c>
      <c r="AZ229" s="122">
        <f t="shared" si="511"/>
        <v>5058.2750000000005</v>
      </c>
      <c r="BA229" s="123">
        <f t="shared" si="511"/>
        <v>5058.2750000000005</v>
      </c>
      <c r="BB229" s="86">
        <f t="shared" si="511"/>
        <v>5058.2750000000005</v>
      </c>
      <c r="BC229" s="121">
        <f t="shared" si="511"/>
        <v>5058.2750000000005</v>
      </c>
      <c r="BD229" s="122">
        <f t="shared" si="511"/>
        <v>4945.7416345187994</v>
      </c>
      <c r="BE229" s="122">
        <f t="shared" si="511"/>
        <v>4914.6473739868388</v>
      </c>
      <c r="BF229" s="123">
        <f t="shared" si="511"/>
        <v>5012.9173120828536</v>
      </c>
      <c r="BG229" s="86">
        <f t="shared" si="511"/>
        <v>5012.9173120828536</v>
      </c>
      <c r="BH229" s="121">
        <f t="shared" ref="BH229:BQ229" si="512">SUM(BH227:BH228)</f>
        <v>5008.0725920948362</v>
      </c>
      <c r="BI229" s="122">
        <f t="shared" si="512"/>
        <v>5258.2750000000005</v>
      </c>
      <c r="BJ229" s="122">
        <f t="shared" si="512"/>
        <v>5258.2750000000005</v>
      </c>
      <c r="BK229" s="123">
        <f t="shared" si="512"/>
        <v>5034.4289491170766</v>
      </c>
      <c r="BL229" s="86">
        <f t="shared" si="512"/>
        <v>5034.4289491170766</v>
      </c>
      <c r="BM229" s="121">
        <f t="shared" si="512"/>
        <v>5048.2179416629733</v>
      </c>
      <c r="BN229" s="122">
        <f t="shared" si="512"/>
        <v>5258.2750000000005</v>
      </c>
      <c r="BO229" s="122">
        <f t="shared" si="512"/>
        <v>5258.2750000000005</v>
      </c>
      <c r="BP229" s="123">
        <f t="shared" si="512"/>
        <v>5258.2750000000005</v>
      </c>
      <c r="BQ229" s="86">
        <f t="shared" si="512"/>
        <v>5258.2750000000005</v>
      </c>
      <c r="BR229" s="220"/>
      <c r="BS229" s="220"/>
      <c r="BT229" s="220"/>
      <c r="BU229" s="220"/>
      <c r="BV229" s="220"/>
      <c r="BW229" s="220"/>
      <c r="BX229" s="220"/>
      <c r="BY229" s="220"/>
      <c r="BZ229" s="220"/>
      <c r="CA229" s="220"/>
      <c r="CB229" s="220"/>
      <c r="CC229" s="220"/>
      <c r="CD229" s="220"/>
      <c r="CE229" s="220"/>
      <c r="CF229" s="220"/>
      <c r="CG229" s="220"/>
      <c r="CH229" s="220"/>
      <c r="CI229" s="220"/>
      <c r="CJ229" s="220"/>
      <c r="CK229" s="220"/>
      <c r="CL229" s="220"/>
      <c r="CM229" s="220"/>
      <c r="CN229" s="220"/>
      <c r="CO229" s="220"/>
      <c r="CP229" s="220"/>
      <c r="CQ229" s="220"/>
      <c r="CR229" s="220"/>
      <c r="CS229" s="220"/>
      <c r="CT229" s="220"/>
      <c r="CU229" s="220"/>
      <c r="CV229" s="220"/>
      <c r="CW229" s="220"/>
      <c r="CX229" s="220"/>
      <c r="CY229" s="220"/>
      <c r="CZ229" s="220"/>
    </row>
    <row r="230" spans="1:104" x14ac:dyDescent="0.2">
      <c r="A230" s="45"/>
      <c r="B230" s="45"/>
      <c r="C230" s="248" t="s">
        <v>234</v>
      </c>
      <c r="D230" s="45"/>
      <c r="E230" s="249">
        <f t="shared" ref="E230:T230" si="513">+E229/E238</f>
        <v>0.40829189739833527</v>
      </c>
      <c r="F230" s="250">
        <f t="shared" si="513"/>
        <v>0.44346372518446836</v>
      </c>
      <c r="G230" s="250">
        <f t="shared" si="513"/>
        <v>0.43599295958561074</v>
      </c>
      <c r="H230" s="251">
        <f t="shared" si="513"/>
        <v>0.43838899295717421</v>
      </c>
      <c r="I230" s="252">
        <f t="shared" si="513"/>
        <v>0.43838899295717421</v>
      </c>
      <c r="J230" s="249">
        <f t="shared" si="513"/>
        <v>0.43213268351451428</v>
      </c>
      <c r="K230" s="250">
        <f t="shared" si="513"/>
        <v>0.41997507756381708</v>
      </c>
      <c r="L230" s="250">
        <f t="shared" si="513"/>
        <v>0.4145712799054922</v>
      </c>
      <c r="M230" s="251">
        <f t="shared" si="513"/>
        <v>0.4585512122035631</v>
      </c>
      <c r="N230" s="252">
        <f t="shared" si="513"/>
        <v>0.4585512122035631</v>
      </c>
      <c r="O230" s="249">
        <f t="shared" si="513"/>
        <v>0.43590165778981399</v>
      </c>
      <c r="P230" s="250">
        <f t="shared" si="513"/>
        <v>0.4434440212119905</v>
      </c>
      <c r="Q230" s="250">
        <f>+Q229/Q238</f>
        <v>0.44725574748256075</v>
      </c>
      <c r="R230" s="251">
        <f t="shared" si="513"/>
        <v>0.44741762473349245</v>
      </c>
      <c r="S230" s="252">
        <f>+S229/S238</f>
        <v>0.44741762473349245</v>
      </c>
      <c r="T230" s="249">
        <f t="shared" si="513"/>
        <v>0.4451171103698886</v>
      </c>
      <c r="U230" s="250">
        <f>+U229/U238</f>
        <v>0.44359724763735053</v>
      </c>
      <c r="V230" s="250">
        <f>+V229/V238</f>
        <v>0.48726169025338889</v>
      </c>
      <c r="W230" s="251">
        <f t="shared" ref="W230:AD230" si="514">+W229/W238</f>
        <v>0.45215571145741695</v>
      </c>
      <c r="X230" s="252">
        <f t="shared" si="514"/>
        <v>0.45215571145741695</v>
      </c>
      <c r="Y230" s="249">
        <f t="shared" si="514"/>
        <v>0.45542212212528549</v>
      </c>
      <c r="Z230" s="250">
        <f t="shared" si="514"/>
        <v>0.45362521785229382</v>
      </c>
      <c r="AA230" s="250">
        <f t="shared" si="514"/>
        <v>0.44802354966788155</v>
      </c>
      <c r="AB230" s="251">
        <f t="shared" si="514"/>
        <v>0.44643260206011959</v>
      </c>
      <c r="AC230" s="252">
        <f t="shared" si="514"/>
        <v>0.44643260206011959</v>
      </c>
      <c r="AD230" s="249">
        <f t="shared" si="514"/>
        <v>0.46874248990429562</v>
      </c>
      <c r="AE230" s="250">
        <f t="shared" ref="AE230:AJ230" si="515">+AE229/AE238</f>
        <v>0.45019645949715342</v>
      </c>
      <c r="AF230" s="250">
        <f t="shared" si="515"/>
        <v>0.46244964374651076</v>
      </c>
      <c r="AG230" s="251">
        <f t="shared" si="515"/>
        <v>0.46649893842238338</v>
      </c>
      <c r="AH230" s="252">
        <f t="shared" si="515"/>
        <v>0.46649893842238338</v>
      </c>
      <c r="AI230" s="249">
        <f t="shared" si="515"/>
        <v>0.45051532540625899</v>
      </c>
      <c r="AJ230" s="250">
        <f t="shared" si="515"/>
        <v>0.45789431628116745</v>
      </c>
      <c r="AK230" s="250">
        <f t="shared" ref="AK230:AU230" si="516">+AK229/AK238</f>
        <v>0.4501264336478133</v>
      </c>
      <c r="AL230" s="251">
        <f t="shared" si="516"/>
        <v>0.44744631188377115</v>
      </c>
      <c r="AM230" s="252">
        <f t="shared" si="516"/>
        <v>0.44744631188377115</v>
      </c>
      <c r="AN230" s="249">
        <f t="shared" si="516"/>
        <v>0.44339602971303455</v>
      </c>
      <c r="AO230" s="250">
        <f t="shared" si="516"/>
        <v>0.45089381339523094</v>
      </c>
      <c r="AP230" s="250">
        <f t="shared" si="516"/>
        <v>0.44702017484981565</v>
      </c>
      <c r="AQ230" s="251">
        <f t="shared" si="516"/>
        <v>0.45193543485308529</v>
      </c>
      <c r="AR230" s="252">
        <f t="shared" si="516"/>
        <v>0.45193543485308529</v>
      </c>
      <c r="AS230" s="249">
        <f t="shared" si="516"/>
        <v>0.43935102194397324</v>
      </c>
      <c r="AT230" s="250">
        <f t="shared" si="516"/>
        <v>0.45794054303209475</v>
      </c>
      <c r="AU230" s="250">
        <f t="shared" si="516"/>
        <v>0.45026211668036736</v>
      </c>
      <c r="AV230" s="251">
        <f t="shared" ref="AV230:AW230" si="517">+AV229/AV238</f>
        <v>0.44028393944240524</v>
      </c>
      <c r="AW230" s="252">
        <f t="shared" si="517"/>
        <v>0.44028393944240524</v>
      </c>
      <c r="AX230" s="249">
        <f t="shared" ref="AX230:BG230" si="518">+AX229/AX238</f>
        <v>0.43954441612170964</v>
      </c>
      <c r="AY230" s="250">
        <f t="shared" si="518"/>
        <v>0.44201100073284139</v>
      </c>
      <c r="AZ230" s="250">
        <f t="shared" si="518"/>
        <v>0.45312010478758119</v>
      </c>
      <c r="BA230" s="251">
        <f t="shared" si="518"/>
        <v>0.45202076197211083</v>
      </c>
      <c r="BB230" s="252">
        <f t="shared" si="518"/>
        <v>0.45202076197211083</v>
      </c>
      <c r="BC230" s="249">
        <f t="shared" si="518"/>
        <v>0.45044826002988742</v>
      </c>
      <c r="BD230" s="250">
        <f t="shared" si="518"/>
        <v>0.44465943628041471</v>
      </c>
      <c r="BE230" s="250">
        <f t="shared" si="518"/>
        <v>0.43945761403738742</v>
      </c>
      <c r="BF230" s="251">
        <f t="shared" si="518"/>
        <v>0.44467491217010152</v>
      </c>
      <c r="BG230" s="252">
        <f t="shared" si="518"/>
        <v>0.44467491217010152</v>
      </c>
      <c r="BH230" s="249">
        <f t="shared" ref="BH230:BQ230" si="519">+BH229/BH238</f>
        <v>0.44211330025888507</v>
      </c>
      <c r="BI230" s="250">
        <f t="shared" si="519"/>
        <v>0.45331191074814298</v>
      </c>
      <c r="BJ230" s="250">
        <f t="shared" si="519"/>
        <v>0.44913898260352836</v>
      </c>
      <c r="BK230" s="251">
        <f t="shared" si="519"/>
        <v>0.43800471800504071</v>
      </c>
      <c r="BL230" s="252">
        <f t="shared" si="519"/>
        <v>0.43800471800504071</v>
      </c>
      <c r="BM230" s="249">
        <f t="shared" si="519"/>
        <v>0.43551045474193634</v>
      </c>
      <c r="BN230" s="250">
        <f t="shared" si="519"/>
        <v>0.44398827785906964</v>
      </c>
      <c r="BO230" s="250">
        <f t="shared" si="519"/>
        <v>0.43920870501796738</v>
      </c>
      <c r="BP230" s="251">
        <f t="shared" si="519"/>
        <v>0.43803767588398418</v>
      </c>
      <c r="BQ230" s="252">
        <f t="shared" si="519"/>
        <v>0.43803767588398418</v>
      </c>
      <c r="BR230" s="45"/>
      <c r="BS230" s="45"/>
      <c r="BT230" s="45"/>
      <c r="BU230" s="45"/>
      <c r="BV230" s="45"/>
      <c r="BW230" s="45"/>
      <c r="BX230" s="45"/>
      <c r="BY230" s="45"/>
      <c r="BZ230" s="45"/>
      <c r="CA230" s="45"/>
      <c r="CB230" s="45"/>
      <c r="CC230" s="45"/>
      <c r="CD230" s="45"/>
      <c r="CE230" s="45"/>
      <c r="CF230" s="45"/>
      <c r="CG230" s="45"/>
      <c r="CH230" s="45"/>
      <c r="CI230" s="45"/>
      <c r="CJ230" s="45"/>
      <c r="CK230" s="45"/>
      <c r="CL230" s="45"/>
      <c r="CM230" s="45"/>
      <c r="CN230" s="45"/>
      <c r="CO230" s="45"/>
      <c r="CP230" s="45"/>
      <c r="CQ230" s="45"/>
      <c r="CR230" s="45"/>
      <c r="CS230" s="45"/>
      <c r="CT230" s="45"/>
      <c r="CU230" s="45"/>
      <c r="CV230" s="45"/>
      <c r="CW230" s="45"/>
      <c r="CX230" s="45"/>
      <c r="CY230" s="45"/>
      <c r="CZ230" s="45"/>
    </row>
    <row r="231" spans="1:104" x14ac:dyDescent="0.2">
      <c r="A231" s="289"/>
      <c r="B231" s="289"/>
      <c r="C231" s="355"/>
      <c r="D231" s="289"/>
      <c r="E231" s="291"/>
      <c r="F231" s="292"/>
      <c r="G231" s="292"/>
      <c r="H231" s="293"/>
      <c r="I231" s="289"/>
      <c r="J231" s="291"/>
      <c r="K231" s="292"/>
      <c r="L231" s="292"/>
      <c r="M231" s="293"/>
      <c r="N231" s="289"/>
      <c r="O231" s="291"/>
      <c r="P231" s="292"/>
      <c r="Q231" s="292"/>
      <c r="R231" s="293"/>
      <c r="S231" s="289"/>
      <c r="T231" s="291"/>
      <c r="U231" s="292"/>
      <c r="V231" s="292"/>
      <c r="W231" s="293"/>
      <c r="X231" s="289"/>
      <c r="Y231" s="291"/>
      <c r="Z231" s="292"/>
      <c r="AA231" s="292"/>
      <c r="AB231" s="293"/>
      <c r="AC231" s="289"/>
      <c r="AD231" s="291"/>
      <c r="AE231" s="292"/>
      <c r="AF231" s="292"/>
      <c r="AG231" s="293"/>
      <c r="AH231" s="289"/>
      <c r="AI231" s="291"/>
      <c r="AJ231" s="292"/>
      <c r="AK231" s="292"/>
      <c r="AL231" s="293"/>
      <c r="AM231" s="289"/>
      <c r="AN231" s="291"/>
      <c r="AO231" s="292"/>
      <c r="AP231" s="292"/>
      <c r="AQ231" s="293"/>
      <c r="AR231" s="289"/>
      <c r="AS231" s="291"/>
      <c r="AT231" s="292"/>
      <c r="AU231" s="292"/>
      <c r="AV231" s="293"/>
      <c r="AW231" s="289"/>
      <c r="AX231" s="291"/>
      <c r="AY231" s="292"/>
      <c r="AZ231" s="292"/>
      <c r="BA231" s="293"/>
      <c r="BB231" s="289"/>
      <c r="BC231" s="291"/>
      <c r="BD231" s="292"/>
      <c r="BE231" s="292"/>
      <c r="BF231" s="293"/>
      <c r="BG231" s="289"/>
      <c r="BH231" s="291"/>
      <c r="BI231" s="292"/>
      <c r="BJ231" s="292"/>
      <c r="BK231" s="293"/>
      <c r="BL231" s="289"/>
      <c r="BM231" s="291"/>
      <c r="BN231" s="292"/>
      <c r="BO231" s="292"/>
      <c r="BP231" s="293"/>
      <c r="BQ231" s="289"/>
      <c r="BR231" s="289"/>
      <c r="BS231" s="289"/>
      <c r="BT231" s="289"/>
      <c r="BU231" s="289"/>
      <c r="BV231" s="289"/>
      <c r="BW231" s="289"/>
      <c r="BX231" s="289"/>
      <c r="BY231" s="289"/>
      <c r="BZ231" s="289"/>
      <c r="CA231" s="289"/>
      <c r="CB231" s="289"/>
      <c r="CC231" s="289"/>
      <c r="CD231" s="289"/>
      <c r="CE231" s="289"/>
      <c r="CF231" s="289"/>
      <c r="CG231" s="289"/>
      <c r="CH231" s="289"/>
      <c r="CI231" s="289"/>
      <c r="CJ231" s="289"/>
      <c r="CK231" s="289"/>
      <c r="CL231" s="289"/>
      <c r="CM231" s="289"/>
      <c r="CN231" s="289"/>
      <c r="CO231" s="289"/>
      <c r="CP231" s="289"/>
      <c r="CQ231" s="289"/>
      <c r="CR231" s="289"/>
      <c r="CS231" s="289"/>
      <c r="CT231" s="289"/>
      <c r="CU231" s="289"/>
      <c r="CV231" s="289"/>
      <c r="CW231" s="289"/>
      <c r="CX231" s="289"/>
      <c r="CY231" s="289"/>
      <c r="CZ231" s="289"/>
    </row>
    <row r="232" spans="1:104" x14ac:dyDescent="0.2">
      <c r="A232" s="220"/>
      <c r="B232" s="220"/>
      <c r="C232" s="141" t="s">
        <v>235</v>
      </c>
      <c r="D232" s="82"/>
      <c r="E232" s="235">
        <v>0</v>
      </c>
      <c r="F232" s="236">
        <v>0</v>
      </c>
      <c r="G232" s="236">
        <v>0</v>
      </c>
      <c r="H232" s="119">
        <f>I232</f>
        <v>0</v>
      </c>
      <c r="I232" s="237">
        <v>0</v>
      </c>
      <c r="J232" s="235">
        <v>0</v>
      </c>
      <c r="K232" s="236">
        <v>0</v>
      </c>
      <c r="L232" s="236">
        <v>0</v>
      </c>
      <c r="M232" s="119">
        <f>N232</f>
        <v>0</v>
      </c>
      <c r="N232" s="237">
        <v>0</v>
      </c>
      <c r="O232" s="235">
        <v>0</v>
      </c>
      <c r="P232" s="236">
        <v>0</v>
      </c>
      <c r="Q232" s="236">
        <v>0</v>
      </c>
      <c r="R232" s="119">
        <f>S232</f>
        <v>0</v>
      </c>
      <c r="S232" s="237">
        <v>0</v>
      </c>
      <c r="T232" s="235">
        <v>0</v>
      </c>
      <c r="U232" s="236">
        <v>0</v>
      </c>
      <c r="V232" s="236">
        <v>0</v>
      </c>
      <c r="W232" s="119">
        <f>X232</f>
        <v>0</v>
      </c>
      <c r="X232" s="237">
        <v>0</v>
      </c>
      <c r="Y232" s="235">
        <v>0</v>
      </c>
      <c r="Z232" s="236">
        <v>0</v>
      </c>
      <c r="AA232" s="236">
        <v>0</v>
      </c>
      <c r="AB232" s="119">
        <f>AC232</f>
        <v>0</v>
      </c>
      <c r="AC232" s="237">
        <v>0</v>
      </c>
      <c r="AD232" s="235">
        <v>0</v>
      </c>
      <c r="AE232" s="236">
        <v>0</v>
      </c>
      <c r="AF232" s="236">
        <v>0</v>
      </c>
      <c r="AG232" s="119">
        <f>AH232</f>
        <v>0</v>
      </c>
      <c r="AH232" s="237">
        <v>0</v>
      </c>
      <c r="AI232" s="235">
        <v>0</v>
      </c>
      <c r="AJ232" s="236">
        <v>0</v>
      </c>
      <c r="AK232" s="236">
        <v>0</v>
      </c>
      <c r="AL232" s="119">
        <f>AM232</f>
        <v>0</v>
      </c>
      <c r="AM232" s="237">
        <v>0</v>
      </c>
      <c r="AN232" s="235">
        <v>0</v>
      </c>
      <c r="AO232" s="236">
        <v>0</v>
      </c>
      <c r="AP232" s="236">
        <v>0</v>
      </c>
      <c r="AQ232" s="119">
        <f>AR232</f>
        <v>0</v>
      </c>
      <c r="AR232" s="237">
        <v>0</v>
      </c>
      <c r="AS232" s="235">
        <v>0</v>
      </c>
      <c r="AT232" s="236">
        <v>0</v>
      </c>
      <c r="AU232" s="236">
        <v>0</v>
      </c>
      <c r="AV232" s="119">
        <f>AW232</f>
        <v>0</v>
      </c>
      <c r="AW232" s="237">
        <v>0</v>
      </c>
      <c r="AX232" s="121">
        <f t="shared" ref="AX232:BG232" si="520">+AW232</f>
        <v>0</v>
      </c>
      <c r="AY232" s="122">
        <f t="shared" si="520"/>
        <v>0</v>
      </c>
      <c r="AZ232" s="122">
        <f t="shared" si="520"/>
        <v>0</v>
      </c>
      <c r="BA232" s="123">
        <f t="shared" si="520"/>
        <v>0</v>
      </c>
      <c r="BB232" s="86">
        <f t="shared" si="520"/>
        <v>0</v>
      </c>
      <c r="BC232" s="121">
        <f t="shared" si="520"/>
        <v>0</v>
      </c>
      <c r="BD232" s="122">
        <f t="shared" si="520"/>
        <v>0</v>
      </c>
      <c r="BE232" s="122">
        <f t="shared" si="520"/>
        <v>0</v>
      </c>
      <c r="BF232" s="123">
        <f t="shared" si="520"/>
        <v>0</v>
      </c>
      <c r="BG232" s="86">
        <f t="shared" si="520"/>
        <v>0</v>
      </c>
      <c r="BH232" s="121">
        <f t="shared" ref="BH232:BQ232" si="521">+BG232</f>
        <v>0</v>
      </c>
      <c r="BI232" s="122">
        <f t="shared" si="521"/>
        <v>0</v>
      </c>
      <c r="BJ232" s="122">
        <f t="shared" si="521"/>
        <v>0</v>
      </c>
      <c r="BK232" s="123">
        <f t="shared" si="521"/>
        <v>0</v>
      </c>
      <c r="BL232" s="86">
        <f t="shared" si="521"/>
        <v>0</v>
      </c>
      <c r="BM232" s="121">
        <f t="shared" si="521"/>
        <v>0</v>
      </c>
      <c r="BN232" s="122">
        <f t="shared" si="521"/>
        <v>0</v>
      </c>
      <c r="BO232" s="122">
        <f t="shared" si="521"/>
        <v>0</v>
      </c>
      <c r="BP232" s="123">
        <f t="shared" si="521"/>
        <v>0</v>
      </c>
      <c r="BQ232" s="86">
        <f t="shared" si="521"/>
        <v>0</v>
      </c>
      <c r="BR232" s="220"/>
      <c r="BS232" s="220"/>
      <c r="BT232" s="220"/>
      <c r="BU232" s="220"/>
      <c r="BV232" s="220"/>
      <c r="BW232" s="220"/>
      <c r="BX232" s="220"/>
      <c r="BY232" s="220"/>
      <c r="BZ232" s="220"/>
      <c r="CA232" s="220"/>
      <c r="CB232" s="220"/>
      <c r="CC232" s="220"/>
      <c r="CD232" s="220"/>
      <c r="CE232" s="220"/>
      <c r="CF232" s="220"/>
      <c r="CG232" s="220"/>
      <c r="CH232" s="220"/>
      <c r="CI232" s="220"/>
      <c r="CJ232" s="220"/>
      <c r="CK232" s="220"/>
      <c r="CL232" s="220"/>
      <c r="CM232" s="220"/>
      <c r="CN232" s="220"/>
      <c r="CO232" s="220"/>
      <c r="CP232" s="220"/>
      <c r="CQ232" s="220"/>
      <c r="CR232" s="220"/>
      <c r="CS232" s="220"/>
      <c r="CT232" s="220"/>
      <c r="CU232" s="220"/>
      <c r="CV232" s="220"/>
      <c r="CW232" s="220"/>
      <c r="CX232" s="220"/>
      <c r="CY232" s="220"/>
      <c r="CZ232" s="220"/>
    </row>
    <row r="233" spans="1:104" x14ac:dyDescent="0.2">
      <c r="A233" s="45"/>
      <c r="B233" s="45"/>
      <c r="C233" s="248" t="s">
        <v>234</v>
      </c>
      <c r="D233" s="45"/>
      <c r="E233" s="249">
        <f t="shared" ref="E233:T233" si="522">+E232/E238</f>
        <v>0</v>
      </c>
      <c r="F233" s="250">
        <f t="shared" si="522"/>
        <v>0</v>
      </c>
      <c r="G233" s="250">
        <f t="shared" si="522"/>
        <v>0</v>
      </c>
      <c r="H233" s="251">
        <f t="shared" si="522"/>
        <v>0</v>
      </c>
      <c r="I233" s="252">
        <f t="shared" si="522"/>
        <v>0</v>
      </c>
      <c r="J233" s="249">
        <f t="shared" si="522"/>
        <v>0</v>
      </c>
      <c r="K233" s="250">
        <f t="shared" si="522"/>
        <v>0</v>
      </c>
      <c r="L233" s="250">
        <f t="shared" si="522"/>
        <v>0</v>
      </c>
      <c r="M233" s="251">
        <f t="shared" si="522"/>
        <v>0</v>
      </c>
      <c r="N233" s="252">
        <f t="shared" si="522"/>
        <v>0</v>
      </c>
      <c r="O233" s="249">
        <f t="shared" si="522"/>
        <v>0</v>
      </c>
      <c r="P233" s="250">
        <f t="shared" si="522"/>
        <v>0</v>
      </c>
      <c r="Q233" s="250">
        <f>+Q232/Q238</f>
        <v>0</v>
      </c>
      <c r="R233" s="251">
        <f t="shared" si="522"/>
        <v>0</v>
      </c>
      <c r="S233" s="252">
        <f>+S232/S238</f>
        <v>0</v>
      </c>
      <c r="T233" s="249">
        <f t="shared" si="522"/>
        <v>0</v>
      </c>
      <c r="U233" s="250">
        <f t="shared" ref="U233:AA233" si="523">+U232/U238</f>
        <v>0</v>
      </c>
      <c r="V233" s="250">
        <f t="shared" si="523"/>
        <v>0</v>
      </c>
      <c r="W233" s="251">
        <f t="shared" si="523"/>
        <v>0</v>
      </c>
      <c r="X233" s="252">
        <f t="shared" si="523"/>
        <v>0</v>
      </c>
      <c r="Y233" s="249">
        <f t="shared" si="523"/>
        <v>0</v>
      </c>
      <c r="Z233" s="250">
        <f t="shared" si="523"/>
        <v>0</v>
      </c>
      <c r="AA233" s="250">
        <f t="shared" si="523"/>
        <v>0</v>
      </c>
      <c r="AB233" s="251">
        <f t="shared" ref="AB233:AJ233" si="524">+AB232/AB238</f>
        <v>0</v>
      </c>
      <c r="AC233" s="252">
        <f t="shared" si="524"/>
        <v>0</v>
      </c>
      <c r="AD233" s="249">
        <f t="shared" si="524"/>
        <v>0</v>
      </c>
      <c r="AE233" s="250">
        <f t="shared" si="524"/>
        <v>0</v>
      </c>
      <c r="AF233" s="250">
        <f t="shared" si="524"/>
        <v>0</v>
      </c>
      <c r="AG233" s="251">
        <f t="shared" si="524"/>
        <v>0</v>
      </c>
      <c r="AH233" s="252">
        <f t="shared" si="524"/>
        <v>0</v>
      </c>
      <c r="AI233" s="249">
        <f>+AI232/AI238</f>
        <v>0</v>
      </c>
      <c r="AJ233" s="250">
        <f t="shared" si="524"/>
        <v>0</v>
      </c>
      <c r="AK233" s="250">
        <f t="shared" ref="AK233:AU233" si="525">+AK232/AK238</f>
        <v>0</v>
      </c>
      <c r="AL233" s="251">
        <f t="shared" si="525"/>
        <v>0</v>
      </c>
      <c r="AM233" s="252">
        <f t="shared" si="525"/>
        <v>0</v>
      </c>
      <c r="AN233" s="249">
        <f t="shared" si="525"/>
        <v>0</v>
      </c>
      <c r="AO233" s="250">
        <f t="shared" si="525"/>
        <v>0</v>
      </c>
      <c r="AP233" s="250">
        <f t="shared" si="525"/>
        <v>0</v>
      </c>
      <c r="AQ233" s="251">
        <f t="shared" si="525"/>
        <v>0</v>
      </c>
      <c r="AR233" s="252">
        <f t="shared" si="525"/>
        <v>0</v>
      </c>
      <c r="AS233" s="249">
        <f t="shared" si="525"/>
        <v>0</v>
      </c>
      <c r="AT233" s="250">
        <f t="shared" si="525"/>
        <v>0</v>
      </c>
      <c r="AU233" s="250">
        <f t="shared" si="525"/>
        <v>0</v>
      </c>
      <c r="AV233" s="251">
        <f t="shared" ref="AV233:AW233" si="526">+AV232/AV238</f>
        <v>0</v>
      </c>
      <c r="AW233" s="252">
        <f t="shared" si="526"/>
        <v>0</v>
      </c>
      <c r="AX233" s="249">
        <f t="shared" ref="AX233:BG233" si="527">+AX232/AX238</f>
        <v>0</v>
      </c>
      <c r="AY233" s="250">
        <f t="shared" si="527"/>
        <v>0</v>
      </c>
      <c r="AZ233" s="250">
        <f t="shared" si="527"/>
        <v>0</v>
      </c>
      <c r="BA233" s="251">
        <f t="shared" si="527"/>
        <v>0</v>
      </c>
      <c r="BB233" s="252">
        <f t="shared" si="527"/>
        <v>0</v>
      </c>
      <c r="BC233" s="249">
        <f t="shared" si="527"/>
        <v>0</v>
      </c>
      <c r="BD233" s="250">
        <f t="shared" si="527"/>
        <v>0</v>
      </c>
      <c r="BE233" s="250">
        <f t="shared" si="527"/>
        <v>0</v>
      </c>
      <c r="BF233" s="251">
        <f t="shared" si="527"/>
        <v>0</v>
      </c>
      <c r="BG233" s="252">
        <f t="shared" si="527"/>
        <v>0</v>
      </c>
      <c r="BH233" s="249">
        <f t="shared" ref="BH233:BQ233" si="528">+BH232/BH238</f>
        <v>0</v>
      </c>
      <c r="BI233" s="250">
        <f t="shared" si="528"/>
        <v>0</v>
      </c>
      <c r="BJ233" s="250">
        <f t="shared" si="528"/>
        <v>0</v>
      </c>
      <c r="BK233" s="251">
        <f t="shared" si="528"/>
        <v>0</v>
      </c>
      <c r="BL233" s="252">
        <f t="shared" si="528"/>
        <v>0</v>
      </c>
      <c r="BM233" s="249">
        <f t="shared" si="528"/>
        <v>0</v>
      </c>
      <c r="BN233" s="250">
        <f t="shared" si="528"/>
        <v>0</v>
      </c>
      <c r="BO233" s="250">
        <f t="shared" si="528"/>
        <v>0</v>
      </c>
      <c r="BP233" s="251">
        <f t="shared" si="528"/>
        <v>0</v>
      </c>
      <c r="BQ233" s="252">
        <f t="shared" si="528"/>
        <v>0</v>
      </c>
      <c r="BR233" s="45"/>
      <c r="BS233" s="45"/>
      <c r="BT233" s="45"/>
      <c r="BU233" s="45"/>
      <c r="BV233" s="45"/>
      <c r="BW233" s="45"/>
      <c r="BX233" s="45"/>
      <c r="BY233" s="45"/>
      <c r="BZ233" s="45"/>
      <c r="CA233" s="45"/>
      <c r="CB233" s="45"/>
      <c r="CC233" s="45"/>
      <c r="CD233" s="45"/>
      <c r="CE233" s="45"/>
      <c r="CF233" s="45"/>
      <c r="CG233" s="45"/>
      <c r="CH233" s="45"/>
      <c r="CI233" s="45"/>
      <c r="CJ233" s="45"/>
      <c r="CK233" s="45"/>
      <c r="CL233" s="45"/>
      <c r="CM233" s="45"/>
      <c r="CN233" s="45"/>
      <c r="CO233" s="45"/>
      <c r="CP233" s="45"/>
      <c r="CQ233" s="45"/>
      <c r="CR233" s="45"/>
      <c r="CS233" s="45"/>
      <c r="CT233" s="45"/>
      <c r="CU233" s="45"/>
      <c r="CV233" s="45"/>
      <c r="CW233" s="45"/>
      <c r="CX233" s="45"/>
      <c r="CY233" s="45"/>
      <c r="CZ233" s="45"/>
    </row>
    <row r="234" spans="1:104" x14ac:dyDescent="0.2">
      <c r="A234" s="20"/>
      <c r="B234" s="20"/>
      <c r="C234" s="70"/>
      <c r="D234" s="20"/>
      <c r="E234" s="203"/>
      <c r="F234" s="204"/>
      <c r="G234" s="204"/>
      <c r="H234" s="205"/>
      <c r="I234" s="206"/>
      <c r="J234" s="203"/>
      <c r="K234" s="204"/>
      <c r="L234" s="204"/>
      <c r="M234" s="205"/>
      <c r="N234" s="206"/>
      <c r="O234" s="203"/>
      <c r="P234" s="204"/>
      <c r="Q234" s="204"/>
      <c r="R234" s="205"/>
      <c r="S234" s="206"/>
      <c r="T234" s="203"/>
      <c r="U234" s="204"/>
      <c r="V234" s="204"/>
      <c r="W234" s="205"/>
      <c r="X234" s="206"/>
      <c r="Y234" s="203"/>
      <c r="Z234" s="204"/>
      <c r="AA234" s="204"/>
      <c r="AB234" s="205"/>
      <c r="AC234" s="206"/>
      <c r="AD234" s="203"/>
      <c r="AE234" s="204"/>
      <c r="AF234" s="204"/>
      <c r="AG234" s="205"/>
      <c r="AH234" s="206"/>
      <c r="AI234" s="203"/>
      <c r="AJ234" s="204"/>
      <c r="AK234" s="204"/>
      <c r="AL234" s="205"/>
      <c r="AM234" s="206"/>
      <c r="AN234" s="203"/>
      <c r="AO234" s="204"/>
      <c r="AP234" s="204"/>
      <c r="AQ234" s="205"/>
      <c r="AR234" s="206"/>
      <c r="AS234" s="203"/>
      <c r="AT234" s="204"/>
      <c r="AU234" s="204"/>
      <c r="AV234" s="205"/>
      <c r="AW234" s="206"/>
      <c r="AX234" s="203"/>
      <c r="AY234" s="204"/>
      <c r="AZ234" s="204"/>
      <c r="BA234" s="205"/>
      <c r="BB234" s="206"/>
      <c r="BC234" s="203"/>
      <c r="BD234" s="204"/>
      <c r="BE234" s="204"/>
      <c r="BF234" s="205"/>
      <c r="BG234" s="206"/>
      <c r="BH234" s="203"/>
      <c r="BI234" s="204"/>
      <c r="BJ234" s="204"/>
      <c r="BK234" s="205"/>
      <c r="BL234" s="206"/>
      <c r="BM234" s="203"/>
      <c r="BN234" s="204"/>
      <c r="BO234" s="204"/>
      <c r="BP234" s="205"/>
      <c r="BQ234" s="206"/>
      <c r="BR234" s="20"/>
      <c r="BS234" s="20"/>
      <c r="BT234" s="20"/>
      <c r="BU234" s="20"/>
      <c r="BV234" s="20"/>
      <c r="BW234" s="20"/>
      <c r="BX234" s="20"/>
      <c r="BY234" s="20"/>
      <c r="BZ234" s="20"/>
      <c r="CA234" s="20"/>
      <c r="CB234" s="20"/>
      <c r="CC234" s="20"/>
      <c r="CD234" s="20"/>
      <c r="CE234" s="20"/>
      <c r="CF234" s="20"/>
      <c r="CG234" s="20"/>
      <c r="CH234" s="20"/>
      <c r="CI234" s="20"/>
      <c r="CJ234" s="20"/>
      <c r="CK234" s="20"/>
      <c r="CL234" s="20"/>
      <c r="CM234" s="20"/>
      <c r="CN234" s="20"/>
      <c r="CO234" s="20"/>
      <c r="CP234" s="20"/>
      <c r="CQ234" s="20"/>
      <c r="CR234" s="20"/>
      <c r="CS234" s="20"/>
      <c r="CT234" s="20"/>
      <c r="CU234" s="20"/>
      <c r="CV234" s="20"/>
      <c r="CW234" s="20"/>
      <c r="CX234" s="20"/>
      <c r="CY234" s="20"/>
      <c r="CZ234" s="20"/>
    </row>
    <row r="235" spans="1:104" x14ac:dyDescent="0.2">
      <c r="A235" s="220"/>
      <c r="B235" s="220"/>
      <c r="C235" s="141" t="s">
        <v>51</v>
      </c>
      <c r="D235" s="117"/>
      <c r="E235" s="235">
        <v>3609.4070000000002</v>
      </c>
      <c r="F235" s="236">
        <v>3624.6689999999999</v>
      </c>
      <c r="G235" s="236">
        <v>3649.808</v>
      </c>
      <c r="H235" s="123">
        <f>+I235</f>
        <v>3745.8139999999999</v>
      </c>
      <c r="I235" s="237">
        <v>3745.8139999999999</v>
      </c>
      <c r="J235" s="235">
        <v>3763.3009999999999</v>
      </c>
      <c r="K235" s="236">
        <v>3911.76</v>
      </c>
      <c r="L235" s="236">
        <v>4003.1370000000002</v>
      </c>
      <c r="M235" s="123">
        <f>+N235</f>
        <v>4138.1940000000004</v>
      </c>
      <c r="N235" s="237">
        <v>4138.1940000000004</v>
      </c>
      <c r="O235" s="235">
        <v>4241.3459999999995</v>
      </c>
      <c r="P235" s="236">
        <v>4245.5910000000003</v>
      </c>
      <c r="Q235" s="236">
        <v>4303.9889999999996</v>
      </c>
      <c r="R235" s="123">
        <f>+S235</f>
        <v>4305.7179999999998</v>
      </c>
      <c r="S235" s="237">
        <v>4305.7179999999998</v>
      </c>
      <c r="T235" s="235">
        <v>4344.5709999999999</v>
      </c>
      <c r="U235" s="236">
        <v>4382.4690000000001</v>
      </c>
      <c r="V235" s="236">
        <v>4504.5649999999996</v>
      </c>
      <c r="W235" s="123">
        <f>+X235</f>
        <v>4585.7349999999997</v>
      </c>
      <c r="X235" s="237">
        <v>4585.7349999999997</v>
      </c>
      <c r="Y235" s="235">
        <v>4635.5519999999997</v>
      </c>
      <c r="Z235" s="236">
        <v>4667.7120000000004</v>
      </c>
      <c r="AA235" s="236">
        <v>4772.8940000000002</v>
      </c>
      <c r="AB235" s="123">
        <f>+AC235</f>
        <v>4801.9989999999998</v>
      </c>
      <c r="AC235" s="237">
        <v>4801.9989999999998</v>
      </c>
      <c r="AD235" s="235">
        <v>4726.2569999999996</v>
      </c>
      <c r="AE235" s="236">
        <v>4755.0320000000002</v>
      </c>
      <c r="AF235" s="236">
        <v>4830.8140000000003</v>
      </c>
      <c r="AG235" s="123">
        <f>+AH235</f>
        <v>4885.8389999999999</v>
      </c>
      <c r="AH235" s="237">
        <v>4885.8389999999999</v>
      </c>
      <c r="AI235" s="235">
        <v>4915.902</v>
      </c>
      <c r="AJ235" s="236">
        <v>4959.2820000000002</v>
      </c>
      <c r="AK235" s="236">
        <v>5050.1840000000002</v>
      </c>
      <c r="AL235" s="123">
        <f>+AM235</f>
        <v>5120.152</v>
      </c>
      <c r="AM235" s="237">
        <v>5120.152</v>
      </c>
      <c r="AN235" s="235">
        <v>5152.1540000000005</v>
      </c>
      <c r="AO235" s="236">
        <v>5185.99</v>
      </c>
      <c r="AP235" s="236">
        <v>5279.2629999999999</v>
      </c>
      <c r="AQ235" s="123">
        <f>+AR235</f>
        <v>5269.4549999999999</v>
      </c>
      <c r="AR235" s="237">
        <v>5269.4549999999999</v>
      </c>
      <c r="AS235" s="235">
        <v>5419.1450000000004</v>
      </c>
      <c r="AT235" s="236">
        <v>5456.6090000000004</v>
      </c>
      <c r="AU235" s="236">
        <v>5626.8519999999999</v>
      </c>
      <c r="AV235" s="123">
        <f>+AW235</f>
        <v>5858.3230000000003</v>
      </c>
      <c r="AW235" s="237">
        <v>5858.3230000000003</v>
      </c>
      <c r="AX235" s="121">
        <f>+AW235+AX198+AX214</f>
        <v>5930.9538645633193</v>
      </c>
      <c r="AY235" s="122">
        <f>+AX235+AY198+AY214</f>
        <v>5977.7370538207251</v>
      </c>
      <c r="AZ235" s="122">
        <f>+AY235+AZ198+AZ214</f>
        <v>6104.9352538713802</v>
      </c>
      <c r="BA235" s="123">
        <f>+AZ235+BA198+BA214</f>
        <v>6132.0848806642662</v>
      </c>
      <c r="BB235" s="86">
        <f>+BA235</f>
        <v>6132.0848806642662</v>
      </c>
      <c r="BC235" s="121">
        <f>+BB235+BC198+BC214</f>
        <v>6171.1501057033329</v>
      </c>
      <c r="BD235" s="122">
        <f>+BC235+BD198+BD214</f>
        <v>6176.7967195303781</v>
      </c>
      <c r="BE235" s="122">
        <f>+BD235+BE198+BE214</f>
        <v>6268.7915220535851</v>
      </c>
      <c r="BF235" s="123">
        <f>+BE235+BF198+BF214</f>
        <v>6260.3008859459624</v>
      </c>
      <c r="BG235" s="86">
        <f>+BF235</f>
        <v>6260.3008859459624</v>
      </c>
      <c r="BH235" s="121">
        <f>+BG235+BH198+BH214</f>
        <v>6319.5047261226791</v>
      </c>
      <c r="BI235" s="122">
        <f>+BH235+BI198+BI214</f>
        <v>6341.4091806379583</v>
      </c>
      <c r="BJ235" s="122">
        <f>+BI235+BJ198+BJ214</f>
        <v>6449.1812744905965</v>
      </c>
      <c r="BK235" s="123">
        <f>+BJ235+BK198+BK214</f>
        <v>6459.5772616998993</v>
      </c>
      <c r="BL235" s="86">
        <f>+BK235</f>
        <v>6459.5772616998993</v>
      </c>
      <c r="BM235" s="121">
        <f>+BL235+BM198+BM214</f>
        <v>6543.2786267817892</v>
      </c>
      <c r="BN235" s="122">
        <f>+BM235+BN198+BN214</f>
        <v>6584.9993885843705</v>
      </c>
      <c r="BO235" s="122">
        <f>+BN235+BO198+BO214</f>
        <v>6713.8806971073509</v>
      </c>
      <c r="BP235" s="123">
        <f>+BO235+BP198+BP214</f>
        <v>6745.8864899643322</v>
      </c>
      <c r="BQ235" s="86">
        <f>+BP235</f>
        <v>6745.8864899643322</v>
      </c>
      <c r="BR235" s="220"/>
      <c r="BS235" s="220"/>
      <c r="BT235" s="220"/>
      <c r="BU235" s="220"/>
      <c r="BV235" s="220"/>
      <c r="BW235" s="220"/>
      <c r="BX235" s="220"/>
      <c r="BY235" s="220"/>
      <c r="BZ235" s="220"/>
      <c r="CA235" s="220"/>
      <c r="CB235" s="220"/>
      <c r="CC235" s="220"/>
      <c r="CD235" s="220"/>
      <c r="CE235" s="220"/>
      <c r="CF235" s="220"/>
      <c r="CG235" s="220"/>
      <c r="CH235" s="220"/>
      <c r="CI235" s="220"/>
      <c r="CJ235" s="220"/>
      <c r="CK235" s="220"/>
      <c r="CL235" s="220"/>
      <c r="CM235" s="220"/>
      <c r="CN235" s="220"/>
      <c r="CO235" s="220"/>
      <c r="CP235" s="220"/>
      <c r="CQ235" s="220"/>
      <c r="CR235" s="220"/>
      <c r="CS235" s="220"/>
      <c r="CT235" s="220"/>
      <c r="CU235" s="220"/>
      <c r="CV235" s="220"/>
      <c r="CW235" s="220"/>
      <c r="CX235" s="220"/>
      <c r="CY235" s="220"/>
      <c r="CZ235" s="220"/>
    </row>
    <row r="236" spans="1:104" x14ac:dyDescent="0.2">
      <c r="A236" s="45"/>
      <c r="B236" s="45"/>
      <c r="C236" s="248" t="s">
        <v>234</v>
      </c>
      <c r="D236" s="45"/>
      <c r="E236" s="249">
        <f t="shared" ref="E236:T236" si="529">+E235/E238</f>
        <v>0.59170810260166473</v>
      </c>
      <c r="F236" s="250">
        <f t="shared" si="529"/>
        <v>0.5565362748155317</v>
      </c>
      <c r="G236" s="250">
        <f t="shared" si="529"/>
        <v>0.56400704041438932</v>
      </c>
      <c r="H236" s="251">
        <f t="shared" si="529"/>
        <v>0.56161100704282585</v>
      </c>
      <c r="I236" s="252">
        <f t="shared" si="529"/>
        <v>0.56161100704282585</v>
      </c>
      <c r="J236" s="249">
        <f t="shared" si="529"/>
        <v>0.56786731648548583</v>
      </c>
      <c r="K236" s="250">
        <f t="shared" si="529"/>
        <v>0.58002492243618298</v>
      </c>
      <c r="L236" s="250">
        <f t="shared" si="529"/>
        <v>0.58542872009450775</v>
      </c>
      <c r="M236" s="251">
        <f t="shared" si="529"/>
        <v>0.54144878779643679</v>
      </c>
      <c r="N236" s="252">
        <f t="shared" si="529"/>
        <v>0.54144878779643679</v>
      </c>
      <c r="O236" s="249">
        <f t="shared" si="529"/>
        <v>0.56409834221018595</v>
      </c>
      <c r="P236" s="250">
        <f t="shared" si="529"/>
        <v>0.55655597878800955</v>
      </c>
      <c r="Q236" s="250">
        <f>+Q235/Q238</f>
        <v>0.55274425251743931</v>
      </c>
      <c r="R236" s="251">
        <f t="shared" si="529"/>
        <v>0.55258237526650755</v>
      </c>
      <c r="S236" s="252">
        <f>+S235/S238</f>
        <v>0.55258237526650755</v>
      </c>
      <c r="T236" s="249">
        <f t="shared" si="529"/>
        <v>0.55488288963011134</v>
      </c>
      <c r="U236" s="250">
        <f>+U235/U238</f>
        <v>0.55640275236264947</v>
      </c>
      <c r="V236" s="250">
        <f>+V235/V238</f>
        <v>0.51273830974661105</v>
      </c>
      <c r="W236" s="251">
        <f t="shared" ref="W236:AD236" si="530">+W235/W238</f>
        <v>0.54784428854258305</v>
      </c>
      <c r="X236" s="252">
        <f t="shared" si="530"/>
        <v>0.54784428854258305</v>
      </c>
      <c r="Y236" s="249">
        <f t="shared" si="530"/>
        <v>0.54457787787471457</v>
      </c>
      <c r="Z236" s="250">
        <f t="shared" si="530"/>
        <v>0.54637478214770607</v>
      </c>
      <c r="AA236" s="250">
        <f t="shared" si="530"/>
        <v>0.5519764503321184</v>
      </c>
      <c r="AB236" s="251">
        <f t="shared" si="530"/>
        <v>0.55356739793988041</v>
      </c>
      <c r="AC236" s="252">
        <f t="shared" si="530"/>
        <v>0.55356739793988041</v>
      </c>
      <c r="AD236" s="249">
        <f t="shared" si="530"/>
        <v>0.53125751009570432</v>
      </c>
      <c r="AE236" s="250">
        <f t="shared" ref="AE236:AJ236" si="531">+AE235/AE238</f>
        <v>0.54980354050284663</v>
      </c>
      <c r="AF236" s="250">
        <f t="shared" si="531"/>
        <v>0.53755035625348913</v>
      </c>
      <c r="AG236" s="251">
        <f t="shared" si="531"/>
        <v>0.53350106157761668</v>
      </c>
      <c r="AH236" s="252">
        <f t="shared" si="531"/>
        <v>0.53350106157761668</v>
      </c>
      <c r="AI236" s="249">
        <f t="shared" si="531"/>
        <v>0.54948467459374095</v>
      </c>
      <c r="AJ236" s="250">
        <f t="shared" si="531"/>
        <v>0.54210568371883239</v>
      </c>
      <c r="AK236" s="250">
        <f t="shared" ref="AK236:AP236" si="532">+AK235/AK238</f>
        <v>0.54987356635218676</v>
      </c>
      <c r="AL236" s="251">
        <f t="shared" si="532"/>
        <v>0.55255368811622874</v>
      </c>
      <c r="AM236" s="252">
        <f t="shared" si="532"/>
        <v>0.55255368811622874</v>
      </c>
      <c r="AN236" s="249">
        <f t="shared" si="532"/>
        <v>0.55660397028696551</v>
      </c>
      <c r="AO236" s="250">
        <f t="shared" si="532"/>
        <v>0.54910618660476918</v>
      </c>
      <c r="AP236" s="250">
        <f t="shared" si="532"/>
        <v>0.55297982515018429</v>
      </c>
      <c r="AQ236" s="251">
        <f t="shared" ref="AQ236:AU236" si="533">+AQ235/AQ238</f>
        <v>0.54806456514691471</v>
      </c>
      <c r="AR236" s="252">
        <f t="shared" si="533"/>
        <v>0.54806456514691471</v>
      </c>
      <c r="AS236" s="249">
        <f t="shared" si="533"/>
        <v>0.56064897805602676</v>
      </c>
      <c r="AT236" s="250">
        <f t="shared" si="533"/>
        <v>0.54205945696790525</v>
      </c>
      <c r="AU236" s="250">
        <f t="shared" si="533"/>
        <v>0.54973788331963269</v>
      </c>
      <c r="AV236" s="251">
        <f t="shared" ref="AV236:AW236" si="534">+AV235/AV238</f>
        <v>0.55971606055759471</v>
      </c>
      <c r="AW236" s="252">
        <f t="shared" si="534"/>
        <v>0.55971606055759471</v>
      </c>
      <c r="AX236" s="249">
        <f t="shared" ref="AX236:BG236" si="535">+AX235/AX238</f>
        <v>0.56045558387829042</v>
      </c>
      <c r="AY236" s="250">
        <f t="shared" si="535"/>
        <v>0.55798899926715873</v>
      </c>
      <c r="AZ236" s="250">
        <f t="shared" si="535"/>
        <v>0.54687989521241887</v>
      </c>
      <c r="BA236" s="251">
        <f t="shared" si="535"/>
        <v>0.54797923802788928</v>
      </c>
      <c r="BB236" s="252">
        <f t="shared" si="535"/>
        <v>0.54797923802788928</v>
      </c>
      <c r="BC236" s="249">
        <f t="shared" si="535"/>
        <v>0.54955173997011264</v>
      </c>
      <c r="BD236" s="250">
        <f t="shared" si="535"/>
        <v>0.55534056371958518</v>
      </c>
      <c r="BE236" s="250">
        <f t="shared" si="535"/>
        <v>0.56054238596261252</v>
      </c>
      <c r="BF236" s="251">
        <f t="shared" si="535"/>
        <v>0.55532508782989853</v>
      </c>
      <c r="BG236" s="252">
        <f t="shared" si="535"/>
        <v>0.55532508782989853</v>
      </c>
      <c r="BH236" s="249">
        <f t="shared" ref="BH236:BQ236" si="536">+BH235/BH238</f>
        <v>0.55788669974111504</v>
      </c>
      <c r="BI236" s="250">
        <f t="shared" si="536"/>
        <v>0.54668808925185697</v>
      </c>
      <c r="BJ236" s="250">
        <f t="shared" si="536"/>
        <v>0.55086101739647175</v>
      </c>
      <c r="BK236" s="251">
        <f t="shared" si="536"/>
        <v>0.56199528199495918</v>
      </c>
      <c r="BL236" s="252">
        <f t="shared" si="536"/>
        <v>0.56199528199495918</v>
      </c>
      <c r="BM236" s="249">
        <f t="shared" si="536"/>
        <v>0.56448954525806361</v>
      </c>
      <c r="BN236" s="250">
        <f t="shared" si="536"/>
        <v>0.55601172214093042</v>
      </c>
      <c r="BO236" s="250">
        <f t="shared" si="536"/>
        <v>0.56079129498203262</v>
      </c>
      <c r="BP236" s="251">
        <f t="shared" si="536"/>
        <v>0.56196232411601588</v>
      </c>
      <c r="BQ236" s="252">
        <f t="shared" si="536"/>
        <v>0.56196232411601588</v>
      </c>
      <c r="BR236" s="45"/>
      <c r="BS236" s="45"/>
      <c r="BT236" s="45"/>
      <c r="BU236" s="45"/>
      <c r="BV236" s="45"/>
      <c r="BW236" s="45"/>
      <c r="BX236" s="45"/>
      <c r="BY236" s="45"/>
      <c r="BZ236" s="45"/>
      <c r="CA236" s="45"/>
      <c r="CB236" s="45"/>
      <c r="CC236" s="45"/>
      <c r="CD236" s="45"/>
      <c r="CE236" s="45"/>
      <c r="CF236" s="45"/>
      <c r="CG236" s="45"/>
      <c r="CH236" s="45"/>
      <c r="CI236" s="45"/>
      <c r="CJ236" s="45"/>
      <c r="CK236" s="45"/>
      <c r="CL236" s="45"/>
      <c r="CM236" s="45"/>
      <c r="CN236" s="45"/>
      <c r="CO236" s="45"/>
      <c r="CP236" s="45"/>
      <c r="CQ236" s="45"/>
      <c r="CR236" s="45"/>
      <c r="CS236" s="45"/>
      <c r="CT236" s="45"/>
      <c r="CU236" s="45"/>
      <c r="CV236" s="45"/>
      <c r="CW236" s="45"/>
      <c r="CX236" s="45"/>
      <c r="CY236" s="45"/>
      <c r="CZ236" s="45"/>
    </row>
    <row r="237" spans="1:104" x14ac:dyDescent="0.2">
      <c r="A237" s="20"/>
      <c r="B237" s="20"/>
      <c r="C237" s="70"/>
      <c r="D237" s="20"/>
      <c r="E237" s="203"/>
      <c r="F237" s="204"/>
      <c r="G237" s="204"/>
      <c r="H237" s="205"/>
      <c r="I237" s="206"/>
      <c r="J237" s="203"/>
      <c r="K237" s="204"/>
      <c r="L237" s="204"/>
      <c r="M237" s="205"/>
      <c r="N237" s="206"/>
      <c r="O237" s="203"/>
      <c r="P237" s="204"/>
      <c r="Q237" s="204"/>
      <c r="R237" s="205"/>
      <c r="S237" s="206"/>
      <c r="T237" s="203"/>
      <c r="U237" s="204"/>
      <c r="V237" s="204"/>
      <c r="W237" s="205"/>
      <c r="X237" s="206"/>
      <c r="Y237" s="203"/>
      <c r="Z237" s="204"/>
      <c r="AA237" s="204"/>
      <c r="AB237" s="205"/>
      <c r="AC237" s="206"/>
      <c r="AD237" s="203"/>
      <c r="AE237" s="204"/>
      <c r="AF237" s="204"/>
      <c r="AG237" s="205"/>
      <c r="AH237" s="206"/>
      <c r="AI237" s="203"/>
      <c r="AJ237" s="204"/>
      <c r="AK237" s="204"/>
      <c r="AL237" s="205"/>
      <c r="AM237" s="206"/>
      <c r="AN237" s="203"/>
      <c r="AO237" s="204"/>
      <c r="AP237" s="204"/>
      <c r="AQ237" s="205"/>
      <c r="AR237" s="206"/>
      <c r="AS237" s="203"/>
      <c r="AT237" s="204"/>
      <c r="AU237" s="204"/>
      <c r="AV237" s="205"/>
      <c r="AW237" s="206"/>
      <c r="AX237" s="203"/>
      <c r="AY237" s="204"/>
      <c r="AZ237" s="204"/>
      <c r="BA237" s="205"/>
      <c r="BB237" s="206"/>
      <c r="BC237" s="203"/>
      <c r="BD237" s="204"/>
      <c r="BE237" s="204"/>
      <c r="BF237" s="205"/>
      <c r="BG237" s="206"/>
      <c r="BH237" s="203"/>
      <c r="BI237" s="204"/>
      <c r="BJ237" s="204"/>
      <c r="BK237" s="205"/>
      <c r="BL237" s="206"/>
      <c r="BM237" s="203"/>
      <c r="BN237" s="204"/>
      <c r="BO237" s="204"/>
      <c r="BP237" s="205"/>
      <c r="BQ237" s="206"/>
      <c r="BR237" s="20"/>
      <c r="BS237" s="20"/>
      <c r="BT237" s="20"/>
      <c r="BU237" s="20"/>
      <c r="BV237" s="20"/>
      <c r="BW237" s="20"/>
      <c r="BX237" s="20"/>
      <c r="BY237" s="20"/>
      <c r="BZ237" s="20"/>
      <c r="CA237" s="20"/>
      <c r="CB237" s="20"/>
      <c r="CC237" s="20"/>
      <c r="CD237" s="20"/>
      <c r="CE237" s="20"/>
      <c r="CF237" s="20"/>
      <c r="CG237" s="20"/>
      <c r="CH237" s="20"/>
      <c r="CI237" s="20"/>
      <c r="CJ237" s="20"/>
      <c r="CK237" s="20"/>
      <c r="CL237" s="20"/>
      <c r="CM237" s="20"/>
      <c r="CN237" s="20"/>
      <c r="CO237" s="20"/>
      <c r="CP237" s="20"/>
      <c r="CQ237" s="20"/>
      <c r="CR237" s="20"/>
      <c r="CS237" s="20"/>
      <c r="CT237" s="20"/>
      <c r="CU237" s="20"/>
      <c r="CV237" s="20"/>
      <c r="CW237" s="20"/>
      <c r="CX237" s="20"/>
      <c r="CY237" s="20"/>
      <c r="CZ237" s="20"/>
    </row>
    <row r="238" spans="1:104" x14ac:dyDescent="0.2">
      <c r="A238" s="220"/>
      <c r="B238" s="220"/>
      <c r="C238" s="141" t="s">
        <v>54</v>
      </c>
      <c r="D238" s="82"/>
      <c r="E238" s="121">
        <f>+E235+E232+E229</f>
        <v>6099.9789999999994</v>
      </c>
      <c r="F238" s="122">
        <f>+F235+F232+F229</f>
        <v>6512.9069999999992</v>
      </c>
      <c r="G238" s="122">
        <f>+G235+G232+G229</f>
        <v>6471.21</v>
      </c>
      <c r="H238" s="123">
        <f>+I238</f>
        <v>6669.7659999999996</v>
      </c>
      <c r="I238" s="86">
        <f>+I235+I232+I229</f>
        <v>6669.7659999999996</v>
      </c>
      <c r="J238" s="121">
        <f>+J235+J232+J229</f>
        <v>6627.0779999999995</v>
      </c>
      <c r="K238" s="122">
        <f>+K235+K232+K229</f>
        <v>6744.1239999999998</v>
      </c>
      <c r="L238" s="122">
        <f>+L235+L232+L229</f>
        <v>6837.9580000000005</v>
      </c>
      <c r="M238" s="123">
        <f>+N238</f>
        <v>7642.8170000000009</v>
      </c>
      <c r="N238" s="86">
        <f>+N235+N232+N229</f>
        <v>7642.8170000000009</v>
      </c>
      <c r="O238" s="121">
        <f>+O235+O232+O229</f>
        <v>7518.8059999999996</v>
      </c>
      <c r="P238" s="122">
        <f>+P235+P232+P229</f>
        <v>7628.3270000000002</v>
      </c>
      <c r="Q238" s="122">
        <f>+Q235+Q232+Q229</f>
        <v>7786.5829999999996</v>
      </c>
      <c r="R238" s="123">
        <f>+S238</f>
        <v>7791.9929999999995</v>
      </c>
      <c r="S238" s="86">
        <f>+S235+S232+S229</f>
        <v>7791.9929999999995</v>
      </c>
      <c r="T238" s="121">
        <f>+T235+T232+T229</f>
        <v>7829.7080000000005</v>
      </c>
      <c r="U238" s="122">
        <f>+U235+U232+U229</f>
        <v>7876.433</v>
      </c>
      <c r="V238" s="122">
        <f>+V235+V232+V229</f>
        <v>8785.31</v>
      </c>
      <c r="W238" s="123">
        <f>+X238</f>
        <v>8370.5079999999998</v>
      </c>
      <c r="X238" s="86">
        <f>+X235+X232+X229</f>
        <v>8370.5079999999998</v>
      </c>
      <c r="Y238" s="121">
        <f>+Y235+Y232+Y229</f>
        <v>8512.1929999999993</v>
      </c>
      <c r="Z238" s="122">
        <f>+Z235+Z232+Z229</f>
        <v>8543.0590000000011</v>
      </c>
      <c r="AA238" s="122">
        <f>+AA235+AA232+AA229</f>
        <v>8646.9160000000011</v>
      </c>
      <c r="AB238" s="123">
        <f>+AC238</f>
        <v>8674.6419999999998</v>
      </c>
      <c r="AC238" s="86">
        <f>+AC235+AC232+AC229</f>
        <v>8674.6419999999998</v>
      </c>
      <c r="AD238" s="121">
        <f>+AD235+AD232+AD229</f>
        <v>8896.3580000000002</v>
      </c>
      <c r="AE238" s="122">
        <f>+AE235+AE232+AE229</f>
        <v>8648.601999999999</v>
      </c>
      <c r="AF238" s="122">
        <f>+AF235+AF232+AF229</f>
        <v>8986.719000000001</v>
      </c>
      <c r="AG238" s="123">
        <f>+AH238</f>
        <v>9158.0679999999993</v>
      </c>
      <c r="AH238" s="86">
        <f>+AH235+AH232+AH229</f>
        <v>9158.0679999999993</v>
      </c>
      <c r="AI238" s="121">
        <f>+AI235+AI232+AI229</f>
        <v>8946.3860000000004</v>
      </c>
      <c r="AJ238" s="122">
        <f>+AJ235+AJ232+AJ229</f>
        <v>9148.1830000000009</v>
      </c>
      <c r="AK238" s="122">
        <f>+AK235+AK232+AK229</f>
        <v>9184.2639999999992</v>
      </c>
      <c r="AL238" s="123">
        <f>+AM238</f>
        <v>9266.3430000000008</v>
      </c>
      <c r="AM238" s="86">
        <f>+AM235+AM232+AM229</f>
        <v>9266.3430000000008</v>
      </c>
      <c r="AN238" s="121">
        <f>+AN235+AN232+AN229</f>
        <v>9256.4089999999997</v>
      </c>
      <c r="AO238" s="122">
        <f>+AO235+AO232+AO229</f>
        <v>9444.4209999999985</v>
      </c>
      <c r="AP238" s="122">
        <f>+AP235+AP232+AP229</f>
        <v>9546.9359999999997</v>
      </c>
      <c r="AQ238" s="123">
        <f>+AR238</f>
        <v>9614.6610000000001</v>
      </c>
      <c r="AR238" s="86">
        <f>+AR235+AR232+AR229</f>
        <v>9614.6610000000001</v>
      </c>
      <c r="AS238" s="121">
        <f>+AS235+AS232+AS229</f>
        <v>9665.8430000000008</v>
      </c>
      <c r="AT238" s="122">
        <f>+AT235+AT232+AT229</f>
        <v>10066.44</v>
      </c>
      <c r="AU238" s="122">
        <f>+AU235+AU232+AU229</f>
        <v>10235.518</v>
      </c>
      <c r="AV238" s="123">
        <f>+AW238</f>
        <v>10466.598000000002</v>
      </c>
      <c r="AW238" s="86">
        <f>+AW235+AW232+AW229</f>
        <v>10466.598000000002</v>
      </c>
      <c r="AX238" s="121">
        <f>+AX235+AX232+AX229</f>
        <v>10582.379826643491</v>
      </c>
      <c r="AY238" s="122">
        <f>+AY235+AY232+AY229</f>
        <v>10713.001621307329</v>
      </c>
      <c r="AZ238" s="122">
        <f>+AZ235+AZ232+AZ229</f>
        <v>11163.210253871381</v>
      </c>
      <c r="BA238" s="123">
        <f>+BB238</f>
        <v>11190.359880664266</v>
      </c>
      <c r="BB238" s="86">
        <f>+BB235+BB232+BB229</f>
        <v>11190.359880664266</v>
      </c>
      <c r="BC238" s="121">
        <f>+BC235+BC232+BC229</f>
        <v>11229.425105703333</v>
      </c>
      <c r="BD238" s="122">
        <f>+BD235+BD232+BD229</f>
        <v>11122.538354049178</v>
      </c>
      <c r="BE238" s="122">
        <f>+BE235+BE232+BE229</f>
        <v>11183.438896040425</v>
      </c>
      <c r="BF238" s="123">
        <f>+BG238</f>
        <v>11273.218198028815</v>
      </c>
      <c r="BG238" s="86">
        <f>+BG235+BG232+BG229</f>
        <v>11273.218198028815</v>
      </c>
      <c r="BH238" s="121">
        <f>+BH235+BH232+BH229</f>
        <v>11327.577318217514</v>
      </c>
      <c r="BI238" s="122">
        <f>+BI235+BI232+BI229</f>
        <v>11599.68418063796</v>
      </c>
      <c r="BJ238" s="122">
        <f>+BJ235+BJ232+BJ229</f>
        <v>11707.456274490596</v>
      </c>
      <c r="BK238" s="123">
        <f>+BL238</f>
        <v>11494.006210816977</v>
      </c>
      <c r="BL238" s="86">
        <f>+BL235+BL232+BL229</f>
        <v>11494.006210816977</v>
      </c>
      <c r="BM238" s="121">
        <f>+BM235+BM232+BM229</f>
        <v>11591.496568444763</v>
      </c>
      <c r="BN238" s="122">
        <f>+BN235+BN232+BN229</f>
        <v>11843.27438858437</v>
      </c>
      <c r="BO238" s="122">
        <f>+BO235+BO232+BO229</f>
        <v>11972.155697107351</v>
      </c>
      <c r="BP238" s="123">
        <f>+BQ238</f>
        <v>12004.161489964332</v>
      </c>
      <c r="BQ238" s="86">
        <f>+BQ235+BQ232+BQ229</f>
        <v>12004.161489964332</v>
      </c>
      <c r="BR238" s="220"/>
      <c r="BS238" s="220"/>
      <c r="BT238" s="220"/>
      <c r="BU238" s="220"/>
      <c r="BV238" s="220"/>
      <c r="BW238" s="220"/>
      <c r="BX238" s="220"/>
      <c r="BY238" s="220"/>
      <c r="BZ238" s="220"/>
      <c r="CA238" s="220"/>
      <c r="CB238" s="220"/>
      <c r="CC238" s="220"/>
      <c r="CD238" s="220"/>
      <c r="CE238" s="220"/>
      <c r="CF238" s="220"/>
      <c r="CG238" s="220"/>
      <c r="CH238" s="220"/>
      <c r="CI238" s="220"/>
      <c r="CJ238" s="220"/>
      <c r="CK238" s="220"/>
      <c r="CL238" s="220"/>
      <c r="CM238" s="220"/>
      <c r="CN238" s="220"/>
      <c r="CO238" s="220"/>
      <c r="CP238" s="220"/>
      <c r="CQ238" s="220"/>
      <c r="CR238" s="220"/>
      <c r="CS238" s="220"/>
      <c r="CT238" s="220"/>
      <c r="CU238" s="220"/>
      <c r="CV238" s="220"/>
      <c r="CW238" s="220"/>
      <c r="CX238" s="220"/>
      <c r="CY238" s="220"/>
      <c r="CZ238" s="220"/>
    </row>
    <row r="239" spans="1:104" x14ac:dyDescent="0.2">
      <c r="A239" s="45"/>
      <c r="B239" s="45"/>
      <c r="C239" s="248" t="s">
        <v>234</v>
      </c>
      <c r="D239" s="45"/>
      <c r="E239" s="249">
        <f t="shared" ref="E239:T239" si="537">(E229+E232+E235)/E238</f>
        <v>1</v>
      </c>
      <c r="F239" s="250">
        <f t="shared" si="537"/>
        <v>1</v>
      </c>
      <c r="G239" s="250">
        <f t="shared" si="537"/>
        <v>1</v>
      </c>
      <c r="H239" s="251">
        <f t="shared" si="537"/>
        <v>1</v>
      </c>
      <c r="I239" s="252">
        <f t="shared" si="537"/>
        <v>1</v>
      </c>
      <c r="J239" s="249">
        <f t="shared" si="537"/>
        <v>1</v>
      </c>
      <c r="K239" s="250">
        <f t="shared" si="537"/>
        <v>1</v>
      </c>
      <c r="L239" s="250">
        <f t="shared" si="537"/>
        <v>1</v>
      </c>
      <c r="M239" s="251">
        <f t="shared" si="537"/>
        <v>1</v>
      </c>
      <c r="N239" s="252">
        <f t="shared" si="537"/>
        <v>1</v>
      </c>
      <c r="O239" s="249">
        <f t="shared" si="537"/>
        <v>1</v>
      </c>
      <c r="P239" s="250">
        <f t="shared" si="537"/>
        <v>1</v>
      </c>
      <c r="Q239" s="250">
        <f>(Q229+Q232+Q235)/Q238</f>
        <v>1</v>
      </c>
      <c r="R239" s="251">
        <f t="shared" si="537"/>
        <v>1</v>
      </c>
      <c r="S239" s="252">
        <f>(S229+S232+S235)/S238</f>
        <v>1</v>
      </c>
      <c r="T239" s="249">
        <f t="shared" si="537"/>
        <v>1</v>
      </c>
      <c r="U239" s="250">
        <f t="shared" ref="U239:AA239" si="538">(U229+U232+U235)/U238</f>
        <v>1</v>
      </c>
      <c r="V239" s="250">
        <f t="shared" si="538"/>
        <v>1</v>
      </c>
      <c r="W239" s="251">
        <f t="shared" si="538"/>
        <v>1</v>
      </c>
      <c r="X239" s="252">
        <f t="shared" si="538"/>
        <v>1</v>
      </c>
      <c r="Y239" s="249">
        <f t="shared" si="538"/>
        <v>1</v>
      </c>
      <c r="Z239" s="250">
        <f t="shared" si="538"/>
        <v>1</v>
      </c>
      <c r="AA239" s="250">
        <f t="shared" si="538"/>
        <v>1</v>
      </c>
      <c r="AB239" s="251">
        <f t="shared" ref="AB239:AJ239" si="539">(AB229+AB232+AB235)/AB238</f>
        <v>1</v>
      </c>
      <c r="AC239" s="252">
        <f t="shared" si="539"/>
        <v>1</v>
      </c>
      <c r="AD239" s="249">
        <f t="shared" si="539"/>
        <v>1</v>
      </c>
      <c r="AE239" s="250">
        <f t="shared" si="539"/>
        <v>1</v>
      </c>
      <c r="AF239" s="250">
        <f t="shared" si="539"/>
        <v>1</v>
      </c>
      <c r="AG239" s="251">
        <f t="shared" si="539"/>
        <v>1</v>
      </c>
      <c r="AH239" s="252">
        <f t="shared" si="539"/>
        <v>1</v>
      </c>
      <c r="AI239" s="249">
        <f>(AI229+AI232+AI235)/AI238</f>
        <v>1</v>
      </c>
      <c r="AJ239" s="250">
        <f t="shared" si="539"/>
        <v>1</v>
      </c>
      <c r="AK239" s="250">
        <f t="shared" ref="AK239:AP239" si="540">(AK229+AK232+AK235)/AK238</f>
        <v>1</v>
      </c>
      <c r="AL239" s="251">
        <f t="shared" si="540"/>
        <v>1</v>
      </c>
      <c r="AM239" s="252">
        <f t="shared" si="540"/>
        <v>1</v>
      </c>
      <c r="AN239" s="249">
        <f t="shared" si="540"/>
        <v>1</v>
      </c>
      <c r="AO239" s="250">
        <f t="shared" si="540"/>
        <v>1</v>
      </c>
      <c r="AP239" s="250">
        <f t="shared" si="540"/>
        <v>1</v>
      </c>
      <c r="AQ239" s="251">
        <f t="shared" ref="AQ239:AU239" si="541">(AQ229+AQ232+AQ235)/AQ238</f>
        <v>1</v>
      </c>
      <c r="AR239" s="252">
        <f t="shared" si="541"/>
        <v>1</v>
      </c>
      <c r="AS239" s="249">
        <f t="shared" si="541"/>
        <v>1</v>
      </c>
      <c r="AT239" s="250">
        <f t="shared" si="541"/>
        <v>1</v>
      </c>
      <c r="AU239" s="250">
        <f t="shared" si="541"/>
        <v>1</v>
      </c>
      <c r="AV239" s="251">
        <f t="shared" ref="AV239:AW239" si="542">(AV229+AV232+AV235)/AV238</f>
        <v>1</v>
      </c>
      <c r="AW239" s="252">
        <f t="shared" si="542"/>
        <v>1</v>
      </c>
      <c r="AX239" s="249">
        <f t="shared" ref="AX239:BG239" si="543">(AX229+AX232+AX235)/AX238</f>
        <v>1</v>
      </c>
      <c r="AY239" s="250">
        <f t="shared" si="543"/>
        <v>1</v>
      </c>
      <c r="AZ239" s="250">
        <f t="shared" si="543"/>
        <v>1</v>
      </c>
      <c r="BA239" s="251">
        <f t="shared" si="543"/>
        <v>1</v>
      </c>
      <c r="BB239" s="252">
        <f t="shared" si="543"/>
        <v>1</v>
      </c>
      <c r="BC239" s="249">
        <f t="shared" si="543"/>
        <v>1</v>
      </c>
      <c r="BD239" s="250">
        <f t="shared" si="543"/>
        <v>1</v>
      </c>
      <c r="BE239" s="250">
        <f t="shared" si="543"/>
        <v>1</v>
      </c>
      <c r="BF239" s="251">
        <f t="shared" si="543"/>
        <v>1</v>
      </c>
      <c r="BG239" s="252">
        <f t="shared" si="543"/>
        <v>1</v>
      </c>
      <c r="BH239" s="249">
        <f t="shared" ref="BH239:BQ239" si="544">(BH229+BH232+BH235)/BH238</f>
        <v>1</v>
      </c>
      <c r="BI239" s="250">
        <f t="shared" si="544"/>
        <v>1</v>
      </c>
      <c r="BJ239" s="250">
        <f t="shared" si="544"/>
        <v>1</v>
      </c>
      <c r="BK239" s="251">
        <f t="shared" si="544"/>
        <v>1</v>
      </c>
      <c r="BL239" s="252">
        <f t="shared" si="544"/>
        <v>1</v>
      </c>
      <c r="BM239" s="249">
        <f t="shared" si="544"/>
        <v>1</v>
      </c>
      <c r="BN239" s="250">
        <f t="shared" si="544"/>
        <v>1</v>
      </c>
      <c r="BO239" s="250">
        <f t="shared" si="544"/>
        <v>1</v>
      </c>
      <c r="BP239" s="251">
        <f t="shared" si="544"/>
        <v>1</v>
      </c>
      <c r="BQ239" s="252">
        <f t="shared" si="544"/>
        <v>1</v>
      </c>
      <c r="BR239" s="45"/>
      <c r="BS239" s="45"/>
      <c r="BT239" s="45"/>
      <c r="BU239" s="45"/>
      <c r="BV239" s="45"/>
      <c r="BW239" s="45"/>
      <c r="BX239" s="45"/>
      <c r="BY239" s="45"/>
      <c r="BZ239" s="45"/>
      <c r="CA239" s="45"/>
      <c r="CB239" s="45"/>
      <c r="CC239" s="45"/>
      <c r="CD239" s="45"/>
      <c r="CE239" s="45"/>
      <c r="CF239" s="45"/>
      <c r="CG239" s="45"/>
      <c r="CH239" s="45"/>
      <c r="CI239" s="45"/>
      <c r="CJ239" s="45"/>
      <c r="CK239" s="45"/>
      <c r="CL239" s="45"/>
      <c r="CM239" s="45"/>
      <c r="CN239" s="45"/>
      <c r="CO239" s="45"/>
      <c r="CP239" s="45"/>
      <c r="CQ239" s="45"/>
      <c r="CR239" s="45"/>
      <c r="CS239" s="45"/>
      <c r="CT239" s="45"/>
      <c r="CU239" s="45"/>
      <c r="CV239" s="45"/>
      <c r="CW239" s="45"/>
      <c r="CX239" s="45"/>
      <c r="CY239" s="45"/>
      <c r="CZ239" s="45"/>
    </row>
    <row r="240" spans="1:104" x14ac:dyDescent="0.2">
      <c r="A240" s="20"/>
      <c r="B240" s="20"/>
      <c r="C240" s="20"/>
      <c r="D240" s="20"/>
      <c r="E240" s="203"/>
      <c r="F240" s="204"/>
      <c r="G240" s="204"/>
      <c r="H240" s="205"/>
      <c r="I240" s="206"/>
      <c r="J240" s="203"/>
      <c r="K240" s="204"/>
      <c r="L240" s="204"/>
      <c r="M240" s="205"/>
      <c r="N240" s="206"/>
      <c r="O240" s="203"/>
      <c r="P240" s="204"/>
      <c r="Q240" s="204"/>
      <c r="R240" s="205"/>
      <c r="S240" s="206"/>
      <c r="T240" s="203"/>
      <c r="U240" s="204"/>
      <c r="V240" s="204"/>
      <c r="W240" s="205"/>
      <c r="X240" s="206"/>
      <c r="Y240" s="203"/>
      <c r="Z240" s="204"/>
      <c r="AA240" s="204"/>
      <c r="AB240" s="205"/>
      <c r="AC240" s="206"/>
      <c r="AD240" s="203"/>
      <c r="AE240" s="204"/>
      <c r="AF240" s="204"/>
      <c r="AG240" s="205"/>
      <c r="AH240" s="206"/>
      <c r="AI240" s="203"/>
      <c r="AJ240" s="204"/>
      <c r="AK240" s="204"/>
      <c r="AL240" s="205"/>
      <c r="AM240" s="206"/>
      <c r="AN240" s="203"/>
      <c r="AO240" s="204"/>
      <c r="AP240" s="204"/>
      <c r="AQ240" s="205"/>
      <c r="AR240" s="206"/>
      <c r="AS240" s="203"/>
      <c r="AT240" s="204"/>
      <c r="AU240" s="204"/>
      <c r="AV240" s="205"/>
      <c r="AW240" s="206"/>
      <c r="AX240" s="203"/>
      <c r="AY240" s="204"/>
      <c r="AZ240" s="204"/>
      <c r="BA240" s="205"/>
      <c r="BB240" s="206"/>
      <c r="BC240" s="203"/>
      <c r="BD240" s="204"/>
      <c r="BE240" s="204"/>
      <c r="BF240" s="205"/>
      <c r="BG240" s="206"/>
      <c r="BH240" s="203"/>
      <c r="BI240" s="204"/>
      <c r="BJ240" s="204"/>
      <c r="BK240" s="205"/>
      <c r="BL240" s="206"/>
      <c r="BM240" s="203"/>
      <c r="BN240" s="204"/>
      <c r="BO240" s="204"/>
      <c r="BP240" s="205"/>
      <c r="BQ240" s="206"/>
      <c r="BR240" s="20"/>
      <c r="BS240" s="20"/>
      <c r="BT240" s="20"/>
      <c r="BU240" s="20"/>
      <c r="BV240" s="20"/>
      <c r="BW240" s="20"/>
      <c r="BX240" s="20"/>
      <c r="BY240" s="20"/>
      <c r="BZ240" s="20"/>
      <c r="CA240" s="20"/>
      <c r="CB240" s="20"/>
      <c r="CC240" s="20"/>
      <c r="CD240" s="20"/>
      <c r="CE240" s="20"/>
      <c r="CF240" s="20"/>
      <c r="CG240" s="20"/>
      <c r="CH240" s="20"/>
      <c r="CI240" s="20"/>
      <c r="CJ240" s="20"/>
      <c r="CK240" s="20"/>
      <c r="CL240" s="20"/>
      <c r="CM240" s="20"/>
      <c r="CN240" s="20"/>
      <c r="CO240" s="20"/>
      <c r="CP240" s="20"/>
      <c r="CQ240" s="20"/>
      <c r="CR240" s="20"/>
      <c r="CS240" s="20"/>
      <c r="CT240" s="20"/>
      <c r="CU240" s="20"/>
      <c r="CV240" s="20"/>
      <c r="CW240" s="20"/>
      <c r="CX240" s="20"/>
      <c r="CY240" s="20"/>
      <c r="CZ240" s="20"/>
    </row>
    <row r="241" spans="1:104" x14ac:dyDescent="0.2">
      <c r="A241" s="20"/>
      <c r="B241" s="20"/>
      <c r="C241" s="20"/>
      <c r="D241" s="20"/>
      <c r="E241" s="203"/>
      <c r="F241" s="204"/>
      <c r="G241" s="204"/>
      <c r="H241" s="205"/>
      <c r="I241" s="206"/>
      <c r="J241" s="203"/>
      <c r="K241" s="204"/>
      <c r="L241" s="204"/>
      <c r="M241" s="205"/>
      <c r="N241" s="206"/>
      <c r="O241" s="203"/>
      <c r="P241" s="204"/>
      <c r="Q241" s="204"/>
      <c r="R241" s="205"/>
      <c r="S241" s="206"/>
      <c r="T241" s="203"/>
      <c r="U241" s="204"/>
      <c r="V241" s="204"/>
      <c r="W241" s="205"/>
      <c r="X241" s="206"/>
      <c r="Y241" s="203"/>
      <c r="Z241" s="204"/>
      <c r="AA241" s="204"/>
      <c r="AB241" s="205"/>
      <c r="AC241" s="206"/>
      <c r="AD241" s="203"/>
      <c r="AE241" s="204"/>
      <c r="AF241" s="204"/>
      <c r="AG241" s="205"/>
      <c r="AH241" s="206"/>
      <c r="AI241" s="203"/>
      <c r="AJ241" s="204"/>
      <c r="AK241" s="204"/>
      <c r="AL241" s="205"/>
      <c r="AM241" s="206"/>
      <c r="AN241" s="203"/>
      <c r="AO241" s="204"/>
      <c r="AP241" s="204"/>
      <c r="AQ241" s="205"/>
      <c r="AR241" s="206"/>
      <c r="AS241" s="203"/>
      <c r="AT241" s="204"/>
      <c r="AU241" s="204"/>
      <c r="AV241" s="205"/>
      <c r="AW241" s="206"/>
      <c r="AX241" s="203"/>
      <c r="AY241" s="204"/>
      <c r="AZ241" s="204"/>
      <c r="BA241" s="205"/>
      <c r="BB241" s="206"/>
      <c r="BC241" s="203"/>
      <c r="BD241" s="204"/>
      <c r="BE241" s="204"/>
      <c r="BF241" s="205"/>
      <c r="BG241" s="206"/>
      <c r="BH241" s="203"/>
      <c r="BI241" s="204"/>
      <c r="BJ241" s="204"/>
      <c r="BK241" s="205"/>
      <c r="BL241" s="206"/>
      <c r="BM241" s="203"/>
      <c r="BN241" s="204"/>
      <c r="BO241" s="204"/>
      <c r="BP241" s="205"/>
      <c r="BQ241" s="206"/>
      <c r="BR241" s="20"/>
      <c r="BS241" s="20"/>
      <c r="BT241" s="20"/>
      <c r="BU241" s="20"/>
      <c r="BV241" s="20"/>
      <c r="BW241" s="20"/>
      <c r="BX241" s="20"/>
      <c r="BY241" s="20"/>
      <c r="BZ241" s="20"/>
      <c r="CA241" s="20"/>
      <c r="CB241" s="20"/>
      <c r="CC241" s="20"/>
      <c r="CD241" s="20"/>
      <c r="CE241" s="20"/>
      <c r="CF241" s="20"/>
      <c r="CG241" s="20"/>
      <c r="CH241" s="20"/>
      <c r="CI241" s="20"/>
      <c r="CJ241" s="20"/>
      <c r="CK241" s="20"/>
      <c r="CL241" s="20"/>
      <c r="CM241" s="20"/>
      <c r="CN241" s="20"/>
      <c r="CO241" s="20"/>
      <c r="CP241" s="20"/>
      <c r="CQ241" s="20"/>
      <c r="CR241" s="20"/>
      <c r="CS241" s="20"/>
      <c r="CT241" s="20"/>
      <c r="CU241" s="20"/>
      <c r="CV241" s="20"/>
      <c r="CW241" s="20"/>
      <c r="CX241" s="20"/>
      <c r="CY241" s="20"/>
      <c r="CZ241" s="20"/>
    </row>
    <row r="242" spans="1:104" x14ac:dyDescent="0.2">
      <c r="A242" s="20"/>
      <c r="B242" s="16" t="s">
        <v>236</v>
      </c>
      <c r="C242" s="16"/>
      <c r="D242" s="17"/>
      <c r="E242" s="203"/>
      <c r="F242" s="204"/>
      <c r="G242" s="204"/>
      <c r="H242" s="205"/>
      <c r="I242" s="206"/>
      <c r="J242" s="203"/>
      <c r="K242" s="204"/>
      <c r="L242" s="204"/>
      <c r="M242" s="205"/>
      <c r="N242" s="206"/>
      <c r="O242" s="203"/>
      <c r="P242" s="204"/>
      <c r="Q242" s="204"/>
      <c r="R242" s="205"/>
      <c r="S242" s="206"/>
      <c r="T242" s="203"/>
      <c r="U242" s="204"/>
      <c r="V242" s="204"/>
      <c r="W242" s="205"/>
      <c r="X242" s="206"/>
      <c r="Y242" s="203"/>
      <c r="Z242" s="204"/>
      <c r="AA242" s="204"/>
      <c r="AB242" s="205"/>
      <c r="AC242" s="206"/>
      <c r="AD242" s="203"/>
      <c r="AE242" s="204"/>
      <c r="AF242" s="204"/>
      <c r="AG242" s="205"/>
      <c r="AH242" s="206"/>
      <c r="AI242" s="203"/>
      <c r="AJ242" s="204"/>
      <c r="AK242" s="204"/>
      <c r="AL242" s="205"/>
      <c r="AM242" s="206"/>
      <c r="AN242" s="203"/>
      <c r="AO242" s="204"/>
      <c r="AP242" s="204"/>
      <c r="AQ242" s="205"/>
      <c r="AR242" s="206"/>
      <c r="AS242" s="203"/>
      <c r="AT242" s="204"/>
      <c r="AU242" s="204"/>
      <c r="AV242" s="205"/>
      <c r="AW242" s="206"/>
      <c r="AX242" s="203"/>
      <c r="AY242" s="204"/>
      <c r="AZ242" s="204"/>
      <c r="BA242" s="205"/>
      <c r="BB242" s="206"/>
      <c r="BC242" s="203"/>
      <c r="BD242" s="204"/>
      <c r="BE242" s="204"/>
      <c r="BF242" s="205"/>
      <c r="BG242" s="206"/>
      <c r="BH242" s="203"/>
      <c r="BI242" s="204"/>
      <c r="BJ242" s="204"/>
      <c r="BK242" s="205"/>
      <c r="BL242" s="206"/>
      <c r="BM242" s="203"/>
      <c r="BN242" s="204"/>
      <c r="BO242" s="204"/>
      <c r="BP242" s="205"/>
      <c r="BQ242" s="206"/>
      <c r="BR242" s="20"/>
      <c r="BS242" s="20"/>
      <c r="BT242" s="20"/>
      <c r="BU242" s="20"/>
      <c r="BV242" s="20"/>
      <c r="BW242" s="20"/>
      <c r="BX242" s="20"/>
      <c r="BY242" s="20"/>
      <c r="BZ242" s="20"/>
      <c r="CA242" s="20"/>
      <c r="CB242" s="20"/>
      <c r="CC242" s="20"/>
      <c r="CD242" s="20"/>
      <c r="CE242" s="20"/>
      <c r="CF242" s="20"/>
      <c r="CG242" s="20"/>
      <c r="CH242" s="20"/>
      <c r="CI242" s="20"/>
      <c r="CJ242" s="20"/>
      <c r="CK242" s="20"/>
      <c r="CL242" s="20"/>
      <c r="CM242" s="20"/>
      <c r="CN242" s="20"/>
      <c r="CO242" s="20"/>
      <c r="CP242" s="20"/>
      <c r="CQ242" s="20"/>
      <c r="CR242" s="20"/>
      <c r="CS242" s="20"/>
      <c r="CT242" s="20"/>
      <c r="CU242" s="20"/>
      <c r="CV242" s="20"/>
      <c r="CW242" s="20"/>
      <c r="CX242" s="20"/>
      <c r="CY242" s="20"/>
      <c r="CZ242" s="20"/>
    </row>
    <row r="243" spans="1:104" x14ac:dyDescent="0.2">
      <c r="A243" s="220"/>
      <c r="B243" s="220"/>
      <c r="C243" s="70" t="s">
        <v>237</v>
      </c>
      <c r="D243" s="82"/>
      <c r="E243" s="136"/>
      <c r="F243" s="135"/>
      <c r="G243" s="122"/>
      <c r="H243" s="116">
        <f>SUM(E49:H49)+SUM(E21:H21)</f>
        <v>579.38200000000029</v>
      </c>
      <c r="I243" s="82">
        <f>I49+I21</f>
        <v>579.38200000000029</v>
      </c>
      <c r="J243" s="136">
        <f>SUM(J49,F49:H49)+SUM(J21,F21:H21)</f>
        <v>589.76300000000015</v>
      </c>
      <c r="K243" s="135">
        <f>SUM(J49:K49,G49:H49)+SUM(J21:K21,G21:H21)</f>
        <v>613.2030000000002</v>
      </c>
      <c r="L243" s="135">
        <f>SUM(J49:L49,H49)+SUM(J21:L21,H21)</f>
        <v>688.17400000000009</v>
      </c>
      <c r="M243" s="116">
        <f>SUM(J49:M49)+SUM(J21:M21)</f>
        <v>683.85899999999958</v>
      </c>
      <c r="N243" s="82">
        <f>N49+N21</f>
        <v>683.85899999999958</v>
      </c>
      <c r="O243" s="136">
        <f>SUM(O49,K49:M49)+SUM(O21,K21:M21)</f>
        <v>709.24199999999973</v>
      </c>
      <c r="P243" s="135">
        <f>SUM(O49:P49,L49:M49)+SUM(O21:P21,L21:M21)</f>
        <v>713.63499999999976</v>
      </c>
      <c r="Q243" s="135">
        <f>SUM(O49:Q49,M49)+SUM(O21:Q21,M21)</f>
        <v>708.86799999999971</v>
      </c>
      <c r="R243" s="116">
        <f>SUM(O49:R49)+SUM(O21:R21)</f>
        <v>725.38499999999885</v>
      </c>
      <c r="S243" s="82">
        <f>S49+S21</f>
        <v>725.38499999999885</v>
      </c>
      <c r="T243" s="136">
        <f>SUM(T49,P49:R49)+SUM(T21,P21:R21)</f>
        <v>725.65999999999849</v>
      </c>
      <c r="U243" s="135">
        <f>SUM(T49:U49,Q49:R49)+SUM(T21:U21,Q21:R21)</f>
        <v>749.92299999999841</v>
      </c>
      <c r="V243" s="135">
        <f>SUM(T49:V49,R49)+SUM(T21:V21,R21)</f>
        <v>802.40699999999856</v>
      </c>
      <c r="W243" s="116">
        <f>SUM(T49:W49)+SUM(T21:W21)</f>
        <v>796.90299999999922</v>
      </c>
      <c r="X243" s="82">
        <f>X49+X21</f>
        <v>796.90299999999922</v>
      </c>
      <c r="Y243" s="136">
        <f>SUM(Y49,U49:W49)+SUM(Y21,U21:W21)</f>
        <v>826.18399999999951</v>
      </c>
      <c r="Z243" s="135">
        <f>SUM(Y49:Z49,V49:W49)+SUM(Y21:Z21,V21:W21)</f>
        <v>837.00399999999945</v>
      </c>
      <c r="AA243" s="135">
        <f>SUM(Y49:AA49,W49)+SUM(Y21:AA21,W21)</f>
        <v>813.49899999999957</v>
      </c>
      <c r="AB243" s="116">
        <f>SUM(Y49:AB49)+SUM(Y21:AB21)</f>
        <v>813.7999999999995</v>
      </c>
      <c r="AC243" s="82">
        <f>AC49+AC21</f>
        <v>813.7999999999995</v>
      </c>
      <c r="AD243" s="136">
        <f>SUM(AD49,Z49:AB49)+SUM(AD21,Z21:AB21)</f>
        <v>819.36399999999958</v>
      </c>
      <c r="AE243" s="135">
        <f>SUM(AD49:AE49,AA49:AB49)+SUM(AD21:AE21,AA21:AB21)</f>
        <v>817.89299999999957</v>
      </c>
      <c r="AF243" s="135">
        <f>SUM(AD49:AF49,AB49)+SUM(AD21:AF21,AB21)</f>
        <v>812.2839999999992</v>
      </c>
      <c r="AG243" s="116">
        <f>SUM(AD49:AG49)+SUM(AD21:AG21)</f>
        <v>834.39000000000078</v>
      </c>
      <c r="AH243" s="82">
        <f>AH49+AH21</f>
        <v>834.39000000000078</v>
      </c>
      <c r="AI243" s="136">
        <f>SUM(AI49,AE49:AG49)+SUM(AI21,AE21:AG21)</f>
        <v>833.68000000000075</v>
      </c>
      <c r="AJ243" s="135">
        <f>SUM(AI49:AJ49,AF49:AG49)+SUM(AI21:AJ21,AF21:AG21)</f>
        <v>848.51900000000069</v>
      </c>
      <c r="AK243" s="135">
        <f>SUM(AI49:AK49,AG49)+SUM(AI21:AK21,AG21)</f>
        <v>876.59400000000085</v>
      </c>
      <c r="AL243" s="116">
        <f>SUM(AI49:AL49)+SUM(AI21:AL21)</f>
        <v>878.46899999999994</v>
      </c>
      <c r="AM243" s="82">
        <f>AM49+AM21</f>
        <v>878.46899999999994</v>
      </c>
      <c r="AN243" s="136">
        <f>SUM(AN49,AJ49:AL49)+SUM(AN21,AJ21:AL21)</f>
        <v>892.21499999999992</v>
      </c>
      <c r="AO243" s="135">
        <f>SUM(AN49:AO49,AK49:AL49)+SUM(AN21:AO21,AK21:AL21)</f>
        <v>889.72199999999998</v>
      </c>
      <c r="AP243" s="135">
        <f>SUM(AN49:AP49,AL49)+SUM(AN21:AP21,AL21)</f>
        <v>897.82299999999998</v>
      </c>
      <c r="AQ243" s="116">
        <f>SUM(AN49:AQ49)+SUM(AN21:AQ21)</f>
        <v>907.04599999999959</v>
      </c>
      <c r="AR243" s="82">
        <f>AR49+AR21</f>
        <v>907.04599999999959</v>
      </c>
      <c r="AS243" s="136">
        <f>SUM(AS49,AO49:AQ49)+SUM(AS21,AO21:AQ21)</f>
        <v>908.83099999999968</v>
      </c>
      <c r="AT243" s="135">
        <f>SUM(AS49:AT49,AP49:AQ49)+SUM(AS21:AT21,AP21:AQ21)</f>
        <v>929.67799999999954</v>
      </c>
      <c r="AU243" s="135">
        <f>SUM(AS49:AU49,AQ49)+SUM(AS21:AU21,AQ21)</f>
        <v>948.63399999999956</v>
      </c>
      <c r="AV243" s="116">
        <f>SUM(AS49:AV49)+SUM(AS21:AV21)</f>
        <v>965.63400000000024</v>
      </c>
      <c r="AW243" s="82">
        <f>AW49+AW21</f>
        <v>965.63400000000024</v>
      </c>
      <c r="AX243" s="136">
        <f>SUM(AX49,AT49:AV49)+SUM(AX21,AT21:AV21)</f>
        <v>1004.3389945633195</v>
      </c>
      <c r="AY243" s="135">
        <f>SUM(AX49:AY49,AU49:AV49)+SUM(AX21:AY21,AU21:AV21)</f>
        <v>1026.0120799826639</v>
      </c>
      <c r="AZ243" s="135">
        <f>SUM(AX49:AZ49,AV49)+SUM(AX21:AZ21,AV21)</f>
        <v>1043.4042772336377</v>
      </c>
      <c r="BA243" s="116">
        <f>SUM(AX49:BA49)+SUM(AX21:BA21)</f>
        <v>1050.0403012548393</v>
      </c>
      <c r="BB243" s="82">
        <f>BB49+BB21</f>
        <v>1050.0403012548393</v>
      </c>
      <c r="BC243" s="136">
        <f>SUM(BC49,AY49:BA49)+SUM(BC21,AY21:BA21)</f>
        <v>1055.6349536552189</v>
      </c>
      <c r="BD243" s="135">
        <f>SUM(BC49:BD49,AZ49:BA49)+SUM(BC21:BD21,AZ21:BA21)</f>
        <v>1058.706474286819</v>
      </c>
      <c r="BE243" s="135">
        <f>SUM(BC49:BE49,BA49)+SUM(BC21:BE21,BA21)</f>
        <v>1067.2896413587684</v>
      </c>
      <c r="BF243" s="116">
        <f>SUM(BC49:BF49)+SUM(BC21:BF21)</f>
        <v>1075.0189140521129</v>
      </c>
      <c r="BG243" s="82">
        <f>BG49+BG21</f>
        <v>1075.0189140521129</v>
      </c>
      <c r="BH243" s="136">
        <f>SUM(BH49,BD49:BF49)+SUM(BH21,BD21:BF21)</f>
        <v>1092.0182228403128</v>
      </c>
      <c r="BI243" s="135">
        <f>SUM(BH49:BI49,BE49:BF49)+SUM(BH21:BI21,BE21:BF21)</f>
        <v>1101.127127691133</v>
      </c>
      <c r="BJ243" s="135">
        <f>SUM(BH49:BJ49,BF49)+SUM(BH21:BJ21,BF21)</f>
        <v>1109.5361412341751</v>
      </c>
      <c r="BK243" s="116">
        <f>SUM(BH49:BK49)+SUM(BH21:BK21)</f>
        <v>1120.8372495786707</v>
      </c>
      <c r="BL243" s="82">
        <f>BL49+BL21</f>
        <v>1120.8372495786707</v>
      </c>
      <c r="BM243" s="136">
        <f>SUM(BM49,BI49:BK49)+SUM(BM21,BI21:BK21)</f>
        <v>1136.6722530584082</v>
      </c>
      <c r="BN243" s="135">
        <f>SUM(BM49:BN49,BJ49:BK49)+SUM(BM21:BN21,BJ21:BK21)</f>
        <v>1146.4614537428056</v>
      </c>
      <c r="BO243" s="135">
        <f>SUM(BM49:BO49,BK49)+SUM(BM21:BO21,BK21)</f>
        <v>1158.0054476449966</v>
      </c>
      <c r="BP243" s="116">
        <f>SUM(BM49:BP49)+SUM(BM21:BP21)</f>
        <v>1170.5074297300994</v>
      </c>
      <c r="BQ243" s="82">
        <f>BQ49+BQ21</f>
        <v>1170.5074297300994</v>
      </c>
      <c r="BR243" s="220"/>
      <c r="BS243" s="220"/>
      <c r="BT243" s="220"/>
      <c r="BU243" s="220"/>
      <c r="BV243" s="220"/>
      <c r="BW243" s="220"/>
      <c r="BX243" s="220"/>
      <c r="BY243" s="220"/>
      <c r="BZ243" s="220"/>
      <c r="CA243" s="220"/>
      <c r="CB243" s="220"/>
      <c r="CC243" s="220"/>
      <c r="CD243" s="220"/>
      <c r="CE243" s="220"/>
      <c r="CF243" s="220"/>
      <c r="CG243" s="220"/>
      <c r="CH243" s="220"/>
      <c r="CI243" s="220"/>
      <c r="CJ243" s="220"/>
      <c r="CK243" s="220"/>
      <c r="CL243" s="220"/>
      <c r="CM243" s="220"/>
      <c r="CN243" s="220"/>
      <c r="CO243" s="220"/>
      <c r="CP243" s="220"/>
      <c r="CQ243" s="220"/>
      <c r="CR243" s="220"/>
      <c r="CS243" s="220"/>
      <c r="CT243" s="220"/>
      <c r="CU243" s="220"/>
      <c r="CV243" s="220"/>
      <c r="CW243" s="220"/>
      <c r="CX243" s="220"/>
      <c r="CY243" s="220"/>
      <c r="CZ243" s="220"/>
    </row>
    <row r="244" spans="1:104" x14ac:dyDescent="0.2">
      <c r="A244" s="220"/>
      <c r="B244" s="220"/>
      <c r="C244" s="70" t="s">
        <v>238</v>
      </c>
      <c r="D244" s="82"/>
      <c r="E244" s="136"/>
      <c r="F244" s="135"/>
      <c r="G244" s="122"/>
      <c r="H244" s="116">
        <f>SUM(E32:H32)</f>
        <v>641.48500000000024</v>
      </c>
      <c r="I244" s="82">
        <f>+I32</f>
        <v>641.48500000000024</v>
      </c>
      <c r="J244" s="136">
        <f>SUM(J32,F32:H32)</f>
        <v>693.11000000000013</v>
      </c>
      <c r="K244" s="135">
        <f>SUM(J32:K32,G32:H32)</f>
        <v>726.44100000000014</v>
      </c>
      <c r="L244" s="135">
        <f>SUM(J32:L32,H32)</f>
        <v>817.33400000000006</v>
      </c>
      <c r="M244" s="116">
        <f>SUM(J32:M32)</f>
        <v>795.53899999999987</v>
      </c>
      <c r="N244" s="82">
        <f>+N32</f>
        <v>795.53899999999965</v>
      </c>
      <c r="O244" s="136">
        <f>SUM(O32,K32:M32)</f>
        <v>789.51699999999994</v>
      </c>
      <c r="P244" s="135">
        <f>SUM(O32:P32,L32:M32)</f>
        <v>785.44399999999996</v>
      </c>
      <c r="Q244" s="135">
        <f>SUM(O32:Q32,M32)</f>
        <v>784.08</v>
      </c>
      <c r="R244" s="116">
        <f>SUM(O32:R32)</f>
        <v>808.6429999999998</v>
      </c>
      <c r="S244" s="82">
        <f>+S32</f>
        <v>808.64299999999889</v>
      </c>
      <c r="T244" s="136">
        <f>SUM(T32,P32:R32)</f>
        <v>802.71699999999942</v>
      </c>
      <c r="U244" s="135">
        <f>SUM(T32:U32,Q32:R32)</f>
        <v>842.91599999999926</v>
      </c>
      <c r="V244" s="135">
        <f>SUM(T32:V32,R32)</f>
        <v>893.80999999999938</v>
      </c>
      <c r="W244" s="116">
        <f>SUM(T32:W32)</f>
        <v>870.30899999999963</v>
      </c>
      <c r="X244" s="82">
        <f>+X32</f>
        <v>870.30899999999917</v>
      </c>
      <c r="Y244" s="136">
        <f>SUM(Y32,U32:W32)</f>
        <v>897.44399999999996</v>
      </c>
      <c r="Z244" s="135">
        <f>SUM(Y32:Z32,V32:W32)</f>
        <v>891.82399999999984</v>
      </c>
      <c r="AA244" s="135">
        <f>SUM(Y32:AA32,W32)</f>
        <v>870.24800000000005</v>
      </c>
      <c r="AB244" s="116">
        <f>SUM(Y32:AB32)</f>
        <v>865.06799999999953</v>
      </c>
      <c r="AC244" s="82">
        <f>+AC32</f>
        <v>865.06799999999953</v>
      </c>
      <c r="AD244" s="136">
        <f>SUM(AD32,Z32:AB32)</f>
        <v>865.93299999999977</v>
      </c>
      <c r="AE244" s="135">
        <f>SUM(AD32:AE32,AA32:AB32)</f>
        <v>851.44599999999969</v>
      </c>
      <c r="AF244" s="135">
        <f>SUM(AD32:AF32,AB32)</f>
        <v>827.05199999999923</v>
      </c>
      <c r="AG244" s="116">
        <f>SUM(AD32:AG32)</f>
        <v>853.41899999999998</v>
      </c>
      <c r="AH244" s="82">
        <f>+AH32</f>
        <v>853.41900000000078</v>
      </c>
      <c r="AI244" s="136">
        <f>SUM(AI32,AE32:AG32)</f>
        <v>851.64800000000002</v>
      </c>
      <c r="AJ244" s="135">
        <f>SUM(AI32:AJ32,AF32:AG32)</f>
        <v>873.67899999999997</v>
      </c>
      <c r="AK244" s="135">
        <f>SUM(AI32:AK32,AG32)</f>
        <v>918.92500000000007</v>
      </c>
      <c r="AL244" s="116">
        <f>SUM(AI32:AL32)</f>
        <v>917.1500000000002</v>
      </c>
      <c r="AM244" s="82">
        <f>+AM32</f>
        <v>917.15</v>
      </c>
      <c r="AN244" s="136">
        <f>SUM(AN32,AJ32:AL32)</f>
        <v>926.21400000000028</v>
      </c>
      <c r="AO244" s="135">
        <f>SUM(AN32:AO32,AK32:AL32)</f>
        <v>912.40800000000024</v>
      </c>
      <c r="AP244" s="135">
        <f>SUM(AN32:AP32,AL32)</f>
        <v>913.54600000000016</v>
      </c>
      <c r="AQ244" s="116">
        <f>SUM(AN32:AQ32)</f>
        <v>911.99499999999966</v>
      </c>
      <c r="AR244" s="82">
        <f>+AR32</f>
        <v>911.99499999999966</v>
      </c>
      <c r="AS244" s="136">
        <f>SUM(AS32,AO32:AQ32)</f>
        <v>904.78499999999963</v>
      </c>
      <c r="AT244" s="135">
        <f>SUM(AS32:AT32,AP32:AQ32)</f>
        <v>920.2429999999996</v>
      </c>
      <c r="AU244" s="135">
        <f>SUM(AS32:AU32,AQ32)</f>
        <v>934.95699999999965</v>
      </c>
      <c r="AV244" s="116">
        <f>SUM(AS32:AV32)</f>
        <v>925.58499999999958</v>
      </c>
      <c r="AW244" s="82">
        <f>+AW32</f>
        <v>925.58500000000026</v>
      </c>
      <c r="AX244" s="136">
        <f>SUM(AX32,AT32:AV32)</f>
        <v>921.1079117443885</v>
      </c>
      <c r="AY244" s="135">
        <f>SUM(AX32:AY32,AU32:AV32)</f>
        <v>902.48537464431251</v>
      </c>
      <c r="AZ244" s="135">
        <f>SUM(AX32:AZ32,AV32)</f>
        <v>858.48634647553286</v>
      </c>
      <c r="BA244" s="116">
        <f>SUM(AX32:BA32)</f>
        <v>850.22730342850082</v>
      </c>
      <c r="BB244" s="82">
        <f>+BB32</f>
        <v>850.22730342850048</v>
      </c>
      <c r="BC244" s="136">
        <f>SUM(BC32,AY32:BA32)</f>
        <v>860.96872243946382</v>
      </c>
      <c r="BD244" s="135">
        <f>SUM(BC32:BD32,AZ32:BA32)</f>
        <v>862.1118047723171</v>
      </c>
      <c r="BE244" s="135">
        <f>SUM(BC32:BE32,BA32)</f>
        <v>865.3676602625269</v>
      </c>
      <c r="BF244" s="116">
        <f>SUM(BC32:BF32)</f>
        <v>869.08613872919682</v>
      </c>
      <c r="BG244" s="82">
        <f>+BG32</f>
        <v>869.08613872919693</v>
      </c>
      <c r="BH244" s="136">
        <f>SUM(BH32,BD32:BF32)</f>
        <v>877.75876782482135</v>
      </c>
      <c r="BI244" s="135">
        <f>SUM(BH32:BI32,BE32:BF32)</f>
        <v>884.40040121550953</v>
      </c>
      <c r="BJ244" s="135">
        <f>SUM(BH32:BJ32,BF32)</f>
        <v>892.72099876841878</v>
      </c>
      <c r="BK244" s="116">
        <f>SUM(BH32:BK32)</f>
        <v>902.27831793138989</v>
      </c>
      <c r="BL244" s="82">
        <f>+BL32</f>
        <v>902.27831793139046</v>
      </c>
      <c r="BM244" s="136">
        <f>SUM(BM32,BI32:BK32)</f>
        <v>918.24463607104462</v>
      </c>
      <c r="BN244" s="135">
        <f>SUM(BM32:BN32,BJ32:BK32)</f>
        <v>929.46947950433332</v>
      </c>
      <c r="BO244" s="135">
        <f>SUM(BM32:BO32,BK32)</f>
        <v>941.24585968957513</v>
      </c>
      <c r="BP244" s="116">
        <f>SUM(BM32:BP32)</f>
        <v>954.11129016888083</v>
      </c>
      <c r="BQ244" s="82">
        <f>+BQ32</f>
        <v>954.11129016888071</v>
      </c>
      <c r="BR244" s="220"/>
      <c r="BS244" s="220"/>
      <c r="BT244" s="220"/>
      <c r="BU244" s="220"/>
      <c r="BV244" s="220"/>
      <c r="BW244" s="220"/>
      <c r="BX244" s="220"/>
      <c r="BY244" s="220"/>
      <c r="BZ244" s="220"/>
      <c r="CA244" s="220"/>
      <c r="CB244" s="220"/>
      <c r="CC244" s="220"/>
      <c r="CD244" s="220"/>
      <c r="CE244" s="220"/>
      <c r="CF244" s="220"/>
      <c r="CG244" s="220"/>
      <c r="CH244" s="220"/>
      <c r="CI244" s="220"/>
      <c r="CJ244" s="220"/>
      <c r="CK244" s="220"/>
      <c r="CL244" s="220"/>
      <c r="CM244" s="220"/>
      <c r="CN244" s="220"/>
      <c r="CO244" s="220"/>
      <c r="CP244" s="220"/>
      <c r="CQ244" s="220"/>
      <c r="CR244" s="220"/>
      <c r="CS244" s="220"/>
      <c r="CT244" s="220"/>
      <c r="CU244" s="220"/>
      <c r="CV244" s="220"/>
      <c r="CW244" s="220"/>
      <c r="CX244" s="220"/>
      <c r="CY244" s="220"/>
      <c r="CZ244" s="220"/>
    </row>
    <row r="245" spans="1:104" x14ac:dyDescent="0.2">
      <c r="A245" s="220"/>
      <c r="B245" s="220"/>
      <c r="C245" s="70" t="s">
        <v>239</v>
      </c>
      <c r="D245" s="82"/>
      <c r="E245" s="136"/>
      <c r="F245" s="135"/>
      <c r="G245" s="122"/>
      <c r="H245" s="116">
        <f>SUM(E33:H33)</f>
        <v>897.54700000000025</v>
      </c>
      <c r="I245" s="82">
        <f>+I33</f>
        <v>897.54700000000025</v>
      </c>
      <c r="J245" s="136">
        <f>SUM(J33,F33:H33)</f>
        <v>953.59100000000012</v>
      </c>
      <c r="K245" s="135">
        <f>SUM(J33:K33,G33:H33)</f>
        <v>993.22400000000016</v>
      </c>
      <c r="L245" s="135">
        <f>SUM(J33:L33,H33)</f>
        <v>1092.221</v>
      </c>
      <c r="M245" s="116">
        <f>SUM(J33:M33)</f>
        <v>1079.6779999999999</v>
      </c>
      <c r="N245" s="82">
        <f>+N33</f>
        <v>1079.6779999999997</v>
      </c>
      <c r="O245" s="136">
        <f>SUM(O33,K33:M33)</f>
        <v>1086.6589999999999</v>
      </c>
      <c r="P245" s="135">
        <f>SUM(O33:P33,L33:M33)</f>
        <v>1093.646</v>
      </c>
      <c r="Q245" s="135">
        <f>SUM(O33:Q33,M33)</f>
        <v>1104.8879999999999</v>
      </c>
      <c r="R245" s="116">
        <f>SUM(O33:R33)</f>
        <v>1137.2249999999997</v>
      </c>
      <c r="S245" s="82">
        <f>+S33</f>
        <v>1137.224999999999</v>
      </c>
      <c r="T245" s="136">
        <f>SUM(T33,P33:R33)</f>
        <v>1134.9189999999994</v>
      </c>
      <c r="U245" s="135">
        <f>SUM(T33:U33,Q33:R33)</f>
        <v>1174.9919999999993</v>
      </c>
      <c r="V245" s="135">
        <f>SUM(T33:V33,R33)</f>
        <v>1226.6449999999993</v>
      </c>
      <c r="W245" s="116">
        <f>SUM(T33:W33)</f>
        <v>1209.1359999999995</v>
      </c>
      <c r="X245" s="82">
        <f>+X33</f>
        <v>1209.1359999999991</v>
      </c>
      <c r="Y245" s="136">
        <f>SUM(Y33,U33:W33)</f>
        <v>1242.2319999999997</v>
      </c>
      <c r="Z245" s="135">
        <f>SUM(Y33:Z33,V33:W33)</f>
        <v>1245.5399999999997</v>
      </c>
      <c r="AA245" s="135">
        <f>SUM(Y33:AA33,W33)</f>
        <v>1226.636</v>
      </c>
      <c r="AB245" s="116">
        <f>SUM(Y33:AB33)</f>
        <v>1225.4849999999994</v>
      </c>
      <c r="AC245" s="82">
        <f>+AC33</f>
        <v>1225.4849999999994</v>
      </c>
      <c r="AD245" s="136">
        <f>SUM(AD33,Z33:AB33)</f>
        <v>1230.1159999999998</v>
      </c>
      <c r="AE245" s="135">
        <f>SUM(AD33:AE33,AA33:AB33)</f>
        <v>1221.6649999999995</v>
      </c>
      <c r="AF245" s="135">
        <f>SUM(AD33:AF33,AB33)</f>
        <v>1203.7689999999993</v>
      </c>
      <c r="AG245" s="116">
        <f>SUM(AD33:AG33)</f>
        <v>1232.6210000000001</v>
      </c>
      <c r="AH245" s="82">
        <f>+AH33</f>
        <v>1232.6210000000008</v>
      </c>
      <c r="AI245" s="136">
        <f>SUM(AI33,AE33:AG33)</f>
        <v>1237.577</v>
      </c>
      <c r="AJ245" s="135">
        <f>SUM(AI33:AJ33,AF33:AG33)</f>
        <v>1265.739</v>
      </c>
      <c r="AK245" s="135">
        <f>SUM(AI33:AK33,AG33)</f>
        <v>1320.1380000000001</v>
      </c>
      <c r="AL245" s="116">
        <f>SUM(AI33:AL33)</f>
        <v>1328.8170000000002</v>
      </c>
      <c r="AM245" s="82">
        <f>+AM33</f>
        <v>1328.817</v>
      </c>
      <c r="AN245" s="136">
        <f>SUM(AN33,AJ33:AL33)</f>
        <v>1346.7190000000003</v>
      </c>
      <c r="AO245" s="135">
        <f>SUM(AN33:AO33,AK33:AL33)</f>
        <v>1341.5760000000002</v>
      </c>
      <c r="AP245" s="135">
        <f>SUM(AN33:AP33,AL33)</f>
        <v>1350.2890000000002</v>
      </c>
      <c r="AQ245" s="116">
        <f>SUM(AN33:AQ33)</f>
        <v>1355.5499999999997</v>
      </c>
      <c r="AR245" s="82">
        <f>+AR33</f>
        <v>1355.5499999999997</v>
      </c>
      <c r="AS245" s="136">
        <f>SUM(AS33,AO33:AQ33)</f>
        <v>1354.4529999999995</v>
      </c>
      <c r="AT245" s="135">
        <f>SUM(AS33:AT33,AP33:AQ33)</f>
        <v>1377.5149999999996</v>
      </c>
      <c r="AU245" s="135">
        <f>SUM(AS33:AU33,AQ33)</f>
        <v>1398.7149999999997</v>
      </c>
      <c r="AV245" s="116">
        <f>SUM(AS33:AV33)</f>
        <v>1397.0999999999995</v>
      </c>
      <c r="AW245" s="82">
        <f>+AW33</f>
        <v>1397.1000000000004</v>
      </c>
      <c r="AX245" s="136">
        <f>SUM(AX33,AT33:AV33)</f>
        <v>1407.7430417443888</v>
      </c>
      <c r="AY245" s="135">
        <f>SUM(AX33:AY33,AU33:AV33)</f>
        <v>1402.0974008062508</v>
      </c>
      <c r="AZ245" s="135">
        <f>SUM(AX33:AZ33,AV33)</f>
        <v>1371.8693698377901</v>
      </c>
      <c r="BA245" s="116">
        <f>SUM(AX33:BA33)</f>
        <v>1376.505724019074</v>
      </c>
      <c r="BB245" s="82">
        <f>+BB33</f>
        <v>1376.5057240190736</v>
      </c>
      <c r="BC245" s="136">
        <f>SUM(BC33,AY33:BA33)</f>
        <v>1388.9074349546686</v>
      </c>
      <c r="BD245" s="135">
        <f>SUM(BC33:BD33,AZ33:BA33)</f>
        <v>1396.7586133494833</v>
      </c>
      <c r="BE245" s="135">
        <f>SUM(BC33:BE33,BA33)</f>
        <v>1406.3010334390906</v>
      </c>
      <c r="BF245" s="116">
        <f>SUM(BC33:BF33)</f>
        <v>1415.889047499614</v>
      </c>
      <c r="BG245" s="82">
        <f>+BG33</f>
        <v>1415.8890474996142</v>
      </c>
      <c r="BH245" s="136">
        <f>SUM(BH33,BD33:BF33)</f>
        <v>1433.9223702457887</v>
      </c>
      <c r="BI245" s="135">
        <f>SUM(BH33:BI33,BE33:BF33)</f>
        <v>1445.9150677990624</v>
      </c>
      <c r="BJ245" s="135">
        <f>SUM(BH33:BJ33,BF33)</f>
        <v>1459.3673875655832</v>
      </c>
      <c r="BK245" s="116">
        <f>SUM(BH33:BK33)</f>
        <v>1473.8391917561241</v>
      </c>
      <c r="BL245" s="82">
        <f>+BL33</f>
        <v>1473.8391917561248</v>
      </c>
      <c r="BM245" s="136">
        <f>SUM(BM33,BI33:BK33)</f>
        <v>1493.6429884703437</v>
      </c>
      <c r="BN245" s="135">
        <f>SUM(BM33:BN33,BJ33:BK33)</f>
        <v>1507.3407253007281</v>
      </c>
      <c r="BO245" s="135">
        <f>SUM(BM33:BO33,BK33)</f>
        <v>1522.0518847178182</v>
      </c>
      <c r="BP245" s="116">
        <f>SUM(BM33:BP33)</f>
        <v>1538.3094916345481</v>
      </c>
      <c r="BQ245" s="82">
        <f>+BQ33</f>
        <v>1538.3094916345478</v>
      </c>
      <c r="BR245" s="220"/>
      <c r="BS245" s="220"/>
      <c r="BT245" s="220"/>
      <c r="BU245" s="220"/>
      <c r="BV245" s="220"/>
      <c r="BW245" s="220"/>
      <c r="BX245" s="220"/>
      <c r="BY245" s="220"/>
      <c r="BZ245" s="220"/>
      <c r="CA245" s="220"/>
      <c r="CB245" s="220"/>
      <c r="CC245" s="220"/>
      <c r="CD245" s="220"/>
      <c r="CE245" s="220"/>
      <c r="CF245" s="220"/>
      <c r="CG245" s="220"/>
      <c r="CH245" s="220"/>
      <c r="CI245" s="220"/>
      <c r="CJ245" s="220"/>
      <c r="CK245" s="220"/>
      <c r="CL245" s="220"/>
      <c r="CM245" s="220"/>
      <c r="CN245" s="220"/>
      <c r="CO245" s="220"/>
      <c r="CP245" s="220"/>
      <c r="CQ245" s="220"/>
      <c r="CR245" s="220"/>
      <c r="CS245" s="220"/>
      <c r="CT245" s="220"/>
      <c r="CU245" s="220"/>
      <c r="CV245" s="220"/>
      <c r="CW245" s="220"/>
      <c r="CX245" s="220"/>
      <c r="CY245" s="220"/>
      <c r="CZ245" s="220"/>
    </row>
    <row r="246" spans="1:104" x14ac:dyDescent="0.2">
      <c r="A246" s="220"/>
      <c r="B246" s="220"/>
      <c r="C246" s="70" t="s">
        <v>240</v>
      </c>
      <c r="D246" s="82"/>
      <c r="E246" s="136"/>
      <c r="F246" s="135"/>
      <c r="G246" s="122"/>
      <c r="H246" s="116">
        <f>SUM(E35:H35)</f>
        <v>166.21199999999999</v>
      </c>
      <c r="I246" s="82">
        <f>+SUM(I35:I35)</f>
        <v>166.21199999999999</v>
      </c>
      <c r="J246" s="136">
        <f>SUM(J35:J35,F35:H35)</f>
        <v>171.673</v>
      </c>
      <c r="K246" s="135">
        <f>SUM(J35:K35,G35:H35)</f>
        <v>171.518</v>
      </c>
      <c r="L246" s="135">
        <f>SUM(J35:L35,H35:H35)</f>
        <v>169.559</v>
      </c>
      <c r="M246" s="116">
        <f>SUM(J35:M35)</f>
        <v>171.94499999999999</v>
      </c>
      <c r="N246" s="82">
        <f>+SUM(N35:N35)</f>
        <v>171.94499999999999</v>
      </c>
      <c r="O246" s="136">
        <f>SUM(O35:O35,K35:M35)</f>
        <v>171.53100000000001</v>
      </c>
      <c r="P246" s="135">
        <f>SUM(O35:P35,L35:M35)</f>
        <v>175.941</v>
      </c>
      <c r="Q246" s="135">
        <f>SUM(O35:Q35,M35:M35)</f>
        <v>182.20999999999998</v>
      </c>
      <c r="R246" s="116">
        <f>SUM(O35:R35)</f>
        <v>186.88499999999999</v>
      </c>
      <c r="S246" s="82">
        <f>+SUM(S35:S35)</f>
        <v>186.88499999999999</v>
      </c>
      <c r="T246" s="136">
        <f>SUM(T35:T35,P35:R35)</f>
        <v>189.77699999999999</v>
      </c>
      <c r="U246" s="135">
        <f>SUM(T35:U35,Q35:R35)</f>
        <v>191.815</v>
      </c>
      <c r="V246" s="135">
        <f>SUM(T35:V35,R35:R35)</f>
        <v>194.22899999999998</v>
      </c>
      <c r="W246" s="116">
        <f>SUM(T35:W35)</f>
        <v>188.09399999999999</v>
      </c>
      <c r="X246" s="82">
        <f>+SUM(X35:X35)</f>
        <v>188.09399999999999</v>
      </c>
      <c r="Y246" s="136">
        <f>SUM(Y35:Y35,U35:W35)</f>
        <v>181.191</v>
      </c>
      <c r="Z246" s="135">
        <f>SUM(Y35:Z35,V35:W35)</f>
        <v>176.34800000000001</v>
      </c>
      <c r="AA246" s="135">
        <f>SUM(Y35:AA35,W35:W35)</f>
        <v>170.166</v>
      </c>
      <c r="AB246" s="116">
        <f>SUM(Y35:AB35)</f>
        <v>173.602</v>
      </c>
      <c r="AC246" s="82">
        <f>+SUM(AC35:AC35)</f>
        <v>173.602</v>
      </c>
      <c r="AD246" s="136">
        <f>SUM(AD35:AD35,Z35:AB35)</f>
        <v>176.18599999999998</v>
      </c>
      <c r="AE246" s="135">
        <f>SUM(AD35:AE35,AA35:AB35)</f>
        <v>175.38400000000001</v>
      </c>
      <c r="AF246" s="135">
        <f>SUM(AD35:AF35,AB35:AB35)</f>
        <v>174.73700000000002</v>
      </c>
      <c r="AG246" s="116">
        <f>SUM(AD35:AG35)</f>
        <v>171.881</v>
      </c>
      <c r="AH246" s="82">
        <f>+SUM(AH35:AH35)</f>
        <v>171.881</v>
      </c>
      <c r="AI246" s="136">
        <f>SUM(AI35:AI35,AE35:AG35)</f>
        <v>170.999</v>
      </c>
      <c r="AJ246" s="135">
        <f>SUM(AI35:AJ35,AF35:AG35)</f>
        <v>172.464</v>
      </c>
      <c r="AK246" s="135">
        <f>SUM(AI35:AK35,AG35:AG35)</f>
        <v>174.79900000000001</v>
      </c>
      <c r="AL246" s="116">
        <f>SUM(AI35:AL35)</f>
        <v>177.43</v>
      </c>
      <c r="AM246" s="82">
        <f>+SUM(AM35:AM35)</f>
        <v>177.43</v>
      </c>
      <c r="AN246" s="136">
        <f>SUM(AN35:AN35,AJ35:AL35)</f>
        <v>180.08799999999999</v>
      </c>
      <c r="AO246" s="135">
        <f>SUM(AN35:AO35,AK35:AL35)</f>
        <v>182.76399999999998</v>
      </c>
      <c r="AP246" s="135">
        <f>SUM(AN35:AP35,AL35:AL35)</f>
        <v>184.553</v>
      </c>
      <c r="AQ246" s="116">
        <f>SUM(AN35:AQ35)</f>
        <v>181.631</v>
      </c>
      <c r="AR246" s="82">
        <f>+SUM(AR35:AR35)</f>
        <v>181.631</v>
      </c>
      <c r="AS246" s="136">
        <f>SUM(AS35:AS35,AO35:AQ35)</f>
        <v>181.76499999999999</v>
      </c>
      <c r="AT246" s="135">
        <f>SUM(AS35:AT35,AP35:AQ35)</f>
        <v>181.619</v>
      </c>
      <c r="AU246" s="135">
        <f>SUM(AS35:AU35,AQ35:AQ35)</f>
        <v>184.05199999999999</v>
      </c>
      <c r="AV246" s="116">
        <f>SUM(AS35:AV35)</f>
        <v>190.69399999999999</v>
      </c>
      <c r="AW246" s="82">
        <f>+SUM(AW35:AW35)</f>
        <v>190.69399999999999</v>
      </c>
      <c r="AX246" s="136">
        <f>SUM(AX35:AX35,AT35:AV35)</f>
        <v>194.22226721467391</v>
      </c>
      <c r="AY246" s="135">
        <f>SUM(AX35:AY35,AU35:AV35)</f>
        <v>196.86849507308202</v>
      </c>
      <c r="AZ246" s="135">
        <f>SUM(AX35:AZ35,AV35:AV35)</f>
        <v>202.25215291051504</v>
      </c>
      <c r="BA246" s="116">
        <f>SUM(AX35:BA35)</f>
        <v>204.557007892771</v>
      </c>
      <c r="BB246" s="82">
        <f>+SUM(BB35:BB35)</f>
        <v>204.557007892771</v>
      </c>
      <c r="BC246" s="136">
        <f>SUM(BC35:BC35,AY35:BA35)</f>
        <v>206.89187365815326</v>
      </c>
      <c r="BD246" s="135">
        <f>SUM(BC35:BD35,AZ35:BA35)</f>
        <v>209.46078703907372</v>
      </c>
      <c r="BE246" s="135">
        <f>SUM(BC35:BE35,BA35:BA35)</f>
        <v>206.43704772941174</v>
      </c>
      <c r="BF246" s="116">
        <f>SUM(BC35:BF35)</f>
        <v>204.44328902356284</v>
      </c>
      <c r="BG246" s="82">
        <f>+SUM(BG35:BG35)</f>
        <v>204.44328902356284</v>
      </c>
      <c r="BH246" s="136">
        <f>SUM(BH35:BH35,BD35:BF35)</f>
        <v>202.82930603229028</v>
      </c>
      <c r="BI246" s="135">
        <f>SUM(BH35:BI35,BE35:BF35)</f>
        <v>204.22429415350382</v>
      </c>
      <c r="BJ246" s="135">
        <f>SUM(BH35:BJ35,BF35:BF35)</f>
        <v>207.92233651330656</v>
      </c>
      <c r="BK246" s="116">
        <f>SUM(BH35:BK35)</f>
        <v>208.81900699291907</v>
      </c>
      <c r="BL246" s="82">
        <f>+SUM(BL35:BL35)</f>
        <v>208.81900699291907</v>
      </c>
      <c r="BM246" s="136">
        <f>SUM(BM35:BM35,BI35:BK35)</f>
        <v>210.25078877803028</v>
      </c>
      <c r="BN246" s="135">
        <f>SUM(BM35:BN35,BJ35:BK35)</f>
        <v>213.02059925660819</v>
      </c>
      <c r="BO246" s="135">
        <f>SUM(BM35:BO35,BK35:BK35)</f>
        <v>214.6628459896834</v>
      </c>
      <c r="BP246" s="116">
        <f>SUM(BM35:BP35)</f>
        <v>216.74402486443739</v>
      </c>
      <c r="BQ246" s="82">
        <f>+SUM(BQ35:BQ35)</f>
        <v>216.74402486443739</v>
      </c>
      <c r="BR246" s="220"/>
      <c r="BS246" s="220"/>
      <c r="BT246" s="220"/>
      <c r="BU246" s="220"/>
      <c r="BV246" s="220"/>
      <c r="BW246" s="220"/>
      <c r="BX246" s="220"/>
      <c r="BY246" s="220"/>
      <c r="BZ246" s="220"/>
      <c r="CA246" s="220"/>
      <c r="CB246" s="220"/>
      <c r="CC246" s="220"/>
      <c r="CD246" s="220"/>
      <c r="CE246" s="220"/>
      <c r="CF246" s="220"/>
      <c r="CG246" s="220"/>
      <c r="CH246" s="220"/>
      <c r="CI246" s="220"/>
      <c r="CJ246" s="220"/>
      <c r="CK246" s="220"/>
      <c r="CL246" s="220"/>
      <c r="CM246" s="220"/>
      <c r="CN246" s="220"/>
      <c r="CO246" s="220"/>
      <c r="CP246" s="220"/>
      <c r="CQ246" s="220"/>
      <c r="CR246" s="220"/>
      <c r="CS246" s="220"/>
      <c r="CT246" s="220"/>
      <c r="CU246" s="220"/>
      <c r="CV246" s="220"/>
      <c r="CW246" s="220"/>
      <c r="CX246" s="220"/>
      <c r="CY246" s="220"/>
      <c r="CZ246" s="220"/>
    </row>
    <row r="247" spans="1:104" x14ac:dyDescent="0.2">
      <c r="A247" s="220"/>
      <c r="B247" s="220"/>
      <c r="C247" s="70" t="s">
        <v>241</v>
      </c>
      <c r="D247" s="82"/>
      <c r="E247" s="136"/>
      <c r="F247" s="135"/>
      <c r="G247" s="122"/>
      <c r="H247" s="116">
        <f>SUM(E49:H49)</f>
        <v>323.32000000000028</v>
      </c>
      <c r="I247" s="82">
        <f>I49</f>
        <v>323.32000000000028</v>
      </c>
      <c r="J247" s="136">
        <f>SUM(J49,F49:H49)</f>
        <v>329.28200000000021</v>
      </c>
      <c r="K247" s="135">
        <f>SUM(J49:K49,G49:H49)</f>
        <v>346.42000000000024</v>
      </c>
      <c r="L247" s="135">
        <f>SUM(J49:L49,H49)</f>
        <v>413.28700000000003</v>
      </c>
      <c r="M247" s="116">
        <f>SUM(J49:M49)</f>
        <v>399.71999999999957</v>
      </c>
      <c r="N247" s="82">
        <f>N49</f>
        <v>399.71999999999957</v>
      </c>
      <c r="O247" s="136">
        <f>SUM(O49,K49:M49)</f>
        <v>412.09999999999968</v>
      </c>
      <c r="P247" s="135">
        <f>SUM(O49:P49,L49:M49)</f>
        <v>405.43299999999971</v>
      </c>
      <c r="Q247" s="135">
        <f>SUM(O49:Q49,M49)</f>
        <v>388.05999999999977</v>
      </c>
      <c r="R247" s="116">
        <f>SUM(O49:R49)</f>
        <v>396.80299999999886</v>
      </c>
      <c r="S247" s="82">
        <f>S49</f>
        <v>396.80299999999886</v>
      </c>
      <c r="T247" s="136">
        <f>SUM(T49,P49:R49)</f>
        <v>393.45799999999849</v>
      </c>
      <c r="U247" s="135">
        <f>SUM(T49:U49,Q49:R49)</f>
        <v>417.84699999999845</v>
      </c>
      <c r="V247" s="135">
        <f>SUM(T49:V49,R49)</f>
        <v>469.57199999999852</v>
      </c>
      <c r="W247" s="116">
        <f>SUM(T49:W49)</f>
        <v>458.07599999999923</v>
      </c>
      <c r="X247" s="82">
        <f>X49</f>
        <v>458.07599999999923</v>
      </c>
      <c r="Y247" s="136">
        <f>SUM(Y49,U49:W49)</f>
        <v>481.39599999999945</v>
      </c>
      <c r="Z247" s="135">
        <f>SUM(Y49:Z49,V49:W49)</f>
        <v>483.28799999999944</v>
      </c>
      <c r="AA247" s="135">
        <f>SUM(Y49:AA49,W49)</f>
        <v>457.11099999999959</v>
      </c>
      <c r="AB247" s="116">
        <f>SUM(Y49:AB49)</f>
        <v>453.38299999999958</v>
      </c>
      <c r="AC247" s="82">
        <f>AC49</f>
        <v>453.38299999999958</v>
      </c>
      <c r="AD247" s="136">
        <f>SUM(AD49,Z49:AB49)</f>
        <v>455.1809999999997</v>
      </c>
      <c r="AE247" s="135">
        <f>SUM(AD49:AE49,AA49:AB49)</f>
        <v>447.67399999999969</v>
      </c>
      <c r="AF247" s="135">
        <f>SUM(AD49:AF49,AB49)</f>
        <v>435.56699999999933</v>
      </c>
      <c r="AG247" s="116">
        <f>SUM(AD49:AG49)</f>
        <v>455.18800000000078</v>
      </c>
      <c r="AH247" s="82">
        <f>AH49</f>
        <v>455.18800000000078</v>
      </c>
      <c r="AI247" s="136">
        <f>SUM(AI49,AE49:AG49)</f>
        <v>447.75100000000072</v>
      </c>
      <c r="AJ247" s="135">
        <f>SUM(AI49:AJ49,AF49:AG49)</f>
        <v>456.45900000000074</v>
      </c>
      <c r="AK247" s="135">
        <f>SUM(AI49:AK49,AG49)</f>
        <v>475.38100000000082</v>
      </c>
      <c r="AL247" s="116">
        <f>SUM(AI49:AL49)</f>
        <v>466.80199999999996</v>
      </c>
      <c r="AM247" s="82">
        <f>AM49</f>
        <v>466.80199999999996</v>
      </c>
      <c r="AN247" s="136">
        <f>SUM(AN49,AJ49:AL49)</f>
        <v>471.70999999999992</v>
      </c>
      <c r="AO247" s="135">
        <f>SUM(AN49:AO49,AK49:AL49)</f>
        <v>460.55400000000003</v>
      </c>
      <c r="AP247" s="135">
        <f>SUM(AN49:AP49,AL49)</f>
        <v>461.08</v>
      </c>
      <c r="AQ247" s="116">
        <f>SUM(AN49:AQ49)</f>
        <v>463.49099999999964</v>
      </c>
      <c r="AR247" s="82">
        <f>AR49</f>
        <v>463.49099999999964</v>
      </c>
      <c r="AS247" s="136">
        <f>SUM(AS49,AO49:AQ49)</f>
        <v>459.16299999999961</v>
      </c>
      <c r="AT247" s="135">
        <f>SUM(AS49:AT49,AP49:AQ49)</f>
        <v>472.40599999999955</v>
      </c>
      <c r="AU247" s="135">
        <f>SUM(AS49:AU49,AQ49)</f>
        <v>484.87599999999958</v>
      </c>
      <c r="AV247" s="116">
        <f>SUM(AS49:AV49)</f>
        <v>494.11900000000026</v>
      </c>
      <c r="AW247" s="82">
        <f>AW49</f>
        <v>494.11900000000026</v>
      </c>
      <c r="AX247" s="136">
        <f>SUM(AX49,AT49:AV49)</f>
        <v>517.70386456331948</v>
      </c>
      <c r="AY247" s="135">
        <f>SUM(AX49:AY49,AU49:AV49)</f>
        <v>526.40005382072547</v>
      </c>
      <c r="AZ247" s="135">
        <f>SUM(AX49:AZ49,AV49)</f>
        <v>530.0212538713804</v>
      </c>
      <c r="BA247" s="116">
        <f>SUM(AX49:BA49)</f>
        <v>523.76188066426619</v>
      </c>
      <c r="BB247" s="82">
        <f>BB49</f>
        <v>523.76188066426619</v>
      </c>
      <c r="BC247" s="136">
        <f>SUM(BC49,AY49:BA49)</f>
        <v>527.69624114001385</v>
      </c>
      <c r="BD247" s="135">
        <f>SUM(BC49:BD49,AZ49:BA49)</f>
        <v>524.0596657096529</v>
      </c>
      <c r="BE247" s="135">
        <f>SUM(BC49:BE49,BA49)</f>
        <v>526.35626818220476</v>
      </c>
      <c r="BF247" s="116">
        <f>SUM(BC49:BF49)</f>
        <v>528.21600528169574</v>
      </c>
      <c r="BG247" s="82">
        <f>BG49</f>
        <v>528.21600528169574</v>
      </c>
      <c r="BH247" s="136">
        <f>SUM(BH49,BD49:BF49)</f>
        <v>535.85462041934557</v>
      </c>
      <c r="BI247" s="135">
        <f>SUM(BH49:BI49,BE49:BF49)</f>
        <v>539.61246110757997</v>
      </c>
      <c r="BJ247" s="135">
        <f>SUM(BH49:BJ49,BF49)</f>
        <v>542.88975243701088</v>
      </c>
      <c r="BK247" s="116">
        <f>SUM(BH49:BK49)</f>
        <v>549.27637575393635</v>
      </c>
      <c r="BL247" s="82">
        <f>BL49</f>
        <v>549.27637575393635</v>
      </c>
      <c r="BM247" s="136">
        <f>SUM(BM49,BI49:BK49)</f>
        <v>561.27390065910924</v>
      </c>
      <c r="BN247" s="135">
        <f>SUM(BM49:BN49,BJ49:BK49)</f>
        <v>568.59020794641094</v>
      </c>
      <c r="BO247" s="135">
        <f>SUM(BM49:BO49,BK49)</f>
        <v>577.19942261675351</v>
      </c>
      <c r="BP247" s="116">
        <f>SUM(BM49:BP49)</f>
        <v>586.30922826443214</v>
      </c>
      <c r="BQ247" s="82">
        <f>BQ49</f>
        <v>586.30922826443214</v>
      </c>
      <c r="BR247" s="220"/>
      <c r="BS247" s="220"/>
      <c r="BT247" s="220"/>
      <c r="BU247" s="220"/>
      <c r="BV247" s="220"/>
      <c r="BW247" s="220"/>
      <c r="BX247" s="220"/>
      <c r="BY247" s="220"/>
      <c r="BZ247" s="220"/>
      <c r="CA247" s="220"/>
      <c r="CB247" s="220"/>
      <c r="CC247" s="220"/>
      <c r="CD247" s="220"/>
      <c r="CE247" s="220"/>
      <c r="CF247" s="220"/>
      <c r="CG247" s="220"/>
      <c r="CH247" s="220"/>
      <c r="CI247" s="220"/>
      <c r="CJ247" s="220"/>
      <c r="CK247" s="220"/>
      <c r="CL247" s="220"/>
      <c r="CM247" s="220"/>
      <c r="CN247" s="220"/>
      <c r="CO247" s="220"/>
      <c r="CP247" s="220"/>
      <c r="CQ247" s="220"/>
      <c r="CR247" s="220"/>
      <c r="CS247" s="220"/>
      <c r="CT247" s="220"/>
      <c r="CU247" s="220"/>
      <c r="CV247" s="220"/>
      <c r="CW247" s="220"/>
      <c r="CX247" s="220"/>
      <c r="CY247" s="220"/>
      <c r="CZ247" s="220"/>
    </row>
    <row r="248" spans="1:104" x14ac:dyDescent="0.2">
      <c r="A248" s="289"/>
      <c r="B248" s="289"/>
      <c r="C248" s="289"/>
      <c r="D248" s="289"/>
      <c r="E248" s="291"/>
      <c r="F248" s="292"/>
      <c r="G248" s="292"/>
      <c r="H248" s="293"/>
      <c r="I248" s="289"/>
      <c r="J248" s="291"/>
      <c r="K248" s="292"/>
      <c r="L248" s="292"/>
      <c r="M248" s="293"/>
      <c r="N248" s="289"/>
      <c r="O248" s="291"/>
      <c r="P248" s="292"/>
      <c r="Q248" s="292"/>
      <c r="R248" s="293"/>
      <c r="S248" s="289"/>
      <c r="T248" s="291"/>
      <c r="U248" s="292"/>
      <c r="V248" s="292"/>
      <c r="W248" s="293"/>
      <c r="X248" s="289"/>
      <c r="Y248" s="291"/>
      <c r="Z248" s="292"/>
      <c r="AA248" s="292"/>
      <c r="AB248" s="293"/>
      <c r="AC248" s="289"/>
      <c r="AD248" s="291"/>
      <c r="AE248" s="292"/>
      <c r="AF248" s="292"/>
      <c r="AG248" s="293"/>
      <c r="AH248" s="289"/>
      <c r="AI248" s="291"/>
      <c r="AJ248" s="292"/>
      <c r="AK248" s="292"/>
      <c r="AL248" s="293"/>
      <c r="AM248" s="289"/>
      <c r="AN248" s="291"/>
      <c r="AO248" s="292"/>
      <c r="AP248" s="292"/>
      <c r="AQ248" s="293"/>
      <c r="AR248" s="289"/>
      <c r="AS248" s="291"/>
      <c r="AT248" s="292"/>
      <c r="AU248" s="292"/>
      <c r="AV248" s="293"/>
      <c r="AW248" s="289"/>
      <c r="AX248" s="291"/>
      <c r="AY248" s="292"/>
      <c r="AZ248" s="292"/>
      <c r="BA248" s="293"/>
      <c r="BB248" s="289"/>
      <c r="BC248" s="291"/>
      <c r="BD248" s="292"/>
      <c r="BE248" s="292"/>
      <c r="BF248" s="293"/>
      <c r="BG248" s="289"/>
      <c r="BH248" s="291"/>
      <c r="BI248" s="292"/>
      <c r="BJ248" s="292"/>
      <c r="BK248" s="293"/>
      <c r="BL248" s="289"/>
      <c r="BM248" s="291"/>
      <c r="BN248" s="292"/>
      <c r="BO248" s="292"/>
      <c r="BP248" s="293"/>
      <c r="BQ248" s="289"/>
      <c r="BR248" s="289"/>
      <c r="BS248" s="289"/>
      <c r="BT248" s="289"/>
      <c r="BU248" s="289"/>
      <c r="BV248" s="289"/>
      <c r="BW248" s="289"/>
      <c r="BX248" s="289"/>
      <c r="BY248" s="289"/>
      <c r="BZ248" s="289"/>
      <c r="CA248" s="289"/>
      <c r="CB248" s="289"/>
      <c r="CC248" s="289"/>
      <c r="CD248" s="289"/>
      <c r="CE248" s="289"/>
      <c r="CF248" s="289"/>
      <c r="CG248" s="289"/>
      <c r="CH248" s="289"/>
      <c r="CI248" s="289"/>
      <c r="CJ248" s="289"/>
      <c r="CK248" s="289"/>
      <c r="CL248" s="289"/>
      <c r="CM248" s="289"/>
      <c r="CN248" s="289"/>
      <c r="CO248" s="289"/>
      <c r="CP248" s="289"/>
      <c r="CQ248" s="289"/>
      <c r="CR248" s="289"/>
      <c r="CS248" s="289"/>
      <c r="CT248" s="289"/>
      <c r="CU248" s="289"/>
      <c r="CV248" s="289"/>
      <c r="CW248" s="289"/>
      <c r="CX248" s="289"/>
      <c r="CY248" s="289"/>
      <c r="CZ248" s="289"/>
    </row>
    <row r="249" spans="1:104" x14ac:dyDescent="0.2">
      <c r="A249" s="289"/>
      <c r="B249" s="289"/>
      <c r="C249" s="141" t="s">
        <v>57</v>
      </c>
      <c r="D249" s="289"/>
      <c r="E249" s="291"/>
      <c r="F249" s="292"/>
      <c r="G249" s="292"/>
      <c r="H249" s="293"/>
      <c r="I249" s="289"/>
      <c r="J249" s="291"/>
      <c r="K249" s="292"/>
      <c r="L249" s="292"/>
      <c r="M249" s="293"/>
      <c r="N249" s="289"/>
      <c r="O249" s="291"/>
      <c r="P249" s="292"/>
      <c r="Q249" s="292"/>
      <c r="R249" s="293"/>
      <c r="S249" s="289"/>
      <c r="T249" s="291"/>
      <c r="U249" s="292"/>
      <c r="V249" s="292"/>
      <c r="W249" s="293"/>
      <c r="X249" s="289"/>
      <c r="Y249" s="291"/>
      <c r="Z249" s="292"/>
      <c r="AA249" s="292"/>
      <c r="AB249" s="293"/>
      <c r="AC249" s="289"/>
      <c r="AD249" s="291"/>
      <c r="AE249" s="292"/>
      <c r="AF249" s="292"/>
      <c r="AG249" s="293"/>
      <c r="AH249" s="289"/>
      <c r="AI249" s="291"/>
      <c r="AJ249" s="292"/>
      <c r="AK249" s="292"/>
      <c r="AL249" s="293"/>
      <c r="AM249" s="289"/>
      <c r="AN249" s="291"/>
      <c r="AO249" s="292"/>
      <c r="AP249" s="292"/>
      <c r="AQ249" s="293"/>
      <c r="AR249" s="289"/>
      <c r="AS249" s="291"/>
      <c r="AT249" s="292"/>
      <c r="AU249" s="292"/>
      <c r="AV249" s="293"/>
      <c r="AW249" s="289"/>
      <c r="AX249" s="291"/>
      <c r="AY249" s="292"/>
      <c r="AZ249" s="292"/>
      <c r="BA249" s="293"/>
      <c r="BB249" s="289"/>
      <c r="BC249" s="291"/>
      <c r="BD249" s="292"/>
      <c r="BE249" s="292"/>
      <c r="BF249" s="293"/>
      <c r="BG249" s="289"/>
      <c r="BH249" s="291"/>
      <c r="BI249" s="292"/>
      <c r="BJ249" s="292"/>
      <c r="BK249" s="293"/>
      <c r="BL249" s="289"/>
      <c r="BM249" s="291"/>
      <c r="BN249" s="292"/>
      <c r="BO249" s="292"/>
      <c r="BP249" s="293"/>
      <c r="BQ249" s="289"/>
      <c r="BR249" s="289"/>
      <c r="BS249" s="289"/>
      <c r="BT249" s="289"/>
      <c r="BU249" s="289"/>
      <c r="BV249" s="289"/>
      <c r="BW249" s="289"/>
      <c r="BX249" s="289"/>
      <c r="BY249" s="289"/>
      <c r="BZ249" s="289"/>
      <c r="CA249" s="289"/>
      <c r="CB249" s="289"/>
      <c r="CC249" s="289"/>
      <c r="CD249" s="289"/>
      <c r="CE249" s="289"/>
      <c r="CF249" s="289"/>
      <c r="CG249" s="289"/>
      <c r="CH249" s="289"/>
      <c r="CI249" s="289"/>
      <c r="CJ249" s="289"/>
      <c r="CK249" s="289"/>
      <c r="CL249" s="289"/>
      <c r="CM249" s="289"/>
      <c r="CN249" s="289"/>
      <c r="CO249" s="289"/>
      <c r="CP249" s="289"/>
      <c r="CQ249" s="289"/>
      <c r="CR249" s="289"/>
      <c r="CS249" s="289"/>
      <c r="CT249" s="289"/>
      <c r="CU249" s="289"/>
      <c r="CV249" s="289"/>
      <c r="CW249" s="289"/>
      <c r="CX249" s="289"/>
      <c r="CY249" s="289"/>
      <c r="CZ249" s="289"/>
    </row>
    <row r="250" spans="1:104" x14ac:dyDescent="0.2">
      <c r="A250" s="20"/>
      <c r="B250" s="20"/>
      <c r="C250" s="20" t="s">
        <v>242</v>
      </c>
      <c r="D250" s="20"/>
      <c r="E250" s="254">
        <f t="shared" ref="E250:AM250" si="545">E228/E238</f>
        <v>0.40829189739833527</v>
      </c>
      <c r="F250" s="255">
        <f t="shared" si="545"/>
        <v>0.44346372518446836</v>
      </c>
      <c r="G250" s="255">
        <f t="shared" si="545"/>
        <v>0.43599295958561074</v>
      </c>
      <c r="H250" s="256">
        <f t="shared" si="545"/>
        <v>0.42414561470372425</v>
      </c>
      <c r="I250" s="79">
        <f t="shared" si="545"/>
        <v>0.42414561470372425</v>
      </c>
      <c r="J250" s="254">
        <f t="shared" si="545"/>
        <v>0.42670042513457668</v>
      </c>
      <c r="K250" s="255">
        <f t="shared" si="545"/>
        <v>0.41997507756381708</v>
      </c>
      <c r="L250" s="255">
        <f t="shared" si="545"/>
        <v>0.4145712799054922</v>
      </c>
      <c r="M250" s="256">
        <f t="shared" si="545"/>
        <v>0.42330242893425285</v>
      </c>
      <c r="N250" s="79">
        <f t="shared" si="545"/>
        <v>0.42330242893425285</v>
      </c>
      <c r="O250" s="254">
        <f t="shared" si="545"/>
        <v>0.430315664481834</v>
      </c>
      <c r="P250" s="255">
        <f t="shared" si="545"/>
        <v>0.42391156016253628</v>
      </c>
      <c r="Q250" s="255">
        <f t="shared" si="545"/>
        <v>0.44725574748256075</v>
      </c>
      <c r="R250" s="256">
        <f t="shared" si="545"/>
        <v>0.44741762473349245</v>
      </c>
      <c r="S250" s="79">
        <f t="shared" si="545"/>
        <v>0.44741762473349245</v>
      </c>
      <c r="T250" s="254">
        <f t="shared" si="545"/>
        <v>0.4451171103698886</v>
      </c>
      <c r="U250" s="255">
        <f>U228/U238</f>
        <v>0.44232763739626807</v>
      </c>
      <c r="V250" s="255">
        <f>V228/V238</f>
        <v>0.48726169025338889</v>
      </c>
      <c r="W250" s="256">
        <f>W228/W238</f>
        <v>0.4337577838764386</v>
      </c>
      <c r="X250" s="79">
        <f>X228/X238</f>
        <v>0.4337577838764386</v>
      </c>
      <c r="Y250" s="254">
        <f t="shared" si="545"/>
        <v>0.45542212212528549</v>
      </c>
      <c r="Z250" s="255">
        <f t="shared" si="545"/>
        <v>0.45362521785229382</v>
      </c>
      <c r="AA250" s="255">
        <f t="shared" si="545"/>
        <v>0.44802354966788155</v>
      </c>
      <c r="AB250" s="256">
        <f t="shared" si="545"/>
        <v>0.44643260206011959</v>
      </c>
      <c r="AC250" s="79">
        <f t="shared" si="545"/>
        <v>0.44643260206011959</v>
      </c>
      <c r="AD250" s="254">
        <f t="shared" si="545"/>
        <v>0.46874248990429562</v>
      </c>
      <c r="AE250" s="255">
        <f t="shared" si="545"/>
        <v>0.45019645949715342</v>
      </c>
      <c r="AF250" s="255">
        <f t="shared" si="545"/>
        <v>0.43307296022052089</v>
      </c>
      <c r="AG250" s="256">
        <f t="shared" si="545"/>
        <v>0.42478708391333198</v>
      </c>
      <c r="AH250" s="79">
        <f>AH228/AH238</f>
        <v>0.42478708391333198</v>
      </c>
      <c r="AI250" s="254">
        <f>AI228/AI238</f>
        <v>0.43464299438901915</v>
      </c>
      <c r="AJ250" s="255">
        <f>AJ228/AJ238</f>
        <v>0.45210081608555486</v>
      </c>
      <c r="AK250" s="255">
        <f t="shared" si="545"/>
        <v>0.4501264336478133</v>
      </c>
      <c r="AL250" s="256">
        <f t="shared" si="545"/>
        <v>0.44593546774601367</v>
      </c>
      <c r="AM250" s="79">
        <f t="shared" si="545"/>
        <v>0.44593546774601367</v>
      </c>
      <c r="AN250" s="254">
        <f>AN228/AN238</f>
        <v>0.44339602971303455</v>
      </c>
      <c r="AO250" s="255">
        <f t="shared" ref="AO250:AR250" si="546">AO228/AO238</f>
        <v>0.44665850876406293</v>
      </c>
      <c r="AP250" s="255">
        <f t="shared" si="546"/>
        <v>0.44167814678971345</v>
      </c>
      <c r="AQ250" s="256">
        <f t="shared" si="546"/>
        <v>0.43851842514260253</v>
      </c>
      <c r="AR250" s="79">
        <f t="shared" si="546"/>
        <v>0.43851842514260253</v>
      </c>
      <c r="AS250" s="254">
        <f>AS228/AS238</f>
        <v>0.4361438521192616</v>
      </c>
      <c r="AT250" s="255">
        <f t="shared" ref="AT250:AW250" si="547">AT228/AT238</f>
        <v>0.45794054303209475</v>
      </c>
      <c r="AU250" s="255">
        <f t="shared" si="547"/>
        <v>0.45026211668036736</v>
      </c>
      <c r="AV250" s="256">
        <f t="shared" si="547"/>
        <v>0.44028393944240524</v>
      </c>
      <c r="AW250" s="79">
        <f t="shared" si="547"/>
        <v>0.44028393944240524</v>
      </c>
      <c r="AX250" s="254">
        <f t="shared" ref="AX250:BG250" si="548">AX228/AX238</f>
        <v>0.43546679248817405</v>
      </c>
      <c r="AY250" s="255">
        <f t="shared" si="548"/>
        <v>0.43015722044086124</v>
      </c>
      <c r="AZ250" s="255">
        <f t="shared" si="548"/>
        <v>0.45312010478758119</v>
      </c>
      <c r="BA250" s="256">
        <f t="shared" si="548"/>
        <v>0.45202076197211083</v>
      </c>
      <c r="BB250" s="79">
        <f t="shared" si="548"/>
        <v>0.45202076197211083</v>
      </c>
      <c r="BC250" s="254">
        <f t="shared" si="548"/>
        <v>0.45044826002988742</v>
      </c>
      <c r="BD250" s="255">
        <f t="shared" si="548"/>
        <v>0.43679552682606282</v>
      </c>
      <c r="BE250" s="255">
        <f t="shared" si="548"/>
        <v>0.43441691282634959</v>
      </c>
      <c r="BF250" s="256">
        <f t="shared" si="548"/>
        <v>0.4309572399520748</v>
      </c>
      <c r="BG250" s="79">
        <f t="shared" si="548"/>
        <v>0.4309572399520748</v>
      </c>
      <c r="BH250" s="254">
        <f t="shared" ref="BH250:BQ250" si="549">BH228/BH238</f>
        <v>0.4288891493317557</v>
      </c>
      <c r="BI250" s="255">
        <f t="shared" si="549"/>
        <v>0.45331191074814298</v>
      </c>
      <c r="BJ250" s="255">
        <f t="shared" si="549"/>
        <v>0.44913898260352836</v>
      </c>
      <c r="BK250" s="256">
        <f t="shared" si="549"/>
        <v>0.42267899554707838</v>
      </c>
      <c r="BL250" s="79">
        <f t="shared" si="549"/>
        <v>0.42267899554707838</v>
      </c>
      <c r="BM250" s="254">
        <f t="shared" si="549"/>
        <v>0.41912405109324358</v>
      </c>
      <c r="BN250" s="255">
        <f t="shared" si="549"/>
        <v>0.44398827785906964</v>
      </c>
      <c r="BO250" s="255">
        <f t="shared" si="549"/>
        <v>0.43920870501796738</v>
      </c>
      <c r="BP250" s="256">
        <f t="shared" si="549"/>
        <v>0.43803767588398418</v>
      </c>
      <c r="BQ250" s="79">
        <f t="shared" si="549"/>
        <v>0.43803767588398418</v>
      </c>
      <c r="BR250" s="20"/>
      <c r="BS250" s="20"/>
      <c r="BT250" s="20"/>
      <c r="BU250" s="20"/>
      <c r="BV250" s="20"/>
      <c r="BW250" s="20"/>
      <c r="BX250" s="20"/>
      <c r="BY250" s="20"/>
      <c r="BZ250" s="20"/>
      <c r="CA250" s="20"/>
      <c r="CB250" s="20"/>
      <c r="CC250" s="20"/>
      <c r="CD250" s="20"/>
      <c r="CE250" s="20"/>
      <c r="CF250" s="20"/>
      <c r="CG250" s="20"/>
      <c r="CH250" s="20"/>
      <c r="CI250" s="20"/>
      <c r="CJ250" s="20"/>
      <c r="CK250" s="20"/>
      <c r="CL250" s="20"/>
      <c r="CM250" s="20"/>
      <c r="CN250" s="20"/>
      <c r="CO250" s="20"/>
      <c r="CP250" s="20"/>
      <c r="CQ250" s="20"/>
      <c r="CR250" s="20"/>
      <c r="CS250" s="20"/>
      <c r="CT250" s="20"/>
      <c r="CU250" s="20"/>
      <c r="CV250" s="20"/>
      <c r="CW250" s="20"/>
      <c r="CX250" s="20"/>
      <c r="CY250" s="20"/>
      <c r="CZ250" s="20"/>
    </row>
    <row r="251" spans="1:104" x14ac:dyDescent="0.2">
      <c r="A251" s="20"/>
      <c r="B251" s="20"/>
      <c r="C251" s="20" t="s">
        <v>243</v>
      </c>
      <c r="D251" s="20"/>
      <c r="E251" s="254">
        <f t="shared" ref="E251:AM251" si="550">+E229/E238</f>
        <v>0.40829189739833527</v>
      </c>
      <c r="F251" s="255">
        <f t="shared" si="550"/>
        <v>0.44346372518446836</v>
      </c>
      <c r="G251" s="255">
        <f t="shared" si="550"/>
        <v>0.43599295958561074</v>
      </c>
      <c r="H251" s="256">
        <f t="shared" si="550"/>
        <v>0.43838899295717421</v>
      </c>
      <c r="I251" s="79">
        <f t="shared" si="550"/>
        <v>0.43838899295717421</v>
      </c>
      <c r="J251" s="254">
        <f t="shared" si="550"/>
        <v>0.43213268351451428</v>
      </c>
      <c r="K251" s="255">
        <f t="shared" si="550"/>
        <v>0.41997507756381708</v>
      </c>
      <c r="L251" s="255">
        <f t="shared" si="550"/>
        <v>0.4145712799054922</v>
      </c>
      <c r="M251" s="256">
        <f t="shared" si="550"/>
        <v>0.4585512122035631</v>
      </c>
      <c r="N251" s="79">
        <f t="shared" si="550"/>
        <v>0.4585512122035631</v>
      </c>
      <c r="O251" s="254">
        <f t="shared" si="550"/>
        <v>0.43590165778981399</v>
      </c>
      <c r="P251" s="255">
        <f t="shared" si="550"/>
        <v>0.4434440212119905</v>
      </c>
      <c r="Q251" s="255">
        <f t="shared" si="550"/>
        <v>0.44725574748256075</v>
      </c>
      <c r="R251" s="256">
        <f t="shared" si="550"/>
        <v>0.44741762473349245</v>
      </c>
      <c r="S251" s="79">
        <f t="shared" si="550"/>
        <v>0.44741762473349245</v>
      </c>
      <c r="T251" s="254">
        <f t="shared" si="550"/>
        <v>0.4451171103698886</v>
      </c>
      <c r="U251" s="255">
        <f>+U229/U238</f>
        <v>0.44359724763735053</v>
      </c>
      <c r="V251" s="255">
        <f>+V229/V238</f>
        <v>0.48726169025338889</v>
      </c>
      <c r="W251" s="256">
        <f>+W229/W238</f>
        <v>0.45215571145741695</v>
      </c>
      <c r="X251" s="79">
        <f>+X229/X238</f>
        <v>0.45215571145741695</v>
      </c>
      <c r="Y251" s="254">
        <f t="shared" si="550"/>
        <v>0.45542212212528549</v>
      </c>
      <c r="Z251" s="255">
        <f t="shared" si="550"/>
        <v>0.45362521785229382</v>
      </c>
      <c r="AA251" s="255">
        <f t="shared" si="550"/>
        <v>0.44802354966788155</v>
      </c>
      <c r="AB251" s="256">
        <f t="shared" si="550"/>
        <v>0.44643260206011959</v>
      </c>
      <c r="AC251" s="79">
        <f t="shared" si="550"/>
        <v>0.44643260206011959</v>
      </c>
      <c r="AD251" s="254">
        <f t="shared" si="550"/>
        <v>0.46874248990429562</v>
      </c>
      <c r="AE251" s="255">
        <f t="shared" si="550"/>
        <v>0.45019645949715342</v>
      </c>
      <c r="AF251" s="255">
        <f t="shared" si="550"/>
        <v>0.46244964374651076</v>
      </c>
      <c r="AG251" s="256">
        <f t="shared" si="550"/>
        <v>0.46649893842238338</v>
      </c>
      <c r="AH251" s="79">
        <f>+AH229/AH238</f>
        <v>0.46649893842238338</v>
      </c>
      <c r="AI251" s="254">
        <f>+AI229/AI238</f>
        <v>0.45051532540625899</v>
      </c>
      <c r="AJ251" s="255">
        <f>+AJ229/AJ238</f>
        <v>0.45789431628116745</v>
      </c>
      <c r="AK251" s="255">
        <f t="shared" si="550"/>
        <v>0.4501264336478133</v>
      </c>
      <c r="AL251" s="256">
        <f t="shared" si="550"/>
        <v>0.44744631188377115</v>
      </c>
      <c r="AM251" s="79">
        <f t="shared" si="550"/>
        <v>0.44744631188377115</v>
      </c>
      <c r="AN251" s="254">
        <f>+AN229/AN238</f>
        <v>0.44339602971303455</v>
      </c>
      <c r="AO251" s="255">
        <f t="shared" ref="AO251:AR251" si="551">+AO229/AO238</f>
        <v>0.45089381339523094</v>
      </c>
      <c r="AP251" s="255">
        <f t="shared" si="551"/>
        <v>0.44702017484981565</v>
      </c>
      <c r="AQ251" s="256">
        <f t="shared" si="551"/>
        <v>0.45193543485308529</v>
      </c>
      <c r="AR251" s="79">
        <f t="shared" si="551"/>
        <v>0.45193543485308529</v>
      </c>
      <c r="AS251" s="254">
        <f>+AS229/AS238</f>
        <v>0.43935102194397324</v>
      </c>
      <c r="AT251" s="255">
        <f t="shared" ref="AT251:AW251" si="552">+AT229/AT238</f>
        <v>0.45794054303209475</v>
      </c>
      <c r="AU251" s="255">
        <f t="shared" si="552"/>
        <v>0.45026211668036736</v>
      </c>
      <c r="AV251" s="256">
        <f t="shared" si="552"/>
        <v>0.44028393944240524</v>
      </c>
      <c r="AW251" s="79">
        <f t="shared" si="552"/>
        <v>0.44028393944240524</v>
      </c>
      <c r="AX251" s="254">
        <f t="shared" ref="AX251:BG251" si="553">+AX229/AX238</f>
        <v>0.43954441612170964</v>
      </c>
      <c r="AY251" s="255">
        <f t="shared" si="553"/>
        <v>0.44201100073284139</v>
      </c>
      <c r="AZ251" s="255">
        <f t="shared" si="553"/>
        <v>0.45312010478758119</v>
      </c>
      <c r="BA251" s="256">
        <f t="shared" si="553"/>
        <v>0.45202076197211083</v>
      </c>
      <c r="BB251" s="79">
        <f t="shared" si="553"/>
        <v>0.45202076197211083</v>
      </c>
      <c r="BC251" s="254">
        <f t="shared" si="553"/>
        <v>0.45044826002988742</v>
      </c>
      <c r="BD251" s="255">
        <f t="shared" si="553"/>
        <v>0.44465943628041471</v>
      </c>
      <c r="BE251" s="255">
        <f t="shared" si="553"/>
        <v>0.43945761403738742</v>
      </c>
      <c r="BF251" s="256">
        <f t="shared" si="553"/>
        <v>0.44467491217010152</v>
      </c>
      <c r="BG251" s="79">
        <f t="shared" si="553"/>
        <v>0.44467491217010152</v>
      </c>
      <c r="BH251" s="254">
        <f t="shared" ref="BH251:BQ251" si="554">+BH229/BH238</f>
        <v>0.44211330025888507</v>
      </c>
      <c r="BI251" s="255">
        <f t="shared" si="554"/>
        <v>0.45331191074814298</v>
      </c>
      <c r="BJ251" s="255">
        <f t="shared" si="554"/>
        <v>0.44913898260352836</v>
      </c>
      <c r="BK251" s="256">
        <f t="shared" si="554"/>
        <v>0.43800471800504071</v>
      </c>
      <c r="BL251" s="79">
        <f t="shared" si="554"/>
        <v>0.43800471800504071</v>
      </c>
      <c r="BM251" s="254">
        <f t="shared" si="554"/>
        <v>0.43551045474193634</v>
      </c>
      <c r="BN251" s="255">
        <f t="shared" si="554"/>
        <v>0.44398827785906964</v>
      </c>
      <c r="BO251" s="255">
        <f t="shared" si="554"/>
        <v>0.43920870501796738</v>
      </c>
      <c r="BP251" s="256">
        <f t="shared" si="554"/>
        <v>0.43803767588398418</v>
      </c>
      <c r="BQ251" s="79">
        <f t="shared" si="554"/>
        <v>0.43803767588398418</v>
      </c>
      <c r="BR251" s="20"/>
      <c r="BS251" s="20"/>
      <c r="BT251" s="20"/>
      <c r="BU251" s="20"/>
      <c r="BV251" s="20"/>
      <c r="BW251" s="20"/>
      <c r="BX251" s="20"/>
      <c r="BY251" s="20"/>
      <c r="BZ251" s="20"/>
      <c r="CA251" s="20"/>
      <c r="CB251" s="20"/>
      <c r="CC251" s="20"/>
      <c r="CD251" s="20"/>
      <c r="CE251" s="20"/>
      <c r="CF251" s="20"/>
      <c r="CG251" s="20"/>
      <c r="CH251" s="20"/>
      <c r="CI251" s="20"/>
      <c r="CJ251" s="20"/>
      <c r="CK251" s="20"/>
      <c r="CL251" s="20"/>
      <c r="CM251" s="20"/>
      <c r="CN251" s="20"/>
      <c r="CO251" s="20"/>
      <c r="CP251" s="20"/>
      <c r="CQ251" s="20"/>
      <c r="CR251" s="20"/>
      <c r="CS251" s="20"/>
      <c r="CT251" s="20"/>
      <c r="CU251" s="20"/>
      <c r="CV251" s="20"/>
      <c r="CW251" s="20"/>
      <c r="CX251" s="20"/>
      <c r="CY251" s="20"/>
      <c r="CZ251" s="20"/>
    </row>
    <row r="252" spans="1:104" x14ac:dyDescent="0.2">
      <c r="A252" s="20"/>
      <c r="B252" s="20"/>
      <c r="C252" s="20" t="s">
        <v>61</v>
      </c>
      <c r="D252" s="20"/>
      <c r="E252" s="203"/>
      <c r="F252" s="204"/>
      <c r="G252" s="204"/>
      <c r="H252" s="257">
        <f>(H229-H225)/H245</f>
        <v>3.2204697915540899</v>
      </c>
      <c r="I252" s="81">
        <f>(I229-I225)/I33</f>
        <v>3.2204697915540899</v>
      </c>
      <c r="J252" s="258">
        <f t="shared" ref="J252:AM252" si="555">(J229-J225)/J245</f>
        <v>2.9946381624826572</v>
      </c>
      <c r="K252" s="259">
        <f t="shared" si="555"/>
        <v>2.8433153045033142</v>
      </c>
      <c r="L252" s="259">
        <f t="shared" si="555"/>
        <v>2.5632065305464735</v>
      </c>
      <c r="M252" s="257">
        <f t="shared" si="555"/>
        <v>3.2155059193574385</v>
      </c>
      <c r="N252" s="81">
        <f t="shared" si="555"/>
        <v>3.2155059193574393</v>
      </c>
      <c r="O252" s="258">
        <f t="shared" si="555"/>
        <v>2.9933787876417539</v>
      </c>
      <c r="P252" s="259">
        <f t="shared" si="555"/>
        <v>3.0735274485528223</v>
      </c>
      <c r="Q252" s="259">
        <f t="shared" si="555"/>
        <v>3.0709764247597948</v>
      </c>
      <c r="R252" s="257">
        <f t="shared" si="555"/>
        <v>3.0622893446767359</v>
      </c>
      <c r="S252" s="81">
        <f t="shared" si="555"/>
        <v>3.0622893446767376</v>
      </c>
      <c r="T252" s="258">
        <f t="shared" si="555"/>
        <v>3.0652231568948989</v>
      </c>
      <c r="U252" s="259">
        <f>(U229-U225)/U245</f>
        <v>2.9691555346759824</v>
      </c>
      <c r="V252" s="259">
        <f>(V229-V225)/V245</f>
        <v>2.9730084906391028</v>
      </c>
      <c r="W252" s="257">
        <f>(W229-W225)/W245</f>
        <v>3.1258874105146166</v>
      </c>
      <c r="X252" s="81">
        <f>(X229-X225)/X245</f>
        <v>3.1258874105146179</v>
      </c>
      <c r="Y252" s="258">
        <f t="shared" si="555"/>
        <v>3.1056356622595462</v>
      </c>
      <c r="Z252" s="259">
        <f t="shared" si="555"/>
        <v>3.1082823514299025</v>
      </c>
      <c r="AA252" s="259">
        <f t="shared" si="555"/>
        <v>3.1456569022921226</v>
      </c>
      <c r="AB252" s="257">
        <f t="shared" si="555"/>
        <v>3.1428813898170942</v>
      </c>
      <c r="AC252" s="81">
        <f t="shared" si="555"/>
        <v>3.1428813898170942</v>
      </c>
      <c r="AD252" s="258">
        <f t="shared" si="555"/>
        <v>3.3752759902318159</v>
      </c>
      <c r="AE252" s="259">
        <f t="shared" si="555"/>
        <v>3.1818207118972888</v>
      </c>
      <c r="AF252" s="259">
        <f t="shared" si="555"/>
        <v>3.4435767992031709</v>
      </c>
      <c r="AG252" s="257">
        <f t="shared" si="555"/>
        <v>3.4597771740056342</v>
      </c>
      <c r="AH252" s="81">
        <f>(AH229-AH225)/AH245</f>
        <v>3.4597771740056324</v>
      </c>
      <c r="AI252" s="258">
        <f>(AI229-AI225)/AI245</f>
        <v>3.2542548867666419</v>
      </c>
      <c r="AJ252" s="259">
        <f>(AJ229-AJ225)/AJ245</f>
        <v>3.3058995574917103</v>
      </c>
      <c r="AK252" s="259">
        <f t="shared" si="555"/>
        <v>3.1052594501483934</v>
      </c>
      <c r="AL252" s="257">
        <f t="shared" si="555"/>
        <v>3.1175143003137369</v>
      </c>
      <c r="AM252" s="81">
        <f t="shared" si="555"/>
        <v>3.1175143003137373</v>
      </c>
      <c r="AN252" s="258">
        <f>(AN229-AN225)/AN245</f>
        <v>3.0436490463118138</v>
      </c>
      <c r="AO252" s="259">
        <f t="shared" ref="AO252:AR252" si="556">(AO229-AO225)/AO245</f>
        <v>3.1709832316618658</v>
      </c>
      <c r="AP252" s="259">
        <f t="shared" si="556"/>
        <v>3.155123088464765</v>
      </c>
      <c r="AQ252" s="257">
        <f t="shared" si="556"/>
        <v>3.2011213160709682</v>
      </c>
      <c r="AR252" s="81">
        <f t="shared" si="556"/>
        <v>3.2011213160709682</v>
      </c>
      <c r="AS252" s="258">
        <f>(AS229-AS225)/AS245</f>
        <v>3.1307199290045515</v>
      </c>
      <c r="AT252" s="259">
        <f t="shared" ref="AT252:AW252" si="557">(AT229-AT225)/AT245</f>
        <v>3.3433465334315788</v>
      </c>
      <c r="AU252" s="259">
        <f t="shared" si="557"/>
        <v>3.2524009537325336</v>
      </c>
      <c r="AV252" s="257">
        <f t="shared" si="557"/>
        <v>3.2930799513277522</v>
      </c>
      <c r="AW252" s="81">
        <f t="shared" si="557"/>
        <v>3.29307995132775</v>
      </c>
      <c r="AX252" s="258">
        <f t="shared" ref="AX252:BG252" si="558">(AX229-AX225)/AX245</f>
        <v>3.3041725827438011</v>
      </c>
      <c r="AY252" s="259">
        <f t="shared" si="558"/>
        <v>3.377272195757353</v>
      </c>
      <c r="AZ252" s="259">
        <f t="shared" si="558"/>
        <v>3.4352425212756335</v>
      </c>
      <c r="BA252" s="257">
        <f t="shared" si="558"/>
        <v>3.5005471798869729</v>
      </c>
      <c r="BB252" s="81">
        <f t="shared" si="558"/>
        <v>3.5005471798869738</v>
      </c>
      <c r="BC252" s="258">
        <f t="shared" si="558"/>
        <v>3.5014232757948025</v>
      </c>
      <c r="BD252" s="259">
        <f t="shared" si="558"/>
        <v>3.5408706896453013</v>
      </c>
      <c r="BE252" s="259">
        <f t="shared" si="558"/>
        <v>3.4947335293981356</v>
      </c>
      <c r="BF252" s="257">
        <f t="shared" si="558"/>
        <v>3.5404732602002986</v>
      </c>
      <c r="BG252" s="81">
        <f t="shared" si="558"/>
        <v>3.5404732602002977</v>
      </c>
      <c r="BH252" s="258">
        <f t="shared" ref="BH252:BQ252" si="559">(BH229-BH225)/BH245</f>
        <v>3.492568841949514</v>
      </c>
      <c r="BI252" s="259">
        <f t="shared" si="559"/>
        <v>3.4927616458013229</v>
      </c>
      <c r="BJ252" s="259">
        <f t="shared" si="559"/>
        <v>3.412136787331264</v>
      </c>
      <c r="BK252" s="257">
        <f t="shared" si="559"/>
        <v>3.4158604122328988</v>
      </c>
      <c r="BL252" s="81">
        <f t="shared" si="559"/>
        <v>3.415860412232897</v>
      </c>
      <c r="BM252" s="258">
        <f t="shared" si="559"/>
        <v>3.3798022557136691</v>
      </c>
      <c r="BN252" s="259">
        <f t="shared" si="559"/>
        <v>3.3943618431415752</v>
      </c>
      <c r="BO252" s="259">
        <f t="shared" si="559"/>
        <v>3.3308464486033693</v>
      </c>
      <c r="BP252" s="257">
        <f t="shared" si="559"/>
        <v>3.3461525408174126</v>
      </c>
      <c r="BQ252" s="81">
        <f t="shared" si="559"/>
        <v>3.3461525408174131</v>
      </c>
      <c r="BR252" s="20"/>
      <c r="BS252" s="20"/>
      <c r="BT252" s="20"/>
      <c r="BU252" s="20"/>
      <c r="BV252" s="20"/>
      <c r="BW252" s="20"/>
      <c r="BX252" s="20"/>
      <c r="BY252" s="20"/>
      <c r="BZ252" s="20"/>
      <c r="CA252" s="20"/>
      <c r="CB252" s="20"/>
      <c r="CC252" s="20"/>
      <c r="CD252" s="20"/>
      <c r="CE252" s="20"/>
      <c r="CF252" s="20"/>
      <c r="CG252" s="20"/>
      <c r="CH252" s="20"/>
      <c r="CI252" s="20"/>
      <c r="CJ252" s="20"/>
      <c r="CK252" s="20"/>
      <c r="CL252" s="20"/>
      <c r="CM252" s="20"/>
      <c r="CN252" s="20"/>
      <c r="CO252" s="20"/>
      <c r="CP252" s="20"/>
      <c r="CQ252" s="20"/>
      <c r="CR252" s="20"/>
      <c r="CS252" s="20"/>
      <c r="CT252" s="20"/>
      <c r="CU252" s="20"/>
      <c r="CV252" s="20"/>
      <c r="CW252" s="20"/>
      <c r="CX252" s="20"/>
      <c r="CY252" s="20"/>
      <c r="CZ252" s="20"/>
    </row>
    <row r="253" spans="1:104" x14ac:dyDescent="0.2">
      <c r="A253" s="20"/>
      <c r="B253" s="20"/>
      <c r="C253" s="20" t="s">
        <v>62</v>
      </c>
      <c r="D253" s="20"/>
      <c r="E253" s="203"/>
      <c r="F253" s="204"/>
      <c r="G253" s="204"/>
      <c r="H253" s="256">
        <f t="shared" ref="H253:AM253" si="560">H243/H229</f>
        <v>0.19815031163302282</v>
      </c>
      <c r="I253" s="79">
        <f t="shared" si="560"/>
        <v>0.19815031163302282</v>
      </c>
      <c r="J253" s="254">
        <f t="shared" si="560"/>
        <v>0.20593887024024571</v>
      </c>
      <c r="K253" s="255">
        <f t="shared" si="560"/>
        <v>0.21649865624616052</v>
      </c>
      <c r="L253" s="255">
        <f t="shared" si="560"/>
        <v>0.24275747922002838</v>
      </c>
      <c r="M253" s="256">
        <f t="shared" si="560"/>
        <v>0.19513054613862876</v>
      </c>
      <c r="N253" s="79">
        <f t="shared" si="560"/>
        <v>0.19513054613862876</v>
      </c>
      <c r="O253" s="254">
        <f t="shared" si="560"/>
        <v>0.21639989504067167</v>
      </c>
      <c r="P253" s="255">
        <f t="shared" si="560"/>
        <v>0.2109638470161431</v>
      </c>
      <c r="Q253" s="255">
        <f t="shared" si="560"/>
        <v>0.20354597750986755</v>
      </c>
      <c r="R253" s="256">
        <f t="shared" si="560"/>
        <v>0.20806878401732479</v>
      </c>
      <c r="S253" s="79">
        <f t="shared" si="560"/>
        <v>0.20806878401732479</v>
      </c>
      <c r="T253" s="254">
        <f t="shared" si="560"/>
        <v>0.2082156311215308</v>
      </c>
      <c r="U253" s="255">
        <f>U243/U229</f>
        <v>0.21463386571813517</v>
      </c>
      <c r="V253" s="255">
        <f>V243/V229</f>
        <v>0.18744564322331711</v>
      </c>
      <c r="W253" s="256">
        <f>W243/W229</f>
        <v>0.21055503196624981</v>
      </c>
      <c r="X253" s="79">
        <f>X243/X229</f>
        <v>0.21055503196624981</v>
      </c>
      <c r="Y253" s="254">
        <f t="shared" si="560"/>
        <v>0.2131185219369035</v>
      </c>
      <c r="Z253" s="255">
        <f t="shared" si="560"/>
        <v>0.21598169144595297</v>
      </c>
      <c r="AA253" s="255">
        <f t="shared" si="560"/>
        <v>0.20998822412469512</v>
      </c>
      <c r="AB253" s="256">
        <f t="shared" si="560"/>
        <v>0.2101407230152636</v>
      </c>
      <c r="AC253" s="79">
        <f t="shared" si="560"/>
        <v>0.2101407230152636</v>
      </c>
      <c r="AD253" s="254">
        <f t="shared" si="560"/>
        <v>0.19648540886659571</v>
      </c>
      <c r="AE253" s="255">
        <f t="shared" si="560"/>
        <v>0.21006248763987795</v>
      </c>
      <c r="AF253" s="255">
        <f t="shared" si="560"/>
        <v>0.19545297594627387</v>
      </c>
      <c r="AG253" s="256">
        <f t="shared" si="560"/>
        <v>0.19530554190798313</v>
      </c>
      <c r="AH253" s="79">
        <f>AH243/AH229</f>
        <v>0.19530554190798313</v>
      </c>
      <c r="AI253" s="254">
        <f>AI243/AI229</f>
        <v>0.20684364458462079</v>
      </c>
      <c r="AJ253" s="255">
        <f>AJ243/AJ229</f>
        <v>0.20256363184520254</v>
      </c>
      <c r="AK253" s="255">
        <f t="shared" si="560"/>
        <v>0.21204088938772372</v>
      </c>
      <c r="AL253" s="256">
        <f t="shared" si="560"/>
        <v>0.21187374146535939</v>
      </c>
      <c r="AM253" s="79">
        <f t="shared" si="560"/>
        <v>0.21187374146535939</v>
      </c>
      <c r="AN253" s="254">
        <f>AN243/AN229</f>
        <v>0.21738780850605041</v>
      </c>
      <c r="AO253" s="255">
        <f t="shared" ref="AO253:AR253" si="561">AO243/AO229</f>
        <v>0.20893188124922069</v>
      </c>
      <c r="AP253" s="255">
        <f t="shared" si="561"/>
        <v>0.21037764608488047</v>
      </c>
      <c r="AQ253" s="256">
        <f t="shared" si="561"/>
        <v>0.20874637474034594</v>
      </c>
      <c r="AR253" s="79">
        <f t="shared" si="561"/>
        <v>0.20874637474034594</v>
      </c>
      <c r="AS253" s="254">
        <f>AS243/AS229</f>
        <v>0.21400886053117024</v>
      </c>
      <c r="AT253" s="255">
        <f t="shared" ref="AT253:AW253" si="562">AT243/AT229</f>
        <v>0.20167290297626952</v>
      </c>
      <c r="AU253" s="255">
        <f t="shared" si="562"/>
        <v>0.20583700359279661</v>
      </c>
      <c r="AV253" s="256">
        <f t="shared" si="562"/>
        <v>0.20954348427556951</v>
      </c>
      <c r="AW253" s="79">
        <f t="shared" si="562"/>
        <v>0.20954348427556951</v>
      </c>
      <c r="AX253" s="254">
        <f t="shared" ref="AX253:BG253" si="563">AX243/AX229</f>
        <v>0.21592066664093851</v>
      </c>
      <c r="AY253" s="255">
        <f t="shared" si="563"/>
        <v>0.21667471064394045</v>
      </c>
      <c r="AZ253" s="255">
        <f t="shared" si="563"/>
        <v>0.20627670050237237</v>
      </c>
      <c r="BA253" s="256">
        <f t="shared" si="563"/>
        <v>0.20758861494379788</v>
      </c>
      <c r="BB253" s="79">
        <f t="shared" si="563"/>
        <v>0.20758861494379788</v>
      </c>
      <c r="BC253" s="254">
        <f t="shared" si="563"/>
        <v>0.20869465453246783</v>
      </c>
      <c r="BD253" s="255">
        <f t="shared" si="563"/>
        <v>0.21406425012127162</v>
      </c>
      <c r="BE253" s="255">
        <f t="shared" si="563"/>
        <v>0.21716504972623629</v>
      </c>
      <c r="BF253" s="256">
        <f t="shared" si="563"/>
        <v>0.21444975991543844</v>
      </c>
      <c r="BG253" s="79">
        <f t="shared" si="563"/>
        <v>0.21444975991543844</v>
      </c>
      <c r="BH253" s="254">
        <f t="shared" ref="BH253:BQ253" si="564">BH243/BH229</f>
        <v>0.21805159624963233</v>
      </c>
      <c r="BI253" s="255">
        <f t="shared" si="564"/>
        <v>0.20940843293497066</v>
      </c>
      <c r="BJ253" s="255">
        <f t="shared" si="564"/>
        <v>0.21100762916244872</v>
      </c>
      <c r="BK253" s="256">
        <f t="shared" si="564"/>
        <v>0.22263443598210675</v>
      </c>
      <c r="BL253" s="79">
        <f t="shared" si="564"/>
        <v>0.22263443598210675</v>
      </c>
      <c r="BM253" s="254">
        <f t="shared" si="564"/>
        <v>0.22516307065062408</v>
      </c>
      <c r="BN253" s="255">
        <f t="shared" si="564"/>
        <v>0.21802995350049312</v>
      </c>
      <c r="BO253" s="255">
        <f t="shared" si="564"/>
        <v>0.22022534912019559</v>
      </c>
      <c r="BP253" s="256">
        <f t="shared" si="564"/>
        <v>0.22260293151843508</v>
      </c>
      <c r="BQ253" s="79">
        <f t="shared" si="564"/>
        <v>0.22260293151843508</v>
      </c>
      <c r="BR253" s="20"/>
      <c r="BS253" s="20"/>
      <c r="BT253" s="20"/>
      <c r="BU253" s="20"/>
      <c r="BV253" s="20"/>
      <c r="BW253" s="20"/>
      <c r="BX253" s="20"/>
      <c r="BY253" s="20"/>
      <c r="BZ253" s="20"/>
      <c r="CA253" s="20"/>
      <c r="CB253" s="20"/>
      <c r="CC253" s="20"/>
      <c r="CD253" s="20"/>
      <c r="CE253" s="20"/>
      <c r="CF253" s="20"/>
      <c r="CG253" s="20"/>
      <c r="CH253" s="20"/>
      <c r="CI253" s="20"/>
      <c r="CJ253" s="20"/>
      <c r="CK253" s="20"/>
      <c r="CL253" s="20"/>
      <c r="CM253" s="20"/>
      <c r="CN253" s="20"/>
      <c r="CO253" s="20"/>
      <c r="CP253" s="20"/>
      <c r="CQ253" s="20"/>
      <c r="CR253" s="20"/>
      <c r="CS253" s="20"/>
      <c r="CT253" s="20"/>
      <c r="CU253" s="20"/>
      <c r="CV253" s="20"/>
      <c r="CW253" s="20"/>
      <c r="CX253" s="20"/>
      <c r="CY253" s="20"/>
      <c r="CZ253" s="20"/>
    </row>
    <row r="254" spans="1:104" x14ac:dyDescent="0.2">
      <c r="A254" s="289"/>
      <c r="B254" s="289"/>
      <c r="C254" s="289"/>
      <c r="D254" s="289"/>
      <c r="E254" s="291"/>
      <c r="F254" s="292"/>
      <c r="G254" s="292"/>
      <c r="H254" s="293"/>
      <c r="I254" s="289"/>
      <c r="J254" s="291"/>
      <c r="K254" s="292"/>
      <c r="L254" s="292"/>
      <c r="M254" s="293"/>
      <c r="N254" s="289"/>
      <c r="O254" s="291"/>
      <c r="P254" s="292"/>
      <c r="Q254" s="292"/>
      <c r="R254" s="293"/>
      <c r="S254" s="289"/>
      <c r="T254" s="291"/>
      <c r="U254" s="292"/>
      <c r="V254" s="292"/>
      <c r="W254" s="293"/>
      <c r="X254" s="289"/>
      <c r="Y254" s="291"/>
      <c r="Z254" s="292"/>
      <c r="AA254" s="292"/>
      <c r="AB254" s="293"/>
      <c r="AC254" s="289"/>
      <c r="AD254" s="291"/>
      <c r="AE254" s="292"/>
      <c r="AF254" s="292"/>
      <c r="AG254" s="293"/>
      <c r="AH254" s="289"/>
      <c r="AI254" s="291"/>
      <c r="AJ254" s="292"/>
      <c r="AK254" s="292"/>
      <c r="AL254" s="293"/>
      <c r="AM254" s="289"/>
      <c r="AN254" s="291"/>
      <c r="AO254" s="292"/>
      <c r="AP254" s="292"/>
      <c r="AQ254" s="293"/>
      <c r="AR254" s="289"/>
      <c r="AS254" s="291"/>
      <c r="AT254" s="292"/>
      <c r="AU254" s="292"/>
      <c r="AV254" s="293"/>
      <c r="AW254" s="289"/>
      <c r="AX254" s="291"/>
      <c r="AY254" s="292"/>
      <c r="AZ254" s="292"/>
      <c r="BA254" s="293"/>
      <c r="BB254" s="289"/>
      <c r="BC254" s="291"/>
      <c r="BD254" s="292"/>
      <c r="BE254" s="292"/>
      <c r="BF254" s="293"/>
      <c r="BG254" s="289"/>
      <c r="BH254" s="291"/>
      <c r="BI254" s="292"/>
      <c r="BJ254" s="292"/>
      <c r="BK254" s="293"/>
      <c r="BL254" s="289"/>
      <c r="BM254" s="291"/>
      <c r="BN254" s="292"/>
      <c r="BO254" s="292"/>
      <c r="BP254" s="293"/>
      <c r="BQ254" s="289"/>
      <c r="BR254" s="289"/>
      <c r="BS254" s="289"/>
      <c r="BT254" s="289"/>
      <c r="BU254" s="289"/>
      <c r="BV254" s="289"/>
      <c r="BW254" s="289"/>
      <c r="BX254" s="289"/>
      <c r="BY254" s="289"/>
      <c r="BZ254" s="289"/>
      <c r="CA254" s="289"/>
      <c r="CB254" s="289"/>
      <c r="CC254" s="289"/>
      <c r="CD254" s="289"/>
      <c r="CE254" s="289"/>
      <c r="CF254" s="289"/>
      <c r="CG254" s="289"/>
      <c r="CH254" s="289"/>
      <c r="CI254" s="289"/>
      <c r="CJ254" s="289"/>
      <c r="CK254" s="289"/>
      <c r="CL254" s="289"/>
      <c r="CM254" s="289"/>
      <c r="CN254" s="289"/>
      <c r="CO254" s="289"/>
      <c r="CP254" s="289"/>
      <c r="CQ254" s="289"/>
      <c r="CR254" s="289"/>
      <c r="CS254" s="289"/>
      <c r="CT254" s="289"/>
      <c r="CU254" s="289"/>
      <c r="CV254" s="289"/>
      <c r="CW254" s="289"/>
      <c r="CX254" s="289"/>
      <c r="CY254" s="289"/>
      <c r="CZ254" s="289"/>
    </row>
    <row r="255" spans="1:104" x14ac:dyDescent="0.2">
      <c r="A255" s="289"/>
      <c r="B255" s="289"/>
      <c r="C255" s="141" t="s">
        <v>63</v>
      </c>
      <c r="D255" s="289"/>
      <c r="E255" s="291"/>
      <c r="F255" s="292"/>
      <c r="G255" s="292"/>
      <c r="H255" s="293"/>
      <c r="I255" s="289"/>
      <c r="J255" s="291"/>
      <c r="K255" s="292"/>
      <c r="L255" s="292"/>
      <c r="M255" s="293"/>
      <c r="N255" s="289"/>
      <c r="O255" s="291"/>
      <c r="P255" s="292"/>
      <c r="Q255" s="292"/>
      <c r="R255" s="293"/>
      <c r="S255" s="289"/>
      <c r="T255" s="291"/>
      <c r="U255" s="292"/>
      <c r="V255" s="292"/>
      <c r="W255" s="293"/>
      <c r="X255" s="289"/>
      <c r="Y255" s="291"/>
      <c r="Z255" s="292"/>
      <c r="AA255" s="292"/>
      <c r="AB255" s="293"/>
      <c r="AC255" s="289"/>
      <c r="AD255" s="291"/>
      <c r="AE255" s="292"/>
      <c r="AF255" s="292"/>
      <c r="AG255" s="293"/>
      <c r="AH255" s="289"/>
      <c r="AI255" s="291"/>
      <c r="AJ255" s="292"/>
      <c r="AK255" s="292"/>
      <c r="AL255" s="293"/>
      <c r="AM255" s="289"/>
      <c r="AN255" s="291"/>
      <c r="AO255" s="292"/>
      <c r="AP255" s="292"/>
      <c r="AQ255" s="293"/>
      <c r="AR255" s="289"/>
      <c r="AS255" s="291"/>
      <c r="AT255" s="292"/>
      <c r="AU255" s="292"/>
      <c r="AV255" s="293"/>
      <c r="AW255" s="289"/>
      <c r="AX255" s="291"/>
      <c r="AY255" s="292"/>
      <c r="AZ255" s="292"/>
      <c r="BA255" s="293"/>
      <c r="BB255" s="289"/>
      <c r="BC255" s="291"/>
      <c r="BD255" s="292"/>
      <c r="BE255" s="292"/>
      <c r="BF255" s="293"/>
      <c r="BG255" s="289"/>
      <c r="BH255" s="291"/>
      <c r="BI255" s="292"/>
      <c r="BJ255" s="292"/>
      <c r="BK255" s="293"/>
      <c r="BL255" s="289"/>
      <c r="BM255" s="291"/>
      <c r="BN255" s="292"/>
      <c r="BO255" s="292"/>
      <c r="BP255" s="293"/>
      <c r="BQ255" s="289"/>
      <c r="BR255" s="289"/>
      <c r="BS255" s="289"/>
      <c r="BT255" s="289"/>
      <c r="BU255" s="289"/>
      <c r="BV255" s="289"/>
      <c r="BW255" s="289"/>
      <c r="BX255" s="289"/>
      <c r="BY255" s="289"/>
      <c r="BZ255" s="289"/>
      <c r="CA255" s="289"/>
      <c r="CB255" s="289"/>
      <c r="CC255" s="289"/>
      <c r="CD255" s="289"/>
      <c r="CE255" s="289"/>
      <c r="CF255" s="289"/>
      <c r="CG255" s="289"/>
      <c r="CH255" s="289"/>
      <c r="CI255" s="289"/>
      <c r="CJ255" s="289"/>
      <c r="CK255" s="289"/>
      <c r="CL255" s="289"/>
      <c r="CM255" s="289"/>
      <c r="CN255" s="289"/>
      <c r="CO255" s="289"/>
      <c r="CP255" s="289"/>
      <c r="CQ255" s="289"/>
      <c r="CR255" s="289"/>
      <c r="CS255" s="289"/>
      <c r="CT255" s="289"/>
      <c r="CU255" s="289"/>
      <c r="CV255" s="289"/>
      <c r="CW255" s="289"/>
      <c r="CX255" s="289"/>
      <c r="CY255" s="289"/>
      <c r="CZ255" s="289"/>
    </row>
    <row r="256" spans="1:104" x14ac:dyDescent="0.2">
      <c r="A256" s="289"/>
      <c r="B256" s="289"/>
      <c r="C256" s="289" t="s">
        <v>65</v>
      </c>
      <c r="D256" s="289"/>
      <c r="E256" s="291"/>
      <c r="F256" s="292"/>
      <c r="G256" s="292"/>
      <c r="H256" s="257">
        <f t="shared" ref="H256:AM256" si="565">(H243+H246)/H246</f>
        <v>4.48580126585325</v>
      </c>
      <c r="I256" s="81">
        <f t="shared" si="565"/>
        <v>4.48580126585325</v>
      </c>
      <c r="J256" s="258">
        <f t="shared" si="565"/>
        <v>4.4353858789675726</v>
      </c>
      <c r="K256" s="259">
        <f t="shared" si="565"/>
        <v>4.5751524621322552</v>
      </c>
      <c r="L256" s="259">
        <f t="shared" si="565"/>
        <v>5.0586108670138419</v>
      </c>
      <c r="M256" s="257">
        <f t="shared" si="565"/>
        <v>4.9771961964581681</v>
      </c>
      <c r="N256" s="81">
        <f t="shared" si="565"/>
        <v>4.9771961964581681</v>
      </c>
      <c r="O256" s="258">
        <f t="shared" si="565"/>
        <v>5.1347744722528272</v>
      </c>
      <c r="P256" s="259">
        <f t="shared" si="565"/>
        <v>5.0561040348753261</v>
      </c>
      <c r="Q256" s="259">
        <f t="shared" si="565"/>
        <v>4.8903902090993903</v>
      </c>
      <c r="R256" s="257">
        <f t="shared" si="565"/>
        <v>4.8814511598041515</v>
      </c>
      <c r="S256" s="81">
        <f t="shared" si="565"/>
        <v>4.8814511598041515</v>
      </c>
      <c r="T256" s="258">
        <f t="shared" si="565"/>
        <v>4.8237510341084464</v>
      </c>
      <c r="U256" s="259">
        <f>(U243+U246)/U246</f>
        <v>4.9096160362849544</v>
      </c>
      <c r="V256" s="259">
        <f>(V243+V246)/V246</f>
        <v>5.1312419875507711</v>
      </c>
      <c r="W256" s="257">
        <f>(W243+W246)/W246</f>
        <v>5.2367273809903514</v>
      </c>
      <c r="X256" s="81">
        <f>(X243+X246)/X246</f>
        <v>5.2367273809903514</v>
      </c>
      <c r="Y256" s="258">
        <f t="shared" si="565"/>
        <v>5.5597408259792127</v>
      </c>
      <c r="Z256" s="259">
        <f t="shared" si="565"/>
        <v>5.7463197768049499</v>
      </c>
      <c r="AA256" s="259">
        <f t="shared" si="565"/>
        <v>5.780620100372575</v>
      </c>
      <c r="AB256" s="257">
        <f t="shared" si="565"/>
        <v>5.687734012280961</v>
      </c>
      <c r="AC256" s="81">
        <f t="shared" si="565"/>
        <v>5.687734012280961</v>
      </c>
      <c r="AD256" s="258">
        <f t="shared" si="565"/>
        <v>5.6505624737493312</v>
      </c>
      <c r="AE256" s="259">
        <f t="shared" si="565"/>
        <v>5.6634413629521481</v>
      </c>
      <c r="AF256" s="259">
        <f t="shared" si="565"/>
        <v>5.648609052461695</v>
      </c>
      <c r="AG256" s="257">
        <f t="shared" si="565"/>
        <v>5.8544632623733905</v>
      </c>
      <c r="AH256" s="81">
        <f>(AH243+AH246)/AH246</f>
        <v>5.8544632623733905</v>
      </c>
      <c r="AI256" s="258">
        <f>(AI243+AI246)/AI246</f>
        <v>5.8753501482464854</v>
      </c>
      <c r="AJ256" s="259">
        <f>(AJ243+AJ246)/AJ246</f>
        <v>5.9199775025512604</v>
      </c>
      <c r="AK256" s="259">
        <f t="shared" si="565"/>
        <v>6.01486850611274</v>
      </c>
      <c r="AL256" s="257">
        <f t="shared" si="565"/>
        <v>5.9510736628529548</v>
      </c>
      <c r="AM256" s="81">
        <f t="shared" si="565"/>
        <v>5.9510736628529548</v>
      </c>
      <c r="AN256" s="258">
        <f>(AN243+AN246)/AN246</f>
        <v>5.9543278841455285</v>
      </c>
      <c r="AO256" s="259">
        <f t="shared" ref="AO256:AR256" si="566">(AO243+AO246)/AO246</f>
        <v>5.8681468998270994</v>
      </c>
      <c r="AP256" s="259">
        <f t="shared" si="566"/>
        <v>5.8648518311812863</v>
      </c>
      <c r="AQ256" s="257">
        <f t="shared" si="566"/>
        <v>5.9938942140934071</v>
      </c>
      <c r="AR256" s="81">
        <f t="shared" si="566"/>
        <v>5.9938942140934071</v>
      </c>
      <c r="AS256" s="258">
        <f>(AS243+AS246)/AS246</f>
        <v>6.000033009655322</v>
      </c>
      <c r="AT256" s="259">
        <f t="shared" ref="AT256:AW256" si="567">(AT243+AT246)/AT246</f>
        <v>6.1188366855890601</v>
      </c>
      <c r="AU256" s="259">
        <f t="shared" si="567"/>
        <v>6.1541629539477949</v>
      </c>
      <c r="AV256" s="257">
        <f t="shared" si="567"/>
        <v>6.0637880583552723</v>
      </c>
      <c r="AW256" s="81">
        <f t="shared" si="567"/>
        <v>6.0637880583552723</v>
      </c>
      <c r="AX256" s="258">
        <f t="shared" ref="AX256:BG256" si="568">(AX243+AX246)/AX246</f>
        <v>6.1710805818841745</v>
      </c>
      <c r="AY256" s="259">
        <f t="shared" si="568"/>
        <v>6.2116621280707456</v>
      </c>
      <c r="AZ256" s="259">
        <f t="shared" si="568"/>
        <v>6.1589279135895483</v>
      </c>
      <c r="BA256" s="257">
        <f t="shared" si="568"/>
        <v>6.1332404207108446</v>
      </c>
      <c r="BB256" s="81">
        <f t="shared" si="568"/>
        <v>6.1332404207108446</v>
      </c>
      <c r="BC256" s="258">
        <f t="shared" si="568"/>
        <v>6.1023509768171991</v>
      </c>
      <c r="BD256" s="259">
        <f t="shared" si="568"/>
        <v>6.0544375835335869</v>
      </c>
      <c r="BE256" s="259">
        <f t="shared" si="568"/>
        <v>6.1700489475984126</v>
      </c>
      <c r="BF256" s="257">
        <f t="shared" si="568"/>
        <v>6.2582744055160111</v>
      </c>
      <c r="BG256" s="81">
        <f t="shared" si="568"/>
        <v>6.2582744055160111</v>
      </c>
      <c r="BH256" s="258">
        <f t="shared" ref="BH256:BQ256" si="569">(BH243+BH246)/BH246</f>
        <v>6.3839272253214947</v>
      </c>
      <c r="BI256" s="259">
        <f t="shared" si="569"/>
        <v>6.3917538667729614</v>
      </c>
      <c r="BJ256" s="259">
        <f t="shared" si="569"/>
        <v>6.3363008507898684</v>
      </c>
      <c r="BK256" s="257">
        <f t="shared" si="569"/>
        <v>6.3675058880855504</v>
      </c>
      <c r="BL256" s="81">
        <f t="shared" si="569"/>
        <v>6.3675058880855504</v>
      </c>
      <c r="BM256" s="258">
        <f t="shared" si="569"/>
        <v>6.406268674018798</v>
      </c>
      <c r="BN256" s="259">
        <f t="shared" si="569"/>
        <v>6.3819276527419717</v>
      </c>
      <c r="BO256" s="259">
        <f t="shared" si="569"/>
        <v>6.3945313279814133</v>
      </c>
      <c r="BP256" s="257">
        <f t="shared" si="569"/>
        <v>6.4004138313025871</v>
      </c>
      <c r="BQ256" s="81">
        <f t="shared" si="569"/>
        <v>6.4004138313025871</v>
      </c>
      <c r="BR256" s="289"/>
      <c r="BS256" s="289"/>
      <c r="BT256" s="289"/>
      <c r="BU256" s="289"/>
      <c r="BV256" s="289"/>
      <c r="BW256" s="289"/>
      <c r="BX256" s="289"/>
      <c r="BY256" s="289"/>
      <c r="BZ256" s="289"/>
      <c r="CA256" s="289"/>
      <c r="CB256" s="289"/>
      <c r="CC256" s="289"/>
      <c r="CD256" s="289"/>
      <c r="CE256" s="289"/>
      <c r="CF256" s="289"/>
      <c r="CG256" s="289"/>
      <c r="CH256" s="289"/>
      <c r="CI256" s="289"/>
      <c r="CJ256" s="289"/>
      <c r="CK256" s="289"/>
      <c r="CL256" s="289"/>
      <c r="CM256" s="289"/>
      <c r="CN256" s="289"/>
      <c r="CO256" s="289"/>
      <c r="CP256" s="289"/>
      <c r="CQ256" s="289"/>
      <c r="CR256" s="289"/>
      <c r="CS256" s="289"/>
      <c r="CT256" s="289"/>
      <c r="CU256" s="289"/>
      <c r="CV256" s="289"/>
      <c r="CW256" s="289"/>
      <c r="CX256" s="289"/>
      <c r="CY256" s="289"/>
      <c r="CZ256" s="289"/>
    </row>
    <row r="257" spans="1:104" x14ac:dyDescent="0.2">
      <c r="A257" s="289"/>
      <c r="B257" s="289"/>
      <c r="C257" s="289" t="s">
        <v>66</v>
      </c>
      <c r="D257" s="289"/>
      <c r="E257" s="291"/>
      <c r="F257" s="292"/>
      <c r="G257" s="292"/>
      <c r="H257" s="257">
        <f t="shared" ref="H257:AM257" si="570">H244/H246</f>
        <v>3.8594385483599276</v>
      </c>
      <c r="I257" s="81">
        <f t="shared" si="570"/>
        <v>3.8594385483599276</v>
      </c>
      <c r="J257" s="258">
        <f t="shared" si="570"/>
        <v>4.037385028513512</v>
      </c>
      <c r="K257" s="259">
        <f t="shared" si="570"/>
        <v>4.2353630522743977</v>
      </c>
      <c r="L257" s="259">
        <f t="shared" si="570"/>
        <v>4.8203516180208661</v>
      </c>
      <c r="M257" s="257">
        <f t="shared" si="570"/>
        <v>4.6267062141963997</v>
      </c>
      <c r="N257" s="81">
        <f t="shared" si="570"/>
        <v>4.6267062141963979</v>
      </c>
      <c r="O257" s="258">
        <f t="shared" si="570"/>
        <v>4.6027656808390311</v>
      </c>
      <c r="P257" s="259">
        <f t="shared" si="570"/>
        <v>4.4642465371914444</v>
      </c>
      <c r="Q257" s="259">
        <f t="shared" si="570"/>
        <v>4.303166675813622</v>
      </c>
      <c r="R257" s="257">
        <f t="shared" si="570"/>
        <v>4.3269550793268579</v>
      </c>
      <c r="S257" s="81">
        <f t="shared" si="570"/>
        <v>4.3269550793268534</v>
      </c>
      <c r="T257" s="258">
        <f t="shared" si="570"/>
        <v>4.2297907544117539</v>
      </c>
      <c r="U257" s="259">
        <f>U244/U246</f>
        <v>4.3944217084169601</v>
      </c>
      <c r="V257" s="259">
        <f>V244/V246</f>
        <v>4.601835977119789</v>
      </c>
      <c r="W257" s="257">
        <f>W244/W246</f>
        <v>4.6269896966410391</v>
      </c>
      <c r="X257" s="81">
        <f>X244/X246</f>
        <v>4.6269896966410373</v>
      </c>
      <c r="Y257" s="258">
        <f t="shared" si="570"/>
        <v>4.9530274682517339</v>
      </c>
      <c r="Z257" s="259">
        <f t="shared" si="570"/>
        <v>5.0571823893664787</v>
      </c>
      <c r="AA257" s="259">
        <f t="shared" si="570"/>
        <v>5.1141121023001075</v>
      </c>
      <c r="AB257" s="257">
        <f t="shared" si="570"/>
        <v>4.9830531906314413</v>
      </c>
      <c r="AC257" s="81">
        <f t="shared" si="570"/>
        <v>4.9830531906314413</v>
      </c>
      <c r="AD257" s="258">
        <f t="shared" si="570"/>
        <v>4.9148797293769082</v>
      </c>
      <c r="AE257" s="259">
        <f t="shared" si="570"/>
        <v>4.8547529991333285</v>
      </c>
      <c r="AF257" s="259">
        <f t="shared" si="570"/>
        <v>4.7331246387427912</v>
      </c>
      <c r="AG257" s="257">
        <f t="shared" si="570"/>
        <v>4.9651735793950467</v>
      </c>
      <c r="AH257" s="81">
        <f>AH244/AH246</f>
        <v>4.9651735793950511</v>
      </c>
      <c r="AI257" s="258">
        <f>AI244/AI246</f>
        <v>4.9804267861215568</v>
      </c>
      <c r="AJ257" s="259">
        <f>AJ244/AJ246</f>
        <v>5.0658630206883757</v>
      </c>
      <c r="AK257" s="259">
        <f t="shared" si="570"/>
        <v>5.2570380837418984</v>
      </c>
      <c r="AL257" s="257">
        <f t="shared" si="570"/>
        <v>5.1690807642450549</v>
      </c>
      <c r="AM257" s="81">
        <f t="shared" si="570"/>
        <v>5.169080764245054</v>
      </c>
      <c r="AN257" s="258">
        <f>AN244/AN246</f>
        <v>5.1431189196392895</v>
      </c>
      <c r="AO257" s="259">
        <f t="shared" ref="AO257:AR257" si="571">AO244/AO246</f>
        <v>4.9922741896653626</v>
      </c>
      <c r="AP257" s="259">
        <f t="shared" si="571"/>
        <v>4.9500468700048232</v>
      </c>
      <c r="AQ257" s="257">
        <f t="shared" si="571"/>
        <v>5.0211417654475268</v>
      </c>
      <c r="AR257" s="81">
        <f t="shared" si="571"/>
        <v>5.0211417654475268</v>
      </c>
      <c r="AS257" s="258">
        <f>AS244/AS246</f>
        <v>4.9777734987483822</v>
      </c>
      <c r="AT257" s="259">
        <f t="shared" ref="AT257:AW257" si="572">AT244/AT246</f>
        <v>5.0668872750097709</v>
      </c>
      <c r="AU257" s="259">
        <f t="shared" si="572"/>
        <v>5.0798524330080612</v>
      </c>
      <c r="AV257" s="257">
        <f t="shared" si="572"/>
        <v>4.8537709629039174</v>
      </c>
      <c r="AW257" s="81">
        <f t="shared" si="572"/>
        <v>4.853770962903921</v>
      </c>
      <c r="AX257" s="258">
        <f t="shared" ref="AX257:BG257" si="573">AX244/AX246</f>
        <v>4.7425453577178551</v>
      </c>
      <c r="AY257" s="259">
        <f t="shared" si="573"/>
        <v>4.5842041628310799</v>
      </c>
      <c r="AZ257" s="259">
        <f t="shared" si="573"/>
        <v>4.2446339093130137</v>
      </c>
      <c r="BA257" s="257">
        <f t="shared" si="573"/>
        <v>4.1564320488799433</v>
      </c>
      <c r="BB257" s="81">
        <f t="shared" si="573"/>
        <v>4.1564320488799416</v>
      </c>
      <c r="BC257" s="258">
        <f t="shared" si="573"/>
        <v>4.1614429180627921</v>
      </c>
      <c r="BD257" s="259">
        <f t="shared" si="573"/>
        <v>4.1158625294933842</v>
      </c>
      <c r="BE257" s="259">
        <f t="shared" si="573"/>
        <v>4.1919203446312183</v>
      </c>
      <c r="BF257" s="257">
        <f t="shared" si="573"/>
        <v>4.2509888335294361</v>
      </c>
      <c r="BG257" s="81">
        <f t="shared" si="573"/>
        <v>4.250988833529437</v>
      </c>
      <c r="BH257" s="258">
        <f t="shared" ref="BH257:BQ257" si="574">BH244/BH246</f>
        <v>4.3275736874289894</v>
      </c>
      <c r="BI257" s="259">
        <f t="shared" si="574"/>
        <v>4.3305347430935708</v>
      </c>
      <c r="BJ257" s="259">
        <f t="shared" si="574"/>
        <v>4.2935310065221719</v>
      </c>
      <c r="BK257" s="257">
        <f t="shared" si="574"/>
        <v>4.3208629852453306</v>
      </c>
      <c r="BL257" s="81">
        <f t="shared" si="574"/>
        <v>4.3208629852453333</v>
      </c>
      <c r="BM257" s="258">
        <f t="shared" si="574"/>
        <v>4.3673778415189215</v>
      </c>
      <c r="BN257" s="259">
        <f t="shared" si="574"/>
        <v>4.3632845027568381</v>
      </c>
      <c r="BO257" s="259">
        <f t="shared" si="574"/>
        <v>4.3847637226183567</v>
      </c>
      <c r="BP257" s="257">
        <f t="shared" si="574"/>
        <v>4.4020188827148985</v>
      </c>
      <c r="BQ257" s="81">
        <f t="shared" si="574"/>
        <v>4.4020188827148976</v>
      </c>
      <c r="BR257" s="289"/>
      <c r="BS257" s="289"/>
      <c r="BT257" s="289"/>
      <c r="BU257" s="289"/>
      <c r="BV257" s="289"/>
      <c r="BW257" s="289"/>
      <c r="BX257" s="289"/>
      <c r="BY257" s="289"/>
      <c r="BZ257" s="289"/>
      <c r="CA257" s="289"/>
      <c r="CB257" s="289"/>
      <c r="CC257" s="289"/>
      <c r="CD257" s="289"/>
      <c r="CE257" s="289"/>
      <c r="CF257" s="289"/>
      <c r="CG257" s="289"/>
      <c r="CH257" s="289"/>
      <c r="CI257" s="289"/>
      <c r="CJ257" s="289"/>
      <c r="CK257" s="289"/>
      <c r="CL257" s="289"/>
      <c r="CM257" s="289"/>
      <c r="CN257" s="289"/>
      <c r="CO257" s="289"/>
      <c r="CP257" s="289"/>
      <c r="CQ257" s="289"/>
      <c r="CR257" s="289"/>
      <c r="CS257" s="289"/>
      <c r="CT257" s="289"/>
      <c r="CU257" s="289"/>
      <c r="CV257" s="289"/>
      <c r="CW257" s="289"/>
      <c r="CX257" s="289"/>
      <c r="CY257" s="289"/>
      <c r="CZ257" s="289"/>
    </row>
    <row r="258" spans="1:104" x14ac:dyDescent="0.2">
      <c r="A258" s="289"/>
      <c r="B258" s="289"/>
      <c r="C258" s="289"/>
      <c r="D258" s="289"/>
      <c r="E258" s="291"/>
      <c r="F258" s="292"/>
      <c r="G258" s="292"/>
      <c r="H258" s="293"/>
      <c r="I258" s="289"/>
      <c r="J258" s="291"/>
      <c r="K258" s="292"/>
      <c r="L258" s="292"/>
      <c r="M258" s="293"/>
      <c r="N258" s="289"/>
      <c r="O258" s="291"/>
      <c r="P258" s="292"/>
      <c r="Q258" s="292"/>
      <c r="R258" s="293"/>
      <c r="S258" s="289"/>
      <c r="T258" s="291"/>
      <c r="U258" s="292"/>
      <c r="V258" s="292"/>
      <c r="W258" s="293"/>
      <c r="X258" s="289"/>
      <c r="Y258" s="291"/>
      <c r="Z258" s="292"/>
      <c r="AA258" s="292"/>
      <c r="AB258" s="293"/>
      <c r="AC258" s="289"/>
      <c r="AD258" s="291"/>
      <c r="AE258" s="292"/>
      <c r="AF258" s="292"/>
      <c r="AG258" s="293"/>
      <c r="AH258" s="289"/>
      <c r="AI258" s="291"/>
      <c r="AJ258" s="292"/>
      <c r="AK258" s="292"/>
      <c r="AL258" s="293"/>
      <c r="AM258" s="289"/>
      <c r="AN258" s="291"/>
      <c r="AO258" s="292"/>
      <c r="AP258" s="292"/>
      <c r="AQ258" s="293"/>
      <c r="AR258" s="289"/>
      <c r="AS258" s="291"/>
      <c r="AT258" s="292"/>
      <c r="AU258" s="292"/>
      <c r="AV258" s="293"/>
      <c r="AW258" s="289"/>
      <c r="AX258" s="291"/>
      <c r="AY258" s="292"/>
      <c r="AZ258" s="292"/>
      <c r="BA258" s="293"/>
      <c r="BB258" s="289"/>
      <c r="BC258" s="291"/>
      <c r="BD258" s="292"/>
      <c r="BE258" s="292"/>
      <c r="BF258" s="293"/>
      <c r="BG258" s="289"/>
      <c r="BH258" s="291"/>
      <c r="BI258" s="292"/>
      <c r="BJ258" s="292"/>
      <c r="BK258" s="293"/>
      <c r="BL258" s="289"/>
      <c r="BM258" s="291"/>
      <c r="BN258" s="292"/>
      <c r="BO258" s="292"/>
      <c r="BP258" s="293"/>
      <c r="BQ258" s="289"/>
      <c r="BR258" s="289"/>
      <c r="BS258" s="289"/>
      <c r="BT258" s="289"/>
      <c r="BU258" s="289"/>
      <c r="BV258" s="289"/>
      <c r="BW258" s="289"/>
      <c r="BX258" s="289"/>
      <c r="BY258" s="289"/>
      <c r="BZ258" s="289"/>
      <c r="CA258" s="289"/>
      <c r="CB258" s="289"/>
      <c r="CC258" s="289"/>
      <c r="CD258" s="289"/>
      <c r="CE258" s="289"/>
      <c r="CF258" s="289"/>
      <c r="CG258" s="289"/>
      <c r="CH258" s="289"/>
      <c r="CI258" s="289"/>
      <c r="CJ258" s="289"/>
      <c r="CK258" s="289"/>
      <c r="CL258" s="289"/>
      <c r="CM258" s="289"/>
      <c r="CN258" s="289"/>
      <c r="CO258" s="289"/>
      <c r="CP258" s="289"/>
      <c r="CQ258" s="289"/>
      <c r="CR258" s="289"/>
      <c r="CS258" s="289"/>
      <c r="CT258" s="289"/>
      <c r="CU258" s="289"/>
      <c r="CV258" s="289"/>
      <c r="CW258" s="289"/>
      <c r="CX258" s="289"/>
      <c r="CY258" s="289"/>
      <c r="CZ258" s="289"/>
    </row>
    <row r="259" spans="1:104" x14ac:dyDescent="0.2">
      <c r="A259" s="289"/>
      <c r="B259" s="289"/>
      <c r="C259" s="289"/>
      <c r="D259" s="289"/>
      <c r="E259" s="291"/>
      <c r="F259" s="292"/>
      <c r="G259" s="292"/>
      <c r="H259" s="293"/>
      <c r="I259" s="289"/>
      <c r="J259" s="291"/>
      <c r="K259" s="292"/>
      <c r="L259" s="292"/>
      <c r="M259" s="293"/>
      <c r="N259" s="289"/>
      <c r="O259" s="291"/>
      <c r="P259" s="292"/>
      <c r="Q259" s="292"/>
      <c r="R259" s="293"/>
      <c r="S259" s="289"/>
      <c r="T259" s="291"/>
      <c r="U259" s="292"/>
      <c r="V259" s="292"/>
      <c r="W259" s="293"/>
      <c r="X259" s="289"/>
      <c r="Y259" s="291"/>
      <c r="Z259" s="292"/>
      <c r="AA259" s="292"/>
      <c r="AB259" s="293"/>
      <c r="AC259" s="289"/>
      <c r="AD259" s="291"/>
      <c r="AE259" s="292"/>
      <c r="AF259" s="292"/>
      <c r="AG259" s="293"/>
      <c r="AH259" s="289"/>
      <c r="AI259" s="291"/>
      <c r="AJ259" s="292"/>
      <c r="AK259" s="292"/>
      <c r="AL259" s="293"/>
      <c r="AM259" s="289"/>
      <c r="AN259" s="291"/>
      <c r="AO259" s="292"/>
      <c r="AP259" s="292"/>
      <c r="AQ259" s="293"/>
      <c r="AR259" s="289"/>
      <c r="AS259" s="291"/>
      <c r="AT259" s="292"/>
      <c r="AU259" s="292"/>
      <c r="AV259" s="293"/>
      <c r="AW259" s="289"/>
      <c r="AX259" s="291"/>
      <c r="AY259" s="292"/>
      <c r="AZ259" s="292"/>
      <c r="BA259" s="293"/>
      <c r="BB259" s="289"/>
      <c r="BC259" s="291"/>
      <c r="BD259" s="292"/>
      <c r="BE259" s="292"/>
      <c r="BF259" s="293"/>
      <c r="BG259" s="289"/>
      <c r="BH259" s="291"/>
      <c r="BI259" s="292"/>
      <c r="BJ259" s="292"/>
      <c r="BK259" s="293"/>
      <c r="BL259" s="289"/>
      <c r="BM259" s="291"/>
      <c r="BN259" s="292"/>
      <c r="BO259" s="292"/>
      <c r="BP259" s="293"/>
      <c r="BQ259" s="289"/>
      <c r="BR259" s="289"/>
      <c r="BS259" s="289"/>
      <c r="BT259" s="289"/>
      <c r="BU259" s="289"/>
      <c r="BV259" s="289"/>
      <c r="BW259" s="289"/>
      <c r="BX259" s="289"/>
      <c r="BY259" s="289"/>
      <c r="BZ259" s="289"/>
      <c r="CA259" s="289"/>
      <c r="CB259" s="289"/>
      <c r="CC259" s="289"/>
      <c r="CD259" s="289"/>
      <c r="CE259" s="289"/>
      <c r="CF259" s="289"/>
      <c r="CG259" s="289"/>
      <c r="CH259" s="289"/>
      <c r="CI259" s="289"/>
      <c r="CJ259" s="289"/>
      <c r="CK259" s="289"/>
      <c r="CL259" s="289"/>
      <c r="CM259" s="289"/>
      <c r="CN259" s="289"/>
      <c r="CO259" s="289"/>
      <c r="CP259" s="289"/>
      <c r="CQ259" s="289"/>
      <c r="CR259" s="289"/>
      <c r="CS259" s="289"/>
      <c r="CT259" s="289"/>
      <c r="CU259" s="289"/>
      <c r="CV259" s="289"/>
      <c r="CW259" s="289"/>
      <c r="CX259" s="289"/>
      <c r="CY259" s="289"/>
      <c r="CZ259" s="289"/>
    </row>
    <row r="260" spans="1:104" x14ac:dyDescent="0.2">
      <c r="A260" s="289"/>
      <c r="B260" s="347" t="s">
        <v>300</v>
      </c>
      <c r="C260" s="347"/>
      <c r="D260" s="348"/>
      <c r="E260" s="291"/>
      <c r="F260" s="292"/>
      <c r="G260" s="292"/>
      <c r="H260" s="293"/>
      <c r="I260" s="289"/>
      <c r="J260" s="291"/>
      <c r="K260" s="292"/>
      <c r="L260" s="292"/>
      <c r="M260" s="293"/>
      <c r="N260" s="289"/>
      <c r="O260" s="291"/>
      <c r="P260" s="292"/>
      <c r="Q260" s="292"/>
      <c r="R260" s="293"/>
      <c r="S260" s="289"/>
      <c r="T260" s="291"/>
      <c r="U260" s="292"/>
      <c r="V260" s="292"/>
      <c r="W260" s="293"/>
      <c r="X260" s="289"/>
      <c r="Y260" s="291"/>
      <c r="Z260" s="292"/>
      <c r="AA260" s="292"/>
      <c r="AB260" s="293"/>
      <c r="AC260" s="289"/>
      <c r="AD260" s="291"/>
      <c r="AE260" s="292"/>
      <c r="AF260" s="292"/>
      <c r="AG260" s="293"/>
      <c r="AH260" s="289"/>
      <c r="AI260" s="291"/>
      <c r="AJ260" s="292"/>
      <c r="AK260" s="292"/>
      <c r="AL260" s="293"/>
      <c r="AM260" s="289"/>
      <c r="AN260" s="291"/>
      <c r="AO260" s="292"/>
      <c r="AP260" s="292"/>
      <c r="AQ260" s="293"/>
      <c r="AR260" s="289"/>
      <c r="AS260" s="291"/>
      <c r="AT260" s="292"/>
      <c r="AU260" s="292"/>
      <c r="AV260" s="293"/>
      <c r="AW260" s="289"/>
      <c r="AX260" s="291"/>
      <c r="AY260" s="292"/>
      <c r="AZ260" s="292"/>
      <c r="BA260" s="293"/>
      <c r="BB260" s="289"/>
      <c r="BC260" s="291"/>
      <c r="BD260" s="292"/>
      <c r="BE260" s="292"/>
      <c r="BF260" s="293"/>
      <c r="BG260" s="289"/>
      <c r="BH260" s="291"/>
      <c r="BI260" s="292"/>
      <c r="BJ260" s="292"/>
      <c r="BK260" s="293"/>
      <c r="BL260" s="289"/>
      <c r="BM260" s="291"/>
      <c r="BN260" s="292"/>
      <c r="BO260" s="292"/>
      <c r="BP260" s="293"/>
      <c r="BQ260" s="289"/>
      <c r="BR260" s="289"/>
      <c r="BS260" s="289"/>
      <c r="BT260" s="289"/>
      <c r="BU260" s="289"/>
      <c r="BV260" s="289"/>
      <c r="BW260" s="289"/>
      <c r="BX260" s="289"/>
      <c r="BY260" s="289"/>
      <c r="BZ260" s="289"/>
      <c r="CA260" s="289"/>
      <c r="CB260" s="289"/>
      <c r="CC260" s="289"/>
      <c r="CD260" s="289"/>
      <c r="CE260" s="289"/>
      <c r="CF260" s="289"/>
      <c r="CG260" s="289"/>
      <c r="CH260" s="289"/>
      <c r="CI260" s="289"/>
      <c r="CJ260" s="289"/>
      <c r="CK260" s="289"/>
      <c r="CL260" s="289"/>
      <c r="CM260" s="289"/>
      <c r="CN260" s="289"/>
      <c r="CO260" s="289"/>
      <c r="CP260" s="289"/>
      <c r="CQ260" s="289"/>
      <c r="CR260" s="289"/>
      <c r="CS260" s="289"/>
      <c r="CT260" s="289"/>
      <c r="CU260" s="289"/>
      <c r="CV260" s="289"/>
      <c r="CW260" s="289"/>
      <c r="CX260" s="289"/>
      <c r="CY260" s="289"/>
      <c r="CZ260" s="289"/>
    </row>
    <row r="261" spans="1:104" x14ac:dyDescent="0.2">
      <c r="A261" s="220"/>
      <c r="B261" s="220"/>
      <c r="C261" s="141" t="s">
        <v>301</v>
      </c>
      <c r="D261" s="82"/>
      <c r="E261" s="356">
        <v>6048</v>
      </c>
      <c r="F261" s="122">
        <f>E266</f>
        <v>6065.2219999999998</v>
      </c>
      <c r="G261" s="122">
        <f>F266</f>
        <v>6115.2509999999993</v>
      </c>
      <c r="H261" s="123">
        <f>G266</f>
        <v>6130.7749999999996</v>
      </c>
      <c r="I261" s="127">
        <f>E261</f>
        <v>6048</v>
      </c>
      <c r="J261" s="121">
        <f>I266</f>
        <v>6222.0110000000004</v>
      </c>
      <c r="K261" s="122">
        <f>J266</f>
        <v>6233.9460000000008</v>
      </c>
      <c r="L261" s="122">
        <f>K266</f>
        <v>6266.1470000000008</v>
      </c>
      <c r="M261" s="123">
        <f>L266</f>
        <v>6301.6020000000008</v>
      </c>
      <c r="N261" s="86">
        <f>I266</f>
        <v>6222.0110000000004</v>
      </c>
      <c r="O261" s="121">
        <f>+N266</f>
        <v>7054.7570000000005</v>
      </c>
      <c r="P261" s="122">
        <f>+O266</f>
        <v>7043.6070000000009</v>
      </c>
      <c r="Q261" s="122">
        <f>+P266</f>
        <v>7083.7260000000006</v>
      </c>
      <c r="R261" s="123">
        <f>+Q266</f>
        <v>7100.8910000000014</v>
      </c>
      <c r="S261" s="86">
        <f>+N266</f>
        <v>7054.7570000000005</v>
      </c>
      <c r="T261" s="121">
        <f>+S266</f>
        <v>7226.45</v>
      </c>
      <c r="U261" s="122">
        <f>+T266</f>
        <v>7246.0990000000002</v>
      </c>
      <c r="V261" s="122">
        <f>+U266</f>
        <v>7328.3520000000008</v>
      </c>
      <c r="W261" s="123">
        <f>+V266</f>
        <v>7407.8600000000006</v>
      </c>
      <c r="X261" s="86">
        <f>+S266</f>
        <v>7226.45</v>
      </c>
      <c r="Y261" s="121">
        <f>+X266</f>
        <v>7381.9139999999998</v>
      </c>
      <c r="Z261" s="122">
        <f>+Y266</f>
        <v>7452.94</v>
      </c>
      <c r="AA261" s="122">
        <f>+Z266</f>
        <v>7573.4209999999994</v>
      </c>
      <c r="AB261" s="123">
        <f>+AA266</f>
        <v>7626.8649999999989</v>
      </c>
      <c r="AC261" s="86">
        <f>+X266</f>
        <v>7381.9139999999998</v>
      </c>
      <c r="AD261" s="121">
        <f>+AC266</f>
        <v>8139.9439999999995</v>
      </c>
      <c r="AE261" s="122">
        <f>+AD266</f>
        <v>8303.8509999999987</v>
      </c>
      <c r="AF261" s="122">
        <f>+AE266</f>
        <v>8459.1890000000003</v>
      </c>
      <c r="AG261" s="123">
        <f>+AF266</f>
        <v>8568.1229999999996</v>
      </c>
      <c r="AH261" s="1002">
        <f>+AC266</f>
        <v>8139.9439999999995</v>
      </c>
      <c r="AI261" s="121">
        <f>+AH266</f>
        <v>8516.2569999999996</v>
      </c>
      <c r="AJ261" s="122">
        <f>+AI266</f>
        <v>8619.6369999999988</v>
      </c>
      <c r="AK261" s="122">
        <f>+AJ266</f>
        <v>8680.739999999998</v>
      </c>
      <c r="AL261" s="123">
        <f>+AK266</f>
        <v>8693.9089999999997</v>
      </c>
      <c r="AM261" s="86">
        <f>+AH266</f>
        <v>8516.2569999999996</v>
      </c>
      <c r="AN261" s="121">
        <f>+AM266</f>
        <v>8985.2909999999993</v>
      </c>
      <c r="AO261" s="122">
        <f>+AN266</f>
        <v>9041.4830000000002</v>
      </c>
      <c r="AP261" s="122">
        <f>+AO266</f>
        <v>9145.7910000000011</v>
      </c>
      <c r="AQ261" s="123">
        <f>+AP266</f>
        <v>9236.1500000000015</v>
      </c>
      <c r="AR261" s="86">
        <f>+AM266</f>
        <v>8985.2909999999993</v>
      </c>
      <c r="AS261" s="121">
        <f>+AR266</f>
        <v>9397.5339999999978</v>
      </c>
      <c r="AT261" s="122">
        <f>+AS266</f>
        <v>9458.9909999999963</v>
      </c>
      <c r="AU261" s="122">
        <f>+AT266</f>
        <v>9578.6439999999966</v>
      </c>
      <c r="AV261" s="123">
        <f>+AU266</f>
        <v>9715.046999999995</v>
      </c>
      <c r="AW261" s="86">
        <f>+AR266</f>
        <v>9397.5339999999978</v>
      </c>
      <c r="AX261" s="121">
        <f>+AW266</f>
        <v>10054.898999999998</v>
      </c>
      <c r="AY261" s="122">
        <f>+AX266</f>
        <v>10231.635353764572</v>
      </c>
      <c r="AZ261" s="122">
        <f>+AY266</f>
        <v>10415.716675549493</v>
      </c>
      <c r="BA261" s="123">
        <f>+AZ266</f>
        <v>10574.20782813701</v>
      </c>
      <c r="BB261" s="86">
        <f>+AW266</f>
        <v>10054.898999999998</v>
      </c>
      <c r="BC261" s="121">
        <f>+BB266</f>
        <v>10761.029219461838</v>
      </c>
      <c r="BD261" s="122">
        <f>+BC266</f>
        <v>10954.548278743758</v>
      </c>
      <c r="BE261" s="122">
        <f>+BD266</f>
        <v>11152.625950296237</v>
      </c>
      <c r="BF261" s="123">
        <f>+BE266</f>
        <v>11323.762736168848</v>
      </c>
      <c r="BG261" s="86">
        <f>+BB266</f>
        <v>10761.029219461838</v>
      </c>
      <c r="BH261" s="121">
        <f>+BG266</f>
        <v>11523.777282038607</v>
      </c>
      <c r="BI261" s="122">
        <f>+BH266</f>
        <v>11726.278227410932</v>
      </c>
      <c r="BJ261" s="122">
        <f>+BI266</f>
        <v>11938.506606909785</v>
      </c>
      <c r="BK261" s="123">
        <f>+BJ266</f>
        <v>12124.156983395311</v>
      </c>
      <c r="BL261" s="86">
        <f>+BG266</f>
        <v>11523.777282038607</v>
      </c>
      <c r="BM261" s="121">
        <f>+BL266</f>
        <v>12337.973595561267</v>
      </c>
      <c r="BN261" s="122">
        <f>+BM266</f>
        <v>12553.162688937651</v>
      </c>
      <c r="BO261" s="122">
        <f>+BN266</f>
        <v>12780.842087399997</v>
      </c>
      <c r="BP261" s="123">
        <f>+BO266</f>
        <v>12981.095403899848</v>
      </c>
      <c r="BQ261" s="86">
        <f>+BL266</f>
        <v>12337.973595561267</v>
      </c>
      <c r="BR261" s="220"/>
      <c r="BS261" s="220"/>
      <c r="BT261" s="220"/>
      <c r="BU261" s="220"/>
      <c r="BV261" s="220"/>
      <c r="BW261" s="220"/>
      <c r="BX261" s="220"/>
      <c r="BY261" s="220"/>
      <c r="BZ261" s="220"/>
      <c r="CA261" s="220"/>
      <c r="CB261" s="220"/>
      <c r="CC261" s="220"/>
      <c r="CD261" s="220"/>
      <c r="CE261" s="220"/>
      <c r="CF261" s="220"/>
      <c r="CG261" s="220"/>
      <c r="CH261" s="220"/>
      <c r="CI261" s="220"/>
      <c r="CJ261" s="220"/>
      <c r="CK261" s="220"/>
      <c r="CL261" s="220"/>
      <c r="CM261" s="220"/>
      <c r="CN261" s="220"/>
      <c r="CO261" s="220"/>
      <c r="CP261" s="220"/>
      <c r="CQ261" s="220"/>
      <c r="CR261" s="220"/>
      <c r="CS261" s="220"/>
      <c r="CT261" s="220"/>
      <c r="CU261" s="220"/>
      <c r="CV261" s="220"/>
      <c r="CW261" s="220"/>
      <c r="CX261" s="220"/>
      <c r="CY261" s="220"/>
      <c r="CZ261" s="220"/>
    </row>
    <row r="262" spans="1:104" x14ac:dyDescent="0.2">
      <c r="A262" s="220"/>
      <c r="B262" s="220"/>
      <c r="C262" s="70" t="s">
        <v>302</v>
      </c>
      <c r="D262" s="82"/>
      <c r="E262" s="136">
        <f t="shared" ref="E262:L262" si="575">E172</f>
        <v>133.17699999999999</v>
      </c>
      <c r="F262" s="135">
        <f t="shared" si="575"/>
        <v>173.03900000000002</v>
      </c>
      <c r="G262" s="135">
        <f t="shared" si="575"/>
        <v>133.29300000000001</v>
      </c>
      <c r="H262" s="116">
        <f t="shared" si="575"/>
        <v>187.91200000000003</v>
      </c>
      <c r="I262" s="82">
        <f>SUM(E262:H262)</f>
        <v>627.42100000000005</v>
      </c>
      <c r="J262" s="136">
        <f t="shared" si="575"/>
        <v>115.89</v>
      </c>
      <c r="K262" s="135">
        <f t="shared" si="575"/>
        <v>106.67399999999999</v>
      </c>
      <c r="L262" s="135">
        <f t="shared" si="575"/>
        <v>160.33799999999999</v>
      </c>
      <c r="M262" s="150">
        <f>M172+700</f>
        <v>888.84400000000005</v>
      </c>
      <c r="N262" s="82">
        <f>SUM(J262:M262)</f>
        <v>1271.7460000000001</v>
      </c>
      <c r="O262" s="136">
        <f t="shared" ref="O262:AL262" si="576">O172</f>
        <v>115.991</v>
      </c>
      <c r="P262" s="135">
        <f t="shared" si="576"/>
        <v>162.291</v>
      </c>
      <c r="Q262" s="135">
        <f t="shared" si="576"/>
        <v>197.16200000000003</v>
      </c>
      <c r="R262" s="116">
        <f t="shared" si="576"/>
        <v>251.38600000000002</v>
      </c>
      <c r="S262" s="82">
        <f>SUM(O262:R262)</f>
        <v>726.83</v>
      </c>
      <c r="T262" s="136">
        <f t="shared" si="576"/>
        <v>152.41999999999999</v>
      </c>
      <c r="U262" s="135">
        <f>U172</f>
        <v>230.256</v>
      </c>
      <c r="V262" s="135">
        <f>V172</f>
        <v>227.63299999999998</v>
      </c>
      <c r="W262" s="116">
        <f>W172</f>
        <v>263.07400000000007</v>
      </c>
      <c r="X262" s="82">
        <f>SUM(T262:W262)</f>
        <v>873.38300000000004</v>
      </c>
      <c r="Y262" s="136">
        <f t="shared" si="576"/>
        <v>226.94800000000001</v>
      </c>
      <c r="Z262" s="135">
        <f t="shared" si="576"/>
        <v>270.678</v>
      </c>
      <c r="AA262" s="135">
        <f t="shared" si="576"/>
        <v>245.19600000000003</v>
      </c>
      <c r="AB262" s="116">
        <f t="shared" si="576"/>
        <v>323.87800000000004</v>
      </c>
      <c r="AC262" s="82">
        <f>SUM(Y262:AB262)</f>
        <v>1066.7</v>
      </c>
      <c r="AD262" s="136">
        <f t="shared" si="576"/>
        <v>299.08600000000001</v>
      </c>
      <c r="AE262" s="135">
        <f t="shared" si="576"/>
        <v>274.31499999999994</v>
      </c>
      <c r="AF262" s="135">
        <f t="shared" si="576"/>
        <v>258.86900000000003</v>
      </c>
      <c r="AG262" s="116">
        <f t="shared" si="576"/>
        <v>282.06799999999998</v>
      </c>
      <c r="AH262" s="82">
        <f>SUM(AD262:AG262)</f>
        <v>1114.338</v>
      </c>
      <c r="AI262" s="136">
        <f>AI172</f>
        <v>241.19399999999999</v>
      </c>
      <c r="AJ262" s="135">
        <f>AJ172</f>
        <v>212.99600000000001</v>
      </c>
      <c r="AK262" s="135">
        <f t="shared" si="576"/>
        <v>214.19099999999997</v>
      </c>
      <c r="AL262" s="116">
        <f t="shared" si="576"/>
        <v>327.21600000000001</v>
      </c>
      <c r="AM262" s="82">
        <f>SUM(AI262:AL262)</f>
        <v>995.59699999999998</v>
      </c>
      <c r="AN262" s="136">
        <f>AN172</f>
        <v>238.63499999999999</v>
      </c>
      <c r="AO262" s="135">
        <f>AO172</f>
        <v>285.45100000000002</v>
      </c>
      <c r="AP262" s="135">
        <f>AP172</f>
        <v>277.96500000000003</v>
      </c>
      <c r="AQ262" s="116">
        <f>AQ172</f>
        <v>311.74899999999991</v>
      </c>
      <c r="AR262" s="82">
        <f>SUM(AN262:AQ262)</f>
        <v>1113.8</v>
      </c>
      <c r="AS262" s="136">
        <f>AS172</f>
        <v>272.92700000000002</v>
      </c>
      <c r="AT262" s="135">
        <f>AT172</f>
        <v>336.44200000000001</v>
      </c>
      <c r="AU262" s="135">
        <f>AU172</f>
        <v>386.31099999999992</v>
      </c>
      <c r="AV262" s="116">
        <f>AV172</f>
        <v>480.01699999999994</v>
      </c>
      <c r="AW262" s="82">
        <f>SUM(AS262:AV262)</f>
        <v>1475.6969999999999</v>
      </c>
      <c r="AX262" s="136">
        <f>AX172</f>
        <v>287.5</v>
      </c>
      <c r="AY262" s="135">
        <f>AY172</f>
        <v>287.5</v>
      </c>
      <c r="AZ262" s="135">
        <f>AZ172</f>
        <v>287.5</v>
      </c>
      <c r="BA262" s="116">
        <f>BA172</f>
        <v>287.5</v>
      </c>
      <c r="BB262" s="82">
        <f>SUM(AX262:BA262)</f>
        <v>1150</v>
      </c>
      <c r="BC262" s="136">
        <f>BC172</f>
        <v>255</v>
      </c>
      <c r="BD262" s="135">
        <f>BD172</f>
        <v>255</v>
      </c>
      <c r="BE262" s="135">
        <f>BE172</f>
        <v>255</v>
      </c>
      <c r="BF262" s="116">
        <f>BF172</f>
        <v>255</v>
      </c>
      <c r="BG262" s="82">
        <f>SUM(BC262:BF262)</f>
        <v>1020</v>
      </c>
      <c r="BH262" s="136">
        <f>BH172</f>
        <v>237.5</v>
      </c>
      <c r="BI262" s="135">
        <f>BI172</f>
        <v>237.5</v>
      </c>
      <c r="BJ262" s="135">
        <f>BJ172</f>
        <v>237.5</v>
      </c>
      <c r="BK262" s="116">
        <f>BK172</f>
        <v>237.5</v>
      </c>
      <c r="BL262" s="82">
        <f>SUM(BH262:BK262)</f>
        <v>950</v>
      </c>
      <c r="BM262" s="136">
        <f>BM172</f>
        <v>287.5</v>
      </c>
      <c r="BN262" s="135">
        <f>BN172</f>
        <v>287.5</v>
      </c>
      <c r="BO262" s="135">
        <f>BO172</f>
        <v>287.5</v>
      </c>
      <c r="BP262" s="116">
        <f>BP172</f>
        <v>287.5</v>
      </c>
      <c r="BQ262" s="82">
        <f>SUM(BM262:BP262)</f>
        <v>1150</v>
      </c>
      <c r="BR262" s="220"/>
      <c r="BS262" s="220"/>
      <c r="BT262" s="220"/>
      <c r="BU262" s="220"/>
      <c r="BV262" s="220"/>
      <c r="BW262" s="220"/>
      <c r="BX262" s="220"/>
      <c r="BY262" s="220"/>
      <c r="BZ262" s="220"/>
      <c r="CA262" s="220"/>
      <c r="CB262" s="220"/>
      <c r="CC262" s="220"/>
      <c r="CD262" s="220"/>
      <c r="CE262" s="220"/>
      <c r="CF262" s="220"/>
      <c r="CG262" s="220"/>
      <c r="CH262" s="220"/>
      <c r="CI262" s="220"/>
      <c r="CJ262" s="220"/>
      <c r="CK262" s="220"/>
      <c r="CL262" s="220"/>
      <c r="CM262" s="220"/>
      <c r="CN262" s="220"/>
      <c r="CO262" s="220"/>
      <c r="CP262" s="220"/>
      <c r="CQ262" s="220"/>
      <c r="CR262" s="220"/>
      <c r="CS262" s="220"/>
      <c r="CT262" s="220"/>
      <c r="CU262" s="220"/>
      <c r="CV262" s="220"/>
      <c r="CW262" s="220"/>
      <c r="CX262" s="220"/>
      <c r="CY262" s="220"/>
      <c r="CZ262" s="220"/>
    </row>
    <row r="263" spans="1:104" x14ac:dyDescent="0.2">
      <c r="A263" s="220"/>
      <c r="B263" s="220"/>
      <c r="C263" s="70" t="s">
        <v>178</v>
      </c>
      <c r="D263" s="82"/>
      <c r="E263" s="136">
        <f>+-E21</f>
        <v>-62.546999999999997</v>
      </c>
      <c r="F263" s="135">
        <f>+-F21</f>
        <v>-62.914999999999999</v>
      </c>
      <c r="G263" s="135">
        <f>+-G21</f>
        <v>-64.436000000000007</v>
      </c>
      <c r="H263" s="116">
        <f>+-H21</f>
        <v>-66.164000000000016</v>
      </c>
      <c r="I263" s="82">
        <f>SUM(E263:H263)</f>
        <v>-256.06200000000001</v>
      </c>
      <c r="J263" s="136">
        <f>+-J21</f>
        <v>-66.965999999999994</v>
      </c>
      <c r="K263" s="135">
        <f>+-K21</f>
        <v>-69.216999999999999</v>
      </c>
      <c r="L263" s="135">
        <f>+-L21</f>
        <v>-72.540000000000006</v>
      </c>
      <c r="M263" s="116">
        <f>+-M21</f>
        <v>-75.415999999999997</v>
      </c>
      <c r="N263" s="82">
        <f>SUM(J263:M263)</f>
        <v>-284.13900000000001</v>
      </c>
      <c r="O263" s="136">
        <f>+-O21</f>
        <v>-79.968999999999994</v>
      </c>
      <c r="P263" s="135">
        <f>+-P21</f>
        <v>-80.277000000000001</v>
      </c>
      <c r="Q263" s="135">
        <f>+-Q21</f>
        <v>-85.146000000000001</v>
      </c>
      <c r="R263" s="116">
        <f>+-R21</f>
        <v>-83.19</v>
      </c>
      <c r="S263" s="82">
        <f>SUM(O263:R263)</f>
        <v>-328.58199999999999</v>
      </c>
      <c r="T263" s="136">
        <f>+-T21</f>
        <v>-83.588999999999999</v>
      </c>
      <c r="U263" s="135">
        <f>+-U21</f>
        <v>-80.150999999999996</v>
      </c>
      <c r="V263" s="135">
        <f>+-V21</f>
        <v>-85.905000000000001</v>
      </c>
      <c r="W263" s="116">
        <f>+-W21</f>
        <v>-89.181999999999988</v>
      </c>
      <c r="X263" s="82">
        <f>SUM(T263:W263)</f>
        <v>-338.827</v>
      </c>
      <c r="Y263" s="136">
        <f>+-Y21</f>
        <v>-89.55</v>
      </c>
      <c r="Z263" s="135">
        <f>+-Z21</f>
        <v>-89.078999999999994</v>
      </c>
      <c r="AA263" s="135">
        <f>+-AA21</f>
        <v>-88.576999999999998</v>
      </c>
      <c r="AB263" s="116">
        <f>+-AB21</f>
        <v>-93.210999999999956</v>
      </c>
      <c r="AC263" s="82">
        <f>SUM(Y263:AB263)</f>
        <v>-360.41699999999997</v>
      </c>
      <c r="AD263" s="136">
        <f>+-AD21</f>
        <v>-93.316000000000003</v>
      </c>
      <c r="AE263" s="135">
        <f>+-AE21</f>
        <v>-95.114999999999995</v>
      </c>
      <c r="AF263" s="135">
        <f>+-AF21</f>
        <v>-95.075000000000003</v>
      </c>
      <c r="AG263" s="116">
        <f>+-AG21</f>
        <v>-95.696000000000026</v>
      </c>
      <c r="AH263" s="82">
        <f>SUM(AD263:AG263)</f>
        <v>-379.202</v>
      </c>
      <c r="AI263" s="136">
        <f>+-AI21</f>
        <v>-100.04300000000001</v>
      </c>
      <c r="AJ263" s="135">
        <f>+-AJ21</f>
        <v>-101.246</v>
      </c>
      <c r="AK263" s="135">
        <f>+-AK21</f>
        <v>-104.22799999999999</v>
      </c>
      <c r="AL263" s="116">
        <f>+-AL21</f>
        <v>-106.14999999999998</v>
      </c>
      <c r="AM263" s="82">
        <f>SUM(AI263:AL263)</f>
        <v>-411.66699999999997</v>
      </c>
      <c r="AN263" s="136">
        <f>+-AN21</f>
        <v>-108.881</v>
      </c>
      <c r="AO263" s="135">
        <f>+-AO21</f>
        <v>-109.90900000000001</v>
      </c>
      <c r="AP263" s="135">
        <f>+-AP21</f>
        <v>-111.803</v>
      </c>
      <c r="AQ263" s="116">
        <f>+-AQ21</f>
        <v>-112.96199999999999</v>
      </c>
      <c r="AR263" s="82">
        <f>SUM(AN263:AQ263)</f>
        <v>-443.55500000000001</v>
      </c>
      <c r="AS263" s="136">
        <f>+-AS21</f>
        <v>-114.994</v>
      </c>
      <c r="AT263" s="135">
        <f>+-AT21</f>
        <v>-117.51300000000001</v>
      </c>
      <c r="AU263" s="135">
        <f>+-AU21</f>
        <v>-118.289</v>
      </c>
      <c r="AV263" s="116">
        <f>+-AV21</f>
        <v>-120.71899999999999</v>
      </c>
      <c r="AW263" s="82">
        <f>SUM(AS263:AV263)</f>
        <v>-471.51499999999999</v>
      </c>
      <c r="AX263" s="136">
        <f>+-AX21</f>
        <v>-130.11413000000002</v>
      </c>
      <c r="AY263" s="135">
        <f>+-AY21</f>
        <v>-130.48989616193833</v>
      </c>
      <c r="AZ263" s="135">
        <f>+-AZ21</f>
        <v>-132.05999720031895</v>
      </c>
      <c r="BA263" s="116">
        <f>+-BA21</f>
        <v>-133.61439722831577</v>
      </c>
      <c r="BB263" s="82">
        <f>SUM(AX263:BA263)</f>
        <v>-526.27842059057309</v>
      </c>
      <c r="BC263" s="136">
        <f>+-BC21</f>
        <v>-131.77442192463178</v>
      </c>
      <c r="BD263" s="135">
        <f>+-BD21</f>
        <v>-137.19799222389958</v>
      </c>
      <c r="BE263" s="135">
        <f>+-BE21</f>
        <v>-138.34656179971654</v>
      </c>
      <c r="BF263" s="116">
        <f>+-BF21</f>
        <v>-139.48393282216929</v>
      </c>
      <c r="BG263" s="82">
        <f>SUM(BC263:BF263)</f>
        <v>-546.80290877041716</v>
      </c>
      <c r="BH263" s="136">
        <f>+-BH21</f>
        <v>-141.1351155751818</v>
      </c>
      <c r="BI263" s="135">
        <f>+-BI21</f>
        <v>-142.54905638648526</v>
      </c>
      <c r="BJ263" s="135">
        <f>+-BJ21</f>
        <v>-143.47828401332794</v>
      </c>
      <c r="BK263" s="116">
        <f>+-BK21</f>
        <v>-144.39841784973919</v>
      </c>
      <c r="BL263" s="82">
        <f>SUM(BH263:BK263)</f>
        <v>-571.56087382473424</v>
      </c>
      <c r="BM263" s="136">
        <f>+-BM21</f>
        <v>-144.97259414974653</v>
      </c>
      <c r="BN263" s="135">
        <f>+-BN21</f>
        <v>-145.02194978358096</v>
      </c>
      <c r="BO263" s="135">
        <f>+-BO21</f>
        <v>-146.41306324517637</v>
      </c>
      <c r="BP263" s="116">
        <f>+-BP21</f>
        <v>-147.79059428716332</v>
      </c>
      <c r="BQ263" s="82">
        <f>SUM(BM263:BP263)</f>
        <v>-584.19820146566713</v>
      </c>
      <c r="BR263" s="220"/>
      <c r="BS263" s="220"/>
      <c r="BT263" s="220"/>
      <c r="BU263" s="220"/>
      <c r="BV263" s="220"/>
      <c r="BW263" s="220"/>
      <c r="BX263" s="220"/>
      <c r="BY263" s="220"/>
      <c r="BZ263" s="220"/>
      <c r="CA263" s="220"/>
      <c r="CB263" s="220"/>
      <c r="CC263" s="220"/>
      <c r="CD263" s="220"/>
      <c r="CE263" s="220"/>
      <c r="CF263" s="220"/>
      <c r="CG263" s="220"/>
      <c r="CH263" s="220"/>
      <c r="CI263" s="220"/>
      <c r="CJ263" s="220"/>
      <c r="CK263" s="220"/>
      <c r="CL263" s="220"/>
      <c r="CM263" s="220"/>
      <c r="CN263" s="220"/>
      <c r="CO263" s="220"/>
      <c r="CP263" s="220"/>
      <c r="CQ263" s="220"/>
      <c r="CR263" s="220"/>
      <c r="CS263" s="220"/>
      <c r="CT263" s="220"/>
      <c r="CU263" s="220"/>
      <c r="CV263" s="220"/>
      <c r="CW263" s="220"/>
      <c r="CX263" s="220"/>
      <c r="CY263" s="220"/>
      <c r="CZ263" s="220"/>
    </row>
    <row r="264" spans="1:104" x14ac:dyDescent="0.2">
      <c r="A264" s="220"/>
      <c r="B264" s="220"/>
      <c r="C264" s="70" t="s">
        <v>303</v>
      </c>
      <c r="D264" s="82"/>
      <c r="E264" s="136">
        <f t="shared" ref="E264:M264" si="577">+-E201</f>
        <v>-53.408000000000001</v>
      </c>
      <c r="F264" s="135">
        <f t="shared" si="577"/>
        <v>-60.094999999999999</v>
      </c>
      <c r="G264" s="135">
        <f t="shared" si="577"/>
        <v>-53.333000000000013</v>
      </c>
      <c r="H264" s="116">
        <f t="shared" si="577"/>
        <v>-30.512</v>
      </c>
      <c r="I264" s="82">
        <f>SUM(E264:H264)</f>
        <v>-197.34800000000001</v>
      </c>
      <c r="J264" s="136">
        <f t="shared" si="577"/>
        <v>-36.988999999999997</v>
      </c>
      <c r="K264" s="135">
        <f t="shared" si="577"/>
        <v>-5.2560000000000002</v>
      </c>
      <c r="L264" s="135">
        <f t="shared" si="577"/>
        <v>-52.342999999999996</v>
      </c>
      <c r="M264" s="116">
        <f t="shared" si="577"/>
        <v>-60.272999999999996</v>
      </c>
      <c r="N264" s="82">
        <f>SUM(J264:M264)</f>
        <v>-154.86099999999999</v>
      </c>
      <c r="O264" s="136">
        <f>+-O201</f>
        <v>-47.171999999999997</v>
      </c>
      <c r="P264" s="135">
        <f>+-P201</f>
        <v>-41.894999999999996</v>
      </c>
      <c r="Q264" s="135">
        <f>+-Q201</f>
        <v>-94.851000000000013</v>
      </c>
      <c r="R264" s="116">
        <f>+-R201</f>
        <v>-42.637</v>
      </c>
      <c r="S264" s="82">
        <f>SUM(O264:R264)</f>
        <v>-226.55500000000001</v>
      </c>
      <c r="T264" s="136">
        <f t="shared" ref="T264:AL264" si="578">+-T201</f>
        <v>-49.182000000000002</v>
      </c>
      <c r="U264" s="135">
        <f>+-U201</f>
        <v>-67.852000000000004</v>
      </c>
      <c r="V264" s="135">
        <f>+-V201</f>
        <v>-62.219999999999985</v>
      </c>
      <c r="W264" s="116">
        <f>+-W201</f>
        <v>141.16199999999998</v>
      </c>
      <c r="X264" s="82">
        <f>SUM(T264:W264)</f>
        <v>-38.092000000000013</v>
      </c>
      <c r="Y264" s="136">
        <f t="shared" si="578"/>
        <v>-66.372</v>
      </c>
      <c r="Z264" s="135">
        <f t="shared" si="578"/>
        <v>-61.117999999999995</v>
      </c>
      <c r="AA264" s="135">
        <f t="shared" si="578"/>
        <v>-103.175</v>
      </c>
      <c r="AB264" s="116">
        <f t="shared" si="578"/>
        <v>-85.587999999999994</v>
      </c>
      <c r="AC264" s="82">
        <f>SUM(Y264:AB264)</f>
        <v>-316.25299999999999</v>
      </c>
      <c r="AD264" s="136">
        <f t="shared" si="578"/>
        <v>-41.863</v>
      </c>
      <c r="AE264" s="135">
        <f t="shared" si="578"/>
        <v>-23.861999999999995</v>
      </c>
      <c r="AF264" s="135">
        <f t="shared" si="578"/>
        <v>-54.86</v>
      </c>
      <c r="AG264" s="116">
        <f t="shared" si="578"/>
        <v>-107.23800000000001</v>
      </c>
      <c r="AH264" s="82">
        <f>SUM(AD264:AG264)</f>
        <v>-227.82300000000001</v>
      </c>
      <c r="AI264" s="136">
        <f>+-AI201</f>
        <v>-37.771000000000001</v>
      </c>
      <c r="AJ264" s="135">
        <f>+-AJ201</f>
        <v>-50.647000000000006</v>
      </c>
      <c r="AK264" s="135">
        <f t="shared" si="578"/>
        <v>-96.793999999999983</v>
      </c>
      <c r="AL264" s="116">
        <f t="shared" si="578"/>
        <v>-92.684000000000026</v>
      </c>
      <c r="AM264" s="82">
        <f>SUM(AI264:AL264)</f>
        <v>-277.89600000000002</v>
      </c>
      <c r="AN264" s="136">
        <f>+-AN201</f>
        <v>-64.561999999999998</v>
      </c>
      <c r="AO264" s="135">
        <f>+-AO201</f>
        <v>-62.234000000000009</v>
      </c>
      <c r="AP264" s="135">
        <f>+-AP201</f>
        <v>-75.802999999999983</v>
      </c>
      <c r="AQ264" s="116">
        <f>+-AQ201</f>
        <v>-19.40300000000002</v>
      </c>
      <c r="AR264" s="82">
        <f>SUM(AN264:AQ264)</f>
        <v>-222.00200000000001</v>
      </c>
      <c r="AS264" s="136">
        <f>+-AS201</f>
        <v>-61.725999999999999</v>
      </c>
      <c r="AT264" s="135">
        <f>+-AT201</f>
        <v>-64.525999999999996</v>
      </c>
      <c r="AU264" s="135">
        <f>+-AU201</f>
        <v>-96.869000000000014</v>
      </c>
      <c r="AV264" s="116">
        <f>+-AV201</f>
        <v>15.304000000000002</v>
      </c>
      <c r="AW264" s="82">
        <f>SUM(AS264:AV264)</f>
        <v>-207.81700000000001</v>
      </c>
      <c r="AX264" s="136">
        <f>+-AX201</f>
        <v>-37.399516235426645</v>
      </c>
      <c r="AY264" s="135">
        <f>+-AY201</f>
        <v>-29.678782053140825</v>
      </c>
      <c r="AZ264" s="135">
        <f>+-AZ201</f>
        <v>-53.698850212163258</v>
      </c>
      <c r="BA264" s="116">
        <f>+-BA201</f>
        <v>-23.814211446855882</v>
      </c>
      <c r="BB264" s="82">
        <f>SUM(AX264:BA264)</f>
        <v>-144.59135994758662</v>
      </c>
      <c r="BC264" s="136">
        <f>+-BC201</f>
        <v>-39.706518793447714</v>
      </c>
      <c r="BD264" s="135">
        <f>+-BD201</f>
        <v>-29.724336223622913</v>
      </c>
      <c r="BE264" s="135">
        <f>+-BE201</f>
        <v>-55.516652327671281</v>
      </c>
      <c r="BF264" s="116">
        <f>+-BF201</f>
        <v>-25.501521308072761</v>
      </c>
      <c r="BG264" s="82">
        <f>SUM(BC264:BF264)</f>
        <v>-150.44902865281466</v>
      </c>
      <c r="BH264" s="136">
        <f>+-BH201</f>
        <v>-42.113939052493784</v>
      </c>
      <c r="BI264" s="135">
        <f>+-BI201</f>
        <v>-30.972564114661814</v>
      </c>
      <c r="BJ264" s="135">
        <f>+-BJ201</f>
        <v>-56.621339501145499</v>
      </c>
      <c r="BK264" s="116">
        <f>+-BK201</f>
        <v>-27.534969984304961</v>
      </c>
      <c r="BL264" s="82">
        <f>SUM(BH264:BK264)</f>
        <v>-157.24281265260606</v>
      </c>
      <c r="BM264" s="136">
        <f>+-BM201</f>
        <v>-45.338312473868143</v>
      </c>
      <c r="BN264" s="135">
        <f>+-BN201</f>
        <v>-32.798651754074655</v>
      </c>
      <c r="BO264" s="135">
        <f>+-BO201</f>
        <v>-58.833620254973141</v>
      </c>
      <c r="BP264" s="116">
        <f>+-BP201</f>
        <v>-29.896777913181218</v>
      </c>
      <c r="BQ264" s="82">
        <f>SUM(BM264:BP264)</f>
        <v>-166.86736239609715</v>
      </c>
      <c r="BR264" s="220"/>
      <c r="BS264" s="220"/>
      <c r="BT264" s="220"/>
      <c r="BU264" s="220"/>
      <c r="BV264" s="220"/>
      <c r="BW264" s="220"/>
      <c r="BX264" s="220"/>
      <c r="BY264" s="220"/>
      <c r="BZ264" s="220"/>
      <c r="CA264" s="220"/>
      <c r="CB264" s="220"/>
      <c r="CC264" s="220"/>
      <c r="CD264" s="220"/>
      <c r="CE264" s="220"/>
      <c r="CF264" s="220"/>
      <c r="CG264" s="220"/>
      <c r="CH264" s="220"/>
      <c r="CI264" s="220"/>
      <c r="CJ264" s="220"/>
      <c r="CK264" s="220"/>
      <c r="CL264" s="220"/>
      <c r="CM264" s="220"/>
      <c r="CN264" s="220"/>
      <c r="CO264" s="220"/>
      <c r="CP264" s="220"/>
      <c r="CQ264" s="220"/>
      <c r="CR264" s="220"/>
      <c r="CS264" s="220"/>
      <c r="CT264" s="220"/>
      <c r="CU264" s="220"/>
      <c r="CV264" s="220"/>
      <c r="CW264" s="220"/>
      <c r="CX264" s="220"/>
      <c r="CY264" s="220"/>
      <c r="CZ264" s="220"/>
    </row>
    <row r="265" spans="1:104" x14ac:dyDescent="0.2">
      <c r="A265" s="220"/>
      <c r="B265" s="220"/>
      <c r="C265" s="70" t="s">
        <v>304</v>
      </c>
      <c r="D265" s="82"/>
      <c r="E265" s="148">
        <v>0</v>
      </c>
      <c r="F265" s="149">
        <v>0</v>
      </c>
      <c r="G265" s="149">
        <v>0</v>
      </c>
      <c r="H265" s="150">
        <v>0</v>
      </c>
      <c r="I265" s="82">
        <f>SUM(E265:H265)</f>
        <v>0</v>
      </c>
      <c r="J265" s="148">
        <v>0</v>
      </c>
      <c r="K265" s="149">
        <v>0</v>
      </c>
      <c r="L265" s="149">
        <v>0</v>
      </c>
      <c r="M265" s="150">
        <v>0</v>
      </c>
      <c r="N265" s="82">
        <f>SUM(J265:M265)</f>
        <v>0</v>
      </c>
      <c r="O265" s="148">
        <v>0</v>
      </c>
      <c r="P265" s="149">
        <v>0</v>
      </c>
      <c r="Q265" s="149">
        <v>0</v>
      </c>
      <c r="R265" s="150">
        <v>0</v>
      </c>
      <c r="S265" s="82">
        <f>SUM(O265:R265)</f>
        <v>0</v>
      </c>
      <c r="T265" s="148">
        <v>0</v>
      </c>
      <c r="U265" s="149">
        <v>0</v>
      </c>
      <c r="V265" s="149">
        <v>0</v>
      </c>
      <c r="W265" s="150">
        <v>0</v>
      </c>
      <c r="X265" s="860">
        <v>-341</v>
      </c>
      <c r="Y265" s="148">
        <v>0</v>
      </c>
      <c r="Z265" s="149">
        <v>0</v>
      </c>
      <c r="AA265" s="149">
        <v>0</v>
      </c>
      <c r="AB265" s="150">
        <v>0</v>
      </c>
      <c r="AC265" s="860">
        <v>368</v>
      </c>
      <c r="AD265" s="148">
        <v>0</v>
      </c>
      <c r="AE265" s="149">
        <v>0</v>
      </c>
      <c r="AF265" s="149">
        <v>0</v>
      </c>
      <c r="AG265" s="150">
        <v>0</v>
      </c>
      <c r="AH265" s="860">
        <v>-131</v>
      </c>
      <c r="AI265" s="148">
        <v>0</v>
      </c>
      <c r="AJ265" s="149">
        <v>0</v>
      </c>
      <c r="AK265" s="149">
        <v>0</v>
      </c>
      <c r="AL265" s="150">
        <v>0</v>
      </c>
      <c r="AM265" s="860">
        <v>163</v>
      </c>
      <c r="AN265" s="911">
        <f>AR265/4</f>
        <v>-9</v>
      </c>
      <c r="AO265" s="891">
        <f>AR265/4</f>
        <v>-9</v>
      </c>
      <c r="AP265" s="149">
        <v>0</v>
      </c>
      <c r="AQ265" s="892">
        <f>AR265/4</f>
        <v>-9</v>
      </c>
      <c r="AR265" s="910">
        <v>-36</v>
      </c>
      <c r="AS265" s="867">
        <f>AW265/4</f>
        <v>-34.75</v>
      </c>
      <c r="AT265" s="883">
        <f>AW265/4</f>
        <v>-34.75</v>
      </c>
      <c r="AU265" s="883">
        <f>AW265/4</f>
        <v>-34.75</v>
      </c>
      <c r="AV265" s="849">
        <f>AW265/4</f>
        <v>-34.75</v>
      </c>
      <c r="AW265" s="860">
        <v>-139</v>
      </c>
      <c r="AX265" s="867">
        <f>BB265/4</f>
        <v>56.75</v>
      </c>
      <c r="AY265" s="883">
        <f>BB265/4</f>
        <v>56.75</v>
      </c>
      <c r="AZ265" s="883">
        <f>BB265/4</f>
        <v>56.75</v>
      </c>
      <c r="BA265" s="849">
        <f>BB265/4</f>
        <v>56.75</v>
      </c>
      <c r="BB265" s="860">
        <v>227</v>
      </c>
      <c r="BC265" s="867">
        <f>BG265/4</f>
        <v>110</v>
      </c>
      <c r="BD265" s="883">
        <f>BG265/4</f>
        <v>110</v>
      </c>
      <c r="BE265" s="883">
        <f>BG265/4</f>
        <v>110</v>
      </c>
      <c r="BF265" s="849">
        <f>BG265/4</f>
        <v>110</v>
      </c>
      <c r="BG265" s="860">
        <v>440</v>
      </c>
      <c r="BH265" s="867">
        <f>BL265/4</f>
        <v>148.25</v>
      </c>
      <c r="BI265" s="883">
        <f>BL265/4</f>
        <v>148.25</v>
      </c>
      <c r="BJ265" s="883">
        <f>BL265/4</f>
        <v>148.25</v>
      </c>
      <c r="BK265" s="849">
        <f>BL265/4</f>
        <v>148.25</v>
      </c>
      <c r="BL265" s="860">
        <v>593</v>
      </c>
      <c r="BM265" s="867">
        <f>BQ265/4</f>
        <v>118</v>
      </c>
      <c r="BN265" s="883">
        <f>BQ265/4</f>
        <v>118</v>
      </c>
      <c r="BO265" s="883">
        <f>BQ265/4</f>
        <v>118</v>
      </c>
      <c r="BP265" s="849">
        <f>BQ265/4</f>
        <v>118</v>
      </c>
      <c r="BQ265" s="860">
        <v>472</v>
      </c>
      <c r="BR265" s="34"/>
      <c r="BS265" s="220"/>
      <c r="BT265" s="220"/>
      <c r="BU265" s="220"/>
      <c r="BV265" s="220"/>
      <c r="BW265" s="220"/>
      <c r="BX265" s="220"/>
      <c r="BY265" s="220"/>
      <c r="BZ265" s="220"/>
      <c r="CA265" s="220"/>
      <c r="CB265" s="220"/>
      <c r="CC265" s="220"/>
      <c r="CD265" s="220"/>
      <c r="CE265" s="220"/>
      <c r="CF265" s="220"/>
      <c r="CG265" s="220"/>
      <c r="CH265" s="220"/>
      <c r="CI265" s="220"/>
      <c r="CJ265" s="220"/>
      <c r="CK265" s="220"/>
      <c r="CL265" s="220"/>
      <c r="CM265" s="220"/>
      <c r="CN265" s="220"/>
      <c r="CO265" s="220"/>
      <c r="CP265" s="220"/>
      <c r="CQ265" s="220"/>
      <c r="CR265" s="220"/>
      <c r="CS265" s="220"/>
      <c r="CT265" s="220"/>
      <c r="CU265" s="220"/>
      <c r="CV265" s="220"/>
      <c r="CW265" s="220"/>
      <c r="CX265" s="220"/>
      <c r="CY265" s="220"/>
      <c r="CZ265" s="220"/>
    </row>
    <row r="266" spans="1:104" x14ac:dyDescent="0.2">
      <c r="A266" s="220"/>
      <c r="B266" s="220"/>
      <c r="C266" s="141" t="s">
        <v>305</v>
      </c>
      <c r="D266" s="82"/>
      <c r="E266" s="121">
        <f>SUM(E261:E265)</f>
        <v>6065.2219999999998</v>
      </c>
      <c r="F266" s="130">
        <f>SUM(F261:F265)</f>
        <v>6115.2509999999993</v>
      </c>
      <c r="G266" s="122">
        <f>SUM(G261:G265)</f>
        <v>6130.7749999999996</v>
      </c>
      <c r="H266" s="123">
        <f>SUM(H261:H265)</f>
        <v>6222.0110000000004</v>
      </c>
      <c r="I266" s="86">
        <f>H266</f>
        <v>6222.0110000000004</v>
      </c>
      <c r="J266" s="121">
        <f>SUM(J261:J265)</f>
        <v>6233.9460000000008</v>
      </c>
      <c r="K266" s="130">
        <f>SUM(K261:K265)</f>
        <v>6266.1470000000008</v>
      </c>
      <c r="L266" s="122">
        <f>SUM(L261:L265)</f>
        <v>6301.6020000000008</v>
      </c>
      <c r="M266" s="123">
        <f>SUM(M261:M265)</f>
        <v>7054.7570000000005</v>
      </c>
      <c r="N266" s="86">
        <f>M266</f>
        <v>7054.7570000000005</v>
      </c>
      <c r="O266" s="121">
        <f t="shared" ref="O266:AM266" si="579">SUM(O261:O265)</f>
        <v>7043.6070000000009</v>
      </c>
      <c r="P266" s="122">
        <f t="shared" si="579"/>
        <v>7083.7260000000006</v>
      </c>
      <c r="Q266" s="122">
        <f t="shared" si="579"/>
        <v>7100.8910000000014</v>
      </c>
      <c r="R266" s="123">
        <f t="shared" si="579"/>
        <v>7226.4500000000025</v>
      </c>
      <c r="S266" s="86">
        <f t="shared" si="579"/>
        <v>7226.45</v>
      </c>
      <c r="T266" s="121">
        <f t="shared" si="579"/>
        <v>7246.0990000000002</v>
      </c>
      <c r="U266" s="122">
        <f t="shared" si="579"/>
        <v>7328.3520000000008</v>
      </c>
      <c r="V266" s="122">
        <f t="shared" si="579"/>
        <v>7407.8600000000006</v>
      </c>
      <c r="W266" s="123">
        <f>SUM(W261:W265)</f>
        <v>7722.9140000000016</v>
      </c>
      <c r="X266" s="86">
        <f>SUM(X261:X265)</f>
        <v>7381.9139999999998</v>
      </c>
      <c r="Y266" s="121">
        <f t="shared" si="579"/>
        <v>7452.94</v>
      </c>
      <c r="Z266" s="122">
        <f t="shared" si="579"/>
        <v>7573.4209999999994</v>
      </c>
      <c r="AA266" s="122">
        <f t="shared" si="579"/>
        <v>7626.8649999999989</v>
      </c>
      <c r="AB266" s="123">
        <f t="shared" si="579"/>
        <v>7771.9439999999986</v>
      </c>
      <c r="AC266" s="86">
        <f t="shared" si="579"/>
        <v>8139.9439999999995</v>
      </c>
      <c r="AD266" s="121">
        <f t="shared" si="579"/>
        <v>8303.8509999999987</v>
      </c>
      <c r="AE266" s="122">
        <f t="shared" si="579"/>
        <v>8459.1890000000003</v>
      </c>
      <c r="AF266" s="122">
        <f t="shared" si="579"/>
        <v>8568.1229999999996</v>
      </c>
      <c r="AG266" s="123">
        <f t="shared" si="579"/>
        <v>8647.2569999999996</v>
      </c>
      <c r="AH266" s="1002">
        <f t="shared" ref="AH266" si="580">SUM(AH261:AH265)</f>
        <v>8516.2569999999996</v>
      </c>
      <c r="AI266" s="121">
        <f>SUM(AI261:AI265)</f>
        <v>8619.6369999999988</v>
      </c>
      <c r="AJ266" s="122">
        <f>SUM(AJ261:AJ265)</f>
        <v>8680.739999999998</v>
      </c>
      <c r="AK266" s="122">
        <f t="shared" si="579"/>
        <v>8693.9089999999997</v>
      </c>
      <c r="AL266" s="123">
        <f t="shared" si="579"/>
        <v>8822.2910000000011</v>
      </c>
      <c r="AM266" s="86">
        <f t="shared" si="579"/>
        <v>8985.2909999999993</v>
      </c>
      <c r="AN266" s="121">
        <f>SUM(AN261:AN265)</f>
        <v>9041.4830000000002</v>
      </c>
      <c r="AO266" s="122">
        <f t="shared" ref="AO266:AW266" si="581">SUM(AO261:AO265)</f>
        <v>9145.7910000000011</v>
      </c>
      <c r="AP266" s="122">
        <f t="shared" si="581"/>
        <v>9236.1500000000015</v>
      </c>
      <c r="AQ266" s="123">
        <f t="shared" si="581"/>
        <v>9406.5340000000015</v>
      </c>
      <c r="AR266" s="86">
        <f t="shared" si="581"/>
        <v>9397.5339999999978</v>
      </c>
      <c r="AS266" s="121">
        <f t="shared" si="581"/>
        <v>9458.9909999999963</v>
      </c>
      <c r="AT266" s="122">
        <f t="shared" si="581"/>
        <v>9578.6439999999966</v>
      </c>
      <c r="AU266" s="122">
        <f t="shared" si="581"/>
        <v>9715.046999999995</v>
      </c>
      <c r="AV266" s="123">
        <f t="shared" si="581"/>
        <v>10054.898999999996</v>
      </c>
      <c r="AW266" s="86">
        <f t="shared" si="581"/>
        <v>10054.898999999998</v>
      </c>
      <c r="AX266" s="121">
        <f t="shared" ref="AX266:BG266" si="582">SUM(AX261:AX265)</f>
        <v>10231.635353764572</v>
      </c>
      <c r="AY266" s="122">
        <f t="shared" si="582"/>
        <v>10415.716675549493</v>
      </c>
      <c r="AZ266" s="122">
        <f t="shared" si="582"/>
        <v>10574.20782813701</v>
      </c>
      <c r="BA266" s="123">
        <f t="shared" si="582"/>
        <v>10761.02921946184</v>
      </c>
      <c r="BB266" s="86">
        <f t="shared" si="582"/>
        <v>10761.029219461838</v>
      </c>
      <c r="BC266" s="121">
        <f t="shared" si="582"/>
        <v>10954.548278743758</v>
      </c>
      <c r="BD266" s="122">
        <f t="shared" si="582"/>
        <v>11152.625950296237</v>
      </c>
      <c r="BE266" s="122">
        <f t="shared" si="582"/>
        <v>11323.762736168848</v>
      </c>
      <c r="BF266" s="123">
        <f t="shared" si="582"/>
        <v>11523.777282038605</v>
      </c>
      <c r="BG266" s="86">
        <f t="shared" si="582"/>
        <v>11523.777282038607</v>
      </c>
      <c r="BH266" s="121">
        <f t="shared" ref="BH266:BQ266" si="583">SUM(BH261:BH265)</f>
        <v>11726.278227410932</v>
      </c>
      <c r="BI266" s="122">
        <f t="shared" si="583"/>
        <v>11938.506606909785</v>
      </c>
      <c r="BJ266" s="122">
        <f t="shared" si="583"/>
        <v>12124.156983395311</v>
      </c>
      <c r="BK266" s="123">
        <f t="shared" si="583"/>
        <v>12337.973595561267</v>
      </c>
      <c r="BL266" s="86">
        <f t="shared" si="583"/>
        <v>12337.973595561267</v>
      </c>
      <c r="BM266" s="121">
        <f t="shared" si="583"/>
        <v>12553.162688937651</v>
      </c>
      <c r="BN266" s="122">
        <f t="shared" si="583"/>
        <v>12780.842087399997</v>
      </c>
      <c r="BO266" s="122">
        <f t="shared" si="583"/>
        <v>12981.095403899848</v>
      </c>
      <c r="BP266" s="123">
        <f t="shared" si="583"/>
        <v>13208.908031699502</v>
      </c>
      <c r="BQ266" s="86">
        <f t="shared" si="583"/>
        <v>13208.908031699502</v>
      </c>
      <c r="BR266" s="220"/>
      <c r="BS266" s="220"/>
      <c r="BT266" s="220"/>
      <c r="BU266" s="220"/>
      <c r="BV266" s="220"/>
      <c r="BW266" s="220"/>
      <c r="BX266" s="220"/>
      <c r="BY266" s="220"/>
      <c r="BZ266" s="220"/>
      <c r="CA266" s="220"/>
      <c r="CB266" s="220"/>
      <c r="CC266" s="220"/>
      <c r="CD266" s="220"/>
      <c r="CE266" s="220"/>
      <c r="CF266" s="220"/>
      <c r="CG266" s="220"/>
      <c r="CH266" s="220"/>
      <c r="CI266" s="220"/>
      <c r="CJ266" s="220"/>
      <c r="CK266" s="220"/>
      <c r="CL266" s="220"/>
      <c r="CM266" s="220"/>
      <c r="CN266" s="220"/>
      <c r="CO266" s="220"/>
      <c r="CP266" s="220"/>
      <c r="CQ266" s="220"/>
      <c r="CR266" s="220"/>
      <c r="CS266" s="220"/>
      <c r="CT266" s="220"/>
      <c r="CU266" s="220"/>
      <c r="CV266" s="220"/>
      <c r="CW266" s="220"/>
      <c r="CX266" s="220"/>
      <c r="CY266" s="220"/>
      <c r="CZ266" s="220"/>
    </row>
    <row r="267" spans="1:104" x14ac:dyDescent="0.2">
      <c r="A267" s="220"/>
      <c r="B267" s="220"/>
      <c r="C267" s="141"/>
      <c r="D267" s="82"/>
      <c r="E267" s="121"/>
      <c r="F267" s="130"/>
      <c r="G267" s="122"/>
      <c r="H267" s="123"/>
      <c r="I267" s="86"/>
      <c r="J267" s="121"/>
      <c r="K267" s="130"/>
      <c r="L267" s="122"/>
      <c r="M267" s="123"/>
      <c r="N267" s="86"/>
      <c r="O267" s="121"/>
      <c r="P267" s="122"/>
      <c r="Q267" s="122"/>
      <c r="R267" s="123"/>
      <c r="S267" s="86"/>
      <c r="T267" s="121"/>
      <c r="U267" s="122"/>
      <c r="V267" s="122"/>
      <c r="W267" s="123"/>
      <c r="X267" s="86"/>
      <c r="Y267" s="121"/>
      <c r="Z267" s="122"/>
      <c r="AA267" s="122"/>
      <c r="AB267" s="123"/>
      <c r="AC267" s="86"/>
      <c r="AD267" s="121"/>
      <c r="AE267" s="122"/>
      <c r="AF267" s="122"/>
      <c r="AG267" s="123"/>
      <c r="AH267" s="86"/>
      <c r="AI267" s="121"/>
      <c r="AJ267" s="122"/>
      <c r="AK267" s="122"/>
      <c r="AL267" s="123"/>
      <c r="AM267" s="86"/>
      <c r="AN267" s="121"/>
      <c r="AO267" s="122"/>
      <c r="AP267" s="122"/>
      <c r="AQ267" s="123"/>
      <c r="AR267" s="86"/>
      <c r="AS267" s="121"/>
      <c r="AT267" s="122"/>
      <c r="AU267" s="122"/>
      <c r="AV267" s="123"/>
      <c r="AW267" s="86"/>
      <c r="AX267" s="121"/>
      <c r="AY267" s="122"/>
      <c r="AZ267" s="122"/>
      <c r="BA267" s="123"/>
      <c r="BB267" s="86"/>
      <c r="BC267" s="121"/>
      <c r="BD267" s="122"/>
      <c r="BE267" s="122"/>
      <c r="BF267" s="123"/>
      <c r="BG267" s="86"/>
      <c r="BH267" s="121"/>
      <c r="BI267" s="122"/>
      <c r="BJ267" s="122"/>
      <c r="BK267" s="123"/>
      <c r="BL267" s="86"/>
      <c r="BM267" s="121"/>
      <c r="BN267" s="122"/>
      <c r="BO267" s="122"/>
      <c r="BP267" s="123"/>
      <c r="BQ267" s="86"/>
      <c r="BR267" s="220"/>
      <c r="BS267" s="220"/>
      <c r="BT267" s="220"/>
      <c r="BU267" s="220"/>
      <c r="BV267" s="220"/>
      <c r="BW267" s="220"/>
      <c r="BX267" s="220"/>
      <c r="BY267" s="220"/>
      <c r="BZ267" s="220"/>
      <c r="CA267" s="220"/>
      <c r="CB267" s="220"/>
      <c r="CC267" s="220"/>
      <c r="CD267" s="220"/>
      <c r="CE267" s="220"/>
      <c r="CF267" s="220"/>
      <c r="CG267" s="220"/>
      <c r="CH267" s="220"/>
      <c r="CI267" s="220"/>
      <c r="CJ267" s="220"/>
      <c r="CK267" s="220"/>
      <c r="CL267" s="220"/>
      <c r="CM267" s="220"/>
      <c r="CN267" s="220"/>
      <c r="CO267" s="220"/>
      <c r="CP267" s="220"/>
      <c r="CQ267" s="220"/>
      <c r="CR267" s="220"/>
      <c r="CS267" s="220"/>
      <c r="CT267" s="220"/>
      <c r="CU267" s="220"/>
      <c r="CV267" s="220"/>
      <c r="CW267" s="220"/>
      <c r="CX267" s="220"/>
      <c r="CY267" s="220"/>
      <c r="CZ267" s="220"/>
    </row>
    <row r="268" spans="1:104" x14ac:dyDescent="0.2">
      <c r="A268" s="220"/>
      <c r="B268" s="220"/>
      <c r="C268" s="141" t="s">
        <v>517</v>
      </c>
      <c r="D268" s="220"/>
      <c r="E268" s="136">
        <f>AVERAGE(E261,H266)</f>
        <v>6135.0055000000002</v>
      </c>
      <c r="F268" s="137"/>
      <c r="G268" s="137"/>
      <c r="H268" s="116"/>
      <c r="I268" s="86">
        <f>AVERAGE(I266,I261)</f>
        <v>6135.0055000000002</v>
      </c>
      <c r="J268" s="136">
        <f>AVERAGE(J261,M266)</f>
        <v>6638.384</v>
      </c>
      <c r="K268" s="137"/>
      <c r="L268" s="137"/>
      <c r="M268" s="116"/>
      <c r="N268" s="86">
        <f>AVERAGE(N266,N261)</f>
        <v>6638.384</v>
      </c>
      <c r="O268" s="136"/>
      <c r="P268" s="137"/>
      <c r="Q268" s="137"/>
      <c r="R268" s="116"/>
      <c r="S268" s="86">
        <f>AVERAGE(S266,S261)</f>
        <v>7140.6035000000002</v>
      </c>
      <c r="T268" s="136"/>
      <c r="U268" s="137"/>
      <c r="V268" s="137"/>
      <c r="W268" s="116"/>
      <c r="X268" s="86">
        <f>AVERAGE(X266,X261)</f>
        <v>7304.1819999999998</v>
      </c>
      <c r="Y268" s="136"/>
      <c r="Z268" s="137"/>
      <c r="AA268" s="137"/>
      <c r="AB268" s="116"/>
      <c r="AC268" s="86">
        <f>AVERAGE(AC266,AC261)</f>
        <v>7760.9290000000001</v>
      </c>
      <c r="AD268" s="136"/>
      <c r="AE268" s="137"/>
      <c r="AF268" s="137"/>
      <c r="AG268" s="116"/>
      <c r="AH268" s="859">
        <v>8427</v>
      </c>
      <c r="AI268" s="136"/>
      <c r="AJ268" s="137"/>
      <c r="AK268" s="137"/>
      <c r="AL268" s="116"/>
      <c r="AM268" s="86">
        <f>AVERAGE(AM266,AM261)</f>
        <v>8750.7739999999994</v>
      </c>
      <c r="AN268" s="136"/>
      <c r="AO268" s="137"/>
      <c r="AP268" s="137"/>
      <c r="AQ268" s="116"/>
      <c r="AR268" s="86">
        <f>AVERAGE(AR266,AR261)</f>
        <v>9191.4124999999985</v>
      </c>
      <c r="AS268" s="136"/>
      <c r="AT268" s="137"/>
      <c r="AU268" s="137"/>
      <c r="AV268" s="116"/>
      <c r="AW268" s="86">
        <f>AVERAGE(AW266,AW261)</f>
        <v>9726.2164999999986</v>
      </c>
      <c r="AX268" s="136"/>
      <c r="AY268" s="137"/>
      <c r="AZ268" s="137"/>
      <c r="BA268" s="116"/>
      <c r="BB268" s="86">
        <f>AVERAGE(BB266,BB261)</f>
        <v>10407.964109730918</v>
      </c>
      <c r="BC268" s="136"/>
      <c r="BD268" s="137"/>
      <c r="BE268" s="137"/>
      <c r="BF268" s="116"/>
      <c r="BG268" s="86">
        <f>AVERAGE(BG266,BG261)</f>
        <v>11142.403250750223</v>
      </c>
      <c r="BH268" s="136"/>
      <c r="BI268" s="137"/>
      <c r="BJ268" s="137"/>
      <c r="BK268" s="116"/>
      <c r="BL268" s="86">
        <f>AVERAGE(BL266,BL261)</f>
        <v>11930.875438799936</v>
      </c>
      <c r="BM268" s="136"/>
      <c r="BN268" s="137"/>
      <c r="BO268" s="137"/>
      <c r="BP268" s="116"/>
      <c r="BQ268" s="86">
        <f>AVERAGE(BQ266,BQ261)</f>
        <v>12773.440813630385</v>
      </c>
      <c r="BR268" s="220"/>
      <c r="BS268" s="220"/>
      <c r="BT268" s="220"/>
      <c r="BU268" s="220"/>
      <c r="BV268" s="220"/>
      <c r="BW268" s="220"/>
      <c r="BX268" s="220"/>
      <c r="BY268" s="220"/>
      <c r="BZ268" s="220"/>
      <c r="CA268" s="220"/>
      <c r="CB268" s="220"/>
      <c r="CC268" s="220"/>
      <c r="CD268" s="220"/>
      <c r="CE268" s="220"/>
      <c r="CF268" s="220"/>
      <c r="CG268" s="220"/>
      <c r="CH268" s="220"/>
      <c r="CI268" s="220"/>
      <c r="CJ268" s="220"/>
      <c r="CK268" s="220"/>
      <c r="CL268" s="220"/>
      <c r="CM268" s="220"/>
      <c r="CN268" s="220"/>
      <c r="CO268" s="220"/>
      <c r="CP268" s="220"/>
      <c r="CQ268" s="220"/>
      <c r="CR268" s="220"/>
      <c r="CS268" s="220"/>
      <c r="CT268" s="220"/>
      <c r="CU268" s="220"/>
      <c r="CV268" s="220"/>
      <c r="CW268" s="220"/>
      <c r="CX268" s="220"/>
      <c r="CY268" s="220"/>
      <c r="CZ268" s="220"/>
    </row>
    <row r="269" spans="1:104" x14ac:dyDescent="0.2">
      <c r="A269" s="220"/>
      <c r="B269" s="220"/>
      <c r="C269" s="1001" t="s">
        <v>677</v>
      </c>
      <c r="D269" s="220"/>
      <c r="E269" s="136"/>
      <c r="F269" s="137"/>
      <c r="G269" s="137"/>
      <c r="H269" s="116"/>
      <c r="I269" s="86"/>
      <c r="J269" s="136"/>
      <c r="K269" s="137"/>
      <c r="L269" s="137"/>
      <c r="M269" s="116"/>
      <c r="N269" s="86"/>
      <c r="O269" s="136"/>
      <c r="P269" s="137"/>
      <c r="Q269" s="137"/>
      <c r="R269" s="116"/>
      <c r="S269" s="86"/>
      <c r="T269" s="136"/>
      <c r="U269" s="137"/>
      <c r="V269" s="137"/>
      <c r="W269" s="116"/>
      <c r="X269" s="86"/>
      <c r="Y269" s="136"/>
      <c r="Z269" s="137"/>
      <c r="AA269" s="137"/>
      <c r="AB269" s="116"/>
      <c r="AC269" s="86"/>
      <c r="AD269" s="136"/>
      <c r="AE269" s="137"/>
      <c r="AF269" s="137"/>
      <c r="AG269" s="116"/>
      <c r="AH269" s="859"/>
      <c r="AI269" s="136"/>
      <c r="AJ269" s="137"/>
      <c r="AK269" s="137"/>
      <c r="AL269" s="116"/>
      <c r="AM269" s="86"/>
      <c r="AN269" s="136"/>
      <c r="AO269" s="137"/>
      <c r="AP269" s="137"/>
      <c r="AQ269" s="116"/>
      <c r="AR269" s="86"/>
      <c r="AS269" s="136"/>
      <c r="AT269" s="137"/>
      <c r="AU269" s="137"/>
      <c r="AV269" s="116"/>
      <c r="AW269" s="859">
        <f>AR266*1.045</f>
        <v>9820.4230299999963</v>
      </c>
      <c r="AX269" s="136"/>
      <c r="AY269" s="137"/>
      <c r="AZ269" s="137"/>
      <c r="BA269" s="116"/>
      <c r="BB269" s="859">
        <f>AW269*1.045</f>
        <v>10262.342066349995</v>
      </c>
      <c r="BC269" s="136"/>
      <c r="BD269" s="137"/>
      <c r="BE269" s="137"/>
      <c r="BF269" s="116"/>
      <c r="BG269" s="859">
        <f>BB269*1.045</f>
        <v>10724.147459335743</v>
      </c>
      <c r="BH269" s="136"/>
      <c r="BI269" s="137"/>
      <c r="BJ269" s="137"/>
      <c r="BK269" s="116"/>
      <c r="BL269" s="859">
        <f>BG269*1.045</f>
        <v>11206.734095005851</v>
      </c>
      <c r="BM269" s="136"/>
      <c r="BN269" s="137"/>
      <c r="BO269" s="137"/>
      <c r="BP269" s="116"/>
      <c r="BQ269" s="859">
        <f>BL269*1.045</f>
        <v>11711.037129281114</v>
      </c>
      <c r="BR269" s="220"/>
      <c r="BS269" s="220"/>
      <c r="BT269" s="220"/>
      <c r="BU269" s="220"/>
      <c r="BV269" s="220"/>
      <c r="BW269" s="220"/>
      <c r="BX269" s="220"/>
      <c r="BY269" s="220"/>
      <c r="BZ269" s="220"/>
      <c r="CA269" s="220"/>
      <c r="CB269" s="220"/>
      <c r="CC269" s="220"/>
      <c r="CD269" s="220"/>
      <c r="CE269" s="220"/>
      <c r="CF269" s="220"/>
      <c r="CG269" s="220"/>
      <c r="CH269" s="220"/>
      <c r="CI269" s="220"/>
      <c r="CJ269" s="220"/>
      <c r="CK269" s="220"/>
      <c r="CL269" s="220"/>
      <c r="CM269" s="220"/>
      <c r="CN269" s="220"/>
      <c r="CO269" s="220"/>
      <c r="CP269" s="220"/>
      <c r="CQ269" s="220"/>
      <c r="CR269" s="220"/>
      <c r="CS269" s="220"/>
      <c r="CT269" s="220"/>
      <c r="CU269" s="220"/>
      <c r="CV269" s="220"/>
      <c r="CW269" s="220"/>
      <c r="CX269" s="220"/>
      <c r="CY269" s="220"/>
      <c r="CZ269" s="220"/>
    </row>
    <row r="270" spans="1:104" x14ac:dyDescent="0.2">
      <c r="A270" s="220"/>
      <c r="B270" s="220"/>
      <c r="C270" s="1001" t="s">
        <v>678</v>
      </c>
      <c r="D270" s="220"/>
      <c r="E270" s="136"/>
      <c r="F270" s="137"/>
      <c r="G270" s="137"/>
      <c r="H270" s="116"/>
      <c r="I270" s="86"/>
      <c r="J270" s="136"/>
      <c r="K270" s="137"/>
      <c r="L270" s="137"/>
      <c r="M270" s="116"/>
      <c r="N270" s="86"/>
      <c r="O270" s="136"/>
      <c r="P270" s="137"/>
      <c r="Q270" s="137"/>
      <c r="R270" s="116"/>
      <c r="S270" s="86"/>
      <c r="T270" s="136"/>
      <c r="U270" s="137"/>
      <c r="V270" s="137"/>
      <c r="W270" s="116"/>
      <c r="X270" s="86"/>
      <c r="Y270" s="136"/>
      <c r="Z270" s="137"/>
      <c r="AA270" s="137"/>
      <c r="AB270" s="116"/>
      <c r="AC270" s="86"/>
      <c r="AD270" s="136"/>
      <c r="AE270" s="137"/>
      <c r="AF270" s="137"/>
      <c r="AG270" s="116"/>
      <c r="AH270" s="859"/>
      <c r="AI270" s="136"/>
      <c r="AJ270" s="137"/>
      <c r="AK270" s="137"/>
      <c r="AL270" s="116"/>
      <c r="AM270" s="86"/>
      <c r="AN270" s="136"/>
      <c r="AO270" s="137"/>
      <c r="AP270" s="137"/>
      <c r="AQ270" s="116"/>
      <c r="AR270" s="86"/>
      <c r="AS270" s="136"/>
      <c r="AT270" s="137"/>
      <c r="AU270" s="137"/>
      <c r="AV270" s="116"/>
      <c r="AW270" s="859">
        <f>AR266*1.07</f>
        <v>10055.361379999998</v>
      </c>
      <c r="AX270" s="136"/>
      <c r="AY270" s="137"/>
      <c r="AZ270" s="137"/>
      <c r="BA270" s="116"/>
      <c r="BB270" s="859">
        <f>AW270*1.07</f>
        <v>10759.2366766</v>
      </c>
      <c r="BC270" s="136"/>
      <c r="BD270" s="137"/>
      <c r="BE270" s="137"/>
      <c r="BF270" s="116"/>
      <c r="BG270" s="859">
        <f>BB270*1.07</f>
        <v>11512.383243962</v>
      </c>
      <c r="BH270" s="136"/>
      <c r="BI270" s="137"/>
      <c r="BJ270" s="137"/>
      <c r="BK270" s="116"/>
      <c r="BL270" s="859">
        <f>BG270*1.07</f>
        <v>12318.250071039341</v>
      </c>
      <c r="BM270" s="136"/>
      <c r="BN270" s="137"/>
      <c r="BO270" s="137"/>
      <c r="BP270" s="116"/>
      <c r="BQ270" s="859">
        <f>BL270*1.07</f>
        <v>13180.527576012097</v>
      </c>
      <c r="BR270" s="220"/>
      <c r="BS270" s="220"/>
      <c r="BT270" s="220"/>
      <c r="BU270" s="220"/>
      <c r="BV270" s="220"/>
      <c r="BW270" s="220"/>
      <c r="BX270" s="220"/>
      <c r="BY270" s="220"/>
      <c r="BZ270" s="220"/>
      <c r="CA270" s="220"/>
      <c r="CB270" s="220"/>
      <c r="CC270" s="220"/>
      <c r="CD270" s="220"/>
      <c r="CE270" s="220"/>
      <c r="CF270" s="220"/>
      <c r="CG270" s="220"/>
      <c r="CH270" s="220"/>
      <c r="CI270" s="220"/>
      <c r="CJ270" s="220"/>
      <c r="CK270" s="220"/>
      <c r="CL270" s="220"/>
      <c r="CM270" s="220"/>
      <c r="CN270" s="220"/>
      <c r="CO270" s="220"/>
      <c r="CP270" s="220"/>
      <c r="CQ270" s="220"/>
      <c r="CR270" s="220"/>
      <c r="CS270" s="220"/>
      <c r="CT270" s="220"/>
      <c r="CU270" s="220"/>
      <c r="CV270" s="220"/>
      <c r="CW270" s="220"/>
      <c r="CX270" s="220"/>
      <c r="CY270" s="220"/>
      <c r="CZ270" s="220"/>
    </row>
    <row r="271" spans="1:104" x14ac:dyDescent="0.2">
      <c r="A271" s="220"/>
      <c r="B271" s="220"/>
      <c r="C271" s="749"/>
      <c r="D271" s="220"/>
      <c r="E271" s="136"/>
      <c r="F271" s="137"/>
      <c r="G271" s="137"/>
      <c r="H271" s="116"/>
      <c r="I271" s="82"/>
      <c r="J271" s="136"/>
      <c r="K271" s="137"/>
      <c r="L271" s="137"/>
      <c r="M271" s="116"/>
      <c r="N271" s="82"/>
      <c r="O271" s="136"/>
      <c r="P271" s="137"/>
      <c r="Q271" s="137"/>
      <c r="R271" s="116"/>
      <c r="S271" s="82"/>
      <c r="T271" s="136"/>
      <c r="U271" s="137"/>
      <c r="V271" s="137"/>
      <c r="W271" s="116"/>
      <c r="X271" s="82"/>
      <c r="Y271" s="136"/>
      <c r="Z271" s="137"/>
      <c r="AA271" s="137"/>
      <c r="AB271" s="116"/>
      <c r="AC271" s="82"/>
      <c r="AD271" s="136"/>
      <c r="AE271" s="137"/>
      <c r="AF271" s="137"/>
      <c r="AG271" s="116"/>
      <c r="AH271" s="82"/>
      <c r="AI271" s="136"/>
      <c r="AJ271" s="137"/>
      <c r="AK271" s="137"/>
      <c r="AL271" s="116"/>
      <c r="AM271" s="220"/>
      <c r="AN271" s="136"/>
      <c r="AO271" s="137"/>
      <c r="AP271" s="137"/>
      <c r="AQ271" s="116"/>
      <c r="AR271" s="220"/>
      <c r="AS271" s="136"/>
      <c r="AT271" s="137"/>
      <c r="AU271" s="137"/>
      <c r="AV271" s="116"/>
      <c r="AW271" s="220"/>
      <c r="AX271" s="136"/>
      <c r="AY271" s="137"/>
      <c r="AZ271" s="137"/>
      <c r="BA271" s="116"/>
      <c r="BB271" s="866"/>
      <c r="BC271" s="136"/>
      <c r="BD271" s="137"/>
      <c r="BE271" s="137"/>
      <c r="BF271" s="116"/>
      <c r="BG271" s="220"/>
      <c r="BH271" s="136"/>
      <c r="BI271" s="137"/>
      <c r="BJ271" s="137"/>
      <c r="BK271" s="116"/>
      <c r="BL271" s="220"/>
      <c r="BM271" s="136"/>
      <c r="BN271" s="137"/>
      <c r="BO271" s="137"/>
      <c r="BP271" s="116"/>
      <c r="BQ271" s="220"/>
      <c r="BR271" s="220"/>
      <c r="BS271" s="220"/>
      <c r="BT271" s="220"/>
      <c r="BU271" s="220"/>
      <c r="BV271" s="220"/>
      <c r="BW271" s="220"/>
      <c r="BX271" s="220"/>
      <c r="BY271" s="220"/>
      <c r="BZ271" s="220"/>
      <c r="CA271" s="220"/>
      <c r="CB271" s="220"/>
      <c r="CC271" s="220"/>
      <c r="CD271" s="220"/>
      <c r="CE271" s="220"/>
      <c r="CF271" s="220"/>
      <c r="CG271" s="220"/>
      <c r="CH271" s="220"/>
      <c r="CI271" s="220"/>
      <c r="CJ271" s="220"/>
      <c r="CK271" s="220"/>
      <c r="CL271" s="220"/>
      <c r="CM271" s="220"/>
      <c r="CN271" s="220"/>
      <c r="CO271" s="220"/>
      <c r="CP271" s="220"/>
      <c r="CQ271" s="220"/>
      <c r="CR271" s="220"/>
      <c r="CS271" s="220"/>
      <c r="CT271" s="220"/>
      <c r="CU271" s="220"/>
      <c r="CV271" s="220"/>
      <c r="CW271" s="220"/>
      <c r="CX271" s="220"/>
      <c r="CY271" s="220"/>
      <c r="CZ271" s="220"/>
    </row>
    <row r="272" spans="1:104" x14ac:dyDescent="0.2">
      <c r="A272" s="220"/>
      <c r="B272" s="220"/>
      <c r="C272" s="141" t="s">
        <v>306</v>
      </c>
      <c r="D272" s="82"/>
      <c r="E272" s="136"/>
      <c r="F272" s="137"/>
      <c r="G272" s="137"/>
      <c r="H272" s="116"/>
      <c r="I272" s="82"/>
      <c r="J272" s="136"/>
      <c r="K272" s="137"/>
      <c r="L272" s="137"/>
      <c r="M272" s="116"/>
      <c r="N272" s="82"/>
      <c r="O272" s="136"/>
      <c r="P272" s="137"/>
      <c r="Q272" s="137"/>
      <c r="R272" s="116"/>
      <c r="S272" s="82"/>
      <c r="T272" s="136"/>
      <c r="U272" s="137"/>
      <c r="V272" s="137"/>
      <c r="W272" s="116"/>
      <c r="X272" s="82"/>
      <c r="Y272" s="136"/>
      <c r="Z272" s="137"/>
      <c r="AA272" s="137"/>
      <c r="AB272" s="116"/>
      <c r="AC272" s="82"/>
      <c r="AD272" s="136"/>
      <c r="AE272" s="137"/>
      <c r="AF272" s="137"/>
      <c r="AG272" s="116"/>
      <c r="AH272" s="82"/>
      <c r="AI272" s="136"/>
      <c r="AJ272" s="137"/>
      <c r="AK272" s="137"/>
      <c r="AL272" s="116"/>
      <c r="AM272" s="220"/>
      <c r="AN272" s="136"/>
      <c r="AO272" s="137"/>
      <c r="AP272" s="137"/>
      <c r="AQ272" s="116"/>
      <c r="AR272" s="220"/>
      <c r="AS272" s="136"/>
      <c r="AT272" s="137"/>
      <c r="AU272" s="137"/>
      <c r="AV272" s="116"/>
      <c r="AW272" s="220"/>
      <c r="AX272" s="136"/>
      <c r="AY272" s="137"/>
      <c r="AZ272" s="137"/>
      <c r="BA272" s="116"/>
      <c r="BB272" s="220"/>
      <c r="BC272" s="136"/>
      <c r="BD272" s="137"/>
      <c r="BE272" s="137"/>
      <c r="BF272" s="116"/>
      <c r="BG272" s="220"/>
      <c r="BH272" s="136"/>
      <c r="BI272" s="137"/>
      <c r="BJ272" s="137"/>
      <c r="BK272" s="116"/>
      <c r="BL272" s="220"/>
      <c r="BM272" s="136"/>
      <c r="BN272" s="137"/>
      <c r="BO272" s="137"/>
      <c r="BP272" s="116"/>
      <c r="BQ272" s="220"/>
      <c r="BR272" s="220"/>
      <c r="BS272" s="220"/>
      <c r="BT272" s="220"/>
      <c r="BU272" s="220"/>
      <c r="BV272" s="220"/>
      <c r="BW272" s="220"/>
      <c r="BX272" s="220"/>
      <c r="BY272" s="220"/>
      <c r="BZ272" s="220"/>
      <c r="CA272" s="220"/>
      <c r="CB272" s="220"/>
      <c r="CC272" s="220"/>
      <c r="CD272" s="220"/>
      <c r="CE272" s="220"/>
      <c r="CF272" s="220"/>
      <c r="CG272" s="220"/>
      <c r="CH272" s="220"/>
      <c r="CI272" s="220"/>
      <c r="CJ272" s="220"/>
      <c r="CK272" s="220"/>
      <c r="CL272" s="220"/>
      <c r="CM272" s="220"/>
      <c r="CN272" s="220"/>
      <c r="CO272" s="220"/>
      <c r="CP272" s="220"/>
      <c r="CQ272" s="220"/>
      <c r="CR272" s="220"/>
      <c r="CS272" s="220"/>
      <c r="CT272" s="220"/>
      <c r="CU272" s="220"/>
      <c r="CV272" s="220"/>
      <c r="CW272" s="220"/>
      <c r="CX272" s="220"/>
      <c r="CY272" s="220"/>
      <c r="CZ272" s="220"/>
    </row>
    <row r="273" spans="1:104" x14ac:dyDescent="0.2">
      <c r="A273" s="289"/>
      <c r="B273" s="289"/>
      <c r="C273" s="70" t="s">
        <v>307</v>
      </c>
      <c r="D273" s="289"/>
      <c r="E273" s="357">
        <v>0.6</v>
      </c>
      <c r="F273" s="210">
        <v>0.6</v>
      </c>
      <c r="G273" s="210">
        <v>0.6</v>
      </c>
      <c r="H273" s="211">
        <v>0.59</v>
      </c>
      <c r="I273" s="36">
        <v>0.59</v>
      </c>
      <c r="J273" s="357">
        <v>0.59</v>
      </c>
      <c r="K273" s="210">
        <v>0.59</v>
      </c>
      <c r="L273" s="210">
        <v>0.59</v>
      </c>
      <c r="M273" s="211">
        <v>0.59</v>
      </c>
      <c r="N273" s="36">
        <v>0.59</v>
      </c>
      <c r="O273" s="357">
        <v>0.59</v>
      </c>
      <c r="P273" s="210">
        <f>(4641/(5809))*0.5856+(1168/5809)*0.56</f>
        <v>0.58045267688070235</v>
      </c>
      <c r="Q273" s="210">
        <v>0.56000000000000005</v>
      </c>
      <c r="R273" s="211">
        <v>0.56000000000000005</v>
      </c>
      <c r="S273" s="36">
        <v>0.56000000000000005</v>
      </c>
      <c r="T273" s="357">
        <v>0.56000000000000005</v>
      </c>
      <c r="U273" s="210">
        <v>0.56000000000000005</v>
      </c>
      <c r="V273" s="210">
        <v>0.56000000000000005</v>
      </c>
      <c r="W273" s="211">
        <v>0.56000000000000005</v>
      </c>
      <c r="X273" s="36">
        <v>0.56000000000000005</v>
      </c>
      <c r="Y273" s="357">
        <v>0.56000000000000005</v>
      </c>
      <c r="Z273" s="210">
        <v>0.56000000000000005</v>
      </c>
      <c r="AA273" s="210">
        <v>0.56000000000000005</v>
      </c>
      <c r="AB273" s="211">
        <v>0.56000000000000005</v>
      </c>
      <c r="AC273" s="36">
        <v>0.56000000000000005</v>
      </c>
      <c r="AD273" s="357">
        <v>0.56000000000000005</v>
      </c>
      <c r="AE273" s="210">
        <v>0.56000000000000005</v>
      </c>
      <c r="AF273" s="210">
        <v>0.56000000000000005</v>
      </c>
      <c r="AG273" s="211">
        <v>0.56000000000000005</v>
      </c>
      <c r="AH273" s="36">
        <v>0.56000000000000005</v>
      </c>
      <c r="AI273" s="357">
        <v>0.56000000000000005</v>
      </c>
      <c r="AJ273" s="210">
        <v>0.56000000000000005</v>
      </c>
      <c r="AK273" s="210">
        <v>0.56000000000000005</v>
      </c>
      <c r="AL273" s="211">
        <v>0.56000000000000005</v>
      </c>
      <c r="AM273" s="36">
        <v>0.56000000000000005</v>
      </c>
      <c r="AN273" s="357">
        <f>$AR$273</f>
        <v>0.56112486551105811</v>
      </c>
      <c r="AO273" s="210">
        <f>$AR$273</f>
        <v>0.56112486551105811</v>
      </c>
      <c r="AP273" s="210">
        <f>$AR$273</f>
        <v>0.56112486551105811</v>
      </c>
      <c r="AQ273" s="211">
        <f>$AR$273</f>
        <v>0.56112486551105811</v>
      </c>
      <c r="AR273" s="36">
        <f>(AM283/(AM283+AM284)*0.56)+(AM284/(AM283+AM284)*0.5651)</f>
        <v>0.56112486551105811</v>
      </c>
      <c r="AS273" s="357">
        <f>$AW$273</f>
        <v>0.56112486551105811</v>
      </c>
      <c r="AT273" s="210">
        <f>$AW$273</f>
        <v>0.56112486551105811</v>
      </c>
      <c r="AU273" s="210">
        <f>$AW$273</f>
        <v>0.56112486551105811</v>
      </c>
      <c r="AV273" s="211">
        <f>$AW$273</f>
        <v>0.56112486551105811</v>
      </c>
      <c r="AW273" s="36">
        <f>AR273</f>
        <v>0.56112486551105811</v>
      </c>
      <c r="AX273" s="357">
        <f>$BB$273</f>
        <v>0.56112486551105811</v>
      </c>
      <c r="AY273" s="210">
        <f>$BB$273</f>
        <v>0.56112486551105811</v>
      </c>
      <c r="AZ273" s="210">
        <f>$BB$273</f>
        <v>0.56112486551105811</v>
      </c>
      <c r="BA273" s="211">
        <f>$BB$273</f>
        <v>0.56112486551105811</v>
      </c>
      <c r="BB273" s="36">
        <f>AW273</f>
        <v>0.56112486551105811</v>
      </c>
      <c r="BC273" s="357">
        <f>$BG$273</f>
        <v>0.56112486551105811</v>
      </c>
      <c r="BD273" s="210">
        <f>$BG$273</f>
        <v>0.56112486551105811</v>
      </c>
      <c r="BE273" s="210">
        <f>$BG$273</f>
        <v>0.56112486551105811</v>
      </c>
      <c r="BF273" s="211">
        <f>$BG$273</f>
        <v>0.56112486551105811</v>
      </c>
      <c r="BG273" s="36">
        <f>BB273</f>
        <v>0.56112486551105811</v>
      </c>
      <c r="BH273" s="357">
        <f>$BG$273</f>
        <v>0.56112486551105811</v>
      </c>
      <c r="BI273" s="210">
        <f>$BG$273</f>
        <v>0.56112486551105811</v>
      </c>
      <c r="BJ273" s="210">
        <f>$BG$273</f>
        <v>0.56112486551105811</v>
      </c>
      <c r="BK273" s="211">
        <f>$BG$273</f>
        <v>0.56112486551105811</v>
      </c>
      <c r="BL273" s="36">
        <f>BG273</f>
        <v>0.56112486551105811</v>
      </c>
      <c r="BM273" s="357">
        <f>$BG$273</f>
        <v>0.56112486551105811</v>
      </c>
      <c r="BN273" s="210">
        <f>$BG$273</f>
        <v>0.56112486551105811</v>
      </c>
      <c r="BO273" s="210">
        <f>$BG$273</f>
        <v>0.56112486551105811</v>
      </c>
      <c r="BP273" s="211">
        <f>$BG$273</f>
        <v>0.56112486551105811</v>
      </c>
      <c r="BQ273" s="36">
        <f>BL273</f>
        <v>0.56112486551105811</v>
      </c>
      <c r="BR273" s="289"/>
      <c r="BS273" s="289"/>
      <c r="BT273" s="289"/>
      <c r="BU273" s="289"/>
      <c r="BV273" s="289"/>
      <c r="BW273" s="289"/>
      <c r="BX273" s="289"/>
      <c r="BY273" s="289"/>
      <c r="BZ273" s="289"/>
      <c r="CA273" s="289"/>
      <c r="CB273" s="289"/>
      <c r="CC273" s="289"/>
      <c r="CD273" s="289"/>
      <c r="CE273" s="289"/>
      <c r="CF273" s="289"/>
      <c r="CG273" s="289"/>
      <c r="CH273" s="289"/>
      <c r="CI273" s="289"/>
      <c r="CJ273" s="289"/>
      <c r="CK273" s="289"/>
      <c r="CL273" s="289"/>
      <c r="CM273" s="289"/>
      <c r="CN273" s="289"/>
      <c r="CO273" s="289"/>
      <c r="CP273" s="289"/>
      <c r="CQ273" s="289"/>
      <c r="CR273" s="289"/>
      <c r="CS273" s="289"/>
      <c r="CT273" s="289"/>
      <c r="CU273" s="289"/>
      <c r="CV273" s="289"/>
      <c r="CW273" s="289"/>
      <c r="CX273" s="289"/>
      <c r="CY273" s="289"/>
      <c r="CZ273" s="289"/>
    </row>
    <row r="274" spans="1:104" x14ac:dyDescent="0.2">
      <c r="A274" s="289"/>
      <c r="B274" s="289"/>
      <c r="C274" s="70" t="s">
        <v>308</v>
      </c>
      <c r="D274" s="289"/>
      <c r="E274" s="344">
        <f t="shared" ref="E274:AM274" si="584">+E236</f>
        <v>0.59170810260166473</v>
      </c>
      <c r="F274" s="342">
        <f t="shared" si="584"/>
        <v>0.5565362748155317</v>
      </c>
      <c r="G274" s="342">
        <f t="shared" si="584"/>
        <v>0.56400704041438932</v>
      </c>
      <c r="H274" s="343">
        <f t="shared" si="584"/>
        <v>0.56161100704282585</v>
      </c>
      <c r="I274" s="358">
        <f t="shared" si="584"/>
        <v>0.56161100704282585</v>
      </c>
      <c r="J274" s="344">
        <f t="shared" si="584"/>
        <v>0.56786731648548583</v>
      </c>
      <c r="K274" s="342">
        <f t="shared" si="584"/>
        <v>0.58002492243618298</v>
      </c>
      <c r="L274" s="342">
        <f t="shared" si="584"/>
        <v>0.58542872009450775</v>
      </c>
      <c r="M274" s="343">
        <f t="shared" si="584"/>
        <v>0.54144878779643679</v>
      </c>
      <c r="N274" s="358">
        <f t="shared" si="584"/>
        <v>0.54144878779643679</v>
      </c>
      <c r="O274" s="344">
        <f t="shared" si="584"/>
        <v>0.56409834221018595</v>
      </c>
      <c r="P274" s="342">
        <f t="shared" si="584"/>
        <v>0.55655597878800955</v>
      </c>
      <c r="Q274" s="342">
        <f t="shared" si="584"/>
        <v>0.55274425251743931</v>
      </c>
      <c r="R274" s="343">
        <f t="shared" si="584"/>
        <v>0.55258237526650755</v>
      </c>
      <c r="S274" s="358">
        <f t="shared" si="584"/>
        <v>0.55258237526650755</v>
      </c>
      <c r="T274" s="344">
        <f t="shared" si="584"/>
        <v>0.55488288963011134</v>
      </c>
      <c r="U274" s="342">
        <f t="shared" si="584"/>
        <v>0.55640275236264947</v>
      </c>
      <c r="V274" s="342">
        <f t="shared" si="584"/>
        <v>0.51273830974661105</v>
      </c>
      <c r="W274" s="343">
        <f t="shared" si="584"/>
        <v>0.54784428854258305</v>
      </c>
      <c r="X274" s="358">
        <f t="shared" si="584"/>
        <v>0.54784428854258305</v>
      </c>
      <c r="Y274" s="344">
        <f t="shared" si="584"/>
        <v>0.54457787787471457</v>
      </c>
      <c r="Z274" s="342">
        <f t="shared" si="584"/>
        <v>0.54637478214770607</v>
      </c>
      <c r="AA274" s="342">
        <f t="shared" si="584"/>
        <v>0.5519764503321184</v>
      </c>
      <c r="AB274" s="343">
        <f t="shared" si="584"/>
        <v>0.55356739793988041</v>
      </c>
      <c r="AC274" s="358">
        <f t="shared" si="584"/>
        <v>0.55356739793988041</v>
      </c>
      <c r="AD274" s="344">
        <f t="shared" si="584"/>
        <v>0.53125751009570432</v>
      </c>
      <c r="AE274" s="342">
        <f t="shared" si="584"/>
        <v>0.54980354050284663</v>
      </c>
      <c r="AF274" s="342">
        <f t="shared" si="584"/>
        <v>0.53755035625348913</v>
      </c>
      <c r="AG274" s="343">
        <f t="shared" si="584"/>
        <v>0.53350106157761668</v>
      </c>
      <c r="AH274" s="358">
        <f>+AH236</f>
        <v>0.53350106157761668</v>
      </c>
      <c r="AI274" s="344">
        <f>+AI236</f>
        <v>0.54948467459374095</v>
      </c>
      <c r="AJ274" s="342">
        <f>+AJ236</f>
        <v>0.54210568371883239</v>
      </c>
      <c r="AK274" s="342">
        <f t="shared" si="584"/>
        <v>0.54987356635218676</v>
      </c>
      <c r="AL274" s="343">
        <f t="shared" si="584"/>
        <v>0.55255368811622874</v>
      </c>
      <c r="AM274" s="358">
        <f t="shared" si="584"/>
        <v>0.55255368811622874</v>
      </c>
      <c r="AN274" s="344">
        <f>+AN236</f>
        <v>0.55660397028696551</v>
      </c>
      <c r="AO274" s="342">
        <f t="shared" ref="AO274:AW274" si="585">+AO236</f>
        <v>0.54910618660476918</v>
      </c>
      <c r="AP274" s="342">
        <f>+AP236</f>
        <v>0.55297982515018429</v>
      </c>
      <c r="AQ274" s="343">
        <f t="shared" si="585"/>
        <v>0.54806456514691471</v>
      </c>
      <c r="AR274" s="358">
        <f t="shared" si="585"/>
        <v>0.54806456514691471</v>
      </c>
      <c r="AS274" s="344">
        <f t="shared" si="585"/>
        <v>0.56064897805602676</v>
      </c>
      <c r="AT274" s="342">
        <f t="shared" si="585"/>
        <v>0.54205945696790525</v>
      </c>
      <c r="AU274" s="342">
        <f t="shared" si="585"/>
        <v>0.54973788331963269</v>
      </c>
      <c r="AV274" s="343">
        <f t="shared" si="585"/>
        <v>0.55971606055759471</v>
      </c>
      <c r="AW274" s="358">
        <f t="shared" si="585"/>
        <v>0.55971606055759471</v>
      </c>
      <c r="AX274" s="344">
        <f t="shared" ref="AX274:BG274" si="586">+AX236</f>
        <v>0.56045558387829042</v>
      </c>
      <c r="AY274" s="342">
        <f t="shared" si="586"/>
        <v>0.55798899926715873</v>
      </c>
      <c r="AZ274" s="342">
        <f t="shared" si="586"/>
        <v>0.54687989521241887</v>
      </c>
      <c r="BA274" s="343">
        <f t="shared" si="586"/>
        <v>0.54797923802788928</v>
      </c>
      <c r="BB274" s="358">
        <f t="shared" si="586"/>
        <v>0.54797923802788928</v>
      </c>
      <c r="BC274" s="344">
        <f t="shared" si="586"/>
        <v>0.54955173997011264</v>
      </c>
      <c r="BD274" s="342">
        <f t="shared" si="586"/>
        <v>0.55534056371958518</v>
      </c>
      <c r="BE274" s="342">
        <f t="shared" si="586"/>
        <v>0.56054238596261252</v>
      </c>
      <c r="BF274" s="343">
        <f t="shared" si="586"/>
        <v>0.55532508782989853</v>
      </c>
      <c r="BG274" s="358">
        <f t="shared" si="586"/>
        <v>0.55532508782989853</v>
      </c>
      <c r="BH274" s="344">
        <f t="shared" ref="BH274:BQ274" si="587">+BH236</f>
        <v>0.55788669974111504</v>
      </c>
      <c r="BI274" s="342">
        <f t="shared" si="587"/>
        <v>0.54668808925185697</v>
      </c>
      <c r="BJ274" s="342">
        <f t="shared" si="587"/>
        <v>0.55086101739647175</v>
      </c>
      <c r="BK274" s="343">
        <f t="shared" si="587"/>
        <v>0.56199528199495918</v>
      </c>
      <c r="BL274" s="358">
        <f t="shared" si="587"/>
        <v>0.56199528199495918</v>
      </c>
      <c r="BM274" s="344">
        <f t="shared" si="587"/>
        <v>0.56448954525806361</v>
      </c>
      <c r="BN274" s="342">
        <f t="shared" si="587"/>
        <v>0.55601172214093042</v>
      </c>
      <c r="BO274" s="342">
        <f t="shared" si="587"/>
        <v>0.56079129498203262</v>
      </c>
      <c r="BP274" s="343">
        <f t="shared" si="587"/>
        <v>0.56196232411601588</v>
      </c>
      <c r="BQ274" s="995">
        <f t="shared" si="587"/>
        <v>0.56196232411601588</v>
      </c>
      <c r="BR274" s="289"/>
      <c r="BS274" s="289"/>
      <c r="BT274" s="289"/>
      <c r="BU274" s="289"/>
      <c r="BV274" s="289"/>
      <c r="BW274" s="289"/>
      <c r="BX274" s="289"/>
      <c r="BY274" s="289"/>
      <c r="BZ274" s="289"/>
      <c r="CA274" s="289"/>
      <c r="CB274" s="289"/>
      <c r="CC274" s="289"/>
      <c r="CD274" s="289"/>
      <c r="CE274" s="289"/>
      <c r="CF274" s="289"/>
      <c r="CG274" s="289"/>
      <c r="CH274" s="289"/>
      <c r="CI274" s="289"/>
      <c r="CJ274" s="289"/>
      <c r="CK274" s="289"/>
      <c r="CL274" s="289"/>
      <c r="CM274" s="289"/>
      <c r="CN274" s="289"/>
      <c r="CO274" s="289"/>
      <c r="CP274" s="289"/>
      <c r="CQ274" s="289"/>
      <c r="CR274" s="289"/>
      <c r="CS274" s="289"/>
      <c r="CT274" s="289"/>
      <c r="CU274" s="289"/>
      <c r="CV274" s="289"/>
      <c r="CW274" s="289"/>
      <c r="CX274" s="289"/>
      <c r="CY274" s="289"/>
      <c r="CZ274" s="289"/>
    </row>
    <row r="275" spans="1:104" x14ac:dyDescent="0.2">
      <c r="A275" s="289"/>
      <c r="B275" s="289"/>
      <c r="C275" s="289"/>
      <c r="D275" s="289"/>
      <c r="E275" s="291"/>
      <c r="F275" s="292"/>
      <c r="G275" s="292"/>
      <c r="H275" s="293"/>
      <c r="I275" s="88"/>
      <c r="J275" s="207"/>
      <c r="K275" s="208"/>
      <c r="L275" s="208"/>
      <c r="M275" s="209"/>
      <c r="N275" s="88"/>
      <c r="O275" s="207"/>
      <c r="P275" s="208"/>
      <c r="Q275" s="208"/>
      <c r="R275" s="209"/>
      <c r="S275" s="88"/>
      <c r="T275" s="207"/>
      <c r="U275" s="208"/>
      <c r="V275" s="208"/>
      <c r="W275" s="209"/>
      <c r="X275" s="88"/>
      <c r="Y275" s="207"/>
      <c r="Z275" s="208"/>
      <c r="AA275" s="208"/>
      <c r="AB275" s="209"/>
      <c r="AC275" s="88"/>
      <c r="AD275" s="207"/>
      <c r="AE275" s="208"/>
      <c r="AF275" s="208"/>
      <c r="AG275" s="209"/>
      <c r="AH275" s="88"/>
      <c r="AI275" s="207"/>
      <c r="AJ275" s="208"/>
      <c r="AK275" s="208"/>
      <c r="AL275" s="209"/>
      <c r="AM275" s="88"/>
      <c r="AN275" s="207"/>
      <c r="AO275" s="208"/>
      <c r="AP275" s="208"/>
      <c r="AQ275" s="209"/>
      <c r="AR275" s="88"/>
      <c r="AS275" s="207"/>
      <c r="AT275" s="208"/>
      <c r="AU275" s="208"/>
      <c r="AV275" s="209"/>
      <c r="AW275" s="88"/>
      <c r="AX275" s="207"/>
      <c r="AY275" s="208"/>
      <c r="AZ275" s="208"/>
      <c r="BA275" s="209"/>
      <c r="BB275" s="88"/>
      <c r="BC275" s="207"/>
      <c r="BD275" s="208"/>
      <c r="BE275" s="208"/>
      <c r="BF275" s="209"/>
      <c r="BG275" s="88"/>
      <c r="BH275" s="207"/>
      <c r="BI275" s="208"/>
      <c r="BJ275" s="208"/>
      <c r="BK275" s="209"/>
      <c r="BL275" s="88"/>
      <c r="BM275" s="207"/>
      <c r="BN275" s="208"/>
      <c r="BO275" s="208"/>
      <c r="BP275" s="209"/>
      <c r="BQ275" s="995"/>
      <c r="BR275" s="289"/>
      <c r="BS275" s="289"/>
      <c r="BT275" s="289"/>
      <c r="BU275" s="289"/>
      <c r="BV275" s="289"/>
      <c r="BW275" s="289"/>
      <c r="BX275" s="289"/>
      <c r="BY275" s="289"/>
      <c r="BZ275" s="289"/>
      <c r="CA275" s="289"/>
      <c r="CB275" s="289"/>
      <c r="CC275" s="289"/>
      <c r="CD275" s="289"/>
      <c r="CE275" s="289"/>
      <c r="CF275" s="289"/>
      <c r="CG275" s="289"/>
      <c r="CH275" s="289"/>
      <c r="CI275" s="289"/>
      <c r="CJ275" s="289"/>
      <c r="CK275" s="289"/>
      <c r="CL275" s="289"/>
      <c r="CM275" s="289"/>
      <c r="CN275" s="289"/>
      <c r="CO275" s="289"/>
      <c r="CP275" s="289"/>
      <c r="CQ275" s="289"/>
      <c r="CR275" s="289"/>
      <c r="CS275" s="289"/>
      <c r="CT275" s="289"/>
      <c r="CU275" s="289"/>
      <c r="CV275" s="289"/>
      <c r="CW275" s="289"/>
      <c r="CX275" s="289"/>
      <c r="CY275" s="289"/>
      <c r="CZ275" s="289"/>
    </row>
    <row r="276" spans="1:104" x14ac:dyDescent="0.2">
      <c r="A276" s="289"/>
      <c r="B276" s="289"/>
      <c r="C276" s="141" t="s">
        <v>309</v>
      </c>
      <c r="D276" s="289"/>
      <c r="E276" s="291"/>
      <c r="F276" s="292"/>
      <c r="G276" s="292"/>
      <c r="H276" s="293"/>
      <c r="I276" s="36"/>
      <c r="J276" s="357"/>
      <c r="K276" s="210"/>
      <c r="L276" s="210"/>
      <c r="M276" s="211"/>
      <c r="N276" s="36"/>
      <c r="O276" s="357"/>
      <c r="P276" s="210"/>
      <c r="Q276" s="210"/>
      <c r="R276" s="211"/>
      <c r="S276" s="36"/>
      <c r="T276" s="357"/>
      <c r="U276" s="210"/>
      <c r="V276" s="210"/>
      <c r="W276" s="211"/>
      <c r="X276" s="36"/>
      <c r="Y276" s="357"/>
      <c r="Z276" s="210"/>
      <c r="AA276" s="210"/>
      <c r="AB276" s="211"/>
      <c r="AC276" s="36"/>
      <c r="AD276" s="357"/>
      <c r="AE276" s="210"/>
      <c r="AF276" s="210"/>
      <c r="AG276" s="211"/>
      <c r="AH276" s="36"/>
      <c r="AI276" s="357"/>
      <c r="AJ276" s="210"/>
      <c r="AK276" s="210"/>
      <c r="AL276" s="211"/>
      <c r="AM276" s="36"/>
      <c r="AN276" s="357"/>
      <c r="AO276" s="210"/>
      <c r="AP276" s="210"/>
      <c r="AQ276" s="211"/>
      <c r="AR276" s="36"/>
      <c r="AS276" s="357"/>
      <c r="AT276" s="210"/>
      <c r="AU276" s="210"/>
      <c r="AV276" s="211"/>
      <c r="AW276" s="36"/>
      <c r="AX276" s="357"/>
      <c r="AY276" s="210"/>
      <c r="AZ276" s="210"/>
      <c r="BA276" s="211"/>
      <c r="BB276" s="36"/>
      <c r="BC276" s="357"/>
      <c r="BD276" s="210"/>
      <c r="BE276" s="210"/>
      <c r="BF276" s="211"/>
      <c r="BG276" s="36"/>
      <c r="BH276" s="357"/>
      <c r="BI276" s="210"/>
      <c r="BJ276" s="210"/>
      <c r="BK276" s="211"/>
      <c r="BL276" s="36"/>
      <c r="BM276" s="357"/>
      <c r="BN276" s="210"/>
      <c r="BO276" s="210"/>
      <c r="BP276" s="211"/>
      <c r="BQ276" s="995"/>
      <c r="BR276" s="289"/>
      <c r="BS276" s="289"/>
      <c r="BT276" s="289"/>
      <c r="BU276" s="289"/>
      <c r="BV276" s="289"/>
      <c r="BW276" s="289"/>
      <c r="BX276" s="289"/>
      <c r="BY276" s="289"/>
      <c r="BZ276" s="289"/>
      <c r="CA276" s="289"/>
      <c r="CB276" s="289"/>
      <c r="CC276" s="289"/>
      <c r="CD276" s="289"/>
      <c r="CE276" s="289"/>
      <c r="CF276" s="289"/>
      <c r="CG276" s="289"/>
      <c r="CH276" s="289"/>
      <c r="CI276" s="289"/>
      <c r="CJ276" s="289"/>
      <c r="CK276" s="289"/>
      <c r="CL276" s="289"/>
      <c r="CM276" s="289"/>
      <c r="CN276" s="289"/>
      <c r="CO276" s="289"/>
      <c r="CP276" s="289"/>
      <c r="CQ276" s="289"/>
      <c r="CR276" s="289"/>
      <c r="CS276" s="289"/>
      <c r="CT276" s="289"/>
      <c r="CU276" s="289"/>
      <c r="CV276" s="289"/>
      <c r="CW276" s="289"/>
      <c r="CX276" s="289"/>
      <c r="CY276" s="289"/>
      <c r="CZ276" s="289"/>
    </row>
    <row r="277" spans="1:104" x14ac:dyDescent="0.2">
      <c r="A277" s="289"/>
      <c r="B277" s="289"/>
      <c r="C277" s="289" t="s">
        <v>310</v>
      </c>
      <c r="D277" s="289"/>
      <c r="E277" s="291"/>
      <c r="F277" s="292"/>
      <c r="G277" s="292"/>
      <c r="H277" s="293"/>
      <c r="I277" s="36">
        <f>(4397/5487)*0.105+(1090/5487)*0.1025</f>
        <v>0.10450337160561327</v>
      </c>
      <c r="J277" s="207">
        <f>$I$277</f>
        <v>0.10450337160561327</v>
      </c>
      <c r="K277" s="208">
        <f t="shared" ref="K277:P277" si="588">$I$277</f>
        <v>0.10450337160561327</v>
      </c>
      <c r="L277" s="208">
        <f t="shared" si="588"/>
        <v>0.10450337160561327</v>
      </c>
      <c r="M277" s="209">
        <f t="shared" si="588"/>
        <v>0.10450337160561327</v>
      </c>
      <c r="N277" s="88">
        <f t="shared" si="588"/>
        <v>0.10450337160561327</v>
      </c>
      <c r="O277" s="207">
        <f t="shared" si="588"/>
        <v>0.10450337160561327</v>
      </c>
      <c r="P277" s="208">
        <f t="shared" si="588"/>
        <v>0.10450337160561327</v>
      </c>
      <c r="Q277" s="210">
        <v>0.10299999999999999</v>
      </c>
      <c r="R277" s="343">
        <f t="shared" ref="R277:W277" si="589">Q277</f>
        <v>0.10299999999999999</v>
      </c>
      <c r="S277" s="358">
        <f t="shared" si="589"/>
        <v>0.10299999999999999</v>
      </c>
      <c r="T277" s="344">
        <f t="shared" si="589"/>
        <v>0.10299999999999999</v>
      </c>
      <c r="U277" s="342">
        <f t="shared" si="589"/>
        <v>0.10299999999999999</v>
      </c>
      <c r="V277" s="342">
        <f t="shared" si="589"/>
        <v>0.10299999999999999</v>
      </c>
      <c r="W277" s="343">
        <f t="shared" si="589"/>
        <v>0.10299999999999999</v>
      </c>
      <c r="X277" s="36">
        <v>0.1</v>
      </c>
      <c r="Y277" s="357">
        <v>0.1</v>
      </c>
      <c r="Z277" s="210">
        <v>0.1</v>
      </c>
      <c r="AA277" s="210">
        <v>0.1</v>
      </c>
      <c r="AB277" s="211">
        <v>0.1</v>
      </c>
      <c r="AC277" s="36">
        <v>0.1</v>
      </c>
      <c r="AD277" s="357">
        <v>0.1</v>
      </c>
      <c r="AE277" s="210">
        <v>0.1</v>
      </c>
      <c r="AF277" s="210">
        <v>0.1</v>
      </c>
      <c r="AG277" s="211">
        <v>0.1</v>
      </c>
      <c r="AH277" s="36">
        <v>0.1</v>
      </c>
      <c r="AI277" s="357">
        <v>0.1</v>
      </c>
      <c r="AJ277" s="210">
        <v>0.1</v>
      </c>
      <c r="AK277" s="210">
        <v>0.1</v>
      </c>
      <c r="AL277" s="211">
        <v>0.1</v>
      </c>
      <c r="AM277" s="36">
        <v>0.1</v>
      </c>
      <c r="AN277" s="357">
        <f>$AR$277</f>
        <v>9.7572145845786024E-2</v>
      </c>
      <c r="AO277" s="210">
        <f>$AR$277</f>
        <v>9.7572145845786024E-2</v>
      </c>
      <c r="AP277" s="210">
        <f>$AR$277</f>
        <v>9.7572145845786024E-2</v>
      </c>
      <c r="AQ277" s="211">
        <f>$AR$277</f>
        <v>9.7572145845786024E-2</v>
      </c>
      <c r="AR277" s="912">
        <f>(AM283/(AM283+AM284)*0.0983)+(AM284/(AM283+AM284)*0.095)</f>
        <v>9.7572145845786024E-2</v>
      </c>
      <c r="AS277" s="357">
        <f>$AW$277</f>
        <v>9.7572145845786024E-2</v>
      </c>
      <c r="AT277" s="210">
        <f>$AW$277</f>
        <v>9.7572145845786024E-2</v>
      </c>
      <c r="AU277" s="210">
        <f>$AW$277</f>
        <v>9.7572145845786024E-2</v>
      </c>
      <c r="AV277" s="211">
        <f>$AW$277</f>
        <v>9.7572145845786024E-2</v>
      </c>
      <c r="AW277" s="36">
        <f>AR277</f>
        <v>9.7572145845786024E-2</v>
      </c>
      <c r="AX277" s="357">
        <f>BB277</f>
        <v>9.7572145845786024E-2</v>
      </c>
      <c r="AY277" s="210">
        <f>BC277</f>
        <v>9.7572145845786024E-2</v>
      </c>
      <c r="AZ277" s="210">
        <f>BD277</f>
        <v>9.7572145845786024E-2</v>
      </c>
      <c r="BA277" s="211">
        <f>BE277</f>
        <v>9.7572145845786024E-2</v>
      </c>
      <c r="BB277" s="36">
        <f>AW277</f>
        <v>9.7572145845786024E-2</v>
      </c>
      <c r="BC277" s="357">
        <f>$BG$277</f>
        <v>9.7572145845786024E-2</v>
      </c>
      <c r="BD277" s="210">
        <f>$BG$277</f>
        <v>9.7572145845786024E-2</v>
      </c>
      <c r="BE277" s="210">
        <f>$BG$277</f>
        <v>9.7572145845786024E-2</v>
      </c>
      <c r="BF277" s="211">
        <f>$BG$277</f>
        <v>9.7572145845786024E-2</v>
      </c>
      <c r="BG277" s="36">
        <f>BB277</f>
        <v>9.7572145845786024E-2</v>
      </c>
      <c r="BH277" s="357">
        <f>$BG$277</f>
        <v>9.7572145845786024E-2</v>
      </c>
      <c r="BI277" s="210">
        <f>$BG$277</f>
        <v>9.7572145845786024E-2</v>
      </c>
      <c r="BJ277" s="210">
        <f>$BG$277</f>
        <v>9.7572145845786024E-2</v>
      </c>
      <c r="BK277" s="211">
        <f>$BG$277</f>
        <v>9.7572145845786024E-2</v>
      </c>
      <c r="BL277" s="36">
        <f>BG277</f>
        <v>9.7572145845786024E-2</v>
      </c>
      <c r="BM277" s="357">
        <f>$BG$277</f>
        <v>9.7572145845786024E-2</v>
      </c>
      <c r="BN277" s="210">
        <f>$BG$277</f>
        <v>9.7572145845786024E-2</v>
      </c>
      <c r="BO277" s="210">
        <f>$BG$277</f>
        <v>9.7572145845786024E-2</v>
      </c>
      <c r="BP277" s="211">
        <f>$BG$277</f>
        <v>9.7572145845786024E-2</v>
      </c>
      <c r="BQ277" s="36">
        <f>BL277</f>
        <v>9.7572145845786024E-2</v>
      </c>
      <c r="BR277" s="289"/>
      <c r="BS277" s="289"/>
      <c r="BT277" s="289"/>
      <c r="BU277" s="289"/>
      <c r="BV277" s="289"/>
      <c r="BW277" s="289"/>
      <c r="BX277" s="289"/>
      <c r="BY277" s="289"/>
      <c r="BZ277" s="289"/>
      <c r="CA277" s="289"/>
      <c r="CB277" s="289"/>
      <c r="CC277" s="289"/>
      <c r="CD277" s="289"/>
      <c r="CE277" s="289"/>
      <c r="CF277" s="289"/>
      <c r="CG277" s="289"/>
      <c r="CH277" s="289"/>
      <c r="CI277" s="289"/>
      <c r="CJ277" s="289"/>
      <c r="CK277" s="289"/>
      <c r="CL277" s="289"/>
      <c r="CM277" s="289"/>
      <c r="CN277" s="289"/>
      <c r="CO277" s="289"/>
      <c r="CP277" s="289"/>
      <c r="CQ277" s="289"/>
      <c r="CR277" s="289"/>
      <c r="CS277" s="289"/>
      <c r="CT277" s="289"/>
      <c r="CU277" s="289"/>
      <c r="CV277" s="289"/>
      <c r="CW277" s="289"/>
      <c r="CX277" s="289"/>
      <c r="CY277" s="289"/>
      <c r="CZ277" s="289"/>
    </row>
    <row r="278" spans="1:104" x14ac:dyDescent="0.2">
      <c r="A278" s="289"/>
      <c r="B278" s="289"/>
      <c r="C278" s="289" t="s">
        <v>311</v>
      </c>
      <c r="D278" s="289"/>
      <c r="E278" s="291"/>
      <c r="F278" s="292"/>
      <c r="G278" s="292"/>
      <c r="H278" s="293"/>
      <c r="I278" s="358">
        <f t="shared" ref="I278:AM278" si="590">I247/(I274*(AVERAGE(I266,I261)))</f>
        <v>9.3838704349723912E-2</v>
      </c>
      <c r="J278" s="344">
        <f t="shared" si="590"/>
        <v>9.3105216136378038E-2</v>
      </c>
      <c r="K278" s="342">
        <f t="shared" si="590"/>
        <v>9.5559320782114182E-2</v>
      </c>
      <c r="L278" s="342">
        <f t="shared" si="590"/>
        <v>0.11234408657954778</v>
      </c>
      <c r="M278" s="343">
        <f t="shared" si="590"/>
        <v>0.11054533112378885</v>
      </c>
      <c r="N278" s="358">
        <f t="shared" si="590"/>
        <v>0.11120802353880081</v>
      </c>
      <c r="O278" s="344">
        <f t="shared" si="590"/>
        <v>0.10363562420330209</v>
      </c>
      <c r="P278" s="342">
        <f t="shared" si="590"/>
        <v>0.10312882174631627</v>
      </c>
      <c r="Q278" s="342">
        <f t="shared" si="590"/>
        <v>9.8989020222080434E-2</v>
      </c>
      <c r="R278" s="343">
        <f t="shared" si="590"/>
        <v>0.10024029041519988</v>
      </c>
      <c r="S278" s="358">
        <f t="shared" si="590"/>
        <v>0.10056410657149642</v>
      </c>
      <c r="T278" s="344">
        <f t="shared" si="590"/>
        <v>9.7990057825737317E-2</v>
      </c>
      <c r="U278" s="342">
        <f t="shared" si="590"/>
        <v>0.10305422698725032</v>
      </c>
      <c r="V278" s="342">
        <f t="shared" si="590"/>
        <v>0.12429411317198441</v>
      </c>
      <c r="W278" s="343">
        <f t="shared" si="590"/>
        <v>0.110522131287038</v>
      </c>
      <c r="X278" s="358">
        <f t="shared" si="590"/>
        <v>0.11447451545583757</v>
      </c>
      <c r="Y278" s="344">
        <f t="shared" si="590"/>
        <v>0.11917610881151504</v>
      </c>
      <c r="Z278" s="342">
        <f t="shared" si="590"/>
        <v>0.11773119244071918</v>
      </c>
      <c r="AA278" s="342">
        <f t="shared" si="590"/>
        <v>0.10896307713434382</v>
      </c>
      <c r="AB278" s="343">
        <f t="shared" si="590"/>
        <v>0.10637451442068181</v>
      </c>
      <c r="AC278" s="358">
        <f t="shared" si="590"/>
        <v>0.10553123408498034</v>
      </c>
      <c r="AD278" s="344">
        <f t="shared" si="590"/>
        <v>0.10420942146832415</v>
      </c>
      <c r="AE278" s="342">
        <f t="shared" si="590"/>
        <v>9.7147483312459162E-2</v>
      </c>
      <c r="AF278" s="342">
        <f t="shared" si="590"/>
        <v>9.5174305521125518E-2</v>
      </c>
      <c r="AG278" s="343">
        <f t="shared" si="590"/>
        <v>9.9121735779996611E-2</v>
      </c>
      <c r="AH278" s="358">
        <f>AH247/(AH274*(AVERAGE(AH266,AH261)))</f>
        <v>0.10244943295966695</v>
      </c>
      <c r="AI278" s="344">
        <f>AI247/(AI274*(AVERAGE(AI266,AI261)))</f>
        <v>9.5105188104631325E-2</v>
      </c>
      <c r="AJ278" s="342">
        <f>AJ247/(AJ274*(AVERAGE(AJ266,AJ261)))</f>
        <v>9.7340201817258498E-2</v>
      </c>
      <c r="AK278" s="342">
        <f t="shared" si="590"/>
        <v>9.9516004957867596E-2</v>
      </c>
      <c r="AL278" s="343">
        <f t="shared" si="590"/>
        <v>9.6460237393822007E-2</v>
      </c>
      <c r="AM278" s="358">
        <f t="shared" si="590"/>
        <v>9.6540992273235773E-2</v>
      </c>
      <c r="AN278" s="344">
        <f>AN247/(AN274*(AVERAGE(AN266,AN261)))</f>
        <v>9.4024442038768558E-2</v>
      </c>
      <c r="AO278" s="342">
        <f t="shared" ref="AO278:AW278" si="591">AO247/(AO274*(AVERAGE(AO266,AO261)))</f>
        <v>9.223305795392861E-2</v>
      </c>
      <c r="AP278" s="342">
        <f>AP247/(AP274*(AVERAGE(AP266,AP261)))</f>
        <v>9.0720539760102137E-2</v>
      </c>
      <c r="AQ278" s="343">
        <f t="shared" si="591"/>
        <v>9.0725869499650405E-2</v>
      </c>
      <c r="AR278" s="358">
        <f t="shared" si="591"/>
        <v>9.2008367359599039E-2</v>
      </c>
      <c r="AS278" s="344">
        <f t="shared" si="591"/>
        <v>8.6864872054775943E-2</v>
      </c>
      <c r="AT278" s="342">
        <f t="shared" si="591"/>
        <v>9.1555719277439482E-2</v>
      </c>
      <c r="AU278" s="342">
        <f t="shared" si="591"/>
        <v>9.1430206210239229E-2</v>
      </c>
      <c r="AV278" s="343">
        <f t="shared" si="591"/>
        <v>8.9307575134272538E-2</v>
      </c>
      <c r="AW278" s="358">
        <f t="shared" si="591"/>
        <v>9.0765301070334509E-2</v>
      </c>
      <c r="AX278" s="344">
        <f t="shared" ref="AX278:BG278" si="592">AX247/(AX274*(AVERAGE(AX266,AX261)))</f>
        <v>9.1067274996088091E-2</v>
      </c>
      <c r="AY278" s="342">
        <f t="shared" si="592"/>
        <v>9.1381003165121849E-2</v>
      </c>
      <c r="AZ278" s="342">
        <f t="shared" si="592"/>
        <v>9.2346501378664889E-2</v>
      </c>
      <c r="BA278" s="343">
        <f t="shared" si="592"/>
        <v>8.9598823349152174E-2</v>
      </c>
      <c r="BB278" s="358">
        <f t="shared" si="592"/>
        <v>9.1834104882857745E-2</v>
      </c>
      <c r="BC278" s="344">
        <f t="shared" si="592"/>
        <v>8.8437004860844409E-2</v>
      </c>
      <c r="BD278" s="342">
        <f t="shared" si="592"/>
        <v>8.5372519881887474E-2</v>
      </c>
      <c r="BE278" s="342">
        <f t="shared" si="592"/>
        <v>8.3555453991639592E-2</v>
      </c>
      <c r="BF278" s="343">
        <f t="shared" si="592"/>
        <v>8.3263528544773716E-2</v>
      </c>
      <c r="BG278" s="358">
        <f t="shared" si="592"/>
        <v>8.5366090136604456E-2</v>
      </c>
      <c r="BH278" s="344">
        <f t="shared" ref="BH278:BQ278" si="593">BH247/(BH274*(AVERAGE(BH266,BH261)))</f>
        <v>8.2624144079763456E-2</v>
      </c>
      <c r="BI278" s="342">
        <f t="shared" si="593"/>
        <v>8.3419924743875565E-2</v>
      </c>
      <c r="BJ278" s="342">
        <f t="shared" si="593"/>
        <v>8.1913578747329879E-2</v>
      </c>
      <c r="BK278" s="343">
        <f t="shared" si="593"/>
        <v>7.9908681795700987E-2</v>
      </c>
      <c r="BL278" s="358">
        <f t="shared" si="593"/>
        <v>8.1919244673437988E-2</v>
      </c>
      <c r="BM278" s="344">
        <f t="shared" si="593"/>
        <v>7.9892170100986412E-2</v>
      </c>
      <c r="BN278" s="342">
        <f t="shared" si="593"/>
        <v>8.0731231243013624E-2</v>
      </c>
      <c r="BO278" s="342">
        <f t="shared" si="593"/>
        <v>7.9905394124987331E-2</v>
      </c>
      <c r="BP278" s="343">
        <f t="shared" si="593"/>
        <v>7.9673513637868787E-2</v>
      </c>
      <c r="BQ278" s="358">
        <f t="shared" si="593"/>
        <v>8.1679229048269297E-2</v>
      </c>
      <c r="BR278" s="289"/>
      <c r="BS278" s="289"/>
      <c r="BT278" s="289"/>
      <c r="BU278" s="289"/>
      <c r="BV278" s="289"/>
      <c r="BW278" s="289"/>
      <c r="BX278" s="289"/>
      <c r="BY278" s="289"/>
      <c r="BZ278" s="289"/>
      <c r="CA278" s="289"/>
      <c r="CB278" s="289"/>
      <c r="CC278" s="289"/>
      <c r="CD278" s="289"/>
      <c r="CE278" s="289"/>
      <c r="CF278" s="289"/>
      <c r="CG278" s="289"/>
      <c r="CH278" s="289"/>
      <c r="CI278" s="289"/>
      <c r="CJ278" s="289"/>
      <c r="CK278" s="289"/>
      <c r="CL278" s="289"/>
      <c r="CM278" s="289"/>
      <c r="CN278" s="289"/>
      <c r="CO278" s="289"/>
      <c r="CP278" s="289"/>
      <c r="CQ278" s="289"/>
      <c r="CR278" s="289"/>
      <c r="CS278" s="289"/>
      <c r="CT278" s="289"/>
      <c r="CU278" s="289"/>
      <c r="CV278" s="289"/>
      <c r="CW278" s="289"/>
      <c r="CX278" s="289"/>
      <c r="CY278" s="289"/>
      <c r="CZ278" s="289"/>
    </row>
    <row r="279" spans="1:104" x14ac:dyDescent="0.2">
      <c r="A279" s="289"/>
      <c r="B279" s="289"/>
      <c r="C279" s="289" t="s">
        <v>312</v>
      </c>
      <c r="D279" s="289"/>
      <c r="E279" s="291"/>
      <c r="F279" s="292"/>
      <c r="G279" s="292"/>
      <c r="H279" s="293"/>
      <c r="I279" s="358">
        <f t="shared" ref="I279:BB279" si="594">(I247-I28+0.65*I36)/(I274*(AVERAGE(I266,I261)))</f>
        <v>7.8423813536654299E-2</v>
      </c>
      <c r="J279" s="344">
        <f t="shared" si="594"/>
        <v>9.1957171439681198E-2</v>
      </c>
      <c r="K279" s="342">
        <f t="shared" si="594"/>
        <v>9.4399130991462687E-2</v>
      </c>
      <c r="L279" s="342">
        <f t="shared" si="594"/>
        <v>0.11145624680142316</v>
      </c>
      <c r="M279" s="343">
        <f t="shared" si="594"/>
        <v>0.10963621939623787</v>
      </c>
      <c r="N279" s="358">
        <f t="shared" si="594"/>
        <v>0.10708500526292161</v>
      </c>
      <c r="O279" s="344">
        <f t="shared" si="594"/>
        <v>0.10310980103745232</v>
      </c>
      <c r="P279" s="342">
        <f t="shared" si="594"/>
        <v>0.10253589200579029</v>
      </c>
      <c r="Q279" s="342">
        <f t="shared" si="594"/>
        <v>9.8348637328155464E-2</v>
      </c>
      <c r="R279" s="343">
        <f t="shared" si="594"/>
        <v>9.9484565683301204E-2</v>
      </c>
      <c r="S279" s="358">
        <f t="shared" si="594"/>
        <v>9.8049034515073269E-2</v>
      </c>
      <c r="T279" s="344">
        <f t="shared" si="594"/>
        <v>9.7123207755917526E-2</v>
      </c>
      <c r="U279" s="342">
        <f t="shared" si="594"/>
        <v>0.101933262215265</v>
      </c>
      <c r="V279" s="342">
        <f t="shared" si="594"/>
        <v>0.12260046519377171</v>
      </c>
      <c r="W279" s="343">
        <f t="shared" si="594"/>
        <v>0.10873837565978044</v>
      </c>
      <c r="X279" s="358">
        <f t="shared" si="594"/>
        <v>0.10902232166631602</v>
      </c>
      <c r="Y279" s="344">
        <f t="shared" si="594"/>
        <v>0.11736365883472789</v>
      </c>
      <c r="Z279" s="342">
        <f t="shared" si="594"/>
        <v>0.11558601010506638</v>
      </c>
      <c r="AA279" s="342">
        <f t="shared" si="594"/>
        <v>0.10636801381848204</v>
      </c>
      <c r="AB279" s="343">
        <f t="shared" si="594"/>
        <v>0.10299913202757052</v>
      </c>
      <c r="AC279" s="358">
        <f t="shared" si="594"/>
        <v>9.5894793442786216E-2</v>
      </c>
      <c r="AD279" s="344">
        <f t="shared" si="594"/>
        <v>0.10096643176316707</v>
      </c>
      <c r="AE279" s="342">
        <f t="shared" si="594"/>
        <v>9.3658086782467065E-2</v>
      </c>
      <c r="AF279" s="342">
        <f t="shared" si="594"/>
        <v>9.1835173614319823E-2</v>
      </c>
      <c r="AG279" s="343">
        <f t="shared" si="594"/>
        <v>9.6407564336881552E-2</v>
      </c>
      <c r="AH279" s="358">
        <f>(AH247-AH28+0.65*AH36)/(AH274*(AVERAGE(AH266,AH261)))</f>
        <v>8.9397442991867929E-2</v>
      </c>
      <c r="AI279" s="344">
        <f>(AI247-AI28+0.65*AI36)/(AI274*(AVERAGE(AI266,AI261)))</f>
        <v>9.4357581219170719E-2</v>
      </c>
      <c r="AJ279" s="342">
        <f>(AJ247-AJ28+0.65*AJ36)/(AJ274*(AVERAGE(AJ266,AJ261)))</f>
        <v>9.6433406523097495E-2</v>
      </c>
      <c r="AK279" s="342">
        <f t="shared" si="594"/>
        <v>9.8487823700832047E-2</v>
      </c>
      <c r="AL279" s="343">
        <f t="shared" si="594"/>
        <v>9.5346279339352205E-2</v>
      </c>
      <c r="AM279" s="358">
        <f t="shared" si="594"/>
        <v>9.2802981603521115E-2</v>
      </c>
      <c r="AN279" s="344">
        <f>(AN247-AN28+0.65*AN36)/(AN274*(AVERAGE(AN266,AN261)))</f>
        <v>9.2955153451888969E-2</v>
      </c>
      <c r="AO279" s="342">
        <f t="shared" si="594"/>
        <v>9.1210893040694241E-2</v>
      </c>
      <c r="AP279" s="342">
        <f>(AP247-AP28+0.65*AP36)/(AP274*(AVERAGE(AP266,AP261)))</f>
        <v>8.9414125029747007E-2</v>
      </c>
      <c r="AQ279" s="343">
        <f t="shared" si="594"/>
        <v>8.9545930719716338E-2</v>
      </c>
      <c r="AR279" s="358">
        <f t="shared" si="594"/>
        <v>8.741555198816027E-2</v>
      </c>
      <c r="AS279" s="344">
        <f t="shared" si="594"/>
        <v>8.5758750219137897E-2</v>
      </c>
      <c r="AT279" s="342">
        <f t="shared" si="594"/>
        <v>9.0019660962606052E-2</v>
      </c>
      <c r="AU279" s="342">
        <f t="shared" si="594"/>
        <v>8.9400332537727889E-2</v>
      </c>
      <c r="AV279" s="343">
        <f t="shared" si="594"/>
        <v>8.7015769884765171E-2</v>
      </c>
      <c r="AW279" s="358">
        <f t="shared" si="594"/>
        <v>8.3928765476985065E-2</v>
      </c>
      <c r="AX279" s="344">
        <f t="shared" si="594"/>
        <v>8.8673233763217396E-2</v>
      </c>
      <c r="AY279" s="342">
        <f t="shared" si="594"/>
        <v>8.9018400508738257E-2</v>
      </c>
      <c r="AZ279" s="342">
        <f t="shared" si="594"/>
        <v>8.9975248599523244E-2</v>
      </c>
      <c r="BA279" s="343">
        <f t="shared" si="594"/>
        <v>8.7270629644406197E-2</v>
      </c>
      <c r="BB279" s="358">
        <f t="shared" si="594"/>
        <v>8.2288998066618532E-2</v>
      </c>
      <c r="BC279" s="344">
        <f t="shared" ref="BC279:BL279" si="595">(BC247-BC28+0.65*BC36)/(BC274*(AVERAGE(BC266,BC261)))</f>
        <v>8.7027011901110868E-2</v>
      </c>
      <c r="BD279" s="342">
        <f t="shared" si="595"/>
        <v>8.4001940216788279E-2</v>
      </c>
      <c r="BE279" s="342">
        <f t="shared" si="595"/>
        <v>8.2219898543717099E-2</v>
      </c>
      <c r="BF279" s="343">
        <f t="shared" si="595"/>
        <v>8.1937325031294264E-2</v>
      </c>
      <c r="BG279" s="358">
        <f t="shared" si="595"/>
        <v>7.9927319493571208E-2</v>
      </c>
      <c r="BH279" s="344">
        <f t="shared" si="595"/>
        <v>8.1415912044654912E-2</v>
      </c>
      <c r="BI279" s="342">
        <f t="shared" si="595"/>
        <v>8.2208550944262521E-2</v>
      </c>
      <c r="BJ279" s="342">
        <f t="shared" si="595"/>
        <v>8.073125991009733E-2</v>
      </c>
      <c r="BK279" s="343">
        <f t="shared" si="595"/>
        <v>7.8768711858212409E-2</v>
      </c>
      <c r="BL279" s="358">
        <f t="shared" si="595"/>
        <v>7.7244634899834477E-2</v>
      </c>
      <c r="BM279" s="344">
        <f t="shared" ref="BM279:BQ279" si="596">(BM247-BM28+0.65*BM36)/(BM274*(AVERAGE(BM266,BM261)))</f>
        <v>7.8541982990151152E-2</v>
      </c>
      <c r="BN279" s="342">
        <f t="shared" si="596"/>
        <v>7.9384419831264666E-2</v>
      </c>
      <c r="BO279" s="342">
        <f t="shared" si="596"/>
        <v>7.8592242735090342E-2</v>
      </c>
      <c r="BP279" s="343">
        <f t="shared" si="596"/>
        <v>7.8384516871000023E-2</v>
      </c>
      <c r="BQ279" s="358">
        <f t="shared" si="596"/>
        <v>7.6393444231895369E-2</v>
      </c>
      <c r="BR279" s="289"/>
      <c r="BS279" s="289"/>
      <c r="BT279" s="289"/>
      <c r="BU279" s="289"/>
      <c r="BV279" s="289"/>
      <c r="BW279" s="289"/>
      <c r="BX279" s="289"/>
      <c r="BY279" s="289"/>
      <c r="BZ279" s="289"/>
      <c r="CA279" s="289"/>
      <c r="CB279" s="289"/>
      <c r="CC279" s="289"/>
      <c r="CD279" s="289"/>
      <c r="CE279" s="289"/>
      <c r="CF279" s="289"/>
      <c r="CG279" s="289"/>
      <c r="CH279" s="289"/>
      <c r="CI279" s="289"/>
      <c r="CJ279" s="289"/>
      <c r="CK279" s="289"/>
      <c r="CL279" s="289"/>
      <c r="CM279" s="289"/>
      <c r="CN279" s="289"/>
      <c r="CO279" s="289"/>
      <c r="CP279" s="289"/>
      <c r="CQ279" s="289"/>
      <c r="CR279" s="289"/>
      <c r="CS279" s="289"/>
      <c r="CT279" s="289"/>
      <c r="CU279" s="289"/>
      <c r="CV279" s="289"/>
      <c r="CW279" s="289"/>
      <c r="CX279" s="289"/>
      <c r="CY279" s="289"/>
      <c r="CZ279" s="289"/>
    </row>
    <row r="280" spans="1:104" x14ac:dyDescent="0.2">
      <c r="A280" s="289"/>
      <c r="B280" s="289"/>
      <c r="C280" s="289"/>
      <c r="D280" s="289"/>
      <c r="E280" s="291"/>
      <c r="F280" s="292"/>
      <c r="G280" s="292"/>
      <c r="H280" s="293"/>
      <c r="I280" s="289"/>
      <c r="J280" s="291"/>
      <c r="K280" s="292"/>
      <c r="L280" s="292"/>
      <c r="M280" s="293"/>
      <c r="N280" s="289"/>
      <c r="O280" s="291"/>
      <c r="P280" s="292"/>
      <c r="Q280" s="292"/>
      <c r="R280" s="293"/>
      <c r="S280" s="289"/>
      <c r="T280" s="291"/>
      <c r="U280" s="292"/>
      <c r="V280" s="292"/>
      <c r="W280" s="293"/>
      <c r="X280" s="289"/>
      <c r="Y280" s="291"/>
      <c r="Z280" s="292"/>
      <c r="AA280" s="292"/>
      <c r="AB280" s="293"/>
      <c r="AC280" s="289"/>
      <c r="AD280" s="291"/>
      <c r="AE280" s="292"/>
      <c r="AF280" s="292"/>
      <c r="AG280" s="293"/>
      <c r="AH280" s="289"/>
      <c r="AI280" s="291"/>
      <c r="AJ280" s="292"/>
      <c r="AK280" s="292"/>
      <c r="AL280" s="293"/>
      <c r="AM280" s="289"/>
      <c r="AN280" s="291"/>
      <c r="AO280" s="292"/>
      <c r="AP280" s="292"/>
      <c r="AQ280" s="293"/>
      <c r="AR280" s="289"/>
      <c r="AS280" s="291"/>
      <c r="AT280" s="292"/>
      <c r="AU280" s="292"/>
      <c r="AV280" s="293"/>
      <c r="AW280" s="289"/>
      <c r="AX280" s="291"/>
      <c r="AY280" s="292"/>
      <c r="AZ280" s="292"/>
      <c r="BA280" s="293"/>
      <c r="BB280" s="289"/>
      <c r="BC280" s="291"/>
      <c r="BD280" s="292"/>
      <c r="BE280" s="292"/>
      <c r="BF280" s="293"/>
      <c r="BG280" s="289"/>
      <c r="BH280" s="291"/>
      <c r="BI280" s="292"/>
      <c r="BJ280" s="292"/>
      <c r="BK280" s="293"/>
      <c r="BL280" s="289"/>
      <c r="BM280" s="291"/>
      <c r="BN280" s="292"/>
      <c r="BO280" s="292"/>
      <c r="BP280" s="293"/>
      <c r="BQ280" s="289"/>
      <c r="BR280" s="289"/>
      <c r="BS280" s="289"/>
      <c r="BT280" s="289"/>
      <c r="BU280" s="289"/>
      <c r="BV280" s="289"/>
      <c r="BW280" s="289"/>
      <c r="BX280" s="289"/>
      <c r="BY280" s="289"/>
      <c r="BZ280" s="289"/>
      <c r="CA280" s="289"/>
      <c r="CB280" s="289"/>
      <c r="CC280" s="289"/>
      <c r="CD280" s="289"/>
      <c r="CE280" s="289"/>
      <c r="CF280" s="289"/>
      <c r="CG280" s="289"/>
      <c r="CH280" s="289"/>
      <c r="CI280" s="289"/>
      <c r="CJ280" s="289"/>
      <c r="CK280" s="289"/>
      <c r="CL280" s="289"/>
      <c r="CM280" s="289"/>
      <c r="CN280" s="289"/>
      <c r="CO280" s="289"/>
      <c r="CP280" s="289"/>
      <c r="CQ280" s="289"/>
      <c r="CR280" s="289"/>
      <c r="CS280" s="289"/>
      <c r="CT280" s="289"/>
      <c r="CU280" s="289"/>
      <c r="CV280" s="289"/>
      <c r="CW280" s="289"/>
      <c r="CX280" s="289"/>
      <c r="CY280" s="289"/>
      <c r="CZ280" s="289"/>
    </row>
    <row r="281" spans="1:104" x14ac:dyDescent="0.2">
      <c r="A281" s="289"/>
      <c r="B281" s="289"/>
      <c r="C281" s="289"/>
      <c r="D281" s="289"/>
      <c r="E281" s="556"/>
      <c r="F281" s="557"/>
      <c r="G281" s="557"/>
      <c r="H281" s="558"/>
      <c r="I281" s="127"/>
      <c r="J281" s="559"/>
      <c r="K281" s="560"/>
      <c r="L281" s="560"/>
      <c r="M281" s="561"/>
      <c r="N281" s="127"/>
      <c r="O281" s="559"/>
      <c r="P281" s="560"/>
      <c r="Q281" s="560"/>
      <c r="R281" s="561"/>
      <c r="S281" s="127"/>
      <c r="T281" s="559"/>
      <c r="U281" s="560"/>
      <c r="V281" s="560"/>
      <c r="W281" s="561"/>
      <c r="X281" s="127"/>
      <c r="Y281" s="559"/>
      <c r="Z281" s="560"/>
      <c r="AA281" s="560"/>
      <c r="AB281" s="561"/>
      <c r="AC281" s="358"/>
      <c r="AD281" s="559"/>
      <c r="AE281" s="560"/>
      <c r="AF281" s="560"/>
      <c r="AG281" s="561"/>
      <c r="AH281" s="358"/>
      <c r="AI281" s="559"/>
      <c r="AJ281" s="560"/>
      <c r="AK281" s="560"/>
      <c r="AL281" s="561"/>
      <c r="AM281" s="358"/>
      <c r="AN281" s="559"/>
      <c r="AO281" s="560"/>
      <c r="AP281" s="560"/>
      <c r="AQ281" s="561"/>
      <c r="AR281" s="358"/>
      <c r="AS281" s="559"/>
      <c r="AT281" s="560"/>
      <c r="AU281" s="560"/>
      <c r="AV281" s="561"/>
      <c r="AW281" s="358"/>
      <c r="AX281" s="559"/>
      <c r="AY281" s="560"/>
      <c r="AZ281" s="560"/>
      <c r="BA281" s="561"/>
      <c r="BB281" s="358"/>
      <c r="BC281" s="559"/>
      <c r="BD281" s="560"/>
      <c r="BE281" s="560"/>
      <c r="BF281" s="561"/>
      <c r="BG281" s="358"/>
      <c r="BH281" s="559"/>
      <c r="BI281" s="560"/>
      <c r="BJ281" s="560"/>
      <c r="BK281" s="561"/>
      <c r="BL281" s="358"/>
      <c r="BM281" s="559"/>
      <c r="BN281" s="560"/>
      <c r="BO281" s="560"/>
      <c r="BP281" s="561"/>
      <c r="BQ281" s="358"/>
      <c r="BR281" s="289"/>
      <c r="BS281" s="289"/>
      <c r="BT281" s="289"/>
      <c r="BU281" s="289"/>
      <c r="BV281" s="289"/>
      <c r="BW281" s="289"/>
      <c r="BX281" s="289"/>
      <c r="BY281" s="289"/>
      <c r="BZ281" s="289"/>
      <c r="CA281" s="289"/>
      <c r="CB281" s="289"/>
      <c r="CC281" s="289"/>
      <c r="CD281" s="289"/>
      <c r="CE281" s="289"/>
      <c r="CF281" s="289"/>
      <c r="CG281" s="289"/>
      <c r="CH281" s="289"/>
      <c r="CI281" s="289"/>
      <c r="CJ281" s="289"/>
      <c r="CK281" s="289"/>
      <c r="CL281" s="289"/>
      <c r="CM281" s="289"/>
      <c r="CN281" s="289"/>
      <c r="CO281" s="289"/>
      <c r="CP281" s="289"/>
      <c r="CQ281" s="289"/>
      <c r="CR281" s="289"/>
      <c r="CS281" s="289"/>
      <c r="CT281" s="289"/>
      <c r="CU281" s="289"/>
      <c r="CV281" s="289"/>
      <c r="CW281" s="289"/>
      <c r="CX281" s="289"/>
      <c r="CY281" s="289"/>
      <c r="CZ281" s="289"/>
    </row>
    <row r="282" spans="1:104" x14ac:dyDescent="0.2">
      <c r="AC282" s="795"/>
    </row>
    <row r="283" spans="1:104" x14ac:dyDescent="0.2">
      <c r="C283" s="846" t="s">
        <v>580</v>
      </c>
      <c r="X283">
        <v>5641</v>
      </c>
      <c r="AC283">
        <v>5922</v>
      </c>
      <c r="AH283">
        <v>6277</v>
      </c>
      <c r="AM283">
        <v>6520</v>
      </c>
      <c r="AR283">
        <v>6927</v>
      </c>
    </row>
    <row r="284" spans="1:104" x14ac:dyDescent="0.2">
      <c r="C284" s="846" t="s">
        <v>581</v>
      </c>
      <c r="X284">
        <v>1237</v>
      </c>
      <c r="AC284">
        <v>1483</v>
      </c>
      <c r="AH284">
        <v>1661</v>
      </c>
      <c r="AM284">
        <v>1845</v>
      </c>
      <c r="AR284">
        <v>1939</v>
      </c>
    </row>
    <row r="285" spans="1:104" x14ac:dyDescent="0.2">
      <c r="C285" s="846" t="s">
        <v>582</v>
      </c>
      <c r="X285" s="804">
        <f>X286-SUM(X283:X284)</f>
        <v>504</v>
      </c>
      <c r="AC285" s="804">
        <f>AC288*0.6</f>
        <v>735</v>
      </c>
      <c r="AH285">
        <v>578</v>
      </c>
      <c r="AM285">
        <v>620</v>
      </c>
      <c r="AR285">
        <v>532</v>
      </c>
    </row>
    <row r="286" spans="1:104" x14ac:dyDescent="0.2">
      <c r="X286">
        <v>7382</v>
      </c>
      <c r="AC286">
        <f t="shared" ref="AC286:AH286" si="597">SUM(AC283:AC285)</f>
        <v>8140</v>
      </c>
      <c r="AD286">
        <f t="shared" si="597"/>
        <v>0</v>
      </c>
      <c r="AE286">
        <f t="shared" si="597"/>
        <v>0</v>
      </c>
      <c r="AF286">
        <f t="shared" si="597"/>
        <v>0</v>
      </c>
      <c r="AG286">
        <f t="shared" si="597"/>
        <v>0</v>
      </c>
      <c r="AH286">
        <f t="shared" si="597"/>
        <v>8516</v>
      </c>
      <c r="AM286">
        <f>SUM(AM283:AM285)</f>
        <v>8985</v>
      </c>
      <c r="AR286">
        <f>SUM(AR283:AR285)</f>
        <v>9398</v>
      </c>
    </row>
    <row r="288" spans="1:104" x14ac:dyDescent="0.2">
      <c r="C288" s="846" t="s">
        <v>593</v>
      </c>
      <c r="X288">
        <v>1112</v>
      </c>
      <c r="AC288">
        <v>1225</v>
      </c>
      <c r="AH288">
        <f>AH285+SPS!AH245</f>
        <v>1162</v>
      </c>
      <c r="AM288">
        <f>AM285+SPS!AM245</f>
        <v>1477</v>
      </c>
    </row>
    <row r="289" spans="24:39" x14ac:dyDescent="0.2">
      <c r="X289" s="513">
        <f>X285/X288</f>
        <v>0.45323741007194246</v>
      </c>
      <c r="AH289" s="513">
        <f>AH285/AH288</f>
        <v>0.4974182444061962</v>
      </c>
      <c r="AM289" s="513">
        <f>AM285/AM288</f>
        <v>0.41976980365605959</v>
      </c>
    </row>
  </sheetData>
  <phoneticPr fontId="45" type="noConversion"/>
  <pageMargins left="0.5" right="0.5" top="0.5" bottom="0.5" header="0" footer="0"/>
  <pageSetup scale="55" fitToHeight="4" orientation="landscape" r:id="rId1"/>
  <headerFooter alignWithMargins="0"/>
  <rowBreaks count="4" manualBreakCount="4">
    <brk id="81" max="69" man="1"/>
    <brk id="141" max="69" man="1"/>
    <brk id="196" max="69" man="1"/>
    <brk id="241" max="69" man="1"/>
  </rowBreak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ED252"/>
  <sheetViews>
    <sheetView zoomScale="80" zoomScaleNormal="80" workbookViewId="0">
      <pane xSplit="4" ySplit="5" topLeftCell="I6" activePane="bottomRight" state="frozen"/>
      <selection activeCell="I42" sqref="I42:I46"/>
      <selection pane="topRight" activeCell="I42" sqref="I42:I46"/>
      <selection pane="bottomLeft" activeCell="I42" sqref="I42:I46"/>
      <selection pane="bottomRight" activeCell="I6" sqref="I6"/>
    </sheetView>
  </sheetViews>
  <sheetFormatPr defaultRowHeight="12.75" outlineLevelCol="1" x14ac:dyDescent="0.2"/>
  <cols>
    <col min="1" max="2" width="2.7109375" customWidth="1"/>
    <col min="3" max="3" width="41.42578125" customWidth="1"/>
    <col min="4" max="4" width="3.5703125" customWidth="1"/>
    <col min="5" max="8" width="9" hidden="1" customWidth="1" outlineLevel="1"/>
    <col min="9" max="9" width="9" customWidth="1" collapsed="1"/>
    <col min="10" max="13" width="9" hidden="1" customWidth="1" outlineLevel="1"/>
    <col min="14" max="14" width="9" customWidth="1" collapsed="1"/>
    <col min="15" max="18" width="9" hidden="1" customWidth="1" outlineLevel="1"/>
    <col min="19" max="19" width="9" customWidth="1" collapsed="1"/>
    <col min="20" max="23" width="9" hidden="1" customWidth="1" outlineLevel="1"/>
    <col min="24" max="24" width="9" customWidth="1" collapsed="1"/>
    <col min="25" max="28" width="9" hidden="1" customWidth="1" outlineLevel="1"/>
    <col min="29" max="29" width="9" customWidth="1" collapsed="1"/>
    <col min="30" max="33" width="9" hidden="1" customWidth="1" outlineLevel="1"/>
    <col min="34" max="34" width="9" customWidth="1" collapsed="1"/>
    <col min="35" max="38" width="9" hidden="1" customWidth="1" outlineLevel="1"/>
    <col min="39" max="39" width="9" customWidth="1" collapsed="1"/>
    <col min="40" max="43" width="9" hidden="1" customWidth="1" outlineLevel="1"/>
    <col min="44" max="44" width="9" customWidth="1" collapsed="1"/>
    <col min="45" max="48" width="9" hidden="1" customWidth="1" outlineLevel="1"/>
    <col min="49" max="49" width="9" customWidth="1" collapsed="1"/>
    <col min="50" max="53" width="9" hidden="1" customWidth="1" outlineLevel="1"/>
    <col min="54" max="54" width="9" customWidth="1" collapsed="1"/>
    <col min="55" max="58" width="9" hidden="1" customWidth="1" outlineLevel="1"/>
    <col min="59" max="59" width="9" customWidth="1" collapsed="1"/>
    <col min="60" max="63" width="9" hidden="1" customWidth="1" outlineLevel="1"/>
    <col min="64" max="64" width="9" customWidth="1" collapsed="1"/>
    <col min="65" max="68" width="9" hidden="1" customWidth="1" outlineLevel="1"/>
    <col min="69" max="69" width="9" customWidth="1" collapsed="1"/>
    <col min="70" max="70" width="5.140625" bestFit="1" customWidth="1"/>
    <col min="90" max="92" width="11.42578125" customWidth="1"/>
    <col min="93" max="93" width="9.7109375" customWidth="1"/>
    <col min="94" max="97" width="11.42578125" customWidth="1"/>
    <col min="98" max="98" width="10.7109375" customWidth="1"/>
    <col min="99" max="101" width="11.42578125" customWidth="1"/>
    <col min="102" max="104" width="9.7109375" customWidth="1"/>
    <col min="128" max="131" width="9.140625" customWidth="1"/>
  </cols>
  <sheetData>
    <row r="1" spans="1:104" ht="15" customHeight="1" x14ac:dyDescent="0.25">
      <c r="A1" s="2"/>
      <c r="B1" s="2"/>
      <c r="C1" s="2"/>
      <c r="D1" s="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</row>
    <row r="2" spans="1:104" ht="15" customHeight="1" x14ac:dyDescent="0.25">
      <c r="A2" s="2"/>
      <c r="B2" s="2" t="str">
        <f>Cover!$B$2</f>
        <v>Xcel Energy</v>
      </c>
      <c r="C2" s="2"/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  <c r="CJ2" s="94"/>
      <c r="CK2" s="94"/>
      <c r="CL2" s="94"/>
      <c r="CM2" s="94"/>
      <c r="CN2" s="94"/>
      <c r="CO2" s="94"/>
      <c r="CP2" s="94"/>
      <c r="CQ2" s="94"/>
      <c r="CR2" s="94"/>
      <c r="CS2" s="94"/>
      <c r="CT2" s="94"/>
      <c r="CU2" s="94"/>
      <c r="CV2" s="94"/>
      <c r="CW2" s="94"/>
      <c r="CX2" s="94"/>
      <c r="CY2" s="94"/>
      <c r="CZ2" s="94"/>
    </row>
    <row r="3" spans="1:104" ht="15" customHeight="1" x14ac:dyDescent="0.25">
      <c r="A3" s="5"/>
      <c r="B3" s="6" t="s">
        <v>391</v>
      </c>
      <c r="C3" s="6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94"/>
      <c r="BS3" s="94"/>
      <c r="BT3" s="94"/>
      <c r="BU3" s="94"/>
      <c r="BV3" s="94"/>
      <c r="BW3" s="94"/>
      <c r="BX3" s="94"/>
      <c r="BY3" s="94"/>
      <c r="BZ3" s="94"/>
      <c r="CA3" s="94"/>
      <c r="CB3" s="94"/>
      <c r="CC3" s="94"/>
      <c r="CD3" s="94"/>
      <c r="CE3" s="94"/>
      <c r="CF3" s="94"/>
      <c r="CG3" s="94"/>
      <c r="CH3" s="94"/>
      <c r="CI3" s="94"/>
      <c r="CJ3" s="94"/>
      <c r="CK3" s="94"/>
      <c r="CL3" s="94"/>
      <c r="CM3" s="94"/>
      <c r="CN3" s="94"/>
      <c r="CO3" s="94"/>
      <c r="CP3" s="94"/>
      <c r="CQ3" s="94"/>
      <c r="CR3" s="94"/>
      <c r="CS3" s="94"/>
      <c r="CT3" s="94"/>
      <c r="CU3" s="94"/>
      <c r="CV3" s="94"/>
      <c r="CW3" s="94"/>
      <c r="CX3" s="94"/>
      <c r="CY3" s="94"/>
      <c r="CZ3" s="94"/>
    </row>
    <row r="4" spans="1:104" x14ac:dyDescent="0.2">
      <c r="A4" s="8"/>
      <c r="B4" s="9" t="s">
        <v>1</v>
      </c>
      <c r="C4" s="9"/>
      <c r="D4" s="263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95"/>
      <c r="BS4" s="95"/>
      <c r="BT4" s="95"/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H4" s="95"/>
      <c r="CI4" s="95"/>
      <c r="CJ4" s="95"/>
      <c r="CK4" s="95"/>
      <c r="CL4" s="95"/>
      <c r="CM4" s="95"/>
      <c r="CN4" s="95"/>
      <c r="CO4" s="95"/>
      <c r="CP4" s="95"/>
      <c r="CQ4" s="95"/>
      <c r="CR4" s="95"/>
      <c r="CS4" s="95"/>
      <c r="CT4" s="95"/>
      <c r="CU4" s="95"/>
      <c r="CV4" s="95"/>
      <c r="CW4" s="95"/>
      <c r="CX4" s="95"/>
      <c r="CY4" s="95"/>
      <c r="CZ4" s="95"/>
    </row>
    <row r="5" spans="1:104" x14ac:dyDescent="0.2">
      <c r="B5" s="264" t="s">
        <v>41</v>
      </c>
      <c r="C5" s="264"/>
      <c r="D5" s="265"/>
      <c r="E5" s="104" t="s">
        <v>101</v>
      </c>
      <c r="F5" s="105" t="s">
        <v>102</v>
      </c>
      <c r="G5" s="105" t="s">
        <v>103</v>
      </c>
      <c r="H5" s="106" t="s">
        <v>104</v>
      </c>
      <c r="I5" s="266">
        <v>2009</v>
      </c>
      <c r="J5" s="104" t="s">
        <v>105</v>
      </c>
      <c r="K5" s="105" t="s">
        <v>106</v>
      </c>
      <c r="L5" s="105" t="s">
        <v>107</v>
      </c>
      <c r="M5" s="106" t="s">
        <v>108</v>
      </c>
      <c r="N5" s="266" t="s">
        <v>3</v>
      </c>
      <c r="O5" s="104" t="s">
        <v>109</v>
      </c>
      <c r="P5" s="105" t="s">
        <v>110</v>
      </c>
      <c r="Q5" s="105" t="s">
        <v>479</v>
      </c>
      <c r="R5" s="106" t="s">
        <v>175</v>
      </c>
      <c r="S5" s="266">
        <v>2011</v>
      </c>
      <c r="T5" s="104" t="s">
        <v>508</v>
      </c>
      <c r="U5" s="105" t="s">
        <v>509</v>
      </c>
      <c r="V5" s="105" t="s">
        <v>510</v>
      </c>
      <c r="W5" s="106" t="s">
        <v>522</v>
      </c>
      <c r="X5" s="267" t="s">
        <v>523</v>
      </c>
      <c r="Y5" s="104" t="s">
        <v>524</v>
      </c>
      <c r="Z5" s="100" t="s">
        <v>527</v>
      </c>
      <c r="AA5" s="100" t="s">
        <v>528</v>
      </c>
      <c r="AB5" s="101" t="s">
        <v>537</v>
      </c>
      <c r="AC5" s="103" t="s">
        <v>538</v>
      </c>
      <c r="AD5" s="99" t="s">
        <v>539</v>
      </c>
      <c r="AE5" s="100" t="s">
        <v>543</v>
      </c>
      <c r="AF5" s="100" t="s">
        <v>544</v>
      </c>
      <c r="AG5" s="106" t="s">
        <v>550</v>
      </c>
      <c r="AH5" s="267" t="s">
        <v>551</v>
      </c>
      <c r="AI5" s="104" t="s">
        <v>553</v>
      </c>
      <c r="AJ5" s="105" t="s">
        <v>554</v>
      </c>
      <c r="AK5" s="105" t="s">
        <v>569</v>
      </c>
      <c r="AL5" s="106" t="s">
        <v>570</v>
      </c>
      <c r="AM5" s="267" t="s">
        <v>571</v>
      </c>
      <c r="AN5" s="372" t="s">
        <v>574</v>
      </c>
      <c r="AO5" s="373" t="s">
        <v>589</v>
      </c>
      <c r="AP5" s="105" t="s">
        <v>597</v>
      </c>
      <c r="AQ5" s="374" t="s">
        <v>605</v>
      </c>
      <c r="AR5" s="103" t="s">
        <v>604</v>
      </c>
      <c r="AS5" s="372" t="s">
        <v>631</v>
      </c>
      <c r="AT5" s="373" t="s">
        <v>638</v>
      </c>
      <c r="AU5" s="373" t="s">
        <v>640</v>
      </c>
      <c r="AV5" s="374" t="s">
        <v>664</v>
      </c>
      <c r="AW5" s="375" t="s">
        <v>665</v>
      </c>
      <c r="AX5" s="372" t="s">
        <v>529</v>
      </c>
      <c r="AY5" s="373" t="s">
        <v>530</v>
      </c>
      <c r="AZ5" s="373" t="s">
        <v>531</v>
      </c>
      <c r="BA5" s="374" t="s">
        <v>532</v>
      </c>
      <c r="BB5" s="375">
        <v>2018</v>
      </c>
      <c r="BC5" s="372" t="s">
        <v>555</v>
      </c>
      <c r="BD5" s="373" t="s">
        <v>556</v>
      </c>
      <c r="BE5" s="373" t="s">
        <v>557</v>
      </c>
      <c r="BF5" s="374" t="s">
        <v>558</v>
      </c>
      <c r="BG5" s="375">
        <v>2019</v>
      </c>
      <c r="BH5" s="372" t="s">
        <v>599</v>
      </c>
      <c r="BI5" s="373" t="s">
        <v>600</v>
      </c>
      <c r="BJ5" s="373" t="s">
        <v>601</v>
      </c>
      <c r="BK5" s="374" t="s">
        <v>602</v>
      </c>
      <c r="BL5" s="375">
        <v>2020</v>
      </c>
      <c r="BM5" s="372" t="s">
        <v>670</v>
      </c>
      <c r="BN5" s="373" t="s">
        <v>671</v>
      </c>
      <c r="BO5" s="373" t="s">
        <v>672</v>
      </c>
      <c r="BP5" s="374" t="s">
        <v>673</v>
      </c>
      <c r="BQ5" s="375">
        <v>2021</v>
      </c>
      <c r="BR5" s="268"/>
      <c r="BS5" s="268"/>
      <c r="BT5" s="268"/>
      <c r="BU5" s="268"/>
      <c r="BV5" s="268"/>
      <c r="BW5" s="268"/>
      <c r="BX5" s="268"/>
      <c r="BY5" s="268"/>
      <c r="BZ5" s="268"/>
      <c r="CA5" s="268"/>
      <c r="CB5" s="268"/>
      <c r="CC5" s="268"/>
      <c r="CD5" s="268"/>
      <c r="CE5" s="268"/>
      <c r="CF5" s="268"/>
      <c r="CG5" s="268"/>
      <c r="CH5" s="268"/>
      <c r="CI5" s="268"/>
      <c r="CJ5" s="268"/>
      <c r="CK5" s="268"/>
      <c r="CL5" s="268"/>
      <c r="CM5" s="268"/>
      <c r="CN5" s="268"/>
      <c r="CO5" s="268"/>
      <c r="CP5" s="268"/>
      <c r="CQ5" s="268"/>
      <c r="CR5" s="268"/>
      <c r="CS5" s="268"/>
      <c r="CT5" s="268"/>
      <c r="CU5" s="268"/>
      <c r="CV5" s="268"/>
      <c r="CW5" s="268"/>
      <c r="CX5" s="268"/>
      <c r="CY5" s="268"/>
      <c r="CZ5" s="268"/>
    </row>
    <row r="6" spans="1:104" x14ac:dyDescent="0.2">
      <c r="E6" s="120"/>
      <c r="F6" s="139"/>
      <c r="G6" s="139"/>
      <c r="H6" s="119"/>
      <c r="I6" s="42"/>
      <c r="J6" s="120"/>
      <c r="K6" s="139"/>
      <c r="L6" s="139"/>
      <c r="M6" s="119"/>
      <c r="N6" s="42"/>
      <c r="O6" s="120"/>
      <c r="P6" s="139"/>
      <c r="Q6" s="139"/>
      <c r="R6" s="119"/>
      <c r="S6" s="266"/>
      <c r="T6" s="120"/>
      <c r="U6" s="139"/>
      <c r="V6" s="139"/>
      <c r="W6" s="119"/>
      <c r="X6" s="42"/>
      <c r="Y6" s="120"/>
      <c r="Z6" s="139"/>
      <c r="AA6" s="139"/>
      <c r="AB6" s="119"/>
      <c r="AC6" s="42"/>
      <c r="AD6" s="120"/>
      <c r="AE6" s="139"/>
      <c r="AF6" s="139"/>
      <c r="AG6" s="119"/>
      <c r="AH6" s="42"/>
      <c r="AI6" s="120"/>
      <c r="AJ6" s="139"/>
      <c r="AK6" s="139"/>
      <c r="AL6" s="119"/>
      <c r="AM6" s="42"/>
      <c r="AN6" s="120"/>
      <c r="AO6" s="139"/>
      <c r="AP6" s="139"/>
      <c r="AQ6" s="119"/>
      <c r="AR6" s="42"/>
      <c r="AS6" s="120"/>
      <c r="AT6" s="139"/>
      <c r="AU6" s="139"/>
      <c r="AV6" s="119"/>
      <c r="AW6" s="42"/>
      <c r="AX6" s="120"/>
      <c r="AY6" s="139"/>
      <c r="AZ6" s="139"/>
      <c r="BA6" s="119"/>
      <c r="BB6" s="42"/>
      <c r="BC6" s="120"/>
      <c r="BD6" s="139"/>
      <c r="BE6" s="139"/>
      <c r="BF6" s="119"/>
      <c r="BG6" s="42"/>
      <c r="BH6" s="120"/>
      <c r="BI6" s="139"/>
      <c r="BJ6" s="139"/>
      <c r="BK6" s="119"/>
      <c r="BL6" s="42"/>
      <c r="BM6" s="120"/>
      <c r="BN6" s="139"/>
      <c r="BO6" s="139"/>
      <c r="BP6" s="119"/>
      <c r="BQ6" s="42"/>
    </row>
    <row r="7" spans="1:104" x14ac:dyDescent="0.2">
      <c r="B7" s="16" t="s">
        <v>111</v>
      </c>
      <c r="C7" s="16"/>
      <c r="D7" s="17"/>
      <c r="E7" s="120"/>
      <c r="F7" s="139"/>
      <c r="G7" s="139"/>
      <c r="H7" s="119"/>
      <c r="I7" s="42"/>
      <c r="J7" s="120"/>
      <c r="K7" s="139"/>
      <c r="L7" s="139"/>
      <c r="M7" s="119"/>
      <c r="N7" s="42"/>
      <c r="O7" s="120"/>
      <c r="P7" s="139"/>
      <c r="Q7" s="139"/>
      <c r="R7" s="119"/>
      <c r="S7" s="42"/>
      <c r="T7" s="120"/>
      <c r="U7" s="139"/>
      <c r="V7" s="139"/>
      <c r="W7" s="119"/>
      <c r="X7" s="42"/>
      <c r="Y7" s="120"/>
      <c r="Z7" s="139"/>
      <c r="AA7" s="139"/>
      <c r="AB7" s="119"/>
      <c r="AC7" s="42"/>
      <c r="AD7" s="120"/>
      <c r="AE7" s="139"/>
      <c r="AF7" s="139"/>
      <c r="AG7" s="119"/>
      <c r="AH7" s="42"/>
      <c r="AI7" s="120"/>
      <c r="AJ7" s="139"/>
      <c r="AK7" s="139"/>
      <c r="AL7" s="119"/>
      <c r="AM7" s="42"/>
      <c r="AN7" s="120"/>
      <c r="AO7" s="139"/>
      <c r="AP7" s="139"/>
      <c r="AQ7" s="119"/>
      <c r="AR7" s="42"/>
      <c r="AS7" s="120"/>
      <c r="AT7" s="139"/>
      <c r="AU7" s="139"/>
      <c r="AV7" s="119"/>
      <c r="AW7" s="42"/>
      <c r="AX7" s="120"/>
      <c r="AY7" s="139"/>
      <c r="AZ7" s="139"/>
      <c r="BA7" s="119"/>
      <c r="BB7" s="42"/>
      <c r="BC7" s="120"/>
      <c r="BD7" s="139"/>
      <c r="BE7" s="139"/>
      <c r="BF7" s="119"/>
      <c r="BG7" s="42"/>
      <c r="BH7" s="120"/>
      <c r="BI7" s="139"/>
      <c r="BJ7" s="139"/>
      <c r="BK7" s="119"/>
      <c r="BL7" s="42"/>
      <c r="BM7" s="120"/>
      <c r="BN7" s="139"/>
      <c r="BO7" s="139"/>
      <c r="BP7" s="119"/>
      <c r="BQ7" s="42"/>
    </row>
    <row r="8" spans="1:104" s="20" customFormat="1" x14ac:dyDescent="0.2">
      <c r="A8" s="220"/>
      <c r="B8" s="220"/>
      <c r="C8" s="20" t="s">
        <v>418</v>
      </c>
      <c r="D8" s="82"/>
      <c r="E8" s="114">
        <v>368.983</v>
      </c>
      <c r="F8" s="115">
        <v>328.14</v>
      </c>
      <c r="G8" s="115">
        <v>397.09399999999999</v>
      </c>
      <c r="H8" s="131">
        <f>I8-SUM(E8:G8)</f>
        <v>365.00599999999986</v>
      </c>
      <c r="I8" s="117">
        <v>1459.223</v>
      </c>
      <c r="J8" s="114">
        <v>381.48200000000003</v>
      </c>
      <c r="K8" s="115">
        <v>398.44900000000001</v>
      </c>
      <c r="L8" s="115">
        <v>467.42399999999998</v>
      </c>
      <c r="M8" s="131">
        <f>N8-SUM(J8:L8)</f>
        <v>365.63499999999999</v>
      </c>
      <c r="N8" s="117">
        <v>1612.99</v>
      </c>
      <c r="O8" s="114">
        <v>381.209</v>
      </c>
      <c r="P8" s="115">
        <v>433.28899999999999</v>
      </c>
      <c r="Q8" s="115">
        <v>522.92100000000005</v>
      </c>
      <c r="R8" s="131">
        <f>S8-SUM(O8:Q8)</f>
        <v>370.14599999999996</v>
      </c>
      <c r="S8" s="117">
        <v>1707.5650000000001</v>
      </c>
      <c r="T8" s="114">
        <v>340.488</v>
      </c>
      <c r="U8" s="115">
        <v>380.20100000000002</v>
      </c>
      <c r="V8" s="115">
        <v>471.88900000000001</v>
      </c>
      <c r="W8" s="131">
        <f>X8-SUM(T8:V8)</f>
        <v>347.47700000000009</v>
      </c>
      <c r="X8" s="117">
        <v>1540.0550000000001</v>
      </c>
      <c r="Y8" s="114">
        <v>374.25700000000001</v>
      </c>
      <c r="Z8" s="115">
        <v>461.83100000000002</v>
      </c>
      <c r="AA8" s="115">
        <v>481.40699999999998</v>
      </c>
      <c r="AB8" s="131">
        <f>AC8-SUM(Y8:AA8)</f>
        <v>389.5920000000001</v>
      </c>
      <c r="AC8" s="117">
        <v>1707.087</v>
      </c>
      <c r="AD8" s="114">
        <v>448.4</v>
      </c>
      <c r="AE8" s="115">
        <v>492.536</v>
      </c>
      <c r="AF8" s="115">
        <v>552.779</v>
      </c>
      <c r="AG8" s="131">
        <f>AH8-SUM(AD8:AF8)</f>
        <v>443.65499999999997</v>
      </c>
      <c r="AH8" s="117">
        <v>1937.37</v>
      </c>
      <c r="AI8" s="114">
        <v>423.82900000000001</v>
      </c>
      <c r="AJ8" s="115">
        <v>422.98500000000001</v>
      </c>
      <c r="AK8" s="115">
        <v>530.75199999999995</v>
      </c>
      <c r="AL8" s="131">
        <f>AM8-SUM(AI8:AK8)</f>
        <v>409.65200000000004</v>
      </c>
      <c r="AM8" s="117">
        <v>1787.2180000000001</v>
      </c>
      <c r="AN8" s="114">
        <v>390.839</v>
      </c>
      <c r="AO8" s="115">
        <v>440.44499999999999</v>
      </c>
      <c r="AP8" s="115">
        <v>554.92600000000004</v>
      </c>
      <c r="AQ8" s="131">
        <f>AR8-SUM(AN8:AP8)</f>
        <v>464.74900000000002</v>
      </c>
      <c r="AR8" s="117">
        <v>1850.9590000000001</v>
      </c>
      <c r="AS8" s="114">
        <v>460.072</v>
      </c>
      <c r="AT8" s="115">
        <v>479.79599999999999</v>
      </c>
      <c r="AU8" s="115">
        <v>551.62300000000005</v>
      </c>
      <c r="AV8" s="131">
        <f>AW8-SUM(AS8:AU8)</f>
        <v>426.50900000000001</v>
      </c>
      <c r="AW8" s="117">
        <v>1918</v>
      </c>
      <c r="AX8" s="136">
        <f>AX78</f>
        <v>478.04790539164958</v>
      </c>
      <c r="AY8" s="135">
        <f>AY78</f>
        <v>489.31833119164958</v>
      </c>
      <c r="AZ8" s="135">
        <f>AZ78</f>
        <v>557.14747797692451</v>
      </c>
      <c r="BA8" s="116">
        <f>BA78</f>
        <v>441.26647597964956</v>
      </c>
      <c r="BB8" s="82">
        <f>SUM(AX8:BA8)</f>
        <v>1965.7801905398733</v>
      </c>
      <c r="BC8" s="136">
        <f>BC78</f>
        <v>499.04814124235492</v>
      </c>
      <c r="BD8" s="135">
        <f>BD78</f>
        <v>510.95884810685493</v>
      </c>
      <c r="BE8" s="135">
        <f>BE78</f>
        <v>583.72358094696403</v>
      </c>
      <c r="BF8" s="116">
        <f>BF78</f>
        <v>462.242369416825</v>
      </c>
      <c r="BG8" s="82">
        <f>SUM(BC8:BF8)</f>
        <v>2055.9729397129991</v>
      </c>
      <c r="BH8" s="136">
        <f>BH78</f>
        <v>522.61016724779643</v>
      </c>
      <c r="BI8" s="135">
        <f>BI78</f>
        <v>535.36275587945784</v>
      </c>
      <c r="BJ8" s="135">
        <f>BJ78</f>
        <v>613.92696200038984</v>
      </c>
      <c r="BK8" s="116">
        <f>BK78</f>
        <v>485.77999215270279</v>
      </c>
      <c r="BL8" s="82">
        <f>SUM(BH8:BK8)</f>
        <v>2157.6798772803468</v>
      </c>
      <c r="BM8" s="136">
        <f>BM78</f>
        <v>542.57180875314214</v>
      </c>
      <c r="BN8" s="135">
        <f>BN78</f>
        <v>555.91838385638266</v>
      </c>
      <c r="BO8" s="135">
        <f>BO78</f>
        <v>639.14501368048798</v>
      </c>
      <c r="BP8" s="116">
        <f>BP78</f>
        <v>505.71716938031079</v>
      </c>
      <c r="BQ8" s="82">
        <f>SUM(BM8:BP8)</f>
        <v>2243.3523756703235</v>
      </c>
      <c r="BR8" s="220"/>
      <c r="BS8" s="220"/>
      <c r="BT8" s="220"/>
      <c r="BU8" s="220"/>
      <c r="BV8" s="220"/>
      <c r="BW8" s="220"/>
      <c r="BX8" s="220"/>
      <c r="BY8" s="220"/>
      <c r="BZ8" s="220"/>
      <c r="CA8" s="220"/>
      <c r="CB8" s="220"/>
      <c r="CC8" s="220"/>
      <c r="CD8" s="220"/>
      <c r="CE8" s="220"/>
      <c r="CF8" s="220"/>
      <c r="CG8" s="220"/>
      <c r="CH8" s="220"/>
      <c r="CI8" s="220"/>
      <c r="CJ8" s="220"/>
      <c r="CK8" s="220"/>
      <c r="CL8" s="220"/>
      <c r="CM8" s="220"/>
      <c r="CN8" s="220"/>
      <c r="CO8" s="220"/>
      <c r="CP8" s="220"/>
      <c r="CQ8" s="220"/>
      <c r="CR8" s="220"/>
      <c r="CS8" s="220"/>
      <c r="CT8" s="220"/>
      <c r="CU8" s="220"/>
      <c r="CV8" s="220"/>
      <c r="CW8" s="220"/>
      <c r="CX8" s="220"/>
      <c r="CY8" s="220"/>
      <c r="CZ8" s="220"/>
    </row>
    <row r="9" spans="1:104" s="20" customFormat="1" x14ac:dyDescent="0.2">
      <c r="A9" s="220"/>
      <c r="B9" s="220"/>
      <c r="C9" s="20" t="s">
        <v>115</v>
      </c>
      <c r="D9" s="82"/>
      <c r="E9" s="114">
        <v>247.50899999999999</v>
      </c>
      <c r="F9" s="115">
        <v>196.01</v>
      </c>
      <c r="G9" s="115">
        <v>229.607</v>
      </c>
      <c r="H9" s="131">
        <f>I9-SUM(E9:G9)</f>
        <v>241.22400000000005</v>
      </c>
      <c r="I9" s="117">
        <v>914.35</v>
      </c>
      <c r="J9" s="114">
        <v>256.19400000000002</v>
      </c>
      <c r="K9" s="115">
        <v>243.50899999999999</v>
      </c>
      <c r="L9" s="115">
        <v>288.38600000000002</v>
      </c>
      <c r="M9" s="131">
        <f>N9-SUM(J9:L9)</f>
        <v>235.84900000000005</v>
      </c>
      <c r="N9" s="117">
        <v>1023.938</v>
      </c>
      <c r="O9" s="114">
        <v>249.25</v>
      </c>
      <c r="P9" s="115">
        <v>275.40300000000002</v>
      </c>
      <c r="Q9" s="115">
        <v>325.93</v>
      </c>
      <c r="R9" s="131">
        <f>S9-SUM(O9:Q9)</f>
        <v>238.83199999999988</v>
      </c>
      <c r="S9" s="117">
        <v>1089.415</v>
      </c>
      <c r="T9" s="114">
        <v>203.261</v>
      </c>
      <c r="U9" s="115">
        <v>213.035</v>
      </c>
      <c r="V9" s="115">
        <v>259.78300000000002</v>
      </c>
      <c r="W9" s="131">
        <f>X9-SUM(T9:V9)</f>
        <v>213.48800000000006</v>
      </c>
      <c r="X9" s="117">
        <v>889.56700000000001</v>
      </c>
      <c r="Y9" s="114">
        <v>231.23400000000001</v>
      </c>
      <c r="Z9" s="115">
        <v>289.012</v>
      </c>
      <c r="AA9" s="115">
        <v>293.83100000000002</v>
      </c>
      <c r="AB9" s="131">
        <f>AC9-SUM(Y9:AA9)</f>
        <v>245.25299999999993</v>
      </c>
      <c r="AC9" s="117">
        <v>1059.33</v>
      </c>
      <c r="AD9" s="114">
        <v>289.20400000000001</v>
      </c>
      <c r="AE9" s="115">
        <v>314.14600000000002</v>
      </c>
      <c r="AF9" s="115">
        <v>315.524</v>
      </c>
      <c r="AG9" s="131">
        <f>AH9-SUM(AD9:AF9)</f>
        <v>273.30199999999991</v>
      </c>
      <c r="AH9" s="117">
        <v>1192.1759999999999</v>
      </c>
      <c r="AI9" s="114">
        <v>245.79900000000001</v>
      </c>
      <c r="AJ9" s="115">
        <v>243.02600000000001</v>
      </c>
      <c r="AK9" s="115">
        <v>287.476</v>
      </c>
      <c r="AL9" s="131">
        <f>AM9-SUM(AI9:AK9)</f>
        <v>224.78199999999993</v>
      </c>
      <c r="AM9" s="117">
        <v>1001.083</v>
      </c>
      <c r="AN9" s="114">
        <v>213.40299999999999</v>
      </c>
      <c r="AO9" s="115">
        <v>246.547</v>
      </c>
      <c r="AP9" s="115">
        <v>297.58699999999999</v>
      </c>
      <c r="AQ9" s="131">
        <f>AR9-SUM(AN9:AP9)</f>
        <v>277.41300000000001</v>
      </c>
      <c r="AR9" s="117">
        <v>1034.95</v>
      </c>
      <c r="AS9" s="114">
        <v>253.685</v>
      </c>
      <c r="AT9" s="115">
        <v>267.94200000000001</v>
      </c>
      <c r="AU9" s="115">
        <v>294.39999999999998</v>
      </c>
      <c r="AV9" s="131">
        <f>AW9-SUM(AS9:AU9)</f>
        <v>239.30600000000015</v>
      </c>
      <c r="AW9" s="117">
        <v>1055.3330000000001</v>
      </c>
      <c r="AX9" s="136">
        <f>+AX96</f>
        <v>256.78250763027563</v>
      </c>
      <c r="AY9" s="135">
        <f>+AY96</f>
        <v>266.95060237532783</v>
      </c>
      <c r="AZ9" s="135">
        <f>+AZ96</f>
        <v>295.89540746567707</v>
      </c>
      <c r="BA9" s="116">
        <f>+BA96</f>
        <v>240.1111996564504</v>
      </c>
      <c r="BB9" s="82">
        <f>SUM(AX9:BA9)</f>
        <v>1059.739717127731</v>
      </c>
      <c r="BC9" s="136">
        <f>+BC96</f>
        <v>257.25957073727182</v>
      </c>
      <c r="BD9" s="135">
        <f>+BD96</f>
        <v>267.41576427026246</v>
      </c>
      <c r="BE9" s="135">
        <f>+BE96</f>
        <v>296.39761513956699</v>
      </c>
      <c r="BF9" s="116">
        <f>+BF96</f>
        <v>240.56054579806391</v>
      </c>
      <c r="BG9" s="82">
        <f>SUM(BC9:BF9)</f>
        <v>1061.6334959451651</v>
      </c>
      <c r="BH9" s="136">
        <f>+BH96</f>
        <v>257.73782650203555</v>
      </c>
      <c r="BI9" s="135">
        <f>+BI96</f>
        <v>267.88208906993447</v>
      </c>
      <c r="BJ9" s="135">
        <f>+BJ96</f>
        <v>296.90107833264159</v>
      </c>
      <c r="BK9" s="116">
        <f>+BK96</f>
        <v>241.01101530503144</v>
      </c>
      <c r="BL9" s="82">
        <f>SUM(BH9:BK9)</f>
        <v>1063.5320092096431</v>
      </c>
      <c r="BM9" s="136">
        <f>+BM96</f>
        <v>258.21727790621117</v>
      </c>
      <c r="BN9" s="135">
        <f>+BN96</f>
        <v>268.34957968160563</v>
      </c>
      <c r="BO9" s="135">
        <f>+BO96</f>
        <v>297.40580018369889</v>
      </c>
      <c r="BP9" s="116">
        <f>+BP96</f>
        <v>241.46261098576639</v>
      </c>
      <c r="BQ9" s="82">
        <f>SUM(BM9:BP9)</f>
        <v>1065.4352687572821</v>
      </c>
      <c r="BR9" s="220"/>
      <c r="BS9" s="220"/>
      <c r="BT9" s="220"/>
      <c r="BU9" s="220"/>
      <c r="BV9" s="220"/>
      <c r="BW9" s="220"/>
      <c r="BX9" s="220"/>
      <c r="BY9" s="220"/>
      <c r="BZ9" s="220"/>
      <c r="CA9" s="220"/>
      <c r="CB9" s="220"/>
      <c r="CC9" s="220"/>
      <c r="CD9" s="220"/>
      <c r="CE9" s="220"/>
      <c r="CF9" s="220"/>
      <c r="CG9" s="220"/>
      <c r="CH9" s="220"/>
      <c r="CI9" s="220"/>
      <c r="CJ9" s="220"/>
      <c r="CK9" s="220"/>
      <c r="CL9" s="220"/>
      <c r="CM9" s="220"/>
      <c r="CN9" s="220"/>
      <c r="CO9" s="220"/>
      <c r="CP9" s="220"/>
      <c r="CQ9" s="220"/>
      <c r="CR9" s="220"/>
      <c r="CS9" s="220"/>
      <c r="CT9" s="220"/>
      <c r="CU9" s="220"/>
      <c r="CV9" s="220"/>
      <c r="CW9" s="220"/>
      <c r="CX9" s="220"/>
      <c r="CY9" s="220"/>
      <c r="CZ9" s="220"/>
    </row>
    <row r="10" spans="1:104" x14ac:dyDescent="0.2">
      <c r="A10" s="85"/>
      <c r="B10" s="85"/>
      <c r="C10" s="26" t="s">
        <v>119</v>
      </c>
      <c r="D10" s="86"/>
      <c r="E10" s="121">
        <f t="shared" ref="E10:AD10" si="0">+E8-E9</f>
        <v>121.47400000000002</v>
      </c>
      <c r="F10" s="122">
        <f t="shared" si="0"/>
        <v>132.13</v>
      </c>
      <c r="G10" s="122">
        <f t="shared" si="0"/>
        <v>167.48699999999999</v>
      </c>
      <c r="H10" s="123">
        <f t="shared" si="0"/>
        <v>123.78199999999981</v>
      </c>
      <c r="I10" s="86">
        <f t="shared" si="0"/>
        <v>544.87299999999993</v>
      </c>
      <c r="J10" s="121">
        <f t="shared" si="0"/>
        <v>125.28800000000001</v>
      </c>
      <c r="K10" s="122">
        <f t="shared" si="0"/>
        <v>154.94000000000003</v>
      </c>
      <c r="L10" s="122">
        <f t="shared" si="0"/>
        <v>179.03799999999995</v>
      </c>
      <c r="M10" s="123">
        <f t="shared" si="0"/>
        <v>129.78599999999994</v>
      </c>
      <c r="N10" s="86">
        <f t="shared" si="0"/>
        <v>589.05200000000002</v>
      </c>
      <c r="O10" s="121">
        <f t="shared" si="0"/>
        <v>131.959</v>
      </c>
      <c r="P10" s="122">
        <f t="shared" si="0"/>
        <v>157.88599999999997</v>
      </c>
      <c r="Q10" s="122">
        <f t="shared" si="0"/>
        <v>196.99100000000004</v>
      </c>
      <c r="R10" s="123">
        <f>+R8-R9</f>
        <v>131.31400000000008</v>
      </c>
      <c r="S10" s="86">
        <f>+S8-S9</f>
        <v>618.15000000000009</v>
      </c>
      <c r="T10" s="121">
        <f t="shared" si="0"/>
        <v>137.227</v>
      </c>
      <c r="U10" s="122">
        <f t="shared" si="0"/>
        <v>167.16600000000003</v>
      </c>
      <c r="V10" s="122">
        <f t="shared" si="0"/>
        <v>212.10599999999999</v>
      </c>
      <c r="W10" s="123">
        <f>+W8-W9</f>
        <v>133.98900000000003</v>
      </c>
      <c r="X10" s="86">
        <f>+X8-X9</f>
        <v>650.48800000000006</v>
      </c>
      <c r="Y10" s="121">
        <f t="shared" si="0"/>
        <v>143.023</v>
      </c>
      <c r="Z10" s="122">
        <f>+Z8-Z9</f>
        <v>172.81900000000002</v>
      </c>
      <c r="AA10" s="122">
        <f>+AA8-AA9</f>
        <v>187.57599999999996</v>
      </c>
      <c r="AB10" s="123">
        <f>+AB8-AB9</f>
        <v>144.33900000000017</v>
      </c>
      <c r="AC10" s="86">
        <f>+AC8-AC9</f>
        <v>647.75700000000006</v>
      </c>
      <c r="AD10" s="121">
        <f t="shared" si="0"/>
        <v>159.19599999999997</v>
      </c>
      <c r="AE10" s="122">
        <f t="shared" ref="AE10:AJ10" si="1">+AE8-AE9</f>
        <v>178.39</v>
      </c>
      <c r="AF10" s="122">
        <f t="shared" si="1"/>
        <v>237.255</v>
      </c>
      <c r="AG10" s="123">
        <f t="shared" si="1"/>
        <v>170.35300000000007</v>
      </c>
      <c r="AH10" s="86">
        <f t="shared" si="1"/>
        <v>745.19399999999996</v>
      </c>
      <c r="AI10" s="121">
        <f t="shared" si="1"/>
        <v>178.03</v>
      </c>
      <c r="AJ10" s="122">
        <f t="shared" si="1"/>
        <v>179.959</v>
      </c>
      <c r="AK10" s="122">
        <f>+AK8-AK9</f>
        <v>243.27599999999995</v>
      </c>
      <c r="AL10" s="123">
        <f>+AL8-AL9</f>
        <v>184.87000000000012</v>
      </c>
      <c r="AM10" s="86">
        <f>+AM8-AM9</f>
        <v>786.1350000000001</v>
      </c>
      <c r="AN10" s="121">
        <f>+AN8-AN9</f>
        <v>177.43600000000001</v>
      </c>
      <c r="AO10" s="122">
        <f>+AO8-AO9</f>
        <v>193.898</v>
      </c>
      <c r="AP10" s="122">
        <f t="shared" ref="AP10:AU10" si="2">+AP8-AP9</f>
        <v>257.33900000000006</v>
      </c>
      <c r="AQ10" s="123">
        <f>+AQ8-AQ9</f>
        <v>187.33600000000001</v>
      </c>
      <c r="AR10" s="86">
        <f>+AR8-AR9</f>
        <v>816.00900000000001</v>
      </c>
      <c r="AS10" s="121">
        <f>+AS8-AS9</f>
        <v>206.387</v>
      </c>
      <c r="AT10" s="122">
        <f>+AT8-AT9</f>
        <v>211.85399999999998</v>
      </c>
      <c r="AU10" s="122">
        <f t="shared" si="2"/>
        <v>257.22300000000007</v>
      </c>
      <c r="AV10" s="123">
        <f>+AV8-AV9</f>
        <v>187.20299999999986</v>
      </c>
      <c r="AW10" s="86">
        <f>+AW8-AW9</f>
        <v>862.66699999999992</v>
      </c>
      <c r="AX10" s="121">
        <f t="shared" ref="AX10:BG10" si="3">+AX8-AX9</f>
        <v>221.26539776137395</v>
      </c>
      <c r="AY10" s="122">
        <f t="shared" si="3"/>
        <v>222.36772881632174</v>
      </c>
      <c r="AZ10" s="122">
        <f t="shared" si="3"/>
        <v>261.25207051124744</v>
      </c>
      <c r="BA10" s="123">
        <f t="shared" si="3"/>
        <v>201.15527632319916</v>
      </c>
      <c r="BB10" s="86">
        <f t="shared" si="3"/>
        <v>906.04047341214232</v>
      </c>
      <c r="BC10" s="121">
        <f t="shared" si="3"/>
        <v>241.7885705050831</v>
      </c>
      <c r="BD10" s="122">
        <f t="shared" si="3"/>
        <v>243.54308383659247</v>
      </c>
      <c r="BE10" s="122">
        <f t="shared" si="3"/>
        <v>287.32596580739704</v>
      </c>
      <c r="BF10" s="123">
        <f t="shared" si="3"/>
        <v>221.68182361876109</v>
      </c>
      <c r="BG10" s="86">
        <f t="shared" si="3"/>
        <v>994.33944376783393</v>
      </c>
      <c r="BH10" s="121">
        <f t="shared" ref="BH10:BQ10" si="4">+BH8-BH9</f>
        <v>264.87234074576088</v>
      </c>
      <c r="BI10" s="122">
        <f t="shared" si="4"/>
        <v>267.48066680952337</v>
      </c>
      <c r="BJ10" s="122">
        <f t="shared" si="4"/>
        <v>317.02588366774825</v>
      </c>
      <c r="BK10" s="123">
        <f t="shared" si="4"/>
        <v>244.76897684767135</v>
      </c>
      <c r="BL10" s="86">
        <f t="shared" si="4"/>
        <v>1094.1478680707037</v>
      </c>
      <c r="BM10" s="121">
        <f t="shared" si="4"/>
        <v>284.35453084693097</v>
      </c>
      <c r="BN10" s="122">
        <f t="shared" si="4"/>
        <v>287.56880417477703</v>
      </c>
      <c r="BO10" s="122">
        <f t="shared" si="4"/>
        <v>341.73921349678909</v>
      </c>
      <c r="BP10" s="123">
        <f t="shared" si="4"/>
        <v>264.2545583945444</v>
      </c>
      <c r="BQ10" s="86">
        <f t="shared" si="4"/>
        <v>1177.9171069130414</v>
      </c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</row>
    <row r="11" spans="1:104" x14ac:dyDescent="0.2">
      <c r="A11" s="44"/>
      <c r="B11" s="44"/>
      <c r="C11" s="20"/>
      <c r="D11" s="42"/>
      <c r="E11" s="120"/>
      <c r="F11" s="139"/>
      <c r="G11" s="139"/>
      <c r="H11" s="119"/>
      <c r="I11" s="42"/>
      <c r="J11" s="120"/>
      <c r="K11" s="139"/>
      <c r="L11" s="139"/>
      <c r="M11" s="119"/>
      <c r="N11" s="42"/>
      <c r="O11" s="120"/>
      <c r="P11" s="139"/>
      <c r="Q11" s="139"/>
      <c r="R11" s="119"/>
      <c r="S11" s="42"/>
      <c r="T11" s="120"/>
      <c r="U11" s="139"/>
      <c r="V11" s="139"/>
      <c r="W11" s="119"/>
      <c r="X11" s="42"/>
      <c r="Y11" s="120"/>
      <c r="Z11" s="139"/>
      <c r="AA11" s="139"/>
      <c r="AB11" s="119"/>
      <c r="AC11" s="42"/>
      <c r="AD11" s="120"/>
      <c r="AE11" s="139"/>
      <c r="AF11" s="139"/>
      <c r="AG11" s="119"/>
      <c r="AH11" s="42"/>
      <c r="AI11" s="120"/>
      <c r="AJ11" s="139"/>
      <c r="AK11" s="139"/>
      <c r="AL11" s="119"/>
      <c r="AM11" s="42"/>
      <c r="AN11" s="120"/>
      <c r="AO11" s="139"/>
      <c r="AP11" s="139"/>
      <c r="AQ11" s="119"/>
      <c r="AR11" s="42"/>
      <c r="AS11" s="120"/>
      <c r="AT11" s="139"/>
      <c r="AU11" s="139"/>
      <c r="AV11" s="119"/>
      <c r="AW11" s="42"/>
      <c r="AX11" s="120"/>
      <c r="AY11" s="139"/>
      <c r="AZ11" s="139"/>
      <c r="BA11" s="119"/>
      <c r="BB11" s="44"/>
      <c r="BC11" s="120"/>
      <c r="BD11" s="139"/>
      <c r="BE11" s="139"/>
      <c r="BF11" s="119"/>
      <c r="BG11" s="44"/>
      <c r="BH11" s="120"/>
      <c r="BI11" s="139"/>
      <c r="BJ11" s="139"/>
      <c r="BK11" s="119"/>
      <c r="BL11" s="44"/>
      <c r="BM11" s="120"/>
      <c r="BN11" s="139"/>
      <c r="BO11" s="139"/>
      <c r="BP11" s="119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44"/>
      <c r="CY11" s="44"/>
      <c r="CZ11" s="44"/>
    </row>
    <row r="12" spans="1:104" x14ac:dyDescent="0.2">
      <c r="A12" s="44"/>
      <c r="B12" s="44"/>
      <c r="C12" s="20" t="s">
        <v>120</v>
      </c>
      <c r="D12" s="42"/>
      <c r="E12" s="114">
        <v>54.473999999999997</v>
      </c>
      <c r="F12" s="115">
        <v>53.956000000000003</v>
      </c>
      <c r="G12" s="115">
        <v>52.716000000000001</v>
      </c>
      <c r="H12" s="131">
        <f>I12-SUM(E12:G12)</f>
        <v>60.534999999999997</v>
      </c>
      <c r="I12" s="117">
        <v>221.68100000000001</v>
      </c>
      <c r="J12" s="114">
        <v>56.704999999999998</v>
      </c>
      <c r="K12" s="115">
        <v>62.281999999999996</v>
      </c>
      <c r="L12" s="115">
        <v>61.807000000000002</v>
      </c>
      <c r="M12" s="131">
        <f>N12-SUM(J12:L12)</f>
        <v>68.277000000000015</v>
      </c>
      <c r="N12" s="117">
        <v>249.071</v>
      </c>
      <c r="O12" s="114">
        <v>62.753</v>
      </c>
      <c r="P12" s="115">
        <v>62.731999999999999</v>
      </c>
      <c r="Q12" s="115">
        <v>61.651000000000003</v>
      </c>
      <c r="R12" s="131">
        <f>S12-SUM(O12:Q12)</f>
        <v>64.75</v>
      </c>
      <c r="S12" s="117">
        <v>251.886</v>
      </c>
      <c r="T12" s="114">
        <v>63.14</v>
      </c>
      <c r="U12" s="115">
        <v>62.145000000000003</v>
      </c>
      <c r="V12" s="115">
        <v>60.676000000000002</v>
      </c>
      <c r="W12" s="131">
        <f>X12-SUM(T12:V12)</f>
        <v>65.891999999999996</v>
      </c>
      <c r="X12" s="117">
        <v>251.85300000000001</v>
      </c>
      <c r="Y12" s="114">
        <v>64.569999999999993</v>
      </c>
      <c r="Z12" s="115">
        <v>67.450999999999993</v>
      </c>
      <c r="AA12" s="115">
        <v>66.287999999999997</v>
      </c>
      <c r="AB12" s="131">
        <f>AC12-SUM(Y12:AA12)</f>
        <v>55.571000000000026</v>
      </c>
      <c r="AC12" s="117">
        <v>253.88</v>
      </c>
      <c r="AD12" s="114">
        <v>69.397999999999996</v>
      </c>
      <c r="AE12" s="115">
        <v>68.962999999999994</v>
      </c>
      <c r="AF12" s="115">
        <v>66.832999999999998</v>
      </c>
      <c r="AG12" s="131">
        <f>AH12-SUM(AD12:AF12)</f>
        <v>72.022999999999996</v>
      </c>
      <c r="AH12" s="117">
        <v>277.21699999999998</v>
      </c>
      <c r="AI12" s="114">
        <v>73.897000000000006</v>
      </c>
      <c r="AJ12" s="115">
        <v>73.826999999999998</v>
      </c>
      <c r="AK12" s="115">
        <v>72.036000000000001</v>
      </c>
      <c r="AL12" s="131">
        <f>AM12-SUM(AI12:AK12)</f>
        <v>70.096000000000004</v>
      </c>
      <c r="AM12" s="117">
        <v>289.85599999999999</v>
      </c>
      <c r="AN12" s="114">
        <v>64.123000000000005</v>
      </c>
      <c r="AO12" s="115">
        <v>66.587999999999994</v>
      </c>
      <c r="AP12" s="115">
        <v>71.698999999999998</v>
      </c>
      <c r="AQ12" s="131">
        <f>AR12-SUM(AN12:AP12)</f>
        <v>67.060999999999979</v>
      </c>
      <c r="AR12" s="117">
        <v>269.471</v>
      </c>
      <c r="AS12" s="114">
        <v>76.888999999999996</v>
      </c>
      <c r="AT12" s="115">
        <v>70.17</v>
      </c>
      <c r="AU12" s="115">
        <v>66.289000000000001</v>
      </c>
      <c r="AV12" s="131">
        <f>AW12-SUM(AS12:AU12)</f>
        <v>76.206999999999994</v>
      </c>
      <c r="AW12" s="117">
        <v>289.55500000000001</v>
      </c>
      <c r="AX12" s="120">
        <f>+AX104</f>
        <v>76.888999999999996</v>
      </c>
      <c r="AY12" s="118">
        <f>+AY104</f>
        <v>70.17</v>
      </c>
      <c r="AZ12" s="118">
        <f>+AZ104</f>
        <v>66.289000000000001</v>
      </c>
      <c r="BA12" s="119">
        <f>+BA104</f>
        <v>76.206999999999994</v>
      </c>
      <c r="BB12" s="42">
        <f>SUM(AX12:BA12)</f>
        <v>289.55500000000001</v>
      </c>
      <c r="BC12" s="120">
        <f>+BC104</f>
        <v>76.888999999999996</v>
      </c>
      <c r="BD12" s="118">
        <f>+BD104</f>
        <v>70.17</v>
      </c>
      <c r="BE12" s="118">
        <f>+BE104</f>
        <v>66.289000000000001</v>
      </c>
      <c r="BF12" s="119">
        <f>+BF104</f>
        <v>76.206999999999994</v>
      </c>
      <c r="BG12" s="42">
        <f>SUM(BC12:BF12)</f>
        <v>289.55500000000001</v>
      </c>
      <c r="BH12" s="120">
        <f>+BH104</f>
        <v>76.888999999999996</v>
      </c>
      <c r="BI12" s="118">
        <f>+BI104</f>
        <v>70.17</v>
      </c>
      <c r="BJ12" s="118">
        <f>+BJ104</f>
        <v>66.289000000000001</v>
      </c>
      <c r="BK12" s="119">
        <f>+BK104</f>
        <v>76.206999999999994</v>
      </c>
      <c r="BL12" s="42">
        <f>SUM(BH12:BK12)</f>
        <v>289.55500000000001</v>
      </c>
      <c r="BM12" s="120">
        <f>+BM104</f>
        <v>76.888999999999996</v>
      </c>
      <c r="BN12" s="118">
        <f>+BN104</f>
        <v>70.17</v>
      </c>
      <c r="BO12" s="118">
        <f>+BO104</f>
        <v>66.289000000000001</v>
      </c>
      <c r="BP12" s="119">
        <f>+BP104</f>
        <v>76.206999999999994</v>
      </c>
      <c r="BQ12" s="42">
        <f>SUM(BM12:BP12)</f>
        <v>289.55500000000001</v>
      </c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</row>
    <row r="13" spans="1:104" x14ac:dyDescent="0.2">
      <c r="A13" s="44"/>
      <c r="B13" s="44"/>
      <c r="C13" s="20" t="s">
        <v>121</v>
      </c>
      <c r="D13" s="42"/>
      <c r="E13" s="114">
        <v>25.274999999999999</v>
      </c>
      <c r="F13" s="115">
        <v>25.279</v>
      </c>
      <c r="G13" s="115">
        <v>25.97</v>
      </c>
      <c r="H13" s="131">
        <f>I13-SUM(E13:G13)</f>
        <v>28.078000000000003</v>
      </c>
      <c r="I13" s="117">
        <v>104.602</v>
      </c>
      <c r="J13" s="114">
        <v>25.654</v>
      </c>
      <c r="K13" s="115">
        <v>25.654</v>
      </c>
      <c r="L13" s="115">
        <v>26.082999999999998</v>
      </c>
      <c r="M13" s="131">
        <f>N13-SUM(J13:L13)</f>
        <v>26.544000000000011</v>
      </c>
      <c r="N13" s="117">
        <v>103.935</v>
      </c>
      <c r="O13" s="114">
        <v>26.158000000000001</v>
      </c>
      <c r="P13" s="115">
        <v>26.364000000000001</v>
      </c>
      <c r="Q13" s="115">
        <v>27.067</v>
      </c>
      <c r="R13" s="131">
        <f>S13-SUM(O13:Q13)</f>
        <v>27.385000000000005</v>
      </c>
      <c r="S13" s="117">
        <v>106.974</v>
      </c>
      <c r="T13" s="114">
        <v>27.846</v>
      </c>
      <c r="U13" s="115">
        <v>28.248999999999999</v>
      </c>
      <c r="V13" s="115">
        <v>28.69</v>
      </c>
      <c r="W13" s="131">
        <f>X13-SUM(T13:V13)</f>
        <v>28.957999999999998</v>
      </c>
      <c r="X13" s="117">
        <v>113.74299999999999</v>
      </c>
      <c r="Y13" s="114">
        <v>30.204999999999998</v>
      </c>
      <c r="Z13" s="115">
        <v>31.055</v>
      </c>
      <c r="AA13" s="115">
        <v>30.315000000000001</v>
      </c>
      <c r="AB13" s="131">
        <f>AC13-SUM(Y13:AA13)</f>
        <v>30.331999999999994</v>
      </c>
      <c r="AC13" s="117">
        <v>121.907</v>
      </c>
      <c r="AD13" s="114">
        <v>30.512</v>
      </c>
      <c r="AE13" s="115">
        <v>35.070999999999998</v>
      </c>
      <c r="AF13" s="115">
        <v>34.207000000000001</v>
      </c>
      <c r="AG13" s="131">
        <f>AH13-SUM(AD13:AF13)</f>
        <v>35.842000000000013</v>
      </c>
      <c r="AH13" s="117">
        <v>135.63200000000001</v>
      </c>
      <c r="AI13" s="114">
        <v>35.738999999999997</v>
      </c>
      <c r="AJ13" s="115">
        <v>36.75</v>
      </c>
      <c r="AK13" s="115">
        <v>35.421999999999997</v>
      </c>
      <c r="AL13" s="131">
        <f>AM13-SUM(AI13:AK13)</f>
        <v>43.00200000000001</v>
      </c>
      <c r="AM13" s="117">
        <v>150.91300000000001</v>
      </c>
      <c r="AN13" s="114">
        <v>40.331000000000003</v>
      </c>
      <c r="AO13" s="115">
        <v>40.893000000000001</v>
      </c>
      <c r="AP13" s="115">
        <v>42.026000000000003</v>
      </c>
      <c r="AQ13" s="131">
        <f>AR13-SUM(AN13:AP13)</f>
        <v>39.179000000000002</v>
      </c>
      <c r="AR13" s="117">
        <v>162.429</v>
      </c>
      <c r="AS13" s="114">
        <v>50.417999999999999</v>
      </c>
      <c r="AT13" s="115">
        <v>46.814999999999998</v>
      </c>
      <c r="AU13" s="115">
        <v>47.548000000000002</v>
      </c>
      <c r="AV13" s="131">
        <f>AW13-SUM(AS13:AU13)</f>
        <v>49.133999999999986</v>
      </c>
      <c r="AW13" s="117">
        <v>193.91499999999999</v>
      </c>
      <c r="AX13" s="120">
        <f>AX122</f>
        <v>53.3670075</v>
      </c>
      <c r="AY13" s="118">
        <f>AY122</f>
        <v>52.381938041266899</v>
      </c>
      <c r="AZ13" s="118">
        <f>AZ122</f>
        <v>54.661391238302649</v>
      </c>
      <c r="BA13" s="119">
        <f>BA122</f>
        <v>56.915200586871741</v>
      </c>
      <c r="BB13" s="42">
        <f>SUM(AX13:BA13)</f>
        <v>217.3255373664413</v>
      </c>
      <c r="BC13" s="120">
        <f>BC122</f>
        <v>57.120926478515045</v>
      </c>
      <c r="BD13" s="118">
        <f>BD122</f>
        <v>58.777432343902923</v>
      </c>
      <c r="BE13" s="118">
        <f>BE122</f>
        <v>61.235396446711775</v>
      </c>
      <c r="BF13" s="119">
        <f>BF122</f>
        <v>63.666654162119528</v>
      </c>
      <c r="BG13" s="42">
        <f>SUM(BC13:BF13)</f>
        <v>240.80040943124928</v>
      </c>
      <c r="BH13" s="120">
        <f>BH122</f>
        <v>66.071495661625093</v>
      </c>
      <c r="BI13" s="118">
        <f>BI122</f>
        <v>70.218579987144736</v>
      </c>
      <c r="BJ13" s="118">
        <f>BJ122</f>
        <v>71.384219127492671</v>
      </c>
      <c r="BK13" s="119">
        <f>BK122</f>
        <v>72.537193310522312</v>
      </c>
      <c r="BL13" s="42">
        <f>SUM(BH13:BK13)</f>
        <v>280.21148808678481</v>
      </c>
      <c r="BM13" s="120">
        <f>BM122</f>
        <v>73.677640144124709</v>
      </c>
      <c r="BN13" s="118">
        <f>BN122</f>
        <v>75.792694079578794</v>
      </c>
      <c r="BO13" s="118">
        <f>BO122</f>
        <v>76.245854265317234</v>
      </c>
      <c r="BP13" s="119">
        <f>BP122</f>
        <v>76.694090753650457</v>
      </c>
      <c r="BQ13" s="42">
        <f>SUM(BM13:BP13)</f>
        <v>302.41027924267121</v>
      </c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  <c r="CX13" s="44"/>
      <c r="CY13" s="44"/>
      <c r="CZ13" s="44"/>
    </row>
    <row r="14" spans="1:104" x14ac:dyDescent="0.2">
      <c r="A14" s="44"/>
      <c r="B14" s="44"/>
      <c r="C14" t="s">
        <v>122</v>
      </c>
      <c r="D14" s="42"/>
      <c r="E14" s="114">
        <v>10.542</v>
      </c>
      <c r="F14" s="115">
        <v>9.2309999999999999</v>
      </c>
      <c r="G14" s="115">
        <v>9.4580000000000002</v>
      </c>
      <c r="H14" s="131">
        <f>I14-SUM(E14:G14)</f>
        <v>9.2719999999999985</v>
      </c>
      <c r="I14" s="117">
        <v>38.503</v>
      </c>
      <c r="J14" s="114">
        <v>10.154999999999999</v>
      </c>
      <c r="K14" s="115">
        <v>9.9060000000000006</v>
      </c>
      <c r="L14" s="115">
        <v>10.818</v>
      </c>
      <c r="M14" s="131">
        <f>N14-SUM(J14:L14)</f>
        <v>10.105000000000004</v>
      </c>
      <c r="N14" s="117">
        <v>40.984000000000002</v>
      </c>
      <c r="O14" s="114">
        <v>10.119999999999999</v>
      </c>
      <c r="P14" s="115">
        <v>10.975</v>
      </c>
      <c r="Q14" s="115">
        <v>10.73</v>
      </c>
      <c r="R14" s="131">
        <f>S14-SUM(O14:Q14)</f>
        <v>11.452999999999999</v>
      </c>
      <c r="S14" s="117">
        <v>43.277999999999999</v>
      </c>
      <c r="T14" s="114">
        <v>11.319000000000001</v>
      </c>
      <c r="U14" s="115">
        <v>11.721</v>
      </c>
      <c r="V14" s="115">
        <v>12.102</v>
      </c>
      <c r="W14" s="131">
        <f>X14-SUM(T14:V14)</f>
        <v>11.104000000000006</v>
      </c>
      <c r="X14" s="117">
        <v>46.246000000000002</v>
      </c>
      <c r="Y14" s="114">
        <v>12.148999999999999</v>
      </c>
      <c r="Z14" s="115">
        <v>12.634</v>
      </c>
      <c r="AA14" s="115">
        <v>13.353999999999999</v>
      </c>
      <c r="AB14" s="131">
        <f>AC14-SUM(Y14:AA14)</f>
        <v>11.396000000000001</v>
      </c>
      <c r="AC14" s="117">
        <v>49.533000000000001</v>
      </c>
      <c r="AD14" s="114">
        <v>13.646000000000001</v>
      </c>
      <c r="AE14" s="115">
        <v>12.507</v>
      </c>
      <c r="AF14" s="115">
        <v>13.991</v>
      </c>
      <c r="AG14" s="131">
        <f>AH14-SUM(AD14:AF14)</f>
        <v>13.727000000000004</v>
      </c>
      <c r="AH14" s="117">
        <v>53.871000000000002</v>
      </c>
      <c r="AI14" s="114">
        <v>14.965999999999999</v>
      </c>
      <c r="AJ14" s="115">
        <v>13.49</v>
      </c>
      <c r="AK14" s="115">
        <v>15.016</v>
      </c>
      <c r="AL14" s="131">
        <f>AM14-SUM(AI14:AK14)</f>
        <v>14.064</v>
      </c>
      <c r="AM14" s="117">
        <v>57.536000000000001</v>
      </c>
      <c r="AN14" s="114">
        <v>16.036000000000001</v>
      </c>
      <c r="AO14" s="115">
        <v>14.792</v>
      </c>
      <c r="AP14" s="115">
        <v>15.589</v>
      </c>
      <c r="AQ14" s="131">
        <f>AR14-SUM(AN14:AP14)</f>
        <v>14.382999999999996</v>
      </c>
      <c r="AR14" s="117">
        <v>60.8</v>
      </c>
      <c r="AS14" s="114">
        <v>16.79</v>
      </c>
      <c r="AT14" s="115">
        <v>16.689</v>
      </c>
      <c r="AU14" s="115">
        <v>16.742999999999999</v>
      </c>
      <c r="AV14" s="131">
        <f>AW14-SUM(AS14:AU14)</f>
        <v>16.641000000000005</v>
      </c>
      <c r="AW14" s="117">
        <v>66.863</v>
      </c>
      <c r="AX14" s="120">
        <f>AX107</f>
        <v>17.881349999999998</v>
      </c>
      <c r="AY14" s="118">
        <f>AY107</f>
        <v>17.773785</v>
      </c>
      <c r="AZ14" s="118">
        <f>AZ107</f>
        <v>17.831294999999997</v>
      </c>
      <c r="BA14" s="119">
        <f>BA107</f>
        <v>17.722665000000006</v>
      </c>
      <c r="BB14" s="42">
        <f>SUM(AX14:BA14)</f>
        <v>71.209095000000005</v>
      </c>
      <c r="BC14" s="120">
        <f>BC107</f>
        <v>18.328383749999997</v>
      </c>
      <c r="BD14" s="118">
        <f>BD107</f>
        <v>18.218129625</v>
      </c>
      <c r="BE14" s="118">
        <f>BE107</f>
        <v>18.277077374999994</v>
      </c>
      <c r="BF14" s="119">
        <f>BF107</f>
        <v>18.165731625000006</v>
      </c>
      <c r="BG14" s="42">
        <f>SUM(BC14:BF14)</f>
        <v>72.989322375</v>
      </c>
      <c r="BH14" s="120">
        <f>BH107</f>
        <v>18.786593343749995</v>
      </c>
      <c r="BI14" s="118">
        <f>BI107</f>
        <v>18.673582865624997</v>
      </c>
      <c r="BJ14" s="118">
        <f>BJ107</f>
        <v>18.734004309374992</v>
      </c>
      <c r="BK14" s="119">
        <f>BK107</f>
        <v>18.619874915625005</v>
      </c>
      <c r="BL14" s="42">
        <f>SUM(BH14:BK14)</f>
        <v>74.814055434374993</v>
      </c>
      <c r="BM14" s="120">
        <f>BM107</f>
        <v>19.256258177343742</v>
      </c>
      <c r="BN14" s="118">
        <f>BN107</f>
        <v>19.14042243726562</v>
      </c>
      <c r="BO14" s="118">
        <f>BO107</f>
        <v>19.202354417109365</v>
      </c>
      <c r="BP14" s="119">
        <f>BP107</f>
        <v>19.085371788515626</v>
      </c>
      <c r="BQ14" s="42">
        <f>SUM(BM14:BP14)</f>
        <v>76.684406820234358</v>
      </c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</row>
    <row r="15" spans="1:104" x14ac:dyDescent="0.2">
      <c r="A15" s="44"/>
      <c r="B15" s="44"/>
      <c r="C15" t="s">
        <v>442</v>
      </c>
      <c r="D15" s="42"/>
      <c r="E15" s="114">
        <v>1.351</v>
      </c>
      <c r="F15" s="115">
        <v>2.621</v>
      </c>
      <c r="G15" s="115">
        <v>2.673</v>
      </c>
      <c r="H15" s="131">
        <f>I15-SUM(E15:G15)</f>
        <v>0.625</v>
      </c>
      <c r="I15" s="117">
        <v>7.27</v>
      </c>
      <c r="J15" s="114">
        <v>1.946</v>
      </c>
      <c r="K15" s="115">
        <v>3.0470000000000002</v>
      </c>
      <c r="L15" s="115">
        <v>3.3929999999999998</v>
      </c>
      <c r="M15" s="131">
        <f>N15-SUM(J15:L15)</f>
        <v>3.2390000000000008</v>
      </c>
      <c r="N15" s="117">
        <v>11.625</v>
      </c>
      <c r="O15" s="114">
        <v>3.4289999999999998</v>
      </c>
      <c r="P15" s="115">
        <v>4.3819999999999997</v>
      </c>
      <c r="Q15" s="115">
        <v>4.6580000000000004</v>
      </c>
      <c r="R15" s="131">
        <f>S15-SUM(O15:Q15)</f>
        <v>2.945999999999998</v>
      </c>
      <c r="S15" s="117">
        <v>15.414999999999999</v>
      </c>
      <c r="T15" s="114">
        <v>3.077</v>
      </c>
      <c r="U15" s="115">
        <v>3.16</v>
      </c>
      <c r="V15" s="115">
        <v>3.129</v>
      </c>
      <c r="W15" s="131">
        <f>X15-SUM(T15:V15)</f>
        <v>3.5250000000000004</v>
      </c>
      <c r="X15" s="117">
        <v>12.891</v>
      </c>
      <c r="Y15" s="114">
        <v>3.04</v>
      </c>
      <c r="Z15" s="115">
        <v>3.21</v>
      </c>
      <c r="AA15" s="115">
        <v>2.9660000000000002</v>
      </c>
      <c r="AB15" s="131">
        <f>AC15-SUM(Y15:AA15)</f>
        <v>3.2039999999999988</v>
      </c>
      <c r="AC15" s="117">
        <v>12.42</v>
      </c>
      <c r="AD15" s="114">
        <v>3.0640000000000001</v>
      </c>
      <c r="AE15" s="115">
        <v>2.8490000000000002</v>
      </c>
      <c r="AF15" s="115">
        <v>3.4550000000000001</v>
      </c>
      <c r="AG15" s="131">
        <f>AH15-SUM(AD15:AF15)</f>
        <v>2.9819999999999993</v>
      </c>
      <c r="AH15" s="117">
        <v>12.35</v>
      </c>
      <c r="AI15" s="114">
        <v>3.669</v>
      </c>
      <c r="AJ15" s="115">
        <v>2.76</v>
      </c>
      <c r="AK15" s="115">
        <v>3.726</v>
      </c>
      <c r="AL15" s="131">
        <f>AM15-SUM(AI15:AK15)</f>
        <v>3.2099999999999991</v>
      </c>
      <c r="AM15" s="117">
        <v>13.365</v>
      </c>
      <c r="AN15" s="114">
        <v>3.3769999999999998</v>
      </c>
      <c r="AO15" s="115">
        <v>3.2389999999999999</v>
      </c>
      <c r="AP15" s="115">
        <v>5.6630000000000003</v>
      </c>
      <c r="AQ15" s="131">
        <f>AR15-SUM(AN15:AP15)</f>
        <v>3.7489999999999988</v>
      </c>
      <c r="AR15" s="117">
        <v>16.027999999999999</v>
      </c>
      <c r="AS15" s="114">
        <v>3.875</v>
      </c>
      <c r="AT15" s="115">
        <v>3.6909999999999998</v>
      </c>
      <c r="AU15" s="115">
        <v>4.2359999999999998</v>
      </c>
      <c r="AV15" s="131">
        <f>AW15-SUM(AS15:AU15)</f>
        <v>3.7230000000000008</v>
      </c>
      <c r="AW15" s="117">
        <v>15.525</v>
      </c>
      <c r="AX15" s="120">
        <f>AX110</f>
        <v>4.0687500000000005</v>
      </c>
      <c r="AY15" s="118">
        <f>AY110</f>
        <v>3.8755500000000001</v>
      </c>
      <c r="AZ15" s="118">
        <f>AZ110</f>
        <v>4.4478</v>
      </c>
      <c r="BA15" s="119">
        <f>BA110</f>
        <v>3.9091500000000008</v>
      </c>
      <c r="BB15" s="42">
        <f>SUM(AX15:BA15)</f>
        <v>16.30125</v>
      </c>
      <c r="BC15" s="120">
        <f>BC110</f>
        <v>4.2721875000000011</v>
      </c>
      <c r="BD15" s="118">
        <f>BD110</f>
        <v>4.0693275</v>
      </c>
      <c r="BE15" s="118">
        <f>BE110</f>
        <v>4.6701899999999998</v>
      </c>
      <c r="BF15" s="119">
        <f>BF110</f>
        <v>4.1046075000000011</v>
      </c>
      <c r="BG15" s="42">
        <f>SUM(BC15:BF15)</f>
        <v>17.116312500000003</v>
      </c>
      <c r="BH15" s="120">
        <f>BH110</f>
        <v>4.485796875000001</v>
      </c>
      <c r="BI15" s="118">
        <f>BI110</f>
        <v>4.2727938750000005</v>
      </c>
      <c r="BJ15" s="118">
        <f>BJ110</f>
        <v>4.9036995000000001</v>
      </c>
      <c r="BK15" s="119">
        <f>BK110</f>
        <v>4.3098378750000013</v>
      </c>
      <c r="BL15" s="42">
        <f>SUM(BH15:BK15)</f>
        <v>17.972128125000005</v>
      </c>
      <c r="BM15" s="120">
        <f>BM110</f>
        <v>4.7100867187500013</v>
      </c>
      <c r="BN15" s="118">
        <f>BN110</f>
        <v>4.4864335687500008</v>
      </c>
      <c r="BO15" s="118">
        <f>BO110</f>
        <v>5.148884475</v>
      </c>
      <c r="BP15" s="119">
        <f>BP110</f>
        <v>4.5253297687500016</v>
      </c>
      <c r="BQ15" s="42">
        <f>SUM(BM15:BP15)</f>
        <v>18.870734531250005</v>
      </c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  <c r="CX15" s="44"/>
      <c r="CY15" s="44"/>
      <c r="CZ15" s="44"/>
    </row>
    <row r="16" spans="1:104" x14ac:dyDescent="0.2">
      <c r="A16" s="44"/>
      <c r="B16" s="44"/>
      <c r="C16" s="26" t="s">
        <v>123</v>
      </c>
      <c r="D16" s="42"/>
      <c r="E16" s="121">
        <f t="shared" ref="E16:AD16" si="5">SUM(E12:E15,E9)</f>
        <v>339.15099999999995</v>
      </c>
      <c r="F16" s="122">
        <f t="shared" si="5"/>
        <v>287.09699999999998</v>
      </c>
      <c r="G16" s="122">
        <f t="shared" si="5"/>
        <v>320.42399999999998</v>
      </c>
      <c r="H16" s="123">
        <f t="shared" si="5"/>
        <v>339.73400000000004</v>
      </c>
      <c r="I16" s="86">
        <f t="shared" si="5"/>
        <v>1286.4059999999999</v>
      </c>
      <c r="J16" s="121">
        <f t="shared" si="5"/>
        <v>350.654</v>
      </c>
      <c r="K16" s="122">
        <f t="shared" si="5"/>
        <v>344.39799999999997</v>
      </c>
      <c r="L16" s="122">
        <f t="shared" si="5"/>
        <v>390.48700000000002</v>
      </c>
      <c r="M16" s="123">
        <f t="shared" si="5"/>
        <v>344.01400000000007</v>
      </c>
      <c r="N16" s="86">
        <f t="shared" si="5"/>
        <v>1429.5529999999999</v>
      </c>
      <c r="O16" s="121">
        <f t="shared" si="5"/>
        <v>351.71000000000004</v>
      </c>
      <c r="P16" s="122">
        <f t="shared" si="5"/>
        <v>379.85599999999999</v>
      </c>
      <c r="Q16" s="122">
        <f t="shared" si="5"/>
        <v>430.036</v>
      </c>
      <c r="R16" s="123">
        <f>SUM(R12:R15,R9)</f>
        <v>345.36599999999987</v>
      </c>
      <c r="S16" s="86">
        <f>SUM(S12:S15,S9)</f>
        <v>1506.9680000000001</v>
      </c>
      <c r="T16" s="121">
        <f t="shared" si="5"/>
        <v>308.64300000000003</v>
      </c>
      <c r="U16" s="122">
        <f t="shared" si="5"/>
        <v>318.31</v>
      </c>
      <c r="V16" s="122">
        <f t="shared" si="5"/>
        <v>364.38</v>
      </c>
      <c r="W16" s="123">
        <f>SUM(W12:W15,W9)</f>
        <v>322.9670000000001</v>
      </c>
      <c r="X16" s="86">
        <f>SUM(X12:X15,X9)</f>
        <v>1314.3</v>
      </c>
      <c r="Y16" s="121">
        <f t="shared" si="5"/>
        <v>341.19799999999998</v>
      </c>
      <c r="Z16" s="122">
        <f>SUM(Z12:Z15,Z9)</f>
        <v>403.36199999999997</v>
      </c>
      <c r="AA16" s="122">
        <f>SUM(AA12:AA15,AA9)</f>
        <v>406.75400000000002</v>
      </c>
      <c r="AB16" s="123">
        <f>SUM(AB12:AB15,AB9)</f>
        <v>345.75599999999997</v>
      </c>
      <c r="AC16" s="86">
        <f>SUM(AC12:AC15,AC9)</f>
        <v>1497.07</v>
      </c>
      <c r="AD16" s="121">
        <f t="shared" si="5"/>
        <v>405.82400000000001</v>
      </c>
      <c r="AE16" s="122">
        <f t="shared" ref="AE16:AJ16" si="6">SUM(AE12:AE15,AE9)</f>
        <v>433.536</v>
      </c>
      <c r="AF16" s="122">
        <f t="shared" si="6"/>
        <v>434.01</v>
      </c>
      <c r="AG16" s="123">
        <f t="shared" si="6"/>
        <v>397.87599999999992</v>
      </c>
      <c r="AH16" s="86">
        <f t="shared" si="6"/>
        <v>1671.2459999999999</v>
      </c>
      <c r="AI16" s="121">
        <f t="shared" si="6"/>
        <v>374.07</v>
      </c>
      <c r="AJ16" s="122">
        <f t="shared" si="6"/>
        <v>369.85300000000001</v>
      </c>
      <c r="AK16" s="122">
        <f>SUM(AK12:AK15,AK9)</f>
        <v>413.67599999999999</v>
      </c>
      <c r="AL16" s="123">
        <f>SUM(AL12:AL15,AL9)</f>
        <v>355.15399999999994</v>
      </c>
      <c r="AM16" s="86">
        <f>SUM(AM12:AM15,AM9)</f>
        <v>1512.7529999999999</v>
      </c>
      <c r="AN16" s="121">
        <f>SUM(AN12:AN15,AN9)</f>
        <v>337.27</v>
      </c>
      <c r="AO16" s="122">
        <f>SUM(AO12:AO15,AO9)</f>
        <v>372.05899999999997</v>
      </c>
      <c r="AP16" s="122">
        <f t="shared" ref="AP16:AU16" si="7">SUM(AP12:AP15,AP9)</f>
        <v>432.56399999999996</v>
      </c>
      <c r="AQ16" s="123">
        <f>SUM(AQ12:AQ15,AQ9)</f>
        <v>401.78499999999997</v>
      </c>
      <c r="AR16" s="86">
        <f>SUM(AR12:AR15,AR9)</f>
        <v>1543.6780000000001</v>
      </c>
      <c r="AS16" s="121">
        <f>SUM(AS12:AS15,AS9)</f>
        <v>401.65699999999998</v>
      </c>
      <c r="AT16" s="122">
        <f>SUM(AT12:AT15,AT9)</f>
        <v>405.30700000000002</v>
      </c>
      <c r="AU16" s="122">
        <f t="shared" si="7"/>
        <v>429.21600000000001</v>
      </c>
      <c r="AV16" s="123">
        <f>SUM(AV12:AV15,AV9)</f>
        <v>385.01100000000014</v>
      </c>
      <c r="AW16" s="86">
        <f>SUM(AW12:AW15,AW9)</f>
        <v>1621.1910000000003</v>
      </c>
      <c r="AX16" s="121">
        <f t="shared" ref="AX16:BG16" si="8">SUM(AX12:AX15,AX9)</f>
        <v>408.98861513027566</v>
      </c>
      <c r="AY16" s="122">
        <f t="shared" si="8"/>
        <v>411.15187541659475</v>
      </c>
      <c r="AZ16" s="122">
        <f t="shared" si="8"/>
        <v>439.12489370397975</v>
      </c>
      <c r="BA16" s="123">
        <f t="shared" si="8"/>
        <v>394.86521524332215</v>
      </c>
      <c r="BB16" s="86">
        <f t="shared" si="8"/>
        <v>1654.1305994941722</v>
      </c>
      <c r="BC16" s="121">
        <f t="shared" si="8"/>
        <v>413.87006846578686</v>
      </c>
      <c r="BD16" s="122">
        <f t="shared" si="8"/>
        <v>418.65065373916536</v>
      </c>
      <c r="BE16" s="122">
        <f t="shared" si="8"/>
        <v>446.86927896127872</v>
      </c>
      <c r="BF16" s="123">
        <f t="shared" si="8"/>
        <v>402.70453908518346</v>
      </c>
      <c r="BG16" s="86">
        <f t="shared" si="8"/>
        <v>1682.0945402514144</v>
      </c>
      <c r="BH16" s="121">
        <f t="shared" ref="BH16:BQ16" si="9">SUM(BH12:BH15,BH9)</f>
        <v>423.97071238241062</v>
      </c>
      <c r="BI16" s="122">
        <f t="shared" si="9"/>
        <v>431.2170457977042</v>
      </c>
      <c r="BJ16" s="122">
        <f t="shared" si="9"/>
        <v>458.21200126950924</v>
      </c>
      <c r="BK16" s="123">
        <f t="shared" si="9"/>
        <v>412.68492140617877</v>
      </c>
      <c r="BL16" s="86">
        <f t="shared" si="9"/>
        <v>1726.0846808558031</v>
      </c>
      <c r="BM16" s="121">
        <f t="shared" si="9"/>
        <v>432.75026294642964</v>
      </c>
      <c r="BN16" s="122">
        <f t="shared" si="9"/>
        <v>437.93912976720003</v>
      </c>
      <c r="BO16" s="122">
        <f t="shared" si="9"/>
        <v>464.2918933411255</v>
      </c>
      <c r="BP16" s="123">
        <f t="shared" si="9"/>
        <v>417.97440329668245</v>
      </c>
      <c r="BQ16" s="86">
        <f t="shared" si="9"/>
        <v>1752.9556893514377</v>
      </c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44"/>
      <c r="CY16" s="44"/>
      <c r="CZ16" s="44"/>
    </row>
    <row r="17" spans="1:104" x14ac:dyDescent="0.2">
      <c r="A17" s="44"/>
      <c r="B17" s="44"/>
      <c r="C17" s="20"/>
      <c r="D17" s="42"/>
      <c r="E17" s="114"/>
      <c r="F17" s="133"/>
      <c r="G17" s="133"/>
      <c r="H17" s="116"/>
      <c r="I17" s="117"/>
      <c r="J17" s="114"/>
      <c r="K17" s="133"/>
      <c r="L17" s="133"/>
      <c r="M17" s="116"/>
      <c r="N17" s="117"/>
      <c r="O17" s="120"/>
      <c r="P17" s="139"/>
      <c r="Q17" s="139"/>
      <c r="R17" s="116"/>
      <c r="S17" s="117"/>
      <c r="T17" s="120"/>
      <c r="U17" s="139"/>
      <c r="V17" s="139"/>
      <c r="W17" s="116"/>
      <c r="X17" s="117"/>
      <c r="Y17" s="120"/>
      <c r="Z17" s="139"/>
      <c r="AA17" s="139"/>
      <c r="AB17" s="116"/>
      <c r="AC17" s="117"/>
      <c r="AD17" s="120"/>
      <c r="AE17" s="139"/>
      <c r="AF17" s="139"/>
      <c r="AG17" s="116"/>
      <c r="AH17" s="117"/>
      <c r="AI17" s="120"/>
      <c r="AJ17" s="139"/>
      <c r="AK17" s="139"/>
      <c r="AL17" s="116"/>
      <c r="AM17" s="117"/>
      <c r="AN17" s="120"/>
      <c r="AO17" s="139"/>
      <c r="AP17" s="139"/>
      <c r="AQ17" s="116"/>
      <c r="AR17" s="117"/>
      <c r="AS17" s="120"/>
      <c r="AT17" s="139"/>
      <c r="AU17" s="139"/>
      <c r="AV17" s="116"/>
      <c r="AW17" s="117"/>
      <c r="AX17" s="120"/>
      <c r="AY17" s="139"/>
      <c r="AZ17" s="139"/>
      <c r="BA17" s="119"/>
      <c r="BB17" s="44"/>
      <c r="BC17" s="120"/>
      <c r="BD17" s="139"/>
      <c r="BE17" s="139"/>
      <c r="BF17" s="119"/>
      <c r="BG17" s="44"/>
      <c r="BH17" s="120"/>
      <c r="BI17" s="139"/>
      <c r="BJ17" s="139"/>
      <c r="BK17" s="119"/>
      <c r="BL17" s="44"/>
      <c r="BM17" s="120"/>
      <c r="BN17" s="139"/>
      <c r="BO17" s="139"/>
      <c r="BP17" s="119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  <c r="CX17" s="44"/>
      <c r="CY17" s="44"/>
      <c r="CZ17" s="44"/>
    </row>
    <row r="18" spans="1:104" x14ac:dyDescent="0.2">
      <c r="A18" s="44"/>
      <c r="B18" s="44"/>
      <c r="C18" s="26" t="s">
        <v>245</v>
      </c>
      <c r="D18" s="42"/>
      <c r="E18" s="121">
        <f t="shared" ref="E18:Q18" si="10">+E8-E16</f>
        <v>29.83200000000005</v>
      </c>
      <c r="F18" s="122">
        <f t="shared" si="10"/>
        <v>41.043000000000006</v>
      </c>
      <c r="G18" s="122">
        <f t="shared" si="10"/>
        <v>76.670000000000016</v>
      </c>
      <c r="H18" s="123">
        <f t="shared" si="10"/>
        <v>25.271999999999821</v>
      </c>
      <c r="I18" s="86">
        <f t="shared" si="10"/>
        <v>172.81700000000001</v>
      </c>
      <c r="J18" s="121">
        <f t="shared" si="10"/>
        <v>30.828000000000031</v>
      </c>
      <c r="K18" s="122">
        <f t="shared" si="10"/>
        <v>54.051000000000045</v>
      </c>
      <c r="L18" s="122">
        <f t="shared" si="10"/>
        <v>76.936999999999955</v>
      </c>
      <c r="M18" s="123">
        <f t="shared" si="10"/>
        <v>21.620999999999924</v>
      </c>
      <c r="N18" s="86">
        <f t="shared" si="10"/>
        <v>183.43700000000013</v>
      </c>
      <c r="O18" s="121">
        <f t="shared" si="10"/>
        <v>29.498999999999967</v>
      </c>
      <c r="P18" s="122">
        <f t="shared" si="10"/>
        <v>53.432999999999993</v>
      </c>
      <c r="Q18" s="122">
        <f t="shared" si="10"/>
        <v>92.885000000000048</v>
      </c>
      <c r="R18" s="123">
        <f t="shared" ref="R18:Y18" si="11">+R8-R16</f>
        <v>24.780000000000086</v>
      </c>
      <c r="S18" s="86">
        <f t="shared" si="11"/>
        <v>200.59699999999998</v>
      </c>
      <c r="T18" s="121">
        <f t="shared" si="11"/>
        <v>31.84499999999997</v>
      </c>
      <c r="U18" s="122">
        <f t="shared" si="11"/>
        <v>61.89100000000002</v>
      </c>
      <c r="V18" s="122">
        <f t="shared" si="11"/>
        <v>107.50900000000001</v>
      </c>
      <c r="W18" s="123">
        <f t="shared" si="11"/>
        <v>24.509999999999991</v>
      </c>
      <c r="X18" s="86">
        <f t="shared" si="11"/>
        <v>225.75500000000011</v>
      </c>
      <c r="Y18" s="121">
        <f t="shared" si="11"/>
        <v>33.059000000000026</v>
      </c>
      <c r="Z18" s="122">
        <f t="shared" ref="Z18:AF18" si="12">+Z8-Z16</f>
        <v>58.469000000000051</v>
      </c>
      <c r="AA18" s="122">
        <f t="shared" si="12"/>
        <v>74.652999999999963</v>
      </c>
      <c r="AB18" s="123">
        <f t="shared" si="12"/>
        <v>43.836000000000126</v>
      </c>
      <c r="AC18" s="86">
        <f t="shared" si="12"/>
        <v>210.01700000000005</v>
      </c>
      <c r="AD18" s="121">
        <f t="shared" si="12"/>
        <v>42.575999999999965</v>
      </c>
      <c r="AE18" s="122">
        <f t="shared" si="12"/>
        <v>59</v>
      </c>
      <c r="AF18" s="122">
        <f t="shared" si="12"/>
        <v>118.76900000000001</v>
      </c>
      <c r="AG18" s="123">
        <f t="shared" ref="AG18:AM18" si="13">+AG8-AG16</f>
        <v>45.779000000000053</v>
      </c>
      <c r="AH18" s="86">
        <f t="shared" si="13"/>
        <v>266.12400000000002</v>
      </c>
      <c r="AI18" s="121">
        <f t="shared" si="13"/>
        <v>49.759000000000015</v>
      </c>
      <c r="AJ18" s="122">
        <f t="shared" si="13"/>
        <v>53.132000000000005</v>
      </c>
      <c r="AK18" s="122">
        <f t="shared" si="13"/>
        <v>117.07599999999996</v>
      </c>
      <c r="AL18" s="123">
        <f t="shared" si="13"/>
        <v>54.498000000000104</v>
      </c>
      <c r="AM18" s="86">
        <f t="shared" si="13"/>
        <v>274.46500000000015</v>
      </c>
      <c r="AN18" s="121">
        <f>+AN8-AN16</f>
        <v>53.569000000000017</v>
      </c>
      <c r="AO18" s="122">
        <f>+AO8-AO16</f>
        <v>68.386000000000024</v>
      </c>
      <c r="AP18" s="122">
        <f t="shared" ref="AP18:AU18" si="14">+AP8-AP16</f>
        <v>122.36200000000008</v>
      </c>
      <c r="AQ18" s="123">
        <f t="shared" si="14"/>
        <v>62.964000000000055</v>
      </c>
      <c r="AR18" s="86">
        <f t="shared" si="14"/>
        <v>307.28099999999995</v>
      </c>
      <c r="AS18" s="121">
        <f>+AS8-AS16</f>
        <v>58.41500000000002</v>
      </c>
      <c r="AT18" s="122">
        <f>+AT8-AT16</f>
        <v>74.488999999999976</v>
      </c>
      <c r="AU18" s="122">
        <f t="shared" si="14"/>
        <v>122.40700000000004</v>
      </c>
      <c r="AV18" s="123">
        <f t="shared" ref="AV18:AW18" si="15">+AV8-AV16</f>
        <v>41.497999999999877</v>
      </c>
      <c r="AW18" s="86">
        <f t="shared" si="15"/>
        <v>296.80899999999974</v>
      </c>
      <c r="AX18" s="121">
        <f t="shared" ref="AX18:BG18" si="16">+AX8-AX16</f>
        <v>69.059290261373917</v>
      </c>
      <c r="AY18" s="122">
        <f t="shared" si="16"/>
        <v>78.166455775054828</v>
      </c>
      <c r="AZ18" s="122">
        <f t="shared" si="16"/>
        <v>118.02258427294475</v>
      </c>
      <c r="BA18" s="123">
        <f t="shared" si="16"/>
        <v>46.401260736327401</v>
      </c>
      <c r="BB18" s="86">
        <f t="shared" si="16"/>
        <v>311.64959104570107</v>
      </c>
      <c r="BC18" s="121">
        <f t="shared" si="16"/>
        <v>85.178072776568058</v>
      </c>
      <c r="BD18" s="122">
        <f t="shared" si="16"/>
        <v>92.308194367689566</v>
      </c>
      <c r="BE18" s="122">
        <f t="shared" si="16"/>
        <v>136.85430198568531</v>
      </c>
      <c r="BF18" s="123">
        <f t="shared" si="16"/>
        <v>59.537830331641544</v>
      </c>
      <c r="BG18" s="86">
        <f t="shared" si="16"/>
        <v>373.87839946158465</v>
      </c>
      <c r="BH18" s="121">
        <f t="shared" ref="BH18:BQ18" si="17">+BH8-BH16</f>
        <v>98.639454865385801</v>
      </c>
      <c r="BI18" s="122">
        <f t="shared" si="17"/>
        <v>104.14571008175363</v>
      </c>
      <c r="BJ18" s="122">
        <f t="shared" si="17"/>
        <v>155.71496073088059</v>
      </c>
      <c r="BK18" s="123">
        <f t="shared" si="17"/>
        <v>73.095070746524016</v>
      </c>
      <c r="BL18" s="86">
        <f t="shared" si="17"/>
        <v>431.5951964245437</v>
      </c>
      <c r="BM18" s="121">
        <f t="shared" si="17"/>
        <v>109.82154580671249</v>
      </c>
      <c r="BN18" s="122">
        <f t="shared" si="17"/>
        <v>117.97925408918263</v>
      </c>
      <c r="BO18" s="122">
        <f t="shared" si="17"/>
        <v>174.85312033936248</v>
      </c>
      <c r="BP18" s="123">
        <f t="shared" si="17"/>
        <v>87.742766083628339</v>
      </c>
      <c r="BQ18" s="86">
        <f t="shared" si="17"/>
        <v>490.39668631888571</v>
      </c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  <c r="CX18" s="44"/>
      <c r="CY18" s="44"/>
      <c r="CZ18" s="44"/>
    </row>
    <row r="19" spans="1:104" x14ac:dyDescent="0.2">
      <c r="A19" s="44"/>
      <c r="B19" s="44"/>
      <c r="C19" s="20"/>
      <c r="D19" s="42"/>
      <c r="E19" s="120"/>
      <c r="F19" s="139"/>
      <c r="G19" s="139"/>
      <c r="H19" s="119"/>
      <c r="I19" s="42"/>
      <c r="J19" s="120"/>
      <c r="K19" s="139"/>
      <c r="L19" s="139"/>
      <c r="M19" s="119"/>
      <c r="N19" s="42"/>
      <c r="O19" s="120"/>
      <c r="P19" s="118"/>
      <c r="Q19" s="118"/>
      <c r="R19" s="119"/>
      <c r="S19" s="42"/>
      <c r="T19" s="120"/>
      <c r="U19" s="118"/>
      <c r="V19" s="118"/>
      <c r="W19" s="119"/>
      <c r="X19" s="42"/>
      <c r="Y19" s="120"/>
      <c r="Z19" s="118"/>
      <c r="AA19" s="118"/>
      <c r="AB19" s="119"/>
      <c r="AC19" s="42"/>
      <c r="AD19" s="120"/>
      <c r="AE19" s="118"/>
      <c r="AF19" s="118"/>
      <c r="AG19" s="119"/>
      <c r="AH19" s="42"/>
      <c r="AI19" s="120"/>
      <c r="AJ19" s="118"/>
      <c r="AK19" s="118"/>
      <c r="AL19" s="119"/>
      <c r="AM19" s="42"/>
      <c r="AN19" s="120"/>
      <c r="AO19" s="118"/>
      <c r="AP19" s="118"/>
      <c r="AQ19" s="119"/>
      <c r="AR19" s="42"/>
      <c r="AS19" s="120"/>
      <c r="AT19" s="118"/>
      <c r="AU19" s="139"/>
      <c r="AV19" s="119"/>
      <c r="AW19" s="42"/>
      <c r="AX19" s="120"/>
      <c r="AY19" s="139"/>
      <c r="AZ19" s="139"/>
      <c r="BA19" s="119"/>
      <c r="BB19" s="44"/>
      <c r="BC19" s="120"/>
      <c r="BD19" s="139"/>
      <c r="BE19" s="139"/>
      <c r="BF19" s="119"/>
      <c r="BG19" s="44"/>
      <c r="BH19" s="120"/>
      <c r="BI19" s="139"/>
      <c r="BJ19" s="139"/>
      <c r="BK19" s="119"/>
      <c r="BL19" s="44"/>
      <c r="BM19" s="120"/>
      <c r="BN19" s="139"/>
      <c r="BO19" s="139"/>
      <c r="BP19" s="119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  <c r="CX19" s="44"/>
      <c r="CY19" s="44"/>
      <c r="CZ19" s="44"/>
    </row>
    <row r="20" spans="1:104" x14ac:dyDescent="0.2">
      <c r="A20" s="44"/>
      <c r="B20" s="44"/>
      <c r="C20" s="20" t="s">
        <v>126</v>
      </c>
      <c r="D20" s="42"/>
      <c r="E20" s="114">
        <v>1.115</v>
      </c>
      <c r="F20" s="115">
        <v>0.97499999999999998</v>
      </c>
      <c r="G20" s="115">
        <v>0.88700000000000001</v>
      </c>
      <c r="H20" s="119">
        <f>+I20-SUM(E20:G20)</f>
        <v>1.105</v>
      </c>
      <c r="I20" s="117">
        <v>4.0819999999999999</v>
      </c>
      <c r="J20" s="114">
        <v>0.433</v>
      </c>
      <c r="K20" s="115">
        <v>1.0109999999999999</v>
      </c>
      <c r="L20" s="115">
        <v>1.085</v>
      </c>
      <c r="M20" s="119">
        <f>+N20-SUM(J20:L20)</f>
        <v>1.6589999999999998</v>
      </c>
      <c r="N20" s="117">
        <v>4.1879999999999997</v>
      </c>
      <c r="O20" s="114">
        <v>1.9259999999999999</v>
      </c>
      <c r="P20" s="115">
        <v>1.3580000000000001</v>
      </c>
      <c r="Q20" s="115">
        <v>0.89400000000000002</v>
      </c>
      <c r="R20" s="119">
        <f>+S20-SUM(O20:Q20)</f>
        <v>1.1639999999999997</v>
      </c>
      <c r="S20" s="117">
        <v>5.3419999999999996</v>
      </c>
      <c r="T20" s="114">
        <v>1.69</v>
      </c>
      <c r="U20" s="115">
        <v>1.702</v>
      </c>
      <c r="V20" s="115">
        <v>1.67</v>
      </c>
      <c r="W20" s="119">
        <f>+X20-SUM(T20:V20)</f>
        <v>2.2100000000000009</v>
      </c>
      <c r="X20" s="117">
        <v>7.2720000000000002</v>
      </c>
      <c r="Y20" s="114">
        <v>2.6219999999999999</v>
      </c>
      <c r="Z20" s="115">
        <v>2.2000000000000002</v>
      </c>
      <c r="AA20" s="115">
        <v>2.15</v>
      </c>
      <c r="AB20" s="119">
        <f>+AC20-SUM(Y20:AA20)</f>
        <v>3.2140000000000004</v>
      </c>
      <c r="AC20" s="117">
        <v>10.186</v>
      </c>
      <c r="AD20" s="114">
        <v>3.64</v>
      </c>
      <c r="AE20" s="115">
        <v>2.895</v>
      </c>
      <c r="AF20" s="115">
        <v>3.1469999999999998</v>
      </c>
      <c r="AG20" s="119">
        <f>+AH20-SUM(AD20:AF20)</f>
        <v>2.4359999999999999</v>
      </c>
      <c r="AH20" s="117">
        <v>12.118</v>
      </c>
      <c r="AI20" s="114">
        <v>1.7050000000000001</v>
      </c>
      <c r="AJ20" s="115">
        <v>1.788</v>
      </c>
      <c r="AK20" s="115">
        <v>2.085</v>
      </c>
      <c r="AL20" s="119">
        <f>+AM20-SUM(AI20:AK20)</f>
        <v>1.7999999999999998</v>
      </c>
      <c r="AM20" s="117">
        <v>7.3780000000000001</v>
      </c>
      <c r="AN20" s="114">
        <v>2.3370000000000002</v>
      </c>
      <c r="AO20" s="115">
        <v>2.379</v>
      </c>
      <c r="AP20" s="115">
        <v>2.6320000000000001</v>
      </c>
      <c r="AQ20" s="119">
        <f>+AR20-SUM(AN20:AP20)</f>
        <v>2.6329999999999991</v>
      </c>
      <c r="AR20" s="117">
        <v>9.9809999999999999</v>
      </c>
      <c r="AS20" s="114">
        <v>2.1349999999999998</v>
      </c>
      <c r="AT20" s="115">
        <v>1.869</v>
      </c>
      <c r="AU20" s="115">
        <v>2.4529999999999998</v>
      </c>
      <c r="AV20" s="119">
        <f>+AW20-SUM(AS20:AU20)</f>
        <v>2.8530000000000015</v>
      </c>
      <c r="AW20" s="117">
        <v>9.31</v>
      </c>
      <c r="AX20" s="120">
        <f>+AX137</f>
        <v>4.8080229162387358</v>
      </c>
      <c r="AY20" s="118">
        <f>+AY137</f>
        <v>4.8080229162387358</v>
      </c>
      <c r="AZ20" s="118">
        <f>+AZ137</f>
        <v>4.8080229162387358</v>
      </c>
      <c r="BA20" s="119">
        <f>+BA137</f>
        <v>4.8080229162387358</v>
      </c>
      <c r="BB20" s="42">
        <f>SUM(AX20:BA20)</f>
        <v>19.232091664954943</v>
      </c>
      <c r="BC20" s="120">
        <f>+BC137</f>
        <v>5.3736726710903513</v>
      </c>
      <c r="BD20" s="118">
        <f>+BD137</f>
        <v>5.3736726710903513</v>
      </c>
      <c r="BE20" s="118">
        <f>+BE137</f>
        <v>5.3736726710903513</v>
      </c>
      <c r="BF20" s="119">
        <f>+BF137</f>
        <v>5.3736726710903513</v>
      </c>
      <c r="BG20" s="42">
        <f>SUM(BC20:BF20)</f>
        <v>21.494690684361405</v>
      </c>
      <c r="BH20" s="120">
        <f>+BH137</f>
        <v>3.3467610495387277</v>
      </c>
      <c r="BI20" s="118">
        <f>+BI137</f>
        <v>3.3467610495387277</v>
      </c>
      <c r="BJ20" s="118">
        <f>+BJ137</f>
        <v>3.3467610495387277</v>
      </c>
      <c r="BK20" s="119">
        <f>+BK137</f>
        <v>3.3467610495387277</v>
      </c>
      <c r="BL20" s="42">
        <f>SUM(BH20:BK20)</f>
        <v>13.387044198154911</v>
      </c>
      <c r="BM20" s="120">
        <f>+BM137</f>
        <v>2.2154615398354958</v>
      </c>
      <c r="BN20" s="118">
        <f>+BN137</f>
        <v>2.2154615398354958</v>
      </c>
      <c r="BO20" s="118">
        <f>+BO137</f>
        <v>2.2154615398354958</v>
      </c>
      <c r="BP20" s="119">
        <f>+BP137</f>
        <v>2.2154615398354958</v>
      </c>
      <c r="BQ20" s="42">
        <f>SUM(BM20:BP20)</f>
        <v>8.8618461593419831</v>
      </c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</row>
    <row r="21" spans="1:104" x14ac:dyDescent="0.2">
      <c r="A21" s="44"/>
      <c r="B21" s="44"/>
      <c r="C21" s="20" t="s">
        <v>128</v>
      </c>
      <c r="D21" s="42"/>
      <c r="E21" s="114">
        <v>0.36499999999999999</v>
      </c>
      <c r="F21" s="115">
        <v>-0.32300000000000001</v>
      </c>
      <c r="G21" s="115">
        <v>-0.53800000000000003</v>
      </c>
      <c r="H21" s="116">
        <f>+I21-SUM(E21:G21)</f>
        <v>0.76</v>
      </c>
      <c r="I21" s="117">
        <v>0.26400000000000001</v>
      </c>
      <c r="J21" s="114">
        <v>-6.0000000000000001E-3</v>
      </c>
      <c r="K21" s="115">
        <v>0.11899999999999999</v>
      </c>
      <c r="L21" s="115">
        <v>-8.2000000000000003E-2</v>
      </c>
      <c r="M21" s="116">
        <f>+N21-SUM(J21:L21)</f>
        <v>-3.9999999999999862E-3</v>
      </c>
      <c r="N21" s="117">
        <v>2.7E-2</v>
      </c>
      <c r="O21" s="114">
        <v>6.2E-2</v>
      </c>
      <c r="P21" s="115">
        <v>8.4000000000000005E-2</v>
      </c>
      <c r="Q21" s="115">
        <v>0.28599999999999998</v>
      </c>
      <c r="R21" s="116">
        <f>+S21-SUM(O21:Q21)</f>
        <v>-2.5999999999999968E-2</v>
      </c>
      <c r="S21" s="117">
        <v>0.40600000000000003</v>
      </c>
      <c r="T21" s="114">
        <v>-0.122</v>
      </c>
      <c r="U21" s="115">
        <v>0.14199999999999999</v>
      </c>
      <c r="V21" s="115">
        <v>-7.2999999999999995E-2</v>
      </c>
      <c r="W21" s="116">
        <f>+X21-SUM(T21:V21)</f>
        <v>9.9000000000000005E-2</v>
      </c>
      <c r="X21" s="117">
        <v>4.5999999999999999E-2</v>
      </c>
      <c r="Y21" s="114">
        <v>-4.8000000000000001E-2</v>
      </c>
      <c r="Z21" s="115">
        <v>0.105</v>
      </c>
      <c r="AA21" s="115">
        <v>-0.115</v>
      </c>
      <c r="AB21" s="116">
        <f>+AC21-SUM(Y21:AA21)</f>
        <v>0.19800000000000001</v>
      </c>
      <c r="AC21" s="117">
        <v>0.14000000000000001</v>
      </c>
      <c r="AD21" s="114">
        <v>4.1000000000000002E-2</v>
      </c>
      <c r="AE21" s="115">
        <v>-0.129</v>
      </c>
      <c r="AF21" s="115">
        <v>6.6000000000000003E-2</v>
      </c>
      <c r="AG21" s="116">
        <f>+AH21-SUM(AD21:AF21)</f>
        <v>-3.7000000000000005E-2</v>
      </c>
      <c r="AH21" s="117">
        <v>-5.8999999999999997E-2</v>
      </c>
      <c r="AI21" s="114">
        <v>-5.6000000000000001E-2</v>
      </c>
      <c r="AJ21" s="115">
        <v>0.156</v>
      </c>
      <c r="AK21" s="115">
        <v>0.10299999999999999</v>
      </c>
      <c r="AL21" s="116">
        <f>+AM21-SUM(AI21:AK21)</f>
        <v>-0.20900000000000002</v>
      </c>
      <c r="AM21" s="117">
        <v>-6.0000000000000001E-3</v>
      </c>
      <c r="AN21" s="114">
        <v>3.4000000000000002E-2</v>
      </c>
      <c r="AO21" s="115">
        <v>0.39200000000000002</v>
      </c>
      <c r="AP21" s="115">
        <v>0.13700000000000001</v>
      </c>
      <c r="AQ21" s="116">
        <f>+AR21-SUM(AN21:AP21)</f>
        <v>-0.47200000000000009</v>
      </c>
      <c r="AR21" s="117">
        <v>9.0999999999999998E-2</v>
      </c>
      <c r="AS21" s="114">
        <v>3.1E-2</v>
      </c>
      <c r="AT21" s="115">
        <v>0.13600000000000001</v>
      </c>
      <c r="AU21" s="115">
        <v>0.28499999999999998</v>
      </c>
      <c r="AV21" s="116">
        <f>+AW21-SUM(AS21:AU21)</f>
        <v>1.907</v>
      </c>
      <c r="AW21" s="117">
        <v>2.359</v>
      </c>
      <c r="AX21" s="120">
        <f>+AS21</f>
        <v>3.1E-2</v>
      </c>
      <c r="AY21" s="118">
        <f>+AT21</f>
        <v>0.13600000000000001</v>
      </c>
      <c r="AZ21" s="118">
        <f>+AU21</f>
        <v>0.28499999999999998</v>
      </c>
      <c r="BA21" s="116">
        <f>+AV21</f>
        <v>1.907</v>
      </c>
      <c r="BB21" s="42">
        <f>SUM(AX21:BA21)</f>
        <v>2.359</v>
      </c>
      <c r="BC21" s="120">
        <f>+AX21</f>
        <v>3.1E-2</v>
      </c>
      <c r="BD21" s="118">
        <f>+AY21</f>
        <v>0.13600000000000001</v>
      </c>
      <c r="BE21" s="118">
        <f>+AZ21</f>
        <v>0.28499999999999998</v>
      </c>
      <c r="BF21" s="116">
        <f>+BA21</f>
        <v>1.907</v>
      </c>
      <c r="BG21" s="42">
        <f>SUM(BC21:BF21)</f>
        <v>2.359</v>
      </c>
      <c r="BH21" s="120">
        <f>+BC21</f>
        <v>3.1E-2</v>
      </c>
      <c r="BI21" s="118">
        <f>+BD21</f>
        <v>0.13600000000000001</v>
      </c>
      <c r="BJ21" s="118">
        <f>+BE21</f>
        <v>0.28499999999999998</v>
      </c>
      <c r="BK21" s="116">
        <f>+BF21</f>
        <v>1.907</v>
      </c>
      <c r="BL21" s="42">
        <f>SUM(BH21:BK21)</f>
        <v>2.359</v>
      </c>
      <c r="BM21" s="120">
        <f>+BH21</f>
        <v>3.1E-2</v>
      </c>
      <c r="BN21" s="118">
        <f>+BI21</f>
        <v>0.13600000000000001</v>
      </c>
      <c r="BO21" s="118">
        <f>+BJ21</f>
        <v>0.28499999999999998</v>
      </c>
      <c r="BP21" s="116">
        <f>+BK21</f>
        <v>1.907</v>
      </c>
      <c r="BQ21" s="42">
        <f>SUM(BM21:BP21)</f>
        <v>2.359</v>
      </c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  <c r="CX21" s="44"/>
      <c r="CY21" s="44"/>
      <c r="CZ21" s="44"/>
    </row>
    <row r="22" spans="1:104" x14ac:dyDescent="0.2">
      <c r="A22" s="44"/>
      <c r="B22" s="44"/>
      <c r="C22" s="26" t="s">
        <v>129</v>
      </c>
      <c r="D22" s="82"/>
      <c r="E22" s="124">
        <f t="shared" ref="E22:P22" si="18">SUM(E20:E21)</f>
        <v>1.48</v>
      </c>
      <c r="F22" s="129">
        <f t="shared" si="18"/>
        <v>0.65199999999999991</v>
      </c>
      <c r="G22" s="129">
        <f t="shared" si="18"/>
        <v>0.34899999999999998</v>
      </c>
      <c r="H22" s="126">
        <f t="shared" si="18"/>
        <v>1.865</v>
      </c>
      <c r="I22" s="127">
        <f t="shared" si="18"/>
        <v>4.3460000000000001</v>
      </c>
      <c r="J22" s="124">
        <f t="shared" si="18"/>
        <v>0.42699999999999999</v>
      </c>
      <c r="K22" s="129">
        <f t="shared" si="18"/>
        <v>1.1299999999999999</v>
      </c>
      <c r="L22" s="129">
        <f t="shared" si="18"/>
        <v>1.0029999999999999</v>
      </c>
      <c r="M22" s="126">
        <f t="shared" si="18"/>
        <v>1.6549999999999998</v>
      </c>
      <c r="N22" s="127">
        <f t="shared" si="18"/>
        <v>4.2149999999999999</v>
      </c>
      <c r="O22" s="124">
        <f t="shared" si="18"/>
        <v>1.988</v>
      </c>
      <c r="P22" s="129">
        <f t="shared" si="18"/>
        <v>1.4420000000000002</v>
      </c>
      <c r="Q22" s="129">
        <f t="shared" ref="Q22:V22" si="19">SUM(Q20:Q21)</f>
        <v>1.18</v>
      </c>
      <c r="R22" s="126">
        <f t="shared" si="19"/>
        <v>1.1379999999999997</v>
      </c>
      <c r="S22" s="127">
        <f t="shared" si="19"/>
        <v>5.7479999999999993</v>
      </c>
      <c r="T22" s="124">
        <f t="shared" si="19"/>
        <v>1.5680000000000001</v>
      </c>
      <c r="U22" s="129">
        <f t="shared" si="19"/>
        <v>1.8439999999999999</v>
      </c>
      <c r="V22" s="129">
        <f t="shared" si="19"/>
        <v>1.597</v>
      </c>
      <c r="W22" s="126">
        <f t="shared" ref="W22:AD22" si="20">SUM(W20:W21)</f>
        <v>2.3090000000000011</v>
      </c>
      <c r="X22" s="127">
        <f t="shared" si="20"/>
        <v>7.3180000000000005</v>
      </c>
      <c r="Y22" s="124">
        <f t="shared" si="20"/>
        <v>2.5739999999999998</v>
      </c>
      <c r="Z22" s="129">
        <f t="shared" si="20"/>
        <v>2.3050000000000002</v>
      </c>
      <c r="AA22" s="129">
        <f t="shared" si="20"/>
        <v>2.0349999999999997</v>
      </c>
      <c r="AB22" s="126">
        <f t="shared" si="20"/>
        <v>3.4120000000000004</v>
      </c>
      <c r="AC22" s="127">
        <f t="shared" si="20"/>
        <v>10.326000000000001</v>
      </c>
      <c r="AD22" s="124">
        <f t="shared" si="20"/>
        <v>3.681</v>
      </c>
      <c r="AE22" s="129">
        <f t="shared" ref="AE22:AM22" si="21">SUM(AE20:AE21)</f>
        <v>2.766</v>
      </c>
      <c r="AF22" s="129">
        <f t="shared" si="21"/>
        <v>3.2129999999999996</v>
      </c>
      <c r="AG22" s="126">
        <f t="shared" si="21"/>
        <v>2.399</v>
      </c>
      <c r="AH22" s="127">
        <f t="shared" si="21"/>
        <v>12.059000000000001</v>
      </c>
      <c r="AI22" s="124">
        <f t="shared" si="21"/>
        <v>1.649</v>
      </c>
      <c r="AJ22" s="129">
        <f t="shared" si="21"/>
        <v>1.944</v>
      </c>
      <c r="AK22" s="129">
        <f t="shared" si="21"/>
        <v>2.1880000000000002</v>
      </c>
      <c r="AL22" s="126">
        <f t="shared" si="21"/>
        <v>1.5909999999999997</v>
      </c>
      <c r="AM22" s="127">
        <f t="shared" si="21"/>
        <v>7.3719999999999999</v>
      </c>
      <c r="AN22" s="124">
        <f>SUM(AN20:AN21)</f>
        <v>2.371</v>
      </c>
      <c r="AO22" s="129">
        <f>SUM(AO20:AO21)</f>
        <v>2.7709999999999999</v>
      </c>
      <c r="AP22" s="129">
        <f t="shared" ref="AP22:AU22" si="22">SUM(AP20:AP21)</f>
        <v>2.7690000000000001</v>
      </c>
      <c r="AQ22" s="126">
        <f t="shared" si="22"/>
        <v>2.1609999999999991</v>
      </c>
      <c r="AR22" s="127">
        <f t="shared" si="22"/>
        <v>10.071999999999999</v>
      </c>
      <c r="AS22" s="124">
        <f>SUM(AS20:AS21)</f>
        <v>2.1659999999999999</v>
      </c>
      <c r="AT22" s="129">
        <f>SUM(AT20:AT21)</f>
        <v>2.0049999999999999</v>
      </c>
      <c r="AU22" s="122">
        <f t="shared" si="22"/>
        <v>2.738</v>
      </c>
      <c r="AV22" s="126">
        <f t="shared" ref="AV22:AW22" si="23">SUM(AV20:AV21)</f>
        <v>4.7600000000000016</v>
      </c>
      <c r="AW22" s="127">
        <f t="shared" si="23"/>
        <v>11.669</v>
      </c>
      <c r="AX22" s="121">
        <f t="shared" ref="AX22:BG22" si="24">SUM(AX20:AX21)</f>
        <v>4.8390229162387355</v>
      </c>
      <c r="AY22" s="122">
        <f t="shared" si="24"/>
        <v>4.9440229162387359</v>
      </c>
      <c r="AZ22" s="122">
        <f t="shared" si="24"/>
        <v>5.0930229162387359</v>
      </c>
      <c r="BA22" s="123">
        <f t="shared" si="24"/>
        <v>6.7150229162387358</v>
      </c>
      <c r="BB22" s="86">
        <f t="shared" si="24"/>
        <v>21.591091664954945</v>
      </c>
      <c r="BC22" s="121">
        <f t="shared" si="24"/>
        <v>5.404672671090351</v>
      </c>
      <c r="BD22" s="122">
        <f t="shared" si="24"/>
        <v>5.5096726710903514</v>
      </c>
      <c r="BE22" s="122">
        <f t="shared" si="24"/>
        <v>5.6586726710903514</v>
      </c>
      <c r="BF22" s="123">
        <f t="shared" si="24"/>
        <v>7.2806726710903513</v>
      </c>
      <c r="BG22" s="86">
        <f t="shared" si="24"/>
        <v>23.853690684361403</v>
      </c>
      <c r="BH22" s="121">
        <f t="shared" ref="BH22:BQ22" si="25">SUM(BH20:BH21)</f>
        <v>3.3777610495387278</v>
      </c>
      <c r="BI22" s="122">
        <f t="shared" si="25"/>
        <v>3.4827610495387278</v>
      </c>
      <c r="BJ22" s="122">
        <f t="shared" si="25"/>
        <v>3.6317610495387278</v>
      </c>
      <c r="BK22" s="123">
        <f t="shared" si="25"/>
        <v>5.2537610495387277</v>
      </c>
      <c r="BL22" s="86">
        <f t="shared" si="25"/>
        <v>15.746044198154911</v>
      </c>
      <c r="BM22" s="121">
        <f t="shared" si="25"/>
        <v>2.2464615398354959</v>
      </c>
      <c r="BN22" s="122">
        <f t="shared" si="25"/>
        <v>2.3514615398354959</v>
      </c>
      <c r="BO22" s="122">
        <f t="shared" si="25"/>
        <v>2.5004615398354959</v>
      </c>
      <c r="BP22" s="123">
        <f t="shared" si="25"/>
        <v>4.1224615398354958</v>
      </c>
      <c r="BQ22" s="86">
        <f t="shared" si="25"/>
        <v>11.220846159341983</v>
      </c>
      <c r="BR22" s="220"/>
      <c r="BS22" s="220"/>
      <c r="BT22" s="220"/>
      <c r="BU22" s="220"/>
      <c r="BV22" s="220"/>
      <c r="BW22" s="220"/>
      <c r="BX22" s="220"/>
      <c r="BY22" s="220"/>
      <c r="BZ22" s="220"/>
      <c r="CA22" s="220"/>
      <c r="CB22" s="220"/>
      <c r="CC22" s="220"/>
      <c r="CD22" s="220"/>
      <c r="CE22" s="220"/>
      <c r="CF22" s="220"/>
      <c r="CG22" s="220"/>
      <c r="CH22" s="220"/>
      <c r="CI22" s="220"/>
      <c r="CJ22" s="220"/>
      <c r="CK22" s="220"/>
      <c r="CL22" s="220"/>
      <c r="CM22" s="220"/>
      <c r="CN22" s="220"/>
      <c r="CO22" s="220"/>
      <c r="CP22" s="220"/>
      <c r="CQ22" s="220"/>
      <c r="CR22" s="220"/>
      <c r="CS22" s="220"/>
      <c r="CT22" s="220"/>
      <c r="CU22" s="220"/>
      <c r="CV22" s="220"/>
      <c r="CW22" s="220"/>
      <c r="CX22" s="220"/>
      <c r="CY22" s="220"/>
      <c r="CZ22" s="220"/>
    </row>
    <row r="23" spans="1:104" x14ac:dyDescent="0.2">
      <c r="A23" s="44"/>
      <c r="B23" s="44"/>
      <c r="C23" s="20"/>
      <c r="D23" s="42"/>
      <c r="E23" s="148"/>
      <c r="F23" s="149"/>
      <c r="G23" s="149"/>
      <c r="H23" s="150"/>
      <c r="I23" s="34"/>
      <c r="J23" s="148"/>
      <c r="K23" s="149"/>
      <c r="L23" s="149"/>
      <c r="M23" s="150"/>
      <c r="N23" s="34"/>
      <c r="O23" s="120"/>
      <c r="P23" s="139"/>
      <c r="Q23" s="139"/>
      <c r="R23" s="150"/>
      <c r="S23" s="34"/>
      <c r="T23" s="120"/>
      <c r="U23" s="139"/>
      <c r="V23" s="139"/>
      <c r="W23" s="150"/>
      <c r="X23" s="34"/>
      <c r="Y23" s="120"/>
      <c r="Z23" s="139"/>
      <c r="AA23" s="139"/>
      <c r="AB23" s="150"/>
      <c r="AC23" s="34"/>
      <c r="AD23" s="120"/>
      <c r="AE23" s="139"/>
      <c r="AF23" s="139"/>
      <c r="AG23" s="150"/>
      <c r="AH23" s="34"/>
      <c r="AI23" s="120"/>
      <c r="AJ23" s="139"/>
      <c r="AK23" s="139"/>
      <c r="AL23" s="150"/>
      <c r="AM23" s="34"/>
      <c r="AN23" s="120"/>
      <c r="AO23" s="139"/>
      <c r="AP23" s="139"/>
      <c r="AQ23" s="150"/>
      <c r="AR23" s="34"/>
      <c r="AS23" s="120"/>
      <c r="AT23" s="139"/>
      <c r="AU23" s="139"/>
      <c r="AV23" s="150"/>
      <c r="AW23" s="34"/>
      <c r="AX23" s="120"/>
      <c r="AY23" s="139"/>
      <c r="AZ23" s="139"/>
      <c r="BA23" s="119"/>
      <c r="BB23" s="44"/>
      <c r="BC23" s="120"/>
      <c r="BD23" s="139"/>
      <c r="BE23" s="139"/>
      <c r="BF23" s="119"/>
      <c r="BG23" s="44"/>
      <c r="BH23" s="120"/>
      <c r="BI23" s="139"/>
      <c r="BJ23" s="139"/>
      <c r="BK23" s="119"/>
      <c r="BL23" s="44"/>
      <c r="BM23" s="120"/>
      <c r="BN23" s="139"/>
      <c r="BO23" s="139"/>
      <c r="BP23" s="119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</row>
    <row r="24" spans="1:104" x14ac:dyDescent="0.2">
      <c r="A24" s="44"/>
      <c r="B24" s="44"/>
      <c r="C24" s="26" t="s">
        <v>130</v>
      </c>
      <c r="D24" s="42"/>
      <c r="E24" s="121">
        <f t="shared" ref="E24:P24" si="26">E18+E22</f>
        <v>31.312000000000051</v>
      </c>
      <c r="F24" s="122">
        <f t="shared" si="26"/>
        <v>41.695000000000007</v>
      </c>
      <c r="G24" s="122">
        <f t="shared" si="26"/>
        <v>77.01900000000002</v>
      </c>
      <c r="H24" s="123">
        <f t="shared" si="26"/>
        <v>27.136999999999819</v>
      </c>
      <c r="I24" s="86">
        <f t="shared" si="26"/>
        <v>177.16300000000001</v>
      </c>
      <c r="J24" s="121">
        <f t="shared" si="26"/>
        <v>31.255000000000031</v>
      </c>
      <c r="K24" s="122">
        <f t="shared" si="26"/>
        <v>55.181000000000047</v>
      </c>
      <c r="L24" s="122">
        <f t="shared" si="26"/>
        <v>77.939999999999955</v>
      </c>
      <c r="M24" s="123">
        <f t="shared" si="26"/>
        <v>23.275999999999925</v>
      </c>
      <c r="N24" s="86">
        <f t="shared" si="26"/>
        <v>187.65200000000013</v>
      </c>
      <c r="O24" s="121">
        <f>O18+O22</f>
        <v>31.486999999999966</v>
      </c>
      <c r="P24" s="122">
        <f t="shared" si="26"/>
        <v>54.874999999999993</v>
      </c>
      <c r="Q24" s="122">
        <f>Q18+Q22</f>
        <v>94.065000000000055</v>
      </c>
      <c r="R24" s="123">
        <f>R18+R22</f>
        <v>25.918000000000085</v>
      </c>
      <c r="S24" s="86">
        <f>S18+S22</f>
        <v>206.34499999999997</v>
      </c>
      <c r="T24" s="121">
        <f t="shared" ref="T24:Y24" si="27">T18+T22</f>
        <v>33.412999999999968</v>
      </c>
      <c r="U24" s="122">
        <f t="shared" si="27"/>
        <v>63.735000000000021</v>
      </c>
      <c r="V24" s="122">
        <f t="shared" si="27"/>
        <v>109.10600000000001</v>
      </c>
      <c r="W24" s="123">
        <f t="shared" si="27"/>
        <v>26.818999999999992</v>
      </c>
      <c r="X24" s="86">
        <f t="shared" si="27"/>
        <v>233.07300000000012</v>
      </c>
      <c r="Y24" s="121">
        <f t="shared" si="27"/>
        <v>35.633000000000024</v>
      </c>
      <c r="Z24" s="122">
        <f t="shared" ref="Z24:AF24" si="28">Z18+Z22</f>
        <v>60.774000000000051</v>
      </c>
      <c r="AA24" s="122">
        <f t="shared" si="28"/>
        <v>76.68799999999996</v>
      </c>
      <c r="AB24" s="123">
        <f t="shared" si="28"/>
        <v>47.248000000000125</v>
      </c>
      <c r="AC24" s="86">
        <f t="shared" si="28"/>
        <v>220.34300000000005</v>
      </c>
      <c r="AD24" s="121">
        <f t="shared" si="28"/>
        <v>46.256999999999962</v>
      </c>
      <c r="AE24" s="122">
        <f t="shared" si="28"/>
        <v>61.765999999999998</v>
      </c>
      <c r="AF24" s="122">
        <f t="shared" si="28"/>
        <v>121.982</v>
      </c>
      <c r="AG24" s="123">
        <f t="shared" ref="AG24:AM24" si="29">AG18+AG22</f>
        <v>48.178000000000054</v>
      </c>
      <c r="AH24" s="86">
        <f t="shared" si="29"/>
        <v>278.18300000000005</v>
      </c>
      <c r="AI24" s="121">
        <f t="shared" si="29"/>
        <v>51.408000000000015</v>
      </c>
      <c r="AJ24" s="122">
        <f t="shared" si="29"/>
        <v>55.076000000000008</v>
      </c>
      <c r="AK24" s="122">
        <f t="shared" si="29"/>
        <v>119.26399999999997</v>
      </c>
      <c r="AL24" s="123">
        <f t="shared" si="29"/>
        <v>56.089000000000105</v>
      </c>
      <c r="AM24" s="86">
        <f t="shared" si="29"/>
        <v>281.83700000000016</v>
      </c>
      <c r="AN24" s="121">
        <f>AN18+AN22</f>
        <v>55.940000000000019</v>
      </c>
      <c r="AO24" s="122">
        <f>AO18+AO22</f>
        <v>71.157000000000025</v>
      </c>
      <c r="AP24" s="122">
        <f t="shared" ref="AP24:AR24" si="30">AP18+AP22</f>
        <v>125.13100000000009</v>
      </c>
      <c r="AQ24" s="123">
        <f t="shared" si="30"/>
        <v>65.125000000000057</v>
      </c>
      <c r="AR24" s="86">
        <f t="shared" si="30"/>
        <v>317.35299999999995</v>
      </c>
      <c r="AS24" s="121">
        <f>AS18+AS22</f>
        <v>60.581000000000017</v>
      </c>
      <c r="AT24" s="122">
        <f>AT18+AT22</f>
        <v>76.493999999999971</v>
      </c>
      <c r="AU24" s="122">
        <f>AU18+AU22</f>
        <v>125.14500000000004</v>
      </c>
      <c r="AV24" s="123">
        <f t="shared" ref="AV24:AW24" si="31">AV18+AV22</f>
        <v>46.257999999999882</v>
      </c>
      <c r="AW24" s="86">
        <f t="shared" si="31"/>
        <v>308.47799999999972</v>
      </c>
      <c r="AX24" s="121">
        <f t="shared" ref="AX24:BG24" si="32">AX18+AX22</f>
        <v>73.89831317761265</v>
      </c>
      <c r="AY24" s="122">
        <f t="shared" si="32"/>
        <v>83.110478691293565</v>
      </c>
      <c r="AZ24" s="122">
        <f t="shared" si="32"/>
        <v>123.11560718918349</v>
      </c>
      <c r="BA24" s="123">
        <f t="shared" si="32"/>
        <v>53.116283652566139</v>
      </c>
      <c r="BB24" s="86">
        <f t="shared" si="32"/>
        <v>333.24068271065602</v>
      </c>
      <c r="BC24" s="121">
        <f t="shared" si="32"/>
        <v>90.582745447658411</v>
      </c>
      <c r="BD24" s="122">
        <f t="shared" si="32"/>
        <v>97.817867038779923</v>
      </c>
      <c r="BE24" s="122">
        <f t="shared" si="32"/>
        <v>142.51297465677567</v>
      </c>
      <c r="BF24" s="123">
        <f t="shared" si="32"/>
        <v>66.818503002731902</v>
      </c>
      <c r="BG24" s="86">
        <f t="shared" si="32"/>
        <v>397.73209014594607</v>
      </c>
      <c r="BH24" s="121">
        <f t="shared" ref="BH24:BQ24" si="33">BH18+BH22</f>
        <v>102.01721591492453</v>
      </c>
      <c r="BI24" s="122">
        <f t="shared" si="33"/>
        <v>107.62847113129236</v>
      </c>
      <c r="BJ24" s="122">
        <f t="shared" si="33"/>
        <v>159.34672178041933</v>
      </c>
      <c r="BK24" s="123">
        <f t="shared" si="33"/>
        <v>78.34883179606274</v>
      </c>
      <c r="BL24" s="86">
        <f t="shared" si="33"/>
        <v>447.34124062269859</v>
      </c>
      <c r="BM24" s="121">
        <f t="shared" si="33"/>
        <v>112.06800734654799</v>
      </c>
      <c r="BN24" s="122">
        <f t="shared" si="33"/>
        <v>120.33071562901813</v>
      </c>
      <c r="BO24" s="122">
        <f t="shared" si="33"/>
        <v>177.35358187919798</v>
      </c>
      <c r="BP24" s="123">
        <f t="shared" si="33"/>
        <v>91.865227623463838</v>
      </c>
      <c r="BQ24" s="86">
        <f t="shared" si="33"/>
        <v>501.6175324782277</v>
      </c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</row>
    <row r="25" spans="1:104" x14ac:dyDescent="0.2">
      <c r="A25" s="44"/>
      <c r="B25" s="44"/>
      <c r="C25" s="26" t="s">
        <v>131</v>
      </c>
      <c r="D25" s="42"/>
      <c r="E25" s="121">
        <f t="shared" ref="E25:P25" si="34">+E24+E13</f>
        <v>56.587000000000046</v>
      </c>
      <c r="F25" s="122">
        <f t="shared" si="34"/>
        <v>66.974000000000004</v>
      </c>
      <c r="G25" s="122">
        <f t="shared" si="34"/>
        <v>102.98900000000002</v>
      </c>
      <c r="H25" s="123">
        <f t="shared" si="34"/>
        <v>55.214999999999819</v>
      </c>
      <c r="I25" s="86">
        <f t="shared" si="34"/>
        <v>281.76499999999999</v>
      </c>
      <c r="J25" s="121">
        <f t="shared" si="34"/>
        <v>56.909000000000034</v>
      </c>
      <c r="K25" s="122">
        <f t="shared" si="34"/>
        <v>80.835000000000051</v>
      </c>
      <c r="L25" s="122">
        <f t="shared" si="34"/>
        <v>104.02299999999995</v>
      </c>
      <c r="M25" s="123">
        <f t="shared" si="34"/>
        <v>49.819999999999936</v>
      </c>
      <c r="N25" s="86">
        <f t="shared" si="34"/>
        <v>291.5870000000001</v>
      </c>
      <c r="O25" s="121">
        <f t="shared" si="34"/>
        <v>57.644999999999968</v>
      </c>
      <c r="P25" s="122">
        <f t="shared" si="34"/>
        <v>81.23899999999999</v>
      </c>
      <c r="Q25" s="122">
        <f t="shared" ref="Q25:V25" si="35">+Q24+Q13</f>
        <v>121.13200000000006</v>
      </c>
      <c r="R25" s="123">
        <f t="shared" si="35"/>
        <v>53.30300000000009</v>
      </c>
      <c r="S25" s="86">
        <f t="shared" si="35"/>
        <v>313.31899999999996</v>
      </c>
      <c r="T25" s="121">
        <f t="shared" si="35"/>
        <v>61.258999999999972</v>
      </c>
      <c r="U25" s="122">
        <f t="shared" si="35"/>
        <v>91.984000000000023</v>
      </c>
      <c r="V25" s="122">
        <f t="shared" si="35"/>
        <v>137.79600000000002</v>
      </c>
      <c r="W25" s="123">
        <f t="shared" ref="W25:AD25" si="36">+W24+W13</f>
        <v>55.776999999999987</v>
      </c>
      <c r="X25" s="86">
        <f t="shared" si="36"/>
        <v>346.81600000000014</v>
      </c>
      <c r="Y25" s="121">
        <f t="shared" si="36"/>
        <v>65.838000000000022</v>
      </c>
      <c r="Z25" s="122">
        <f t="shared" si="36"/>
        <v>91.82900000000005</v>
      </c>
      <c r="AA25" s="122">
        <f t="shared" si="36"/>
        <v>107.00299999999996</v>
      </c>
      <c r="AB25" s="123">
        <f t="shared" si="36"/>
        <v>77.580000000000126</v>
      </c>
      <c r="AC25" s="86">
        <f t="shared" si="36"/>
        <v>342.25000000000006</v>
      </c>
      <c r="AD25" s="121">
        <f t="shared" si="36"/>
        <v>76.768999999999963</v>
      </c>
      <c r="AE25" s="122">
        <f t="shared" ref="AE25:AM25" si="37">+AE24+AE13</f>
        <v>96.836999999999989</v>
      </c>
      <c r="AF25" s="122">
        <f t="shared" si="37"/>
        <v>156.18899999999999</v>
      </c>
      <c r="AG25" s="123">
        <f t="shared" si="37"/>
        <v>84.020000000000067</v>
      </c>
      <c r="AH25" s="86">
        <f t="shared" si="37"/>
        <v>413.81500000000005</v>
      </c>
      <c r="AI25" s="121">
        <f t="shared" si="37"/>
        <v>87.14700000000002</v>
      </c>
      <c r="AJ25" s="122">
        <f t="shared" si="37"/>
        <v>91.826000000000008</v>
      </c>
      <c r="AK25" s="122">
        <f t="shared" si="37"/>
        <v>154.68599999999998</v>
      </c>
      <c r="AL25" s="123">
        <f t="shared" si="37"/>
        <v>99.091000000000122</v>
      </c>
      <c r="AM25" s="86">
        <f t="shared" si="37"/>
        <v>432.75000000000017</v>
      </c>
      <c r="AN25" s="121">
        <f>+AN24+AN13</f>
        <v>96.271000000000015</v>
      </c>
      <c r="AO25" s="122">
        <f>+AO24+AO13</f>
        <v>112.05000000000003</v>
      </c>
      <c r="AP25" s="122">
        <f t="shared" ref="AP25:AR25" si="38">+AP24+AP13</f>
        <v>167.1570000000001</v>
      </c>
      <c r="AQ25" s="123">
        <f t="shared" si="38"/>
        <v>104.30400000000006</v>
      </c>
      <c r="AR25" s="86">
        <f t="shared" si="38"/>
        <v>479.78199999999993</v>
      </c>
      <c r="AS25" s="121">
        <f>+AS24+AS13</f>
        <v>110.99900000000002</v>
      </c>
      <c r="AT25" s="122">
        <f>+AT24+AT13</f>
        <v>123.30899999999997</v>
      </c>
      <c r="AU25" s="122">
        <f>+AU24+AU13</f>
        <v>172.69300000000004</v>
      </c>
      <c r="AV25" s="123">
        <f t="shared" ref="AV25:AW25" si="39">+AV24+AV13</f>
        <v>95.391999999999868</v>
      </c>
      <c r="AW25" s="86">
        <f t="shared" si="39"/>
        <v>502.39299999999969</v>
      </c>
      <c r="AX25" s="121">
        <f t="shared" ref="AX25:BG25" si="40">+AX24+AX13</f>
        <v>127.26532067761265</v>
      </c>
      <c r="AY25" s="122">
        <f t="shared" si="40"/>
        <v>135.49241673256046</v>
      </c>
      <c r="AZ25" s="122">
        <f t="shared" si="40"/>
        <v>177.77699842748615</v>
      </c>
      <c r="BA25" s="123">
        <f t="shared" si="40"/>
        <v>110.03148423943787</v>
      </c>
      <c r="BB25" s="86">
        <f t="shared" si="40"/>
        <v>550.56622007709734</v>
      </c>
      <c r="BC25" s="121">
        <f t="shared" si="40"/>
        <v>147.70367192617346</v>
      </c>
      <c r="BD25" s="122">
        <f t="shared" si="40"/>
        <v>156.59529938268284</v>
      </c>
      <c r="BE25" s="122">
        <f t="shared" si="40"/>
        <v>203.74837110348744</v>
      </c>
      <c r="BF25" s="123">
        <f t="shared" si="40"/>
        <v>130.48515716485144</v>
      </c>
      <c r="BG25" s="86">
        <f t="shared" si="40"/>
        <v>638.53249957719538</v>
      </c>
      <c r="BH25" s="121">
        <f t="shared" ref="BH25:BQ25" si="41">+BH24+BH13</f>
        <v>168.08871157654963</v>
      </c>
      <c r="BI25" s="122">
        <f t="shared" si="41"/>
        <v>177.84705111843709</v>
      </c>
      <c r="BJ25" s="122">
        <f t="shared" si="41"/>
        <v>230.73094090791199</v>
      </c>
      <c r="BK25" s="123">
        <f t="shared" si="41"/>
        <v>150.88602510658507</v>
      </c>
      <c r="BL25" s="86">
        <f t="shared" si="41"/>
        <v>727.5527287094834</v>
      </c>
      <c r="BM25" s="121">
        <f t="shared" si="41"/>
        <v>185.7456474906727</v>
      </c>
      <c r="BN25" s="122">
        <f t="shared" si="41"/>
        <v>196.12340970859691</v>
      </c>
      <c r="BO25" s="122">
        <f t="shared" si="41"/>
        <v>253.59943614451521</v>
      </c>
      <c r="BP25" s="123">
        <f t="shared" si="41"/>
        <v>168.55931837711429</v>
      </c>
      <c r="BQ25" s="86">
        <f t="shared" si="41"/>
        <v>804.02781172089885</v>
      </c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  <c r="CX25" s="44"/>
      <c r="CY25" s="44"/>
      <c r="CZ25" s="44"/>
    </row>
    <row r="26" spans="1:104" x14ac:dyDescent="0.2">
      <c r="A26" s="44"/>
      <c r="B26" s="44"/>
      <c r="C26" s="20"/>
      <c r="D26" s="42"/>
      <c r="E26" s="148"/>
      <c r="F26" s="149"/>
      <c r="G26" s="149"/>
      <c r="H26" s="150"/>
      <c r="I26" s="42"/>
      <c r="J26" s="148"/>
      <c r="K26" s="149"/>
      <c r="L26" s="149"/>
      <c r="M26" s="150"/>
      <c r="N26" s="34"/>
      <c r="O26" s="120"/>
      <c r="P26" s="139"/>
      <c r="Q26" s="139"/>
      <c r="R26" s="150"/>
      <c r="S26" s="34"/>
      <c r="T26" s="120"/>
      <c r="U26" s="139"/>
      <c r="V26" s="139"/>
      <c r="W26" s="150"/>
      <c r="X26" s="34"/>
      <c r="Y26" s="120"/>
      <c r="Z26" s="139"/>
      <c r="AA26" s="139"/>
      <c r="AB26" s="150"/>
      <c r="AC26" s="34"/>
      <c r="AD26" s="120"/>
      <c r="AE26" s="139"/>
      <c r="AF26" s="139"/>
      <c r="AG26" s="150"/>
      <c r="AH26" s="34"/>
      <c r="AI26" s="120"/>
      <c r="AJ26" s="139"/>
      <c r="AK26" s="139"/>
      <c r="AL26" s="150"/>
      <c r="AM26" s="34"/>
      <c r="AN26" s="120"/>
      <c r="AO26" s="139"/>
      <c r="AP26" s="139"/>
      <c r="AQ26" s="150"/>
      <c r="AR26" s="34"/>
      <c r="AS26" s="120"/>
      <c r="AT26" s="139"/>
      <c r="AU26" s="139"/>
      <c r="AV26" s="150"/>
      <c r="AW26" s="34"/>
      <c r="AX26" s="120"/>
      <c r="AY26" s="139"/>
      <c r="AZ26" s="139"/>
      <c r="BA26" s="119"/>
      <c r="BB26" s="44"/>
      <c r="BC26" s="120"/>
      <c r="BD26" s="139"/>
      <c r="BE26" s="139"/>
      <c r="BF26" s="119"/>
      <c r="BG26" s="44"/>
      <c r="BH26" s="120"/>
      <c r="BI26" s="139"/>
      <c r="BJ26" s="139"/>
      <c r="BK26" s="119"/>
      <c r="BL26" s="44"/>
      <c r="BM26" s="120"/>
      <c r="BN26" s="139"/>
      <c r="BO26" s="139"/>
      <c r="BP26" s="119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</row>
    <row r="27" spans="1:104" x14ac:dyDescent="0.2">
      <c r="A27" s="44"/>
      <c r="B27" s="44"/>
      <c r="C27" s="20" t="s">
        <v>132</v>
      </c>
      <c r="D27" s="42"/>
      <c r="E27" s="114">
        <v>18.100000000000001</v>
      </c>
      <c r="F27" s="115">
        <v>15.582000000000001</v>
      </c>
      <c r="G27" s="115">
        <v>17.178000000000001</v>
      </c>
      <c r="H27" s="131">
        <f>I27-SUM(E27:G27)</f>
        <v>20.828000000000003</v>
      </c>
      <c r="I27" s="117">
        <v>71.688000000000002</v>
      </c>
      <c r="J27" s="114">
        <v>16.146000000000001</v>
      </c>
      <c r="K27" s="115">
        <v>15.736000000000001</v>
      </c>
      <c r="L27" s="115">
        <v>16.216999999999999</v>
      </c>
      <c r="M27" s="131">
        <f>N27-SUM(J27:L27)</f>
        <v>15.812999999999995</v>
      </c>
      <c r="N27" s="117">
        <v>63.911999999999999</v>
      </c>
      <c r="O27" s="114">
        <v>15.798</v>
      </c>
      <c r="P27" s="115">
        <v>16.068000000000001</v>
      </c>
      <c r="Q27" s="115">
        <v>16.456</v>
      </c>
      <c r="R27" s="131">
        <f>S27-SUM(O27:Q27)</f>
        <v>16.772999999999996</v>
      </c>
      <c r="S27" s="117">
        <v>65.094999999999999</v>
      </c>
      <c r="T27" s="114">
        <v>16.706</v>
      </c>
      <c r="U27" s="115">
        <v>16.934999999999999</v>
      </c>
      <c r="V27" s="115">
        <v>17.649000000000001</v>
      </c>
      <c r="W27" s="131">
        <f>X27-SUM(T27:V27)</f>
        <v>17.783999999999999</v>
      </c>
      <c r="X27" s="117">
        <v>69.073999999999998</v>
      </c>
      <c r="Y27" s="114">
        <v>17.773</v>
      </c>
      <c r="Z27" s="115">
        <v>17.844000000000001</v>
      </c>
      <c r="AA27" s="115">
        <v>22.891999999999999</v>
      </c>
      <c r="AB27" s="131">
        <f>AC27-SUM(Y27:AA27)</f>
        <v>19.356999999999999</v>
      </c>
      <c r="AC27" s="117">
        <v>77.866</v>
      </c>
      <c r="AD27" s="114">
        <v>19.280999999999999</v>
      </c>
      <c r="AE27" s="115">
        <v>19.645</v>
      </c>
      <c r="AF27" s="115">
        <v>20.478999999999999</v>
      </c>
      <c r="AG27" s="131">
        <f>AH27-SUM(AD27:AF27)</f>
        <v>20.813000000000002</v>
      </c>
      <c r="AH27" s="117">
        <v>80.218000000000004</v>
      </c>
      <c r="AI27" s="114">
        <v>20.884</v>
      </c>
      <c r="AJ27" s="115">
        <v>21.074000000000002</v>
      </c>
      <c r="AK27" s="115">
        <v>21.779</v>
      </c>
      <c r="AL27" s="131">
        <f>AM27-SUM(AI27:AK27)</f>
        <v>20.303000000000011</v>
      </c>
      <c r="AM27" s="117">
        <v>84.04</v>
      </c>
      <c r="AN27" s="114">
        <v>21.931999999999999</v>
      </c>
      <c r="AO27" s="115">
        <v>22.074999999999999</v>
      </c>
      <c r="AP27" s="115">
        <v>23.343</v>
      </c>
      <c r="AQ27" s="131">
        <f>AR27-SUM(AN27:AP27)</f>
        <v>21.321000000000012</v>
      </c>
      <c r="AR27" s="117">
        <v>88.671000000000006</v>
      </c>
      <c r="AS27" s="114">
        <v>22.738</v>
      </c>
      <c r="AT27" s="115">
        <v>21.946000000000002</v>
      </c>
      <c r="AU27" s="115">
        <v>21.443999999999999</v>
      </c>
      <c r="AV27" s="131">
        <f>AW27-SUM(AS27:AU27)</f>
        <v>20.105000000000004</v>
      </c>
      <c r="AW27" s="117">
        <v>86.233000000000004</v>
      </c>
      <c r="AX27" s="120">
        <f>+AS27+AX150+AX152+AX153</f>
        <v>20.852072499999998</v>
      </c>
      <c r="AY27" s="118">
        <f>+AT27+AY150+AY152+AY153</f>
        <v>20.290753178905099</v>
      </c>
      <c r="AZ27" s="118">
        <f>+AU27+AZ150+AZ152+AZ153</f>
        <v>25.604010114263318</v>
      </c>
      <c r="BA27" s="119">
        <f>+AV27+BA150+BA152+BA153</f>
        <v>23.401830629578523</v>
      </c>
      <c r="BB27" s="42">
        <f>SUM(AX27:BA27)</f>
        <v>90.148666422746942</v>
      </c>
      <c r="BC27" s="120">
        <f>+AX27+BC150+BC152+BC153</f>
        <v>24.044041731995804</v>
      </c>
      <c r="BD27" s="118">
        <f>+AY27+BD150+BD152+BD153</f>
        <v>23.588417803556311</v>
      </c>
      <c r="BE27" s="118">
        <f>+AZ27+BE150+BE152+BE153</f>
        <v>31.66541362802155</v>
      </c>
      <c r="BF27" s="119">
        <f>+BA27+BF150+BF152+BF153</f>
        <v>27.57005271948292</v>
      </c>
      <c r="BG27" s="42">
        <f>SUM(BC27:BF27)</f>
        <v>106.86792588305659</v>
      </c>
      <c r="BH27" s="120">
        <f>+BC27+BH150+BH152+BH153</f>
        <v>28.160068451449551</v>
      </c>
      <c r="BI27" s="118">
        <f>+BD27+BI150+BI152+BI153</f>
        <v>27.420644905955619</v>
      </c>
      <c r="BJ27" s="118">
        <f>+BE27+BJ150+BJ152+BJ153</f>
        <v>34.389194678216512</v>
      </c>
      <c r="BK27" s="119">
        <f>+BF27+BK150+BK152+BK153</f>
        <v>28.983262750626377</v>
      </c>
      <c r="BL27" s="42">
        <f>SUM(BH27:BK27)</f>
        <v>118.95317078624807</v>
      </c>
      <c r="BM27" s="120">
        <f>+BH27+BM150+BM152+BM153</f>
        <v>29.662797886438717</v>
      </c>
      <c r="BN27" s="118">
        <f>+BI27+BN150+BN152+BN153</f>
        <v>28.755266672269986</v>
      </c>
      <c r="BO27" s="118">
        <f>+BJ27+BO150+BO152+BO153</f>
        <v>36.479129008781683</v>
      </c>
      <c r="BP27" s="119">
        <f>+BK27+BP150+BP152+BP153</f>
        <v>29.94998923773889</v>
      </c>
      <c r="BQ27" s="42">
        <f>SUM(BM27:BP27)</f>
        <v>124.84718280522928</v>
      </c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</row>
    <row r="28" spans="1:104" x14ac:dyDescent="0.2">
      <c r="A28" s="44"/>
      <c r="B28" s="44"/>
      <c r="C28" s="20" t="s">
        <v>133</v>
      </c>
      <c r="D28" s="42"/>
      <c r="E28" s="114">
        <v>-0.77</v>
      </c>
      <c r="F28" s="115">
        <v>-0.67500000000000004</v>
      </c>
      <c r="G28" s="115">
        <v>-0.61799999999999999</v>
      </c>
      <c r="H28" s="116">
        <f>I28-SUM(E28:G28)</f>
        <v>-0.70699999999999985</v>
      </c>
      <c r="I28" s="117">
        <v>-2.77</v>
      </c>
      <c r="J28" s="114">
        <v>-0.54600000000000004</v>
      </c>
      <c r="K28" s="115">
        <v>-0.71399999999999997</v>
      </c>
      <c r="L28" s="115">
        <v>-0.79200000000000004</v>
      </c>
      <c r="M28" s="116">
        <f>N28-SUM(J28:L28)</f>
        <v>-1.141</v>
      </c>
      <c r="N28" s="117">
        <v>-3.1930000000000001</v>
      </c>
      <c r="O28" s="114">
        <v>-1.349</v>
      </c>
      <c r="P28" s="115">
        <v>-1.018</v>
      </c>
      <c r="Q28" s="115">
        <v>-0.65500000000000003</v>
      </c>
      <c r="R28" s="116">
        <f>S28-SUM(O28:Q28)</f>
        <v>-0.76199999999999957</v>
      </c>
      <c r="S28" s="117">
        <v>-3.7839999999999998</v>
      </c>
      <c r="T28" s="114">
        <v>-1.083</v>
      </c>
      <c r="U28" s="115">
        <v>-1.073</v>
      </c>
      <c r="V28" s="115">
        <v>-1.052</v>
      </c>
      <c r="W28" s="116">
        <f>X28-SUM(T28:V28)</f>
        <v>-1.3910000000000005</v>
      </c>
      <c r="X28" s="117">
        <v>-4.5990000000000002</v>
      </c>
      <c r="Y28" s="114">
        <v>-1.609</v>
      </c>
      <c r="Z28" s="115">
        <v>-1.41</v>
      </c>
      <c r="AA28" s="115">
        <v>-1.387</v>
      </c>
      <c r="AB28" s="116">
        <f>AC28-SUM(Y28:AA28)</f>
        <v>-2.0549999999999997</v>
      </c>
      <c r="AC28" s="117">
        <v>-6.4610000000000003</v>
      </c>
      <c r="AD28" s="114">
        <v>-2.1269999999999998</v>
      </c>
      <c r="AE28" s="115">
        <v>-1.7210000000000001</v>
      </c>
      <c r="AF28" s="115">
        <v>-1.8460000000000001</v>
      </c>
      <c r="AG28" s="116">
        <f>AH28-SUM(AD28:AF28)</f>
        <v>-1.3950000000000005</v>
      </c>
      <c r="AH28" s="117">
        <v>-7.0890000000000004</v>
      </c>
      <c r="AI28" s="114">
        <v>-1.0609999999999999</v>
      </c>
      <c r="AJ28" s="115">
        <v>-1.137</v>
      </c>
      <c r="AK28" s="115">
        <v>-1.204</v>
      </c>
      <c r="AL28" s="116">
        <f>AM28-SUM(AI28:AK28)</f>
        <v>-1.0889999999999995</v>
      </c>
      <c r="AM28" s="117">
        <v>-4.4909999999999997</v>
      </c>
      <c r="AN28" s="114">
        <v>-1.327</v>
      </c>
      <c r="AO28" s="115">
        <v>-1.397</v>
      </c>
      <c r="AP28" s="115">
        <v>-1.4219999999999999</v>
      </c>
      <c r="AQ28" s="116">
        <f>AR28-SUM(AN28:AP28)</f>
        <v>-1.4430000000000005</v>
      </c>
      <c r="AR28" s="117">
        <v>-5.5890000000000004</v>
      </c>
      <c r="AS28" s="114">
        <v>-1.339</v>
      </c>
      <c r="AT28" s="115">
        <v>-1.1279999999999999</v>
      </c>
      <c r="AU28" s="115">
        <v>-1.349</v>
      </c>
      <c r="AV28" s="116">
        <f>AW28-SUM(AS28:AU28)</f>
        <v>-1.5680000000000005</v>
      </c>
      <c r="AW28" s="117">
        <v>-5.3840000000000003</v>
      </c>
      <c r="AX28" s="120">
        <f>-AX140</f>
        <v>-3.3656160413671152</v>
      </c>
      <c r="AY28" s="118">
        <f>-AY140</f>
        <v>-3.3656160413671152</v>
      </c>
      <c r="AZ28" s="118">
        <f>-AZ140</f>
        <v>-3.3656160413671152</v>
      </c>
      <c r="BA28" s="119">
        <f>-BA140</f>
        <v>-3.3656160413671152</v>
      </c>
      <c r="BB28" s="42">
        <f>SUM(AX28:BA28)</f>
        <v>-13.462464165468461</v>
      </c>
      <c r="BC28" s="120">
        <f>-BC140</f>
        <v>-3.7615708697632466</v>
      </c>
      <c r="BD28" s="118">
        <f>-BD140</f>
        <v>-3.7615708697632466</v>
      </c>
      <c r="BE28" s="118">
        <f>-BE140</f>
        <v>-3.7615708697632466</v>
      </c>
      <c r="BF28" s="119">
        <f>-BF140</f>
        <v>-3.7615708697632466</v>
      </c>
      <c r="BG28" s="42">
        <f>SUM(BC28:BF28)</f>
        <v>-15.046283479052986</v>
      </c>
      <c r="BH28" s="120">
        <f>-BH140</f>
        <v>-2.3427327346771096</v>
      </c>
      <c r="BI28" s="118">
        <f>-BI140</f>
        <v>-2.3427327346771096</v>
      </c>
      <c r="BJ28" s="118">
        <f>-BJ140</f>
        <v>-2.3427327346771096</v>
      </c>
      <c r="BK28" s="119">
        <f>-BK140</f>
        <v>-2.3427327346771096</v>
      </c>
      <c r="BL28" s="42">
        <f>SUM(BH28:BK28)</f>
        <v>-9.3709309387084385</v>
      </c>
      <c r="BM28" s="120">
        <f>-BM140</f>
        <v>-1.5508230778848473</v>
      </c>
      <c r="BN28" s="118">
        <f>-BN140</f>
        <v>-1.5508230778848473</v>
      </c>
      <c r="BO28" s="118">
        <f>-BO140</f>
        <v>-1.5508230778848473</v>
      </c>
      <c r="BP28" s="119">
        <f>-BP140</f>
        <v>-1.5508230778848473</v>
      </c>
      <c r="BQ28" s="42">
        <f>SUM(BM28:BP28)</f>
        <v>-6.2032923115393892</v>
      </c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</row>
    <row r="29" spans="1:104" x14ac:dyDescent="0.2">
      <c r="A29" s="44"/>
      <c r="B29" s="44"/>
      <c r="C29" s="26" t="s">
        <v>134</v>
      </c>
      <c r="D29" s="42"/>
      <c r="E29" s="121">
        <f t="shared" ref="E29:P29" si="42">SUM(E27:E28)</f>
        <v>17.330000000000002</v>
      </c>
      <c r="F29" s="122">
        <f t="shared" si="42"/>
        <v>14.907</v>
      </c>
      <c r="G29" s="122">
        <f t="shared" si="42"/>
        <v>16.560000000000002</v>
      </c>
      <c r="H29" s="123">
        <f t="shared" si="42"/>
        <v>20.121000000000002</v>
      </c>
      <c r="I29" s="86">
        <f t="shared" si="42"/>
        <v>68.918000000000006</v>
      </c>
      <c r="J29" s="121">
        <f t="shared" si="42"/>
        <v>15.600000000000001</v>
      </c>
      <c r="K29" s="122">
        <f t="shared" si="42"/>
        <v>15.022</v>
      </c>
      <c r="L29" s="122">
        <f t="shared" si="42"/>
        <v>15.424999999999999</v>
      </c>
      <c r="M29" s="123">
        <f t="shared" si="42"/>
        <v>14.671999999999995</v>
      </c>
      <c r="N29" s="86">
        <f t="shared" si="42"/>
        <v>60.719000000000001</v>
      </c>
      <c r="O29" s="121">
        <f t="shared" si="42"/>
        <v>14.449</v>
      </c>
      <c r="P29" s="122">
        <f t="shared" si="42"/>
        <v>15.05</v>
      </c>
      <c r="Q29" s="122">
        <f t="shared" ref="Q29:V29" si="43">SUM(Q27:Q28)</f>
        <v>15.801</v>
      </c>
      <c r="R29" s="123">
        <f t="shared" si="43"/>
        <v>16.010999999999996</v>
      </c>
      <c r="S29" s="86">
        <f t="shared" si="43"/>
        <v>61.311</v>
      </c>
      <c r="T29" s="121">
        <f t="shared" si="43"/>
        <v>15.622999999999999</v>
      </c>
      <c r="U29" s="122">
        <f t="shared" si="43"/>
        <v>15.861999999999998</v>
      </c>
      <c r="V29" s="122">
        <f t="shared" si="43"/>
        <v>16.597000000000001</v>
      </c>
      <c r="W29" s="123">
        <f t="shared" ref="W29:AD29" si="44">SUM(W27:W28)</f>
        <v>16.392999999999997</v>
      </c>
      <c r="X29" s="86">
        <f t="shared" si="44"/>
        <v>64.474999999999994</v>
      </c>
      <c r="Y29" s="121">
        <f t="shared" si="44"/>
        <v>16.164000000000001</v>
      </c>
      <c r="Z29" s="122">
        <f t="shared" si="44"/>
        <v>16.434000000000001</v>
      </c>
      <c r="AA29" s="122">
        <f t="shared" si="44"/>
        <v>21.504999999999999</v>
      </c>
      <c r="AB29" s="123">
        <f t="shared" si="44"/>
        <v>17.302</v>
      </c>
      <c r="AC29" s="86">
        <f t="shared" si="44"/>
        <v>71.405000000000001</v>
      </c>
      <c r="AD29" s="121">
        <f t="shared" si="44"/>
        <v>17.154</v>
      </c>
      <c r="AE29" s="122">
        <f t="shared" ref="AE29:AM29" si="45">SUM(AE27:AE28)</f>
        <v>17.923999999999999</v>
      </c>
      <c r="AF29" s="122">
        <f t="shared" si="45"/>
        <v>18.632999999999999</v>
      </c>
      <c r="AG29" s="123">
        <f t="shared" si="45"/>
        <v>19.418000000000003</v>
      </c>
      <c r="AH29" s="86">
        <f t="shared" si="45"/>
        <v>73.129000000000005</v>
      </c>
      <c r="AI29" s="121">
        <f t="shared" si="45"/>
        <v>19.823</v>
      </c>
      <c r="AJ29" s="122">
        <f t="shared" si="45"/>
        <v>19.937000000000001</v>
      </c>
      <c r="AK29" s="122">
        <f t="shared" si="45"/>
        <v>20.574999999999999</v>
      </c>
      <c r="AL29" s="123">
        <f t="shared" si="45"/>
        <v>19.214000000000013</v>
      </c>
      <c r="AM29" s="86">
        <f t="shared" si="45"/>
        <v>79.549000000000007</v>
      </c>
      <c r="AN29" s="121">
        <f>SUM(AN27:AN28)</f>
        <v>20.604999999999997</v>
      </c>
      <c r="AO29" s="122">
        <f>SUM(AO27:AO28)</f>
        <v>20.678000000000001</v>
      </c>
      <c r="AP29" s="122">
        <f t="shared" ref="AP29:AU29" si="46">SUM(AP27:AP28)</f>
        <v>21.920999999999999</v>
      </c>
      <c r="AQ29" s="123">
        <f t="shared" si="46"/>
        <v>19.878000000000011</v>
      </c>
      <c r="AR29" s="86">
        <f t="shared" si="46"/>
        <v>83.082000000000008</v>
      </c>
      <c r="AS29" s="121">
        <f>SUM(AS27:AS28)</f>
        <v>21.399000000000001</v>
      </c>
      <c r="AT29" s="122">
        <f>SUM(AT27:AT28)</f>
        <v>20.818000000000001</v>
      </c>
      <c r="AU29" s="122">
        <f t="shared" si="46"/>
        <v>20.094999999999999</v>
      </c>
      <c r="AV29" s="123">
        <f t="shared" ref="AV29:AW29" si="47">SUM(AV27:AV28)</f>
        <v>18.537000000000003</v>
      </c>
      <c r="AW29" s="86">
        <f t="shared" si="47"/>
        <v>80.849000000000004</v>
      </c>
      <c r="AX29" s="121">
        <f t="shared" ref="AX29:BG29" si="48">SUM(AX27:AX28)</f>
        <v>17.486456458632883</v>
      </c>
      <c r="AY29" s="122">
        <f t="shared" si="48"/>
        <v>16.925137137537984</v>
      </c>
      <c r="AZ29" s="122">
        <f t="shared" si="48"/>
        <v>22.238394072896202</v>
      </c>
      <c r="BA29" s="123">
        <f t="shared" si="48"/>
        <v>20.036214588211408</v>
      </c>
      <c r="BB29" s="86">
        <f t="shared" si="48"/>
        <v>76.686202257278481</v>
      </c>
      <c r="BC29" s="121">
        <f t="shared" si="48"/>
        <v>20.282470862232557</v>
      </c>
      <c r="BD29" s="122">
        <f t="shared" si="48"/>
        <v>19.826846933793064</v>
      </c>
      <c r="BE29" s="122">
        <f t="shared" si="48"/>
        <v>27.903842758258303</v>
      </c>
      <c r="BF29" s="123">
        <f t="shared" si="48"/>
        <v>23.808481849719673</v>
      </c>
      <c r="BG29" s="86">
        <f t="shared" si="48"/>
        <v>91.821642404003597</v>
      </c>
      <c r="BH29" s="121">
        <f t="shared" ref="BH29:BQ29" si="49">SUM(BH27:BH28)</f>
        <v>25.81733571677244</v>
      </c>
      <c r="BI29" s="122">
        <f t="shared" si="49"/>
        <v>25.077912171278509</v>
      </c>
      <c r="BJ29" s="122">
        <f t="shared" si="49"/>
        <v>32.046461943539406</v>
      </c>
      <c r="BK29" s="123">
        <f t="shared" si="49"/>
        <v>26.640530015949267</v>
      </c>
      <c r="BL29" s="86">
        <f t="shared" si="49"/>
        <v>109.58223984753963</v>
      </c>
      <c r="BM29" s="121">
        <f t="shared" si="49"/>
        <v>28.111974808553871</v>
      </c>
      <c r="BN29" s="122">
        <f t="shared" si="49"/>
        <v>27.20444359438514</v>
      </c>
      <c r="BO29" s="122">
        <f t="shared" si="49"/>
        <v>34.928305930896833</v>
      </c>
      <c r="BP29" s="123">
        <f t="shared" si="49"/>
        <v>28.399166159854044</v>
      </c>
      <c r="BQ29" s="86">
        <f t="shared" si="49"/>
        <v>118.6438904936899</v>
      </c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44"/>
      <c r="CY29" s="44"/>
      <c r="CZ29" s="44"/>
    </row>
    <row r="30" spans="1:104" x14ac:dyDescent="0.2">
      <c r="A30" s="44"/>
      <c r="B30" s="44"/>
      <c r="C30" s="20"/>
      <c r="D30" s="42"/>
      <c r="E30" s="148"/>
      <c r="F30" s="149"/>
      <c r="G30" s="149"/>
      <c r="H30" s="150"/>
      <c r="I30" s="34"/>
      <c r="J30" s="148"/>
      <c r="K30" s="149"/>
      <c r="L30" s="149"/>
      <c r="M30" s="150"/>
      <c r="N30" s="34"/>
      <c r="O30" s="120"/>
      <c r="P30" s="139"/>
      <c r="Q30" s="139"/>
      <c r="R30" s="150"/>
      <c r="S30" s="34"/>
      <c r="T30" s="120"/>
      <c r="U30" s="139"/>
      <c r="V30" s="139"/>
      <c r="W30" s="150"/>
      <c r="X30" s="34"/>
      <c r="Y30" s="120"/>
      <c r="Z30" s="139"/>
      <c r="AA30" s="139"/>
      <c r="AB30" s="150"/>
      <c r="AC30" s="34"/>
      <c r="AD30" s="120"/>
      <c r="AE30" s="139"/>
      <c r="AF30" s="139"/>
      <c r="AG30" s="150"/>
      <c r="AH30" s="34"/>
      <c r="AI30" s="120"/>
      <c r="AJ30" s="139"/>
      <c r="AK30" s="139"/>
      <c r="AL30" s="150"/>
      <c r="AM30" s="34"/>
      <c r="AN30" s="120"/>
      <c r="AO30" s="139"/>
      <c r="AP30" s="139"/>
      <c r="AQ30" s="150"/>
      <c r="AR30" s="34"/>
      <c r="AS30" s="120"/>
      <c r="AT30" s="139"/>
      <c r="AU30" s="139"/>
      <c r="AV30" s="150"/>
      <c r="AW30" s="34"/>
      <c r="AX30" s="120"/>
      <c r="AY30" s="139"/>
      <c r="AZ30" s="139"/>
      <c r="BA30" s="119"/>
      <c r="BB30" s="44"/>
      <c r="BC30" s="120"/>
      <c r="BD30" s="139"/>
      <c r="BE30" s="139"/>
      <c r="BF30" s="119"/>
      <c r="BG30" s="44"/>
      <c r="BH30" s="120"/>
      <c r="BI30" s="139"/>
      <c r="BJ30" s="139"/>
      <c r="BK30" s="119"/>
      <c r="BL30" s="44"/>
      <c r="BM30" s="120"/>
      <c r="BN30" s="139"/>
      <c r="BO30" s="139"/>
      <c r="BP30" s="119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  <c r="CX30" s="44"/>
      <c r="CY30" s="44"/>
      <c r="CZ30" s="44"/>
    </row>
    <row r="31" spans="1:104" x14ac:dyDescent="0.2">
      <c r="A31" s="44"/>
      <c r="B31" s="44"/>
      <c r="C31" s="26" t="s">
        <v>135</v>
      </c>
      <c r="D31" s="82"/>
      <c r="E31" s="121">
        <f t="shared" ref="E31:P31" si="50">+E24-E29</f>
        <v>13.982000000000049</v>
      </c>
      <c r="F31" s="122">
        <f t="shared" si="50"/>
        <v>26.788000000000007</v>
      </c>
      <c r="G31" s="122">
        <f t="shared" si="50"/>
        <v>60.459000000000017</v>
      </c>
      <c r="H31" s="123">
        <f t="shared" si="50"/>
        <v>7.015999999999817</v>
      </c>
      <c r="I31" s="86">
        <f t="shared" si="50"/>
        <v>108.245</v>
      </c>
      <c r="J31" s="121">
        <f t="shared" si="50"/>
        <v>15.65500000000003</v>
      </c>
      <c r="K31" s="122">
        <f t="shared" si="50"/>
        <v>40.159000000000049</v>
      </c>
      <c r="L31" s="122">
        <f t="shared" si="50"/>
        <v>62.514999999999958</v>
      </c>
      <c r="M31" s="123">
        <f t="shared" si="50"/>
        <v>8.6039999999999299</v>
      </c>
      <c r="N31" s="86">
        <f t="shared" si="50"/>
        <v>126.93300000000013</v>
      </c>
      <c r="O31" s="121">
        <f>+O24-O29</f>
        <v>17.037999999999968</v>
      </c>
      <c r="P31" s="122">
        <f t="shared" si="50"/>
        <v>39.824999999999989</v>
      </c>
      <c r="Q31" s="122">
        <f>+Q24-Q29</f>
        <v>78.264000000000053</v>
      </c>
      <c r="R31" s="123">
        <f>+R24-R29</f>
        <v>9.9070000000000888</v>
      </c>
      <c r="S31" s="86">
        <f>+S24-S29</f>
        <v>145.03399999999996</v>
      </c>
      <c r="T31" s="121">
        <f t="shared" ref="T31:Y31" si="51">+T24-T29</f>
        <v>17.789999999999971</v>
      </c>
      <c r="U31" s="122">
        <f t="shared" si="51"/>
        <v>47.873000000000019</v>
      </c>
      <c r="V31" s="122">
        <f t="shared" si="51"/>
        <v>92.509000000000015</v>
      </c>
      <c r="W31" s="123">
        <f t="shared" si="51"/>
        <v>10.425999999999995</v>
      </c>
      <c r="X31" s="86">
        <f t="shared" si="51"/>
        <v>168.59800000000013</v>
      </c>
      <c r="Y31" s="121">
        <f t="shared" si="51"/>
        <v>19.469000000000023</v>
      </c>
      <c r="Z31" s="122">
        <f t="shared" ref="Z31:AF31" si="52">+Z24-Z29</f>
        <v>44.340000000000046</v>
      </c>
      <c r="AA31" s="122">
        <f t="shared" si="52"/>
        <v>55.182999999999964</v>
      </c>
      <c r="AB31" s="123">
        <f t="shared" si="52"/>
        <v>29.946000000000126</v>
      </c>
      <c r="AC31" s="86">
        <f t="shared" si="52"/>
        <v>148.93800000000005</v>
      </c>
      <c r="AD31" s="121">
        <f t="shared" si="52"/>
        <v>29.102999999999962</v>
      </c>
      <c r="AE31" s="122">
        <f t="shared" si="52"/>
        <v>43.841999999999999</v>
      </c>
      <c r="AF31" s="122">
        <f t="shared" si="52"/>
        <v>103.349</v>
      </c>
      <c r="AG31" s="123">
        <f t="shared" ref="AG31:AM31" si="53">+AG24-AG29</f>
        <v>28.760000000000051</v>
      </c>
      <c r="AH31" s="86">
        <f t="shared" si="53"/>
        <v>205.05400000000003</v>
      </c>
      <c r="AI31" s="121">
        <f t="shared" si="53"/>
        <v>31.585000000000015</v>
      </c>
      <c r="AJ31" s="122">
        <f t="shared" si="53"/>
        <v>35.13900000000001</v>
      </c>
      <c r="AK31" s="122">
        <f t="shared" si="53"/>
        <v>98.688999999999965</v>
      </c>
      <c r="AL31" s="123">
        <f t="shared" si="53"/>
        <v>36.875000000000092</v>
      </c>
      <c r="AM31" s="86">
        <f t="shared" si="53"/>
        <v>202.28800000000015</v>
      </c>
      <c r="AN31" s="121">
        <f>+AN24-AN29</f>
        <v>35.335000000000022</v>
      </c>
      <c r="AO31" s="122">
        <f>+AO24-AO29</f>
        <v>50.479000000000028</v>
      </c>
      <c r="AP31" s="122">
        <f t="shared" ref="AP31:AU31" si="54">+AP24-AP29</f>
        <v>103.21000000000009</v>
      </c>
      <c r="AQ31" s="123">
        <f t="shared" si="54"/>
        <v>45.247000000000043</v>
      </c>
      <c r="AR31" s="86">
        <f t="shared" si="54"/>
        <v>234.27099999999996</v>
      </c>
      <c r="AS31" s="121">
        <f>+AS24-AS29</f>
        <v>39.182000000000016</v>
      </c>
      <c r="AT31" s="122">
        <f>+AT24-AT29</f>
        <v>55.675999999999974</v>
      </c>
      <c r="AU31" s="122">
        <f t="shared" si="54"/>
        <v>105.05000000000004</v>
      </c>
      <c r="AV31" s="123">
        <f t="shared" ref="AV31:AW31" si="55">+AV24-AV29</f>
        <v>27.720999999999879</v>
      </c>
      <c r="AW31" s="86">
        <f t="shared" si="55"/>
        <v>227.62899999999973</v>
      </c>
      <c r="AX31" s="121">
        <f t="shared" ref="AX31:BG31" si="56">+AX24-AX29</f>
        <v>56.411856718979763</v>
      </c>
      <c r="AY31" s="122">
        <f t="shared" si="56"/>
        <v>66.185341553755578</v>
      </c>
      <c r="AZ31" s="122">
        <f t="shared" si="56"/>
        <v>100.87721311628729</v>
      </c>
      <c r="BA31" s="123">
        <f t="shared" si="56"/>
        <v>33.080069064354731</v>
      </c>
      <c r="BB31" s="86">
        <f t="shared" si="56"/>
        <v>256.55448045337755</v>
      </c>
      <c r="BC31" s="121">
        <f t="shared" si="56"/>
        <v>70.300274585425854</v>
      </c>
      <c r="BD31" s="122">
        <f t="shared" si="56"/>
        <v>77.991020104986859</v>
      </c>
      <c r="BE31" s="122">
        <f t="shared" si="56"/>
        <v>114.60913189851736</v>
      </c>
      <c r="BF31" s="123">
        <f t="shared" si="56"/>
        <v>43.010021153012232</v>
      </c>
      <c r="BG31" s="86">
        <f t="shared" si="56"/>
        <v>305.91044774194245</v>
      </c>
      <c r="BH31" s="121">
        <f t="shared" ref="BH31:BQ31" si="57">+BH24-BH29</f>
        <v>76.199880198152101</v>
      </c>
      <c r="BI31" s="122">
        <f t="shared" si="57"/>
        <v>82.550558960013845</v>
      </c>
      <c r="BJ31" s="122">
        <f t="shared" si="57"/>
        <v>127.30025983687992</v>
      </c>
      <c r="BK31" s="123">
        <f t="shared" si="57"/>
        <v>51.708301780113473</v>
      </c>
      <c r="BL31" s="86">
        <f t="shared" si="57"/>
        <v>337.75900077515894</v>
      </c>
      <c r="BM31" s="121">
        <f t="shared" si="57"/>
        <v>83.956032537994119</v>
      </c>
      <c r="BN31" s="122">
        <f t="shared" si="57"/>
        <v>93.12627203463299</v>
      </c>
      <c r="BO31" s="122">
        <f t="shared" si="57"/>
        <v>142.42527594830113</v>
      </c>
      <c r="BP31" s="123">
        <f t="shared" si="57"/>
        <v>63.46606146360979</v>
      </c>
      <c r="BQ31" s="86">
        <f t="shared" si="57"/>
        <v>382.97364198453784</v>
      </c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44"/>
      <c r="CY31" s="44"/>
      <c r="CZ31" s="44"/>
    </row>
    <row r="32" spans="1:104" x14ac:dyDescent="0.2">
      <c r="A32" s="44"/>
      <c r="B32" s="44"/>
      <c r="C32" s="20"/>
      <c r="D32" s="42"/>
      <c r="E32" s="120"/>
      <c r="F32" s="139"/>
      <c r="G32" s="139"/>
      <c r="H32" s="119"/>
      <c r="I32" s="42"/>
      <c r="J32" s="120"/>
      <c r="K32" s="139"/>
      <c r="L32" s="139"/>
      <c r="M32" s="119"/>
      <c r="N32" s="42"/>
      <c r="O32" s="120"/>
      <c r="P32" s="139"/>
      <c r="Q32" s="139"/>
      <c r="R32" s="119"/>
      <c r="S32" s="42"/>
      <c r="T32" s="120"/>
      <c r="U32" s="139"/>
      <c r="V32" s="139"/>
      <c r="W32" s="119"/>
      <c r="X32" s="42"/>
      <c r="Y32" s="120"/>
      <c r="Z32" s="139"/>
      <c r="AA32" s="139"/>
      <c r="AB32" s="119"/>
      <c r="AC32" s="42"/>
      <c r="AD32" s="120"/>
      <c r="AE32" s="139"/>
      <c r="AF32" s="139"/>
      <c r="AG32" s="119"/>
      <c r="AH32" s="42"/>
      <c r="AI32" s="120"/>
      <c r="AJ32" s="139"/>
      <c r="AK32" s="139"/>
      <c r="AL32" s="119"/>
      <c r="AM32" s="42"/>
      <c r="AN32" s="120"/>
      <c r="AO32" s="139"/>
      <c r="AP32" s="139"/>
      <c r="AQ32" s="119"/>
      <c r="AR32" s="42"/>
      <c r="AS32" s="120"/>
      <c r="AT32" s="139"/>
      <c r="AU32" s="139"/>
      <c r="AV32" s="119"/>
      <c r="AW32" s="42"/>
      <c r="AX32" s="120"/>
      <c r="AY32" s="139"/>
      <c r="AZ32" s="139"/>
      <c r="BA32" s="119"/>
      <c r="BB32" s="44"/>
      <c r="BC32" s="120"/>
      <c r="BD32" s="139"/>
      <c r="BE32" s="139"/>
      <c r="BF32" s="119"/>
      <c r="BG32" s="44"/>
      <c r="BH32" s="120"/>
      <c r="BI32" s="139"/>
      <c r="BJ32" s="139"/>
      <c r="BK32" s="119"/>
      <c r="BL32" s="44"/>
      <c r="BM32" s="120"/>
      <c r="BN32" s="139"/>
      <c r="BO32" s="139"/>
      <c r="BP32" s="119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</row>
    <row r="33" spans="1:104" x14ac:dyDescent="0.2">
      <c r="A33" s="44"/>
      <c r="B33" s="44"/>
      <c r="C33" s="20" t="s">
        <v>136</v>
      </c>
      <c r="D33" s="42"/>
      <c r="E33" s="114">
        <v>4.8</v>
      </c>
      <c r="F33" s="115">
        <v>9.98</v>
      </c>
      <c r="G33" s="115">
        <v>23.044</v>
      </c>
      <c r="H33" s="131">
        <f>I33-SUM(E33:G33)</f>
        <v>2.6709999999999994</v>
      </c>
      <c r="I33" s="117">
        <v>40.494999999999997</v>
      </c>
      <c r="J33" s="114">
        <v>7.9560000000000004</v>
      </c>
      <c r="K33" s="115">
        <v>15.763</v>
      </c>
      <c r="L33" s="115">
        <v>23.326000000000001</v>
      </c>
      <c r="M33" s="131">
        <f>N33-SUM(J33:L33)</f>
        <v>1.820999999999998</v>
      </c>
      <c r="N33" s="117">
        <v>48.866</v>
      </c>
      <c r="O33" s="114">
        <v>6.8</v>
      </c>
      <c r="P33" s="115">
        <v>15.153</v>
      </c>
      <c r="Q33" s="115">
        <v>29.683</v>
      </c>
      <c r="R33" s="131">
        <f>S33-SUM(O33:Q33)</f>
        <v>3.497000000000007</v>
      </c>
      <c r="S33" s="117">
        <v>55.133000000000003</v>
      </c>
      <c r="T33" s="114">
        <v>6.43</v>
      </c>
      <c r="U33" s="115">
        <v>17.579000000000001</v>
      </c>
      <c r="V33" s="115">
        <v>34.262</v>
      </c>
      <c r="W33" s="131">
        <f>X33-SUM(T33:V33)</f>
        <v>3.9579999999999984</v>
      </c>
      <c r="X33" s="117">
        <v>62.228999999999999</v>
      </c>
      <c r="Y33" s="114">
        <v>6.8849999999999998</v>
      </c>
      <c r="Z33" s="115">
        <v>16.134</v>
      </c>
      <c r="AA33" s="115">
        <v>20.146000000000001</v>
      </c>
      <c r="AB33" s="131">
        <f>AC33-SUM(Y33:AA33)</f>
        <v>10.596000000000004</v>
      </c>
      <c r="AC33" s="117">
        <v>53.761000000000003</v>
      </c>
      <c r="AD33" s="114">
        <v>10.368</v>
      </c>
      <c r="AE33" s="115">
        <v>15.807</v>
      </c>
      <c r="AF33" s="115">
        <v>36.411999999999999</v>
      </c>
      <c r="AG33" s="131">
        <f>AH33-SUM(AD33:AF33)</f>
        <v>12.614999999999995</v>
      </c>
      <c r="AH33" s="117">
        <v>75.201999999999998</v>
      </c>
      <c r="AI33" s="114">
        <v>11.337999999999999</v>
      </c>
      <c r="AJ33" s="115">
        <v>12.563000000000001</v>
      </c>
      <c r="AK33" s="115">
        <v>36.874000000000002</v>
      </c>
      <c r="AL33" s="131">
        <f>AM33-SUM(AI33:AK33)</f>
        <v>14.25</v>
      </c>
      <c r="AM33" s="117">
        <v>75.025000000000006</v>
      </c>
      <c r="AN33" s="114">
        <v>12.811999999999999</v>
      </c>
      <c r="AO33" s="115">
        <v>18.268000000000001</v>
      </c>
      <c r="AP33" s="115">
        <v>34.863999999999997</v>
      </c>
      <c r="AQ33" s="131">
        <f>AR33-SUM(AN33:AP33)</f>
        <v>16.170000000000016</v>
      </c>
      <c r="AR33" s="117">
        <v>82.114000000000004</v>
      </c>
      <c r="AS33" s="114">
        <v>14.127000000000001</v>
      </c>
      <c r="AT33" s="115">
        <v>20.314</v>
      </c>
      <c r="AU33" s="115">
        <v>37.268999999999998</v>
      </c>
      <c r="AV33" s="131">
        <f>AW33-SUM(AS33:AU33)</f>
        <v>-3.2940000000000111</v>
      </c>
      <c r="AW33" s="117">
        <v>68.415999999999997</v>
      </c>
      <c r="AX33" s="120">
        <f>AX62*(AX31-AX20)</f>
        <v>12.900958450685257</v>
      </c>
      <c r="AY33" s="118">
        <f>AY62*(AY31-AY20)</f>
        <v>15.344329659379211</v>
      </c>
      <c r="AZ33" s="118">
        <f>AZ62*(AZ31-AZ20)</f>
        <v>24.017297550012138</v>
      </c>
      <c r="BA33" s="119">
        <f>BA62*(BA31-BA20)</f>
        <v>7.0680115370289993</v>
      </c>
      <c r="BB33" s="42">
        <f>SUM(AX33:BA33)</f>
        <v>59.330597197105611</v>
      </c>
      <c r="BC33" s="120">
        <f>BC62*(BC31-BC20)</f>
        <v>16.231650478583877</v>
      </c>
      <c r="BD33" s="118">
        <f>BD62*(BD31-BD20)</f>
        <v>18.154336858474128</v>
      </c>
      <c r="BE33" s="118">
        <f>BE62*(BE31-BE20)</f>
        <v>27.308864806856754</v>
      </c>
      <c r="BF33" s="119">
        <f>BF62*(BF31-BF20)</f>
        <v>9.4090871204804696</v>
      </c>
      <c r="BG33" s="42">
        <f>SUM(BC33:BF33)</f>
        <v>71.103939264395223</v>
      </c>
      <c r="BH33" s="120">
        <f>BH62*(BH31-BH20)</f>
        <v>18.213279787153343</v>
      </c>
      <c r="BI33" s="118">
        <f>BI62*(BI31-BI20)</f>
        <v>19.800949477618779</v>
      </c>
      <c r="BJ33" s="118">
        <f>BJ62*(BJ31-BJ20)</f>
        <v>30.988374696835297</v>
      </c>
      <c r="BK33" s="119">
        <f>BK62*(BK31-BK20)</f>
        <v>12.090385182643686</v>
      </c>
      <c r="BL33" s="42">
        <f>SUM(BH33:BK33)</f>
        <v>81.092989144251106</v>
      </c>
      <c r="BM33" s="120">
        <f>BM62*(BM31-BM20)</f>
        <v>20.435142749539654</v>
      </c>
      <c r="BN33" s="118">
        <f>BN62*(BN31-BN20)</f>
        <v>22.727702623699372</v>
      </c>
      <c r="BO33" s="118">
        <f>BO62*(BO31-BO20)</f>
        <v>35.052453602116408</v>
      </c>
      <c r="BP33" s="119">
        <f>BP62*(BP31-BP20)</f>
        <v>15.312649980943574</v>
      </c>
      <c r="BQ33" s="42">
        <f>SUM(BM33:BP33)</f>
        <v>93.527948956299014</v>
      </c>
      <c r="BR33" s="44"/>
      <c r="BS33" s="44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</row>
    <row r="34" spans="1:104" x14ac:dyDescent="0.2">
      <c r="A34" s="44"/>
      <c r="B34" s="44"/>
      <c r="C34" s="20"/>
      <c r="D34" s="42"/>
      <c r="E34" s="114"/>
      <c r="F34" s="133"/>
      <c r="G34" s="133"/>
      <c r="H34" s="132"/>
      <c r="I34" s="117"/>
      <c r="J34" s="114"/>
      <c r="K34" s="133"/>
      <c r="L34" s="133"/>
      <c r="M34" s="132"/>
      <c r="N34" s="117"/>
      <c r="O34" s="114"/>
      <c r="P34" s="115"/>
      <c r="Q34" s="115"/>
      <c r="R34" s="132"/>
      <c r="S34" s="117"/>
      <c r="T34" s="114"/>
      <c r="U34" s="115"/>
      <c r="V34" s="115"/>
      <c r="W34" s="132"/>
      <c r="X34" s="117"/>
      <c r="Y34" s="114"/>
      <c r="Z34" s="115"/>
      <c r="AA34" s="115"/>
      <c r="AB34" s="132"/>
      <c r="AC34" s="117"/>
      <c r="AD34" s="114"/>
      <c r="AE34" s="115"/>
      <c r="AF34" s="115"/>
      <c r="AG34" s="132"/>
      <c r="AH34" s="117"/>
      <c r="AI34" s="114"/>
      <c r="AJ34" s="115"/>
      <c r="AK34" s="115"/>
      <c r="AL34" s="132"/>
      <c r="AM34" s="117"/>
      <c r="AN34" s="114"/>
      <c r="AO34" s="115"/>
      <c r="AP34" s="115"/>
      <c r="AQ34" s="132"/>
      <c r="AR34" s="117"/>
      <c r="AS34" s="114"/>
      <c r="AT34" s="115"/>
      <c r="AU34" s="139"/>
      <c r="AV34" s="132"/>
      <c r="AW34" s="117"/>
      <c r="AX34" s="120"/>
      <c r="AY34" s="139"/>
      <c r="AZ34" s="139"/>
      <c r="BA34" s="119"/>
      <c r="BB34" s="44"/>
      <c r="BC34" s="120"/>
      <c r="BD34" s="139"/>
      <c r="BE34" s="139"/>
      <c r="BF34" s="119"/>
      <c r="BG34" s="44"/>
      <c r="BH34" s="120"/>
      <c r="BI34" s="139"/>
      <c r="BJ34" s="139"/>
      <c r="BK34" s="119"/>
      <c r="BL34" s="44"/>
      <c r="BM34" s="120"/>
      <c r="BN34" s="139"/>
      <c r="BO34" s="139"/>
      <c r="BP34" s="119"/>
      <c r="BQ34" s="44"/>
      <c r="BR34" s="44"/>
      <c r="BS34" s="44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</row>
    <row r="35" spans="1:104" x14ac:dyDescent="0.2">
      <c r="A35" s="44"/>
      <c r="B35" s="44"/>
      <c r="C35" s="26" t="s">
        <v>137</v>
      </c>
      <c r="D35" s="82"/>
      <c r="E35" s="121">
        <f>+E31-E33</f>
        <v>9.1820000000000483</v>
      </c>
      <c r="F35" s="122">
        <f>+F31-F33</f>
        <v>16.808000000000007</v>
      </c>
      <c r="G35" s="122">
        <f>+G31-G33</f>
        <v>37.41500000000002</v>
      </c>
      <c r="H35" s="123">
        <f>+I35-SUM(E35:G35)</f>
        <v>4.3449999999999278</v>
      </c>
      <c r="I35" s="86">
        <f>+I31-I33</f>
        <v>67.75</v>
      </c>
      <c r="J35" s="121">
        <f>+J31-J33</f>
        <v>7.6990000000000292</v>
      </c>
      <c r="K35" s="122">
        <f>+K31-K33</f>
        <v>24.396000000000051</v>
      </c>
      <c r="L35" s="122">
        <f>+L31-L33</f>
        <v>39.188999999999957</v>
      </c>
      <c r="M35" s="123">
        <f>+N35-SUM(J35:L35)</f>
        <v>6.7830000000001007</v>
      </c>
      <c r="N35" s="86">
        <f>+N31-N33</f>
        <v>78.067000000000135</v>
      </c>
      <c r="O35" s="121">
        <f>+O31-O33</f>
        <v>10.237999999999968</v>
      </c>
      <c r="P35" s="122">
        <f>+P31-P33</f>
        <v>24.67199999999999</v>
      </c>
      <c r="Q35" s="122">
        <f>+Q31-Q33</f>
        <v>48.581000000000053</v>
      </c>
      <c r="R35" s="123">
        <f>+S35-SUM(O35:Q35)</f>
        <v>6.4099999999999397</v>
      </c>
      <c r="S35" s="86">
        <f>+S31-S33</f>
        <v>89.900999999999954</v>
      </c>
      <c r="T35" s="121">
        <f>+T31-T33</f>
        <v>11.359999999999971</v>
      </c>
      <c r="U35" s="122">
        <f>+U31-U33</f>
        <v>30.294000000000018</v>
      </c>
      <c r="V35" s="122">
        <f>+V31-V33</f>
        <v>58.247000000000014</v>
      </c>
      <c r="W35" s="123">
        <f>+X35-SUM(T35:V35)</f>
        <v>6.4680000000001172</v>
      </c>
      <c r="X35" s="86">
        <f>+X31-X33</f>
        <v>106.36900000000013</v>
      </c>
      <c r="Y35" s="121">
        <f>+Y31-Y33</f>
        <v>12.584000000000023</v>
      </c>
      <c r="Z35" s="122">
        <f>+Z31-Z33</f>
        <v>28.206000000000046</v>
      </c>
      <c r="AA35" s="122">
        <f>+AA31-AA33</f>
        <v>35.036999999999964</v>
      </c>
      <c r="AB35" s="123">
        <f>+AC35-SUM(Y35:AA35)</f>
        <v>19.350000000000023</v>
      </c>
      <c r="AC35" s="86">
        <f>+AC31-AC33</f>
        <v>95.177000000000049</v>
      </c>
      <c r="AD35" s="121">
        <f>+AD31-AD33</f>
        <v>18.734999999999964</v>
      </c>
      <c r="AE35" s="122">
        <f>+AE31-AE33</f>
        <v>28.034999999999997</v>
      </c>
      <c r="AF35" s="122">
        <f>+AF31-AF33</f>
        <v>66.937000000000012</v>
      </c>
      <c r="AG35" s="123">
        <f>+AH35-SUM(AD35:AF35)</f>
        <v>16.145000000000067</v>
      </c>
      <c r="AH35" s="86">
        <f>+AH31-AH33</f>
        <v>129.85200000000003</v>
      </c>
      <c r="AI35" s="121">
        <f>+AI31-AI33</f>
        <v>20.247000000000014</v>
      </c>
      <c r="AJ35" s="122">
        <f>+AJ31-AJ33</f>
        <v>22.576000000000008</v>
      </c>
      <c r="AK35" s="122">
        <f>+AK31-AK33</f>
        <v>61.814999999999962</v>
      </c>
      <c r="AL35" s="123">
        <f>+AM35-SUM(AI35:AK35)</f>
        <v>22.625000000000171</v>
      </c>
      <c r="AM35" s="86">
        <f>+AM31-AM33</f>
        <v>127.26300000000015</v>
      </c>
      <c r="AN35" s="121">
        <f>+AN31-AN33</f>
        <v>22.523000000000025</v>
      </c>
      <c r="AO35" s="122">
        <f>+AO31-AO33</f>
        <v>32.211000000000027</v>
      </c>
      <c r="AP35" s="122">
        <f>+AP31-AP33</f>
        <v>68.346000000000089</v>
      </c>
      <c r="AQ35" s="123">
        <f>+AR35-SUM(AN35:AP35)</f>
        <v>29.076999999999813</v>
      </c>
      <c r="AR35" s="86">
        <f>+AR31-AR33</f>
        <v>152.15699999999995</v>
      </c>
      <c r="AS35" s="121">
        <f>+AS31-AS33</f>
        <v>25.055000000000014</v>
      </c>
      <c r="AT35" s="122">
        <f>+AT31-AT33</f>
        <v>35.361999999999973</v>
      </c>
      <c r="AU35" s="122">
        <f>+AU31-AU33</f>
        <v>67.781000000000034</v>
      </c>
      <c r="AV35" s="123">
        <f>+AW35-SUM(AS35:AU35)</f>
        <v>31.014999999999702</v>
      </c>
      <c r="AW35" s="86">
        <f>+AW31-AW33</f>
        <v>159.21299999999974</v>
      </c>
      <c r="AX35" s="121">
        <f>+AX31-AX33</f>
        <v>43.510898268294504</v>
      </c>
      <c r="AY35" s="122">
        <f>+AY31-AY33</f>
        <v>50.841011894376365</v>
      </c>
      <c r="AZ35" s="122">
        <f>+AZ31-AZ33</f>
        <v>76.859915566275163</v>
      </c>
      <c r="BA35" s="123">
        <f>+BB35-SUM(AX35:AZ35)</f>
        <v>26.012057527325908</v>
      </c>
      <c r="BB35" s="86">
        <f>+BB31-BB33</f>
        <v>197.22388325627193</v>
      </c>
      <c r="BC35" s="121">
        <f>+BC31-BC33</f>
        <v>54.06862410684198</v>
      </c>
      <c r="BD35" s="122">
        <f>+BD31-BD33</f>
        <v>59.836683246512735</v>
      </c>
      <c r="BE35" s="122">
        <f>+BE31-BE33</f>
        <v>87.300267091660601</v>
      </c>
      <c r="BF35" s="123">
        <f>+BG35-SUM(BC35:BE35)</f>
        <v>33.60093403253191</v>
      </c>
      <c r="BG35" s="86">
        <f>+BG31-BG33</f>
        <v>234.80650847754723</v>
      </c>
      <c r="BH35" s="121">
        <f>+BH31-BH33</f>
        <v>57.986600410998761</v>
      </c>
      <c r="BI35" s="122">
        <f>+BI31-BI33</f>
        <v>62.749609482395066</v>
      </c>
      <c r="BJ35" s="122">
        <f>+BJ31-BJ33</f>
        <v>96.311885140044623</v>
      </c>
      <c r="BK35" s="123">
        <f>+BL35-SUM(BH35:BJ35)</f>
        <v>39.617916597469389</v>
      </c>
      <c r="BL35" s="86">
        <f>+BL31-BL33</f>
        <v>256.66601163090786</v>
      </c>
      <c r="BM35" s="121">
        <f>+BM31-BM33</f>
        <v>63.520889788454468</v>
      </c>
      <c r="BN35" s="122">
        <f>+BN31-BN33</f>
        <v>70.398569410933618</v>
      </c>
      <c r="BO35" s="122">
        <f>+BO31-BO33</f>
        <v>107.37282234618473</v>
      </c>
      <c r="BP35" s="123">
        <f>+BQ35-SUM(BM35:BO35)</f>
        <v>48.153411482665973</v>
      </c>
      <c r="BQ35" s="86">
        <f>+BQ31-BQ33</f>
        <v>289.44569302823879</v>
      </c>
      <c r="BR35" s="44"/>
      <c r="BS35" s="44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</row>
    <row r="36" spans="1:104" x14ac:dyDescent="0.2">
      <c r="A36" s="44"/>
      <c r="B36" s="44"/>
      <c r="C36" s="525" t="s">
        <v>435</v>
      </c>
      <c r="D36" s="82"/>
      <c r="E36" s="114">
        <v>0</v>
      </c>
      <c r="F36" s="115">
        <v>0</v>
      </c>
      <c r="G36" s="115">
        <v>0</v>
      </c>
      <c r="H36" s="131">
        <f>I36-SUM(E36:G36)</f>
        <v>0</v>
      </c>
      <c r="I36" s="117">
        <v>0</v>
      </c>
      <c r="J36" s="114">
        <v>0</v>
      </c>
      <c r="K36" s="115">
        <v>0</v>
      </c>
      <c r="L36" s="115">
        <v>0</v>
      </c>
      <c r="M36" s="131">
        <f>N36-SUM(J36:L36)</f>
        <v>0</v>
      </c>
      <c r="N36" s="117">
        <v>0</v>
      </c>
      <c r="O36" s="114">
        <v>0</v>
      </c>
      <c r="P36" s="115">
        <v>0</v>
      </c>
      <c r="Q36" s="115">
        <v>0</v>
      </c>
      <c r="R36" s="131">
        <f>S36-SUM(O36:Q36)</f>
        <v>0</v>
      </c>
      <c r="S36" s="117">
        <v>0</v>
      </c>
      <c r="T36" s="114">
        <v>0</v>
      </c>
      <c r="U36" s="115">
        <v>0</v>
      </c>
      <c r="V36" s="115">
        <v>0</v>
      </c>
      <c r="W36" s="131">
        <f>X36-SUM(T36:V36)</f>
        <v>0</v>
      </c>
      <c r="X36" s="117">
        <v>0</v>
      </c>
      <c r="Y36" s="114">
        <v>0</v>
      </c>
      <c r="Z36" s="115">
        <v>0</v>
      </c>
      <c r="AA36" s="115">
        <v>0</v>
      </c>
      <c r="AB36" s="131">
        <f>AC36-SUM(Y36:AA36)</f>
        <v>0</v>
      </c>
      <c r="AC36" s="117">
        <v>0</v>
      </c>
      <c r="AD36" s="114">
        <v>0</v>
      </c>
      <c r="AE36" s="115">
        <v>0</v>
      </c>
      <c r="AF36" s="115">
        <v>0</v>
      </c>
      <c r="AG36" s="131">
        <f>AH36-SUM(AD36:AF36)</f>
        <v>0</v>
      </c>
      <c r="AH36" s="117">
        <v>0</v>
      </c>
      <c r="AI36" s="114">
        <v>0</v>
      </c>
      <c r="AJ36" s="115">
        <v>0</v>
      </c>
      <c r="AK36" s="115">
        <v>0</v>
      </c>
      <c r="AL36" s="131">
        <f>AM36-SUM(AI36:AK36)</f>
        <v>0</v>
      </c>
      <c r="AM36" s="117">
        <v>0</v>
      </c>
      <c r="AN36" s="114">
        <v>0</v>
      </c>
      <c r="AO36" s="115">
        <v>0</v>
      </c>
      <c r="AP36" s="115">
        <f>AK36</f>
        <v>0</v>
      </c>
      <c r="AQ36" s="131">
        <f>AR36-SUM(AN36:AP36)</f>
        <v>0</v>
      </c>
      <c r="AR36" s="117">
        <v>0</v>
      </c>
      <c r="AS36" s="114">
        <v>0</v>
      </c>
      <c r="AT36" s="115">
        <v>0</v>
      </c>
      <c r="AU36" s="115">
        <v>0</v>
      </c>
      <c r="AV36" s="131">
        <f>AW36-SUM(AS36:AU36)</f>
        <v>0</v>
      </c>
      <c r="AW36" s="117">
        <v>0</v>
      </c>
      <c r="AX36" s="120">
        <f t="shared" ref="AX36:BA37" si="58">AS36</f>
        <v>0</v>
      </c>
      <c r="AY36" s="118">
        <f t="shared" si="58"/>
        <v>0</v>
      </c>
      <c r="AZ36" s="118">
        <f t="shared" si="58"/>
        <v>0</v>
      </c>
      <c r="BA36" s="119">
        <f t="shared" si="58"/>
        <v>0</v>
      </c>
      <c r="BB36" s="42">
        <f>SUM(AX36:BA36)</f>
        <v>0</v>
      </c>
      <c r="BC36" s="120">
        <f t="shared" ref="BC36:BF37" si="59">AX36</f>
        <v>0</v>
      </c>
      <c r="BD36" s="118">
        <f t="shared" si="59"/>
        <v>0</v>
      </c>
      <c r="BE36" s="118">
        <f t="shared" si="59"/>
        <v>0</v>
      </c>
      <c r="BF36" s="119">
        <f t="shared" si="59"/>
        <v>0</v>
      </c>
      <c r="BG36" s="42">
        <f>SUM(BC36:BF36)</f>
        <v>0</v>
      </c>
      <c r="BH36" s="120">
        <f t="shared" ref="BH36:BK37" si="60">BC36</f>
        <v>0</v>
      </c>
      <c r="BI36" s="118">
        <f t="shared" si="60"/>
        <v>0</v>
      </c>
      <c r="BJ36" s="118">
        <f t="shared" si="60"/>
        <v>0</v>
      </c>
      <c r="BK36" s="119">
        <f t="shared" si="60"/>
        <v>0</v>
      </c>
      <c r="BL36" s="42">
        <f>SUM(BH36:BK36)</f>
        <v>0</v>
      </c>
      <c r="BM36" s="120">
        <f t="shared" ref="BM36:BM37" si="61">BH36</f>
        <v>0</v>
      </c>
      <c r="BN36" s="118">
        <f t="shared" ref="BN36:BN37" si="62">BI36</f>
        <v>0</v>
      </c>
      <c r="BO36" s="118">
        <f t="shared" ref="BO36:BO37" si="63">BJ36</f>
        <v>0</v>
      </c>
      <c r="BP36" s="119">
        <f t="shared" ref="BP36:BP37" si="64">BK36</f>
        <v>0</v>
      </c>
      <c r="BQ36" s="42">
        <f>SUM(BM36:BP36)</f>
        <v>0</v>
      </c>
      <c r="BR36" s="269"/>
      <c r="BS36" s="269"/>
      <c r="BT36" s="529"/>
      <c r="BU36" s="529"/>
      <c r="BV36" s="529"/>
      <c r="BW36" s="529"/>
      <c r="BX36" s="529"/>
      <c r="BY36" s="529"/>
      <c r="BZ36" s="529"/>
      <c r="CA36" s="529"/>
      <c r="CB36" s="269"/>
      <c r="CC36" s="269"/>
      <c r="CD36" s="269"/>
      <c r="CE36" s="269"/>
      <c r="CF36" s="269"/>
      <c r="CG36" s="269"/>
      <c r="CH36" s="269"/>
      <c r="CI36" s="269"/>
      <c r="CJ36" s="269"/>
      <c r="CK36" s="269"/>
      <c r="CL36" s="269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</row>
    <row r="37" spans="1:104" x14ac:dyDescent="0.2">
      <c r="C37" s="20" t="s">
        <v>138</v>
      </c>
      <c r="D37" s="42"/>
      <c r="E37" s="114">
        <v>0</v>
      </c>
      <c r="F37" s="115">
        <v>0</v>
      </c>
      <c r="G37" s="115">
        <v>0</v>
      </c>
      <c r="H37" s="131">
        <f>I37-SUM(E37:G37)</f>
        <v>0</v>
      </c>
      <c r="I37" s="117">
        <v>0</v>
      </c>
      <c r="J37" s="114">
        <v>0</v>
      </c>
      <c r="K37" s="115">
        <v>0</v>
      </c>
      <c r="L37" s="115">
        <v>0</v>
      </c>
      <c r="M37" s="131">
        <f>N37-SUM(J37:L37)</f>
        <v>0</v>
      </c>
      <c r="N37" s="117">
        <v>0</v>
      </c>
      <c r="O37" s="114">
        <v>0</v>
      </c>
      <c r="P37" s="115">
        <v>0</v>
      </c>
      <c r="Q37" s="115">
        <v>0</v>
      </c>
      <c r="R37" s="131">
        <f>S37-SUM(O37:Q37)</f>
        <v>0</v>
      </c>
      <c r="S37" s="117">
        <v>0</v>
      </c>
      <c r="T37" s="114">
        <v>0</v>
      </c>
      <c r="U37" s="115">
        <v>0</v>
      </c>
      <c r="V37" s="115">
        <v>0</v>
      </c>
      <c r="W37" s="131">
        <f>X37-SUM(T37:V37)</f>
        <v>0</v>
      </c>
      <c r="X37" s="117">
        <v>0</v>
      </c>
      <c r="Y37" s="114">
        <v>0</v>
      </c>
      <c r="Z37" s="115">
        <v>0</v>
      </c>
      <c r="AA37" s="115">
        <v>0</v>
      </c>
      <c r="AB37" s="131">
        <f>AC37-SUM(Y37:AA37)</f>
        <v>0</v>
      </c>
      <c r="AC37" s="117">
        <v>0</v>
      </c>
      <c r="AD37" s="114">
        <v>0</v>
      </c>
      <c r="AE37" s="115">
        <v>0</v>
      </c>
      <c r="AF37" s="115">
        <v>0</v>
      </c>
      <c r="AG37" s="131">
        <f>AH37-SUM(AD37:AF37)</f>
        <v>0</v>
      </c>
      <c r="AH37" s="117">
        <v>0</v>
      </c>
      <c r="AI37" s="114">
        <v>0</v>
      </c>
      <c r="AJ37" s="115">
        <v>0</v>
      </c>
      <c r="AK37" s="115">
        <v>0</v>
      </c>
      <c r="AL37" s="131">
        <f>AM37-SUM(AI37:AK37)</f>
        <v>0</v>
      </c>
      <c r="AM37" s="117">
        <v>0</v>
      </c>
      <c r="AN37" s="114">
        <v>0</v>
      </c>
      <c r="AO37" s="115">
        <v>0</v>
      </c>
      <c r="AP37" s="115">
        <f>AK37</f>
        <v>0</v>
      </c>
      <c r="AQ37" s="131">
        <f>AR37-SUM(AN37:AP37)</f>
        <v>0</v>
      </c>
      <c r="AR37" s="117">
        <v>0</v>
      </c>
      <c r="AS37" s="114">
        <v>0</v>
      </c>
      <c r="AT37" s="115">
        <v>0</v>
      </c>
      <c r="AU37" s="115">
        <v>0</v>
      </c>
      <c r="AV37" s="131">
        <f>AW37-SUM(AS37:AU37)</f>
        <v>0</v>
      </c>
      <c r="AW37" s="117">
        <v>0</v>
      </c>
      <c r="AX37" s="120">
        <f t="shared" si="58"/>
        <v>0</v>
      </c>
      <c r="AY37" s="118">
        <f t="shared" si="58"/>
        <v>0</v>
      </c>
      <c r="AZ37" s="118">
        <f t="shared" si="58"/>
        <v>0</v>
      </c>
      <c r="BA37" s="119">
        <f t="shared" si="58"/>
        <v>0</v>
      </c>
      <c r="BB37" s="42">
        <f>AW37</f>
        <v>0</v>
      </c>
      <c r="BC37" s="120">
        <f t="shared" si="59"/>
        <v>0</v>
      </c>
      <c r="BD37" s="118">
        <f t="shared" si="59"/>
        <v>0</v>
      </c>
      <c r="BE37" s="118">
        <f t="shared" si="59"/>
        <v>0</v>
      </c>
      <c r="BF37" s="119">
        <f t="shared" si="59"/>
        <v>0</v>
      </c>
      <c r="BG37" s="42">
        <f>BB37</f>
        <v>0</v>
      </c>
      <c r="BH37" s="120">
        <f t="shared" si="60"/>
        <v>0</v>
      </c>
      <c r="BI37" s="118">
        <f t="shared" si="60"/>
        <v>0</v>
      </c>
      <c r="BJ37" s="118">
        <f t="shared" si="60"/>
        <v>0</v>
      </c>
      <c r="BK37" s="119">
        <f t="shared" si="60"/>
        <v>0</v>
      </c>
      <c r="BL37" s="42">
        <f>BG37</f>
        <v>0</v>
      </c>
      <c r="BM37" s="120">
        <f t="shared" si="61"/>
        <v>0</v>
      </c>
      <c r="BN37" s="118">
        <f t="shared" si="62"/>
        <v>0</v>
      </c>
      <c r="BO37" s="118">
        <f t="shared" si="63"/>
        <v>0</v>
      </c>
      <c r="BP37" s="119">
        <f t="shared" si="64"/>
        <v>0</v>
      </c>
      <c r="BQ37" s="42">
        <f>BL37</f>
        <v>0</v>
      </c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</row>
    <row r="38" spans="1:104" x14ac:dyDescent="0.2">
      <c r="A38" s="44"/>
      <c r="B38" s="44"/>
      <c r="C38" s="20"/>
      <c r="D38" s="42"/>
      <c r="E38" s="114"/>
      <c r="F38" s="133"/>
      <c r="G38" s="133"/>
      <c r="H38" s="132"/>
      <c r="I38" s="117"/>
      <c r="J38" s="114"/>
      <c r="K38" s="133"/>
      <c r="L38" s="133"/>
      <c r="M38" s="132"/>
      <c r="N38" s="117"/>
      <c r="O38" s="114"/>
      <c r="P38" s="115"/>
      <c r="Q38" s="115"/>
      <c r="R38" s="132"/>
      <c r="S38" s="117"/>
      <c r="T38" s="114"/>
      <c r="U38" s="115"/>
      <c r="V38" s="115"/>
      <c r="W38" s="132"/>
      <c r="X38" s="117"/>
      <c r="Y38" s="114"/>
      <c r="Z38" s="115"/>
      <c r="AA38" s="115"/>
      <c r="AB38" s="132"/>
      <c r="AC38" s="117"/>
      <c r="AD38" s="114"/>
      <c r="AE38" s="115"/>
      <c r="AF38" s="115"/>
      <c r="AG38" s="132"/>
      <c r="AH38" s="117"/>
      <c r="AI38" s="114"/>
      <c r="AJ38" s="115"/>
      <c r="AK38" s="115"/>
      <c r="AL38" s="132"/>
      <c r="AM38" s="117"/>
      <c r="AN38" s="114"/>
      <c r="AO38" s="115"/>
      <c r="AP38" s="115"/>
      <c r="AQ38" s="132"/>
      <c r="AR38" s="117"/>
      <c r="AS38" s="114"/>
      <c r="AT38" s="115"/>
      <c r="AU38" s="139"/>
      <c r="AV38" s="132"/>
      <c r="AW38" s="117"/>
      <c r="AX38" s="120"/>
      <c r="AY38" s="139"/>
      <c r="AZ38" s="139"/>
      <c r="BA38" s="119"/>
      <c r="BB38" s="44"/>
      <c r="BC38" s="120"/>
      <c r="BD38" s="139"/>
      <c r="BE38" s="139"/>
      <c r="BF38" s="119"/>
      <c r="BG38" s="44"/>
      <c r="BH38" s="120"/>
      <c r="BI38" s="139"/>
      <c r="BJ38" s="139"/>
      <c r="BK38" s="119"/>
      <c r="BL38" s="44"/>
      <c r="BM38" s="120"/>
      <c r="BN38" s="139"/>
      <c r="BO38" s="139"/>
      <c r="BP38" s="119"/>
      <c r="BQ38" s="44"/>
      <c r="BR38" s="44"/>
      <c r="BS38" s="44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</row>
    <row r="39" spans="1:104" x14ac:dyDescent="0.2">
      <c r="A39" s="85"/>
      <c r="B39" s="85"/>
      <c r="C39" s="26" t="s">
        <v>139</v>
      </c>
      <c r="D39" s="86"/>
      <c r="E39" s="121">
        <f t="shared" ref="E39:Q39" si="65">E35+E36-E37</f>
        <v>9.1820000000000483</v>
      </c>
      <c r="F39" s="122">
        <f t="shared" si="65"/>
        <v>16.808000000000007</v>
      </c>
      <c r="G39" s="122">
        <f t="shared" si="65"/>
        <v>37.41500000000002</v>
      </c>
      <c r="H39" s="123">
        <f t="shared" si="65"/>
        <v>4.3449999999999278</v>
      </c>
      <c r="I39" s="86">
        <f t="shared" si="65"/>
        <v>67.75</v>
      </c>
      <c r="J39" s="121">
        <f t="shared" si="65"/>
        <v>7.6990000000000292</v>
      </c>
      <c r="K39" s="122">
        <f t="shared" si="65"/>
        <v>24.396000000000051</v>
      </c>
      <c r="L39" s="122">
        <f t="shared" si="65"/>
        <v>39.188999999999957</v>
      </c>
      <c r="M39" s="123">
        <f t="shared" si="65"/>
        <v>6.7830000000001007</v>
      </c>
      <c r="N39" s="86">
        <f t="shared" si="65"/>
        <v>78.067000000000135</v>
      </c>
      <c r="O39" s="121">
        <f t="shared" si="65"/>
        <v>10.237999999999968</v>
      </c>
      <c r="P39" s="122">
        <f t="shared" si="65"/>
        <v>24.67199999999999</v>
      </c>
      <c r="Q39" s="122">
        <f t="shared" si="65"/>
        <v>48.581000000000053</v>
      </c>
      <c r="R39" s="123">
        <f t="shared" ref="R39:Y39" si="66">R35+R36-R37</f>
        <v>6.4099999999999397</v>
      </c>
      <c r="S39" s="86">
        <f t="shared" si="66"/>
        <v>89.900999999999954</v>
      </c>
      <c r="T39" s="121">
        <f t="shared" si="66"/>
        <v>11.359999999999971</v>
      </c>
      <c r="U39" s="122">
        <f t="shared" si="66"/>
        <v>30.294000000000018</v>
      </c>
      <c r="V39" s="122">
        <f t="shared" si="66"/>
        <v>58.247000000000014</v>
      </c>
      <c r="W39" s="123">
        <f t="shared" si="66"/>
        <v>6.4680000000001172</v>
      </c>
      <c r="X39" s="86">
        <f t="shared" si="66"/>
        <v>106.36900000000013</v>
      </c>
      <c r="Y39" s="121">
        <f t="shared" si="66"/>
        <v>12.584000000000023</v>
      </c>
      <c r="Z39" s="122">
        <f t="shared" ref="Z39:AF39" si="67">Z35+Z36-Z37</f>
        <v>28.206000000000046</v>
      </c>
      <c r="AA39" s="122">
        <f t="shared" si="67"/>
        <v>35.036999999999964</v>
      </c>
      <c r="AB39" s="123">
        <f t="shared" si="67"/>
        <v>19.350000000000023</v>
      </c>
      <c r="AC39" s="86">
        <f t="shared" si="67"/>
        <v>95.177000000000049</v>
      </c>
      <c r="AD39" s="121">
        <f t="shared" si="67"/>
        <v>18.734999999999964</v>
      </c>
      <c r="AE39" s="122">
        <f t="shared" si="67"/>
        <v>28.034999999999997</v>
      </c>
      <c r="AF39" s="122">
        <f t="shared" si="67"/>
        <v>66.937000000000012</v>
      </c>
      <c r="AG39" s="123">
        <f t="shared" ref="AG39:AM39" si="68">AG35+AG36-AG37</f>
        <v>16.145000000000067</v>
      </c>
      <c r="AH39" s="86">
        <f t="shared" si="68"/>
        <v>129.85200000000003</v>
      </c>
      <c r="AI39" s="121">
        <f t="shared" si="68"/>
        <v>20.247000000000014</v>
      </c>
      <c r="AJ39" s="122">
        <f t="shared" si="68"/>
        <v>22.576000000000008</v>
      </c>
      <c r="AK39" s="122">
        <f t="shared" si="68"/>
        <v>61.814999999999962</v>
      </c>
      <c r="AL39" s="123">
        <f t="shared" si="68"/>
        <v>22.625000000000171</v>
      </c>
      <c r="AM39" s="86">
        <f t="shared" si="68"/>
        <v>127.26300000000015</v>
      </c>
      <c r="AN39" s="121">
        <f t="shared" ref="AN39:AR39" si="69">AN35+AN36-AN37</f>
        <v>22.523000000000025</v>
      </c>
      <c r="AO39" s="122">
        <f t="shared" si="69"/>
        <v>32.211000000000027</v>
      </c>
      <c r="AP39" s="122">
        <f t="shared" si="69"/>
        <v>68.346000000000089</v>
      </c>
      <c r="AQ39" s="123">
        <f t="shared" si="69"/>
        <v>29.076999999999813</v>
      </c>
      <c r="AR39" s="86">
        <f t="shared" si="69"/>
        <v>152.15699999999995</v>
      </c>
      <c r="AS39" s="121">
        <f>AS35+AS36-AS37</f>
        <v>25.055000000000014</v>
      </c>
      <c r="AT39" s="122">
        <f>AT35+AT36-AT37</f>
        <v>35.361999999999973</v>
      </c>
      <c r="AU39" s="122">
        <f>AU35+AU36-AU37</f>
        <v>67.781000000000034</v>
      </c>
      <c r="AV39" s="123">
        <f t="shared" ref="AV39:AW39" si="70">AV35+AV36-AV37</f>
        <v>31.014999999999702</v>
      </c>
      <c r="AW39" s="86">
        <f t="shared" si="70"/>
        <v>159.21299999999974</v>
      </c>
      <c r="AX39" s="121">
        <f t="shared" ref="AX39:BG39" si="71">AX35+AX36-AX37</f>
        <v>43.510898268294504</v>
      </c>
      <c r="AY39" s="122">
        <f t="shared" si="71"/>
        <v>50.841011894376365</v>
      </c>
      <c r="AZ39" s="122">
        <f t="shared" si="71"/>
        <v>76.859915566275163</v>
      </c>
      <c r="BA39" s="123">
        <f t="shared" si="71"/>
        <v>26.012057527325908</v>
      </c>
      <c r="BB39" s="86">
        <f t="shared" si="71"/>
        <v>197.22388325627193</v>
      </c>
      <c r="BC39" s="121">
        <f t="shared" si="71"/>
        <v>54.06862410684198</v>
      </c>
      <c r="BD39" s="122">
        <f t="shared" si="71"/>
        <v>59.836683246512735</v>
      </c>
      <c r="BE39" s="122">
        <f t="shared" si="71"/>
        <v>87.300267091660601</v>
      </c>
      <c r="BF39" s="123">
        <f t="shared" si="71"/>
        <v>33.60093403253191</v>
      </c>
      <c r="BG39" s="86">
        <f t="shared" si="71"/>
        <v>234.80650847754723</v>
      </c>
      <c r="BH39" s="121">
        <f t="shared" ref="BH39:BQ39" si="72">BH35+BH36-BH37</f>
        <v>57.986600410998761</v>
      </c>
      <c r="BI39" s="122">
        <f t="shared" si="72"/>
        <v>62.749609482395066</v>
      </c>
      <c r="BJ39" s="122">
        <f t="shared" si="72"/>
        <v>96.311885140044623</v>
      </c>
      <c r="BK39" s="123">
        <f t="shared" si="72"/>
        <v>39.617916597469389</v>
      </c>
      <c r="BL39" s="86">
        <f t="shared" si="72"/>
        <v>256.66601163090786</v>
      </c>
      <c r="BM39" s="121">
        <f t="shared" si="72"/>
        <v>63.520889788454468</v>
      </c>
      <c r="BN39" s="122">
        <f t="shared" si="72"/>
        <v>70.398569410933618</v>
      </c>
      <c r="BO39" s="122">
        <f t="shared" si="72"/>
        <v>107.37282234618473</v>
      </c>
      <c r="BP39" s="123">
        <f t="shared" si="72"/>
        <v>48.153411482665973</v>
      </c>
      <c r="BQ39" s="86">
        <f t="shared" si="72"/>
        <v>289.44569302823879</v>
      </c>
      <c r="BR39" s="85"/>
      <c r="BS39" s="85"/>
      <c r="BT39" s="527"/>
      <c r="BU39" s="521"/>
      <c r="BV39" s="521"/>
      <c r="BW39" s="521"/>
      <c r="BX39" s="521"/>
      <c r="BY39" s="521"/>
      <c r="BZ39" s="521"/>
      <c r="CA39" s="521"/>
      <c r="CB39" s="521"/>
      <c r="CC39" s="521"/>
      <c r="CD39" s="521"/>
      <c r="CE39" s="521"/>
      <c r="CF39" s="521"/>
      <c r="CG39" s="85"/>
      <c r="CH39" s="85"/>
      <c r="CI39" s="85"/>
      <c r="CJ39" s="85"/>
      <c r="CK39" s="85"/>
      <c r="CL39" s="85"/>
      <c r="CM39" s="85"/>
      <c r="CN39" s="85"/>
      <c r="CO39" s="85"/>
      <c r="CP39" s="85"/>
      <c r="CQ39" s="85"/>
      <c r="CR39" s="85"/>
      <c r="CS39" s="85"/>
      <c r="CT39" s="85"/>
      <c r="CU39" s="85"/>
      <c r="CV39" s="85"/>
      <c r="CW39" s="85"/>
      <c r="CX39" s="85"/>
      <c r="CY39" s="85"/>
      <c r="CZ39" s="85"/>
    </row>
    <row r="40" spans="1:104" x14ac:dyDescent="0.2">
      <c r="A40" s="962"/>
      <c r="B40" s="44"/>
      <c r="C40" s="20" t="s">
        <v>140</v>
      </c>
      <c r="D40" s="42"/>
      <c r="E40" s="114">
        <v>0</v>
      </c>
      <c r="F40" s="115">
        <v>0</v>
      </c>
      <c r="G40" s="115">
        <v>0</v>
      </c>
      <c r="H40" s="131">
        <f>I40-SUM(E40:G40)</f>
        <v>0</v>
      </c>
      <c r="I40" s="117">
        <v>0</v>
      </c>
      <c r="J40" s="114">
        <v>0</v>
      </c>
      <c r="K40" s="115">
        <v>0</v>
      </c>
      <c r="L40" s="115">
        <v>0</v>
      </c>
      <c r="M40" s="131">
        <f>N40-SUM(J40:L40)</f>
        <v>0</v>
      </c>
      <c r="N40" s="117">
        <v>0</v>
      </c>
      <c r="O40" s="114">
        <v>0</v>
      </c>
      <c r="P40" s="115">
        <v>0</v>
      </c>
      <c r="Q40" s="115">
        <v>0</v>
      </c>
      <c r="R40" s="131">
        <f>S40-SUM(O40:Q40)</f>
        <v>0</v>
      </c>
      <c r="S40" s="117">
        <v>0</v>
      </c>
      <c r="T40" s="114">
        <v>0</v>
      </c>
      <c r="U40" s="115">
        <v>0</v>
      </c>
      <c r="V40" s="115">
        <v>0</v>
      </c>
      <c r="W40" s="131">
        <f>X40-SUM(T40:V40)</f>
        <v>0</v>
      </c>
      <c r="X40" s="117">
        <v>0</v>
      </c>
      <c r="Y40" s="114">
        <v>0</v>
      </c>
      <c r="Z40" s="115">
        <v>0</v>
      </c>
      <c r="AA40" s="115">
        <v>0</v>
      </c>
      <c r="AB40" s="131">
        <f>AC40-SUM(Y40:AA40)</f>
        <v>0</v>
      </c>
      <c r="AC40" s="117">
        <v>0</v>
      </c>
      <c r="AD40" s="114">
        <v>0</v>
      </c>
      <c r="AE40" s="115">
        <v>0</v>
      </c>
      <c r="AF40" s="115">
        <v>0</v>
      </c>
      <c r="AG40" s="131">
        <f>AH40-SUM(AD40:AF40)</f>
        <v>0</v>
      </c>
      <c r="AH40" s="117">
        <v>0</v>
      </c>
      <c r="AI40" s="114">
        <v>0</v>
      </c>
      <c r="AJ40" s="115">
        <v>0</v>
      </c>
      <c r="AK40" s="115">
        <v>0</v>
      </c>
      <c r="AL40" s="131">
        <f>AM40-SUM(AI40:AK40)</f>
        <v>0</v>
      </c>
      <c r="AM40" s="117">
        <v>0</v>
      </c>
      <c r="AN40" s="114">
        <v>0</v>
      </c>
      <c r="AO40" s="115">
        <v>0</v>
      </c>
      <c r="AP40" s="115">
        <v>0</v>
      </c>
      <c r="AQ40" s="131">
        <f>AR40-SUM(AN40:AP40)</f>
        <v>0</v>
      </c>
      <c r="AR40" s="117">
        <v>0</v>
      </c>
      <c r="AS40" s="114">
        <v>0</v>
      </c>
      <c r="AT40" s="115">
        <v>0</v>
      </c>
      <c r="AU40" s="115">
        <v>0</v>
      </c>
      <c r="AV40" s="131">
        <f>AW40-SUM(AS40:AU40)</f>
        <v>0</v>
      </c>
      <c r="AW40" s="117">
        <v>0</v>
      </c>
      <c r="AX40" s="136"/>
      <c r="AY40" s="137"/>
      <c r="AZ40" s="137"/>
      <c r="BA40" s="116"/>
      <c r="BB40" s="42">
        <f>SUM(AX40:BA40)</f>
        <v>0</v>
      </c>
      <c r="BC40" s="136"/>
      <c r="BD40" s="137"/>
      <c r="BE40" s="137"/>
      <c r="BF40" s="116"/>
      <c r="BG40" s="42">
        <f>SUM(BC40:BF40)</f>
        <v>0</v>
      </c>
      <c r="BH40" s="136"/>
      <c r="BI40" s="137"/>
      <c r="BJ40" s="137"/>
      <c r="BK40" s="116"/>
      <c r="BL40" s="42">
        <f>SUM(BH40:BK40)</f>
        <v>0</v>
      </c>
      <c r="BM40" s="136"/>
      <c r="BN40" s="137"/>
      <c r="BO40" s="137"/>
      <c r="BP40" s="116"/>
      <c r="BQ40" s="42">
        <f>SUM(BM40:BP40)</f>
        <v>0</v>
      </c>
      <c r="BR40" s="44"/>
      <c r="BS40" s="44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</row>
    <row r="41" spans="1:104" x14ac:dyDescent="0.2">
      <c r="A41" s="44"/>
      <c r="B41" s="44"/>
      <c r="C41" s="26" t="s">
        <v>141</v>
      </c>
      <c r="D41" s="42"/>
      <c r="E41" s="121">
        <f t="shared" ref="E41:P41" si="73">E39+E40</f>
        <v>9.1820000000000483</v>
      </c>
      <c r="F41" s="122">
        <f t="shared" si="73"/>
        <v>16.808000000000007</v>
      </c>
      <c r="G41" s="122">
        <f t="shared" si="73"/>
        <v>37.41500000000002</v>
      </c>
      <c r="H41" s="123">
        <f t="shared" si="73"/>
        <v>4.3449999999999278</v>
      </c>
      <c r="I41" s="86">
        <f t="shared" si="73"/>
        <v>67.75</v>
      </c>
      <c r="J41" s="121">
        <f t="shared" si="73"/>
        <v>7.6990000000000292</v>
      </c>
      <c r="K41" s="122">
        <f t="shared" si="73"/>
        <v>24.396000000000051</v>
      </c>
      <c r="L41" s="122">
        <f t="shared" si="73"/>
        <v>39.188999999999957</v>
      </c>
      <c r="M41" s="123">
        <f t="shared" si="73"/>
        <v>6.7830000000001007</v>
      </c>
      <c r="N41" s="86">
        <f t="shared" si="73"/>
        <v>78.067000000000135</v>
      </c>
      <c r="O41" s="121">
        <f t="shared" si="73"/>
        <v>10.237999999999968</v>
      </c>
      <c r="P41" s="122">
        <f t="shared" si="73"/>
        <v>24.67199999999999</v>
      </c>
      <c r="Q41" s="122">
        <f t="shared" ref="Q41:V41" si="74">Q39+Q40</f>
        <v>48.581000000000053</v>
      </c>
      <c r="R41" s="123">
        <f t="shared" si="74"/>
        <v>6.4099999999999397</v>
      </c>
      <c r="S41" s="86">
        <f t="shared" si="74"/>
        <v>89.900999999999954</v>
      </c>
      <c r="T41" s="121">
        <f t="shared" si="74"/>
        <v>11.359999999999971</v>
      </c>
      <c r="U41" s="122">
        <f t="shared" si="74"/>
        <v>30.294000000000018</v>
      </c>
      <c r="V41" s="122">
        <f t="shared" si="74"/>
        <v>58.247000000000014</v>
      </c>
      <c r="W41" s="123">
        <f t="shared" ref="W41:AD41" si="75">W39+W40</f>
        <v>6.4680000000001172</v>
      </c>
      <c r="X41" s="86">
        <f t="shared" si="75"/>
        <v>106.36900000000013</v>
      </c>
      <c r="Y41" s="121">
        <f t="shared" si="75"/>
        <v>12.584000000000023</v>
      </c>
      <c r="Z41" s="122">
        <f t="shared" si="75"/>
        <v>28.206000000000046</v>
      </c>
      <c r="AA41" s="122">
        <f t="shared" si="75"/>
        <v>35.036999999999964</v>
      </c>
      <c r="AB41" s="123">
        <f t="shared" si="75"/>
        <v>19.350000000000023</v>
      </c>
      <c r="AC41" s="86">
        <f t="shared" si="75"/>
        <v>95.177000000000049</v>
      </c>
      <c r="AD41" s="121">
        <f t="shared" si="75"/>
        <v>18.734999999999964</v>
      </c>
      <c r="AE41" s="122">
        <f t="shared" ref="AE41:AM41" si="76">AE39+AE40</f>
        <v>28.034999999999997</v>
      </c>
      <c r="AF41" s="122">
        <f t="shared" si="76"/>
        <v>66.937000000000012</v>
      </c>
      <c r="AG41" s="123">
        <f t="shared" si="76"/>
        <v>16.145000000000067</v>
      </c>
      <c r="AH41" s="86">
        <f t="shared" si="76"/>
        <v>129.85200000000003</v>
      </c>
      <c r="AI41" s="121">
        <f t="shared" si="76"/>
        <v>20.247000000000014</v>
      </c>
      <c r="AJ41" s="122">
        <f t="shared" si="76"/>
        <v>22.576000000000008</v>
      </c>
      <c r="AK41" s="122">
        <f t="shared" si="76"/>
        <v>61.814999999999962</v>
      </c>
      <c r="AL41" s="123">
        <f t="shared" si="76"/>
        <v>22.625000000000171</v>
      </c>
      <c r="AM41" s="86">
        <f t="shared" si="76"/>
        <v>127.26300000000015</v>
      </c>
      <c r="AN41" s="121">
        <f t="shared" ref="AN41:AR41" si="77">AN39+AN40</f>
        <v>22.523000000000025</v>
      </c>
      <c r="AO41" s="122">
        <f t="shared" si="77"/>
        <v>32.211000000000027</v>
      </c>
      <c r="AP41" s="122">
        <f t="shared" si="77"/>
        <v>68.346000000000089</v>
      </c>
      <c r="AQ41" s="123">
        <f t="shared" si="77"/>
        <v>29.076999999999813</v>
      </c>
      <c r="AR41" s="86">
        <f t="shared" si="77"/>
        <v>152.15699999999995</v>
      </c>
      <c r="AS41" s="121">
        <f>AS39+AS40</f>
        <v>25.055000000000014</v>
      </c>
      <c r="AT41" s="122">
        <f>AT39+AT40</f>
        <v>35.361999999999973</v>
      </c>
      <c r="AU41" s="122">
        <f>AU39+AU40</f>
        <v>67.781000000000034</v>
      </c>
      <c r="AV41" s="123">
        <f t="shared" ref="AV41:AW41" si="78">AV39+AV40</f>
        <v>31.014999999999702</v>
      </c>
      <c r="AW41" s="86">
        <f t="shared" si="78"/>
        <v>159.21299999999974</v>
      </c>
      <c r="AX41" s="121">
        <f t="shared" ref="AX41:BG41" si="79">AX39+AX40</f>
        <v>43.510898268294504</v>
      </c>
      <c r="AY41" s="122">
        <f t="shared" si="79"/>
        <v>50.841011894376365</v>
      </c>
      <c r="AZ41" s="122">
        <f t="shared" si="79"/>
        <v>76.859915566275163</v>
      </c>
      <c r="BA41" s="123">
        <f t="shared" si="79"/>
        <v>26.012057527325908</v>
      </c>
      <c r="BB41" s="86">
        <f t="shared" si="79"/>
        <v>197.22388325627193</v>
      </c>
      <c r="BC41" s="121">
        <f t="shared" si="79"/>
        <v>54.06862410684198</v>
      </c>
      <c r="BD41" s="122">
        <f t="shared" si="79"/>
        <v>59.836683246512735</v>
      </c>
      <c r="BE41" s="122">
        <f t="shared" si="79"/>
        <v>87.300267091660601</v>
      </c>
      <c r="BF41" s="123">
        <f t="shared" si="79"/>
        <v>33.60093403253191</v>
      </c>
      <c r="BG41" s="86">
        <f t="shared" si="79"/>
        <v>234.80650847754723</v>
      </c>
      <c r="BH41" s="121">
        <f t="shared" ref="BH41:BQ41" si="80">BH39+BH40</f>
        <v>57.986600410998761</v>
      </c>
      <c r="BI41" s="122">
        <f t="shared" si="80"/>
        <v>62.749609482395066</v>
      </c>
      <c r="BJ41" s="122">
        <f t="shared" si="80"/>
        <v>96.311885140044623</v>
      </c>
      <c r="BK41" s="123">
        <f t="shared" si="80"/>
        <v>39.617916597469389</v>
      </c>
      <c r="BL41" s="86">
        <f t="shared" si="80"/>
        <v>256.66601163090786</v>
      </c>
      <c r="BM41" s="121">
        <f t="shared" si="80"/>
        <v>63.520889788454468</v>
      </c>
      <c r="BN41" s="122">
        <f t="shared" si="80"/>
        <v>70.398569410933618</v>
      </c>
      <c r="BO41" s="122">
        <f t="shared" si="80"/>
        <v>107.37282234618473</v>
      </c>
      <c r="BP41" s="123">
        <f t="shared" si="80"/>
        <v>48.153411482665973</v>
      </c>
      <c r="BQ41" s="86">
        <f t="shared" si="80"/>
        <v>289.44569302823879</v>
      </c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</row>
    <row r="42" spans="1:104" x14ac:dyDescent="0.2">
      <c r="A42" s="44"/>
      <c r="B42" s="44"/>
      <c r="C42" s="20"/>
      <c r="D42" s="42"/>
      <c r="E42" s="120"/>
      <c r="F42" s="139"/>
      <c r="G42" s="139"/>
      <c r="H42" s="119"/>
      <c r="I42" s="42"/>
      <c r="J42" s="120"/>
      <c r="K42" s="139"/>
      <c r="L42" s="139"/>
      <c r="M42" s="119"/>
      <c r="N42" s="42"/>
      <c r="O42" s="120"/>
      <c r="P42" s="139"/>
      <c r="Q42" s="139"/>
      <c r="R42" s="119"/>
      <c r="S42" s="42"/>
      <c r="T42" s="120"/>
      <c r="U42" s="139"/>
      <c r="V42" s="139"/>
      <c r="W42" s="119"/>
      <c r="X42" s="42"/>
      <c r="Y42" s="120"/>
      <c r="Z42" s="139"/>
      <c r="AA42" s="139"/>
      <c r="AB42" s="119"/>
      <c r="AC42" s="42"/>
      <c r="AD42" s="120"/>
      <c r="AE42" s="139"/>
      <c r="AF42" s="139"/>
      <c r="AG42" s="119"/>
      <c r="AH42" s="42"/>
      <c r="AI42" s="120"/>
      <c r="AJ42" s="139"/>
      <c r="AK42" s="139"/>
      <c r="AL42" s="119"/>
      <c r="AM42" s="42"/>
      <c r="AN42" s="120"/>
      <c r="AO42" s="139"/>
      <c r="AP42" s="139"/>
      <c r="AQ42" s="119"/>
      <c r="AR42" s="42"/>
      <c r="AS42" s="120"/>
      <c r="AT42" s="139"/>
      <c r="AU42" s="139"/>
      <c r="AV42" s="119"/>
      <c r="AW42" s="42"/>
      <c r="AX42" s="120"/>
      <c r="AY42" s="139"/>
      <c r="AZ42" s="139"/>
      <c r="BA42" s="119"/>
      <c r="BB42" s="44"/>
      <c r="BC42" s="120"/>
      <c r="BD42" s="139"/>
      <c r="BE42" s="139"/>
      <c r="BF42" s="119"/>
      <c r="BG42" s="44"/>
      <c r="BH42" s="120"/>
      <c r="BI42" s="139"/>
      <c r="BJ42" s="139"/>
      <c r="BK42" s="119"/>
      <c r="BL42" s="44"/>
      <c r="BM42" s="120"/>
      <c r="BN42" s="139"/>
      <c r="BO42" s="139"/>
      <c r="BP42" s="119"/>
      <c r="BQ42" s="44"/>
      <c r="BR42" s="44"/>
      <c r="BS42" s="44"/>
      <c r="BT42" s="44"/>
      <c r="BU42" s="270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</row>
    <row r="43" spans="1:104" x14ac:dyDescent="0.2">
      <c r="A43" s="44"/>
      <c r="B43" s="44"/>
      <c r="C43" s="20" t="s">
        <v>73</v>
      </c>
      <c r="D43" s="42"/>
      <c r="E43" s="136">
        <f>XEL!E59</f>
        <v>455.19200000000001</v>
      </c>
      <c r="F43" s="135">
        <f>XEL!F59</f>
        <v>456.30700000000002</v>
      </c>
      <c r="G43" s="135">
        <f>XEL!G59</f>
        <v>456.76900000000001</v>
      </c>
      <c r="H43" s="116">
        <f>XEL!H59</f>
        <v>457.43400000000003</v>
      </c>
      <c r="I43" s="82">
        <f>XEL!I59</f>
        <v>456.43299999999999</v>
      </c>
      <c r="J43" s="136">
        <f>XEL!J59</f>
        <v>458.91800000000001</v>
      </c>
      <c r="K43" s="135">
        <f>XEL!K59</f>
        <v>460.041</v>
      </c>
      <c r="L43" s="135">
        <f>XEL!L59</f>
        <v>460.47</v>
      </c>
      <c r="M43" s="116">
        <f>XEL!M59</f>
        <v>468.68599999999998</v>
      </c>
      <c r="N43" s="82">
        <f>XEL!N59</f>
        <v>462.05200000000002</v>
      </c>
      <c r="O43" s="136">
        <f>XEL!O59</f>
        <v>483.64100000000002</v>
      </c>
      <c r="P43" s="135">
        <f>XEL!P59</f>
        <v>484.91800000000001</v>
      </c>
      <c r="Q43" s="135">
        <f>XEL!Q59</f>
        <v>485.34399999999999</v>
      </c>
      <c r="R43" s="116">
        <f>XEL!R59</f>
        <v>486.22300000000001</v>
      </c>
      <c r="S43" s="82">
        <f>XEL!S59</f>
        <v>485.03899999999999</v>
      </c>
      <c r="T43" s="136">
        <f>XEL!T59</f>
        <v>487.36</v>
      </c>
      <c r="U43" s="135">
        <f>XEL!U59</f>
        <v>487.71699999999998</v>
      </c>
      <c r="V43" s="135">
        <f>XEL!V59</f>
        <v>488.084</v>
      </c>
      <c r="W43" s="116">
        <f>XEL!W59</f>
        <v>488.428</v>
      </c>
      <c r="X43" s="82">
        <f>XEL!X59</f>
        <v>487.899</v>
      </c>
      <c r="Y43" s="136">
        <f>XEL!Y59</f>
        <v>489.78100000000001</v>
      </c>
      <c r="Z43" s="135">
        <f>XEL!Z59</f>
        <v>497.74700000000001</v>
      </c>
      <c r="AA43" s="135">
        <f>XEL!AA59</f>
        <v>498.149</v>
      </c>
      <c r="AB43" s="116">
        <f>XEL!AB59</f>
        <v>488.428</v>
      </c>
      <c r="AC43" s="82">
        <f>XEL!AC59</f>
        <v>496.07299999999998</v>
      </c>
      <c r="AD43" s="136">
        <f>XEL!AD59</f>
        <v>499.52300000000002</v>
      </c>
      <c r="AE43" s="135">
        <f>XEL!AE59</f>
        <v>503.27199999999999</v>
      </c>
      <c r="AF43" s="135">
        <f>XEL!AF59</f>
        <v>506.08199999999999</v>
      </c>
      <c r="AG43" s="116">
        <f>XEL!AG59</f>
        <v>506.411</v>
      </c>
      <c r="AH43" s="82">
        <f>XEL!AH59</f>
        <v>503.84699999999998</v>
      </c>
      <c r="AI43" s="136">
        <f>XEL!AI59</f>
        <v>506.983</v>
      </c>
      <c r="AJ43" s="135">
        <f>XEL!AJ59</f>
        <v>507.70699999999999</v>
      </c>
      <c r="AK43" s="135">
        <f>XEL!AK59</f>
        <v>508.03100000000001</v>
      </c>
      <c r="AL43" s="116">
        <f>XEL!AL59</f>
        <v>508.31200000000001</v>
      </c>
      <c r="AM43" s="82">
        <f>XEL!AM59</f>
        <v>507.76799999999997</v>
      </c>
      <c r="AN43" s="136">
        <f>XEL!AN59</f>
        <v>508.66699999999997</v>
      </c>
      <c r="AO43" s="135">
        <f>XEL!AO59</f>
        <v>508.93</v>
      </c>
      <c r="AP43" s="135">
        <f>XEL!AP59</f>
        <v>508.94099999999997</v>
      </c>
      <c r="AQ43" s="116">
        <f>XEL!AQ59</f>
        <v>508.65600000000001</v>
      </c>
      <c r="AR43" s="82">
        <f>XEL!AR59</f>
        <v>508.79399999999998</v>
      </c>
      <c r="AS43" s="136">
        <f>XEL!AS59</f>
        <v>508.27800000000002</v>
      </c>
      <c r="AT43" s="135">
        <f>XEL!AT59</f>
        <v>508.54199999999997</v>
      </c>
      <c r="AU43" s="135">
        <f>XEL!AU59</f>
        <v>508.58100000000002</v>
      </c>
      <c r="AV43" s="116">
        <f>XEL!AV59</f>
        <v>509</v>
      </c>
      <c r="AW43" s="82">
        <f>XEL!AW59</f>
        <v>509</v>
      </c>
      <c r="AX43" s="136">
        <f>XEL!AX59</f>
        <v>508.28363361335755</v>
      </c>
      <c r="AY43" s="135">
        <f>XEL!AY59</f>
        <v>508.72093484007269</v>
      </c>
      <c r="AZ43" s="135">
        <f>XEL!AZ59</f>
        <v>509.15823606678782</v>
      </c>
      <c r="BA43" s="116">
        <f>XEL!BA59</f>
        <v>509.59553729350296</v>
      </c>
      <c r="BB43" s="82">
        <f>XEL!BB59</f>
        <v>508.93958545343025</v>
      </c>
      <c r="BC43" s="136">
        <f>XEL!BC59</f>
        <v>510.03283852021809</v>
      </c>
      <c r="BD43" s="135">
        <f>XEL!BD59</f>
        <v>510.47013974693323</v>
      </c>
      <c r="BE43" s="135">
        <f>XEL!BE59</f>
        <v>510.90744097364836</v>
      </c>
      <c r="BF43" s="116">
        <f>XEL!BF59</f>
        <v>511.3447422003635</v>
      </c>
      <c r="BG43" s="82">
        <f>XEL!BG59</f>
        <v>510.6887903602908</v>
      </c>
      <c r="BH43" s="136">
        <f>XEL!BH59</f>
        <v>511.78204342707863</v>
      </c>
      <c r="BI43" s="135">
        <f>XEL!BI59</f>
        <v>512.21934465379377</v>
      </c>
      <c r="BJ43" s="135">
        <f>XEL!BJ59</f>
        <v>512.6566458805089</v>
      </c>
      <c r="BK43" s="116">
        <f>XEL!BK59</f>
        <v>513.09394710722404</v>
      </c>
      <c r="BL43" s="82">
        <f>XEL!BL59</f>
        <v>512.43799526715134</v>
      </c>
      <c r="BM43" s="136">
        <f>XEL!BM59</f>
        <v>513.53124833393917</v>
      </c>
      <c r="BN43" s="135">
        <f>XEL!BN59</f>
        <v>513.96854956065431</v>
      </c>
      <c r="BO43" s="135">
        <f>XEL!BO59</f>
        <v>514.40585078736945</v>
      </c>
      <c r="BP43" s="116">
        <f>XEL!BP59</f>
        <v>514.84315201408458</v>
      </c>
      <c r="BQ43" s="82">
        <f>XEL!BQ59</f>
        <v>514.18720017401188</v>
      </c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  <c r="CX43" s="44"/>
      <c r="CY43" s="44"/>
      <c r="CZ43" s="44"/>
    </row>
    <row r="44" spans="1:104" x14ac:dyDescent="0.2">
      <c r="A44" s="44"/>
      <c r="B44" s="44"/>
      <c r="C44" s="20" t="s">
        <v>75</v>
      </c>
      <c r="D44" s="42"/>
      <c r="E44" s="136">
        <f>XEL!E60</f>
        <v>455.952</v>
      </c>
      <c r="F44" s="135">
        <f>XEL!F60</f>
        <v>456.76600000000002</v>
      </c>
      <c r="G44" s="135">
        <f>XEL!G60</f>
        <v>457.45299999999997</v>
      </c>
      <c r="H44" s="116">
        <f>XEL!H60</f>
        <v>458.35700000000003</v>
      </c>
      <c r="I44" s="82">
        <f>XEL!I60</f>
        <v>457.13900000000001</v>
      </c>
      <c r="J44" s="136">
        <f>XEL!J60</f>
        <v>459.697</v>
      </c>
      <c r="K44" s="135">
        <f>XEL!K60</f>
        <v>460.43200000000002</v>
      </c>
      <c r="L44" s="135">
        <f>XEL!L60</f>
        <v>462.01900000000001</v>
      </c>
      <c r="M44" s="116">
        <f>XEL!M60</f>
        <v>471.32499999999999</v>
      </c>
      <c r="N44" s="82">
        <f>XEL!N60</f>
        <v>463.39100000000002</v>
      </c>
      <c r="O44" s="136">
        <f>XEL!O60</f>
        <v>484.30099999999999</v>
      </c>
      <c r="P44" s="135">
        <f>XEL!P60</f>
        <v>485.24099999999999</v>
      </c>
      <c r="Q44" s="135">
        <f>XEL!Q60</f>
        <v>485.89400000000001</v>
      </c>
      <c r="R44" s="116">
        <f>XEL!R60</f>
        <v>486.99099999999999</v>
      </c>
      <c r="S44" s="82">
        <f>XEL!S60</f>
        <v>485.61500000000001</v>
      </c>
      <c r="T44" s="136">
        <f>XEL!T60</f>
        <v>487.995</v>
      </c>
      <c r="U44" s="135">
        <f>XEL!U60</f>
        <v>488.017</v>
      </c>
      <c r="V44" s="135">
        <f>XEL!V60</f>
        <v>488.57799999999997</v>
      </c>
      <c r="W44" s="116">
        <f>XEL!W60</f>
        <v>489.13600000000002</v>
      </c>
      <c r="X44" s="82">
        <f>XEL!X60</f>
        <v>488.43400000000003</v>
      </c>
      <c r="Y44" s="136">
        <f>XEL!Y60</f>
        <v>490.53100000000001</v>
      </c>
      <c r="Z44" s="135">
        <f>XEL!Z60</f>
        <v>498.036</v>
      </c>
      <c r="AA44" s="135">
        <f>XEL!AA60</f>
        <v>498.64100000000002</v>
      </c>
      <c r="AB44" s="116">
        <f>XEL!AB60</f>
        <v>489.13600000000002</v>
      </c>
      <c r="AC44" s="82">
        <f>XEL!AC60</f>
        <v>496.53199999999998</v>
      </c>
      <c r="AD44" s="136">
        <f>XEL!AD60</f>
        <v>499.74599999999998</v>
      </c>
      <c r="AE44" s="135">
        <f>XEL!AE60</f>
        <v>503.45600000000002</v>
      </c>
      <c r="AF44" s="135">
        <f>XEL!AF60</f>
        <v>506.36500000000001</v>
      </c>
      <c r="AG44" s="116">
        <f>XEL!AG60</f>
        <v>506.79899999999998</v>
      </c>
      <c r="AH44" s="82">
        <f>XEL!AH60</f>
        <v>504.11700000000002</v>
      </c>
      <c r="AI44" s="136">
        <f>XEL!AI60</f>
        <v>507.39299999999997</v>
      </c>
      <c r="AJ44" s="135">
        <f>XEL!AJ60</f>
        <v>508.07400000000001</v>
      </c>
      <c r="AK44" s="135">
        <f>XEL!AK60</f>
        <v>508.42700000000002</v>
      </c>
      <c r="AL44" s="116">
        <f>XEL!AL60</f>
        <v>508.738</v>
      </c>
      <c r="AM44" s="82">
        <f>XEL!AM60</f>
        <v>508.16800000000001</v>
      </c>
      <c r="AN44" s="136">
        <f>XEL!AN60</f>
        <v>509.15</v>
      </c>
      <c r="AO44" s="135">
        <f>XEL!AO60</f>
        <v>509.49</v>
      </c>
      <c r="AP44" s="135">
        <f>XEL!AP60</f>
        <v>509.56599999999997</v>
      </c>
      <c r="AQ44" s="116">
        <f>XEL!AQ60</f>
        <v>509.42099999999999</v>
      </c>
      <c r="AR44" s="82">
        <f>XEL!AR60</f>
        <v>509.46499999999997</v>
      </c>
      <c r="AS44" s="136">
        <f>XEL!AS60</f>
        <v>508.774</v>
      </c>
      <c r="AT44" s="135">
        <f>XEL!AT60</f>
        <v>509.13499999999999</v>
      </c>
      <c r="AU44" s="135">
        <f>XEL!AU60</f>
        <v>509.24200000000002</v>
      </c>
      <c r="AV44" s="116">
        <f>XEL!AV60</f>
        <v>509</v>
      </c>
      <c r="AW44" s="82">
        <f>XEL!AW60</f>
        <v>509</v>
      </c>
      <c r="AX44" s="136">
        <f>XEL!AX60</f>
        <v>508.28363361335755</v>
      </c>
      <c r="AY44" s="135">
        <f>XEL!AY60</f>
        <v>508.72093484007269</v>
      </c>
      <c r="AZ44" s="135">
        <f>XEL!AZ60</f>
        <v>509.15823606678782</v>
      </c>
      <c r="BA44" s="116">
        <f>XEL!BA60</f>
        <v>509.59553729350296</v>
      </c>
      <c r="BB44" s="82">
        <f>XEL!BB60</f>
        <v>508.93958545343025</v>
      </c>
      <c r="BC44" s="136">
        <f>XEL!BC60</f>
        <v>510.03283852021809</v>
      </c>
      <c r="BD44" s="135">
        <f>XEL!BD60</f>
        <v>510.47013974693323</v>
      </c>
      <c r="BE44" s="135">
        <f>XEL!BE60</f>
        <v>510.90744097364836</v>
      </c>
      <c r="BF44" s="116">
        <f>XEL!BF60</f>
        <v>511.3447422003635</v>
      </c>
      <c r="BG44" s="82">
        <f>XEL!BG60</f>
        <v>510.6887903602908</v>
      </c>
      <c r="BH44" s="136">
        <f>XEL!BH60</f>
        <v>511.78204342707863</v>
      </c>
      <c r="BI44" s="135">
        <f>XEL!BI60</f>
        <v>512.21934465379377</v>
      </c>
      <c r="BJ44" s="135">
        <f>XEL!BJ60</f>
        <v>512.6566458805089</v>
      </c>
      <c r="BK44" s="116">
        <f>XEL!BK60</f>
        <v>513.09394710722404</v>
      </c>
      <c r="BL44" s="82">
        <f>XEL!BL60</f>
        <v>512.43799526715134</v>
      </c>
      <c r="BM44" s="136">
        <f>XEL!BM60</f>
        <v>513.53124833393917</v>
      </c>
      <c r="BN44" s="135">
        <f>XEL!BN60</f>
        <v>513.96854956065431</v>
      </c>
      <c r="BO44" s="135">
        <f>XEL!BO60</f>
        <v>514.40585078736945</v>
      </c>
      <c r="BP44" s="116">
        <f>XEL!BP60</f>
        <v>514.84315201408458</v>
      </c>
      <c r="BQ44" s="82">
        <f>XEL!BQ60</f>
        <v>514.18720017401188</v>
      </c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</row>
    <row r="45" spans="1:104" x14ac:dyDescent="0.2">
      <c r="A45" s="44"/>
      <c r="B45" s="44"/>
      <c r="C45" s="86"/>
      <c r="D45" s="42"/>
      <c r="E45" s="120"/>
      <c r="F45" s="139"/>
      <c r="G45" s="139"/>
      <c r="H45" s="119"/>
      <c r="I45" s="42"/>
      <c r="J45" s="120"/>
      <c r="K45" s="139"/>
      <c r="L45" s="139"/>
      <c r="M45" s="119"/>
      <c r="N45" s="42"/>
      <c r="O45" s="120"/>
      <c r="P45" s="139"/>
      <c r="Q45" s="139"/>
      <c r="R45" s="119"/>
      <c r="S45" s="42"/>
      <c r="T45" s="120"/>
      <c r="U45" s="139"/>
      <c r="V45" s="139"/>
      <c r="W45" s="119"/>
      <c r="X45" s="42"/>
      <c r="Y45" s="120"/>
      <c r="Z45" s="139"/>
      <c r="AA45" s="139"/>
      <c r="AB45" s="119"/>
      <c r="AC45" s="42"/>
      <c r="AD45" s="120"/>
      <c r="AE45" s="139"/>
      <c r="AF45" s="139"/>
      <c r="AG45" s="119"/>
      <c r="AH45" s="42"/>
      <c r="AI45" s="120"/>
      <c r="AJ45" s="139"/>
      <c r="AK45" s="139"/>
      <c r="AL45" s="119"/>
      <c r="AM45" s="42"/>
      <c r="AN45" s="120"/>
      <c r="AO45" s="139"/>
      <c r="AP45" s="139"/>
      <c r="AQ45" s="119"/>
      <c r="AR45" s="42"/>
      <c r="AS45" s="120"/>
      <c r="AT45" s="139"/>
      <c r="AU45" s="139"/>
      <c r="AV45" s="119"/>
      <c r="AW45" s="42"/>
      <c r="AX45" s="120"/>
      <c r="AY45" s="139"/>
      <c r="AZ45" s="139"/>
      <c r="BA45" s="119"/>
      <c r="BB45" s="44"/>
      <c r="BC45" s="120"/>
      <c r="BD45" s="139"/>
      <c r="BE45" s="139"/>
      <c r="BF45" s="119"/>
      <c r="BG45" s="44"/>
      <c r="BH45" s="120"/>
      <c r="BI45" s="139"/>
      <c r="BJ45" s="139"/>
      <c r="BK45" s="119"/>
      <c r="BL45" s="44"/>
      <c r="BM45" s="120"/>
      <c r="BN45" s="139"/>
      <c r="BO45" s="139"/>
      <c r="BP45" s="119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  <c r="CX45" s="44"/>
      <c r="CY45" s="44"/>
      <c r="CZ45" s="44"/>
    </row>
    <row r="46" spans="1:104" x14ac:dyDescent="0.2">
      <c r="A46" s="20"/>
      <c r="B46" s="20"/>
      <c r="C46" s="20" t="s">
        <v>246</v>
      </c>
      <c r="D46" s="20"/>
      <c r="E46" s="151">
        <f t="shared" ref="E46:P46" si="81">+E39/E44</f>
        <v>2.0138084710671404E-2</v>
      </c>
      <c r="F46" s="152">
        <f t="shared" si="81"/>
        <v>3.6797835215405715E-2</v>
      </c>
      <c r="G46" s="152">
        <f t="shared" si="81"/>
        <v>8.17898232168114E-2</v>
      </c>
      <c r="H46" s="153">
        <f t="shared" si="81"/>
        <v>9.4795105125479208E-3</v>
      </c>
      <c r="I46" s="154">
        <f t="shared" si="81"/>
        <v>0.14820437547441806</v>
      </c>
      <c r="J46" s="151">
        <f t="shared" si="81"/>
        <v>1.6747988348847238E-2</v>
      </c>
      <c r="K46" s="152">
        <f t="shared" si="81"/>
        <v>5.2985022761233035E-2</v>
      </c>
      <c r="L46" s="152">
        <f t="shared" si="81"/>
        <v>8.4821187007460636E-2</v>
      </c>
      <c r="M46" s="153">
        <f t="shared" si="81"/>
        <v>1.439134355275044E-2</v>
      </c>
      <c r="N46" s="154">
        <f t="shared" si="81"/>
        <v>0.16846896033803016</v>
      </c>
      <c r="O46" s="151">
        <f t="shared" si="81"/>
        <v>2.1139745736638925E-2</v>
      </c>
      <c r="P46" s="152">
        <f t="shared" si="81"/>
        <v>5.0844837925896599E-2</v>
      </c>
      <c r="Q46" s="152">
        <f>+Q39/Q44</f>
        <v>9.9982712278809893E-2</v>
      </c>
      <c r="R46" s="153">
        <f>+R39/R44</f>
        <v>1.3162460907901666E-2</v>
      </c>
      <c r="S46" s="154">
        <f>+S39/S44</f>
        <v>0.18512813648672291</v>
      </c>
      <c r="T46" s="151">
        <f>+T39/T44</f>
        <v>2.3278927038186806E-2</v>
      </c>
      <c r="U46" s="152">
        <f>+U39/U44</f>
        <v>6.2075706379081094E-2</v>
      </c>
      <c r="V46" s="152">
        <f t="shared" ref="V46:AA46" si="82">+V39/V44</f>
        <v>0.1192174023390329</v>
      </c>
      <c r="W46" s="153">
        <f t="shared" si="82"/>
        <v>1.3223316214713529E-2</v>
      </c>
      <c r="X46" s="154">
        <f t="shared" si="82"/>
        <v>0.21777558482824727</v>
      </c>
      <c r="Y46" s="151">
        <f t="shared" si="82"/>
        <v>2.565383227563604E-2</v>
      </c>
      <c r="Z46" s="152">
        <f t="shared" si="82"/>
        <v>5.6634460159506635E-2</v>
      </c>
      <c r="AA46" s="152">
        <f t="shared" si="82"/>
        <v>7.0264980216227638E-2</v>
      </c>
      <c r="AB46" s="153">
        <f t="shared" ref="AB46:AI46" si="83">+AB39/AB44</f>
        <v>3.9559549900232291E-2</v>
      </c>
      <c r="AC46" s="154">
        <f t="shared" si="83"/>
        <v>0.19168351687303145</v>
      </c>
      <c r="AD46" s="151">
        <f t="shared" si="83"/>
        <v>3.7489044434572689E-2</v>
      </c>
      <c r="AE46" s="152">
        <f t="shared" si="83"/>
        <v>5.5685104557299935E-2</v>
      </c>
      <c r="AF46" s="152">
        <f t="shared" si="83"/>
        <v>0.13219120594827843</v>
      </c>
      <c r="AG46" s="153">
        <f t="shared" si="83"/>
        <v>3.1856811082894933E-2</v>
      </c>
      <c r="AH46" s="154">
        <f t="shared" si="83"/>
        <v>0.25758306107510764</v>
      </c>
      <c r="AI46" s="151">
        <f t="shared" si="83"/>
        <v>3.9903979755337611E-2</v>
      </c>
      <c r="AJ46" s="152">
        <f t="shared" ref="AJ46:AO46" si="84">+AJ39/AJ44</f>
        <v>4.4434472143821582E-2</v>
      </c>
      <c r="AK46" s="152">
        <f t="shared" si="84"/>
        <v>0.12158087591728992</v>
      </c>
      <c r="AL46" s="153">
        <f t="shared" si="84"/>
        <v>4.4472793461467729E-2</v>
      </c>
      <c r="AM46" s="154">
        <f t="shared" si="84"/>
        <v>0.25043489554635506</v>
      </c>
      <c r="AN46" s="151">
        <f t="shared" si="84"/>
        <v>4.4236472552293085E-2</v>
      </c>
      <c r="AO46" s="152">
        <f t="shared" si="84"/>
        <v>6.3222045574986799E-2</v>
      </c>
      <c r="AP46" s="152">
        <f t="shared" ref="AP46:AT46" si="85">+AP39/AP44</f>
        <v>0.13412590321960274</v>
      </c>
      <c r="AQ46" s="153">
        <f t="shared" si="85"/>
        <v>5.7078526405467803E-2</v>
      </c>
      <c r="AR46" s="154">
        <f t="shared" si="85"/>
        <v>0.29866035939662189</v>
      </c>
      <c r="AS46" s="151">
        <f t="shared" si="85"/>
        <v>4.9245834103157818E-2</v>
      </c>
      <c r="AT46" s="152">
        <f t="shared" si="85"/>
        <v>6.945505612460344E-2</v>
      </c>
      <c r="AU46" s="152">
        <f>+AU39/AU44</f>
        <v>0.1331017473028541</v>
      </c>
      <c r="AV46" s="153">
        <f t="shared" ref="AV46:AW46" si="86">+AV39/AV44</f>
        <v>6.0933202357563263E-2</v>
      </c>
      <c r="AW46" s="154">
        <f t="shared" si="86"/>
        <v>0.31279567779960654</v>
      </c>
      <c r="AX46" s="151">
        <f t="shared" ref="AX46:BG46" si="87">+AX39/AX44</f>
        <v>8.5603579164999208E-2</v>
      </c>
      <c r="AY46" s="152">
        <f t="shared" si="87"/>
        <v>9.9938902475793193E-2</v>
      </c>
      <c r="AZ46" s="152">
        <f t="shared" si="87"/>
        <v>0.15095487045444397</v>
      </c>
      <c r="BA46" s="153">
        <f t="shared" si="87"/>
        <v>5.1044515941952195E-2</v>
      </c>
      <c r="BB46" s="154">
        <f t="shared" si="87"/>
        <v>0.3875192437242998</v>
      </c>
      <c r="BC46" s="151">
        <f t="shared" si="87"/>
        <v>0.10601008410304283</v>
      </c>
      <c r="BD46" s="152">
        <f t="shared" si="87"/>
        <v>0.11721877263217964</v>
      </c>
      <c r="BE46" s="152">
        <f t="shared" si="87"/>
        <v>0.17087296071728847</v>
      </c>
      <c r="BF46" s="153">
        <f t="shared" si="87"/>
        <v>6.571092114479167E-2</v>
      </c>
      <c r="BG46" s="154">
        <f t="shared" si="87"/>
        <v>0.45978394848238457</v>
      </c>
      <c r="BH46" s="151">
        <f t="shared" ref="BH46:BQ46" si="88">+BH39/BH44</f>
        <v>0.11330331174321671</v>
      </c>
      <c r="BI46" s="152">
        <f t="shared" si="88"/>
        <v>0.12250534880678352</v>
      </c>
      <c r="BJ46" s="152">
        <f t="shared" si="88"/>
        <v>0.18786820753025643</v>
      </c>
      <c r="BK46" s="153">
        <f t="shared" si="88"/>
        <v>7.7213767226901653E-2</v>
      </c>
      <c r="BL46" s="154">
        <f t="shared" si="88"/>
        <v>0.50087232797228309</v>
      </c>
      <c r="BM46" s="151">
        <f t="shared" si="88"/>
        <v>0.12369430291639837</v>
      </c>
      <c r="BN46" s="152">
        <f t="shared" si="88"/>
        <v>0.13697057820193678</v>
      </c>
      <c r="BO46" s="152">
        <f t="shared" si="88"/>
        <v>0.20873172842384227</v>
      </c>
      <c r="BP46" s="153">
        <f t="shared" si="88"/>
        <v>9.3530255368626594E-2</v>
      </c>
      <c r="BQ46" s="154">
        <f t="shared" si="88"/>
        <v>0.56291889982925325</v>
      </c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</row>
    <row r="47" spans="1:104" x14ac:dyDescent="0.2">
      <c r="A47" s="20"/>
      <c r="C47" s="155" t="s">
        <v>247</v>
      </c>
      <c r="D47" s="156"/>
      <c r="E47" s="157">
        <f t="shared" ref="E47:P47" si="89">+E41/E44</f>
        <v>2.0138084710671404E-2</v>
      </c>
      <c r="F47" s="76">
        <f t="shared" si="89"/>
        <v>3.6797835215405715E-2</v>
      </c>
      <c r="G47" s="76">
        <f t="shared" si="89"/>
        <v>8.17898232168114E-2</v>
      </c>
      <c r="H47" s="77">
        <f t="shared" si="89"/>
        <v>9.4795105125479208E-3</v>
      </c>
      <c r="I47" s="158">
        <f t="shared" si="89"/>
        <v>0.14820437547441806</v>
      </c>
      <c r="J47" s="157">
        <f t="shared" si="89"/>
        <v>1.6747988348847238E-2</v>
      </c>
      <c r="K47" s="76">
        <f t="shared" si="89"/>
        <v>5.2985022761233035E-2</v>
      </c>
      <c r="L47" s="76">
        <f t="shared" si="89"/>
        <v>8.4821187007460636E-2</v>
      </c>
      <c r="M47" s="77">
        <f t="shared" si="89"/>
        <v>1.439134355275044E-2</v>
      </c>
      <c r="N47" s="158">
        <f t="shared" si="89"/>
        <v>0.16846896033803016</v>
      </c>
      <c r="O47" s="157">
        <f t="shared" si="89"/>
        <v>2.1139745736638925E-2</v>
      </c>
      <c r="P47" s="76">
        <f t="shared" si="89"/>
        <v>5.0844837925896599E-2</v>
      </c>
      <c r="Q47" s="76">
        <f>+Q41/Q44</f>
        <v>9.9982712278809893E-2</v>
      </c>
      <c r="R47" s="77">
        <f>+R41/R44</f>
        <v>1.3162460907901666E-2</v>
      </c>
      <c r="S47" s="158">
        <f>+S41/S44</f>
        <v>0.18512813648672291</v>
      </c>
      <c r="T47" s="157">
        <f>+T41/T44</f>
        <v>2.3278927038186806E-2</v>
      </c>
      <c r="U47" s="76">
        <f>+U41/U44</f>
        <v>6.2075706379081094E-2</v>
      </c>
      <c r="V47" s="76">
        <f t="shared" ref="V47:AA47" si="90">+V41/V44</f>
        <v>0.1192174023390329</v>
      </c>
      <c r="W47" s="77">
        <f t="shared" si="90"/>
        <v>1.3223316214713529E-2</v>
      </c>
      <c r="X47" s="158">
        <f t="shared" si="90"/>
        <v>0.21777558482824727</v>
      </c>
      <c r="Y47" s="157">
        <f t="shared" si="90"/>
        <v>2.565383227563604E-2</v>
      </c>
      <c r="Z47" s="76">
        <f t="shared" si="90"/>
        <v>5.6634460159506635E-2</v>
      </c>
      <c r="AA47" s="76">
        <f t="shared" si="90"/>
        <v>7.0264980216227638E-2</v>
      </c>
      <c r="AB47" s="77">
        <f t="shared" ref="AB47:AI47" si="91">+AB41/AB44</f>
        <v>3.9559549900232291E-2</v>
      </c>
      <c r="AC47" s="158">
        <f t="shared" si="91"/>
        <v>0.19168351687303145</v>
      </c>
      <c r="AD47" s="157">
        <f t="shared" si="91"/>
        <v>3.7489044434572689E-2</v>
      </c>
      <c r="AE47" s="76">
        <f t="shared" si="91"/>
        <v>5.5685104557299935E-2</v>
      </c>
      <c r="AF47" s="76">
        <f t="shared" si="91"/>
        <v>0.13219120594827843</v>
      </c>
      <c r="AG47" s="77">
        <f t="shared" si="91"/>
        <v>3.1856811082894933E-2</v>
      </c>
      <c r="AH47" s="158">
        <f t="shared" si="91"/>
        <v>0.25758306107510764</v>
      </c>
      <c r="AI47" s="157">
        <f t="shared" si="91"/>
        <v>3.9903979755337611E-2</v>
      </c>
      <c r="AJ47" s="76">
        <f t="shared" ref="AJ47:AO47" si="92">+AJ41/AJ44</f>
        <v>4.4434472143821582E-2</v>
      </c>
      <c r="AK47" s="76">
        <f t="shared" si="92"/>
        <v>0.12158087591728992</v>
      </c>
      <c r="AL47" s="77">
        <f t="shared" si="92"/>
        <v>4.4472793461467729E-2</v>
      </c>
      <c r="AM47" s="158">
        <f t="shared" si="92"/>
        <v>0.25043489554635506</v>
      </c>
      <c r="AN47" s="157">
        <f t="shared" si="92"/>
        <v>4.4236472552293085E-2</v>
      </c>
      <c r="AO47" s="76">
        <f t="shared" si="92"/>
        <v>6.3222045574986799E-2</v>
      </c>
      <c r="AP47" s="76">
        <f t="shared" ref="AP47:AT47" si="93">+AP41/AP44</f>
        <v>0.13412590321960274</v>
      </c>
      <c r="AQ47" s="77">
        <f t="shared" si="93"/>
        <v>5.7078526405467803E-2</v>
      </c>
      <c r="AR47" s="158">
        <f t="shared" si="93"/>
        <v>0.29866035939662189</v>
      </c>
      <c r="AS47" s="157">
        <f t="shared" si="93"/>
        <v>4.9245834103157818E-2</v>
      </c>
      <c r="AT47" s="76">
        <f t="shared" si="93"/>
        <v>6.945505612460344E-2</v>
      </c>
      <c r="AU47" s="76">
        <f>+AU41/AU44</f>
        <v>0.1331017473028541</v>
      </c>
      <c r="AV47" s="77">
        <f t="shared" ref="AV47:AW47" si="94">+AV41/AV44</f>
        <v>6.0933202357563263E-2</v>
      </c>
      <c r="AW47" s="158">
        <f t="shared" si="94"/>
        <v>0.31279567779960654</v>
      </c>
      <c r="AX47" s="157">
        <f t="shared" ref="AX47:BG47" si="95">+AX41/AX44</f>
        <v>8.5603579164999208E-2</v>
      </c>
      <c r="AY47" s="76">
        <f t="shared" si="95"/>
        <v>9.9938902475793193E-2</v>
      </c>
      <c r="AZ47" s="76">
        <f t="shared" si="95"/>
        <v>0.15095487045444397</v>
      </c>
      <c r="BA47" s="77">
        <f t="shared" si="95"/>
        <v>5.1044515941952195E-2</v>
      </c>
      <c r="BB47" s="158">
        <f t="shared" si="95"/>
        <v>0.3875192437242998</v>
      </c>
      <c r="BC47" s="157">
        <f t="shared" si="95"/>
        <v>0.10601008410304283</v>
      </c>
      <c r="BD47" s="76">
        <f t="shared" si="95"/>
        <v>0.11721877263217964</v>
      </c>
      <c r="BE47" s="76">
        <f t="shared" si="95"/>
        <v>0.17087296071728847</v>
      </c>
      <c r="BF47" s="77">
        <f t="shared" si="95"/>
        <v>6.571092114479167E-2</v>
      </c>
      <c r="BG47" s="158">
        <f t="shared" si="95"/>
        <v>0.45978394848238457</v>
      </c>
      <c r="BH47" s="157">
        <f t="shared" ref="BH47:BQ47" si="96">+BH41/BH44</f>
        <v>0.11330331174321671</v>
      </c>
      <c r="BI47" s="76">
        <f t="shared" si="96"/>
        <v>0.12250534880678352</v>
      </c>
      <c r="BJ47" s="76">
        <f t="shared" si="96"/>
        <v>0.18786820753025643</v>
      </c>
      <c r="BK47" s="77">
        <f t="shared" si="96"/>
        <v>7.7213767226901653E-2</v>
      </c>
      <c r="BL47" s="158">
        <f t="shared" si="96"/>
        <v>0.50087232797228309</v>
      </c>
      <c r="BM47" s="157">
        <f t="shared" si="96"/>
        <v>0.12369430291639837</v>
      </c>
      <c r="BN47" s="76">
        <f t="shared" si="96"/>
        <v>0.13697057820193678</v>
      </c>
      <c r="BO47" s="76">
        <f t="shared" si="96"/>
        <v>0.20873172842384227</v>
      </c>
      <c r="BP47" s="77">
        <f t="shared" si="96"/>
        <v>9.3530255368626594E-2</v>
      </c>
      <c r="BQ47" s="158">
        <f t="shared" si="96"/>
        <v>0.56291889982925325</v>
      </c>
      <c r="BR47" s="271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  <c r="CZ47" s="20"/>
    </row>
    <row r="48" spans="1:104" x14ac:dyDescent="0.2">
      <c r="A48" s="20"/>
      <c r="B48" s="20"/>
      <c r="C48" s="45" t="s">
        <v>144</v>
      </c>
      <c r="D48" s="20"/>
      <c r="E48" s="254"/>
      <c r="F48" s="255"/>
      <c r="G48" s="255"/>
      <c r="H48" s="256"/>
      <c r="I48" s="79"/>
      <c r="J48" s="254">
        <f>J47/E47-1</f>
        <v>-0.16834254153413686</v>
      </c>
      <c r="K48" s="255">
        <f>K47/F47-1</f>
        <v>0.43989510391226538</v>
      </c>
      <c r="L48" s="255">
        <f>L47/G47-1</f>
        <v>3.7062848058903253E-2</v>
      </c>
      <c r="M48" s="256">
        <f>M47/H47-1</f>
        <v>0.51815260225734039</v>
      </c>
      <c r="N48" s="272">
        <f>N47/I47-1</f>
        <v>0.13673405254563509</v>
      </c>
      <c r="O48" s="254">
        <f t="shared" ref="O48:AI48" si="97">O47/J47-1</f>
        <v>0.26222596387786301</v>
      </c>
      <c r="P48" s="255">
        <f t="shared" si="97"/>
        <v>-4.0392260374800149E-2</v>
      </c>
      <c r="Q48" s="255">
        <f t="shared" si="97"/>
        <v>0.17874691225454908</v>
      </c>
      <c r="R48" s="256">
        <f t="shared" si="97"/>
        <v>-8.5390404331909142E-2</v>
      </c>
      <c r="S48" s="272">
        <f t="shared" si="97"/>
        <v>9.8885730138456251E-2</v>
      </c>
      <c r="T48" s="254">
        <f t="shared" si="97"/>
        <v>0.10119238557539978</v>
      </c>
      <c r="U48" s="255">
        <f t="shared" si="97"/>
        <v>0.22088512642232883</v>
      </c>
      <c r="V48" s="255">
        <f t="shared" si="97"/>
        <v>0.19238015874769943</v>
      </c>
      <c r="W48" s="256">
        <f t="shared" si="97"/>
        <v>4.6233988642145896E-3</v>
      </c>
      <c r="X48" s="272">
        <f t="shared" si="97"/>
        <v>0.1763505481181451</v>
      </c>
      <c r="Y48" s="254">
        <f t="shared" si="97"/>
        <v>0.10201953180889456</v>
      </c>
      <c r="Z48" s="255">
        <f>Z47/U47-1</f>
        <v>-8.7655002850005492E-2</v>
      </c>
      <c r="AA48" s="255">
        <f>AA47/V47-1</f>
        <v>-0.41061473545274341</v>
      </c>
      <c r="AB48" s="256">
        <f>AB47/W47-1</f>
        <v>1.9916512059368698</v>
      </c>
      <c r="AC48" s="272">
        <f>AC47/X47-1</f>
        <v>-0.11981172258494366</v>
      </c>
      <c r="AD48" s="254">
        <f t="shared" si="97"/>
        <v>0.46134285247420093</v>
      </c>
      <c r="AE48" s="255">
        <f>AE47/Z47-1</f>
        <v>-1.676286133094429E-2</v>
      </c>
      <c r="AF48" s="255">
        <f>AF47/AA47-1</f>
        <v>0.88132417516498474</v>
      </c>
      <c r="AG48" s="256">
        <f>AG47/AB47-1</f>
        <v>-0.1947124989228487</v>
      </c>
      <c r="AH48" s="272">
        <f>AH47/AC47-1</f>
        <v>0.34379348457868275</v>
      </c>
      <c r="AI48" s="254">
        <f t="shared" si="97"/>
        <v>6.441709457224376E-2</v>
      </c>
      <c r="AJ48" s="255">
        <f t="shared" ref="AJ48:AP48" si="98">AJ47/AE47-1</f>
        <v>-0.20204024941537924</v>
      </c>
      <c r="AK48" s="255">
        <f t="shared" si="98"/>
        <v>-8.0265021828607508E-2</v>
      </c>
      <c r="AL48" s="256">
        <f t="shared" si="98"/>
        <v>0.39602150842231576</v>
      </c>
      <c r="AM48" s="272">
        <f t="shared" si="98"/>
        <v>-2.7750914593985154E-2</v>
      </c>
      <c r="AN48" s="254">
        <f t="shared" si="98"/>
        <v>0.1085729499543453</v>
      </c>
      <c r="AO48" s="255">
        <f t="shared" si="98"/>
        <v>0.42281527212375236</v>
      </c>
      <c r="AP48" s="255">
        <f t="shared" si="98"/>
        <v>0.10318257051254554</v>
      </c>
      <c r="AQ48" s="256">
        <f t="shared" ref="AQ48:AU48" si="99">AQ47/AL47-1</f>
        <v>0.28344819299291313</v>
      </c>
      <c r="AR48" s="272">
        <f t="shared" si="99"/>
        <v>0.19256686950537372</v>
      </c>
      <c r="AS48" s="254">
        <f t="shared" si="99"/>
        <v>0.11324052895363734</v>
      </c>
      <c r="AT48" s="255">
        <f t="shared" si="99"/>
        <v>9.8589194527465063E-2</v>
      </c>
      <c r="AU48" s="255">
        <f t="shared" si="99"/>
        <v>-7.6357802047514189E-3</v>
      </c>
      <c r="AV48" s="256">
        <f t="shared" ref="AV48" si="100">AV47/AQ47-1</f>
        <v>6.7532856835039068E-2</v>
      </c>
      <c r="AW48" s="272">
        <f t="shared" ref="AW48" si="101">AW47/AR47-1</f>
        <v>4.7329074509727231E-2</v>
      </c>
      <c r="AX48" s="254">
        <f t="shared" ref="AX48:BG48" si="102">AX47/AS47-1</f>
        <v>0.73829077573710955</v>
      </c>
      <c r="AY48" s="255">
        <f t="shared" si="102"/>
        <v>0.43890031989177669</v>
      </c>
      <c r="AZ48" s="255">
        <f t="shared" si="102"/>
        <v>0.13413139581832567</v>
      </c>
      <c r="BA48" s="256">
        <f t="shared" si="102"/>
        <v>-0.16228732502163734</v>
      </c>
      <c r="BB48" s="272">
        <f t="shared" si="102"/>
        <v>0.23888938124191439</v>
      </c>
      <c r="BC48" s="254">
        <f t="shared" si="102"/>
        <v>0.23838378181256292</v>
      </c>
      <c r="BD48" s="255">
        <f t="shared" si="102"/>
        <v>0.17290434183597236</v>
      </c>
      <c r="BE48" s="255">
        <f t="shared" si="102"/>
        <v>0.13194731778366497</v>
      </c>
      <c r="BF48" s="256">
        <f t="shared" si="102"/>
        <v>0.28732577696530814</v>
      </c>
      <c r="BG48" s="272">
        <f t="shared" si="102"/>
        <v>0.18648029982608416</v>
      </c>
      <c r="BH48" s="254">
        <f t="shared" ref="BH48:BQ48" si="103">BH47/BC47-1</f>
        <v>6.8797489426428493E-2</v>
      </c>
      <c r="BI48" s="255">
        <f t="shared" si="103"/>
        <v>4.5100081291523209E-2</v>
      </c>
      <c r="BJ48" s="255">
        <f t="shared" si="103"/>
        <v>9.9461300030300404E-2</v>
      </c>
      <c r="BK48" s="256">
        <f t="shared" si="103"/>
        <v>0.17505227261635659</v>
      </c>
      <c r="BL48" s="272">
        <f t="shared" si="103"/>
        <v>8.9364536594893185E-2</v>
      </c>
      <c r="BM48" s="254">
        <f t="shared" si="103"/>
        <v>9.1709509751410678E-2</v>
      </c>
      <c r="BN48" s="255">
        <f t="shared" si="103"/>
        <v>0.1180783495255211</v>
      </c>
      <c r="BO48" s="255">
        <f t="shared" si="103"/>
        <v>0.11105402647877893</v>
      </c>
      <c r="BP48" s="256">
        <f t="shared" si="103"/>
        <v>0.21131578898070136</v>
      </c>
      <c r="BQ48" s="272">
        <f t="shared" si="103"/>
        <v>0.12387702093297448</v>
      </c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</row>
    <row r="49" spans="1:104" x14ac:dyDescent="0.2">
      <c r="C49" s="26"/>
      <c r="E49" s="273"/>
      <c r="F49" s="274"/>
      <c r="G49" s="274"/>
      <c r="H49" s="275"/>
      <c r="I49" s="169"/>
      <c r="J49" s="273"/>
      <c r="K49" s="274"/>
      <c r="L49" s="274"/>
      <c r="M49" s="275"/>
      <c r="N49" s="169"/>
      <c r="O49" s="273"/>
      <c r="P49" s="274"/>
      <c r="Q49" s="680"/>
      <c r="R49" s="684"/>
      <c r="S49" s="55"/>
      <c r="T49" s="335"/>
      <c r="U49" s="680"/>
      <c r="V49" s="680"/>
      <c r="W49" s="684"/>
      <c r="X49" s="55"/>
      <c r="Y49" s="335"/>
      <c r="Z49" s="137"/>
      <c r="AA49" s="137"/>
      <c r="AB49" s="275"/>
      <c r="AC49" s="169"/>
      <c r="AD49" s="273"/>
      <c r="AE49" s="274"/>
      <c r="AF49" s="274"/>
      <c r="AG49" s="275"/>
      <c r="AH49" s="169"/>
      <c r="AI49" s="273"/>
      <c r="AJ49" s="274"/>
      <c r="AK49" s="274"/>
      <c r="AL49" s="275"/>
      <c r="AM49" s="169"/>
      <c r="AN49" s="273"/>
      <c r="AO49" s="274"/>
      <c r="AP49" s="274"/>
      <c r="AQ49" s="275"/>
      <c r="AR49" s="169"/>
      <c r="AS49" s="273"/>
      <c r="AT49" s="274"/>
      <c r="AU49" s="274"/>
      <c r="AV49" s="275"/>
      <c r="AW49" s="169"/>
      <c r="AX49" s="273"/>
      <c r="AY49" s="274"/>
      <c r="AZ49" s="274"/>
      <c r="BA49" s="275"/>
      <c r="BB49" s="169"/>
      <c r="BC49" s="273"/>
      <c r="BD49" s="274"/>
      <c r="BE49" s="274"/>
      <c r="BF49" s="275"/>
      <c r="BG49" s="169"/>
      <c r="BH49" s="273"/>
      <c r="BI49" s="274"/>
      <c r="BJ49" s="274"/>
      <c r="BK49" s="275"/>
      <c r="BL49" s="169"/>
      <c r="BM49" s="273"/>
      <c r="BN49" s="274"/>
      <c r="BO49" s="274"/>
      <c r="BP49" s="275"/>
      <c r="BQ49" s="169"/>
    </row>
    <row r="50" spans="1:104" x14ac:dyDescent="0.2">
      <c r="C50" s="26"/>
      <c r="E50" s="273"/>
      <c r="F50" s="274"/>
      <c r="G50" s="274"/>
      <c r="H50" s="275"/>
      <c r="I50" s="169"/>
      <c r="J50" s="273"/>
      <c r="K50" s="274"/>
      <c r="L50" s="274"/>
      <c r="M50" s="275"/>
      <c r="N50" s="169"/>
      <c r="O50" s="273"/>
      <c r="P50" s="274"/>
      <c r="Q50" s="274"/>
      <c r="R50" s="275"/>
      <c r="S50" s="276"/>
      <c r="T50" s="273"/>
      <c r="U50" s="274"/>
      <c r="V50" s="274"/>
      <c r="W50" s="275"/>
      <c r="X50" s="82"/>
      <c r="Y50" s="136"/>
      <c r="Z50" s="137"/>
      <c r="AA50" s="137"/>
      <c r="AB50" s="116"/>
      <c r="AC50" s="82"/>
      <c r="AD50" s="136"/>
      <c r="AE50" s="137"/>
      <c r="AF50" s="137"/>
      <c r="AG50" s="116"/>
      <c r="AH50" s="82"/>
      <c r="AI50" s="136"/>
      <c r="AJ50" s="137"/>
      <c r="AK50" s="137"/>
      <c r="AL50" s="116"/>
      <c r="AM50" s="82"/>
      <c r="AN50" s="136"/>
      <c r="AO50" s="137"/>
      <c r="AP50" s="137"/>
      <c r="AQ50" s="116"/>
      <c r="AR50" s="82"/>
      <c r="AS50" s="136"/>
      <c r="AT50" s="137"/>
      <c r="AU50" s="137"/>
      <c r="AV50" s="116"/>
      <c r="AW50" s="82"/>
      <c r="AX50" s="760"/>
      <c r="AY50" s="998"/>
      <c r="AZ50" s="998"/>
      <c r="BA50" s="999"/>
      <c r="BB50" s="82"/>
      <c r="BC50" s="136"/>
      <c r="BD50" s="137"/>
      <c r="BE50" s="137"/>
      <c r="BF50" s="116"/>
      <c r="BG50" s="82"/>
      <c r="BH50" s="136"/>
      <c r="BI50" s="137"/>
      <c r="BJ50" s="137"/>
      <c r="BK50" s="116"/>
      <c r="BL50" s="82"/>
      <c r="BM50" s="136"/>
      <c r="BN50" s="137"/>
      <c r="BO50" s="137"/>
      <c r="BP50" s="116"/>
      <c r="BQ50" s="82"/>
    </row>
    <row r="51" spans="1:104" x14ac:dyDescent="0.2">
      <c r="B51" s="16" t="s">
        <v>248</v>
      </c>
      <c r="C51" s="16"/>
      <c r="D51" s="17"/>
      <c r="E51" s="273"/>
      <c r="F51" s="274"/>
      <c r="G51" s="274"/>
      <c r="H51" s="275"/>
      <c r="I51" s="169"/>
      <c r="J51" s="273"/>
      <c r="K51" s="274"/>
      <c r="L51" s="274"/>
      <c r="M51" s="275"/>
      <c r="N51" s="169"/>
      <c r="O51" s="273"/>
      <c r="P51" s="274"/>
      <c r="Q51" s="274"/>
      <c r="R51" s="275"/>
      <c r="S51" s="169"/>
      <c r="T51" s="273"/>
      <c r="U51" s="274"/>
      <c r="V51" s="274"/>
      <c r="W51" s="275"/>
      <c r="X51" s="169"/>
      <c r="Y51" s="273"/>
      <c r="Z51" s="274"/>
      <c r="AA51" s="274"/>
      <c r="AB51" s="275"/>
      <c r="AC51" s="169"/>
      <c r="AD51" s="273"/>
      <c r="AE51" s="274"/>
      <c r="AF51" s="274"/>
      <c r="AG51" s="275"/>
      <c r="AH51" s="169"/>
      <c r="AI51" s="273"/>
      <c r="AJ51" s="274"/>
      <c r="AK51" s="274"/>
      <c r="AL51" s="275"/>
      <c r="AM51" s="169"/>
      <c r="AN51" s="273"/>
      <c r="AO51" s="274"/>
      <c r="AP51" s="274"/>
      <c r="AQ51" s="275"/>
      <c r="AR51" s="169"/>
      <c r="AS51" s="273"/>
      <c r="AT51" s="274"/>
      <c r="AU51" s="274"/>
      <c r="AV51" s="275"/>
      <c r="AW51" s="169"/>
      <c r="AX51" s="273"/>
      <c r="AY51" s="274"/>
      <c r="AZ51" s="274"/>
      <c r="BA51" s="275"/>
      <c r="BB51" s="169"/>
      <c r="BC51" s="273"/>
      <c r="BD51" s="274"/>
      <c r="BE51" s="274"/>
      <c r="BF51" s="275"/>
      <c r="BG51" s="169"/>
      <c r="BH51" s="273"/>
      <c r="BI51" s="274"/>
      <c r="BJ51" s="274"/>
      <c r="BK51" s="275"/>
      <c r="BL51" s="169"/>
      <c r="BM51" s="273"/>
      <c r="BN51" s="274"/>
      <c r="BO51" s="274"/>
      <c r="BP51" s="275"/>
      <c r="BQ51" s="169"/>
    </row>
    <row r="52" spans="1:104" x14ac:dyDescent="0.2">
      <c r="C52" s="277" t="s">
        <v>427</v>
      </c>
      <c r="D52" s="278"/>
      <c r="E52" s="279"/>
      <c r="F52" s="280"/>
      <c r="G52" s="280"/>
      <c r="H52" s="281"/>
      <c r="I52" s="282"/>
      <c r="J52" s="283">
        <f t="shared" ref="J52:U52" si="104">+J89</f>
        <v>-5.1957143818076701E-2</v>
      </c>
      <c r="K52" s="284">
        <f t="shared" si="104"/>
        <v>4.399549665403768E-2</v>
      </c>
      <c r="L52" s="284">
        <f t="shared" si="104"/>
        <v>5.1834680396378952E-2</v>
      </c>
      <c r="M52" s="285">
        <f t="shared" si="104"/>
        <v>-2.0577404641471508E-2</v>
      </c>
      <c r="N52" s="286">
        <f t="shared" si="104"/>
        <v>6.0682240836351653E-3</v>
      </c>
      <c r="O52" s="283">
        <f t="shared" si="104"/>
        <v>-3.5587763566825248E-2</v>
      </c>
      <c r="P52" s="284">
        <f t="shared" si="104"/>
        <v>4.1898400828255244E-3</v>
      </c>
      <c r="Q52" s="284">
        <f t="shared" si="104"/>
        <v>2.9791802173208426E-2</v>
      </c>
      <c r="R52" s="285">
        <f t="shared" si="104"/>
        <v>1.0762578922709043E-2</v>
      </c>
      <c r="S52" s="286">
        <f t="shared" si="104"/>
        <v>3.4221545964585598E-3</v>
      </c>
      <c r="T52" s="283">
        <f>+T89</f>
        <v>1.6460940060819551E-2</v>
      </c>
      <c r="U52" s="284">
        <f t="shared" si="104"/>
        <v>8.363538160065298E-3</v>
      </c>
      <c r="V52" s="284">
        <f t="shared" ref="V52:AA52" si="105">+V89</f>
        <v>-3.0513176923395169E-2</v>
      </c>
      <c r="W52" s="285">
        <f t="shared" si="105"/>
        <v>-1.1772983577043039E-2</v>
      </c>
      <c r="X52" s="286">
        <f t="shared" si="105"/>
        <v>-5.7406513224957934E-3</v>
      </c>
      <c r="Y52" s="283">
        <f t="shared" si="105"/>
        <v>9.4207430147161819E-3</v>
      </c>
      <c r="Z52" s="284">
        <f t="shared" si="105"/>
        <v>8.4910193520493227E-3</v>
      </c>
      <c r="AA52" s="284">
        <f t="shared" si="105"/>
        <v>2.0956731785122251E-3</v>
      </c>
      <c r="AB52" s="285">
        <f t="shared" ref="AB52:AI52" si="106">+AB89</f>
        <v>3.2924430790921777E-2</v>
      </c>
      <c r="AC52" s="286">
        <f t="shared" si="106"/>
        <v>1.2734729117202637E-2</v>
      </c>
      <c r="AD52" s="283">
        <f t="shared" si="106"/>
        <v>5.4018924595054418E-2</v>
      </c>
      <c r="AE52" s="284">
        <f t="shared" si="106"/>
        <v>1.9035026385408882E-2</v>
      </c>
      <c r="AF52" s="284">
        <f t="shared" si="106"/>
        <v>-1.3561585325424175E-2</v>
      </c>
      <c r="AG52" s="285">
        <f t="shared" si="106"/>
        <v>1.8742410434896994E-2</v>
      </c>
      <c r="AH52" s="286">
        <f t="shared" si="106"/>
        <v>1.8115942028985588E-2</v>
      </c>
      <c r="AI52" s="283">
        <f t="shared" si="106"/>
        <v>7.6982455851484222E-3</v>
      </c>
      <c r="AJ52" s="284">
        <f t="shared" ref="AJ52:AP52" si="107">+AJ89</f>
        <v>-3.5739967523711558E-2</v>
      </c>
      <c r="AK52" s="284">
        <f t="shared" si="107"/>
        <v>2.1104086424230228E-2</v>
      </c>
      <c r="AL52" s="285">
        <f t="shared" si="107"/>
        <v>9.6337768052179307E-3</v>
      </c>
      <c r="AM52" s="286">
        <f t="shared" si="107"/>
        <v>9.9434791710284465E-4</v>
      </c>
      <c r="AN52" s="283">
        <f t="shared" si="107"/>
        <v>-1.0977240575671954E-2</v>
      </c>
      <c r="AO52" s="284">
        <f t="shared" si="107"/>
        <v>6.6006513921750276E-3</v>
      </c>
      <c r="AP52" s="284">
        <f t="shared" si="107"/>
        <v>3.247617460266139E-2</v>
      </c>
      <c r="AQ52" s="285">
        <f>+AQ89</f>
        <v>-3.5856136512499859E-3</v>
      </c>
      <c r="AR52" s="286">
        <f>+AR89</f>
        <v>6.9012390861087347E-3</v>
      </c>
      <c r="AS52" s="283">
        <f t="shared" ref="AS52:AU52" si="108">+AS89</f>
        <v>-1.5904953738988037E-2</v>
      </c>
      <c r="AT52" s="284">
        <f t="shared" si="108"/>
        <v>3.1077113809224732E-2</v>
      </c>
      <c r="AU52" s="284">
        <f t="shared" si="108"/>
        <v>-2.47144589259366E-2</v>
      </c>
      <c r="AV52" s="285">
        <f>+AV89</f>
        <v>2.3500594896169957E-2</v>
      </c>
      <c r="AW52" s="286">
        <f>+AW89</f>
        <v>2.388493691261262E-3</v>
      </c>
      <c r="AX52" s="283">
        <f>+$BB$52-'NSP-MN'!AS113</f>
        <v>1.6500000000000001E-2</v>
      </c>
      <c r="AY52" s="284">
        <f>+$BB$52-'NSP-MN'!AT113</f>
        <v>-5.2999999999999992E-3</v>
      </c>
      <c r="AZ52" s="284">
        <f>+$BB$52-'NSP-MN'!AU113</f>
        <v>7.4999999999999997E-3</v>
      </c>
      <c r="BA52" s="285">
        <f>+$BB$52-'NSP-MN'!AV113</f>
        <v>4.5000000000000005E-3</v>
      </c>
      <c r="BB52" s="287">
        <v>2.5000000000000001E-3</v>
      </c>
      <c r="BC52" s="283">
        <f>+BD52</f>
        <v>2.5000000000000001E-3</v>
      </c>
      <c r="BD52" s="284">
        <f>+BE52</f>
        <v>2.5000000000000001E-3</v>
      </c>
      <c r="BE52" s="284">
        <f>+BF52</f>
        <v>2.5000000000000001E-3</v>
      </c>
      <c r="BF52" s="285">
        <f>+BG52</f>
        <v>2.5000000000000001E-3</v>
      </c>
      <c r="BG52" s="287">
        <v>2.5000000000000001E-3</v>
      </c>
      <c r="BH52" s="283">
        <f>+BI52</f>
        <v>2.5000000000000001E-3</v>
      </c>
      <c r="BI52" s="284">
        <f>+BJ52</f>
        <v>2.5000000000000001E-3</v>
      </c>
      <c r="BJ52" s="284">
        <f>+BK52</f>
        <v>2.5000000000000001E-3</v>
      </c>
      <c r="BK52" s="285">
        <f>+BL52</f>
        <v>2.5000000000000001E-3</v>
      </c>
      <c r="BL52" s="287">
        <v>2.5000000000000001E-3</v>
      </c>
      <c r="BM52" s="283">
        <f>+BN52</f>
        <v>2.5000000000000001E-3</v>
      </c>
      <c r="BN52" s="284">
        <f>+BO52</f>
        <v>2.5000000000000001E-3</v>
      </c>
      <c r="BO52" s="284">
        <f>+BP52</f>
        <v>2.5000000000000001E-3</v>
      </c>
      <c r="BP52" s="285">
        <f>+BQ52</f>
        <v>2.5000000000000001E-3</v>
      </c>
      <c r="BQ52" s="287">
        <v>2.5000000000000001E-3</v>
      </c>
      <c r="BR52" s="288"/>
    </row>
    <row r="53" spans="1:104" x14ac:dyDescent="0.2">
      <c r="C53" s="271"/>
      <c r="E53" s="273"/>
      <c r="F53" s="274"/>
      <c r="G53" s="274"/>
      <c r="H53" s="275"/>
      <c r="I53" s="169"/>
      <c r="J53" s="207"/>
      <c r="K53" s="208"/>
      <c r="L53" s="208"/>
      <c r="M53" s="209"/>
      <c r="N53" s="88"/>
      <c r="O53" s="207"/>
      <c r="P53" s="208"/>
      <c r="Q53" s="208"/>
      <c r="R53" s="209"/>
      <c r="S53" s="36"/>
      <c r="T53" s="207"/>
      <c r="U53" s="208"/>
      <c r="V53" s="208"/>
      <c r="W53" s="209"/>
      <c r="X53" s="36"/>
      <c r="Y53" s="207"/>
      <c r="Z53" s="208"/>
      <c r="AA53" s="208"/>
      <c r="AB53" s="209"/>
      <c r="AC53" s="36"/>
      <c r="AD53" s="207"/>
      <c r="AE53" s="208"/>
      <c r="AF53" s="208"/>
      <c r="AG53" s="209"/>
      <c r="AH53" s="36"/>
      <c r="AI53" s="207"/>
      <c r="AJ53" s="208"/>
      <c r="AK53" s="208"/>
      <c r="AL53" s="209"/>
      <c r="AM53" s="36"/>
      <c r="AN53" s="207"/>
      <c r="AO53" s="208"/>
      <c r="AP53" s="208"/>
      <c r="AQ53" s="209"/>
      <c r="AR53" s="36"/>
      <c r="AS53" s="207"/>
      <c r="AT53" s="208"/>
      <c r="AU53" s="208"/>
      <c r="AV53" s="209"/>
      <c r="AW53" s="36"/>
      <c r="AX53" s="207"/>
      <c r="AY53" s="208"/>
      <c r="AZ53" s="208"/>
      <c r="BA53" s="209"/>
      <c r="BB53" s="36"/>
      <c r="BC53" s="207"/>
      <c r="BD53" s="208"/>
      <c r="BE53" s="208"/>
      <c r="BF53" s="209"/>
      <c r="BG53" s="36"/>
      <c r="BH53" s="207"/>
      <c r="BI53" s="208"/>
      <c r="BJ53" s="208"/>
      <c r="BK53" s="209"/>
      <c r="BL53" s="946"/>
      <c r="BM53" s="207"/>
      <c r="BN53" s="208"/>
      <c r="BO53" s="208"/>
      <c r="BP53" s="209"/>
      <c r="BQ53" s="946"/>
      <c r="BR53" s="288"/>
    </row>
    <row r="54" spans="1:104" x14ac:dyDescent="0.2">
      <c r="A54" s="289"/>
      <c r="B54" s="289"/>
      <c r="C54" s="290" t="s">
        <v>249</v>
      </c>
      <c r="D54" s="289"/>
      <c r="E54" s="291"/>
      <c r="F54" s="292"/>
      <c r="G54" s="292"/>
      <c r="H54" s="293"/>
      <c r="I54" s="289"/>
      <c r="J54" s="291"/>
      <c r="K54" s="292"/>
      <c r="L54" s="292"/>
      <c r="M54" s="293"/>
      <c r="N54" s="289"/>
      <c r="O54" s="291"/>
      <c r="P54" s="292"/>
      <c r="Q54" s="292"/>
      <c r="R54" s="293"/>
      <c r="S54" s="289"/>
      <c r="T54" s="291"/>
      <c r="U54" s="292"/>
      <c r="V54" s="292"/>
      <c r="W54" s="293"/>
      <c r="X54" s="289"/>
      <c r="Y54" s="291"/>
      <c r="Z54" s="292"/>
      <c r="AA54" s="292"/>
      <c r="AB54" s="293"/>
      <c r="AC54" s="289"/>
      <c r="AD54" s="291"/>
      <c r="AE54" s="292"/>
      <c r="AF54" s="292"/>
      <c r="AG54" s="293"/>
      <c r="AH54" s="289"/>
      <c r="AI54" s="291"/>
      <c r="AJ54" s="292"/>
      <c r="AK54" s="292"/>
      <c r="AL54" s="293"/>
      <c r="AM54" s="289"/>
      <c r="AN54" s="291"/>
      <c r="AO54" s="292"/>
      <c r="AP54" s="292"/>
      <c r="AQ54" s="293"/>
      <c r="AR54" s="289"/>
      <c r="AS54" s="291"/>
      <c r="AT54" s="292"/>
      <c r="AU54" s="292"/>
      <c r="AV54" s="293"/>
      <c r="AW54" s="289"/>
      <c r="AX54" s="294">
        <f>BB54*0.23-AW54*164/(365+164)+41.4/2*0.23</f>
        <v>16.260999999999999</v>
      </c>
      <c r="AY54" s="295">
        <f>BB54*0.24+41.4/2*0.24</f>
        <v>16.968</v>
      </c>
      <c r="AZ54" s="295">
        <f>BB54*0.3</f>
        <v>15</v>
      </c>
      <c r="BA54" s="296">
        <f>BB54*0.23</f>
        <v>11.5</v>
      </c>
      <c r="BB54" s="297">
        <f>(43+55)+BB55</f>
        <v>50</v>
      </c>
      <c r="BC54" s="294">
        <f>BG54*0.23</f>
        <v>14.950000000000001</v>
      </c>
      <c r="BD54" s="295">
        <f>BG54*0.24</f>
        <v>15.6</v>
      </c>
      <c r="BE54" s="295">
        <f>BG54*0.3</f>
        <v>19.5</v>
      </c>
      <c r="BF54" s="296">
        <f>BG54*0.23</f>
        <v>14.950000000000001</v>
      </c>
      <c r="BG54" s="297">
        <v>65</v>
      </c>
      <c r="BH54" s="294">
        <f>BL54*0.23</f>
        <v>19.55</v>
      </c>
      <c r="BI54" s="295">
        <f>BL54*0.24</f>
        <v>20.399999999999999</v>
      </c>
      <c r="BJ54" s="295">
        <f>BL54*0.3</f>
        <v>25.5</v>
      </c>
      <c r="BK54" s="296">
        <f>BL54*0.23</f>
        <v>19.55</v>
      </c>
      <c r="BL54" s="297">
        <v>85</v>
      </c>
      <c r="BM54" s="294">
        <f>BQ54*0.23</f>
        <v>13.8</v>
      </c>
      <c r="BN54" s="295">
        <f>BQ54*0.24</f>
        <v>14.399999999999999</v>
      </c>
      <c r="BO54" s="295">
        <f>BQ54*0.3</f>
        <v>18</v>
      </c>
      <c r="BP54" s="296">
        <f>BQ54*0.23</f>
        <v>13.8</v>
      </c>
      <c r="BQ54" s="297">
        <v>60</v>
      </c>
      <c r="BR54" s="298"/>
      <c r="BV54" s="289"/>
      <c r="BW54" s="289"/>
      <c r="BX54" s="289"/>
      <c r="BY54" s="289"/>
      <c r="BZ54" s="289"/>
      <c r="CA54" s="289"/>
      <c r="CB54" s="289"/>
      <c r="CC54" s="289"/>
      <c r="CD54" s="289"/>
      <c r="CE54" s="289"/>
      <c r="CF54" s="289"/>
      <c r="CG54" s="289"/>
      <c r="CH54" s="289"/>
      <c r="CI54" s="289"/>
      <c r="CJ54" s="289"/>
      <c r="CK54" s="289"/>
      <c r="CL54" s="289"/>
      <c r="CM54" s="289"/>
      <c r="CN54" s="289"/>
      <c r="CO54" s="289"/>
      <c r="CP54" s="289"/>
      <c r="CQ54" s="289"/>
      <c r="CR54" s="289"/>
      <c r="CS54" s="289"/>
      <c r="CT54" s="289"/>
      <c r="CU54" s="289"/>
      <c r="CV54" s="289"/>
      <c r="CW54" s="289"/>
      <c r="CX54" s="289"/>
      <c r="CY54" s="289"/>
      <c r="CZ54" s="289"/>
    </row>
    <row r="55" spans="1:104" x14ac:dyDescent="0.2">
      <c r="A55" s="289"/>
      <c r="B55" s="289"/>
      <c r="C55" s="1000" t="s">
        <v>675</v>
      </c>
      <c r="D55" s="289"/>
      <c r="E55" s="291"/>
      <c r="F55" s="292"/>
      <c r="G55" s="292"/>
      <c r="H55" s="293"/>
      <c r="I55" s="289"/>
      <c r="J55" s="291"/>
      <c r="K55" s="292"/>
      <c r="L55" s="292"/>
      <c r="M55" s="293"/>
      <c r="N55" s="289"/>
      <c r="O55" s="291"/>
      <c r="P55" s="292"/>
      <c r="Q55" s="292"/>
      <c r="R55" s="293"/>
      <c r="S55" s="289"/>
      <c r="T55" s="291"/>
      <c r="U55" s="292"/>
      <c r="V55" s="292"/>
      <c r="W55" s="293"/>
      <c r="X55" s="289"/>
      <c r="Y55" s="291"/>
      <c r="Z55" s="292"/>
      <c r="AA55" s="292"/>
      <c r="AB55" s="293"/>
      <c r="AC55" s="289"/>
      <c r="AD55" s="291"/>
      <c r="AE55" s="292"/>
      <c r="AF55" s="292"/>
      <c r="AG55" s="293"/>
      <c r="AH55" s="289"/>
      <c r="AI55" s="291"/>
      <c r="AJ55" s="292"/>
      <c r="AK55" s="292"/>
      <c r="AL55" s="293"/>
      <c r="AM55" s="289"/>
      <c r="AN55" s="291"/>
      <c r="AO55" s="292"/>
      <c r="AP55" s="292"/>
      <c r="AQ55" s="293"/>
      <c r="AR55" s="289"/>
      <c r="AS55" s="291"/>
      <c r="AT55" s="292"/>
      <c r="AU55" s="292"/>
      <c r="AV55" s="293"/>
      <c r="AW55" s="289"/>
      <c r="AX55" s="294">
        <f>BB55*0.21</f>
        <v>-10.08</v>
      </c>
      <c r="AY55" s="295">
        <f>BB55*0.26</f>
        <v>-12.48</v>
      </c>
      <c r="AZ55" s="295">
        <f>BB55*0.42</f>
        <v>-20.16</v>
      </c>
      <c r="BA55" s="296">
        <f>BB55*0.1</f>
        <v>-4.8000000000000007</v>
      </c>
      <c r="BB55" s="297">
        <v>-48</v>
      </c>
      <c r="BC55" s="294">
        <f>BG55*0.23</f>
        <v>0</v>
      </c>
      <c r="BD55" s="295">
        <f>BG55*0.24</f>
        <v>0</v>
      </c>
      <c r="BE55" s="295">
        <f>BG55*0.3</f>
        <v>0</v>
      </c>
      <c r="BF55" s="296">
        <f>BG55*0.23</f>
        <v>0</v>
      </c>
      <c r="BG55" s="297">
        <v>0</v>
      </c>
      <c r="BH55" s="294">
        <f>BL55*0.23</f>
        <v>0</v>
      </c>
      <c r="BI55" s="295">
        <f>BL55*0.24</f>
        <v>0</v>
      </c>
      <c r="BJ55" s="295">
        <f>BL55*0.3</f>
        <v>0</v>
      </c>
      <c r="BK55" s="296">
        <f>BL55*0.23</f>
        <v>0</v>
      </c>
      <c r="BL55" s="297">
        <v>0</v>
      </c>
      <c r="BM55" s="294">
        <f>BQ55*0.23</f>
        <v>0</v>
      </c>
      <c r="BN55" s="295">
        <f>BQ55*0.24</f>
        <v>0</v>
      </c>
      <c r="BO55" s="295">
        <f>BQ55*0.3</f>
        <v>0</v>
      </c>
      <c r="BP55" s="296">
        <f>BQ55*0.23</f>
        <v>0</v>
      </c>
      <c r="BQ55" s="297">
        <v>0</v>
      </c>
      <c r="BR55" s="298"/>
      <c r="BV55" s="289"/>
      <c r="BW55" s="289"/>
      <c r="BX55" s="289"/>
      <c r="BY55" s="289"/>
      <c r="BZ55" s="289"/>
      <c r="CA55" s="289"/>
      <c r="CB55" s="289"/>
      <c r="CC55" s="289"/>
      <c r="CD55" s="289"/>
      <c r="CE55" s="289"/>
      <c r="CF55" s="289"/>
      <c r="CG55" s="289"/>
      <c r="CH55" s="289"/>
      <c r="CI55" s="289"/>
      <c r="CJ55" s="289"/>
      <c r="CK55" s="289"/>
      <c r="CL55" s="289"/>
      <c r="CM55" s="289"/>
      <c r="CN55" s="289"/>
      <c r="CO55" s="289"/>
      <c r="CP55" s="289"/>
      <c r="CQ55" s="289"/>
      <c r="CR55" s="289"/>
      <c r="CS55" s="289"/>
      <c r="CT55" s="289"/>
      <c r="CU55" s="289"/>
      <c r="CV55" s="289"/>
      <c r="CW55" s="289"/>
      <c r="CX55" s="289"/>
      <c r="CY55" s="289"/>
      <c r="CZ55" s="289"/>
    </row>
    <row r="56" spans="1:104" x14ac:dyDescent="0.2">
      <c r="A56" s="289"/>
      <c r="B56" s="289"/>
      <c r="C56" s="290" t="s">
        <v>426</v>
      </c>
      <c r="D56" s="289"/>
      <c r="E56" s="291"/>
      <c r="F56" s="292"/>
      <c r="G56" s="292"/>
      <c r="H56" s="293"/>
      <c r="I56" s="289"/>
      <c r="J56" s="291"/>
      <c r="K56" s="292"/>
      <c r="L56" s="292"/>
      <c r="M56" s="293"/>
      <c r="N56" s="289"/>
      <c r="O56" s="291"/>
      <c r="P56" s="292"/>
      <c r="Q56" s="292"/>
      <c r="R56" s="293"/>
      <c r="S56" s="289"/>
      <c r="T56" s="291"/>
      <c r="U56" s="292"/>
      <c r="V56" s="292"/>
      <c r="W56" s="293"/>
      <c r="X56" s="289"/>
      <c r="Y56" s="291"/>
      <c r="Z56" s="292"/>
      <c r="AA56" s="292"/>
      <c r="AB56" s="293"/>
      <c r="AC56" s="289"/>
      <c r="AD56" s="291"/>
      <c r="AE56" s="292"/>
      <c r="AF56" s="292"/>
      <c r="AG56" s="293"/>
      <c r="AH56" s="289"/>
      <c r="AI56" s="291"/>
      <c r="AJ56" s="292"/>
      <c r="AK56" s="292"/>
      <c r="AL56" s="293"/>
      <c r="AM56" s="289"/>
      <c r="AN56" s="291"/>
      <c r="AO56" s="292"/>
      <c r="AP56" s="292"/>
      <c r="AQ56" s="293"/>
      <c r="AR56" s="289"/>
      <c r="AS56" s="291"/>
      <c r="AT56" s="292"/>
      <c r="AU56" s="292"/>
      <c r="AV56" s="293"/>
      <c r="AW56" s="289"/>
      <c r="AX56" s="294">
        <f>BB56*0.24</f>
        <v>6.6962733916495853</v>
      </c>
      <c r="AY56" s="295">
        <f>BB56*0.24</f>
        <v>6.6962733916495853</v>
      </c>
      <c r="AZ56" s="295">
        <f>BB56*0.28</f>
        <v>7.8123189569245168</v>
      </c>
      <c r="BA56" s="296">
        <f>BB56*0.24</f>
        <v>6.6962733916495853</v>
      </c>
      <c r="BB56" s="346">
        <f>(BB128)*(1-BB233)*(5.4%*(1-BB62))+(BB128)*BB233*(BB237/(1-BB62))+(1/40)</f>
        <v>27.901139131873272</v>
      </c>
      <c r="BC56" s="294">
        <f>BG56*0.24</f>
        <v>5.2327760872262372</v>
      </c>
      <c r="BD56" s="295">
        <f>BG56*0.24</f>
        <v>5.2327760872262372</v>
      </c>
      <c r="BE56" s="295">
        <f>BG56*0.28</f>
        <v>6.1049054350972778</v>
      </c>
      <c r="BF56" s="296">
        <f>BG56*0.24</f>
        <v>5.2327760872262372</v>
      </c>
      <c r="BG56" s="346">
        <f>(BG128)*(1-BG233)*(5.4%*(1-BG62))+(BG128)*BG233*(BG237/(1-BG62))+(1/40)</f>
        <v>21.80323369677599</v>
      </c>
      <c r="BH56" s="294">
        <f>BL56*0.24</f>
        <v>3.1420656523357433</v>
      </c>
      <c r="BI56" s="295">
        <f>BL56*0.24</f>
        <v>3.1420656523357433</v>
      </c>
      <c r="BJ56" s="295">
        <f>BL56*0.28</f>
        <v>3.6657432610583673</v>
      </c>
      <c r="BK56" s="296">
        <f>BL56*0.24</f>
        <v>3.1420656523357433</v>
      </c>
      <c r="BL56" s="945">
        <f>(BL128)*(1-BL233)*(5.4%*(1-BL62))+(BL128)*BL233*(BL237/(1-BL62))+(1/40)</f>
        <v>13.091940218065597</v>
      </c>
      <c r="BM56" s="294">
        <f>BQ56*0.24</f>
        <v>5.2327760872262372</v>
      </c>
      <c r="BN56" s="295">
        <f>BQ56*0.24</f>
        <v>5.2327760872262372</v>
      </c>
      <c r="BO56" s="295">
        <f>BQ56*0.28</f>
        <v>6.1049054350972778</v>
      </c>
      <c r="BP56" s="296">
        <f>BQ56*0.24</f>
        <v>5.2327760872262372</v>
      </c>
      <c r="BQ56" s="945">
        <f>(BQ128)*(1-BQ233)*(5.4%*(1-BQ62))+(BQ128)*BQ233*(BQ237/(1-BQ62))+(1/40)</f>
        <v>21.80323369677599</v>
      </c>
      <c r="BR56" s="298"/>
      <c r="BV56" s="289"/>
      <c r="BW56" s="289"/>
      <c r="BX56" s="289"/>
      <c r="BY56" s="289"/>
      <c r="BZ56" s="289"/>
      <c r="CA56" s="289"/>
      <c r="CB56" s="289"/>
      <c r="CC56" s="289"/>
      <c r="CD56" s="289"/>
      <c r="CE56" s="289"/>
      <c r="CF56" s="289"/>
      <c r="CG56" s="289"/>
      <c r="CH56" s="289"/>
      <c r="CI56" s="289"/>
      <c r="CJ56" s="289"/>
      <c r="CK56" s="289"/>
      <c r="CL56" s="289"/>
      <c r="CM56" s="289"/>
      <c r="CN56" s="289"/>
      <c r="CO56" s="289"/>
      <c r="CP56" s="289"/>
      <c r="CQ56" s="289"/>
      <c r="CR56" s="289"/>
      <c r="CS56" s="289"/>
      <c r="CT56" s="289"/>
      <c r="CU56" s="289"/>
      <c r="CV56" s="289"/>
      <c r="CW56" s="289"/>
      <c r="CX56" s="289"/>
      <c r="CY56" s="289"/>
      <c r="CZ56" s="289"/>
    </row>
    <row r="57" spans="1:104" x14ac:dyDescent="0.2">
      <c r="C57" s="299"/>
      <c r="E57" s="273"/>
      <c r="F57" s="274"/>
      <c r="G57" s="274"/>
      <c r="H57" s="275"/>
      <c r="I57" s="169"/>
      <c r="J57" s="273"/>
      <c r="K57" s="274"/>
      <c r="L57" s="274"/>
      <c r="M57" s="275"/>
      <c r="N57" s="169"/>
      <c r="O57" s="273"/>
      <c r="P57" s="274"/>
      <c r="Q57" s="274"/>
      <c r="R57" s="275"/>
      <c r="S57" s="169"/>
      <c r="T57" s="273"/>
      <c r="U57" s="274"/>
      <c r="V57" s="274"/>
      <c r="W57" s="275"/>
      <c r="X57" s="169"/>
      <c r="Y57" s="273"/>
      <c r="Z57" s="274"/>
      <c r="AA57" s="274"/>
      <c r="AB57" s="275"/>
      <c r="AC57" s="169"/>
      <c r="AD57" s="273"/>
      <c r="AE57" s="274"/>
      <c r="AF57" s="274"/>
      <c r="AG57" s="275"/>
      <c r="AH57" s="169"/>
      <c r="AI57" s="273"/>
      <c r="AJ57" s="274"/>
      <c r="AK57" s="274"/>
      <c r="AL57" s="275"/>
      <c r="AM57" s="169"/>
      <c r="AN57" s="273"/>
      <c r="AO57" s="274"/>
      <c r="AP57" s="274"/>
      <c r="AQ57" s="275"/>
      <c r="AR57" s="169"/>
      <c r="AS57" s="273"/>
      <c r="AT57" s="274"/>
      <c r="AU57" s="274"/>
      <c r="AV57" s="275"/>
      <c r="AW57" s="169"/>
      <c r="AX57" s="273"/>
      <c r="AY57" s="274"/>
      <c r="AZ57" s="274"/>
      <c r="BA57" s="275"/>
      <c r="BB57" s="169"/>
      <c r="BC57" s="273"/>
      <c r="BD57" s="274"/>
      <c r="BE57" s="274"/>
      <c r="BF57" s="275"/>
      <c r="BG57" s="169"/>
      <c r="BH57" s="273"/>
      <c r="BI57" s="274"/>
      <c r="BJ57" s="274"/>
      <c r="BK57" s="275"/>
      <c r="BL57" s="169"/>
      <c r="BM57" s="273"/>
      <c r="BN57" s="274"/>
      <c r="BO57" s="274"/>
      <c r="BP57" s="275"/>
      <c r="BQ57" s="169"/>
      <c r="BR57" s="288"/>
      <c r="BT57" s="915"/>
    </row>
    <row r="58" spans="1:104" x14ac:dyDescent="0.2">
      <c r="C58" s="300" t="s">
        <v>251</v>
      </c>
      <c r="E58" s="273"/>
      <c r="F58" s="274"/>
      <c r="G58" s="274"/>
      <c r="H58" s="275"/>
      <c r="I58" s="88"/>
      <c r="J58" s="207">
        <f t="shared" ref="J58:P58" si="109">+J105</f>
        <v>4.0955318133421459E-2</v>
      </c>
      <c r="K58" s="208">
        <f t="shared" si="109"/>
        <v>0.1543109200088959</v>
      </c>
      <c r="L58" s="208">
        <f t="shared" si="109"/>
        <v>0.1724523863722589</v>
      </c>
      <c r="M58" s="209">
        <f t="shared" si="109"/>
        <v>0.12789295448913873</v>
      </c>
      <c r="N58" s="88">
        <f t="shared" si="109"/>
        <v>0.1235559204442418</v>
      </c>
      <c r="O58" s="207">
        <f t="shared" si="109"/>
        <v>0.10665726126443875</v>
      </c>
      <c r="P58" s="208">
        <f t="shared" si="109"/>
        <v>7.2252015028420047E-3</v>
      </c>
      <c r="Q58" s="208">
        <f t="shared" ref="Q58:Y58" si="110">+Q105</f>
        <v>-2.5239859562832256E-3</v>
      </c>
      <c r="R58" s="209">
        <f t="shared" si="110"/>
        <v>-5.1657219854416736E-2</v>
      </c>
      <c r="S58" s="88">
        <f t="shared" si="110"/>
        <v>1.1301998225405674E-2</v>
      </c>
      <c r="T58" s="207">
        <f t="shared" si="110"/>
        <v>6.1670358389240842E-3</v>
      </c>
      <c r="U58" s="208">
        <f t="shared" si="110"/>
        <v>-9.3572658292417898E-3</v>
      </c>
      <c r="V58" s="208">
        <f t="shared" si="110"/>
        <v>-1.5814828632139011E-2</v>
      </c>
      <c r="W58" s="209">
        <f t="shared" si="110"/>
        <v>1.7637065637065463E-2</v>
      </c>
      <c r="X58" s="88">
        <f t="shared" si="110"/>
        <v>-1.310116481264556E-4</v>
      </c>
      <c r="Y58" s="207">
        <f t="shared" si="110"/>
        <v>2.2648083623693305E-2</v>
      </c>
      <c r="Z58" s="208">
        <f t="shared" ref="Z58:AF58" si="111">+Z105</f>
        <v>8.5380963874808646E-2</v>
      </c>
      <c r="AA58" s="208">
        <f t="shared" si="111"/>
        <v>9.2491265080097529E-2</v>
      </c>
      <c r="AB58" s="209">
        <f t="shared" si="111"/>
        <v>-0.15663509986037716</v>
      </c>
      <c r="AC58" s="88">
        <f t="shared" si="111"/>
        <v>8.0483456619535598E-3</v>
      </c>
      <c r="AD58" s="207">
        <f t="shared" si="111"/>
        <v>7.4771565742604906E-2</v>
      </c>
      <c r="AE58" s="208">
        <f t="shared" si="111"/>
        <v>2.2416272553409167E-2</v>
      </c>
      <c r="AF58" s="208">
        <f t="shared" si="111"/>
        <v>8.2216992517498699E-3</v>
      </c>
      <c r="AG58" s="209">
        <f t="shared" ref="AG58:AM58" si="112">+AG105</f>
        <v>0.29605369707221318</v>
      </c>
      <c r="AH58" s="88">
        <f t="shared" si="112"/>
        <v>9.1921380179612378E-2</v>
      </c>
      <c r="AI58" s="207">
        <f t="shared" si="112"/>
        <v>6.4828957606847704E-2</v>
      </c>
      <c r="AJ58" s="208">
        <f t="shared" si="112"/>
        <v>7.0530574365964327E-2</v>
      </c>
      <c r="AK58" s="208">
        <f t="shared" si="112"/>
        <v>7.785076234794186E-2</v>
      </c>
      <c r="AL58" s="209">
        <f t="shared" si="112"/>
        <v>-2.6755342043513819E-2</v>
      </c>
      <c r="AM58" s="88">
        <f t="shared" si="112"/>
        <v>4.5592442021954005E-2</v>
      </c>
      <c r="AN58" s="207">
        <f t="shared" ref="AN58:AR58" si="113">+AN105</f>
        <v>-0.13226517991258102</v>
      </c>
      <c r="AO58" s="208">
        <f t="shared" si="113"/>
        <v>-9.8053557641513356E-2</v>
      </c>
      <c r="AP58" s="208">
        <f t="shared" si="113"/>
        <v>-4.6782164473319066E-3</v>
      </c>
      <c r="AQ58" s="209">
        <f t="shared" si="113"/>
        <v>-4.3297763067793094E-2</v>
      </c>
      <c r="AR58" s="88">
        <f t="shared" si="113"/>
        <v>-7.0328024950320089E-2</v>
      </c>
      <c r="AS58" s="207">
        <f t="shared" ref="AS58:AW58" si="114">+AS105</f>
        <v>0.19908613134132813</v>
      </c>
      <c r="AT58" s="208">
        <f t="shared" si="114"/>
        <v>5.3793476302036458E-2</v>
      </c>
      <c r="AU58" s="208">
        <f t="shared" si="114"/>
        <v>-7.5454329906972206E-2</v>
      </c>
      <c r="AV58" s="209">
        <f t="shared" si="114"/>
        <v>0.13638329282295247</v>
      </c>
      <c r="AW58" s="88">
        <f t="shared" si="114"/>
        <v>7.4531211150736132E-2</v>
      </c>
      <c r="AX58" s="207">
        <f t="shared" ref="AX58:BA60" si="115">+AY58</f>
        <v>0</v>
      </c>
      <c r="AY58" s="208">
        <f t="shared" si="115"/>
        <v>0</v>
      </c>
      <c r="AZ58" s="208">
        <f t="shared" si="115"/>
        <v>0</v>
      </c>
      <c r="BA58" s="209">
        <f t="shared" si="115"/>
        <v>0</v>
      </c>
      <c r="BB58" s="36">
        <v>0</v>
      </c>
      <c r="BC58" s="207">
        <f t="shared" ref="BC58:BF60" si="116">+BD58</f>
        <v>0</v>
      </c>
      <c r="BD58" s="208">
        <f t="shared" si="116"/>
        <v>0</v>
      </c>
      <c r="BE58" s="208">
        <f t="shared" si="116"/>
        <v>0</v>
      </c>
      <c r="BF58" s="209">
        <f t="shared" si="116"/>
        <v>0</v>
      </c>
      <c r="BG58" s="36">
        <v>0</v>
      </c>
      <c r="BH58" s="207">
        <f t="shared" ref="BH58:BK60" si="117">+BI58</f>
        <v>0</v>
      </c>
      <c r="BI58" s="208">
        <f t="shared" si="117"/>
        <v>0</v>
      </c>
      <c r="BJ58" s="208">
        <f t="shared" si="117"/>
        <v>0</v>
      </c>
      <c r="BK58" s="209">
        <f t="shared" si="117"/>
        <v>0</v>
      </c>
      <c r="BL58" s="36">
        <v>0</v>
      </c>
      <c r="BM58" s="207">
        <f t="shared" ref="BM58:BM60" si="118">+BN58</f>
        <v>0</v>
      </c>
      <c r="BN58" s="208">
        <f t="shared" ref="BN58:BN60" si="119">+BO58</f>
        <v>0</v>
      </c>
      <c r="BO58" s="208">
        <f t="shared" ref="BO58:BO60" si="120">+BP58</f>
        <v>0</v>
      </c>
      <c r="BP58" s="209">
        <f t="shared" ref="BP58:BP60" si="121">+BQ58</f>
        <v>0</v>
      </c>
      <c r="BQ58" s="36">
        <v>0</v>
      </c>
      <c r="BR58" s="288"/>
    </row>
    <row r="59" spans="1:104" x14ac:dyDescent="0.2">
      <c r="C59" s="300" t="s">
        <v>252</v>
      </c>
      <c r="E59" s="273"/>
      <c r="F59" s="274"/>
      <c r="G59" s="274"/>
      <c r="H59" s="275"/>
      <c r="I59" s="88"/>
      <c r="J59" s="207">
        <f t="shared" ref="J59:P59" si="122">+J108</f>
        <v>-3.6710301650540789E-2</v>
      </c>
      <c r="K59" s="208">
        <f t="shared" si="122"/>
        <v>7.3123171920702168E-2</v>
      </c>
      <c r="L59" s="208">
        <f t="shared" si="122"/>
        <v>0.14379361387185452</v>
      </c>
      <c r="M59" s="209">
        <f t="shared" si="122"/>
        <v>8.9840379637619261E-2</v>
      </c>
      <c r="N59" s="88">
        <f t="shared" si="122"/>
        <v>6.4436537412669193E-2</v>
      </c>
      <c r="O59" s="207">
        <f t="shared" si="122"/>
        <v>-3.4465780403741819E-3</v>
      </c>
      <c r="P59" s="208">
        <f t="shared" si="122"/>
        <v>0.10791439531597002</v>
      </c>
      <c r="Q59" s="208">
        <f t="shared" ref="Q59:Y59" si="123">+Q108</f>
        <v>-8.1345904973192384E-3</v>
      </c>
      <c r="R59" s="209">
        <f t="shared" si="123"/>
        <v>0.13339930727362637</v>
      </c>
      <c r="S59" s="88">
        <f t="shared" si="123"/>
        <v>5.597306265859836E-2</v>
      </c>
      <c r="T59" s="207">
        <f t="shared" si="123"/>
        <v>0.11847826086956537</v>
      </c>
      <c r="U59" s="208">
        <f t="shared" si="123"/>
        <v>6.7972665148063882E-2</v>
      </c>
      <c r="V59" s="208">
        <f t="shared" si="123"/>
        <v>0.12786579683131416</v>
      </c>
      <c r="W59" s="209">
        <f t="shared" si="123"/>
        <v>-3.0472365319129779E-2</v>
      </c>
      <c r="X59" s="88">
        <f t="shared" si="123"/>
        <v>6.8579878922316206E-2</v>
      </c>
      <c r="Y59" s="207">
        <f t="shared" si="123"/>
        <v>7.3328032511705832E-2</v>
      </c>
      <c r="Z59" s="208">
        <f t="shared" ref="Z59:AF59" si="124">+Z108</f>
        <v>7.78943776128318E-2</v>
      </c>
      <c r="AA59" s="208">
        <f t="shared" si="124"/>
        <v>0.10345397454966121</v>
      </c>
      <c r="AB59" s="209">
        <f t="shared" si="124"/>
        <v>2.6296829971180991E-2</v>
      </c>
      <c r="AC59" s="88">
        <f t="shared" si="124"/>
        <v>7.1076417419885018E-2</v>
      </c>
      <c r="AD59" s="207">
        <f t="shared" si="124"/>
        <v>0.12322001810848637</v>
      </c>
      <c r="AE59" s="208">
        <f t="shared" si="124"/>
        <v>-1.0052239987335843E-2</v>
      </c>
      <c r="AF59" s="208">
        <f t="shared" si="124"/>
        <v>4.7701063351804684E-2</v>
      </c>
      <c r="AG59" s="209">
        <f t="shared" ref="AG59:AM59" si="125">+AG108</f>
        <v>0.20454545454545481</v>
      </c>
      <c r="AH59" s="88">
        <f t="shared" si="125"/>
        <v>8.7577978317485261E-2</v>
      </c>
      <c r="AI59" s="207">
        <f t="shared" si="125"/>
        <v>9.6731642972299525E-2</v>
      </c>
      <c r="AJ59" s="208">
        <f t="shared" si="125"/>
        <v>7.8595986247701255E-2</v>
      </c>
      <c r="AK59" s="208">
        <f t="shared" si="125"/>
        <v>7.3261382317203916E-2</v>
      </c>
      <c r="AL59" s="209">
        <f t="shared" si="125"/>
        <v>2.4550156625628095E-2</v>
      </c>
      <c r="AM59" s="88">
        <f t="shared" si="125"/>
        <v>6.8032893393477067E-2</v>
      </c>
      <c r="AN59" s="207">
        <f t="shared" ref="AN59:AR59" si="126">+AN108</f>
        <v>7.149538954964596E-2</v>
      </c>
      <c r="AO59" s="208">
        <f t="shared" si="126"/>
        <v>9.6515937731653123E-2</v>
      </c>
      <c r="AP59" s="208">
        <f t="shared" si="126"/>
        <v>3.8159296750133187E-2</v>
      </c>
      <c r="AQ59" s="209">
        <f t="shared" si="126"/>
        <v>2.2682025028441188E-2</v>
      </c>
      <c r="AR59" s="88">
        <f t="shared" si="126"/>
        <v>5.6729699666295819E-2</v>
      </c>
      <c r="AS59" s="207">
        <f t="shared" ref="AS59:AW59" si="127">+AS108</f>
        <v>4.7019206784734147E-2</v>
      </c>
      <c r="AT59" s="208">
        <f t="shared" si="127"/>
        <v>0.12824499729583549</v>
      </c>
      <c r="AU59" s="208">
        <f t="shared" si="127"/>
        <v>7.4026557187760522E-2</v>
      </c>
      <c r="AV59" s="209">
        <f t="shared" si="127"/>
        <v>0.15699089202530847</v>
      </c>
      <c r="AW59" s="88">
        <f t="shared" si="127"/>
        <v>9.9720394736842133E-2</v>
      </c>
      <c r="AX59" s="207">
        <f t="shared" si="115"/>
        <v>6.5000000000000002E-2</v>
      </c>
      <c r="AY59" s="208">
        <f t="shared" si="115"/>
        <v>6.5000000000000002E-2</v>
      </c>
      <c r="AZ59" s="208">
        <f t="shared" si="115"/>
        <v>6.5000000000000002E-2</v>
      </c>
      <c r="BA59" s="209">
        <f t="shared" si="115"/>
        <v>6.5000000000000002E-2</v>
      </c>
      <c r="BB59" s="36">
        <v>6.5000000000000002E-2</v>
      </c>
      <c r="BC59" s="207">
        <f t="shared" si="116"/>
        <v>2.5000000000000001E-2</v>
      </c>
      <c r="BD59" s="208">
        <f t="shared" si="116"/>
        <v>2.5000000000000001E-2</v>
      </c>
      <c r="BE59" s="208">
        <f t="shared" si="116"/>
        <v>2.5000000000000001E-2</v>
      </c>
      <c r="BF59" s="209">
        <f t="shared" si="116"/>
        <v>2.5000000000000001E-2</v>
      </c>
      <c r="BG59" s="36">
        <v>2.5000000000000001E-2</v>
      </c>
      <c r="BH59" s="207">
        <f t="shared" si="117"/>
        <v>2.5000000000000001E-2</v>
      </c>
      <c r="BI59" s="208">
        <f t="shared" si="117"/>
        <v>2.5000000000000001E-2</v>
      </c>
      <c r="BJ59" s="208">
        <f t="shared" si="117"/>
        <v>2.5000000000000001E-2</v>
      </c>
      <c r="BK59" s="209">
        <f t="shared" si="117"/>
        <v>2.5000000000000001E-2</v>
      </c>
      <c r="BL59" s="36">
        <v>2.5000000000000001E-2</v>
      </c>
      <c r="BM59" s="207">
        <f t="shared" si="118"/>
        <v>2.5000000000000001E-2</v>
      </c>
      <c r="BN59" s="208">
        <f t="shared" si="119"/>
        <v>2.5000000000000001E-2</v>
      </c>
      <c r="BO59" s="208">
        <f t="shared" si="120"/>
        <v>2.5000000000000001E-2</v>
      </c>
      <c r="BP59" s="209">
        <f t="shared" si="121"/>
        <v>2.5000000000000001E-2</v>
      </c>
      <c r="BQ59" s="36">
        <v>2.5000000000000001E-2</v>
      </c>
      <c r="BR59" s="288"/>
    </row>
    <row r="60" spans="1:104" x14ac:dyDescent="0.2">
      <c r="C60" s="300" t="s">
        <v>445</v>
      </c>
      <c r="E60" s="273"/>
      <c r="F60" s="274"/>
      <c r="G60" s="274"/>
      <c r="H60" s="275"/>
      <c r="I60" s="88"/>
      <c r="J60" s="207">
        <f t="shared" ref="J60:P60" si="128">+J111</f>
        <v>0.44041450777202074</v>
      </c>
      <c r="K60" s="208">
        <f t="shared" si="128"/>
        <v>0.16253338420450225</v>
      </c>
      <c r="L60" s="208">
        <f t="shared" si="128"/>
        <v>0.26936026936026924</v>
      </c>
      <c r="M60" s="209">
        <f t="shared" si="128"/>
        <v>4.1824000000000012</v>
      </c>
      <c r="N60" s="88">
        <f t="shared" si="128"/>
        <v>0.59903713892709765</v>
      </c>
      <c r="O60" s="207">
        <f t="shared" si="128"/>
        <v>0.76207605344295981</v>
      </c>
      <c r="P60" s="208">
        <f t="shared" si="128"/>
        <v>0.43813587134886767</v>
      </c>
      <c r="Q60" s="208">
        <f t="shared" ref="Q60:Y60" si="129">+Q111</f>
        <v>0.37282640730916605</v>
      </c>
      <c r="R60" s="209">
        <f t="shared" si="129"/>
        <v>-9.0460018524236685E-2</v>
      </c>
      <c r="S60" s="88">
        <f t="shared" si="129"/>
        <v>0.326021505376344</v>
      </c>
      <c r="T60" s="207">
        <f t="shared" si="129"/>
        <v>-0.10265383493729952</v>
      </c>
      <c r="U60" s="208">
        <f t="shared" si="129"/>
        <v>-0.27886809675947044</v>
      </c>
      <c r="V60" s="208">
        <f t="shared" si="129"/>
        <v>-0.32825246887075998</v>
      </c>
      <c r="W60" s="209">
        <f t="shared" si="129"/>
        <v>0.19653767820774015</v>
      </c>
      <c r="X60" s="88">
        <f t="shared" si="129"/>
        <v>-0.163736620175154</v>
      </c>
      <c r="Y60" s="207">
        <f t="shared" si="129"/>
        <v>-1.202469938251538E-2</v>
      </c>
      <c r="Z60" s="208">
        <f t="shared" ref="Z60:AF60" si="130">+Z111</f>
        <v>1.5822784810126445E-2</v>
      </c>
      <c r="AA60" s="208">
        <f t="shared" si="130"/>
        <v>-5.2093320549696287E-2</v>
      </c>
      <c r="AB60" s="209">
        <f t="shared" si="130"/>
        <v>-9.1063829787234485E-2</v>
      </c>
      <c r="AC60" s="88">
        <f t="shared" si="130"/>
        <v>-3.6537118920176859E-2</v>
      </c>
      <c r="AD60" s="207">
        <f t="shared" si="130"/>
        <v>7.8947368421051767E-3</v>
      </c>
      <c r="AE60" s="208">
        <f t="shared" si="130"/>
        <v>-0.11246105919003113</v>
      </c>
      <c r="AF60" s="208">
        <f t="shared" si="130"/>
        <v>0.16486850977747802</v>
      </c>
      <c r="AG60" s="209">
        <f t="shared" ref="AG60:AM60" si="131">+AG111</f>
        <v>-6.928838951310845E-2</v>
      </c>
      <c r="AH60" s="88">
        <f t="shared" si="131"/>
        <v>-5.6360708534621828E-3</v>
      </c>
      <c r="AI60" s="207">
        <f t="shared" si="131"/>
        <v>0.19745430809399478</v>
      </c>
      <c r="AJ60" s="208">
        <f t="shared" si="131"/>
        <v>-3.1239031239031378E-2</v>
      </c>
      <c r="AK60" s="208">
        <f t="shared" si="131"/>
        <v>7.8437047756874101E-2</v>
      </c>
      <c r="AL60" s="209">
        <f t="shared" si="131"/>
        <v>7.6458752515090378E-2</v>
      </c>
      <c r="AM60" s="88">
        <f t="shared" si="131"/>
        <v>8.218623481781373E-2</v>
      </c>
      <c r="AN60" s="207">
        <f t="shared" ref="AN60:AR60" si="132">+AN111</f>
        <v>-7.9585718179340459E-2</v>
      </c>
      <c r="AO60" s="208">
        <f t="shared" si="132"/>
        <v>0.17355072463768129</v>
      </c>
      <c r="AP60" s="208">
        <f t="shared" si="132"/>
        <v>0.51986044015029531</v>
      </c>
      <c r="AQ60" s="209">
        <f t="shared" si="132"/>
        <v>0.16791277258566972</v>
      </c>
      <c r="AR60" s="88">
        <f t="shared" si="132"/>
        <v>0.19925177702955477</v>
      </c>
      <c r="AS60" s="207">
        <f t="shared" ref="AS60:AW60" si="133">+AS111</f>
        <v>0.14746816701214094</v>
      </c>
      <c r="AT60" s="208">
        <f t="shared" si="133"/>
        <v>0.1395492435937018</v>
      </c>
      <c r="AU60" s="208">
        <f t="shared" si="133"/>
        <v>-0.25198657955147452</v>
      </c>
      <c r="AV60" s="209">
        <f t="shared" si="133"/>
        <v>-6.9351827153902867E-3</v>
      </c>
      <c r="AW60" s="88">
        <f t="shared" si="133"/>
        <v>-3.1382580484152656E-2</v>
      </c>
      <c r="AX60" s="207">
        <f t="shared" si="115"/>
        <v>0.05</v>
      </c>
      <c r="AY60" s="208">
        <f t="shared" si="115"/>
        <v>0.05</v>
      </c>
      <c r="AZ60" s="208">
        <f t="shared" si="115"/>
        <v>0.05</v>
      </c>
      <c r="BA60" s="209">
        <f t="shared" si="115"/>
        <v>0.05</v>
      </c>
      <c r="BB60" s="36">
        <v>0.05</v>
      </c>
      <c r="BC60" s="207">
        <f t="shared" si="116"/>
        <v>0.05</v>
      </c>
      <c r="BD60" s="208">
        <f t="shared" si="116"/>
        <v>0.05</v>
      </c>
      <c r="BE60" s="208">
        <f t="shared" si="116"/>
        <v>0.05</v>
      </c>
      <c r="BF60" s="209">
        <f t="shared" si="116"/>
        <v>0.05</v>
      </c>
      <c r="BG60" s="36">
        <v>0.05</v>
      </c>
      <c r="BH60" s="207">
        <f t="shared" si="117"/>
        <v>0.05</v>
      </c>
      <c r="BI60" s="208">
        <f t="shared" si="117"/>
        <v>0.05</v>
      </c>
      <c r="BJ60" s="208">
        <f t="shared" si="117"/>
        <v>0.05</v>
      </c>
      <c r="BK60" s="209">
        <f t="shared" si="117"/>
        <v>0.05</v>
      </c>
      <c r="BL60" s="36">
        <v>0.05</v>
      </c>
      <c r="BM60" s="207">
        <f t="shared" si="118"/>
        <v>0.05</v>
      </c>
      <c r="BN60" s="208">
        <f t="shared" si="119"/>
        <v>0.05</v>
      </c>
      <c r="BO60" s="208">
        <f t="shared" si="120"/>
        <v>0.05</v>
      </c>
      <c r="BP60" s="209">
        <f t="shared" si="121"/>
        <v>0.05</v>
      </c>
      <c r="BQ60" s="36">
        <v>0.05</v>
      </c>
      <c r="BR60" s="288"/>
    </row>
    <row r="61" spans="1:104" x14ac:dyDescent="0.2">
      <c r="C61" s="300"/>
      <c r="E61" s="273"/>
      <c r="F61" s="274"/>
      <c r="G61" s="274"/>
      <c r="H61" s="275"/>
      <c r="I61" s="88"/>
      <c r="J61" s="207"/>
      <c r="K61" s="208"/>
      <c r="L61" s="208"/>
      <c r="M61" s="209"/>
      <c r="N61" s="88"/>
      <c r="O61" s="207"/>
      <c r="P61" s="208"/>
      <c r="Q61" s="208"/>
      <c r="R61" s="211"/>
      <c r="S61" s="88"/>
      <c r="T61" s="207"/>
      <c r="U61" s="208"/>
      <c r="V61" s="208"/>
      <c r="W61" s="211"/>
      <c r="X61" s="88"/>
      <c r="Y61" s="207"/>
      <c r="Z61" s="208"/>
      <c r="AA61" s="208"/>
      <c r="AB61" s="211"/>
      <c r="AC61" s="88"/>
      <c r="AD61" s="207"/>
      <c r="AE61" s="208"/>
      <c r="AF61" s="208"/>
      <c r="AG61" s="211"/>
      <c r="AH61" s="88"/>
      <c r="AI61" s="207"/>
      <c r="AJ61" s="208"/>
      <c r="AK61" s="208"/>
      <c r="AL61" s="211"/>
      <c r="AM61" s="88"/>
      <c r="AN61" s="207"/>
      <c r="AO61" s="208"/>
      <c r="AP61" s="208"/>
      <c r="AQ61" s="211"/>
      <c r="AR61" s="88"/>
      <c r="AS61" s="207"/>
      <c r="AT61" s="208"/>
      <c r="AU61" s="208"/>
      <c r="AV61" s="211"/>
      <c r="AW61" s="88"/>
      <c r="AX61" s="207"/>
      <c r="AY61" s="208"/>
      <c r="AZ61" s="208"/>
      <c r="BA61" s="209"/>
      <c r="BB61" s="36"/>
      <c r="BC61" s="207"/>
      <c r="BD61" s="208"/>
      <c r="BE61" s="208"/>
      <c r="BF61" s="209"/>
      <c r="BG61" s="36"/>
      <c r="BH61" s="207"/>
      <c r="BI61" s="208"/>
      <c r="BJ61" s="208"/>
      <c r="BK61" s="209"/>
      <c r="BL61" s="946"/>
      <c r="BM61" s="207"/>
      <c r="BN61" s="208"/>
      <c r="BO61" s="208"/>
      <c r="BP61" s="209"/>
      <c r="BQ61" s="946"/>
      <c r="BR61" s="288"/>
    </row>
    <row r="62" spans="1:104" x14ac:dyDescent="0.2">
      <c r="C62" s="300" t="s">
        <v>166</v>
      </c>
      <c r="E62" s="207">
        <f t="shared" ref="E62:P62" si="134">(E33)/(E31-E20)</f>
        <v>0.37304733038004056</v>
      </c>
      <c r="F62" s="208">
        <f>(F33)/(F31-F20)</f>
        <v>0.38662689342579315</v>
      </c>
      <c r="G62" s="208">
        <f t="shared" si="134"/>
        <v>0.38682602564963398</v>
      </c>
      <c r="H62" s="209">
        <f t="shared" si="134"/>
        <v>0.45186939604129289</v>
      </c>
      <c r="I62" s="88">
        <f t="shared" si="134"/>
        <v>0.38876568455209615</v>
      </c>
      <c r="J62" s="207">
        <f t="shared" si="134"/>
        <v>0.52266456444619525</v>
      </c>
      <c r="K62" s="208">
        <f t="shared" si="134"/>
        <v>0.40265147644834937</v>
      </c>
      <c r="L62" s="208">
        <f t="shared" si="134"/>
        <v>0.37971675077323813</v>
      </c>
      <c r="M62" s="209">
        <f t="shared" si="134"/>
        <v>0.26220302375810167</v>
      </c>
      <c r="N62" s="88">
        <f t="shared" si="134"/>
        <v>0.39810990264369178</v>
      </c>
      <c r="O62" s="207">
        <f t="shared" si="134"/>
        <v>0.44997353096876747</v>
      </c>
      <c r="P62" s="208">
        <f t="shared" si="134"/>
        <v>0.39392206306704458</v>
      </c>
      <c r="Q62" s="208">
        <f t="shared" ref="Q62:Y62" si="135">(Q33)/(Q31-Q20)</f>
        <v>0.38364999353754664</v>
      </c>
      <c r="R62" s="209">
        <f t="shared" si="135"/>
        <v>0.39997712455678502</v>
      </c>
      <c r="S62" s="88">
        <f t="shared" si="135"/>
        <v>0.3946754288005041</v>
      </c>
      <c r="T62" s="207">
        <f t="shared" si="135"/>
        <v>0.39937888198757837</v>
      </c>
      <c r="U62" s="208">
        <f t="shared" si="135"/>
        <v>0.38073682614628213</v>
      </c>
      <c r="V62" s="208">
        <f t="shared" si="135"/>
        <v>0.37717280022897648</v>
      </c>
      <c r="W62" s="209">
        <f t="shared" si="135"/>
        <v>0.48174294060370026</v>
      </c>
      <c r="X62" s="88">
        <f t="shared" si="135"/>
        <v>0.38573447553401152</v>
      </c>
      <c r="Y62" s="207">
        <f t="shared" si="135"/>
        <v>0.4086781029263365</v>
      </c>
      <c r="Z62" s="208">
        <f t="shared" ref="Z62:AF62" si="136">(Z33)/(Z31-Z20)</f>
        <v>0.38286663502610307</v>
      </c>
      <c r="AA62" s="208">
        <f t="shared" si="136"/>
        <v>0.37987668055738905</v>
      </c>
      <c r="AB62" s="209">
        <f t="shared" si="136"/>
        <v>0.39637887176417602</v>
      </c>
      <c r="AC62" s="88">
        <f t="shared" si="136"/>
        <v>0.38746108164206633</v>
      </c>
      <c r="AD62" s="207">
        <f t="shared" si="136"/>
        <v>0.40717904410320921</v>
      </c>
      <c r="AE62" s="208">
        <f t="shared" si="136"/>
        <v>0.38603560700417616</v>
      </c>
      <c r="AF62" s="208">
        <f t="shared" si="136"/>
        <v>0.36338596036007265</v>
      </c>
      <c r="AG62" s="209">
        <f t="shared" ref="AG62:AM62" si="137">(AG33)/(AG31-AG20)</f>
        <v>0.4792204832092376</v>
      </c>
      <c r="AH62" s="88">
        <f t="shared" si="137"/>
        <v>0.38977692084421767</v>
      </c>
      <c r="AI62" s="207">
        <f t="shared" si="137"/>
        <v>0.37945113788487256</v>
      </c>
      <c r="AJ62" s="208">
        <f t="shared" si="137"/>
        <v>0.37669035411232032</v>
      </c>
      <c r="AK62" s="208">
        <f t="shared" si="137"/>
        <v>0.38170262100948216</v>
      </c>
      <c r="AL62" s="209">
        <f t="shared" si="137"/>
        <v>0.40627227369921487</v>
      </c>
      <c r="AM62" s="88">
        <f t="shared" si="137"/>
        <v>0.38492124570314479</v>
      </c>
      <c r="AN62" s="207">
        <f t="shared" ref="AN62:AR62" si="138">(AN33)/(AN31-AN20)</f>
        <v>0.38826595551245507</v>
      </c>
      <c r="AO62" s="208">
        <f t="shared" si="138"/>
        <v>0.37979209979209955</v>
      </c>
      <c r="AP62" s="208">
        <f t="shared" si="138"/>
        <v>0.34663644136888749</v>
      </c>
      <c r="AQ62" s="209">
        <f t="shared" si="138"/>
        <v>0.37945276200309752</v>
      </c>
      <c r="AR62" s="88">
        <f t="shared" si="138"/>
        <v>0.36610638013286378</v>
      </c>
      <c r="AS62" s="207">
        <f t="shared" ref="AS62:AW62" si="139">(AS33)/(AS31-AS20)</f>
        <v>0.38132642319216115</v>
      </c>
      <c r="AT62" s="208">
        <f t="shared" si="139"/>
        <v>0.37753452153065603</v>
      </c>
      <c r="AU62" s="208">
        <f t="shared" si="139"/>
        <v>0.36325623556244319</v>
      </c>
      <c r="AV62" s="209">
        <f t="shared" si="139"/>
        <v>-0.13245938555573539</v>
      </c>
      <c r="AW62" s="88">
        <f t="shared" si="139"/>
        <v>0.31337629798597499</v>
      </c>
      <c r="AX62" s="207">
        <f>+AY62</f>
        <v>0.25</v>
      </c>
      <c r="AY62" s="208">
        <f>+AZ62</f>
        <v>0.25</v>
      </c>
      <c r="AZ62" s="208">
        <f>+BA62</f>
        <v>0.25</v>
      </c>
      <c r="BA62" s="209">
        <f>+BB62</f>
        <v>0.25</v>
      </c>
      <c r="BB62" s="36">
        <v>0.25</v>
      </c>
      <c r="BC62" s="207">
        <f>+BD62</f>
        <v>0.25</v>
      </c>
      <c r="BD62" s="208">
        <f>+BE62</f>
        <v>0.25</v>
      </c>
      <c r="BE62" s="208">
        <f>+BF62</f>
        <v>0.25</v>
      </c>
      <c r="BF62" s="209">
        <f>+BG62</f>
        <v>0.25</v>
      </c>
      <c r="BG62" s="36">
        <v>0.25</v>
      </c>
      <c r="BH62" s="207">
        <f>+BI62</f>
        <v>0.25</v>
      </c>
      <c r="BI62" s="208">
        <f>+BJ62</f>
        <v>0.25</v>
      </c>
      <c r="BJ62" s="208">
        <f>+BK62</f>
        <v>0.25</v>
      </c>
      <c r="BK62" s="209">
        <f>+BL62</f>
        <v>0.25</v>
      </c>
      <c r="BL62" s="36">
        <v>0.25</v>
      </c>
      <c r="BM62" s="207">
        <f>+BN62</f>
        <v>0.25</v>
      </c>
      <c r="BN62" s="208">
        <f>+BO62</f>
        <v>0.25</v>
      </c>
      <c r="BO62" s="208">
        <f>+BP62</f>
        <v>0.25</v>
      </c>
      <c r="BP62" s="209">
        <f>+BQ62</f>
        <v>0.25</v>
      </c>
      <c r="BQ62" s="36">
        <v>0.25</v>
      </c>
      <c r="BR62" s="288"/>
      <c r="BU62" s="53"/>
      <c r="BV62" s="53"/>
      <c r="BW62" s="53"/>
    </row>
    <row r="63" spans="1:104" x14ac:dyDescent="0.2">
      <c r="C63" s="300" t="s">
        <v>167</v>
      </c>
      <c r="E63" s="207">
        <f t="shared" ref="E63:P63" si="140">E33/E31</f>
        <v>0.3432985266771551</v>
      </c>
      <c r="F63" s="208">
        <f t="shared" si="140"/>
        <v>0.37255487531730619</v>
      </c>
      <c r="G63" s="208">
        <f t="shared" si="140"/>
        <v>0.38115086256802122</v>
      </c>
      <c r="H63" s="209">
        <f t="shared" si="140"/>
        <v>0.38070125427595053</v>
      </c>
      <c r="I63" s="88">
        <f t="shared" si="140"/>
        <v>0.37410503949374102</v>
      </c>
      <c r="J63" s="207">
        <f t="shared" si="140"/>
        <v>0.50820824017885569</v>
      </c>
      <c r="K63" s="208">
        <f t="shared" si="140"/>
        <v>0.39251475385343215</v>
      </c>
      <c r="L63" s="208">
        <f t="shared" si="140"/>
        <v>0.37312644965208375</v>
      </c>
      <c r="M63" s="209">
        <f t="shared" si="140"/>
        <v>0.2116457461645761</v>
      </c>
      <c r="N63" s="88">
        <f t="shared" si="140"/>
        <v>0.38497475045890311</v>
      </c>
      <c r="O63" s="207">
        <f t="shared" si="140"/>
        <v>0.39910787651132834</v>
      </c>
      <c r="P63" s="208">
        <f t="shared" si="140"/>
        <v>0.38048964218455755</v>
      </c>
      <c r="Q63" s="208">
        <f t="shared" ref="Q63:Y63" si="141">Q33/Q31</f>
        <v>0.37926760707349461</v>
      </c>
      <c r="R63" s="209">
        <f t="shared" si="141"/>
        <v>0.35298273947713493</v>
      </c>
      <c r="S63" s="88">
        <f t="shared" si="141"/>
        <v>0.38013845029441384</v>
      </c>
      <c r="T63" s="207">
        <f t="shared" si="141"/>
        <v>0.36143901068015799</v>
      </c>
      <c r="U63" s="208">
        <f t="shared" si="141"/>
        <v>0.36720071856787739</v>
      </c>
      <c r="V63" s="208">
        <f t="shared" si="141"/>
        <v>0.37036396458722931</v>
      </c>
      <c r="W63" s="209">
        <f t="shared" si="141"/>
        <v>0.37962785344331484</v>
      </c>
      <c r="X63" s="88">
        <f t="shared" si="141"/>
        <v>0.36909690506411674</v>
      </c>
      <c r="Y63" s="207">
        <f t="shared" si="141"/>
        <v>0.35363911859879765</v>
      </c>
      <c r="Z63" s="208">
        <f t="shared" ref="Z63:AF63" si="142">Z33/Z31</f>
        <v>0.36387009472259774</v>
      </c>
      <c r="AA63" s="208">
        <f t="shared" si="142"/>
        <v>0.36507620100393262</v>
      </c>
      <c r="AB63" s="209">
        <f t="shared" si="142"/>
        <v>0.35383690643157545</v>
      </c>
      <c r="AC63" s="88">
        <f t="shared" si="142"/>
        <v>0.36096227960627902</v>
      </c>
      <c r="AD63" s="207">
        <f t="shared" si="142"/>
        <v>0.35625193279043443</v>
      </c>
      <c r="AE63" s="208">
        <f t="shared" si="142"/>
        <v>0.36054468318051186</v>
      </c>
      <c r="AF63" s="208">
        <f t="shared" si="142"/>
        <v>0.35232077717249316</v>
      </c>
      <c r="AG63" s="209">
        <f t="shared" ref="AG63:AM63" si="143">AG33/AG31</f>
        <v>0.43863004172461656</v>
      </c>
      <c r="AH63" s="88">
        <f t="shared" si="143"/>
        <v>0.36674241907009852</v>
      </c>
      <c r="AI63" s="207">
        <f t="shared" si="143"/>
        <v>0.35896786449263873</v>
      </c>
      <c r="AJ63" s="208">
        <f t="shared" si="143"/>
        <v>0.35752298016448952</v>
      </c>
      <c r="AK63" s="208">
        <f t="shared" si="143"/>
        <v>0.37363839941634847</v>
      </c>
      <c r="AL63" s="209">
        <f t="shared" si="143"/>
        <v>0.38644067796610071</v>
      </c>
      <c r="AM63" s="88">
        <f t="shared" si="143"/>
        <v>0.37088210867673788</v>
      </c>
      <c r="AN63" s="207">
        <f t="shared" ref="AN63:AR63" si="144">AN33/AN31</f>
        <v>0.36258667044007331</v>
      </c>
      <c r="AO63" s="208">
        <f t="shared" si="144"/>
        <v>0.36189306444263936</v>
      </c>
      <c r="AP63" s="208">
        <f t="shared" si="144"/>
        <v>0.3377967251235342</v>
      </c>
      <c r="AQ63" s="209">
        <f t="shared" si="144"/>
        <v>0.35737175945366545</v>
      </c>
      <c r="AR63" s="88">
        <f t="shared" si="144"/>
        <v>0.35050859901566994</v>
      </c>
      <c r="AS63" s="207">
        <f t="shared" ref="AS63:AW63" si="145">AS33/AS31</f>
        <v>0.36054821091317429</v>
      </c>
      <c r="AT63" s="208">
        <f t="shared" si="145"/>
        <v>0.36486098139234158</v>
      </c>
      <c r="AU63" s="208">
        <f t="shared" si="145"/>
        <v>0.35477391718229401</v>
      </c>
      <c r="AV63" s="209">
        <f t="shared" si="145"/>
        <v>-0.11882688214710961</v>
      </c>
      <c r="AW63" s="88">
        <f t="shared" si="145"/>
        <v>0.30055924333015599</v>
      </c>
      <c r="AX63" s="207">
        <f t="shared" ref="AX63:BG63" si="146">AX33/AX31</f>
        <v>0.2286923211010839</v>
      </c>
      <c r="AY63" s="208">
        <f t="shared" si="146"/>
        <v>0.23183879238451285</v>
      </c>
      <c r="AZ63" s="208">
        <f t="shared" si="146"/>
        <v>0.23808446732490457</v>
      </c>
      <c r="BA63" s="209">
        <f t="shared" si="146"/>
        <v>0.21366374789843171</v>
      </c>
      <c r="BB63" s="88">
        <f t="shared" si="146"/>
        <v>0.23125925180592385</v>
      </c>
      <c r="BC63" s="207">
        <f t="shared" si="146"/>
        <v>0.23089028562555439</v>
      </c>
      <c r="BD63" s="208">
        <f t="shared" si="146"/>
        <v>0.23277470706288805</v>
      </c>
      <c r="BE63" s="208">
        <f t="shared" si="146"/>
        <v>0.23827826242535247</v>
      </c>
      <c r="BF63" s="209">
        <f t="shared" si="146"/>
        <v>0.21876499634833355</v>
      </c>
      <c r="BG63" s="88">
        <f t="shared" si="146"/>
        <v>0.23243383738360099</v>
      </c>
      <c r="BH63" s="207">
        <f t="shared" ref="BH63:BQ63" si="147">BH33/BH31</f>
        <v>0.23901979556648997</v>
      </c>
      <c r="BI63" s="208">
        <f t="shared" si="147"/>
        <v>0.23986451124104488</v>
      </c>
      <c r="BJ63" s="208">
        <f t="shared" si="147"/>
        <v>0.24342742690818697</v>
      </c>
      <c r="BK63" s="209">
        <f t="shared" si="147"/>
        <v>0.23381903420571307</v>
      </c>
      <c r="BL63" s="88">
        <f t="shared" si="147"/>
        <v>0.24009127501603869</v>
      </c>
      <c r="BM63" s="207">
        <f t="shared" si="147"/>
        <v>0.24340291140236736</v>
      </c>
      <c r="BN63" s="208">
        <f t="shared" si="147"/>
        <v>0.24405253348106862</v>
      </c>
      <c r="BO63" s="208">
        <f t="shared" si="147"/>
        <v>0.24611118615518834</v>
      </c>
      <c r="BP63" s="209">
        <f t="shared" si="147"/>
        <v>0.24127304622051504</v>
      </c>
      <c r="BQ63" s="88">
        <f t="shared" si="147"/>
        <v>0.24421510700225973</v>
      </c>
      <c r="BR63" s="288"/>
      <c r="BU63" s="53"/>
      <c r="BV63" s="53"/>
    </row>
    <row r="64" spans="1:104" x14ac:dyDescent="0.2">
      <c r="C64" s="299"/>
      <c r="E64" s="273"/>
      <c r="F64" s="274"/>
      <c r="G64" s="274"/>
      <c r="H64" s="275"/>
      <c r="I64" s="169"/>
      <c r="J64" s="273"/>
      <c r="K64" s="274"/>
      <c r="L64" s="274"/>
      <c r="M64" s="275"/>
      <c r="N64" s="169"/>
      <c r="O64" s="273"/>
      <c r="P64" s="274"/>
      <c r="Q64" s="274"/>
      <c r="R64" s="275"/>
      <c r="S64" s="169"/>
      <c r="T64" s="273"/>
      <c r="U64" s="274"/>
      <c r="V64" s="274"/>
      <c r="W64" s="275"/>
      <c r="X64" s="169"/>
      <c r="Y64" s="273"/>
      <c r="Z64" s="274"/>
      <c r="AA64" s="274"/>
      <c r="AB64" s="275"/>
      <c r="AC64" s="169"/>
      <c r="AD64" s="273"/>
      <c r="AE64" s="274"/>
      <c r="AF64" s="274"/>
      <c r="AG64" s="275"/>
      <c r="AH64" s="169"/>
      <c r="AI64" s="273"/>
      <c r="AJ64" s="274"/>
      <c r="AK64" s="274"/>
      <c r="AL64" s="275"/>
      <c r="AM64" s="169"/>
      <c r="AN64" s="273"/>
      <c r="AO64" s="274"/>
      <c r="AP64" s="274"/>
      <c r="AQ64" s="275"/>
      <c r="AR64" s="169"/>
      <c r="AS64" s="273"/>
      <c r="AT64" s="274"/>
      <c r="AU64" s="274"/>
      <c r="AV64" s="275"/>
      <c r="AW64" s="169"/>
      <c r="AX64" s="273"/>
      <c r="AY64" s="274"/>
      <c r="AZ64" s="274"/>
      <c r="BA64" s="275"/>
      <c r="BB64" s="169"/>
      <c r="BC64" s="273"/>
      <c r="BD64" s="274"/>
      <c r="BE64" s="274"/>
      <c r="BF64" s="275"/>
      <c r="BG64" s="169"/>
      <c r="BH64" s="273"/>
      <c r="BI64" s="274"/>
      <c r="BJ64" s="274"/>
      <c r="BK64" s="275"/>
      <c r="BL64" s="169"/>
      <c r="BM64" s="273"/>
      <c r="BN64" s="274"/>
      <c r="BO64" s="274"/>
      <c r="BP64" s="275"/>
      <c r="BQ64" s="169"/>
      <c r="BR64" s="288"/>
    </row>
    <row r="65" spans="1:104" x14ac:dyDescent="0.2">
      <c r="C65" s="299" t="s">
        <v>253</v>
      </c>
      <c r="E65" s="273"/>
      <c r="F65" s="274"/>
      <c r="G65" s="274"/>
      <c r="H65" s="275"/>
      <c r="I65" s="88">
        <f t="shared" ref="I65:S65" si="148">+I237</f>
        <v>0.1</v>
      </c>
      <c r="J65" s="207">
        <f t="shared" si="148"/>
        <v>0.1</v>
      </c>
      <c r="K65" s="208">
        <f t="shared" si="148"/>
        <v>0.1</v>
      </c>
      <c r="L65" s="208">
        <f t="shared" si="148"/>
        <v>0.1</v>
      </c>
      <c r="M65" s="209">
        <f t="shared" si="148"/>
        <v>0.1</v>
      </c>
      <c r="N65" s="88">
        <f t="shared" si="148"/>
        <v>0.1</v>
      </c>
      <c r="O65" s="207">
        <f t="shared" si="148"/>
        <v>0.1</v>
      </c>
      <c r="P65" s="208">
        <f t="shared" si="148"/>
        <v>0.1</v>
      </c>
      <c r="Q65" s="208">
        <f t="shared" si="148"/>
        <v>0.1</v>
      </c>
      <c r="R65" s="209">
        <f t="shared" si="148"/>
        <v>0.1</v>
      </c>
      <c r="S65" s="88">
        <f t="shared" si="148"/>
        <v>0.1</v>
      </c>
      <c r="T65" s="207">
        <f t="shared" ref="T65:X66" si="149">+T237</f>
        <v>0.1</v>
      </c>
      <c r="U65" s="208">
        <f t="shared" si="149"/>
        <v>0.1</v>
      </c>
      <c r="V65" s="208">
        <f t="shared" si="149"/>
        <v>0.1</v>
      </c>
      <c r="W65" s="209">
        <f t="shared" si="149"/>
        <v>0.1</v>
      </c>
      <c r="X65" s="88">
        <f t="shared" si="149"/>
        <v>0.1</v>
      </c>
      <c r="Y65" s="207">
        <f t="shared" ref="Y65:AC66" si="150">+Y237</f>
        <v>0.1</v>
      </c>
      <c r="Z65" s="208">
        <f t="shared" si="150"/>
        <v>0.1</v>
      </c>
      <c r="AA65" s="208">
        <f t="shared" si="150"/>
        <v>0.1</v>
      </c>
      <c r="AB65" s="209">
        <f t="shared" si="150"/>
        <v>0.1</v>
      </c>
      <c r="AC65" s="88">
        <f t="shared" si="150"/>
        <v>0.1</v>
      </c>
      <c r="AD65" s="207">
        <f t="shared" ref="AD65:AH66" si="151">+AD237</f>
        <v>0.1</v>
      </c>
      <c r="AE65" s="208">
        <f t="shared" si="151"/>
        <v>0.1</v>
      </c>
      <c r="AF65" s="208">
        <f t="shared" si="151"/>
        <v>0.1</v>
      </c>
      <c r="AG65" s="209">
        <f t="shared" si="151"/>
        <v>0.1</v>
      </c>
      <c r="AH65" s="88">
        <f t="shared" si="151"/>
        <v>0.1</v>
      </c>
      <c r="AI65" s="207">
        <f t="shared" ref="AI65:AM66" si="152">+AI237</f>
        <v>0.1</v>
      </c>
      <c r="AJ65" s="208">
        <f t="shared" si="152"/>
        <v>0.1</v>
      </c>
      <c r="AK65" s="208">
        <f t="shared" si="152"/>
        <v>0.1</v>
      </c>
      <c r="AL65" s="209">
        <f t="shared" si="152"/>
        <v>0.1</v>
      </c>
      <c r="AM65" s="88">
        <f t="shared" si="152"/>
        <v>0.1</v>
      </c>
      <c r="AN65" s="207">
        <f t="shared" ref="AN65:AR66" si="153">+AN237</f>
        <v>9.7779013906447526E-2</v>
      </c>
      <c r="AO65" s="208">
        <f t="shared" si="153"/>
        <v>9.7779013906447526E-2</v>
      </c>
      <c r="AP65" s="208">
        <f t="shared" si="153"/>
        <v>9.7779013906447526E-2</v>
      </c>
      <c r="AQ65" s="209">
        <f t="shared" si="153"/>
        <v>9.7779013906447526E-2</v>
      </c>
      <c r="AR65" s="88">
        <f t="shared" si="153"/>
        <v>9.7779013906447526E-2</v>
      </c>
      <c r="AS65" s="207">
        <f t="shared" ref="AS65:AW65" si="154">+AS237</f>
        <v>9.7779013906447526E-2</v>
      </c>
      <c r="AT65" s="208">
        <f t="shared" si="154"/>
        <v>9.7779013906447526E-2</v>
      </c>
      <c r="AU65" s="208">
        <f t="shared" si="154"/>
        <v>9.7779013906447526E-2</v>
      </c>
      <c r="AV65" s="209">
        <f t="shared" si="154"/>
        <v>9.7779013906447526E-2</v>
      </c>
      <c r="AW65" s="88">
        <f t="shared" si="154"/>
        <v>9.7779013906447526E-2</v>
      </c>
      <c r="AX65" s="207">
        <f t="shared" ref="AX65:BB66" si="155">+AX237</f>
        <v>9.7779013906447526E-2</v>
      </c>
      <c r="AY65" s="208">
        <f t="shared" si="155"/>
        <v>9.7779013906447526E-2</v>
      </c>
      <c r="AZ65" s="208">
        <f t="shared" si="155"/>
        <v>9.7779013906447526E-2</v>
      </c>
      <c r="BA65" s="209">
        <f t="shared" si="155"/>
        <v>9.7779013906447526E-2</v>
      </c>
      <c r="BB65" s="88">
        <f t="shared" si="155"/>
        <v>9.7779013906447526E-2</v>
      </c>
      <c r="BC65" s="207">
        <f t="shared" ref="BC65:BG66" si="156">+BC237</f>
        <v>9.7779013906447526E-2</v>
      </c>
      <c r="BD65" s="208">
        <f t="shared" si="156"/>
        <v>0</v>
      </c>
      <c r="BE65" s="208">
        <f t="shared" si="156"/>
        <v>0</v>
      </c>
      <c r="BF65" s="209">
        <f t="shared" si="156"/>
        <v>0</v>
      </c>
      <c r="BG65" s="88">
        <f t="shared" si="156"/>
        <v>9.7779013906447526E-2</v>
      </c>
      <c r="BH65" s="207">
        <f t="shared" ref="BH65:BL66" si="157">+BH237</f>
        <v>9.7779013906447526E-2</v>
      </c>
      <c r="BI65" s="208">
        <f t="shared" si="157"/>
        <v>0</v>
      </c>
      <c r="BJ65" s="208">
        <f t="shared" si="157"/>
        <v>0</v>
      </c>
      <c r="BK65" s="209">
        <f t="shared" si="157"/>
        <v>0</v>
      </c>
      <c r="BL65" s="88">
        <f t="shared" si="157"/>
        <v>9.7779013906447526E-2</v>
      </c>
      <c r="BM65" s="207">
        <f t="shared" ref="BM65:BQ65" si="158">+BM237</f>
        <v>9.7779013906447526E-2</v>
      </c>
      <c r="BN65" s="208">
        <f t="shared" si="158"/>
        <v>0</v>
      </c>
      <c r="BO65" s="208">
        <f t="shared" si="158"/>
        <v>0</v>
      </c>
      <c r="BP65" s="209">
        <f t="shared" si="158"/>
        <v>0</v>
      </c>
      <c r="BQ65" s="88">
        <f t="shared" si="158"/>
        <v>9.7779013906447526E-2</v>
      </c>
      <c r="BR65" s="288"/>
    </row>
    <row r="66" spans="1:104" x14ac:dyDescent="0.2">
      <c r="C66" s="299" t="s">
        <v>254</v>
      </c>
      <c r="E66" s="273"/>
      <c r="F66" s="274"/>
      <c r="G66" s="274"/>
      <c r="H66" s="275"/>
      <c r="I66" s="88">
        <f t="shared" ref="I66:S66" si="159">+I238</f>
        <v>8.3611258085856621E-2</v>
      </c>
      <c r="J66" s="207">
        <f t="shared" si="159"/>
        <v>8.0084481984565803E-2</v>
      </c>
      <c r="K66" s="208">
        <f t="shared" si="159"/>
        <v>9.0067582049560627E-2</v>
      </c>
      <c r="L66" s="208">
        <f t="shared" si="159"/>
        <v>8.935039511318929E-2</v>
      </c>
      <c r="M66" s="209">
        <f t="shared" si="159"/>
        <v>9.3174655593675701E-2</v>
      </c>
      <c r="N66" s="88">
        <f t="shared" si="159"/>
        <v>9.335600028829931E-2</v>
      </c>
      <c r="O66" s="207">
        <f t="shared" si="159"/>
        <v>9.206312238906772E-2</v>
      </c>
      <c r="P66" s="208">
        <f t="shared" si="159"/>
        <v>9.2156474492594842E-2</v>
      </c>
      <c r="Q66" s="208">
        <f t="shared" si="159"/>
        <v>0.10312731912719857</v>
      </c>
      <c r="R66" s="209">
        <f t="shared" si="159"/>
        <v>9.574916684015039E-2</v>
      </c>
      <c r="S66" s="88">
        <f t="shared" si="159"/>
        <v>9.8157841217349912E-2</v>
      </c>
      <c r="T66" s="207">
        <f t="shared" si="149"/>
        <v>9.68791965916658E-2</v>
      </c>
      <c r="U66" s="208">
        <f t="shared" si="149"/>
        <v>0.10176046971867471</v>
      </c>
      <c r="V66" s="208">
        <f t="shared" si="149"/>
        <v>0.10683557156061374</v>
      </c>
      <c r="W66" s="209">
        <f t="shared" si="149"/>
        <v>0.10228095931008392</v>
      </c>
      <c r="X66" s="88">
        <f t="shared" si="149"/>
        <v>0.10389519774451356</v>
      </c>
      <c r="Y66" s="207">
        <f t="shared" si="150"/>
        <v>9.4878287105173126E-2</v>
      </c>
      <c r="Z66" s="208">
        <f t="shared" si="150"/>
        <v>9.0106218494897056E-2</v>
      </c>
      <c r="AA66" s="208">
        <f t="shared" si="150"/>
        <v>6.8077899969244862E-2</v>
      </c>
      <c r="AB66" s="209">
        <f t="shared" si="150"/>
        <v>7.4785867436709577E-2</v>
      </c>
      <c r="AC66" s="88">
        <f t="shared" si="150"/>
        <v>8.6225606893186063E-2</v>
      </c>
      <c r="AD66" s="207">
        <f t="shared" si="151"/>
        <v>8.9156419254760561E-2</v>
      </c>
      <c r="AE66" s="208">
        <f t="shared" si="151"/>
        <v>8.6383895431514784E-2</v>
      </c>
      <c r="AF66" s="208">
        <f t="shared" si="151"/>
        <v>0.10317999692509837</v>
      </c>
      <c r="AG66" s="209">
        <f t="shared" si="151"/>
        <v>0.10013457219332952</v>
      </c>
      <c r="AH66" s="88">
        <f t="shared" si="151"/>
        <v>0.10106165656507693</v>
      </c>
      <c r="AI66" s="207">
        <f t="shared" si="152"/>
        <v>9.3978493153830209E-2</v>
      </c>
      <c r="AJ66" s="208">
        <f t="shared" si="152"/>
        <v>8.8447965237504228E-2</v>
      </c>
      <c r="AK66" s="208">
        <f t="shared" si="152"/>
        <v>8.1278307254819257E-2</v>
      </c>
      <c r="AL66" s="209">
        <f t="shared" si="152"/>
        <v>7.8804099245366341E-2</v>
      </c>
      <c r="AM66" s="88">
        <f t="shared" si="152"/>
        <v>8.0385173915131669E-2</v>
      </c>
      <c r="AN66" s="207">
        <f t="shared" si="153"/>
        <v>7.4884634933893662E-2</v>
      </c>
      <c r="AO66" s="208">
        <f t="shared" si="153"/>
        <v>7.9908521657706649E-2</v>
      </c>
      <c r="AP66" s="208">
        <f t="shared" si="153"/>
        <v>8.6036717012837979E-2</v>
      </c>
      <c r="AQ66" s="209">
        <f t="shared" si="153"/>
        <v>8.4239616101866019E-2</v>
      </c>
      <c r="AR66" s="88">
        <f t="shared" si="153"/>
        <v>8.5736464435114124E-2</v>
      </c>
      <c r="AS66" s="207">
        <f t="shared" ref="AS66:AW66" si="160">+AS238</f>
        <v>8.4056014729815831E-2</v>
      </c>
      <c r="AT66" s="208">
        <f t="shared" si="160"/>
        <v>8.4142735566233126E-2</v>
      </c>
      <c r="AU66" s="208">
        <f t="shared" si="160"/>
        <v>8.1524339777464427E-2</v>
      </c>
      <c r="AV66" s="209">
        <f t="shared" si="160"/>
        <v>7.8536428667142083E-2</v>
      </c>
      <c r="AW66" s="88">
        <f t="shared" si="160"/>
        <v>8.1651344389334302E-2</v>
      </c>
      <c r="AX66" s="207">
        <f t="shared" si="155"/>
        <v>8.5410318860599396E-2</v>
      </c>
      <c r="AY66" s="208">
        <f t="shared" si="155"/>
        <v>9.0569364179785186E-2</v>
      </c>
      <c r="AZ66" s="208">
        <f t="shared" si="155"/>
        <v>9.3328338332313118E-2</v>
      </c>
      <c r="BA66" s="209">
        <f t="shared" si="155"/>
        <v>8.8152915337033191E-2</v>
      </c>
      <c r="BB66" s="88">
        <f t="shared" si="155"/>
        <v>9.1880302404451955E-2</v>
      </c>
      <c r="BC66" s="207">
        <f t="shared" si="156"/>
        <v>9.0832516678771069E-2</v>
      </c>
      <c r="BD66" s="208">
        <f t="shared" si="156"/>
        <v>9.2323910337678131E-2</v>
      </c>
      <c r="BE66" s="208">
        <f t="shared" si="156"/>
        <v>9.4444380559830968E-2</v>
      </c>
      <c r="BF66" s="209">
        <f t="shared" si="156"/>
        <v>9.5166673223408466E-2</v>
      </c>
      <c r="BG66" s="88">
        <f t="shared" si="156"/>
        <v>9.9253675221292401E-2</v>
      </c>
      <c r="BH66" s="207">
        <f t="shared" si="157"/>
        <v>9.4177873581825999E-2</v>
      </c>
      <c r="BI66" s="208">
        <f t="shared" si="157"/>
        <v>9.251700141784476E-2</v>
      </c>
      <c r="BJ66" s="208">
        <f t="shared" si="157"/>
        <v>9.2148224651067687E-2</v>
      </c>
      <c r="BK66" s="209">
        <f t="shared" si="157"/>
        <v>9.2638944683760063E-2</v>
      </c>
      <c r="BL66" s="88">
        <f t="shared" si="157"/>
        <v>9.6599477339176704E-2</v>
      </c>
      <c r="BM66" s="207">
        <f t="shared" ref="BM66:BQ66" si="161">+BM238</f>
        <v>9.1799663521303226E-2</v>
      </c>
      <c r="BN66" s="208">
        <f t="shared" si="161"/>
        <v>9.1343351646757137E-2</v>
      </c>
      <c r="BO66" s="208">
        <f t="shared" si="161"/>
        <v>9.2357736001704493E-2</v>
      </c>
      <c r="BP66" s="209">
        <f t="shared" si="161"/>
        <v>9.2587204950128607E-2</v>
      </c>
      <c r="BQ66" s="88">
        <f t="shared" si="161"/>
        <v>9.6557037757138725E-2</v>
      </c>
      <c r="BR66" s="288"/>
    </row>
    <row r="67" spans="1:104" x14ac:dyDescent="0.2">
      <c r="C67" s="301" t="s">
        <v>255</v>
      </c>
      <c r="D67" s="302"/>
      <c r="E67" s="303"/>
      <c r="F67" s="304"/>
      <c r="G67" s="304"/>
      <c r="H67" s="305"/>
      <c r="I67" s="306">
        <f>+I239</f>
        <v>7.6351579477885387E-2</v>
      </c>
      <c r="J67" s="307"/>
      <c r="K67" s="308"/>
      <c r="L67" s="308"/>
      <c r="M67" s="309"/>
      <c r="N67" s="306">
        <f>+N239</f>
        <v>8.5865887436444521E-2</v>
      </c>
      <c r="O67" s="307"/>
      <c r="P67" s="308"/>
      <c r="Q67" s="308"/>
      <c r="R67" s="309"/>
      <c r="S67" s="306">
        <f>+S239</f>
        <v>8.9639713342896041E-2</v>
      </c>
      <c r="T67" s="307"/>
      <c r="U67" s="308"/>
      <c r="V67" s="308"/>
      <c r="W67" s="309"/>
      <c r="X67" s="306">
        <f>+X239</f>
        <v>9.3872493879894506E-2</v>
      </c>
      <c r="Y67" s="307"/>
      <c r="Z67" s="308"/>
      <c r="AA67" s="308"/>
      <c r="AB67" s="309"/>
      <c r="AC67" s="306">
        <f>+AC239</f>
        <v>7.319292670991738E-2</v>
      </c>
      <c r="AD67" s="307"/>
      <c r="AE67" s="308"/>
      <c r="AF67" s="308"/>
      <c r="AG67" s="309"/>
      <c r="AH67" s="306">
        <f>+AH239</f>
        <v>8.8044205093717298E-2</v>
      </c>
      <c r="AI67" s="307"/>
      <c r="AJ67" s="308"/>
      <c r="AK67" s="308"/>
      <c r="AL67" s="309"/>
      <c r="AM67" s="306">
        <f>+AM239</f>
        <v>7.3881019576634246E-2</v>
      </c>
      <c r="AN67" s="307"/>
      <c r="AO67" s="308"/>
      <c r="AP67" s="308"/>
      <c r="AQ67" s="309"/>
      <c r="AR67" s="306">
        <f>+AR239</f>
        <v>7.8065418302829856E-2</v>
      </c>
      <c r="AS67" s="307"/>
      <c r="AT67" s="308"/>
      <c r="AU67" s="308"/>
      <c r="AV67" s="309"/>
      <c r="AW67" s="306">
        <f>+AW239</f>
        <v>7.5082024917371468E-2</v>
      </c>
      <c r="AX67" s="307"/>
      <c r="AY67" s="308"/>
      <c r="AZ67" s="308"/>
      <c r="BA67" s="309"/>
      <c r="BB67" s="306">
        <f>+BB239</f>
        <v>7.8844060106066635E-2</v>
      </c>
      <c r="BC67" s="307"/>
      <c r="BD67" s="308"/>
      <c r="BE67" s="308"/>
      <c r="BF67" s="309"/>
      <c r="BG67" s="306">
        <f>+BG239</f>
        <v>8.6033699441187911E-2</v>
      </c>
      <c r="BH67" s="307"/>
      <c r="BI67" s="308"/>
      <c r="BJ67" s="308"/>
      <c r="BK67" s="309"/>
      <c r="BL67" s="306">
        <f>+BL239</f>
        <v>8.9268631191056894E-2</v>
      </c>
      <c r="BM67" s="307"/>
      <c r="BN67" s="308"/>
      <c r="BO67" s="308"/>
      <c r="BP67" s="309"/>
      <c r="BQ67" s="306">
        <f>+BQ239</f>
        <v>9.225569509197909E-2</v>
      </c>
      <c r="BR67" s="288"/>
    </row>
    <row r="68" spans="1:104" x14ac:dyDescent="0.2">
      <c r="C68" s="26"/>
      <c r="E68" s="273"/>
      <c r="F68" s="274"/>
      <c r="G68" s="274"/>
      <c r="H68" s="275"/>
      <c r="I68" s="169"/>
      <c r="J68" s="273"/>
      <c r="K68" s="274"/>
      <c r="L68" s="274"/>
      <c r="M68" s="275"/>
      <c r="N68" s="169"/>
      <c r="O68" s="273"/>
      <c r="P68" s="274"/>
      <c r="Q68" s="274"/>
      <c r="R68" s="275"/>
      <c r="S68" s="169"/>
      <c r="T68" s="273"/>
      <c r="U68" s="274"/>
      <c r="V68" s="274"/>
      <c r="W68" s="275"/>
      <c r="X68" s="169"/>
      <c r="Y68" s="273"/>
      <c r="Z68" s="274"/>
      <c r="AA68" s="274"/>
      <c r="AB68" s="275"/>
      <c r="AC68" s="169"/>
      <c r="AD68" s="273"/>
      <c r="AE68" s="274"/>
      <c r="AF68" s="274"/>
      <c r="AG68" s="275"/>
      <c r="AH68" s="169"/>
      <c r="AI68" s="273"/>
      <c r="AJ68" s="274"/>
      <c r="AK68" s="274"/>
      <c r="AL68" s="275"/>
      <c r="AM68" s="169"/>
      <c r="AN68" s="273"/>
      <c r="AO68" s="274"/>
      <c r="AP68" s="274"/>
      <c r="AQ68" s="275"/>
      <c r="AR68" s="898"/>
      <c r="AS68" s="899"/>
      <c r="AT68" s="900"/>
      <c r="AU68" s="900"/>
      <c r="AV68" s="901"/>
      <c r="AW68" s="898"/>
      <c r="AX68" s="899"/>
      <c r="AY68" s="900"/>
      <c r="AZ68" s="900"/>
      <c r="BA68" s="901"/>
      <c r="BB68" s="898"/>
      <c r="BC68" s="899"/>
      <c r="BD68" s="900"/>
      <c r="BE68" s="900"/>
      <c r="BF68" s="901"/>
      <c r="BG68" s="898"/>
      <c r="BH68" s="899"/>
      <c r="BI68" s="900"/>
      <c r="BJ68" s="900"/>
      <c r="BK68" s="901"/>
      <c r="BL68" s="898"/>
      <c r="BM68" s="899"/>
      <c r="BN68" s="900"/>
      <c r="BO68" s="900"/>
      <c r="BP68" s="901"/>
      <c r="BQ68" s="898"/>
    </row>
    <row r="69" spans="1:104" x14ac:dyDescent="0.2">
      <c r="C69" s="26"/>
      <c r="E69" s="273"/>
      <c r="F69" s="274"/>
      <c r="G69" s="274"/>
      <c r="H69" s="275"/>
      <c r="I69" s="169"/>
      <c r="J69" s="273"/>
      <c r="K69" s="274"/>
      <c r="L69" s="274"/>
      <c r="M69" s="275"/>
      <c r="N69" s="169"/>
      <c r="O69" s="273"/>
      <c r="P69" s="274"/>
      <c r="Q69" s="274"/>
      <c r="R69" s="275"/>
      <c r="S69" s="169"/>
      <c r="T69" s="273"/>
      <c r="U69" s="274"/>
      <c r="V69" s="274"/>
      <c r="W69" s="275"/>
      <c r="X69" s="169"/>
      <c r="Y69" s="273"/>
      <c r="Z69" s="274"/>
      <c r="AA69" s="274"/>
      <c r="AB69" s="275"/>
      <c r="AC69" s="169"/>
      <c r="AD69" s="273"/>
      <c r="AE69" s="274"/>
      <c r="AF69" s="274"/>
      <c r="AG69" s="275"/>
      <c r="AH69" s="169"/>
      <c r="AI69" s="273"/>
      <c r="AJ69" s="274"/>
      <c r="AK69" s="274"/>
      <c r="AL69" s="275"/>
      <c r="AM69" s="169"/>
      <c r="AN69" s="273"/>
      <c r="AO69" s="274"/>
      <c r="AP69" s="274"/>
      <c r="AQ69" s="275"/>
      <c r="AR69" s="897"/>
      <c r="AS69" s="902"/>
      <c r="AT69" s="903"/>
      <c r="AU69" s="903"/>
      <c r="AV69" s="904"/>
      <c r="AW69" s="897"/>
      <c r="AX69" s="902"/>
      <c r="AY69" s="903"/>
      <c r="AZ69" s="903"/>
      <c r="BA69" s="904"/>
      <c r="BB69" s="897"/>
      <c r="BC69" s="902"/>
      <c r="BD69" s="903"/>
      <c r="BE69" s="903"/>
      <c r="BF69" s="904"/>
      <c r="BG69" s="897"/>
      <c r="BH69" s="902"/>
      <c r="BI69" s="903"/>
      <c r="BJ69" s="903"/>
      <c r="BK69" s="904"/>
      <c r="BL69" s="897"/>
      <c r="BM69" s="902"/>
      <c r="BN69" s="903"/>
      <c r="BO69" s="903"/>
      <c r="BP69" s="904"/>
      <c r="BQ69" s="897"/>
    </row>
    <row r="70" spans="1:104" x14ac:dyDescent="0.2">
      <c r="B70" s="16" t="s">
        <v>256</v>
      </c>
      <c r="C70" s="16"/>
      <c r="D70" s="17"/>
      <c r="E70" s="273"/>
      <c r="F70" s="274"/>
      <c r="G70" s="274"/>
      <c r="H70" s="275"/>
      <c r="I70" s="169"/>
      <c r="J70" s="273"/>
      <c r="K70" s="274"/>
      <c r="L70" s="274"/>
      <c r="M70" s="275"/>
      <c r="N70" s="169"/>
      <c r="O70" s="273"/>
      <c r="P70" s="274"/>
      <c r="Q70" s="274"/>
      <c r="R70" s="275"/>
      <c r="S70" s="169"/>
      <c r="T70" s="273"/>
      <c r="U70" s="274"/>
      <c r="V70" s="274"/>
      <c r="W70" s="275"/>
      <c r="X70" s="169"/>
      <c r="Y70" s="273"/>
      <c r="Z70" s="274"/>
      <c r="AA70" s="274"/>
      <c r="AB70" s="275"/>
      <c r="AC70" s="169"/>
      <c r="AD70" s="273"/>
      <c r="AE70" s="274"/>
      <c r="AF70" s="274"/>
      <c r="AG70" s="275"/>
      <c r="AH70" s="169"/>
      <c r="AI70" s="273"/>
      <c r="AJ70" s="274"/>
      <c r="AK70" s="274"/>
      <c r="AL70" s="275"/>
      <c r="AM70" s="169"/>
      <c r="AN70" s="273"/>
      <c r="AO70" s="274"/>
      <c r="AP70" s="274"/>
      <c r="AQ70" s="275"/>
      <c r="AR70" s="169"/>
      <c r="AS70" s="273"/>
      <c r="AT70" s="274"/>
      <c r="AU70" s="274"/>
      <c r="AV70" s="275"/>
      <c r="AW70" s="169"/>
      <c r="AX70" s="273"/>
      <c r="AY70" s="274"/>
      <c r="AZ70" s="274"/>
      <c r="BA70" s="275"/>
      <c r="BB70" s="169"/>
      <c r="BC70" s="273"/>
      <c r="BD70" s="274"/>
      <c r="BE70" s="274"/>
      <c r="BF70" s="275"/>
      <c r="BG70" s="169"/>
      <c r="BH70" s="273"/>
      <c r="BI70" s="274"/>
      <c r="BJ70" s="274"/>
      <c r="BK70" s="275"/>
      <c r="BL70" s="169"/>
      <c r="BM70" s="273"/>
      <c r="BN70" s="274"/>
      <c r="BO70" s="274"/>
      <c r="BP70" s="275"/>
      <c r="BQ70" s="169"/>
    </row>
    <row r="71" spans="1:104" x14ac:dyDescent="0.2">
      <c r="A71" s="610"/>
      <c r="B71" s="610"/>
      <c r="C71" s="562" t="s">
        <v>411</v>
      </c>
      <c r="D71" s="610"/>
      <c r="E71" s="273"/>
      <c r="F71" s="611"/>
      <c r="G71" s="617"/>
      <c r="H71" s="275"/>
      <c r="I71" s="612"/>
      <c r="J71" s="273"/>
      <c r="K71" s="611"/>
      <c r="L71" s="611"/>
      <c r="M71" s="275"/>
      <c r="N71" s="612"/>
      <c r="O71" s="273"/>
      <c r="P71" s="611"/>
      <c r="Q71" s="611"/>
      <c r="R71" s="275"/>
      <c r="S71" s="612"/>
      <c r="T71" s="273"/>
      <c r="U71" s="611"/>
      <c r="V71" s="611"/>
      <c r="W71" s="275"/>
      <c r="X71" s="612"/>
      <c r="Y71" s="273"/>
      <c r="Z71" s="611"/>
      <c r="AA71" s="611"/>
      <c r="AB71" s="275"/>
      <c r="AC71" s="612"/>
      <c r="AD71" s="273"/>
      <c r="AE71" s="611"/>
      <c r="AF71" s="611"/>
      <c r="AG71" s="275"/>
      <c r="AH71" s="612"/>
      <c r="AI71" s="273"/>
      <c r="AJ71" s="611"/>
      <c r="AK71" s="611"/>
      <c r="AL71" s="275"/>
      <c r="AM71" s="612"/>
      <c r="AN71" s="273"/>
      <c r="AO71" s="611"/>
      <c r="AP71" s="611"/>
      <c r="AQ71" s="275"/>
      <c r="AR71" s="612"/>
      <c r="AS71" s="273"/>
      <c r="AT71" s="611"/>
      <c r="AU71" s="611"/>
      <c r="AV71" s="275"/>
      <c r="AW71" s="612"/>
      <c r="AX71" s="273"/>
      <c r="AY71" s="611"/>
      <c r="AZ71" s="611"/>
      <c r="BA71" s="275"/>
      <c r="BB71" s="612"/>
      <c r="BC71" s="273"/>
      <c r="BD71" s="611"/>
      <c r="BE71" s="611"/>
      <c r="BF71" s="275"/>
      <c r="BG71" s="612"/>
      <c r="BH71" s="273"/>
      <c r="BI71" s="611"/>
      <c r="BJ71" s="611"/>
      <c r="BK71" s="275"/>
      <c r="BL71" s="612"/>
      <c r="BM71" s="273"/>
      <c r="BN71" s="611"/>
      <c r="BO71" s="611"/>
      <c r="BP71" s="275"/>
      <c r="BQ71" s="612"/>
      <c r="BR71" s="610"/>
      <c r="BS71" s="610"/>
      <c r="BT71" s="610"/>
      <c r="BU71" s="610"/>
      <c r="BV71" s="610"/>
      <c r="BW71" s="610"/>
      <c r="BX71" s="610"/>
      <c r="BY71" s="610"/>
      <c r="BZ71" s="610"/>
      <c r="CA71" s="610"/>
      <c r="CB71" s="610"/>
      <c r="CC71" s="610"/>
      <c r="CD71" s="610"/>
      <c r="CE71" s="610"/>
      <c r="CF71" s="610"/>
      <c r="CG71" s="610"/>
      <c r="CH71" s="610"/>
      <c r="CI71" s="610"/>
      <c r="CJ71" s="610"/>
      <c r="CK71" s="610"/>
      <c r="CL71" s="610"/>
      <c r="CM71" s="610"/>
      <c r="CN71" s="610"/>
      <c r="CO71" s="610"/>
      <c r="CP71" s="610"/>
      <c r="CQ71" s="610"/>
      <c r="CR71" s="610"/>
      <c r="CS71" s="610"/>
      <c r="CT71" s="610"/>
      <c r="CU71" s="610"/>
      <c r="CV71" s="610"/>
      <c r="CW71" s="610"/>
      <c r="CX71" s="610"/>
    </row>
    <row r="72" spans="1:104" x14ac:dyDescent="0.2">
      <c r="A72" s="610"/>
      <c r="B72" s="610"/>
      <c r="C72" s="610" t="s">
        <v>273</v>
      </c>
      <c r="D72" s="610"/>
      <c r="E72" s="114">
        <v>77.891999999999996</v>
      </c>
      <c r="F72" s="133">
        <v>62.39</v>
      </c>
      <c r="G72" s="133">
        <v>82.733000000000004</v>
      </c>
      <c r="H72" s="116">
        <f>I72-SUM(E72:G72)</f>
        <v>61.747000000000014</v>
      </c>
      <c r="I72" s="613">
        <v>284.762</v>
      </c>
      <c r="J72" s="114">
        <v>72.471999999999994</v>
      </c>
      <c r="K72" s="133">
        <v>67.7</v>
      </c>
      <c r="L72" s="133">
        <v>102.114</v>
      </c>
      <c r="M72" s="116">
        <f>N72-SUM(J72:L72)</f>
        <v>57.887</v>
      </c>
      <c r="N72" s="613">
        <v>300.173</v>
      </c>
      <c r="O72" s="114">
        <v>69.141000000000005</v>
      </c>
      <c r="P72" s="133">
        <v>72.632999999999996</v>
      </c>
      <c r="Q72" s="133">
        <v>112.681</v>
      </c>
      <c r="R72" s="116">
        <f>S72-SUM(O72:Q72)</f>
        <v>67.078000000000031</v>
      </c>
      <c r="S72" s="613">
        <v>321.53300000000002</v>
      </c>
      <c r="T72" s="114">
        <v>73.183999999999997</v>
      </c>
      <c r="U72" s="133">
        <v>70.358999999999995</v>
      </c>
      <c r="V72" s="133">
        <v>106.839</v>
      </c>
      <c r="W72" s="116">
        <f>X72-SUM(T72:V72)</f>
        <v>59.091999999999985</v>
      </c>
      <c r="X72" s="613">
        <v>309.47399999999999</v>
      </c>
      <c r="Y72" s="114">
        <v>72.622</v>
      </c>
      <c r="Z72" s="133">
        <v>75.286000000000001</v>
      </c>
      <c r="AA72" s="133">
        <v>112.358</v>
      </c>
      <c r="AB72" s="116">
        <f>AC72-SUM(Y72:AA72)</f>
        <v>70.221000000000004</v>
      </c>
      <c r="AC72" s="613">
        <v>330.48700000000002</v>
      </c>
      <c r="AD72" s="114">
        <v>86.460999999999999</v>
      </c>
      <c r="AE72" s="133">
        <v>81.912999999999997</v>
      </c>
      <c r="AF72" s="133">
        <v>119.47</v>
      </c>
      <c r="AG72" s="116">
        <f>AH72-SUM(AD72:AF72)</f>
        <v>75.997000000000014</v>
      </c>
      <c r="AH72" s="613">
        <v>363.84100000000001</v>
      </c>
      <c r="AI72" s="114">
        <v>93.238</v>
      </c>
      <c r="AJ72" s="133">
        <v>74.131</v>
      </c>
      <c r="AK72" s="133">
        <v>115.23099999999999</v>
      </c>
      <c r="AL72" s="116">
        <f>AM72-SUM(AI72:AK72)</f>
        <v>65.365999999999985</v>
      </c>
      <c r="AM72" s="613">
        <v>347.96600000000001</v>
      </c>
      <c r="AN72" s="114">
        <v>81.191000000000003</v>
      </c>
      <c r="AO72" s="133">
        <v>72.061000000000007</v>
      </c>
      <c r="AP72" s="133">
        <v>117.646</v>
      </c>
      <c r="AQ72" s="116">
        <f>AR72-SUM(AN72:AP72)</f>
        <v>72.576999999999998</v>
      </c>
      <c r="AR72" s="613">
        <v>343.47500000000002</v>
      </c>
      <c r="AS72" s="114">
        <v>85.185000000000002</v>
      </c>
      <c r="AT72" s="133">
        <v>85.016999999999996</v>
      </c>
      <c r="AU72" s="133">
        <f>288.535707-SUM(AS72:AT72)</f>
        <v>118.333707</v>
      </c>
      <c r="AV72" s="116">
        <f>AW72-SUM(AS72:AU72)</f>
        <v>78.698292999999978</v>
      </c>
      <c r="AW72" s="613">
        <v>367.23399999999998</v>
      </c>
      <c r="AX72" s="121"/>
      <c r="AY72" s="130"/>
      <c r="AZ72" s="130"/>
      <c r="BA72" s="123"/>
      <c r="BB72" s="612"/>
      <c r="BC72" s="121"/>
      <c r="BD72" s="130"/>
      <c r="BE72" s="130"/>
      <c r="BF72" s="123"/>
      <c r="BG72" s="612"/>
      <c r="BH72" s="121"/>
      <c r="BI72" s="130"/>
      <c r="BJ72" s="130"/>
      <c r="BK72" s="123"/>
      <c r="BL72" s="612"/>
      <c r="BM72" s="121"/>
      <c r="BN72" s="130"/>
      <c r="BO72" s="130"/>
      <c r="BP72" s="123"/>
      <c r="BQ72" s="612"/>
      <c r="BR72" s="610"/>
      <c r="BS72" s="610"/>
      <c r="BT72" s="610"/>
      <c r="BU72" s="610"/>
      <c r="BV72" s="610"/>
      <c r="BW72" s="610"/>
      <c r="BX72" s="610"/>
      <c r="BY72" s="610"/>
      <c r="BZ72" s="610"/>
      <c r="CA72" s="610"/>
      <c r="CB72" s="610"/>
      <c r="CC72" s="610"/>
      <c r="CD72" s="610"/>
      <c r="CE72" s="610"/>
      <c r="CF72" s="610"/>
      <c r="CG72" s="610"/>
      <c r="CH72" s="610"/>
      <c r="CI72" s="610"/>
      <c r="CJ72" s="610"/>
      <c r="CK72" s="610"/>
      <c r="CL72" s="610"/>
      <c r="CM72" s="610"/>
      <c r="CN72" s="610"/>
      <c r="CO72" s="610"/>
      <c r="CP72" s="610"/>
      <c r="CQ72" s="610"/>
      <c r="CR72" s="610"/>
      <c r="CS72" s="610"/>
      <c r="CT72" s="610"/>
      <c r="CU72" s="610"/>
      <c r="CV72" s="610"/>
      <c r="CW72" s="610"/>
      <c r="CX72" s="610"/>
    </row>
    <row r="73" spans="1:104" x14ac:dyDescent="0.2">
      <c r="A73" s="610"/>
      <c r="B73" s="610"/>
      <c r="C73" s="610" t="s">
        <v>412</v>
      </c>
      <c r="D73" s="610"/>
      <c r="E73" s="114">
        <v>90.486000000000004</v>
      </c>
      <c r="F73" s="133">
        <v>75.814999999999998</v>
      </c>
      <c r="G73" s="133">
        <v>78.953000000000003</v>
      </c>
      <c r="H73" s="116">
        <f>I73-SUM(E73:G73)</f>
        <v>74.347999999999985</v>
      </c>
      <c r="I73" s="613">
        <v>319.60199999999998</v>
      </c>
      <c r="J73" s="114">
        <v>74.245999999999995</v>
      </c>
      <c r="K73" s="133">
        <v>82.463999999999999</v>
      </c>
      <c r="L73" s="133">
        <v>102.913</v>
      </c>
      <c r="M73" s="116">
        <f>N73-SUM(J73:L73)</f>
        <v>73.470000000000027</v>
      </c>
      <c r="N73" s="613">
        <v>333.09300000000002</v>
      </c>
      <c r="O73" s="114">
        <v>67.813000000000002</v>
      </c>
      <c r="P73" s="133">
        <v>86.144999999999996</v>
      </c>
      <c r="Q73" s="133">
        <v>104.7</v>
      </c>
      <c r="R73" s="116">
        <f>S73-SUM(O73:Q73)</f>
        <v>74.846000000000004</v>
      </c>
      <c r="S73" s="613">
        <v>333.50400000000002</v>
      </c>
      <c r="T73" s="114">
        <v>67.623999999999995</v>
      </c>
      <c r="U73" s="133">
        <v>80.905000000000001</v>
      </c>
      <c r="V73" s="133">
        <v>96.789000000000001</v>
      </c>
      <c r="W73" s="116">
        <f>X73-SUM(T73:V73)</f>
        <v>69.208000000000027</v>
      </c>
      <c r="X73" s="613">
        <v>314.52600000000001</v>
      </c>
      <c r="Y73" s="114">
        <v>70.75</v>
      </c>
      <c r="Z73" s="133">
        <v>88.385000000000005</v>
      </c>
      <c r="AA73" s="133">
        <v>110.66500000000001</v>
      </c>
      <c r="AB73" s="116">
        <f>AC73-SUM(Y73:AA73)</f>
        <v>82.050999999999988</v>
      </c>
      <c r="AC73" s="613">
        <v>351.851</v>
      </c>
      <c r="AD73" s="114">
        <v>78.994</v>
      </c>
      <c r="AE73" s="133">
        <v>100.82</v>
      </c>
      <c r="AF73" s="133">
        <v>113.24299999999999</v>
      </c>
      <c r="AG73" s="116">
        <f>AH73-SUM(AD73:AF73)</f>
        <v>86.500999999999976</v>
      </c>
      <c r="AH73" s="613">
        <v>379.55799999999999</v>
      </c>
      <c r="AI73" s="114">
        <v>85.995999999999995</v>
      </c>
      <c r="AJ73" s="133">
        <v>85.870999999999995</v>
      </c>
      <c r="AK73" s="133">
        <v>105.499</v>
      </c>
      <c r="AL73" s="116">
        <f>AM73-SUM(AI73:AK73)</f>
        <v>76.084000000000003</v>
      </c>
      <c r="AM73" s="613">
        <v>353.45</v>
      </c>
      <c r="AN73" s="114">
        <v>72.972999999999999</v>
      </c>
      <c r="AO73" s="133">
        <v>78.605999999999995</v>
      </c>
      <c r="AP73" s="133">
        <v>102.836</v>
      </c>
      <c r="AQ73" s="116">
        <f>AR73-SUM(AN73:AP73)</f>
        <v>68.183999999999969</v>
      </c>
      <c r="AR73" s="613">
        <v>322.59899999999999</v>
      </c>
      <c r="AS73" s="114">
        <v>90.316000000000003</v>
      </c>
      <c r="AT73" s="133">
        <v>91.376000000000005</v>
      </c>
      <c r="AU73" s="133">
        <f>289.243529-SUM(AS73:AT73)</f>
        <v>107.55152900000002</v>
      </c>
      <c r="AV73" s="116">
        <f>AW73-SUM(AS73:AU73)</f>
        <v>86.717470999999989</v>
      </c>
      <c r="AW73" s="613">
        <v>375.96100000000001</v>
      </c>
      <c r="AX73" s="121"/>
      <c r="AY73" s="130"/>
      <c r="AZ73" s="130"/>
      <c r="BA73" s="123"/>
      <c r="BB73" s="612"/>
      <c r="BC73" s="121"/>
      <c r="BD73" s="130"/>
      <c r="BE73" s="130"/>
      <c r="BF73" s="123"/>
      <c r="BG73" s="612"/>
      <c r="BH73" s="121"/>
      <c r="BI73" s="130"/>
      <c r="BJ73" s="130"/>
      <c r="BK73" s="123"/>
      <c r="BL73" s="612"/>
      <c r="BM73" s="121"/>
      <c r="BN73" s="130"/>
      <c r="BO73" s="130"/>
      <c r="BP73" s="123"/>
      <c r="BQ73" s="612"/>
      <c r="BR73" s="610"/>
      <c r="BS73" s="610"/>
      <c r="BT73" s="610"/>
      <c r="BU73" s="610"/>
      <c r="BV73" s="610"/>
      <c r="BW73" s="610"/>
      <c r="BX73" s="610"/>
      <c r="BY73" s="610"/>
      <c r="BZ73" s="610"/>
      <c r="CA73" s="610"/>
      <c r="CB73" s="610"/>
      <c r="CC73" s="610"/>
      <c r="CD73" s="610"/>
      <c r="CE73" s="610"/>
      <c r="CF73" s="610"/>
      <c r="CG73" s="610"/>
      <c r="CH73" s="610"/>
      <c r="CI73" s="610"/>
      <c r="CJ73" s="610"/>
      <c r="CK73" s="610"/>
      <c r="CL73" s="610"/>
      <c r="CM73" s="610"/>
      <c r="CN73" s="610"/>
      <c r="CO73" s="610"/>
      <c r="CP73" s="610"/>
      <c r="CQ73" s="610"/>
      <c r="CR73" s="610"/>
      <c r="CS73" s="610"/>
      <c r="CT73" s="610"/>
      <c r="CU73" s="610"/>
      <c r="CV73" s="610"/>
      <c r="CW73" s="610"/>
      <c r="CX73" s="610"/>
    </row>
    <row r="74" spans="1:104" x14ac:dyDescent="0.2">
      <c r="A74" s="610"/>
      <c r="B74" s="610"/>
      <c r="C74" s="610" t="s">
        <v>413</v>
      </c>
      <c r="D74" s="610"/>
      <c r="E74" s="114">
        <v>131.14400000000001</v>
      </c>
      <c r="F74" s="133">
        <v>91.876999999999995</v>
      </c>
      <c r="G74" s="133">
        <v>70.977999999999994</v>
      </c>
      <c r="H74" s="116">
        <f>I74-SUM(E74:G74)</f>
        <v>89.685999999999979</v>
      </c>
      <c r="I74" s="613">
        <v>383.685</v>
      </c>
      <c r="J74" s="114">
        <v>91.897000000000006</v>
      </c>
      <c r="K74" s="133">
        <v>98.629000000000005</v>
      </c>
      <c r="L74" s="133">
        <v>114.953</v>
      </c>
      <c r="M74" s="116">
        <f>N74-SUM(J74:L74)</f>
        <v>94.90399999999994</v>
      </c>
      <c r="N74" s="613">
        <v>400.38299999999998</v>
      </c>
      <c r="O74" s="114">
        <v>94.233000000000004</v>
      </c>
      <c r="P74" s="133">
        <v>103.438</v>
      </c>
      <c r="Q74" s="133">
        <v>119.79</v>
      </c>
      <c r="R74" s="116">
        <f>S74-SUM(O74:Q74)</f>
        <v>100.92699999999996</v>
      </c>
      <c r="S74" s="613">
        <v>418.38799999999998</v>
      </c>
      <c r="T74" s="114">
        <v>100.578</v>
      </c>
      <c r="U74" s="133">
        <v>93.465000000000003</v>
      </c>
      <c r="V74" s="133">
        <v>105.682</v>
      </c>
      <c r="W74" s="116">
        <f>X74-SUM(T74:V74)</f>
        <v>79.996999999999957</v>
      </c>
      <c r="X74" s="613">
        <v>379.72199999999998</v>
      </c>
      <c r="Y74" s="114">
        <v>91.013000000000005</v>
      </c>
      <c r="Z74" s="133">
        <v>108.63200000000001</v>
      </c>
      <c r="AA74" s="133">
        <v>130.57</v>
      </c>
      <c r="AB74" s="116">
        <f>AC74-SUM(Y74:AA74)</f>
        <v>114.82799999999997</v>
      </c>
      <c r="AC74" s="613">
        <v>445.04300000000001</v>
      </c>
      <c r="AD74" s="114">
        <v>113.389</v>
      </c>
      <c r="AE74" s="133">
        <v>128.495</v>
      </c>
      <c r="AF74" s="133">
        <v>147.43</v>
      </c>
      <c r="AG74" s="116">
        <f>AH74-SUM(AD74:AF74)</f>
        <v>127.334</v>
      </c>
      <c r="AH74" s="613">
        <v>516.64800000000002</v>
      </c>
      <c r="AI74" s="114">
        <v>114.91200000000001</v>
      </c>
      <c r="AJ74" s="133">
        <v>109.265</v>
      </c>
      <c r="AK74" s="133">
        <v>123.486</v>
      </c>
      <c r="AL74" s="116">
        <f>AM74-SUM(AI74:AK74)</f>
        <v>98.19</v>
      </c>
      <c r="AM74" s="613">
        <v>445.85300000000001</v>
      </c>
      <c r="AN74" s="114">
        <v>106.806</v>
      </c>
      <c r="AO74" s="133">
        <v>108.91500000000001</v>
      </c>
      <c r="AP74" s="133">
        <v>123.161</v>
      </c>
      <c r="AQ74" s="116">
        <f>AR74-SUM(AN74:AP74)</f>
        <v>123.69400000000002</v>
      </c>
      <c r="AR74" s="613">
        <v>462.57600000000002</v>
      </c>
      <c r="AS74" s="114">
        <v>122.989</v>
      </c>
      <c r="AT74" s="133">
        <v>124.883</v>
      </c>
      <c r="AU74" s="133">
        <f>390.984458-SUM(AS74:AT74)</f>
        <v>143.112458</v>
      </c>
      <c r="AV74" s="116">
        <f>AW74-SUM(AS74:AU74)</f>
        <v>125.80154199999993</v>
      </c>
      <c r="AW74" s="613">
        <v>516.78599999999994</v>
      </c>
      <c r="AX74" s="121"/>
      <c r="AY74" s="130"/>
      <c r="AZ74" s="130"/>
      <c r="BA74" s="123"/>
      <c r="BB74" s="612"/>
      <c r="BC74" s="121"/>
      <c r="BD74" s="130"/>
      <c r="BE74" s="130"/>
      <c r="BF74" s="123"/>
      <c r="BG74" s="612"/>
      <c r="BH74" s="121"/>
      <c r="BI74" s="130"/>
      <c r="BJ74" s="130"/>
      <c r="BK74" s="123"/>
      <c r="BL74" s="612"/>
      <c r="BM74" s="121"/>
      <c r="BN74" s="130"/>
      <c r="BO74" s="130"/>
      <c r="BP74" s="123"/>
      <c r="BQ74" s="612"/>
      <c r="BR74" s="610"/>
      <c r="BS74" s="610"/>
      <c r="BT74" s="610"/>
      <c r="BU74" s="610"/>
      <c r="BV74" s="610"/>
      <c r="BW74" s="610"/>
      <c r="BX74" s="610"/>
      <c r="BY74" s="610"/>
      <c r="BZ74" s="610"/>
      <c r="CA74" s="610"/>
      <c r="CB74" s="610"/>
      <c r="CC74" s="610"/>
      <c r="CD74" s="610"/>
      <c r="CE74" s="610"/>
      <c r="CF74" s="610"/>
      <c r="CG74" s="610"/>
      <c r="CH74" s="610"/>
      <c r="CI74" s="610"/>
      <c r="CJ74" s="610"/>
      <c r="CK74" s="610"/>
      <c r="CL74" s="610"/>
      <c r="CM74" s="610"/>
      <c r="CN74" s="610"/>
      <c r="CO74" s="610"/>
      <c r="CP74" s="610"/>
      <c r="CQ74" s="610"/>
      <c r="CR74" s="610"/>
      <c r="CS74" s="610"/>
      <c r="CT74" s="610"/>
      <c r="CU74" s="610"/>
      <c r="CV74" s="610"/>
      <c r="CW74" s="610"/>
      <c r="CX74" s="610"/>
    </row>
    <row r="75" spans="1:104" x14ac:dyDescent="0.2">
      <c r="A75" s="610"/>
      <c r="B75" s="610"/>
      <c r="C75" s="610" t="s">
        <v>415</v>
      </c>
      <c r="D75" s="610"/>
      <c r="E75" s="114">
        <v>8.5459999999999994</v>
      </c>
      <c r="F75" s="133">
        <v>9.3360000000000003</v>
      </c>
      <c r="G75" s="133">
        <v>9.0419999999999998</v>
      </c>
      <c r="H75" s="116">
        <f>I75-SUM(E75:G75)</f>
        <v>8.0200000000000031</v>
      </c>
      <c r="I75" s="613">
        <v>34.944000000000003</v>
      </c>
      <c r="J75" s="114">
        <v>8.577</v>
      </c>
      <c r="K75" s="133">
        <v>9.5410000000000004</v>
      </c>
      <c r="L75" s="133">
        <v>12.093</v>
      </c>
      <c r="M75" s="116">
        <f>N75-SUM(J75:L75)</f>
        <v>8.718</v>
      </c>
      <c r="N75" s="613">
        <v>38.929000000000002</v>
      </c>
      <c r="O75" s="114">
        <v>8.4209999999999994</v>
      </c>
      <c r="P75" s="133">
        <v>10.962</v>
      </c>
      <c r="Q75" s="133">
        <v>13.406000000000001</v>
      </c>
      <c r="R75" s="116">
        <f>S75-SUM(O75:Q75)</f>
        <v>10.183999999999997</v>
      </c>
      <c r="S75" s="613">
        <v>42.972999999999999</v>
      </c>
      <c r="T75" s="114">
        <v>9.2490000000000006</v>
      </c>
      <c r="U75" s="133">
        <v>10.513</v>
      </c>
      <c r="V75" s="133">
        <v>12.302</v>
      </c>
      <c r="W75" s="116">
        <f>X75-SUM(T75:V75)</f>
        <v>8.3680000000000021</v>
      </c>
      <c r="X75" s="613">
        <v>40.432000000000002</v>
      </c>
      <c r="Y75" s="114">
        <v>8.7859999999999996</v>
      </c>
      <c r="Z75" s="133">
        <v>11.228</v>
      </c>
      <c r="AA75" s="133">
        <v>13.388</v>
      </c>
      <c r="AB75" s="116">
        <f>AC75-SUM(Y75:AA75)</f>
        <v>9.6569999999999965</v>
      </c>
      <c r="AC75" s="613">
        <v>43.058999999999997</v>
      </c>
      <c r="AD75" s="114">
        <v>9.5549999999999997</v>
      </c>
      <c r="AE75" s="133">
        <v>12.375999999999999</v>
      </c>
      <c r="AF75" s="133">
        <v>14.223000000000001</v>
      </c>
      <c r="AG75" s="116">
        <f>AH75-SUM(AD75:AF75)</f>
        <v>10.762</v>
      </c>
      <c r="AH75" s="613">
        <v>46.915999999999997</v>
      </c>
      <c r="AI75" s="114">
        <v>10.048999999999999</v>
      </c>
      <c r="AJ75" s="133">
        <v>10.654999999999999</v>
      </c>
      <c r="AK75" s="133">
        <v>13.343999999999999</v>
      </c>
      <c r="AL75" s="116">
        <f>AM75-SUM(AI75:AK75)</f>
        <v>8.9149999999999991</v>
      </c>
      <c r="AM75" s="613">
        <v>42.963000000000001</v>
      </c>
      <c r="AN75" s="114">
        <v>9.4649999999999999</v>
      </c>
      <c r="AO75" s="133">
        <v>10.53</v>
      </c>
      <c r="AP75" s="133">
        <v>13.471</v>
      </c>
      <c r="AQ75" s="116">
        <f>AR75-SUM(AN75:AP75)</f>
        <v>11.426000000000009</v>
      </c>
      <c r="AR75" s="613">
        <v>44.892000000000003</v>
      </c>
      <c r="AS75" s="114">
        <v>10.518000000000001</v>
      </c>
      <c r="AT75" s="133">
        <v>12.298</v>
      </c>
      <c r="AU75" s="133">
        <f>(5.981495+30.791347)-SUM(AS75:AT75)</f>
        <v>13.956841999999995</v>
      </c>
      <c r="AV75" s="116">
        <f>AW75-SUM(AS75:AU75)</f>
        <v>11.272158000000005</v>
      </c>
      <c r="AW75" s="613">
        <v>48.045000000000002</v>
      </c>
      <c r="AX75" s="121"/>
      <c r="AY75" s="130"/>
      <c r="AZ75" s="130"/>
      <c r="BA75" s="123"/>
      <c r="BB75" s="612"/>
      <c r="BC75" s="121"/>
      <c r="BD75" s="130"/>
      <c r="BE75" s="130"/>
      <c r="BF75" s="123"/>
      <c r="BG75" s="612"/>
      <c r="BH75" s="121"/>
      <c r="BI75" s="130"/>
      <c r="BJ75" s="130"/>
      <c r="BK75" s="123"/>
      <c r="BL75" s="612"/>
      <c r="BM75" s="121"/>
      <c r="BN75" s="130"/>
      <c r="BO75" s="130"/>
      <c r="BP75" s="123"/>
      <c r="BQ75" s="612"/>
      <c r="BR75" s="610"/>
      <c r="BS75" s="610"/>
      <c r="BT75" s="610"/>
      <c r="BU75" s="610"/>
      <c r="BV75" s="610"/>
      <c r="BW75" s="610"/>
      <c r="BX75" s="610"/>
      <c r="BY75" s="610"/>
      <c r="BZ75" s="610"/>
      <c r="CA75" s="610"/>
      <c r="CB75" s="610"/>
      <c r="CC75" s="610"/>
      <c r="CD75" s="610"/>
      <c r="CE75" s="610"/>
      <c r="CF75" s="610"/>
      <c r="CG75" s="610"/>
      <c r="CH75" s="610"/>
      <c r="CI75" s="610"/>
      <c r="CJ75" s="610"/>
      <c r="CK75" s="610"/>
      <c r="CL75" s="610"/>
      <c r="CM75" s="610"/>
      <c r="CN75" s="610"/>
      <c r="CO75" s="610"/>
      <c r="CP75" s="610"/>
      <c r="CQ75" s="610"/>
      <c r="CR75" s="610"/>
      <c r="CS75" s="610"/>
      <c r="CT75" s="610"/>
      <c r="CU75" s="610"/>
      <c r="CV75" s="610"/>
      <c r="CW75" s="610"/>
      <c r="CX75" s="610"/>
    </row>
    <row r="76" spans="1:104" x14ac:dyDescent="0.2">
      <c r="A76" s="610"/>
      <c r="B76" s="610"/>
      <c r="C76" s="614" t="s">
        <v>414</v>
      </c>
      <c r="D76" s="610"/>
      <c r="E76" s="121">
        <f t="shared" ref="E76:V76" si="162">SUM(E72:E75)</f>
        <v>308.06799999999998</v>
      </c>
      <c r="F76" s="130">
        <f t="shared" si="162"/>
        <v>239.41800000000001</v>
      </c>
      <c r="G76" s="130">
        <f t="shared" si="162"/>
        <v>241.70599999999999</v>
      </c>
      <c r="H76" s="123">
        <f t="shared" si="162"/>
        <v>233.80099999999999</v>
      </c>
      <c r="I76" s="521">
        <f t="shared" si="162"/>
        <v>1022.9929999999999</v>
      </c>
      <c r="J76" s="121">
        <f t="shared" si="162"/>
        <v>247.19200000000001</v>
      </c>
      <c r="K76" s="130">
        <f t="shared" si="162"/>
        <v>258.334</v>
      </c>
      <c r="L76" s="130">
        <f t="shared" si="162"/>
        <v>332.07300000000004</v>
      </c>
      <c r="M76" s="123">
        <f t="shared" si="162"/>
        <v>234.97899999999996</v>
      </c>
      <c r="N76" s="521">
        <f t="shared" si="162"/>
        <v>1072.5780000000002</v>
      </c>
      <c r="O76" s="121">
        <f t="shared" si="162"/>
        <v>239.608</v>
      </c>
      <c r="P76" s="130">
        <f t="shared" si="162"/>
        <v>273.178</v>
      </c>
      <c r="Q76" s="130">
        <f t="shared" si="162"/>
        <v>350.577</v>
      </c>
      <c r="R76" s="123">
        <f t="shared" si="162"/>
        <v>253.035</v>
      </c>
      <c r="S76" s="521">
        <f t="shared" si="162"/>
        <v>1116.3979999999999</v>
      </c>
      <c r="T76" s="121">
        <f t="shared" si="162"/>
        <v>250.63499999999999</v>
      </c>
      <c r="U76" s="130">
        <f t="shared" si="162"/>
        <v>255.24200000000002</v>
      </c>
      <c r="V76" s="130">
        <f t="shared" si="162"/>
        <v>321.61200000000002</v>
      </c>
      <c r="W76" s="123">
        <f t="shared" ref="W76:AD76" si="163">SUM(W72:W75)</f>
        <v>216.66499999999996</v>
      </c>
      <c r="X76" s="521">
        <f t="shared" si="163"/>
        <v>1044.154</v>
      </c>
      <c r="Y76" s="121">
        <f t="shared" si="163"/>
        <v>243.17100000000002</v>
      </c>
      <c r="Z76" s="130">
        <f t="shared" si="163"/>
        <v>283.53100000000001</v>
      </c>
      <c r="AA76" s="130">
        <f t="shared" si="163"/>
        <v>366.98099999999999</v>
      </c>
      <c r="AB76" s="123">
        <f t="shared" si="163"/>
        <v>276.75699999999995</v>
      </c>
      <c r="AC76" s="521">
        <f t="shared" si="163"/>
        <v>1170.4399999999998</v>
      </c>
      <c r="AD76" s="121">
        <f t="shared" si="163"/>
        <v>288.399</v>
      </c>
      <c r="AE76" s="130">
        <f t="shared" ref="AE76:AJ76" si="164">SUM(AE72:AE75)</f>
        <v>323.60399999999998</v>
      </c>
      <c r="AF76" s="130">
        <f t="shared" si="164"/>
        <v>394.36600000000004</v>
      </c>
      <c r="AG76" s="123">
        <f t="shared" si="164"/>
        <v>300.59399999999999</v>
      </c>
      <c r="AH76" s="521">
        <f t="shared" si="164"/>
        <v>1306.963</v>
      </c>
      <c r="AI76" s="121">
        <f t="shared" si="164"/>
        <v>304.19499999999994</v>
      </c>
      <c r="AJ76" s="130">
        <f t="shared" si="164"/>
        <v>279.92199999999997</v>
      </c>
      <c r="AK76" s="130">
        <f t="shared" ref="AK76:AP76" si="165">SUM(AK72:AK75)</f>
        <v>357.56</v>
      </c>
      <c r="AL76" s="123">
        <f t="shared" si="165"/>
        <v>248.55499999999998</v>
      </c>
      <c r="AM76" s="521">
        <f t="shared" si="165"/>
        <v>1190.232</v>
      </c>
      <c r="AN76" s="121">
        <f t="shared" si="165"/>
        <v>270.43499999999995</v>
      </c>
      <c r="AO76" s="130">
        <f t="shared" si="165"/>
        <v>270.11199999999997</v>
      </c>
      <c r="AP76" s="130">
        <f t="shared" si="165"/>
        <v>357.11400000000003</v>
      </c>
      <c r="AQ76" s="123">
        <f t="shared" ref="AQ76:AW76" si="166">SUM(AQ72:AQ75)</f>
        <v>275.88099999999997</v>
      </c>
      <c r="AR76" s="521">
        <f t="shared" si="166"/>
        <v>1173.5420000000001</v>
      </c>
      <c r="AS76" s="121">
        <f t="shared" si="166"/>
        <v>309.00800000000004</v>
      </c>
      <c r="AT76" s="130">
        <f t="shared" si="166"/>
        <v>313.57400000000001</v>
      </c>
      <c r="AU76" s="130">
        <f t="shared" si="166"/>
        <v>382.95453600000002</v>
      </c>
      <c r="AV76" s="123">
        <f t="shared" si="166"/>
        <v>302.48946399999988</v>
      </c>
      <c r="AW76" s="521">
        <f t="shared" si="166"/>
        <v>1308.0259999999998</v>
      </c>
      <c r="AX76" s="121">
        <f>+AX85*AX91/1000</f>
        <v>326.98390539164961</v>
      </c>
      <c r="AY76" s="130">
        <f>+AY85*AY91/1000</f>
        <v>323.0963311916496</v>
      </c>
      <c r="AZ76" s="130">
        <f>+AZ85*AZ91/1000</f>
        <v>388.47901397692448</v>
      </c>
      <c r="BA76" s="123">
        <f>+BA85*BA91/1000</f>
        <v>317.24693997964937</v>
      </c>
      <c r="BB76" s="615">
        <f>SUM(AX76:BA76)</f>
        <v>1355.8061905398731</v>
      </c>
      <c r="BC76" s="121">
        <f>+BC85*BC91/1000</f>
        <v>347.98414124235495</v>
      </c>
      <c r="BD76" s="130">
        <f>+BD85*BD91/1000</f>
        <v>344.73684810685495</v>
      </c>
      <c r="BE76" s="130">
        <f>+BE85*BE91/1000</f>
        <v>415.05511694696401</v>
      </c>
      <c r="BF76" s="123">
        <f>+BF85*BF91/1000</f>
        <v>338.22283341682481</v>
      </c>
      <c r="BG76" s="615">
        <f>SUM(BC76:BF76)</f>
        <v>1445.9989397129989</v>
      </c>
      <c r="BH76" s="121">
        <f>+BH85*BH91/1000</f>
        <v>371.54616724779646</v>
      </c>
      <c r="BI76" s="130">
        <f>+BI85*BI91/1000</f>
        <v>369.14075587945786</v>
      </c>
      <c r="BJ76" s="130">
        <f>+BJ85*BJ91/1000</f>
        <v>445.25849800038981</v>
      </c>
      <c r="BK76" s="123">
        <f>+BK85*BK91/1000</f>
        <v>361.7604561527026</v>
      </c>
      <c r="BL76" s="615">
        <f>SUM(BH76:BK76)</f>
        <v>1547.7058772803466</v>
      </c>
      <c r="BM76" s="121">
        <f>+BM85*BM91/1000</f>
        <v>391.50780875314217</v>
      </c>
      <c r="BN76" s="130">
        <f>+BN85*BN91/1000</f>
        <v>389.69638385638268</v>
      </c>
      <c r="BO76" s="130">
        <f>+BO85*BO91/1000</f>
        <v>470.47654968048795</v>
      </c>
      <c r="BP76" s="123">
        <f>+BP85*BP91/1000</f>
        <v>381.69763338031061</v>
      </c>
      <c r="BQ76" s="615">
        <f>SUM(BM76:BP76)</f>
        <v>1633.3783756703235</v>
      </c>
      <c r="BR76" s="610"/>
      <c r="BS76" s="610"/>
      <c r="BT76" s="610"/>
      <c r="BU76" s="610"/>
      <c r="BV76" s="610"/>
      <c r="BW76" s="610"/>
      <c r="BX76" s="610"/>
      <c r="BY76" s="610"/>
      <c r="BZ76" s="610"/>
      <c r="CA76" s="610"/>
      <c r="CB76" s="610"/>
      <c r="CC76" s="610"/>
      <c r="CD76" s="610"/>
      <c r="CE76" s="610"/>
      <c r="CF76" s="610"/>
      <c r="CG76" s="610"/>
      <c r="CH76" s="610"/>
      <c r="CI76" s="610"/>
      <c r="CJ76" s="610"/>
      <c r="CK76" s="610"/>
      <c r="CL76" s="610"/>
      <c r="CM76" s="610"/>
      <c r="CN76" s="610"/>
      <c r="CO76" s="610"/>
      <c r="CP76" s="610"/>
      <c r="CQ76" s="610"/>
      <c r="CR76" s="610"/>
      <c r="CS76" s="610"/>
      <c r="CT76" s="610"/>
      <c r="CU76" s="610"/>
      <c r="CV76" s="610"/>
      <c r="CW76" s="610"/>
      <c r="CX76" s="610"/>
    </row>
    <row r="77" spans="1:104" x14ac:dyDescent="0.2">
      <c r="A77" s="610"/>
      <c r="B77" s="610"/>
      <c r="C77" s="610" t="s">
        <v>416</v>
      </c>
      <c r="D77" s="610"/>
      <c r="E77" s="136">
        <f>+E8-E76</f>
        <v>60.91500000000002</v>
      </c>
      <c r="F77" s="137">
        <f>+F8-F76</f>
        <v>88.72199999999998</v>
      </c>
      <c r="G77" s="137">
        <f>+G8-G76</f>
        <v>155.38800000000001</v>
      </c>
      <c r="H77" s="116">
        <f>I77-SUM(E77:G77)</f>
        <v>131.20500000000004</v>
      </c>
      <c r="I77" s="615">
        <f>+I8-I76</f>
        <v>436.23</v>
      </c>
      <c r="J77" s="136">
        <f>+J8-J76</f>
        <v>134.29000000000002</v>
      </c>
      <c r="K77" s="137">
        <f>+K8-K76</f>
        <v>140.11500000000001</v>
      </c>
      <c r="L77" s="137">
        <f>+L8-L76</f>
        <v>135.35099999999994</v>
      </c>
      <c r="M77" s="116">
        <f>N77-SUM(J77:L77)</f>
        <v>130.65599999999984</v>
      </c>
      <c r="N77" s="615">
        <f>+N8-N76</f>
        <v>540.41199999999981</v>
      </c>
      <c r="O77" s="136">
        <f>+O8-O76</f>
        <v>141.601</v>
      </c>
      <c r="P77" s="137">
        <f>+P8-P76</f>
        <v>160.11099999999999</v>
      </c>
      <c r="Q77" s="137">
        <f>+Q8-Q76</f>
        <v>172.34400000000005</v>
      </c>
      <c r="R77" s="116">
        <f>S77-SUM(O77:Q77)</f>
        <v>117.1110000000001</v>
      </c>
      <c r="S77" s="615">
        <f>+S8-S76</f>
        <v>591.16700000000014</v>
      </c>
      <c r="T77" s="136">
        <f>+T8-T76</f>
        <v>89.853000000000009</v>
      </c>
      <c r="U77" s="137">
        <f>+U8-U76</f>
        <v>124.959</v>
      </c>
      <c r="V77" s="137">
        <f>+V8-V76</f>
        <v>150.27699999999999</v>
      </c>
      <c r="W77" s="116">
        <f>X77-SUM(T77:V77)</f>
        <v>130.81200000000007</v>
      </c>
      <c r="X77" s="615">
        <f>+X8-X76</f>
        <v>495.90100000000007</v>
      </c>
      <c r="Y77" s="136">
        <f>+Y8-Y76</f>
        <v>131.08599999999998</v>
      </c>
      <c r="Z77" s="137">
        <f>+Z8-Z76</f>
        <v>178.3</v>
      </c>
      <c r="AA77" s="137">
        <f>+AA8-AA76</f>
        <v>114.42599999999999</v>
      </c>
      <c r="AB77" s="116">
        <f>AC77-SUM(Y77:AA77)</f>
        <v>112.83500000000021</v>
      </c>
      <c r="AC77" s="615">
        <f>+AC8-AC76</f>
        <v>536.64700000000016</v>
      </c>
      <c r="AD77" s="136">
        <f>+AD8-AD76</f>
        <v>160.00099999999998</v>
      </c>
      <c r="AE77" s="137">
        <f>+AE8-AE76</f>
        <v>168.93200000000002</v>
      </c>
      <c r="AF77" s="137">
        <f>+AF8-AF76</f>
        <v>158.41299999999995</v>
      </c>
      <c r="AG77" s="116">
        <f>AH77-SUM(AD77:AF77)</f>
        <v>143.06099999999998</v>
      </c>
      <c r="AH77" s="615">
        <f>+AH8-AH76</f>
        <v>630.40699999999993</v>
      </c>
      <c r="AI77" s="136">
        <f>+AI8-AI76</f>
        <v>119.63400000000007</v>
      </c>
      <c r="AJ77" s="137">
        <f>+AJ8-AJ76</f>
        <v>143.06300000000005</v>
      </c>
      <c r="AK77" s="137">
        <f>+AK8-AK76</f>
        <v>173.19199999999995</v>
      </c>
      <c r="AL77" s="116">
        <f>AM77-SUM(AI77:AK77)</f>
        <v>161.09700000000004</v>
      </c>
      <c r="AM77" s="615">
        <f>+AM8-AM76</f>
        <v>596.9860000000001</v>
      </c>
      <c r="AN77" s="136">
        <f>+AN8-AN76</f>
        <v>120.40400000000005</v>
      </c>
      <c r="AO77" s="137">
        <f>+AO8-AO76</f>
        <v>170.33300000000003</v>
      </c>
      <c r="AP77" s="137">
        <f>+AP8-AP76</f>
        <v>197.81200000000001</v>
      </c>
      <c r="AQ77" s="116">
        <f>AR77-SUM(AN77:AP77)</f>
        <v>188.86799999999982</v>
      </c>
      <c r="AR77" s="615">
        <f>+AR8-AR76</f>
        <v>677.41699999999992</v>
      </c>
      <c r="AS77" s="136">
        <f>+AS8-AS76</f>
        <v>151.06399999999996</v>
      </c>
      <c r="AT77" s="137">
        <f>+AT8-AT76</f>
        <v>166.22199999999998</v>
      </c>
      <c r="AU77" s="137">
        <f>+AU8-AU76</f>
        <v>168.66846400000003</v>
      </c>
      <c r="AV77" s="116">
        <f>AW77-SUM(AS77:AU77)</f>
        <v>124.01953600000019</v>
      </c>
      <c r="AW77" s="615">
        <f>+AW8-AW76</f>
        <v>609.97400000000016</v>
      </c>
      <c r="AX77" s="136">
        <f>+AS77</f>
        <v>151.06399999999996</v>
      </c>
      <c r="AY77" s="137">
        <f>+AT77</f>
        <v>166.22199999999998</v>
      </c>
      <c r="AZ77" s="137">
        <f>+AU77</f>
        <v>168.66846400000003</v>
      </c>
      <c r="BA77" s="116">
        <f>+AV77</f>
        <v>124.01953600000019</v>
      </c>
      <c r="BB77" s="615">
        <f>SUM(AX77:BA77)</f>
        <v>609.97400000000016</v>
      </c>
      <c r="BC77" s="136">
        <f>+AX77</f>
        <v>151.06399999999996</v>
      </c>
      <c r="BD77" s="137">
        <f>+AY77</f>
        <v>166.22199999999998</v>
      </c>
      <c r="BE77" s="137">
        <f>+AZ77</f>
        <v>168.66846400000003</v>
      </c>
      <c r="BF77" s="116">
        <f>+BA77</f>
        <v>124.01953600000019</v>
      </c>
      <c r="BG77" s="615">
        <f>SUM(BC77:BF77)</f>
        <v>609.97400000000016</v>
      </c>
      <c r="BH77" s="136">
        <f>+BC77</f>
        <v>151.06399999999996</v>
      </c>
      <c r="BI77" s="137">
        <f>+BD77</f>
        <v>166.22199999999998</v>
      </c>
      <c r="BJ77" s="137">
        <f>+BE77</f>
        <v>168.66846400000003</v>
      </c>
      <c r="BK77" s="116">
        <f>+BF77</f>
        <v>124.01953600000019</v>
      </c>
      <c r="BL77" s="615">
        <f>SUM(BH77:BK77)</f>
        <v>609.97400000000016</v>
      </c>
      <c r="BM77" s="136">
        <f>+BH77</f>
        <v>151.06399999999996</v>
      </c>
      <c r="BN77" s="137">
        <f>+BI77</f>
        <v>166.22199999999998</v>
      </c>
      <c r="BO77" s="137">
        <f>+BJ77</f>
        <v>168.66846400000003</v>
      </c>
      <c r="BP77" s="116">
        <f>+BK77</f>
        <v>124.01953600000019</v>
      </c>
      <c r="BQ77" s="615">
        <f>SUM(BM77:BP77)</f>
        <v>609.97400000000016</v>
      </c>
      <c r="BR77" s="610"/>
      <c r="BS77" s="610"/>
      <c r="BT77" s="610"/>
      <c r="BU77" s="610"/>
      <c r="BV77" s="610"/>
      <c r="BW77" s="610"/>
      <c r="BX77" s="610"/>
      <c r="BY77" s="610"/>
      <c r="BZ77" s="610"/>
      <c r="CA77" s="610"/>
      <c r="CB77" s="610"/>
      <c r="CC77" s="610"/>
      <c r="CD77" s="610"/>
      <c r="CE77" s="610"/>
      <c r="CF77" s="610"/>
      <c r="CG77" s="610"/>
      <c r="CH77" s="610"/>
      <c r="CI77" s="610"/>
      <c r="CJ77" s="610"/>
      <c r="CK77" s="610"/>
      <c r="CL77" s="610"/>
      <c r="CM77" s="610"/>
      <c r="CN77" s="610"/>
      <c r="CO77" s="610"/>
      <c r="CP77" s="610"/>
      <c r="CQ77" s="610"/>
      <c r="CR77" s="610"/>
      <c r="CS77" s="610"/>
      <c r="CT77" s="610"/>
      <c r="CU77" s="610"/>
      <c r="CV77" s="610"/>
      <c r="CW77" s="610"/>
      <c r="CX77" s="610"/>
    </row>
    <row r="78" spans="1:104" x14ac:dyDescent="0.2">
      <c r="A78" s="610"/>
      <c r="B78" s="610"/>
      <c r="C78" s="614" t="s">
        <v>257</v>
      </c>
      <c r="D78" s="610"/>
      <c r="E78" s="121">
        <f t="shared" ref="E78:AD78" si="167">SUM(E76:E77)</f>
        <v>368.983</v>
      </c>
      <c r="F78" s="130">
        <f t="shared" si="167"/>
        <v>328.14</v>
      </c>
      <c r="G78" s="130">
        <f t="shared" si="167"/>
        <v>397.09399999999999</v>
      </c>
      <c r="H78" s="123">
        <f t="shared" si="167"/>
        <v>365.00600000000003</v>
      </c>
      <c r="I78" s="521">
        <f t="shared" si="167"/>
        <v>1459.223</v>
      </c>
      <c r="J78" s="121">
        <f t="shared" si="167"/>
        <v>381.48200000000003</v>
      </c>
      <c r="K78" s="130">
        <f t="shared" si="167"/>
        <v>398.44900000000001</v>
      </c>
      <c r="L78" s="130">
        <f t="shared" si="167"/>
        <v>467.42399999999998</v>
      </c>
      <c r="M78" s="123">
        <f t="shared" si="167"/>
        <v>365.63499999999976</v>
      </c>
      <c r="N78" s="521">
        <f t="shared" si="167"/>
        <v>1612.99</v>
      </c>
      <c r="O78" s="121">
        <f t="shared" si="167"/>
        <v>381.209</v>
      </c>
      <c r="P78" s="130">
        <f t="shared" si="167"/>
        <v>433.28899999999999</v>
      </c>
      <c r="Q78" s="130">
        <f t="shared" si="167"/>
        <v>522.92100000000005</v>
      </c>
      <c r="R78" s="123">
        <f t="shared" si="167"/>
        <v>370.14600000000007</v>
      </c>
      <c r="S78" s="521">
        <f t="shared" si="167"/>
        <v>1707.5650000000001</v>
      </c>
      <c r="T78" s="121">
        <f t="shared" si="167"/>
        <v>340.488</v>
      </c>
      <c r="U78" s="130">
        <f t="shared" si="167"/>
        <v>380.20100000000002</v>
      </c>
      <c r="V78" s="130">
        <f t="shared" si="167"/>
        <v>471.88900000000001</v>
      </c>
      <c r="W78" s="123">
        <f>SUM(W76:W77)</f>
        <v>347.47700000000003</v>
      </c>
      <c r="X78" s="521">
        <f>SUM(X76:X77)</f>
        <v>1540.0550000000001</v>
      </c>
      <c r="Y78" s="121">
        <f t="shared" si="167"/>
        <v>374.25700000000001</v>
      </c>
      <c r="Z78" s="130">
        <f>SUM(Z76:Z77)</f>
        <v>461.83100000000002</v>
      </c>
      <c r="AA78" s="130">
        <f>SUM(AA76:AA77)</f>
        <v>481.40699999999998</v>
      </c>
      <c r="AB78" s="123">
        <f>SUM(AB76:AB77)</f>
        <v>389.59200000000016</v>
      </c>
      <c r="AC78" s="521">
        <f>SUM(AC76:AC77)</f>
        <v>1707.087</v>
      </c>
      <c r="AD78" s="121">
        <f t="shared" si="167"/>
        <v>448.4</v>
      </c>
      <c r="AE78" s="130">
        <f t="shared" ref="AE78:AJ78" si="168">SUM(AE76:AE77)</f>
        <v>492.536</v>
      </c>
      <c r="AF78" s="130">
        <f t="shared" si="168"/>
        <v>552.779</v>
      </c>
      <c r="AG78" s="123">
        <f t="shared" si="168"/>
        <v>443.65499999999997</v>
      </c>
      <c r="AH78" s="521">
        <f t="shared" si="168"/>
        <v>1937.37</v>
      </c>
      <c r="AI78" s="121">
        <f t="shared" si="168"/>
        <v>423.82900000000001</v>
      </c>
      <c r="AJ78" s="130">
        <f t="shared" si="168"/>
        <v>422.98500000000001</v>
      </c>
      <c r="AK78" s="130">
        <f t="shared" ref="AK78:AU78" si="169">SUM(AK76:AK77)</f>
        <v>530.75199999999995</v>
      </c>
      <c r="AL78" s="123">
        <f t="shared" si="169"/>
        <v>409.65200000000004</v>
      </c>
      <c r="AM78" s="521">
        <f t="shared" si="169"/>
        <v>1787.2180000000001</v>
      </c>
      <c r="AN78" s="121">
        <f t="shared" si="169"/>
        <v>390.839</v>
      </c>
      <c r="AO78" s="130">
        <f t="shared" si="169"/>
        <v>440.44499999999999</v>
      </c>
      <c r="AP78" s="130">
        <f t="shared" si="169"/>
        <v>554.92600000000004</v>
      </c>
      <c r="AQ78" s="123">
        <f t="shared" si="169"/>
        <v>464.7489999999998</v>
      </c>
      <c r="AR78" s="521">
        <f t="shared" si="169"/>
        <v>1850.9590000000001</v>
      </c>
      <c r="AS78" s="121">
        <f t="shared" si="169"/>
        <v>460.072</v>
      </c>
      <c r="AT78" s="130">
        <f t="shared" si="169"/>
        <v>479.79599999999999</v>
      </c>
      <c r="AU78" s="130">
        <f t="shared" si="169"/>
        <v>551.62300000000005</v>
      </c>
      <c r="AV78" s="123">
        <f t="shared" ref="AV78:AW78" si="170">SUM(AV76:AV77)</f>
        <v>426.50900000000007</v>
      </c>
      <c r="AW78" s="521">
        <f t="shared" si="170"/>
        <v>1918</v>
      </c>
      <c r="AX78" s="121">
        <f t="shared" ref="AX78:BG78" si="171">SUM(AX76:AX77)</f>
        <v>478.04790539164958</v>
      </c>
      <c r="AY78" s="130">
        <f t="shared" si="171"/>
        <v>489.31833119164958</v>
      </c>
      <c r="AZ78" s="130">
        <f t="shared" si="171"/>
        <v>557.14747797692451</v>
      </c>
      <c r="BA78" s="123">
        <f t="shared" si="171"/>
        <v>441.26647597964956</v>
      </c>
      <c r="BB78" s="521">
        <f t="shared" si="171"/>
        <v>1965.7801905398733</v>
      </c>
      <c r="BC78" s="121">
        <f t="shared" si="171"/>
        <v>499.04814124235492</v>
      </c>
      <c r="BD78" s="130">
        <f t="shared" si="171"/>
        <v>510.95884810685493</v>
      </c>
      <c r="BE78" s="130">
        <f t="shared" si="171"/>
        <v>583.72358094696403</v>
      </c>
      <c r="BF78" s="123">
        <f t="shared" si="171"/>
        <v>462.242369416825</v>
      </c>
      <c r="BG78" s="521">
        <f t="shared" si="171"/>
        <v>2055.9729397129991</v>
      </c>
      <c r="BH78" s="121">
        <f t="shared" ref="BH78:BQ78" si="172">SUM(BH76:BH77)</f>
        <v>522.61016724779643</v>
      </c>
      <c r="BI78" s="130">
        <f t="shared" si="172"/>
        <v>535.36275587945784</v>
      </c>
      <c r="BJ78" s="130">
        <f t="shared" si="172"/>
        <v>613.92696200038984</v>
      </c>
      <c r="BK78" s="123">
        <f t="shared" si="172"/>
        <v>485.77999215270279</v>
      </c>
      <c r="BL78" s="521">
        <f t="shared" si="172"/>
        <v>2157.6798772803468</v>
      </c>
      <c r="BM78" s="121">
        <f t="shared" si="172"/>
        <v>542.57180875314214</v>
      </c>
      <c r="BN78" s="130">
        <f t="shared" si="172"/>
        <v>555.91838385638266</v>
      </c>
      <c r="BO78" s="130">
        <f t="shared" si="172"/>
        <v>639.14501368048798</v>
      </c>
      <c r="BP78" s="123">
        <f t="shared" si="172"/>
        <v>505.71716938031079</v>
      </c>
      <c r="BQ78" s="521">
        <f t="shared" si="172"/>
        <v>2243.3523756703235</v>
      </c>
      <c r="BR78" s="610"/>
      <c r="BS78" s="610"/>
      <c r="BT78" s="610"/>
      <c r="BU78" s="610"/>
      <c r="BV78" s="610"/>
      <c r="BW78" s="610"/>
      <c r="BX78" s="610"/>
      <c r="BY78" s="610"/>
      <c r="BZ78" s="610"/>
      <c r="CA78" s="610"/>
      <c r="CB78" s="610"/>
      <c r="CC78" s="610"/>
      <c r="CD78" s="610"/>
      <c r="CE78" s="610"/>
      <c r="CF78" s="610"/>
      <c r="CG78" s="610"/>
      <c r="CH78" s="610"/>
      <c r="CI78" s="610"/>
      <c r="CJ78" s="610"/>
      <c r="CK78" s="610"/>
      <c r="CL78" s="610"/>
      <c r="CM78" s="610"/>
      <c r="CN78" s="610"/>
      <c r="CO78" s="610"/>
      <c r="CP78" s="610"/>
      <c r="CQ78" s="610"/>
      <c r="CR78" s="610"/>
      <c r="CS78" s="610"/>
      <c r="CT78" s="610"/>
      <c r="CU78" s="610"/>
      <c r="CV78" s="610"/>
      <c r="CW78" s="610"/>
      <c r="CX78" s="610"/>
    </row>
    <row r="79" spans="1:104" s="20" customFormat="1" x14ac:dyDescent="0.2">
      <c r="A79" s="220"/>
      <c r="B79" s="220"/>
      <c r="C79" s="82"/>
      <c r="D79" s="82"/>
      <c r="E79" s="136"/>
      <c r="F79" s="137"/>
      <c r="G79" s="137"/>
      <c r="H79" s="116"/>
      <c r="I79" s="82"/>
      <c r="J79" s="136"/>
      <c r="K79" s="137"/>
      <c r="L79" s="627"/>
      <c r="M79" s="116"/>
      <c r="N79" s="82"/>
      <c r="O79" s="136"/>
      <c r="P79" s="137"/>
      <c r="Q79" s="137"/>
      <c r="R79" s="116"/>
      <c r="S79" s="82"/>
      <c r="T79" s="136"/>
      <c r="U79" s="137"/>
      <c r="V79" s="137"/>
      <c r="W79" s="116"/>
      <c r="X79" s="82"/>
      <c r="Y79" s="136"/>
      <c r="Z79" s="137"/>
      <c r="AA79" s="137"/>
      <c r="AB79" s="116"/>
      <c r="AC79" s="82"/>
      <c r="AD79" s="136"/>
      <c r="AE79" s="137"/>
      <c r="AF79" s="137"/>
      <c r="AG79" s="116"/>
      <c r="AH79" s="82"/>
      <c r="AI79" s="136"/>
      <c r="AJ79" s="137"/>
      <c r="AK79" s="137"/>
      <c r="AL79" s="116"/>
      <c r="AM79" s="82"/>
      <c r="AN79" s="136"/>
      <c r="AO79" s="137"/>
      <c r="AP79" s="137"/>
      <c r="AQ79" s="116"/>
      <c r="AR79" s="82"/>
      <c r="AS79" s="136"/>
      <c r="AT79" s="137"/>
      <c r="AU79" s="137"/>
      <c r="AV79" s="116"/>
      <c r="AW79" s="82"/>
      <c r="AX79" s="136"/>
      <c r="AY79" s="137"/>
      <c r="AZ79" s="137"/>
      <c r="BA79" s="116"/>
      <c r="BB79" s="82"/>
      <c r="BC79" s="136"/>
      <c r="BD79" s="137"/>
      <c r="BE79" s="137"/>
      <c r="BF79" s="116"/>
      <c r="BG79" s="82"/>
      <c r="BH79" s="136"/>
      <c r="BI79" s="137"/>
      <c r="BJ79" s="137"/>
      <c r="BK79" s="116"/>
      <c r="BL79" s="82"/>
      <c r="BM79" s="136"/>
      <c r="BN79" s="137"/>
      <c r="BO79" s="137"/>
      <c r="BP79" s="116"/>
      <c r="BQ79" s="82"/>
      <c r="BR79" s="220"/>
      <c r="BS79" s="220"/>
      <c r="BT79" s="220"/>
      <c r="BU79" s="220"/>
      <c r="BV79" s="220"/>
      <c r="BW79" s="220"/>
      <c r="BX79" s="220"/>
      <c r="BY79" s="220"/>
      <c r="BZ79" s="220"/>
      <c r="CA79" s="220"/>
      <c r="CB79" s="220"/>
      <c r="CC79" s="220"/>
      <c r="CD79" s="220"/>
      <c r="CE79" s="220"/>
      <c r="CF79" s="220"/>
      <c r="CG79" s="220"/>
      <c r="CH79" s="220"/>
      <c r="CI79" s="220"/>
      <c r="CJ79" s="220"/>
      <c r="CK79" s="220"/>
      <c r="CL79" s="220"/>
      <c r="CM79" s="220"/>
      <c r="CN79" s="220"/>
      <c r="CO79" s="220"/>
      <c r="CP79" s="220"/>
      <c r="CQ79" s="220"/>
      <c r="CR79" s="220"/>
      <c r="CS79" s="220"/>
      <c r="CT79" s="220"/>
      <c r="CU79" s="220"/>
      <c r="CV79" s="220"/>
      <c r="CW79" s="220"/>
      <c r="CX79" s="220"/>
      <c r="CY79" s="220"/>
      <c r="CZ79" s="220"/>
    </row>
    <row r="80" spans="1:104" x14ac:dyDescent="0.2">
      <c r="A80" s="44"/>
      <c r="B80" s="44"/>
      <c r="C80" s="562" t="s">
        <v>258</v>
      </c>
      <c r="D80" s="42"/>
      <c r="E80" s="121"/>
      <c r="F80" s="130"/>
      <c r="G80" s="130"/>
      <c r="H80" s="123"/>
      <c r="I80" s="86"/>
      <c r="J80" s="121"/>
      <c r="K80" s="130"/>
      <c r="L80" s="130"/>
      <c r="M80" s="123"/>
      <c r="N80" s="86"/>
      <c r="O80" s="121"/>
      <c r="P80" s="130"/>
      <c r="Q80" s="130"/>
      <c r="R80" s="123"/>
      <c r="S80" s="86"/>
      <c r="T80" s="121"/>
      <c r="U80" s="130"/>
      <c r="V80" s="130"/>
      <c r="W80" s="123"/>
      <c r="X80" s="86"/>
      <c r="Y80" s="121"/>
      <c r="Z80" s="130"/>
      <c r="AA80" s="130"/>
      <c r="AB80" s="123"/>
      <c r="AC80" s="86"/>
      <c r="AD80" s="121"/>
      <c r="AE80" s="130"/>
      <c r="AF80" s="130"/>
      <c r="AG80" s="123"/>
      <c r="AH80" s="86"/>
      <c r="AI80" s="121"/>
      <c r="AJ80" s="130"/>
      <c r="AK80" s="130"/>
      <c r="AL80" s="123"/>
      <c r="AM80" s="86"/>
      <c r="AN80" s="121"/>
      <c r="AO80" s="130"/>
      <c r="AP80" s="130"/>
      <c r="AQ80" s="123"/>
      <c r="AR80" s="86"/>
      <c r="AS80" s="121"/>
      <c r="AT80" s="130"/>
      <c r="AU80" s="130"/>
      <c r="AV80" s="123"/>
      <c r="AW80" s="86"/>
      <c r="AX80" s="121"/>
      <c r="AY80" s="130"/>
      <c r="AZ80" s="130"/>
      <c r="BA80" s="123"/>
      <c r="BB80" s="86"/>
      <c r="BC80" s="121"/>
      <c r="BD80" s="130"/>
      <c r="BE80" s="130"/>
      <c r="BF80" s="123"/>
      <c r="BG80" s="86"/>
      <c r="BH80" s="121"/>
      <c r="BI80" s="130"/>
      <c r="BJ80" s="130"/>
      <c r="BK80" s="123"/>
      <c r="BL80" s="86"/>
      <c r="BM80" s="121"/>
      <c r="BN80" s="130"/>
      <c r="BO80" s="130"/>
      <c r="BP80" s="123"/>
      <c r="BQ80" s="86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  <c r="CX80" s="44"/>
      <c r="CY80" s="44"/>
      <c r="CZ80" s="44"/>
    </row>
    <row r="81" spans="1:104" x14ac:dyDescent="0.2">
      <c r="A81" s="44"/>
      <c r="B81" s="44"/>
      <c r="C81" s="20" t="s">
        <v>259</v>
      </c>
      <c r="D81" s="42"/>
      <c r="E81" s="310">
        <v>884.94299999999998</v>
      </c>
      <c r="F81" s="311">
        <v>792.78399999999999</v>
      </c>
      <c r="G81" s="311">
        <v>1059.6479999999999</v>
      </c>
      <c r="H81" s="312">
        <f>I81-SUM(E81:G81)</f>
        <v>851.63400000000001</v>
      </c>
      <c r="I81" s="313">
        <v>3589.009</v>
      </c>
      <c r="J81" s="310">
        <v>950.77599999999995</v>
      </c>
      <c r="K81" s="311">
        <v>836.83399999999995</v>
      </c>
      <c r="L81" s="311">
        <v>1121.8989999999999</v>
      </c>
      <c r="M81" s="312">
        <f>N81-SUM(J81:L81)</f>
        <v>771.47699999999986</v>
      </c>
      <c r="N81" s="313">
        <v>3680.9859999999999</v>
      </c>
      <c r="O81" s="310">
        <v>885.30200000000002</v>
      </c>
      <c r="P81" s="311">
        <v>815.42399999999998</v>
      </c>
      <c r="Q81" s="311">
        <v>1183.2950000000001</v>
      </c>
      <c r="R81" s="312">
        <f>S81-SUM(O81:Q81)</f>
        <v>815.97899999999981</v>
      </c>
      <c r="S81" s="313">
        <v>3700</v>
      </c>
      <c r="T81" s="114">
        <v>865.69200000000001</v>
      </c>
      <c r="U81" s="311">
        <v>809.96500000000003</v>
      </c>
      <c r="V81" s="311">
        <v>1112.518</v>
      </c>
      <c r="W81" s="312">
        <f>X81-SUM(T81:V81)</f>
        <v>753.82499999999982</v>
      </c>
      <c r="X81" s="313">
        <v>3542</v>
      </c>
      <c r="Y81" s="114">
        <v>884.92399999999998</v>
      </c>
      <c r="Z81" s="311">
        <v>808.25</v>
      </c>
      <c r="AA81" s="311">
        <v>1065.0329999999999</v>
      </c>
      <c r="AB81" s="312">
        <f>AC81-SUM(Y81:AA81)</f>
        <v>805.79300000000012</v>
      </c>
      <c r="AC81" s="313">
        <v>3564</v>
      </c>
      <c r="AD81" s="114">
        <v>970.00300000000004</v>
      </c>
      <c r="AE81" s="311">
        <v>785.25900000000001</v>
      </c>
      <c r="AF81" s="311">
        <v>999.52599999999995</v>
      </c>
      <c r="AG81" s="312">
        <f>AH81-SUM(AD81:AF81)</f>
        <v>794.21199999999999</v>
      </c>
      <c r="AH81" s="313">
        <v>3549</v>
      </c>
      <c r="AI81" s="114">
        <v>940.18200000000002</v>
      </c>
      <c r="AJ81" s="311">
        <v>740.73500000000001</v>
      </c>
      <c r="AK81" s="311">
        <v>1065.9549999999999</v>
      </c>
      <c r="AL81" s="312">
        <f>AM81-SUM(AI81:AK81)</f>
        <v>789.12800000000016</v>
      </c>
      <c r="AM81" s="313">
        <v>3536</v>
      </c>
      <c r="AN81" s="114">
        <v>883.65099999999995</v>
      </c>
      <c r="AO81" s="311">
        <v>734.197</v>
      </c>
      <c r="AP81" s="311">
        <v>1082.31</v>
      </c>
      <c r="AQ81" s="312">
        <f>AR81-SUM(AN81:AP81)</f>
        <v>777.8420000000001</v>
      </c>
      <c r="AR81" s="313">
        <v>3478</v>
      </c>
      <c r="AS81" s="114">
        <v>799.49599999999998</v>
      </c>
      <c r="AT81" s="311">
        <v>781.09299999999996</v>
      </c>
      <c r="AU81" s="311">
        <f>2582.651-SUM(AS81:AT81)</f>
        <v>1002.0619999999999</v>
      </c>
      <c r="AV81" s="312">
        <f>AW81-SUM(AS81:AU81)</f>
        <v>773.34900000000016</v>
      </c>
      <c r="AW81" s="313">
        <v>3356</v>
      </c>
      <c r="AX81" s="121"/>
      <c r="AY81" s="130"/>
      <c r="AZ81" s="130"/>
      <c r="BA81" s="123"/>
      <c r="BB81" s="86"/>
      <c r="BC81" s="121"/>
      <c r="BD81" s="130"/>
      <c r="BE81" s="130"/>
      <c r="BF81" s="123"/>
      <c r="BG81" s="86"/>
      <c r="BH81" s="121"/>
      <c r="BI81" s="130"/>
      <c r="BJ81" s="130"/>
      <c r="BK81" s="123"/>
      <c r="BL81" s="86"/>
      <c r="BM81" s="121"/>
      <c r="BN81" s="130"/>
      <c r="BO81" s="130"/>
      <c r="BP81" s="123"/>
      <c r="BQ81" s="86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  <c r="CX81" s="44"/>
      <c r="CY81" s="44"/>
      <c r="CZ81" s="44"/>
    </row>
    <row r="82" spans="1:104" x14ac:dyDescent="0.2">
      <c r="A82" s="44"/>
      <c r="B82" s="44"/>
      <c r="C82" s="20" t="s">
        <v>412</v>
      </c>
      <c r="D82" s="42"/>
      <c r="E82" s="310">
        <v>1163.3499999999999</v>
      </c>
      <c r="F82" s="311">
        <v>1166.444</v>
      </c>
      <c r="G82" s="311">
        <v>1336.6089999999999</v>
      </c>
      <c r="H82" s="312">
        <f>I82-SUM(E82:G82)</f>
        <v>1153.6370000000002</v>
      </c>
      <c r="I82" s="313">
        <v>4820.04</v>
      </c>
      <c r="J82" s="310">
        <v>1089.614</v>
      </c>
      <c r="K82" s="311">
        <v>1188.973</v>
      </c>
      <c r="L82" s="311">
        <v>1397.8050000000001</v>
      </c>
      <c r="M82" s="312">
        <f>N82-SUM(J82:L82)</f>
        <v>1147.299</v>
      </c>
      <c r="N82" s="313">
        <v>4823.6909999999998</v>
      </c>
      <c r="O82" s="310">
        <v>1009.175</v>
      </c>
      <c r="P82" s="311">
        <v>1229.6590000000001</v>
      </c>
      <c r="Q82" s="311">
        <v>1444.903</v>
      </c>
      <c r="R82" s="312">
        <f>S82-SUM(O82:Q82)</f>
        <v>1094.2629999999999</v>
      </c>
      <c r="S82" s="313">
        <v>4778</v>
      </c>
      <c r="T82" s="114">
        <v>977.74099999999999</v>
      </c>
      <c r="U82" s="311">
        <v>1233.2139999999999</v>
      </c>
      <c r="V82" s="311">
        <v>1382.326</v>
      </c>
      <c r="W82" s="312">
        <f>X82-SUM(T82:V82)</f>
        <v>1114.7190000000001</v>
      </c>
      <c r="X82" s="313">
        <v>4708</v>
      </c>
      <c r="Y82" s="114">
        <v>1026.1869999999999</v>
      </c>
      <c r="Z82" s="311">
        <v>1219.278</v>
      </c>
      <c r="AA82" s="311">
        <v>1378.875</v>
      </c>
      <c r="AB82" s="312">
        <f>AC82-SUM(Y82:AA82)</f>
        <v>1118.6599999999999</v>
      </c>
      <c r="AC82" s="313">
        <v>4743</v>
      </c>
      <c r="AD82" s="114">
        <v>1057.922</v>
      </c>
      <c r="AE82" s="311">
        <v>1253.018</v>
      </c>
      <c r="AF82" s="311">
        <v>1324.768</v>
      </c>
      <c r="AG82" s="312">
        <f>AH82-SUM(AD82:AF82)</f>
        <v>1105.2919999999999</v>
      </c>
      <c r="AH82" s="313">
        <v>4741</v>
      </c>
      <c r="AI82" s="114">
        <v>1100.913</v>
      </c>
      <c r="AJ82" s="311">
        <v>1126.7449999999999</v>
      </c>
      <c r="AK82" s="311">
        <v>1343.673</v>
      </c>
      <c r="AL82" s="312">
        <f>AM82-SUM(AI82:AK82)</f>
        <v>1147.6689999999999</v>
      </c>
      <c r="AM82" s="313">
        <v>4719</v>
      </c>
      <c r="AN82" s="114">
        <v>1054.723</v>
      </c>
      <c r="AO82" s="311">
        <v>1142.896</v>
      </c>
      <c r="AP82" s="311">
        <v>1417.2429999999999</v>
      </c>
      <c r="AQ82" s="312">
        <f>AR82-SUM(AN82:AP82)</f>
        <v>1093.1380000000004</v>
      </c>
      <c r="AR82" s="313">
        <v>4708</v>
      </c>
      <c r="AS82" s="114">
        <v>1069.769</v>
      </c>
      <c r="AT82" s="311">
        <v>1191.6790000000001</v>
      </c>
      <c r="AU82" s="311">
        <f>3574.517-SUM(AS82:AT82)</f>
        <v>1313.0689999999995</v>
      </c>
      <c r="AV82" s="312">
        <f>AW82-SUM(AS82:AU82)</f>
        <v>1126.4830000000002</v>
      </c>
      <c r="AW82" s="313">
        <v>4701</v>
      </c>
      <c r="AX82" s="121"/>
      <c r="AY82" s="130"/>
      <c r="AZ82" s="130"/>
      <c r="BA82" s="123"/>
      <c r="BB82" s="86"/>
      <c r="BC82" s="121"/>
      <c r="BD82" s="130"/>
      <c r="BE82" s="130"/>
      <c r="BF82" s="123"/>
      <c r="BG82" s="86"/>
      <c r="BH82" s="121"/>
      <c r="BI82" s="130"/>
      <c r="BJ82" s="130"/>
      <c r="BK82" s="123"/>
      <c r="BL82" s="86"/>
      <c r="BM82" s="121"/>
      <c r="BN82" s="130"/>
      <c r="BO82" s="130"/>
      <c r="BP82" s="123"/>
      <c r="BQ82" s="86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  <c r="CX82" s="44"/>
      <c r="CY82" s="44"/>
      <c r="CZ82" s="44"/>
    </row>
    <row r="83" spans="1:104" x14ac:dyDescent="0.2">
      <c r="A83" s="44"/>
      <c r="B83" s="44"/>
      <c r="C83" s="20" t="s">
        <v>413</v>
      </c>
      <c r="D83" s="42"/>
      <c r="E83" s="310">
        <v>2507.154</v>
      </c>
      <c r="F83" s="311">
        <v>2259.9720000000002</v>
      </c>
      <c r="G83" s="311">
        <v>2382.9520000000002</v>
      </c>
      <c r="H83" s="312">
        <f>I83-SUM(E83:G83)</f>
        <v>2367.4620000000004</v>
      </c>
      <c r="I83" s="313">
        <v>9517.5400000000009</v>
      </c>
      <c r="J83" s="310">
        <v>2256.71</v>
      </c>
      <c r="K83" s="311">
        <v>2385.1689999999999</v>
      </c>
      <c r="L83" s="311">
        <v>2497.7330000000002</v>
      </c>
      <c r="M83" s="312">
        <f>N83-SUM(J83:L83)</f>
        <v>2359.9679999999998</v>
      </c>
      <c r="N83" s="313">
        <v>9499.58</v>
      </c>
      <c r="O83" s="310">
        <v>2247.4279999999999</v>
      </c>
      <c r="P83" s="311">
        <v>2367.6509999999998</v>
      </c>
      <c r="Q83" s="311">
        <v>2525.7190000000001</v>
      </c>
      <c r="R83" s="312">
        <f>S83-SUM(O83:Q83)</f>
        <v>2405.2020000000002</v>
      </c>
      <c r="S83" s="313">
        <v>9546</v>
      </c>
      <c r="T83" s="114">
        <v>2366.4059999999999</v>
      </c>
      <c r="U83" s="311">
        <v>2412.5929999999998</v>
      </c>
      <c r="V83" s="311">
        <v>2510.1060000000002</v>
      </c>
      <c r="W83" s="312">
        <f>X83-SUM(T83:V83)</f>
        <v>2417.8950000000004</v>
      </c>
      <c r="X83" s="313">
        <v>9707</v>
      </c>
      <c r="Y83" s="114">
        <v>2341.8090000000002</v>
      </c>
      <c r="Z83" s="311">
        <v>2471.1619999999998</v>
      </c>
      <c r="AA83" s="311">
        <v>2580.953</v>
      </c>
      <c r="AB83" s="312">
        <f>AC83-SUM(Y83:AA83)</f>
        <v>2499.0760000000009</v>
      </c>
      <c r="AC83" s="313">
        <v>9893</v>
      </c>
      <c r="AD83" s="114">
        <v>2462.9470000000001</v>
      </c>
      <c r="AE83" s="311">
        <v>2549.674</v>
      </c>
      <c r="AF83" s="311">
        <v>2639.84</v>
      </c>
      <c r="AG83" s="312">
        <f>AH83-SUM(AD83:AF83)</f>
        <v>2609.5389999999998</v>
      </c>
      <c r="AH83" s="313">
        <v>10262</v>
      </c>
      <c r="AI83" s="114">
        <v>2486.5450000000001</v>
      </c>
      <c r="AJ83" s="311">
        <v>2565.444</v>
      </c>
      <c r="AK83" s="311">
        <v>2659.3739999999998</v>
      </c>
      <c r="AL83" s="312">
        <f>AM83-SUM(AI83:AK83)</f>
        <v>2622.6370000000006</v>
      </c>
      <c r="AM83" s="313">
        <v>10334</v>
      </c>
      <c r="AN83" s="114">
        <v>2535.5990000000002</v>
      </c>
      <c r="AO83" s="311">
        <v>2586.1469999999999</v>
      </c>
      <c r="AP83" s="311">
        <v>2731.6190000000001</v>
      </c>
      <c r="AQ83" s="312">
        <f>AR83-SUM(AN83:AP83)</f>
        <v>2664.6350000000002</v>
      </c>
      <c r="AR83" s="313">
        <v>10518</v>
      </c>
      <c r="AS83" s="114">
        <v>2546.1030000000001</v>
      </c>
      <c r="AT83" s="311">
        <v>2632.2310000000002</v>
      </c>
      <c r="AU83" s="311">
        <f>7973.147-SUM(AS83:AT83)</f>
        <v>2794.8129999999992</v>
      </c>
      <c r="AV83" s="312">
        <f>AW83-SUM(AS83:AU83)</f>
        <v>2747.8530000000001</v>
      </c>
      <c r="AW83" s="313">
        <v>10721</v>
      </c>
      <c r="AX83" s="121"/>
      <c r="AY83" s="130"/>
      <c r="AZ83" s="130"/>
      <c r="BA83" s="123"/>
      <c r="BB83" s="86"/>
      <c r="BC83" s="121"/>
      <c r="BD83" s="130"/>
      <c r="BE83" s="130"/>
      <c r="BF83" s="123"/>
      <c r="BG83" s="86"/>
      <c r="BH83" s="121"/>
      <c r="BI83" s="130"/>
      <c r="BJ83" s="130"/>
      <c r="BK83" s="123"/>
      <c r="BL83" s="86"/>
      <c r="BM83" s="121"/>
      <c r="BN83" s="130"/>
      <c r="BO83" s="130"/>
      <c r="BP83" s="123"/>
      <c r="BQ83" s="86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  <c r="CX83" s="44"/>
      <c r="CY83" s="44"/>
      <c r="CZ83" s="44"/>
    </row>
    <row r="84" spans="1:104" x14ac:dyDescent="0.2">
      <c r="A84" s="44"/>
      <c r="B84" s="44"/>
      <c r="C84" s="610" t="s">
        <v>415</v>
      </c>
      <c r="D84" s="42"/>
      <c r="E84" s="310">
        <v>112.631</v>
      </c>
      <c r="F84" s="311">
        <v>139.33699999999999</v>
      </c>
      <c r="G84" s="311">
        <v>151.023</v>
      </c>
      <c r="H84" s="312">
        <f>I84-SUM(E84:G84)</f>
        <v>133.81200000000001</v>
      </c>
      <c r="I84" s="313">
        <v>536.803</v>
      </c>
      <c r="J84" s="310">
        <v>128.43799999999999</v>
      </c>
      <c r="K84" s="311">
        <v>139.31700000000001</v>
      </c>
      <c r="L84" s="311">
        <v>168.352</v>
      </c>
      <c r="M84" s="312">
        <f>N84-SUM(J84:L84)</f>
        <v>135.06799999999998</v>
      </c>
      <c r="N84" s="313">
        <v>571.17499999999995</v>
      </c>
      <c r="O84" s="310">
        <v>126.13800000000001</v>
      </c>
      <c r="P84" s="311">
        <v>156.624</v>
      </c>
      <c r="Q84" s="311">
        <v>186.36600000000001</v>
      </c>
      <c r="R84" s="312">
        <f>S84-SUM(O84:Q84)</f>
        <v>145.87199999999996</v>
      </c>
      <c r="S84" s="313">
        <v>615</v>
      </c>
      <c r="T84" s="114">
        <v>128.46</v>
      </c>
      <c r="U84" s="311">
        <v>151.80199999999999</v>
      </c>
      <c r="V84" s="311">
        <v>172.38399999999999</v>
      </c>
      <c r="W84" s="312">
        <f>X84-SUM(T84:V84)</f>
        <v>122.35400000000004</v>
      </c>
      <c r="X84" s="313">
        <v>575</v>
      </c>
      <c r="Y84" s="114">
        <v>126.249</v>
      </c>
      <c r="Z84" s="311">
        <v>148.00700000000001</v>
      </c>
      <c r="AA84" s="311">
        <v>163.32300000000001</v>
      </c>
      <c r="AB84" s="312">
        <f>AC84-SUM(Y84:AA84)</f>
        <v>130.42100000000005</v>
      </c>
      <c r="AC84" s="313">
        <v>568</v>
      </c>
      <c r="AD84" s="114">
        <v>124.855</v>
      </c>
      <c r="AE84" s="311">
        <v>147.196</v>
      </c>
      <c r="AF84" s="311">
        <v>153.69</v>
      </c>
      <c r="AG84" s="312">
        <f>AH84-SUM(AD84:AF84)</f>
        <v>130.25900000000001</v>
      </c>
      <c r="AH84" s="313">
        <v>556</v>
      </c>
      <c r="AI84" s="114">
        <v>123.62</v>
      </c>
      <c r="AJ84" s="311">
        <v>132.989</v>
      </c>
      <c r="AK84" s="311">
        <v>156.82900000000001</v>
      </c>
      <c r="AL84" s="312">
        <f>AM84-SUM(AI84:AK84)</f>
        <v>124.56199999999995</v>
      </c>
      <c r="AM84" s="313">
        <v>538</v>
      </c>
      <c r="AN84" s="114">
        <v>126.229</v>
      </c>
      <c r="AO84" s="311">
        <v>132.81100000000001</v>
      </c>
      <c r="AP84" s="311">
        <v>164.374</v>
      </c>
      <c r="AQ84" s="312">
        <f>AR84-SUM(AN84:AP84)</f>
        <v>131.58600000000001</v>
      </c>
      <c r="AR84" s="313">
        <v>555</v>
      </c>
      <c r="AS84" s="114">
        <v>111.66800000000001</v>
      </c>
      <c r="AT84" s="311">
        <v>133.88</v>
      </c>
      <c r="AU84" s="311">
        <f>(35.453+362.349)-SUM(AS84:AT84)</f>
        <v>152.25400000000002</v>
      </c>
      <c r="AV84" s="312">
        <f>AW84-SUM(AS84:AU84)</f>
        <v>129.19799999999998</v>
      </c>
      <c r="AW84" s="313">
        <v>527</v>
      </c>
      <c r="AX84" s="121"/>
      <c r="AY84" s="130"/>
      <c r="AZ84" s="130"/>
      <c r="BA84" s="123"/>
      <c r="BB84" s="86"/>
      <c r="BC84" s="121"/>
      <c r="BD84" s="130"/>
      <c r="BE84" s="130"/>
      <c r="BF84" s="123"/>
      <c r="BG84" s="86"/>
      <c r="BH84" s="121"/>
      <c r="BI84" s="130"/>
      <c r="BJ84" s="130"/>
      <c r="BK84" s="123"/>
      <c r="BL84" s="86"/>
      <c r="BM84" s="121"/>
      <c r="BN84" s="130"/>
      <c r="BO84" s="130"/>
      <c r="BP84" s="123"/>
      <c r="BQ84" s="86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  <c r="CX84" s="44"/>
      <c r="CY84" s="44"/>
      <c r="CZ84" s="44"/>
    </row>
    <row r="85" spans="1:104" s="555" customFormat="1" x14ac:dyDescent="0.2">
      <c r="A85" s="543"/>
      <c r="B85" s="543"/>
      <c r="C85" s="544" t="s">
        <v>260</v>
      </c>
      <c r="D85" s="545"/>
      <c r="E85" s="546">
        <f t="shared" ref="E85:V85" si="173">SUM(E81:E84)</f>
        <v>4668.0780000000004</v>
      </c>
      <c r="F85" s="547">
        <f t="shared" si="173"/>
        <v>4358.5370000000003</v>
      </c>
      <c r="G85" s="547">
        <f t="shared" si="173"/>
        <v>4930.232</v>
      </c>
      <c r="H85" s="548">
        <f t="shared" si="173"/>
        <v>4506.5450000000001</v>
      </c>
      <c r="I85" s="549">
        <f t="shared" si="173"/>
        <v>18463.392</v>
      </c>
      <c r="J85" s="546">
        <f t="shared" si="173"/>
        <v>4425.5380000000005</v>
      </c>
      <c r="K85" s="547">
        <f t="shared" si="173"/>
        <v>4550.2929999999997</v>
      </c>
      <c r="L85" s="547">
        <f t="shared" si="173"/>
        <v>5185.7889999999998</v>
      </c>
      <c r="M85" s="548">
        <f t="shared" si="173"/>
        <v>4413.8119999999999</v>
      </c>
      <c r="N85" s="549">
        <f t="shared" si="173"/>
        <v>18575.431999999997</v>
      </c>
      <c r="O85" s="546">
        <f t="shared" si="173"/>
        <v>4268.0429999999997</v>
      </c>
      <c r="P85" s="547">
        <f t="shared" si="173"/>
        <v>4569.3580000000002</v>
      </c>
      <c r="Q85" s="547">
        <f t="shared" si="173"/>
        <v>5340.2830000000004</v>
      </c>
      <c r="R85" s="548">
        <f t="shared" si="173"/>
        <v>4461.3159999999998</v>
      </c>
      <c r="S85" s="549">
        <f t="shared" si="173"/>
        <v>18639</v>
      </c>
      <c r="T85" s="546">
        <f t="shared" si="173"/>
        <v>4338.299</v>
      </c>
      <c r="U85" s="547">
        <f t="shared" si="173"/>
        <v>4607.5739999999996</v>
      </c>
      <c r="V85" s="547">
        <f t="shared" si="173"/>
        <v>5177.3340000000007</v>
      </c>
      <c r="W85" s="548">
        <f t="shared" ref="W85:AD85" si="174">SUM(W81:W84)</f>
        <v>4408.7930000000006</v>
      </c>
      <c r="X85" s="549">
        <f t="shared" si="174"/>
        <v>18532</v>
      </c>
      <c r="Y85" s="546">
        <f t="shared" si="174"/>
        <v>4379.1689999999999</v>
      </c>
      <c r="Z85" s="547">
        <f t="shared" si="174"/>
        <v>4646.6969999999992</v>
      </c>
      <c r="AA85" s="547">
        <f t="shared" si="174"/>
        <v>5188.1840000000002</v>
      </c>
      <c r="AB85" s="548">
        <f t="shared" si="174"/>
        <v>4553.9500000000007</v>
      </c>
      <c r="AC85" s="549">
        <f t="shared" si="174"/>
        <v>18768</v>
      </c>
      <c r="AD85" s="546">
        <f t="shared" si="174"/>
        <v>4615.7269999999999</v>
      </c>
      <c r="AE85" s="547">
        <f t="shared" ref="AE85:AJ85" si="175">SUM(AE81:AE84)</f>
        <v>4735.1469999999999</v>
      </c>
      <c r="AF85" s="547">
        <f t="shared" si="175"/>
        <v>5117.8239999999996</v>
      </c>
      <c r="AG85" s="548">
        <f t="shared" si="175"/>
        <v>4639.3019999999997</v>
      </c>
      <c r="AH85" s="549">
        <f t="shared" si="175"/>
        <v>19108</v>
      </c>
      <c r="AI85" s="546">
        <f t="shared" si="175"/>
        <v>4651.26</v>
      </c>
      <c r="AJ85" s="547">
        <f t="shared" si="175"/>
        <v>4565.9129999999996</v>
      </c>
      <c r="AK85" s="547">
        <f t="shared" ref="AK85:AP85" si="176">SUM(AK81:AK84)</f>
        <v>5225.8309999999992</v>
      </c>
      <c r="AL85" s="548">
        <f t="shared" si="176"/>
        <v>4683.996000000001</v>
      </c>
      <c r="AM85" s="549">
        <f t="shared" si="176"/>
        <v>19127</v>
      </c>
      <c r="AN85" s="546">
        <f t="shared" si="176"/>
        <v>4600.2020000000002</v>
      </c>
      <c r="AO85" s="547">
        <f t="shared" si="176"/>
        <v>4596.0509999999995</v>
      </c>
      <c r="AP85" s="547">
        <f t="shared" si="176"/>
        <v>5395.5460000000003</v>
      </c>
      <c r="AQ85" s="548">
        <f t="shared" ref="AQ85:AW85" si="177">SUM(AQ81:AQ84)</f>
        <v>4667.2010000000009</v>
      </c>
      <c r="AR85" s="549">
        <f t="shared" si="177"/>
        <v>19259</v>
      </c>
      <c r="AS85" s="546">
        <f t="shared" si="177"/>
        <v>4527.0360000000001</v>
      </c>
      <c r="AT85" s="547">
        <f t="shared" si="177"/>
        <v>4738.8830000000007</v>
      </c>
      <c r="AU85" s="547">
        <f t="shared" si="177"/>
        <v>5262.1979999999985</v>
      </c>
      <c r="AV85" s="548">
        <f t="shared" si="177"/>
        <v>4776.8830000000007</v>
      </c>
      <c r="AW85" s="549">
        <f t="shared" si="177"/>
        <v>19305</v>
      </c>
      <c r="AX85" s="553">
        <f>+AS85*(1+AX52)</f>
        <v>4601.732094</v>
      </c>
      <c r="AY85" s="550">
        <f>+AT85*(1+AY52)</f>
        <v>4713.7669201000008</v>
      </c>
      <c r="AZ85" s="550">
        <f>+AU85*(1+AZ52)</f>
        <v>5301.6644849999984</v>
      </c>
      <c r="BA85" s="551">
        <f>+AV85*(1+BA52)</f>
        <v>4798.3789735</v>
      </c>
      <c r="BB85" s="552">
        <f>SUM(AX85:BA85)</f>
        <v>19415.542472599998</v>
      </c>
      <c r="BC85" s="553">
        <f>+AX85*(1+BC52)</f>
        <v>4613.2364242349995</v>
      </c>
      <c r="BD85" s="550">
        <f>+AY85*(1+BD52)</f>
        <v>4725.5513374002503</v>
      </c>
      <c r="BE85" s="550">
        <f>+AZ85*(1+BE52)</f>
        <v>5314.9186462124981</v>
      </c>
      <c r="BF85" s="551">
        <f>+BA85*(1+BF52)</f>
        <v>4810.3749209337502</v>
      </c>
      <c r="BG85" s="552">
        <f>SUM(BC85:BF85)</f>
        <v>19464.081328781496</v>
      </c>
      <c r="BH85" s="553">
        <f>+BC85*(1+BH52)</f>
        <v>4624.7695152955866</v>
      </c>
      <c r="BI85" s="550">
        <f>+BD85*(1+BI52)</f>
        <v>4737.3652157437509</v>
      </c>
      <c r="BJ85" s="550">
        <f>+BE85*(1+BJ52)</f>
        <v>5328.205942828029</v>
      </c>
      <c r="BK85" s="551">
        <f>+BF85*(1+BK52)</f>
        <v>4822.4008582360848</v>
      </c>
      <c r="BL85" s="552">
        <f>SUM(BH85:BK85)</f>
        <v>19512.74153210345</v>
      </c>
      <c r="BM85" s="553">
        <f>+BH85*(1+BM52)</f>
        <v>4636.331439083825</v>
      </c>
      <c r="BN85" s="550">
        <f>+BI85*(1+BN52)</f>
        <v>4749.2086287831098</v>
      </c>
      <c r="BO85" s="550">
        <f>+BJ85*(1+BO52)</f>
        <v>5341.5264576850986</v>
      </c>
      <c r="BP85" s="551">
        <f>+BK85*(1+BP52)</f>
        <v>4834.4568603816751</v>
      </c>
      <c r="BQ85" s="552">
        <f>SUM(BM85:BP85)</f>
        <v>19561.52338593371</v>
      </c>
      <c r="BR85" s="554"/>
      <c r="BS85" s="554"/>
      <c r="BT85" s="554"/>
      <c r="BU85" s="554"/>
      <c r="BV85" s="554"/>
      <c r="BW85" s="554"/>
      <c r="BX85" s="554"/>
      <c r="BY85" s="554"/>
      <c r="BZ85" s="554"/>
      <c r="CA85" s="554"/>
      <c r="CB85" s="554"/>
      <c r="CC85" s="554"/>
      <c r="CD85" s="554"/>
      <c r="CE85" s="554"/>
      <c r="CF85" s="554"/>
      <c r="CG85" s="554"/>
      <c r="CH85" s="554"/>
      <c r="CI85" s="554"/>
      <c r="CJ85" s="554"/>
      <c r="CK85" s="554"/>
      <c r="CL85" s="554"/>
      <c r="CM85" s="554"/>
      <c r="CN85" s="554"/>
      <c r="CO85" s="554"/>
      <c r="CP85" s="554"/>
      <c r="CQ85" s="554"/>
      <c r="CR85" s="554"/>
      <c r="CS85" s="554"/>
      <c r="CT85" s="554"/>
      <c r="CU85" s="554"/>
      <c r="CV85" s="554"/>
      <c r="CW85" s="554"/>
      <c r="CX85" s="554"/>
      <c r="CY85" s="554"/>
      <c r="CZ85" s="554"/>
    </row>
    <row r="86" spans="1:104" s="20" customFormat="1" x14ac:dyDescent="0.2">
      <c r="A86" s="220"/>
      <c r="B86" s="220"/>
      <c r="C86" s="20" t="s">
        <v>261</v>
      </c>
      <c r="D86" s="82"/>
      <c r="E86" s="310">
        <v>2636.5880000000002</v>
      </c>
      <c r="F86" s="311">
        <v>2634.2420000000002</v>
      </c>
      <c r="G86" s="311">
        <v>3139.0010000000002</v>
      </c>
      <c r="H86" s="312">
        <f>I86-SUM(E86:G86)</f>
        <v>2567.628999999999</v>
      </c>
      <c r="I86" s="313">
        <v>10977.46</v>
      </c>
      <c r="J86" s="310">
        <v>2562.105</v>
      </c>
      <c r="K86" s="311">
        <v>2877.7950000000001</v>
      </c>
      <c r="L86" s="311">
        <v>3028.9760000000001</v>
      </c>
      <c r="M86" s="312">
        <f>N86-SUM(J86:L86)</f>
        <v>2639.7780000000002</v>
      </c>
      <c r="N86" s="313">
        <v>11108.654</v>
      </c>
      <c r="O86" s="310">
        <v>2760.4569999999999</v>
      </c>
      <c r="P86" s="311">
        <v>3250.3939999999998</v>
      </c>
      <c r="Q86" s="311">
        <v>3541.0859999999998</v>
      </c>
      <c r="R86" s="312">
        <f>S86-SUM(O86:Q86)</f>
        <v>1772.0630000000001</v>
      </c>
      <c r="S86" s="313">
        <v>11324</v>
      </c>
      <c r="T86" s="114">
        <v>2190.5940000000001</v>
      </c>
      <c r="U86" s="311">
        <v>2587.9270000000001</v>
      </c>
      <c r="V86" s="311">
        <v>1694.5740000000001</v>
      </c>
      <c r="W86" s="312">
        <f>X86-SUM(T86:V86)</f>
        <v>2807.9049999999988</v>
      </c>
      <c r="X86" s="313">
        <v>9281</v>
      </c>
      <c r="Y86" s="114">
        <v>2089.9380000000001</v>
      </c>
      <c r="Z86" s="311">
        <v>2626.2649999999999</v>
      </c>
      <c r="AA86" s="311">
        <v>2747.826</v>
      </c>
      <c r="AB86" s="312">
        <f>AC86-SUM(Y86:AA86)</f>
        <v>1735.9710000000005</v>
      </c>
      <c r="AC86" s="313">
        <v>9200</v>
      </c>
      <c r="AD86" s="114">
        <v>1868.9110000000001</v>
      </c>
      <c r="AE86" s="311">
        <v>2338.2060000000001</v>
      </c>
      <c r="AF86" s="311">
        <v>2755.674</v>
      </c>
      <c r="AG86" s="312">
        <f>AH86-SUM(AD86:AF86)</f>
        <v>1600.2089999999998</v>
      </c>
      <c r="AH86" s="313">
        <v>8563</v>
      </c>
      <c r="AI86" s="114">
        <v>2112.8209999999999</v>
      </c>
      <c r="AJ86" s="311">
        <v>2325.8249999999998</v>
      </c>
      <c r="AK86" s="311">
        <v>2888.1109999999999</v>
      </c>
      <c r="AL86" s="312">
        <f>AM86-SUM(AI86:AK86)</f>
        <v>1367.2430000000004</v>
      </c>
      <c r="AM86" s="313">
        <v>8694</v>
      </c>
      <c r="AN86" s="114">
        <v>1704.413</v>
      </c>
      <c r="AO86" s="311">
        <v>2471.1489999999999</v>
      </c>
      <c r="AP86" s="311">
        <v>2752.0129999999999</v>
      </c>
      <c r="AQ86" s="312">
        <f>AR86-SUM(AN86:AP86)</f>
        <v>1761.4250000000002</v>
      </c>
      <c r="AR86" s="313">
        <v>8689</v>
      </c>
      <c r="AS86" s="114">
        <v>1590.5530000000001</v>
      </c>
      <c r="AT86" s="311">
        <v>2049.163</v>
      </c>
      <c r="AU86" s="311">
        <f>6147.262-SUM(AS86:AT86)</f>
        <v>2507.5459999999994</v>
      </c>
      <c r="AV86" s="312">
        <f>AW86-SUM(AS86:AU86)</f>
        <v>1611.7380000000003</v>
      </c>
      <c r="AW86" s="313">
        <v>7759</v>
      </c>
      <c r="AX86" s="136">
        <f>+AS86</f>
        <v>1590.5530000000001</v>
      </c>
      <c r="AY86" s="137">
        <f>+AT86</f>
        <v>2049.163</v>
      </c>
      <c r="AZ86" s="137">
        <f>+AU86</f>
        <v>2507.5459999999994</v>
      </c>
      <c r="BA86" s="116">
        <f>+AV86</f>
        <v>1611.7380000000003</v>
      </c>
      <c r="BB86" s="82">
        <f>SUM(AX86:BA86)</f>
        <v>7759</v>
      </c>
      <c r="BC86" s="136">
        <f>+AX86</f>
        <v>1590.5530000000001</v>
      </c>
      <c r="BD86" s="137">
        <f>+AY86</f>
        <v>2049.163</v>
      </c>
      <c r="BE86" s="137">
        <f>+AZ86</f>
        <v>2507.5459999999994</v>
      </c>
      <c r="BF86" s="116">
        <f>+BA86</f>
        <v>1611.7380000000003</v>
      </c>
      <c r="BG86" s="82">
        <f>SUM(BC86:BF86)</f>
        <v>7759</v>
      </c>
      <c r="BH86" s="136">
        <f>+BC86</f>
        <v>1590.5530000000001</v>
      </c>
      <c r="BI86" s="137">
        <f>+BD86</f>
        <v>2049.163</v>
      </c>
      <c r="BJ86" s="137">
        <f>+BE86</f>
        <v>2507.5459999999994</v>
      </c>
      <c r="BK86" s="116">
        <f>+BF86</f>
        <v>1611.7380000000003</v>
      </c>
      <c r="BL86" s="82">
        <f>SUM(BH86:BK86)</f>
        <v>7759</v>
      </c>
      <c r="BM86" s="136">
        <f>+BH86</f>
        <v>1590.5530000000001</v>
      </c>
      <c r="BN86" s="137">
        <f>+BI86</f>
        <v>2049.163</v>
      </c>
      <c r="BO86" s="137">
        <f>+BJ86</f>
        <v>2507.5459999999994</v>
      </c>
      <c r="BP86" s="116">
        <f>+BK86</f>
        <v>1611.7380000000003</v>
      </c>
      <c r="BQ86" s="82">
        <f>SUM(BM86:BP86)</f>
        <v>7759</v>
      </c>
      <c r="BR86" s="220"/>
      <c r="BS86" s="220"/>
      <c r="BT86" s="220"/>
      <c r="BU86" s="220"/>
      <c r="BV86" s="220"/>
      <c r="BW86" s="220"/>
      <c r="BX86" s="220"/>
      <c r="BY86" s="220"/>
      <c r="BZ86" s="220"/>
      <c r="CA86" s="220"/>
      <c r="CB86" s="220"/>
      <c r="CC86" s="220"/>
      <c r="CD86" s="220"/>
      <c r="CE86" s="220"/>
      <c r="CF86" s="220"/>
      <c r="CG86" s="220"/>
      <c r="CH86" s="220"/>
      <c r="CI86" s="220"/>
      <c r="CJ86" s="220"/>
      <c r="CK86" s="220"/>
      <c r="CL86" s="220"/>
      <c r="CM86" s="220"/>
      <c r="CN86" s="220"/>
      <c r="CO86" s="220"/>
      <c r="CP86" s="220"/>
      <c r="CQ86" s="220"/>
      <c r="CR86" s="220"/>
      <c r="CS86" s="220"/>
      <c r="CT86" s="220"/>
      <c r="CU86" s="220"/>
      <c r="CV86" s="220"/>
      <c r="CW86" s="220"/>
      <c r="CX86" s="220"/>
      <c r="CY86" s="220"/>
      <c r="CZ86" s="220"/>
    </row>
    <row r="87" spans="1:104" x14ac:dyDescent="0.2">
      <c r="A87" s="44"/>
      <c r="B87" s="44"/>
      <c r="C87" s="26" t="s">
        <v>262</v>
      </c>
      <c r="D87" s="42"/>
      <c r="E87" s="121">
        <f>SUM(E85:E86)</f>
        <v>7304.6660000000011</v>
      </c>
      <c r="F87" s="122">
        <f t="shared" ref="F87:AD87" si="178">SUM(F85:F86)</f>
        <v>6992.7790000000005</v>
      </c>
      <c r="G87" s="122">
        <f t="shared" si="178"/>
        <v>8069.2330000000002</v>
      </c>
      <c r="H87" s="123">
        <f t="shared" si="178"/>
        <v>7074.1739999999991</v>
      </c>
      <c r="I87" s="86">
        <f t="shared" si="178"/>
        <v>29440.851999999999</v>
      </c>
      <c r="J87" s="121">
        <f t="shared" si="178"/>
        <v>6987.643</v>
      </c>
      <c r="K87" s="122">
        <f>SUM(K85:K86)</f>
        <v>7428.0879999999997</v>
      </c>
      <c r="L87" s="122">
        <f t="shared" si="178"/>
        <v>8214.7649999999994</v>
      </c>
      <c r="M87" s="126">
        <f t="shared" si="178"/>
        <v>7053.59</v>
      </c>
      <c r="N87" s="86">
        <f t="shared" si="178"/>
        <v>29684.085999999996</v>
      </c>
      <c r="O87" s="121">
        <f t="shared" si="178"/>
        <v>7028.5</v>
      </c>
      <c r="P87" s="122">
        <f t="shared" si="178"/>
        <v>7819.7520000000004</v>
      </c>
      <c r="Q87" s="122">
        <f t="shared" si="178"/>
        <v>8881.3690000000006</v>
      </c>
      <c r="R87" s="126">
        <f t="shared" si="178"/>
        <v>6233.3789999999999</v>
      </c>
      <c r="S87" s="86">
        <f t="shared" si="178"/>
        <v>29963</v>
      </c>
      <c r="T87" s="121">
        <f t="shared" si="178"/>
        <v>6528.893</v>
      </c>
      <c r="U87" s="122">
        <f t="shared" si="178"/>
        <v>7195.5010000000002</v>
      </c>
      <c r="V87" s="122">
        <f t="shared" si="178"/>
        <v>6871.9080000000013</v>
      </c>
      <c r="W87" s="126">
        <f>SUM(W85:W86)</f>
        <v>7216.6979999999994</v>
      </c>
      <c r="X87" s="86">
        <f>SUM(X85:X86)</f>
        <v>27813</v>
      </c>
      <c r="Y87" s="121">
        <f t="shared" si="178"/>
        <v>6469.107</v>
      </c>
      <c r="Z87" s="122">
        <f>SUM(Z85:Z86)</f>
        <v>7272.9619999999995</v>
      </c>
      <c r="AA87" s="122">
        <f>SUM(AA85:AA86)</f>
        <v>7936.01</v>
      </c>
      <c r="AB87" s="126">
        <f>SUM(AB85:AB86)</f>
        <v>6289.9210000000012</v>
      </c>
      <c r="AC87" s="86">
        <f>SUM(AC85:AC86)</f>
        <v>27968</v>
      </c>
      <c r="AD87" s="121">
        <f t="shared" si="178"/>
        <v>6484.6379999999999</v>
      </c>
      <c r="AE87" s="122">
        <f t="shared" ref="AE87:AJ87" si="179">SUM(AE85:AE86)</f>
        <v>7073.3530000000001</v>
      </c>
      <c r="AF87" s="122">
        <f t="shared" si="179"/>
        <v>7873.4979999999996</v>
      </c>
      <c r="AG87" s="126">
        <f t="shared" si="179"/>
        <v>6239.5109999999995</v>
      </c>
      <c r="AH87" s="86">
        <f t="shared" si="179"/>
        <v>27671</v>
      </c>
      <c r="AI87" s="121">
        <f t="shared" si="179"/>
        <v>6764.0810000000001</v>
      </c>
      <c r="AJ87" s="122">
        <f t="shared" si="179"/>
        <v>6891.7379999999994</v>
      </c>
      <c r="AK87" s="122">
        <f t="shared" ref="AK87:AU87" si="180">SUM(AK85:AK86)</f>
        <v>8113.9419999999991</v>
      </c>
      <c r="AL87" s="126">
        <f t="shared" si="180"/>
        <v>6051.2390000000014</v>
      </c>
      <c r="AM87" s="86">
        <f t="shared" si="180"/>
        <v>27821</v>
      </c>
      <c r="AN87" s="121">
        <f t="shared" si="180"/>
        <v>6304.6149999999998</v>
      </c>
      <c r="AO87" s="122">
        <f t="shared" si="180"/>
        <v>7067.1999999999989</v>
      </c>
      <c r="AP87" s="122">
        <f t="shared" si="180"/>
        <v>8147.5590000000002</v>
      </c>
      <c r="AQ87" s="126">
        <f t="shared" si="180"/>
        <v>6428.6260000000011</v>
      </c>
      <c r="AR87" s="86">
        <f t="shared" si="180"/>
        <v>27948</v>
      </c>
      <c r="AS87" s="121">
        <f t="shared" si="180"/>
        <v>6117.5889999999999</v>
      </c>
      <c r="AT87" s="122">
        <f t="shared" si="180"/>
        <v>6788.0460000000003</v>
      </c>
      <c r="AU87" s="122">
        <f t="shared" si="180"/>
        <v>7769.7439999999979</v>
      </c>
      <c r="AV87" s="126">
        <f t="shared" ref="AV87:AW87" si="181">SUM(AV85:AV86)</f>
        <v>6388.621000000001</v>
      </c>
      <c r="AW87" s="86">
        <f t="shared" si="181"/>
        <v>27064</v>
      </c>
      <c r="AX87" s="121">
        <f t="shared" ref="AX87:BG87" si="182">SUM(AX85:AX86)</f>
        <v>6192.2850939999998</v>
      </c>
      <c r="AY87" s="122">
        <f t="shared" si="182"/>
        <v>6762.9299201000013</v>
      </c>
      <c r="AZ87" s="122">
        <f t="shared" si="182"/>
        <v>7809.2104849999978</v>
      </c>
      <c r="BA87" s="123">
        <f t="shared" si="182"/>
        <v>6410.1169735000003</v>
      </c>
      <c r="BB87" s="86">
        <f t="shared" si="182"/>
        <v>27174.542472599998</v>
      </c>
      <c r="BC87" s="121">
        <f t="shared" si="182"/>
        <v>6203.7894242349994</v>
      </c>
      <c r="BD87" s="122">
        <f t="shared" si="182"/>
        <v>6774.7143374002499</v>
      </c>
      <c r="BE87" s="122">
        <f t="shared" si="182"/>
        <v>7822.4646462124974</v>
      </c>
      <c r="BF87" s="123">
        <f t="shared" si="182"/>
        <v>6422.1129209337505</v>
      </c>
      <c r="BG87" s="86">
        <f t="shared" si="182"/>
        <v>27223.081328781496</v>
      </c>
      <c r="BH87" s="121">
        <f t="shared" ref="BH87:BQ87" si="183">SUM(BH85:BH86)</f>
        <v>6215.3225152955865</v>
      </c>
      <c r="BI87" s="122">
        <f t="shared" si="183"/>
        <v>6786.5282157437505</v>
      </c>
      <c r="BJ87" s="122">
        <f t="shared" si="183"/>
        <v>7835.7519428280284</v>
      </c>
      <c r="BK87" s="123">
        <f t="shared" si="183"/>
        <v>6434.1388582360851</v>
      </c>
      <c r="BL87" s="86">
        <f t="shared" si="183"/>
        <v>27271.74153210345</v>
      </c>
      <c r="BM87" s="121">
        <f t="shared" si="183"/>
        <v>6226.8844390838249</v>
      </c>
      <c r="BN87" s="122">
        <f t="shared" si="183"/>
        <v>6798.3716287831103</v>
      </c>
      <c r="BO87" s="122">
        <f t="shared" si="183"/>
        <v>7849.072457685098</v>
      </c>
      <c r="BP87" s="123">
        <f t="shared" si="183"/>
        <v>6446.1948603816754</v>
      </c>
      <c r="BQ87" s="86">
        <f t="shared" si="183"/>
        <v>27320.52338593371</v>
      </c>
      <c r="BR87" s="44"/>
      <c r="BS87" s="631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  <c r="CX87" s="44"/>
      <c r="CY87" s="44"/>
      <c r="CZ87" s="44"/>
    </row>
    <row r="88" spans="1:104" x14ac:dyDescent="0.2">
      <c r="A88" s="44"/>
      <c r="B88" s="44"/>
      <c r="C88" s="82"/>
      <c r="D88" s="42"/>
      <c r="E88" s="121"/>
      <c r="F88" s="130"/>
      <c r="G88" s="130"/>
      <c r="H88" s="123"/>
      <c r="I88" s="86"/>
      <c r="J88" s="121"/>
      <c r="K88" s="130"/>
      <c r="L88" s="130"/>
      <c r="M88" s="123"/>
      <c r="N88" s="86"/>
      <c r="O88" s="121"/>
      <c r="P88" s="130"/>
      <c r="Q88" s="130"/>
      <c r="R88" s="123"/>
      <c r="S88" s="86"/>
      <c r="T88" s="121"/>
      <c r="U88" s="130"/>
      <c r="V88" s="130"/>
      <c r="W88" s="123"/>
      <c r="X88" s="86"/>
      <c r="Y88" s="121"/>
      <c r="Z88" s="130"/>
      <c r="AA88" s="130"/>
      <c r="AB88" s="123"/>
      <c r="AC88" s="86"/>
      <c r="AD88" s="121"/>
      <c r="AE88" s="130"/>
      <c r="AF88" s="130"/>
      <c r="AG88" s="123"/>
      <c r="AH88" s="86"/>
      <c r="AI88" s="121"/>
      <c r="AJ88" s="130"/>
      <c r="AK88" s="130"/>
      <c r="AL88" s="123"/>
      <c r="AM88" s="86"/>
      <c r="AN88" s="121"/>
      <c r="AO88" s="130"/>
      <c r="AP88" s="130"/>
      <c r="AQ88" s="123"/>
      <c r="AR88" s="86"/>
      <c r="AS88" s="121"/>
      <c r="AT88" s="130"/>
      <c r="AU88" s="130"/>
      <c r="AV88" s="123"/>
      <c r="AW88" s="86"/>
      <c r="AX88" s="121"/>
      <c r="AY88" s="130"/>
      <c r="AZ88" s="130"/>
      <c r="BA88" s="123"/>
      <c r="BB88" s="86"/>
      <c r="BC88" s="121"/>
      <c r="BD88" s="130"/>
      <c r="BE88" s="130"/>
      <c r="BF88" s="123"/>
      <c r="BG88" s="86"/>
      <c r="BH88" s="121"/>
      <c r="BI88" s="130"/>
      <c r="BJ88" s="130"/>
      <c r="BK88" s="123"/>
      <c r="BL88" s="86"/>
      <c r="BM88" s="121"/>
      <c r="BN88" s="130"/>
      <c r="BO88" s="130"/>
      <c r="BP88" s="123"/>
      <c r="BQ88" s="86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  <c r="CX88" s="44"/>
      <c r="CY88" s="44"/>
      <c r="CZ88" s="44"/>
    </row>
    <row r="89" spans="1:104" x14ac:dyDescent="0.2">
      <c r="A89" s="20"/>
      <c r="B89" s="20"/>
      <c r="C89" s="20" t="s">
        <v>263</v>
      </c>
      <c r="D89" s="20"/>
      <c r="E89" s="203"/>
      <c r="F89" s="204"/>
      <c r="G89" s="204"/>
      <c r="H89" s="205"/>
      <c r="I89" s="206"/>
      <c r="J89" s="207">
        <f t="shared" ref="J89:Q89" si="184">+J85/E85-1</f>
        <v>-5.1957143818076701E-2</v>
      </c>
      <c r="K89" s="208">
        <f t="shared" si="184"/>
        <v>4.399549665403768E-2</v>
      </c>
      <c r="L89" s="208">
        <f t="shared" si="184"/>
        <v>5.1834680396378952E-2</v>
      </c>
      <c r="M89" s="209">
        <f t="shared" si="184"/>
        <v>-2.0577404641471508E-2</v>
      </c>
      <c r="N89" s="88">
        <f t="shared" si="184"/>
        <v>6.0682240836351653E-3</v>
      </c>
      <c r="O89" s="207">
        <f t="shared" si="184"/>
        <v>-3.5587763566825248E-2</v>
      </c>
      <c r="P89" s="208">
        <f t="shared" si="184"/>
        <v>4.1898400828255244E-3</v>
      </c>
      <c r="Q89" s="208">
        <f t="shared" si="184"/>
        <v>2.9791802173208426E-2</v>
      </c>
      <c r="R89" s="209">
        <f t="shared" ref="R89:AK89" si="185">+R85/M85-1</f>
        <v>1.0762578922709043E-2</v>
      </c>
      <c r="S89" s="88">
        <f t="shared" si="185"/>
        <v>3.4221545964585598E-3</v>
      </c>
      <c r="T89" s="207">
        <f t="shared" si="185"/>
        <v>1.6460940060819551E-2</v>
      </c>
      <c r="U89" s="208">
        <f t="shared" si="185"/>
        <v>8.363538160065298E-3</v>
      </c>
      <c r="V89" s="208">
        <f t="shared" si="185"/>
        <v>-3.0513176923395169E-2</v>
      </c>
      <c r="W89" s="209">
        <f t="shared" si="185"/>
        <v>-1.1772983577043039E-2</v>
      </c>
      <c r="X89" s="88">
        <f t="shared" si="185"/>
        <v>-5.7406513224957934E-3</v>
      </c>
      <c r="Y89" s="207">
        <f t="shared" si="185"/>
        <v>9.4207430147161819E-3</v>
      </c>
      <c r="Z89" s="208">
        <f t="shared" si="185"/>
        <v>8.4910193520493227E-3</v>
      </c>
      <c r="AA89" s="208">
        <f t="shared" si="185"/>
        <v>2.0956731785122251E-3</v>
      </c>
      <c r="AB89" s="209">
        <f t="shared" si="185"/>
        <v>3.2924430790921777E-2</v>
      </c>
      <c r="AC89" s="88">
        <f t="shared" si="185"/>
        <v>1.2734729117202637E-2</v>
      </c>
      <c r="AD89" s="207">
        <f t="shared" si="185"/>
        <v>5.4018924595054418E-2</v>
      </c>
      <c r="AE89" s="208">
        <f t="shared" si="185"/>
        <v>1.9035026385408882E-2</v>
      </c>
      <c r="AF89" s="208">
        <f t="shared" si="185"/>
        <v>-1.3561585325424175E-2</v>
      </c>
      <c r="AG89" s="209">
        <f t="shared" si="185"/>
        <v>1.8742410434896994E-2</v>
      </c>
      <c r="AH89" s="88">
        <f t="shared" si="185"/>
        <v>1.8115942028985588E-2</v>
      </c>
      <c r="AI89" s="207">
        <f t="shared" si="185"/>
        <v>7.6982455851484222E-3</v>
      </c>
      <c r="AJ89" s="208">
        <f t="shared" si="185"/>
        <v>-3.5739967523711558E-2</v>
      </c>
      <c r="AK89" s="208">
        <f t="shared" si="185"/>
        <v>2.1104086424230228E-2</v>
      </c>
      <c r="AL89" s="209">
        <f t="shared" ref="AL89:AU89" si="186">+AL85/AG85-1</f>
        <v>9.6337768052179307E-3</v>
      </c>
      <c r="AM89" s="88">
        <f t="shared" si="186"/>
        <v>9.9434791710284465E-4</v>
      </c>
      <c r="AN89" s="207">
        <f t="shared" si="186"/>
        <v>-1.0977240575671954E-2</v>
      </c>
      <c r="AO89" s="208">
        <f t="shared" si="186"/>
        <v>6.6006513921750276E-3</v>
      </c>
      <c r="AP89" s="208">
        <f t="shared" si="186"/>
        <v>3.247617460266139E-2</v>
      </c>
      <c r="AQ89" s="209">
        <f t="shared" si="186"/>
        <v>-3.5856136512499859E-3</v>
      </c>
      <c r="AR89" s="88">
        <f t="shared" si="186"/>
        <v>6.9012390861087347E-3</v>
      </c>
      <c r="AS89" s="207">
        <f t="shared" si="186"/>
        <v>-1.5904953738988037E-2</v>
      </c>
      <c r="AT89" s="208">
        <f t="shared" si="186"/>
        <v>3.1077113809224732E-2</v>
      </c>
      <c r="AU89" s="208">
        <f t="shared" si="186"/>
        <v>-2.47144589259366E-2</v>
      </c>
      <c r="AV89" s="209">
        <f t="shared" ref="AV89" si="187">+AV85/AQ85-1</f>
        <v>2.3500594896169957E-2</v>
      </c>
      <c r="AW89" s="88">
        <f t="shared" ref="AW89" si="188">+AW85/AR85-1</f>
        <v>2.388493691261262E-3</v>
      </c>
      <c r="AX89" s="207">
        <f t="shared" ref="AX89:BG89" si="189">+AX85/AS85-1</f>
        <v>1.6499999999999959E-2</v>
      </c>
      <c r="AY89" s="208">
        <f t="shared" si="189"/>
        <v>-5.2999999999999714E-3</v>
      </c>
      <c r="AZ89" s="208">
        <f t="shared" si="189"/>
        <v>7.5000000000000622E-3</v>
      </c>
      <c r="BA89" s="209">
        <f t="shared" si="189"/>
        <v>4.4999999999999485E-3</v>
      </c>
      <c r="BB89" s="88">
        <f t="shared" si="189"/>
        <v>5.7261058067856752E-3</v>
      </c>
      <c r="BC89" s="207">
        <f t="shared" si="189"/>
        <v>2.4999999999999467E-3</v>
      </c>
      <c r="BD89" s="208">
        <f t="shared" si="189"/>
        <v>2.4999999999999467E-3</v>
      </c>
      <c r="BE89" s="208">
        <f t="shared" si="189"/>
        <v>2.4999999999999467E-3</v>
      </c>
      <c r="BF89" s="209">
        <f t="shared" si="189"/>
        <v>2.4999999999999467E-3</v>
      </c>
      <c r="BG89" s="88">
        <f t="shared" si="189"/>
        <v>2.4999999999999467E-3</v>
      </c>
      <c r="BH89" s="207">
        <f t="shared" ref="BH89:BQ89" si="190">+BH85/BC85-1</f>
        <v>2.4999999999999467E-3</v>
      </c>
      <c r="BI89" s="208">
        <f t="shared" si="190"/>
        <v>2.4999999999999467E-3</v>
      </c>
      <c r="BJ89" s="208">
        <f t="shared" si="190"/>
        <v>2.4999999999999467E-3</v>
      </c>
      <c r="BK89" s="209">
        <f t="shared" si="190"/>
        <v>2.4999999999999467E-3</v>
      </c>
      <c r="BL89" s="88">
        <f t="shared" si="190"/>
        <v>2.4999999999999467E-3</v>
      </c>
      <c r="BM89" s="207">
        <f t="shared" si="190"/>
        <v>2.4999999999999467E-3</v>
      </c>
      <c r="BN89" s="208">
        <f t="shared" si="190"/>
        <v>2.4999999999999467E-3</v>
      </c>
      <c r="BO89" s="208">
        <f t="shared" si="190"/>
        <v>2.4999999999999467E-3</v>
      </c>
      <c r="BP89" s="209">
        <f t="shared" si="190"/>
        <v>2.4999999999999467E-3</v>
      </c>
      <c r="BQ89" s="88">
        <f t="shared" si="190"/>
        <v>2.5000000000001688E-3</v>
      </c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0"/>
      <c r="CR89" s="20"/>
      <c r="CS89" s="20"/>
      <c r="CT89" s="20"/>
      <c r="CU89" s="20"/>
      <c r="CV89" s="20"/>
      <c r="CW89" s="20"/>
      <c r="CX89" s="20"/>
      <c r="CY89" s="20"/>
      <c r="CZ89" s="20"/>
    </row>
    <row r="90" spans="1:104" x14ac:dyDescent="0.2">
      <c r="C90" s="316"/>
      <c r="E90" s="273"/>
      <c r="F90" s="274"/>
      <c r="G90" s="274"/>
      <c r="H90" s="275"/>
      <c r="I90" s="169"/>
      <c r="J90" s="273"/>
      <c r="K90" s="274"/>
      <c r="L90" s="274"/>
      <c r="M90" s="275"/>
      <c r="N90" s="169"/>
      <c r="O90" s="273"/>
      <c r="P90" s="274"/>
      <c r="Q90" s="274"/>
      <c r="R90" s="275"/>
      <c r="S90" s="169"/>
      <c r="T90" s="273"/>
      <c r="U90" s="274"/>
      <c r="V90" s="274"/>
      <c r="W90" s="275"/>
      <c r="X90" s="169"/>
      <c r="Y90" s="273"/>
      <c r="Z90" s="274"/>
      <c r="AA90" s="274"/>
      <c r="AB90" s="275"/>
      <c r="AC90" s="169"/>
      <c r="AD90" s="273"/>
      <c r="AE90" s="274"/>
      <c r="AF90" s="274"/>
      <c r="AG90" s="275"/>
      <c r="AH90" s="169"/>
      <c r="AI90" s="273"/>
      <c r="AJ90" s="274"/>
      <c r="AK90" s="274"/>
      <c r="AL90" s="275"/>
      <c r="AM90" s="169"/>
      <c r="AN90" s="273"/>
      <c r="AO90" s="274"/>
      <c r="AP90" s="274"/>
      <c r="AQ90" s="275"/>
      <c r="AR90" s="169"/>
      <c r="AS90" s="273"/>
      <c r="AT90" s="274"/>
      <c r="AU90" s="274"/>
      <c r="AV90" s="275"/>
      <c r="AW90" s="169"/>
      <c r="AX90" s="273"/>
      <c r="AY90" s="274"/>
      <c r="AZ90" s="274"/>
      <c r="BA90" s="275"/>
      <c r="BB90" s="169"/>
      <c r="BC90" s="273"/>
      <c r="BD90" s="274"/>
      <c r="BE90" s="274"/>
      <c r="BF90" s="275"/>
      <c r="BG90" s="169"/>
      <c r="BH90" s="273"/>
      <c r="BI90" s="274"/>
      <c r="BJ90" s="274"/>
      <c r="BK90" s="275"/>
      <c r="BL90" s="169"/>
      <c r="BM90" s="273"/>
      <c r="BN90" s="274"/>
      <c r="BO90" s="274"/>
      <c r="BP90" s="275"/>
      <c r="BQ90" s="169"/>
    </row>
    <row r="91" spans="1:104" x14ac:dyDescent="0.2">
      <c r="C91" s="26" t="s">
        <v>470</v>
      </c>
      <c r="E91" s="317">
        <f>E76/E85*1000</f>
        <v>65.994612772108781</v>
      </c>
      <c r="F91" s="318">
        <f t="shared" ref="F91:O91" si="191">F76/F85*1000</f>
        <v>54.930817382071091</v>
      </c>
      <c r="G91" s="318">
        <f t="shared" si="191"/>
        <v>49.025279134937264</v>
      </c>
      <c r="H91" s="319">
        <f t="shared" si="191"/>
        <v>51.880320733510928</v>
      </c>
      <c r="I91" s="320">
        <f t="shared" si="191"/>
        <v>55.406558014908633</v>
      </c>
      <c r="J91" s="317">
        <f t="shared" si="191"/>
        <v>55.855807813648866</v>
      </c>
      <c r="K91" s="318">
        <f t="shared" si="191"/>
        <v>56.773047362005045</v>
      </c>
      <c r="L91" s="318">
        <f t="shared" si="191"/>
        <v>64.035193101763312</v>
      </c>
      <c r="M91" s="319">
        <f>M76/M85*1000</f>
        <v>53.237201765729928</v>
      </c>
      <c r="N91" s="320">
        <f>N76/N85*1000</f>
        <v>57.741752654796962</v>
      </c>
      <c r="O91" s="317">
        <f t="shared" si="191"/>
        <v>56.140015459075741</v>
      </c>
      <c r="P91" s="318">
        <f t="shared" ref="P91:V91" si="192">P76/P85*1000</f>
        <v>59.78476626256905</v>
      </c>
      <c r="Q91" s="318">
        <f t="shared" si="192"/>
        <v>65.647644516217582</v>
      </c>
      <c r="R91" s="319">
        <f t="shared" si="192"/>
        <v>56.717569434669052</v>
      </c>
      <c r="S91" s="320">
        <f t="shared" si="192"/>
        <v>59.895809861044043</v>
      </c>
      <c r="T91" s="317">
        <f t="shared" si="192"/>
        <v>57.772643148847045</v>
      </c>
      <c r="U91" s="318">
        <f t="shared" si="192"/>
        <v>55.396180289236817</v>
      </c>
      <c r="V91" s="318">
        <f t="shared" si="192"/>
        <v>62.119229703936419</v>
      </c>
      <c r="W91" s="319">
        <f t="shared" ref="W91:AC91" si="193">W76/W85*1000</f>
        <v>49.143835965988863</v>
      </c>
      <c r="X91" s="320">
        <f t="shared" si="193"/>
        <v>56.343298078998487</v>
      </c>
      <c r="Y91" s="317">
        <f t="shared" si="193"/>
        <v>55.529028452658487</v>
      </c>
      <c r="Z91" s="318">
        <f t="shared" si="193"/>
        <v>61.017750888426782</v>
      </c>
      <c r="AA91" s="318">
        <f t="shared" si="193"/>
        <v>70.733998639986552</v>
      </c>
      <c r="AB91" s="319">
        <f t="shared" si="193"/>
        <v>60.772955346457451</v>
      </c>
      <c r="AC91" s="320">
        <f t="shared" si="193"/>
        <v>62.363597612958216</v>
      </c>
      <c r="AD91" s="317">
        <f t="shared" ref="AD91:AI91" si="194">AD76/AD85*1000</f>
        <v>62.481814890698693</v>
      </c>
      <c r="AE91" s="318">
        <f t="shared" si="194"/>
        <v>68.340856155046509</v>
      </c>
      <c r="AF91" s="318">
        <f t="shared" si="194"/>
        <v>77.05735875246981</v>
      </c>
      <c r="AG91" s="319">
        <f t="shared" si="194"/>
        <v>64.792936523640847</v>
      </c>
      <c r="AH91" s="320">
        <f t="shared" si="194"/>
        <v>68.398733514758206</v>
      </c>
      <c r="AI91" s="317">
        <f t="shared" si="194"/>
        <v>65.400558128335106</v>
      </c>
      <c r="AJ91" s="318">
        <f t="shared" ref="AJ91:AO91" si="195">AJ76/AJ85*1000</f>
        <v>61.306906198168903</v>
      </c>
      <c r="AK91" s="318">
        <f t="shared" si="195"/>
        <v>68.421653895811033</v>
      </c>
      <c r="AL91" s="319">
        <f t="shared" si="195"/>
        <v>53.064733616339538</v>
      </c>
      <c r="AM91" s="320">
        <f t="shared" si="195"/>
        <v>62.227845454070163</v>
      </c>
      <c r="AN91" s="317">
        <f t="shared" si="195"/>
        <v>58.787635847295384</v>
      </c>
      <c r="AO91" s="318">
        <f t="shared" si="195"/>
        <v>58.770453156416231</v>
      </c>
      <c r="AP91" s="318">
        <f t="shared" ref="AP91:AU91" si="196">AP76/AP85*1000</f>
        <v>66.186814087026605</v>
      </c>
      <c r="AQ91" s="319">
        <f t="shared" si="196"/>
        <v>59.110588980418868</v>
      </c>
      <c r="AR91" s="320">
        <f t="shared" si="196"/>
        <v>60.934731813697496</v>
      </c>
      <c r="AS91" s="317">
        <f t="shared" si="196"/>
        <v>68.258348287930559</v>
      </c>
      <c r="AT91" s="318">
        <f t="shared" si="196"/>
        <v>66.170445651433042</v>
      </c>
      <c r="AU91" s="318">
        <f t="shared" si="196"/>
        <v>72.774634477836088</v>
      </c>
      <c r="AV91" s="319">
        <f t="shared" ref="AV91:AW91" si="197">AV76/AV85*1000</f>
        <v>63.323607465370166</v>
      </c>
      <c r="AW91" s="320">
        <f t="shared" si="197"/>
        <v>67.755814555814538</v>
      </c>
      <c r="AX91" s="317">
        <f>AS91+(AX93/AX85*1000)</f>
        <v>71.056701848851617</v>
      </c>
      <c r="AY91" s="318">
        <f>AT91+(AY93/AY85*1000)</f>
        <v>68.543128387178555</v>
      </c>
      <c r="AZ91" s="318">
        <f>AU91+(AZ93/AZ85*1000)</f>
        <v>73.27491490192341</v>
      </c>
      <c r="BA91" s="319">
        <f>AV91+(BA93/BA85*1000)</f>
        <v>66.115440596023902</v>
      </c>
      <c r="BB91" s="320">
        <f>BB76/BB85*1000</f>
        <v>69.83097137014029</v>
      </c>
      <c r="BC91" s="317">
        <f>AX91+(BC93/BC85*1000)</f>
        <v>75.431672960498702</v>
      </c>
      <c r="BD91" s="318">
        <f>AY91+(BD93/BD85*1000)</f>
        <v>72.95166711626733</v>
      </c>
      <c r="BE91" s="318">
        <f>AZ91+(BE93/BE85*1000)</f>
        <v>78.09246849765789</v>
      </c>
      <c r="BF91" s="319">
        <f>BA91+(BF93/BF85*1000)</f>
        <v>70.311116903788403</v>
      </c>
      <c r="BG91" s="320">
        <f>BG76/BG85*1000</f>
        <v>74.290633875167956</v>
      </c>
      <c r="BH91" s="317">
        <f>BC91+(BH93/BH85*1000)</f>
        <v>80.338310053933483</v>
      </c>
      <c r="BI91" s="318">
        <f>BD91+(BI93/BI85*1000)</f>
        <v>77.921109956371382</v>
      </c>
      <c r="BJ91" s="318">
        <f>BE91+(BJ93/BJ85*1000)</f>
        <v>83.566307830072688</v>
      </c>
      <c r="BK91" s="319">
        <f>BF91+(BK93/BK85*1000)</f>
        <v>75.016670489940495</v>
      </c>
      <c r="BL91" s="320">
        <f>BL76/BL85*1000</f>
        <v>79.317705035654512</v>
      </c>
      <c r="BM91" s="317">
        <f>BH91+(BM93/BM85*1000)</f>
        <v>84.443447129937539</v>
      </c>
      <c r="BN91" s="318">
        <f>BI91+(BN93/BN85*1000)</f>
        <v>82.055014701730343</v>
      </c>
      <c r="BO91" s="318">
        <f>BJ91+(BO93/BO85*1000)</f>
        <v>88.079045083375334</v>
      </c>
      <c r="BP91" s="319">
        <f>BK91+(BP93/BP85*1000)</f>
        <v>78.953571084338108</v>
      </c>
      <c r="BQ91" s="320">
        <f>BQ76/BQ85*1000</f>
        <v>83.499548754206558</v>
      </c>
    </row>
    <row r="92" spans="1:104" x14ac:dyDescent="0.2">
      <c r="C92" s="70"/>
      <c r="E92" s="273"/>
      <c r="F92" s="274"/>
      <c r="G92" s="274"/>
      <c r="H92" s="275"/>
      <c r="I92" s="169"/>
      <c r="J92" s="273"/>
      <c r="K92" s="274"/>
      <c r="L92" s="274"/>
      <c r="M92" s="275"/>
      <c r="N92" s="169"/>
      <c r="O92" s="273"/>
      <c r="P92" s="274"/>
      <c r="Q92" s="274"/>
      <c r="R92" s="275"/>
      <c r="S92" s="169"/>
      <c r="T92" s="273"/>
      <c r="U92" s="274"/>
      <c r="V92" s="274"/>
      <c r="W92" s="275"/>
      <c r="X92" s="169"/>
      <c r="Y92" s="273"/>
      <c r="Z92" s="274"/>
      <c r="AA92" s="274"/>
      <c r="AB92" s="275"/>
      <c r="AC92" s="169"/>
      <c r="AD92" s="273"/>
      <c r="AE92" s="274"/>
      <c r="AF92" s="274"/>
      <c r="AG92" s="275"/>
      <c r="AH92" s="169"/>
      <c r="AI92" s="273"/>
      <c r="AJ92" s="274"/>
      <c r="AK92" s="274"/>
      <c r="AL92" s="275"/>
      <c r="AM92" s="169"/>
      <c r="AN92" s="273"/>
      <c r="AO92" s="274"/>
      <c r="AP92" s="274"/>
      <c r="AQ92" s="275"/>
      <c r="AR92" s="169"/>
      <c r="AS92" s="273"/>
      <c r="AT92" s="274"/>
      <c r="AU92" s="274"/>
      <c r="AV92" s="275"/>
      <c r="AW92" s="169"/>
      <c r="AX92" s="273"/>
      <c r="AY92" s="274"/>
      <c r="AZ92" s="274"/>
      <c r="BA92" s="275"/>
      <c r="BB92" s="169"/>
      <c r="BC92" s="273"/>
      <c r="BD92" s="274"/>
      <c r="BE92" s="274"/>
      <c r="BF92" s="275"/>
      <c r="BG92" s="169"/>
      <c r="BH92" s="273"/>
      <c r="BI92" s="274"/>
      <c r="BJ92" s="274"/>
      <c r="BK92" s="275"/>
      <c r="BL92" s="169"/>
      <c r="BM92" s="273"/>
      <c r="BN92" s="274"/>
      <c r="BO92" s="274"/>
      <c r="BP92" s="275"/>
      <c r="BQ92" s="169"/>
    </row>
    <row r="93" spans="1:104" x14ac:dyDescent="0.2">
      <c r="C93" s="20" t="s">
        <v>264</v>
      </c>
      <c r="E93" s="273"/>
      <c r="F93" s="274"/>
      <c r="G93" s="274"/>
      <c r="H93" s="275"/>
      <c r="I93" s="321"/>
      <c r="J93" s="273"/>
      <c r="K93" s="274"/>
      <c r="L93" s="274"/>
      <c r="M93" s="275"/>
      <c r="N93" s="169"/>
      <c r="O93" s="136"/>
      <c r="P93" s="135"/>
      <c r="Q93" s="135"/>
      <c r="R93" s="116"/>
      <c r="S93" s="82"/>
      <c r="T93" s="136"/>
      <c r="U93" s="135"/>
      <c r="V93" s="135"/>
      <c r="W93" s="116"/>
      <c r="X93" s="82"/>
      <c r="Y93" s="136"/>
      <c r="Z93" s="135"/>
      <c r="AA93" s="135"/>
      <c r="AB93" s="116"/>
      <c r="AC93" s="82"/>
      <c r="AD93" s="136"/>
      <c r="AE93" s="135"/>
      <c r="AF93" s="135"/>
      <c r="AG93" s="116"/>
      <c r="AH93" s="82"/>
      <c r="AI93" s="136"/>
      <c r="AJ93" s="135"/>
      <c r="AK93" s="135"/>
      <c r="AL93" s="116"/>
      <c r="AM93" s="82"/>
      <c r="AN93" s="136"/>
      <c r="AO93" s="135"/>
      <c r="AP93" s="135"/>
      <c r="AQ93" s="116"/>
      <c r="AR93" s="82"/>
      <c r="AS93" s="136"/>
      <c r="AT93" s="135"/>
      <c r="AU93" s="135"/>
      <c r="AV93" s="116"/>
      <c r="AW93" s="82"/>
      <c r="AX93" s="136">
        <f>SUM(AX54:AX56)</f>
        <v>12.877273391649585</v>
      </c>
      <c r="AY93" s="135">
        <f>SUM(AY54:AY56)</f>
        <v>11.184273391649585</v>
      </c>
      <c r="AZ93" s="135">
        <f>SUM(AZ54:AZ56)</f>
        <v>2.6523189569245167</v>
      </c>
      <c r="BA93" s="116">
        <f>SUM(BA54:BA56)</f>
        <v>13.396273391649585</v>
      </c>
      <c r="BB93" s="82">
        <f>SUM(AX93:BA93)</f>
        <v>40.110139131873275</v>
      </c>
      <c r="BC93" s="136">
        <f>SUM(BC54:BC56)</f>
        <v>20.182776087226237</v>
      </c>
      <c r="BD93" s="135">
        <f>SUM(BD54:BD56)</f>
        <v>20.832776087226236</v>
      </c>
      <c r="BE93" s="135">
        <f>SUM(BE54:BE56)</f>
        <v>25.60490543509728</v>
      </c>
      <c r="BF93" s="116">
        <f>SUM(BF54:BF56)</f>
        <v>20.182776087226237</v>
      </c>
      <c r="BG93" s="82">
        <f>SUM(BC93:BF93)</f>
        <v>86.803233696776005</v>
      </c>
      <c r="BH93" s="136">
        <f>SUM(BH54:BH56)</f>
        <v>22.692065652335742</v>
      </c>
      <c r="BI93" s="135">
        <f>SUM(BI54:BI56)</f>
        <v>23.542065652335744</v>
      </c>
      <c r="BJ93" s="135">
        <f>SUM(BJ54:BJ56)</f>
        <v>29.165743261058367</v>
      </c>
      <c r="BK93" s="116">
        <f>SUM(BK54:BK56)</f>
        <v>22.692065652335742</v>
      </c>
      <c r="BL93" s="82">
        <f>SUM(BH93:BK93)</f>
        <v>98.091940218065588</v>
      </c>
      <c r="BM93" s="136">
        <f>SUM(BM54:BM56)</f>
        <v>19.032776087226239</v>
      </c>
      <c r="BN93" s="135">
        <f>SUM(BN54:BN56)</f>
        <v>19.632776087226237</v>
      </c>
      <c r="BO93" s="135">
        <f>SUM(BO54:BO56)</f>
        <v>24.10490543509728</v>
      </c>
      <c r="BP93" s="116">
        <f>SUM(BP54:BP56)</f>
        <v>19.032776087226239</v>
      </c>
      <c r="BQ93" s="82">
        <f>SUM(BM93:BP93)</f>
        <v>81.80323369677599</v>
      </c>
    </row>
    <row r="94" spans="1:104" x14ac:dyDescent="0.2">
      <c r="C94" s="26"/>
      <c r="E94" s="273"/>
      <c r="F94" s="274"/>
      <c r="G94" s="274"/>
      <c r="H94" s="275"/>
      <c r="I94" s="321"/>
      <c r="J94" s="273"/>
      <c r="K94" s="274"/>
      <c r="L94" s="274"/>
      <c r="M94" s="275"/>
      <c r="N94" s="321"/>
      <c r="O94" s="273"/>
      <c r="P94" s="274"/>
      <c r="Q94" s="274"/>
      <c r="R94" s="275"/>
      <c r="S94" s="169"/>
      <c r="T94" s="273"/>
      <c r="U94" s="274"/>
      <c r="V94" s="274"/>
      <c r="W94" s="275"/>
      <c r="X94" s="169"/>
      <c r="Y94" s="273"/>
      <c r="Z94" s="274"/>
      <c r="AA94" s="274"/>
      <c r="AB94" s="275"/>
      <c r="AC94" s="169"/>
      <c r="AD94" s="273"/>
      <c r="AE94" s="274"/>
      <c r="AF94" s="274"/>
      <c r="AG94" s="275"/>
      <c r="AH94" s="169"/>
      <c r="AI94" s="273"/>
      <c r="AJ94" s="274"/>
      <c r="AK94" s="274"/>
      <c r="AL94" s="275"/>
      <c r="AM94" s="169"/>
      <c r="AN94" s="273"/>
      <c r="AO94" s="274"/>
      <c r="AP94" s="274"/>
      <c r="AQ94" s="275"/>
      <c r="AR94" s="169"/>
      <c r="AS94" s="273"/>
      <c r="AT94" s="274"/>
      <c r="AU94" s="274"/>
      <c r="AV94" s="275"/>
      <c r="AW94" s="169"/>
      <c r="AX94" s="273"/>
      <c r="AY94" s="274"/>
      <c r="AZ94" s="274"/>
      <c r="BA94" s="275"/>
      <c r="BB94" s="169"/>
      <c r="BC94" s="273"/>
      <c r="BD94" s="274"/>
      <c r="BE94" s="274"/>
      <c r="BF94" s="275"/>
      <c r="BG94" s="169"/>
      <c r="BH94" s="273"/>
      <c r="BI94" s="274"/>
      <c r="BJ94" s="274"/>
      <c r="BK94" s="275"/>
      <c r="BL94" s="169"/>
      <c r="BM94" s="273"/>
      <c r="BN94" s="274"/>
      <c r="BO94" s="274"/>
      <c r="BP94" s="275"/>
      <c r="BQ94" s="169"/>
    </row>
    <row r="95" spans="1:104" x14ac:dyDescent="0.2">
      <c r="C95" s="26" t="s">
        <v>265</v>
      </c>
      <c r="E95" s="273"/>
      <c r="F95" s="274"/>
      <c r="G95" s="274"/>
      <c r="H95" s="275"/>
      <c r="I95" s="169"/>
      <c r="J95" s="273"/>
      <c r="K95" s="274"/>
      <c r="L95" s="274"/>
      <c r="M95" s="275"/>
      <c r="N95" s="169"/>
      <c r="O95" s="273"/>
      <c r="P95" s="274"/>
      <c r="Q95" s="274"/>
      <c r="R95" s="275"/>
      <c r="S95" s="169"/>
      <c r="T95" s="273"/>
      <c r="U95" s="274"/>
      <c r="V95" s="274"/>
      <c r="W95" s="275"/>
      <c r="X95" s="169"/>
      <c r="Y95" s="273"/>
      <c r="Z95" s="274"/>
      <c r="AA95" s="274"/>
      <c r="AB95" s="275"/>
      <c r="AC95" s="169"/>
      <c r="AD95" s="273"/>
      <c r="AE95" s="274"/>
      <c r="AF95" s="274"/>
      <c r="AG95" s="275"/>
      <c r="AH95" s="169"/>
      <c r="AI95" s="273"/>
      <c r="AJ95" s="274"/>
      <c r="AK95" s="274"/>
      <c r="AL95" s="275"/>
      <c r="AM95" s="169"/>
      <c r="AN95" s="273"/>
      <c r="AO95" s="274"/>
      <c r="AP95" s="274"/>
      <c r="AQ95" s="275"/>
      <c r="AR95" s="169"/>
      <c r="AS95" s="273"/>
      <c r="AT95" s="274"/>
      <c r="AU95" s="274"/>
      <c r="AV95" s="275"/>
      <c r="AW95" s="169"/>
      <c r="AX95" s="273"/>
      <c r="AY95" s="274"/>
      <c r="AZ95" s="274"/>
      <c r="BA95" s="275"/>
      <c r="BB95" s="169"/>
      <c r="BC95" s="273"/>
      <c r="BD95" s="274"/>
      <c r="BE95" s="274"/>
      <c r="BF95" s="275"/>
      <c r="BG95" s="169"/>
      <c r="BH95" s="273"/>
      <c r="BI95" s="274"/>
      <c r="BJ95" s="274"/>
      <c r="BK95" s="275"/>
      <c r="BL95" s="169"/>
      <c r="BM95" s="273"/>
      <c r="BN95" s="274"/>
      <c r="BO95" s="274"/>
      <c r="BP95" s="275"/>
      <c r="BQ95" s="169"/>
    </row>
    <row r="96" spans="1:104" x14ac:dyDescent="0.2">
      <c r="A96" s="44"/>
      <c r="B96" s="44"/>
      <c r="C96" s="20" t="s">
        <v>266</v>
      </c>
      <c r="D96" s="42"/>
      <c r="E96" s="120">
        <f>+E9</f>
        <v>247.50899999999999</v>
      </c>
      <c r="F96" s="118">
        <f>+F9</f>
        <v>196.01</v>
      </c>
      <c r="G96" s="118">
        <f>+G9</f>
        <v>229.607</v>
      </c>
      <c r="H96" s="116">
        <f>+H9</f>
        <v>241.22400000000005</v>
      </c>
      <c r="I96" s="42">
        <f>SUM(E96:H96)</f>
        <v>914.35</v>
      </c>
      <c r="J96" s="120">
        <f>+J9</f>
        <v>256.19400000000002</v>
      </c>
      <c r="K96" s="118">
        <f>+K9</f>
        <v>243.50899999999999</v>
      </c>
      <c r="L96" s="118">
        <f>+L9</f>
        <v>288.38600000000002</v>
      </c>
      <c r="M96" s="116">
        <f>+M9</f>
        <v>235.84900000000005</v>
      </c>
      <c r="N96" s="42">
        <f>SUM(J96:M96)</f>
        <v>1023.938</v>
      </c>
      <c r="O96" s="120">
        <f>+O9</f>
        <v>249.25</v>
      </c>
      <c r="P96" s="118">
        <f>+P9</f>
        <v>275.40300000000002</v>
      </c>
      <c r="Q96" s="118">
        <f>+Q9</f>
        <v>325.93</v>
      </c>
      <c r="R96" s="116">
        <f>+R9</f>
        <v>238.83199999999988</v>
      </c>
      <c r="S96" s="42">
        <f>SUM(O96:R96)</f>
        <v>1089.415</v>
      </c>
      <c r="T96" s="120">
        <f>+T9</f>
        <v>203.261</v>
      </c>
      <c r="U96" s="118">
        <f>+U9</f>
        <v>213.035</v>
      </c>
      <c r="V96" s="118">
        <f>+V9</f>
        <v>259.78300000000002</v>
      </c>
      <c r="W96" s="116">
        <f>+W9</f>
        <v>213.48800000000006</v>
      </c>
      <c r="X96" s="42">
        <f>SUM(T96:W96)</f>
        <v>889.56700000000001</v>
      </c>
      <c r="Y96" s="120">
        <f>+Y9</f>
        <v>231.23400000000001</v>
      </c>
      <c r="Z96" s="118">
        <f>+Z9</f>
        <v>289.012</v>
      </c>
      <c r="AA96" s="118">
        <f>+AA9</f>
        <v>293.83100000000002</v>
      </c>
      <c r="AB96" s="116">
        <f>+AB9</f>
        <v>245.25299999999993</v>
      </c>
      <c r="AC96" s="42">
        <f>SUM(Y96:AB96)</f>
        <v>1059.33</v>
      </c>
      <c r="AD96" s="120">
        <f>+AD9</f>
        <v>289.20400000000001</v>
      </c>
      <c r="AE96" s="118">
        <f>+AE9</f>
        <v>314.14600000000002</v>
      </c>
      <c r="AF96" s="118">
        <f>+AF9</f>
        <v>315.524</v>
      </c>
      <c r="AG96" s="116">
        <f>+AG9</f>
        <v>273.30199999999991</v>
      </c>
      <c r="AH96" s="42">
        <f>SUM(AD96:AG96)</f>
        <v>1192.1759999999999</v>
      </c>
      <c r="AI96" s="120">
        <f>+AI9</f>
        <v>245.79900000000001</v>
      </c>
      <c r="AJ96" s="118">
        <f>+AJ9</f>
        <v>243.02600000000001</v>
      </c>
      <c r="AK96" s="118">
        <f>+AK9</f>
        <v>287.476</v>
      </c>
      <c r="AL96" s="116">
        <f>+AL9</f>
        <v>224.78199999999993</v>
      </c>
      <c r="AM96" s="42">
        <f>SUM(AI96:AL96)</f>
        <v>1001.083</v>
      </c>
      <c r="AN96" s="120">
        <f>+AN9</f>
        <v>213.40299999999999</v>
      </c>
      <c r="AO96" s="118">
        <f>+AO9</f>
        <v>246.547</v>
      </c>
      <c r="AP96" s="118">
        <f>+AP9</f>
        <v>297.58699999999999</v>
      </c>
      <c r="AQ96" s="116">
        <f>+AQ9</f>
        <v>277.41300000000001</v>
      </c>
      <c r="AR96" s="42">
        <f>SUM(AN96:AQ96)</f>
        <v>1034.95</v>
      </c>
      <c r="AS96" s="120">
        <f>+AS9</f>
        <v>253.685</v>
      </c>
      <c r="AT96" s="118">
        <f>+AT9</f>
        <v>267.94200000000001</v>
      </c>
      <c r="AU96" s="118">
        <f>+AU9</f>
        <v>294.39999999999998</v>
      </c>
      <c r="AV96" s="116">
        <f>+AV9</f>
        <v>239.30600000000015</v>
      </c>
      <c r="AW96" s="42">
        <f>SUM(AS96:AV96)</f>
        <v>1055.3330000000001</v>
      </c>
      <c r="AX96" s="136">
        <f>+AX97*AX87/1000</f>
        <v>256.78250763027563</v>
      </c>
      <c r="AY96" s="135">
        <f>+AY97*AY87/1000</f>
        <v>266.95060237532783</v>
      </c>
      <c r="AZ96" s="135">
        <f>+AZ97*AZ87/1000</f>
        <v>295.89540746567707</v>
      </c>
      <c r="BA96" s="116">
        <f>+BA97*BA87/1000</f>
        <v>240.1111996564504</v>
      </c>
      <c r="BB96" s="86">
        <f>SUM(AX96:BA96)</f>
        <v>1059.739717127731</v>
      </c>
      <c r="BC96" s="136">
        <f>+BC97*BC87/1000</f>
        <v>257.25957073727182</v>
      </c>
      <c r="BD96" s="135">
        <f>+BD97*BD87/1000</f>
        <v>267.41576427026246</v>
      </c>
      <c r="BE96" s="135">
        <f>+BE97*BE87/1000</f>
        <v>296.39761513956699</v>
      </c>
      <c r="BF96" s="116">
        <f>+BF97*BF87/1000</f>
        <v>240.56054579806391</v>
      </c>
      <c r="BG96" s="86">
        <f>SUM(BC96:BF96)</f>
        <v>1061.6334959451651</v>
      </c>
      <c r="BH96" s="136">
        <f>+BH97*BH87/1000</f>
        <v>257.73782650203555</v>
      </c>
      <c r="BI96" s="135">
        <f>+BI97*BI87/1000</f>
        <v>267.88208906993447</v>
      </c>
      <c r="BJ96" s="135">
        <f>+BJ97*BJ87/1000</f>
        <v>296.90107833264159</v>
      </c>
      <c r="BK96" s="116">
        <f>+BK97*BK87/1000</f>
        <v>241.01101530503144</v>
      </c>
      <c r="BL96" s="86">
        <f>SUM(BH96:BK96)</f>
        <v>1063.5320092096431</v>
      </c>
      <c r="BM96" s="136">
        <f>+BM97*BM87/1000</f>
        <v>258.21727790621117</v>
      </c>
      <c r="BN96" s="135">
        <f>+BN97*BN87/1000</f>
        <v>268.34957968160563</v>
      </c>
      <c r="BO96" s="135">
        <f>+BO97*BO87/1000</f>
        <v>297.40580018369889</v>
      </c>
      <c r="BP96" s="116">
        <f>+BP97*BP87/1000</f>
        <v>241.46261098576639</v>
      </c>
      <c r="BQ96" s="86">
        <f>SUM(BM96:BP96)</f>
        <v>1065.4352687572821</v>
      </c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44"/>
      <c r="CY96" s="44"/>
      <c r="CZ96" s="44"/>
    </row>
    <row r="97" spans="1:104" x14ac:dyDescent="0.2">
      <c r="C97" s="20" t="s">
        <v>267</v>
      </c>
      <c r="E97" s="322">
        <f t="shared" ref="E97:Q97" si="198">+E96/E87*1000</f>
        <v>33.883684757112775</v>
      </c>
      <c r="F97" s="323">
        <f t="shared" si="198"/>
        <v>28.030343873301298</v>
      </c>
      <c r="G97" s="323">
        <f t="shared" si="198"/>
        <v>28.454625117405829</v>
      </c>
      <c r="H97" s="324">
        <f t="shared" si="198"/>
        <v>34.099246074524046</v>
      </c>
      <c r="I97" s="325">
        <f t="shared" si="198"/>
        <v>31.057185437432313</v>
      </c>
      <c r="J97" s="322">
        <f t="shared" si="198"/>
        <v>36.663865054353813</v>
      </c>
      <c r="K97" s="323">
        <f t="shared" si="198"/>
        <v>32.782191056433369</v>
      </c>
      <c r="L97" s="323">
        <f t="shared" si="198"/>
        <v>35.10581252172156</v>
      </c>
      <c r="M97" s="324">
        <f t="shared" si="198"/>
        <v>33.436732217211386</v>
      </c>
      <c r="N97" s="325">
        <f t="shared" si="198"/>
        <v>34.494509953919419</v>
      </c>
      <c r="O97" s="322">
        <f t="shared" si="198"/>
        <v>35.462758767873659</v>
      </c>
      <c r="P97" s="323">
        <f t="shared" si="198"/>
        <v>35.218891852324724</v>
      </c>
      <c r="Q97" s="323">
        <f t="shared" si="198"/>
        <v>36.698171194103068</v>
      </c>
      <c r="R97" s="324">
        <f t="shared" ref="R97:Y97" si="199">+R96/R87*1000</f>
        <v>38.315013414072837</v>
      </c>
      <c r="S97" s="325">
        <f t="shared" si="199"/>
        <v>36.358675700030034</v>
      </c>
      <c r="T97" s="322">
        <f t="shared" si="199"/>
        <v>31.13253655711619</v>
      </c>
      <c r="U97" s="323">
        <f t="shared" si="199"/>
        <v>29.606694516476338</v>
      </c>
      <c r="V97" s="323">
        <f t="shared" si="199"/>
        <v>37.803620188163165</v>
      </c>
      <c r="W97" s="324">
        <f t="shared" si="199"/>
        <v>29.582504353098894</v>
      </c>
      <c r="X97" s="325">
        <f t="shared" si="199"/>
        <v>31.983856469996049</v>
      </c>
      <c r="Y97" s="322">
        <f t="shared" si="199"/>
        <v>35.744346167098492</v>
      </c>
      <c r="Z97" s="323">
        <f t="shared" ref="Z97:AF97" si="200">+Z96/Z87*1000</f>
        <v>39.73786746032772</v>
      </c>
      <c r="AA97" s="323">
        <f t="shared" si="200"/>
        <v>37.02502895031634</v>
      </c>
      <c r="AB97" s="324">
        <f t="shared" si="200"/>
        <v>38.991427714274934</v>
      </c>
      <c r="AC97" s="325">
        <f t="shared" si="200"/>
        <v>37.876501716247141</v>
      </c>
      <c r="AD97" s="322">
        <f t="shared" si="200"/>
        <v>44.598326074639786</v>
      </c>
      <c r="AE97" s="323">
        <f t="shared" si="200"/>
        <v>44.412600360818985</v>
      </c>
      <c r="AF97" s="323">
        <f t="shared" si="200"/>
        <v>40.074183037831475</v>
      </c>
      <c r="AG97" s="324">
        <f t="shared" ref="AG97:AM97" si="201">+AG96/AG87*1000</f>
        <v>43.80182998315091</v>
      </c>
      <c r="AH97" s="325">
        <f t="shared" si="201"/>
        <v>43.083950706515843</v>
      </c>
      <c r="AI97" s="322">
        <f t="shared" si="201"/>
        <v>36.338861110622418</v>
      </c>
      <c r="AJ97" s="323">
        <f t="shared" si="201"/>
        <v>35.263383489041516</v>
      </c>
      <c r="AK97" s="323">
        <f t="shared" si="201"/>
        <v>35.429881061511168</v>
      </c>
      <c r="AL97" s="324">
        <f t="shared" si="201"/>
        <v>37.146442241002191</v>
      </c>
      <c r="AM97" s="325">
        <f t="shared" si="201"/>
        <v>35.982998454404949</v>
      </c>
      <c r="AN97" s="322">
        <f t="shared" ref="AN97:AR97" si="202">+AN96/AN87*1000</f>
        <v>33.84869655006689</v>
      </c>
      <c r="AO97" s="323">
        <f t="shared" si="202"/>
        <v>34.886093502377179</v>
      </c>
      <c r="AP97" s="323">
        <f t="shared" si="202"/>
        <v>36.524681809607024</v>
      </c>
      <c r="AQ97" s="324">
        <f t="shared" si="202"/>
        <v>43.152767014288898</v>
      </c>
      <c r="AR97" s="325">
        <f t="shared" si="202"/>
        <v>37.031272362959783</v>
      </c>
      <c r="AS97" s="322">
        <f t="shared" ref="AS97:AW97" si="203">+AS96/AS87*1000</f>
        <v>41.468133933155698</v>
      </c>
      <c r="AT97" s="323">
        <f t="shared" si="203"/>
        <v>39.472625848440039</v>
      </c>
      <c r="AU97" s="323">
        <f t="shared" si="203"/>
        <v>37.890566278631582</v>
      </c>
      <c r="AV97" s="324">
        <f t="shared" si="203"/>
        <v>37.458161941364203</v>
      </c>
      <c r="AW97" s="325">
        <f t="shared" si="203"/>
        <v>38.993977239136861</v>
      </c>
      <c r="AX97" s="322">
        <f>+AS97</f>
        <v>41.468133933155698</v>
      </c>
      <c r="AY97" s="323">
        <f>+AT97</f>
        <v>39.472625848440039</v>
      </c>
      <c r="AZ97" s="323">
        <f>+AU97</f>
        <v>37.890566278631582</v>
      </c>
      <c r="BA97" s="324">
        <f>+AV97</f>
        <v>37.458161941364203</v>
      </c>
      <c r="BB97" s="325">
        <f>+BB96/BB87*1000</f>
        <v>38.997518291108783</v>
      </c>
      <c r="BC97" s="322">
        <f>+AX97</f>
        <v>41.468133933155698</v>
      </c>
      <c r="BD97" s="323">
        <f>+AY97</f>
        <v>39.472625848440039</v>
      </c>
      <c r="BE97" s="323">
        <f>+AZ97</f>
        <v>37.890566278631582</v>
      </c>
      <c r="BF97" s="324">
        <f>+BA97</f>
        <v>37.458161941364203</v>
      </c>
      <c r="BG97" s="325">
        <f>+BG96/BG87*1000</f>
        <v>38.997550759353508</v>
      </c>
      <c r="BH97" s="322">
        <f>+BC97</f>
        <v>41.468133933155698</v>
      </c>
      <c r="BI97" s="323">
        <f>+BD97</f>
        <v>39.472625848440039</v>
      </c>
      <c r="BJ97" s="323">
        <f>+BE97</f>
        <v>37.890566278631582</v>
      </c>
      <c r="BK97" s="324">
        <f>+BF97</f>
        <v>37.458161941364203</v>
      </c>
      <c r="BL97" s="325">
        <f>+BL96/BL87*1000</f>
        <v>38.997583192759656</v>
      </c>
      <c r="BM97" s="322">
        <f>+BH97</f>
        <v>41.468133933155698</v>
      </c>
      <c r="BN97" s="323">
        <f>+BI97</f>
        <v>39.472625848440039</v>
      </c>
      <c r="BO97" s="323">
        <f>+BJ97</f>
        <v>37.890566278631582</v>
      </c>
      <c r="BP97" s="324">
        <f>+BK97</f>
        <v>37.458161941364203</v>
      </c>
      <c r="BQ97" s="325">
        <f>+BQ96/BQ87*1000</f>
        <v>38.997615591282333</v>
      </c>
    </row>
    <row r="98" spans="1:104" x14ac:dyDescent="0.2">
      <c r="C98" s="26"/>
      <c r="E98" s="273"/>
      <c r="F98" s="274"/>
      <c r="G98" s="274"/>
      <c r="H98" s="275"/>
      <c r="I98" s="169"/>
      <c r="J98" s="273"/>
      <c r="K98" s="274"/>
      <c r="L98" s="274"/>
      <c r="M98" s="275"/>
      <c r="N98" s="169"/>
      <c r="O98" s="273"/>
      <c r="P98" s="274"/>
      <c r="Q98" s="274"/>
      <c r="R98" s="275"/>
      <c r="S98" s="169"/>
      <c r="T98" s="273"/>
      <c r="U98" s="274"/>
      <c r="V98" s="274"/>
      <c r="W98" s="275"/>
      <c r="X98" s="169"/>
      <c r="Y98" s="273"/>
      <c r="Z98" s="274"/>
      <c r="AA98" s="274"/>
      <c r="AB98" s="275"/>
      <c r="AC98" s="169"/>
      <c r="AD98" s="273"/>
      <c r="AE98" s="274"/>
      <c r="AF98" s="274"/>
      <c r="AG98" s="275"/>
      <c r="AH98" s="169"/>
      <c r="AI98" s="273"/>
      <c r="AJ98" s="274"/>
      <c r="AK98" s="274"/>
      <c r="AL98" s="275"/>
      <c r="AM98" s="169"/>
      <c r="AN98" s="273"/>
      <c r="AO98" s="274"/>
      <c r="AP98" s="274"/>
      <c r="AQ98" s="275"/>
      <c r="AR98" s="169"/>
      <c r="AS98" s="273"/>
      <c r="AT98" s="274"/>
      <c r="AU98" s="274"/>
      <c r="AV98" s="275"/>
      <c r="AW98" s="169"/>
      <c r="AX98" s="273"/>
      <c r="AY98" s="274"/>
      <c r="AZ98" s="274"/>
      <c r="BA98" s="275"/>
      <c r="BB98" s="169"/>
      <c r="BC98" s="273"/>
      <c r="BD98" s="274"/>
      <c r="BE98" s="274"/>
      <c r="BF98" s="275"/>
      <c r="BG98" s="169"/>
      <c r="BH98" s="273"/>
      <c r="BI98" s="274"/>
      <c r="BJ98" s="274"/>
      <c r="BK98" s="275"/>
      <c r="BL98" s="169"/>
      <c r="BM98" s="273"/>
      <c r="BN98" s="274"/>
      <c r="BO98" s="274"/>
      <c r="BP98" s="275"/>
      <c r="BQ98" s="169"/>
    </row>
    <row r="99" spans="1:104" x14ac:dyDescent="0.2">
      <c r="C99" s="26" t="s">
        <v>268</v>
      </c>
      <c r="E99" s="121">
        <f t="shared" ref="E99:P99" si="204">+E78-E96</f>
        <v>121.47400000000002</v>
      </c>
      <c r="F99" s="122">
        <f t="shared" si="204"/>
        <v>132.13</v>
      </c>
      <c r="G99" s="122">
        <f t="shared" si="204"/>
        <v>167.48699999999999</v>
      </c>
      <c r="H99" s="123">
        <f t="shared" si="204"/>
        <v>123.78199999999998</v>
      </c>
      <c r="I99" s="86">
        <f t="shared" si="204"/>
        <v>544.87299999999993</v>
      </c>
      <c r="J99" s="121">
        <f t="shared" si="204"/>
        <v>125.28800000000001</v>
      </c>
      <c r="K99" s="122">
        <f t="shared" si="204"/>
        <v>154.94000000000003</v>
      </c>
      <c r="L99" s="122">
        <f t="shared" si="204"/>
        <v>179.03799999999995</v>
      </c>
      <c r="M99" s="123">
        <f t="shared" si="204"/>
        <v>129.78599999999972</v>
      </c>
      <c r="N99" s="86">
        <f t="shared" si="204"/>
        <v>589.05200000000002</v>
      </c>
      <c r="O99" s="326">
        <f t="shared" si="204"/>
        <v>131.959</v>
      </c>
      <c r="P99" s="327">
        <f t="shared" si="204"/>
        <v>157.88599999999997</v>
      </c>
      <c r="Q99" s="327">
        <f t="shared" ref="Q99:V99" si="205">+Q78-Q96</f>
        <v>196.99100000000004</v>
      </c>
      <c r="R99" s="123">
        <f t="shared" si="205"/>
        <v>131.31400000000019</v>
      </c>
      <c r="S99" s="86">
        <f t="shared" si="205"/>
        <v>618.15000000000009</v>
      </c>
      <c r="T99" s="326">
        <f t="shared" si="205"/>
        <v>137.227</v>
      </c>
      <c r="U99" s="327">
        <f t="shared" si="205"/>
        <v>167.16600000000003</v>
      </c>
      <c r="V99" s="327">
        <f t="shared" si="205"/>
        <v>212.10599999999999</v>
      </c>
      <c r="W99" s="123">
        <f t="shared" ref="W99:AC99" si="206">+W78-W96</f>
        <v>133.98899999999998</v>
      </c>
      <c r="X99" s="86">
        <f t="shared" si="206"/>
        <v>650.48800000000006</v>
      </c>
      <c r="Y99" s="326">
        <f t="shared" si="206"/>
        <v>143.023</v>
      </c>
      <c r="Z99" s="327">
        <f t="shared" si="206"/>
        <v>172.81900000000002</v>
      </c>
      <c r="AA99" s="327">
        <f t="shared" si="206"/>
        <v>187.57599999999996</v>
      </c>
      <c r="AB99" s="123">
        <f t="shared" si="206"/>
        <v>144.33900000000023</v>
      </c>
      <c r="AC99" s="86">
        <f t="shared" si="206"/>
        <v>647.75700000000006</v>
      </c>
      <c r="AD99" s="326">
        <f t="shared" ref="AD99:AI99" si="207">+AD78-AD96</f>
        <v>159.19599999999997</v>
      </c>
      <c r="AE99" s="327">
        <f t="shared" si="207"/>
        <v>178.39</v>
      </c>
      <c r="AF99" s="327">
        <f t="shared" si="207"/>
        <v>237.255</v>
      </c>
      <c r="AG99" s="123">
        <f t="shared" si="207"/>
        <v>170.35300000000007</v>
      </c>
      <c r="AH99" s="86">
        <f t="shared" si="207"/>
        <v>745.19399999999996</v>
      </c>
      <c r="AI99" s="326">
        <f t="shared" si="207"/>
        <v>178.03</v>
      </c>
      <c r="AJ99" s="327">
        <f t="shared" ref="AJ99:AO99" si="208">+AJ78-AJ96</f>
        <v>179.959</v>
      </c>
      <c r="AK99" s="327">
        <f t="shared" si="208"/>
        <v>243.27599999999995</v>
      </c>
      <c r="AL99" s="123">
        <f t="shared" si="208"/>
        <v>184.87000000000012</v>
      </c>
      <c r="AM99" s="86">
        <f t="shared" si="208"/>
        <v>786.1350000000001</v>
      </c>
      <c r="AN99" s="326">
        <f t="shared" si="208"/>
        <v>177.43600000000001</v>
      </c>
      <c r="AO99" s="327">
        <f t="shared" si="208"/>
        <v>193.898</v>
      </c>
      <c r="AP99" s="327">
        <f t="shared" ref="AP99:AT99" si="209">+AP78-AP96</f>
        <v>257.33900000000006</v>
      </c>
      <c r="AQ99" s="123">
        <f t="shared" si="209"/>
        <v>187.33599999999979</v>
      </c>
      <c r="AR99" s="86">
        <f t="shared" si="209"/>
        <v>816.00900000000001</v>
      </c>
      <c r="AS99" s="326">
        <f t="shared" si="209"/>
        <v>206.387</v>
      </c>
      <c r="AT99" s="327">
        <f t="shared" si="209"/>
        <v>211.85399999999998</v>
      </c>
      <c r="AU99" s="327">
        <f t="shared" ref="AU99:AW99" si="210">+AU78-AU96</f>
        <v>257.22300000000007</v>
      </c>
      <c r="AV99" s="123">
        <f t="shared" si="210"/>
        <v>187.20299999999992</v>
      </c>
      <c r="AW99" s="86">
        <f t="shared" si="210"/>
        <v>862.66699999999992</v>
      </c>
      <c r="AX99" s="326">
        <f t="shared" ref="AX99:BG99" si="211">+AX78-AX96</f>
        <v>221.26539776137395</v>
      </c>
      <c r="AY99" s="327">
        <f t="shared" si="211"/>
        <v>222.36772881632174</v>
      </c>
      <c r="AZ99" s="327">
        <f t="shared" si="211"/>
        <v>261.25207051124744</v>
      </c>
      <c r="BA99" s="314">
        <f t="shared" si="211"/>
        <v>201.15527632319916</v>
      </c>
      <c r="BB99" s="93">
        <f t="shared" si="211"/>
        <v>906.04047341214232</v>
      </c>
      <c r="BC99" s="326">
        <f t="shared" si="211"/>
        <v>241.7885705050831</v>
      </c>
      <c r="BD99" s="327">
        <f t="shared" si="211"/>
        <v>243.54308383659247</v>
      </c>
      <c r="BE99" s="327">
        <f t="shared" si="211"/>
        <v>287.32596580739704</v>
      </c>
      <c r="BF99" s="314">
        <f t="shared" si="211"/>
        <v>221.68182361876109</v>
      </c>
      <c r="BG99" s="93">
        <f t="shared" si="211"/>
        <v>994.33944376783393</v>
      </c>
      <c r="BH99" s="326">
        <f t="shared" ref="BH99:BQ99" si="212">+BH78-BH96</f>
        <v>264.87234074576088</v>
      </c>
      <c r="BI99" s="327">
        <f t="shared" si="212"/>
        <v>267.48066680952337</v>
      </c>
      <c r="BJ99" s="327">
        <f t="shared" si="212"/>
        <v>317.02588366774825</v>
      </c>
      <c r="BK99" s="314">
        <f t="shared" si="212"/>
        <v>244.76897684767135</v>
      </c>
      <c r="BL99" s="93">
        <f t="shared" si="212"/>
        <v>1094.1478680707037</v>
      </c>
      <c r="BM99" s="326">
        <f t="shared" si="212"/>
        <v>284.35453084693097</v>
      </c>
      <c r="BN99" s="327">
        <f t="shared" si="212"/>
        <v>287.56880417477703</v>
      </c>
      <c r="BO99" s="327">
        <f t="shared" si="212"/>
        <v>341.73921349678909</v>
      </c>
      <c r="BP99" s="314">
        <f t="shared" si="212"/>
        <v>264.2545583945444</v>
      </c>
      <c r="BQ99" s="93">
        <f t="shared" si="212"/>
        <v>1177.9171069130414</v>
      </c>
    </row>
    <row r="100" spans="1:104" x14ac:dyDescent="0.2">
      <c r="A100" s="45"/>
      <c r="B100" s="45"/>
      <c r="C100" s="45" t="s">
        <v>269</v>
      </c>
      <c r="D100" s="45"/>
      <c r="E100" s="328"/>
      <c r="F100" s="329"/>
      <c r="G100" s="329"/>
      <c r="H100" s="330"/>
      <c r="I100" s="46"/>
      <c r="J100" s="332">
        <f t="shared" ref="J100:Y100" si="213">+J99/E99-1</f>
        <v>3.1397665344024217E-2</v>
      </c>
      <c r="K100" s="333">
        <f t="shared" si="213"/>
        <v>0.17263301294179989</v>
      </c>
      <c r="L100" s="333">
        <f t="shared" si="213"/>
        <v>6.8966546657352357E-2</v>
      </c>
      <c r="M100" s="334">
        <f t="shared" si="213"/>
        <v>4.8504629106006725E-2</v>
      </c>
      <c r="N100" s="46">
        <f t="shared" si="213"/>
        <v>8.1081279490817337E-2</v>
      </c>
      <c r="O100" s="332">
        <f t="shared" si="213"/>
        <v>5.3245322776323212E-2</v>
      </c>
      <c r="P100" s="333">
        <f t="shared" si="213"/>
        <v>1.9013811798115121E-2</v>
      </c>
      <c r="Q100" s="333">
        <f t="shared" si="213"/>
        <v>0.10027480199734184</v>
      </c>
      <c r="R100" s="334">
        <f>+R99/M99-1</f>
        <v>1.1773226696257577E-2</v>
      </c>
      <c r="S100" s="46">
        <f>+S99/N99-1</f>
        <v>4.9398015794870576E-2</v>
      </c>
      <c r="T100" s="332">
        <f t="shared" si="213"/>
        <v>3.992149076607121E-2</v>
      </c>
      <c r="U100" s="333">
        <f t="shared" si="213"/>
        <v>5.877658563773891E-2</v>
      </c>
      <c r="V100" s="333">
        <f t="shared" si="213"/>
        <v>7.6729393728647288E-2</v>
      </c>
      <c r="W100" s="334">
        <f>+W99/R99-1</f>
        <v>2.0371019084025832E-2</v>
      </c>
      <c r="X100" s="46">
        <f>+X99/S99-1</f>
        <v>5.231416322898963E-2</v>
      </c>
      <c r="Y100" s="332">
        <f t="shared" si="213"/>
        <v>4.2236586094573259E-2</v>
      </c>
      <c r="Z100" s="333">
        <f t="shared" ref="Z100:AF100" si="214">+Z99/U99-1</f>
        <v>3.3816685211107478E-2</v>
      </c>
      <c r="AA100" s="333">
        <f t="shared" si="214"/>
        <v>-0.11564972230865711</v>
      </c>
      <c r="AB100" s="334">
        <f t="shared" si="214"/>
        <v>7.7245146989680213E-2</v>
      </c>
      <c r="AC100" s="46">
        <f t="shared" si="214"/>
        <v>-4.1983864421787365E-3</v>
      </c>
      <c r="AD100" s="332">
        <f t="shared" si="214"/>
        <v>0.11307971445152165</v>
      </c>
      <c r="AE100" s="333">
        <f t="shared" si="214"/>
        <v>3.2236038861467531E-2</v>
      </c>
      <c r="AF100" s="333">
        <f t="shared" si="214"/>
        <v>0.26484731522156379</v>
      </c>
      <c r="AG100" s="334">
        <f t="shared" ref="AG100:AP100" si="215">+AG99/AB99-1</f>
        <v>0.18022848987453011</v>
      </c>
      <c r="AH100" s="46">
        <f t="shared" si="215"/>
        <v>0.15042214904663309</v>
      </c>
      <c r="AI100" s="332">
        <f t="shared" si="215"/>
        <v>0.11830699263800626</v>
      </c>
      <c r="AJ100" s="333">
        <f t="shared" si="215"/>
        <v>8.7953360614385634E-3</v>
      </c>
      <c r="AK100" s="333">
        <f t="shared" si="215"/>
        <v>2.537775810836429E-2</v>
      </c>
      <c r="AL100" s="334">
        <f t="shared" si="215"/>
        <v>8.5217166706779812E-2</v>
      </c>
      <c r="AM100" s="46">
        <f t="shared" si="215"/>
        <v>5.4940055878066829E-2</v>
      </c>
      <c r="AN100" s="332">
        <f t="shared" si="215"/>
        <v>-3.3365163174745582E-3</v>
      </c>
      <c r="AO100" s="333">
        <f t="shared" si="215"/>
        <v>7.7456531765568881E-2</v>
      </c>
      <c r="AP100" s="333">
        <f t="shared" si="215"/>
        <v>5.7806770910406646E-2</v>
      </c>
      <c r="AQ100" s="334">
        <f t="shared" ref="AQ100:AR100" si="216">+AQ99/AL99-1</f>
        <v>1.3339103153565457E-2</v>
      </c>
      <c r="AR100" s="46">
        <f t="shared" si="216"/>
        <v>3.8001106680150221E-2</v>
      </c>
      <c r="AS100" s="332">
        <f t="shared" ref="AS100" si="217">+AS99/AN99-1</f>
        <v>0.16316305597511205</v>
      </c>
      <c r="AT100" s="333">
        <f t="shared" ref="AT100" si="218">+AT99/AO99-1</f>
        <v>9.2605390463026849E-2</v>
      </c>
      <c r="AU100" s="333">
        <f t="shared" ref="AU100" si="219">+AU99/AP99-1</f>
        <v>-4.5076727585013909E-4</v>
      </c>
      <c r="AV100" s="334">
        <f t="shared" ref="AV100" si="220">+AV99/AQ99-1</f>
        <v>-7.0995430669951176E-4</v>
      </c>
      <c r="AW100" s="46">
        <f t="shared" ref="AW100" si="221">+AW99/AR99-1</f>
        <v>5.7178290925712805E-2</v>
      </c>
      <c r="AX100" s="332">
        <f t="shared" ref="AX100:BG100" si="222">+AX99/AS99-1</f>
        <v>7.2089801011565369E-2</v>
      </c>
      <c r="AY100" s="333">
        <f t="shared" si="222"/>
        <v>4.9627237702954741E-2</v>
      </c>
      <c r="AZ100" s="333">
        <f t="shared" si="222"/>
        <v>1.5663725682568685E-2</v>
      </c>
      <c r="BA100" s="334">
        <f t="shared" si="222"/>
        <v>7.4530196221210376E-2</v>
      </c>
      <c r="BB100" s="46">
        <f t="shared" si="222"/>
        <v>5.0278350061080834E-2</v>
      </c>
      <c r="BC100" s="332">
        <f t="shared" si="222"/>
        <v>9.2753647661812044E-2</v>
      </c>
      <c r="BD100" s="333">
        <f t="shared" si="222"/>
        <v>9.5226745054188155E-2</v>
      </c>
      <c r="BE100" s="333">
        <f t="shared" si="222"/>
        <v>9.9803592925121309E-2</v>
      </c>
      <c r="BF100" s="334">
        <f t="shared" si="222"/>
        <v>0.10204329546186797</v>
      </c>
      <c r="BG100" s="46">
        <f t="shared" si="222"/>
        <v>9.745587856926341E-2</v>
      </c>
      <c r="BH100" s="332">
        <f t="shared" ref="BH100:BQ100" si="223">+BH99/BC99-1</f>
        <v>9.5470890921175666E-2</v>
      </c>
      <c r="BI100" s="333">
        <f t="shared" si="223"/>
        <v>9.8288904763117912E-2</v>
      </c>
      <c r="BJ100" s="333">
        <f t="shared" si="223"/>
        <v>0.10336663370083277</v>
      </c>
      <c r="BK100" s="334">
        <f t="shared" si="223"/>
        <v>0.10414544978037776</v>
      </c>
      <c r="BL100" s="46">
        <f t="shared" si="223"/>
        <v>0.10037661175812085</v>
      </c>
      <c r="BM100" s="332">
        <f t="shared" si="223"/>
        <v>7.3553131468227395E-2</v>
      </c>
      <c r="BN100" s="333">
        <f t="shared" si="223"/>
        <v>7.5101268457502091E-2</v>
      </c>
      <c r="BO100" s="333">
        <f t="shared" si="223"/>
        <v>7.7953665937703365E-2</v>
      </c>
      <c r="BP100" s="334">
        <f t="shared" si="223"/>
        <v>7.960805244939051E-2</v>
      </c>
      <c r="BQ100" s="46">
        <f t="shared" si="223"/>
        <v>7.656116808969049E-2</v>
      </c>
      <c r="BR100" s="45"/>
      <c r="BS100" s="45"/>
      <c r="BT100" s="45"/>
      <c r="BU100" s="45"/>
      <c r="BV100" s="45"/>
      <c r="BW100" s="45"/>
      <c r="BX100" s="45"/>
      <c r="BY100" s="45"/>
      <c r="BZ100" s="45"/>
      <c r="CA100" s="45"/>
      <c r="CB100" s="45"/>
      <c r="CC100" s="45"/>
      <c r="CD100" s="45"/>
      <c r="CE100" s="45"/>
      <c r="CF100" s="45"/>
      <c r="CG100" s="45"/>
      <c r="CH100" s="45"/>
      <c r="CI100" s="45"/>
      <c r="CJ100" s="45"/>
      <c r="CK100" s="45"/>
      <c r="CL100" s="45"/>
      <c r="CM100" s="45"/>
      <c r="CN100" s="45"/>
      <c r="CO100" s="45"/>
      <c r="CP100" s="45"/>
      <c r="CQ100" s="45"/>
      <c r="CR100" s="45"/>
      <c r="CS100" s="45"/>
      <c r="CT100" s="45"/>
      <c r="CU100" s="45"/>
      <c r="CV100" s="45"/>
      <c r="CW100" s="45"/>
      <c r="CX100" s="45"/>
      <c r="CY100" s="45"/>
      <c r="CZ100" s="45"/>
    </row>
    <row r="101" spans="1:104" x14ac:dyDescent="0.2">
      <c r="C101" s="26"/>
      <c r="E101" s="273"/>
      <c r="F101" s="274"/>
      <c r="G101" s="274"/>
      <c r="H101" s="275"/>
      <c r="I101" s="169"/>
      <c r="J101" s="273"/>
      <c r="K101" s="274"/>
      <c r="L101" s="274"/>
      <c r="M101" s="275"/>
      <c r="N101" s="169"/>
      <c r="O101" s="273"/>
      <c r="P101" s="274"/>
      <c r="Q101" s="274"/>
      <c r="R101" s="275"/>
      <c r="S101" s="169"/>
      <c r="T101" s="273"/>
      <c r="U101" s="274"/>
      <c r="V101" s="274"/>
      <c r="W101" s="275"/>
      <c r="X101" s="169"/>
      <c r="Y101" s="273"/>
      <c r="Z101" s="274"/>
      <c r="AA101" s="274"/>
      <c r="AB101" s="275"/>
      <c r="AC101" s="169"/>
      <c r="AD101" s="273"/>
      <c r="AE101" s="274"/>
      <c r="AF101" s="274"/>
      <c r="AG101" s="275"/>
      <c r="AH101" s="169"/>
      <c r="AI101" s="273"/>
      <c r="AJ101" s="274"/>
      <c r="AK101" s="274"/>
      <c r="AL101" s="275"/>
      <c r="AM101" s="169"/>
      <c r="AN101" s="273"/>
      <c r="AO101" s="274"/>
      <c r="AP101" s="274"/>
      <c r="AQ101" s="275"/>
      <c r="AR101" s="169"/>
      <c r="AS101" s="273"/>
      <c r="AT101" s="274"/>
      <c r="AU101" s="274"/>
      <c r="AV101" s="275"/>
      <c r="AW101" s="169"/>
      <c r="AX101" s="273"/>
      <c r="AY101" s="274"/>
      <c r="AZ101" s="274"/>
      <c r="BA101" s="275"/>
      <c r="BB101" s="169"/>
      <c r="BC101" s="273"/>
      <c r="BD101" s="274"/>
      <c r="BE101" s="274"/>
      <c r="BF101" s="275"/>
      <c r="BG101" s="169"/>
      <c r="BH101" s="273"/>
      <c r="BI101" s="274"/>
      <c r="BJ101" s="274"/>
      <c r="BK101" s="275"/>
      <c r="BL101" s="169"/>
      <c r="BM101" s="273"/>
      <c r="BN101" s="274"/>
      <c r="BO101" s="274"/>
      <c r="BP101" s="275"/>
      <c r="BQ101" s="169"/>
    </row>
    <row r="102" spans="1:104" x14ac:dyDescent="0.2">
      <c r="C102" s="26"/>
      <c r="E102" s="273"/>
      <c r="F102" s="274"/>
      <c r="G102" s="274"/>
      <c r="H102" s="275"/>
      <c r="I102" s="169"/>
      <c r="J102" s="273"/>
      <c r="K102" s="274"/>
      <c r="L102" s="274"/>
      <c r="M102" s="275"/>
      <c r="N102" s="169"/>
      <c r="O102" s="273"/>
      <c r="P102" s="274"/>
      <c r="Q102" s="274"/>
      <c r="R102" s="275"/>
      <c r="S102" s="169"/>
      <c r="T102" s="273"/>
      <c r="U102" s="274"/>
      <c r="V102" s="274"/>
      <c r="W102" s="275"/>
      <c r="X102" s="169"/>
      <c r="Y102" s="273"/>
      <c r="Z102" s="274"/>
      <c r="AA102" s="274"/>
      <c r="AB102" s="275"/>
      <c r="AC102" s="169"/>
      <c r="AD102" s="273"/>
      <c r="AE102" s="274"/>
      <c r="AF102" s="274"/>
      <c r="AG102" s="275"/>
      <c r="AH102" s="169"/>
      <c r="AI102" s="273"/>
      <c r="AJ102" s="274"/>
      <c r="AK102" s="274"/>
      <c r="AL102" s="275"/>
      <c r="AM102" s="169"/>
      <c r="AN102" s="273"/>
      <c r="AO102" s="274"/>
      <c r="AP102" s="274"/>
      <c r="AQ102" s="275"/>
      <c r="AR102" s="169"/>
      <c r="AS102" s="273"/>
      <c r="AT102" s="274"/>
      <c r="AU102" s="274"/>
      <c r="AV102" s="275"/>
      <c r="AW102" s="169"/>
      <c r="AX102" s="273"/>
      <c r="AY102" s="274"/>
      <c r="AZ102" s="274"/>
      <c r="BA102" s="275"/>
      <c r="BB102" s="169"/>
      <c r="BC102" s="273"/>
      <c r="BD102" s="274"/>
      <c r="BE102" s="274"/>
      <c r="BF102" s="275"/>
      <c r="BG102" s="169"/>
      <c r="BH102" s="273"/>
      <c r="BI102" s="274"/>
      <c r="BJ102" s="274"/>
      <c r="BK102" s="275"/>
      <c r="BL102" s="169"/>
      <c r="BM102" s="273"/>
      <c r="BN102" s="274"/>
      <c r="BO102" s="274"/>
      <c r="BP102" s="275"/>
      <c r="BQ102" s="169"/>
    </row>
    <row r="103" spans="1:104" x14ac:dyDescent="0.2">
      <c r="B103" s="16" t="s">
        <v>420</v>
      </c>
      <c r="C103" s="16"/>
      <c r="D103" s="17"/>
      <c r="E103" s="273"/>
      <c r="F103" s="274"/>
      <c r="G103" s="274"/>
      <c r="H103" s="275"/>
      <c r="I103" s="169"/>
      <c r="J103" s="273"/>
      <c r="K103" s="274"/>
      <c r="L103" s="274"/>
      <c r="M103" s="275"/>
      <c r="N103" s="169"/>
      <c r="O103" s="273"/>
      <c r="P103" s="274"/>
      <c r="Q103" s="274"/>
      <c r="R103" s="275"/>
      <c r="S103" s="169"/>
      <c r="T103" s="273"/>
      <c r="U103" s="274"/>
      <c r="V103" s="274"/>
      <c r="W103" s="275"/>
      <c r="X103" s="169"/>
      <c r="Y103" s="273"/>
      <c r="Z103" s="274"/>
      <c r="AA103" s="274"/>
      <c r="AB103" s="275"/>
      <c r="AC103" s="169"/>
      <c r="AD103" s="273"/>
      <c r="AE103" s="274"/>
      <c r="AF103" s="274"/>
      <c r="AG103" s="275"/>
      <c r="AH103" s="169"/>
      <c r="AI103" s="273"/>
      <c r="AJ103" s="274"/>
      <c r="AK103" s="274"/>
      <c r="AL103" s="275"/>
      <c r="AM103" s="169"/>
      <c r="AN103" s="273"/>
      <c r="AO103" s="274"/>
      <c r="AP103" s="274"/>
      <c r="AQ103" s="275"/>
      <c r="AR103" s="169"/>
      <c r="AS103" s="273"/>
      <c r="AT103" s="274"/>
      <c r="AU103" s="274"/>
      <c r="AV103" s="275"/>
      <c r="AW103" s="169"/>
      <c r="AX103" s="273"/>
      <c r="AY103" s="274"/>
      <c r="AZ103" s="274"/>
      <c r="BA103" s="275"/>
      <c r="BB103" s="169"/>
      <c r="BC103" s="273"/>
      <c r="BD103" s="274"/>
      <c r="BE103" s="274"/>
      <c r="BF103" s="275"/>
      <c r="BG103" s="169"/>
      <c r="BH103" s="273"/>
      <c r="BI103" s="274"/>
      <c r="BJ103" s="274"/>
      <c r="BK103" s="275"/>
      <c r="BL103" s="169"/>
      <c r="BM103" s="273"/>
      <c r="BN103" s="274"/>
      <c r="BO103" s="274"/>
      <c r="BP103" s="275"/>
      <c r="BQ103" s="169"/>
    </row>
    <row r="104" spans="1:104" s="20" customFormat="1" x14ac:dyDescent="0.2">
      <c r="A104" s="220"/>
      <c r="B104" s="220"/>
      <c r="C104" s="289" t="s">
        <v>286</v>
      </c>
      <c r="D104" s="82"/>
      <c r="E104" s="136">
        <f>+E12</f>
        <v>54.473999999999997</v>
      </c>
      <c r="F104" s="135">
        <f t="shared" ref="F104:M104" si="224">+F12</f>
        <v>53.956000000000003</v>
      </c>
      <c r="G104" s="135">
        <f t="shared" si="224"/>
        <v>52.716000000000001</v>
      </c>
      <c r="H104" s="116">
        <f t="shared" si="224"/>
        <v>60.534999999999997</v>
      </c>
      <c r="I104" s="82">
        <f t="shared" si="224"/>
        <v>221.68100000000001</v>
      </c>
      <c r="J104" s="136">
        <f>+J12</f>
        <v>56.704999999999998</v>
      </c>
      <c r="K104" s="135">
        <f t="shared" si="224"/>
        <v>62.281999999999996</v>
      </c>
      <c r="L104" s="135">
        <f t="shared" si="224"/>
        <v>61.807000000000002</v>
      </c>
      <c r="M104" s="116">
        <f t="shared" si="224"/>
        <v>68.277000000000015</v>
      </c>
      <c r="N104" s="82">
        <f t="shared" ref="N104:S104" si="225">+N12</f>
        <v>249.071</v>
      </c>
      <c r="O104" s="136">
        <f t="shared" si="225"/>
        <v>62.753</v>
      </c>
      <c r="P104" s="135">
        <f t="shared" si="225"/>
        <v>62.731999999999999</v>
      </c>
      <c r="Q104" s="135">
        <f t="shared" si="225"/>
        <v>61.651000000000003</v>
      </c>
      <c r="R104" s="116">
        <f t="shared" si="225"/>
        <v>64.75</v>
      </c>
      <c r="S104" s="82">
        <f t="shared" si="225"/>
        <v>251.886</v>
      </c>
      <c r="T104" s="136">
        <f t="shared" ref="T104:Y104" si="226">+T12</f>
        <v>63.14</v>
      </c>
      <c r="U104" s="135">
        <f t="shared" si="226"/>
        <v>62.145000000000003</v>
      </c>
      <c r="V104" s="135">
        <f t="shared" si="226"/>
        <v>60.676000000000002</v>
      </c>
      <c r="W104" s="116">
        <f t="shared" si="226"/>
        <v>65.891999999999996</v>
      </c>
      <c r="X104" s="82">
        <f t="shared" si="226"/>
        <v>251.85300000000001</v>
      </c>
      <c r="Y104" s="136">
        <f t="shared" si="226"/>
        <v>64.569999999999993</v>
      </c>
      <c r="Z104" s="135">
        <f t="shared" ref="Z104:AF104" si="227">+Z12</f>
        <v>67.450999999999993</v>
      </c>
      <c r="AA104" s="135">
        <f t="shared" si="227"/>
        <v>66.287999999999997</v>
      </c>
      <c r="AB104" s="116">
        <f t="shared" si="227"/>
        <v>55.571000000000026</v>
      </c>
      <c r="AC104" s="82">
        <f t="shared" si="227"/>
        <v>253.88</v>
      </c>
      <c r="AD104" s="136">
        <f t="shared" si="227"/>
        <v>69.397999999999996</v>
      </c>
      <c r="AE104" s="135">
        <f t="shared" si="227"/>
        <v>68.962999999999994</v>
      </c>
      <c r="AF104" s="135">
        <f t="shared" si="227"/>
        <v>66.832999999999998</v>
      </c>
      <c r="AG104" s="116">
        <f t="shared" ref="AG104:AM104" si="228">+AG12</f>
        <v>72.022999999999996</v>
      </c>
      <c r="AH104" s="82">
        <f t="shared" si="228"/>
        <v>277.21699999999998</v>
      </c>
      <c r="AI104" s="136">
        <f t="shared" si="228"/>
        <v>73.897000000000006</v>
      </c>
      <c r="AJ104" s="135">
        <f t="shared" si="228"/>
        <v>73.826999999999998</v>
      </c>
      <c r="AK104" s="135">
        <f t="shared" si="228"/>
        <v>72.036000000000001</v>
      </c>
      <c r="AL104" s="116">
        <f t="shared" si="228"/>
        <v>70.096000000000004</v>
      </c>
      <c r="AM104" s="82">
        <f t="shared" si="228"/>
        <v>289.85599999999999</v>
      </c>
      <c r="AN104" s="136">
        <f t="shared" ref="AN104:AR104" si="229">+AN12</f>
        <v>64.123000000000005</v>
      </c>
      <c r="AO104" s="135">
        <f t="shared" si="229"/>
        <v>66.587999999999994</v>
      </c>
      <c r="AP104" s="135">
        <f t="shared" si="229"/>
        <v>71.698999999999998</v>
      </c>
      <c r="AQ104" s="116">
        <f t="shared" si="229"/>
        <v>67.060999999999979</v>
      </c>
      <c r="AR104" s="82">
        <f t="shared" si="229"/>
        <v>269.471</v>
      </c>
      <c r="AS104" s="136">
        <f t="shared" ref="AS104:AW104" si="230">+AS12</f>
        <v>76.888999999999996</v>
      </c>
      <c r="AT104" s="135">
        <f t="shared" si="230"/>
        <v>70.17</v>
      </c>
      <c r="AU104" s="135">
        <f t="shared" si="230"/>
        <v>66.289000000000001</v>
      </c>
      <c r="AV104" s="116">
        <f t="shared" si="230"/>
        <v>76.206999999999994</v>
      </c>
      <c r="AW104" s="82">
        <f t="shared" si="230"/>
        <v>289.55500000000001</v>
      </c>
      <c r="AX104" s="136">
        <f>AS104*(1+AX105)</f>
        <v>76.888999999999996</v>
      </c>
      <c r="AY104" s="135">
        <f>AT104*(1+AY105)</f>
        <v>70.17</v>
      </c>
      <c r="AZ104" s="135">
        <f>AU104*(1+AZ105)</f>
        <v>66.289000000000001</v>
      </c>
      <c r="BA104" s="116">
        <f>AV104*(1+BA105)</f>
        <v>76.206999999999994</v>
      </c>
      <c r="BB104" s="82">
        <f>+SUM(AX104:BA104)</f>
        <v>289.55500000000001</v>
      </c>
      <c r="BC104" s="136">
        <f>AX104*(1+BC105)</f>
        <v>76.888999999999996</v>
      </c>
      <c r="BD104" s="135">
        <f>AY104*(1+BD105)</f>
        <v>70.17</v>
      </c>
      <c r="BE104" s="135">
        <f>AZ104*(1+BE105)</f>
        <v>66.289000000000001</v>
      </c>
      <c r="BF104" s="116">
        <f>BA104*(1+BF105)</f>
        <v>76.206999999999994</v>
      </c>
      <c r="BG104" s="82">
        <f>+SUM(BC104:BF104)</f>
        <v>289.55500000000001</v>
      </c>
      <c r="BH104" s="136">
        <f>BC104*(1+BH105)</f>
        <v>76.888999999999996</v>
      </c>
      <c r="BI104" s="135">
        <f>BD104*(1+BI105)</f>
        <v>70.17</v>
      </c>
      <c r="BJ104" s="135">
        <f>BE104*(1+BJ105)</f>
        <v>66.289000000000001</v>
      </c>
      <c r="BK104" s="116">
        <f>BF104*(1+BK105)</f>
        <v>76.206999999999994</v>
      </c>
      <c r="BL104" s="82">
        <f>+SUM(BH104:BK104)</f>
        <v>289.55500000000001</v>
      </c>
      <c r="BM104" s="136">
        <f>BH104*(1+BM105)</f>
        <v>76.888999999999996</v>
      </c>
      <c r="BN104" s="135">
        <f>BI104*(1+BN105)</f>
        <v>70.17</v>
      </c>
      <c r="BO104" s="135">
        <f>BJ104*(1+BO105)</f>
        <v>66.289000000000001</v>
      </c>
      <c r="BP104" s="116">
        <f>BK104*(1+BP105)</f>
        <v>76.206999999999994</v>
      </c>
      <c r="BQ104" s="82">
        <f>+SUM(BM104:BP104)</f>
        <v>289.55500000000001</v>
      </c>
      <c r="BR104" s="220"/>
      <c r="BS104" s="220"/>
      <c r="BT104" s="220"/>
      <c r="BU104" s="220"/>
      <c r="BV104" s="220"/>
      <c r="BW104" s="220"/>
      <c r="BX104" s="220"/>
      <c r="BY104" s="220"/>
      <c r="BZ104" s="220"/>
      <c r="CA104" s="220"/>
      <c r="CB104" s="220"/>
      <c r="CC104" s="220"/>
      <c r="CD104" s="220"/>
      <c r="CE104" s="220"/>
      <c r="CF104" s="220"/>
      <c r="CG104" s="220"/>
      <c r="CH104" s="220"/>
      <c r="CI104" s="220"/>
      <c r="CJ104" s="220"/>
      <c r="CK104" s="220"/>
      <c r="CL104" s="220"/>
      <c r="CM104" s="220"/>
      <c r="CN104" s="220"/>
      <c r="CO104" s="220"/>
      <c r="CP104" s="220"/>
      <c r="CQ104" s="220"/>
      <c r="CR104" s="220"/>
      <c r="CS104" s="220"/>
      <c r="CT104" s="220"/>
      <c r="CU104" s="220"/>
      <c r="CV104" s="220"/>
      <c r="CW104" s="220"/>
      <c r="CX104" s="220"/>
      <c r="CY104" s="220"/>
      <c r="CZ104" s="220"/>
    </row>
    <row r="105" spans="1:104" x14ac:dyDescent="0.2">
      <c r="A105" s="45"/>
      <c r="B105" s="45"/>
      <c r="C105" s="338" t="s">
        <v>287</v>
      </c>
      <c r="D105" s="45"/>
      <c r="E105" s="339"/>
      <c r="F105" s="340"/>
      <c r="G105" s="340"/>
      <c r="H105" s="341"/>
      <c r="I105" s="252"/>
      <c r="J105" s="249">
        <f t="shared" ref="J105:P105" si="231">+J104/E104-1</f>
        <v>4.0955318133421459E-2</v>
      </c>
      <c r="K105" s="250">
        <f t="shared" si="231"/>
        <v>0.1543109200088959</v>
      </c>
      <c r="L105" s="250">
        <f t="shared" si="231"/>
        <v>0.1724523863722589</v>
      </c>
      <c r="M105" s="251">
        <f t="shared" si="231"/>
        <v>0.12789295448913873</v>
      </c>
      <c r="N105" s="252">
        <f t="shared" si="231"/>
        <v>0.1235559204442418</v>
      </c>
      <c r="O105" s="249">
        <f t="shared" si="231"/>
        <v>0.10665726126443875</v>
      </c>
      <c r="P105" s="250">
        <f t="shared" si="231"/>
        <v>7.2252015028420047E-3</v>
      </c>
      <c r="Q105" s="250">
        <f t="shared" ref="Q105:V105" si="232">+Q104/L104-1</f>
        <v>-2.5239859562832256E-3</v>
      </c>
      <c r="R105" s="251">
        <f t="shared" si="232"/>
        <v>-5.1657219854416736E-2</v>
      </c>
      <c r="S105" s="252">
        <f t="shared" si="232"/>
        <v>1.1301998225405674E-2</v>
      </c>
      <c r="T105" s="249">
        <f t="shared" si="232"/>
        <v>6.1670358389240842E-3</v>
      </c>
      <c r="U105" s="250">
        <f t="shared" si="232"/>
        <v>-9.3572658292417898E-3</v>
      </c>
      <c r="V105" s="250">
        <f t="shared" si="232"/>
        <v>-1.5814828632139011E-2</v>
      </c>
      <c r="W105" s="251">
        <f t="shared" ref="W105:AF105" si="233">+W104/R104-1</f>
        <v>1.7637065637065463E-2</v>
      </c>
      <c r="X105" s="252">
        <f t="shared" si="233"/>
        <v>-1.310116481264556E-4</v>
      </c>
      <c r="Y105" s="249">
        <f t="shared" si="233"/>
        <v>2.2648083623693305E-2</v>
      </c>
      <c r="Z105" s="250">
        <f t="shared" si="233"/>
        <v>8.5380963874808646E-2</v>
      </c>
      <c r="AA105" s="250">
        <f t="shared" si="233"/>
        <v>9.2491265080097529E-2</v>
      </c>
      <c r="AB105" s="251">
        <f t="shared" si="233"/>
        <v>-0.15663509986037716</v>
      </c>
      <c r="AC105" s="252">
        <f t="shared" si="233"/>
        <v>8.0483456619535598E-3</v>
      </c>
      <c r="AD105" s="249">
        <f t="shared" si="233"/>
        <v>7.4771565742604906E-2</v>
      </c>
      <c r="AE105" s="250">
        <f t="shared" si="233"/>
        <v>2.2416272553409167E-2</v>
      </c>
      <c r="AF105" s="250">
        <f t="shared" si="233"/>
        <v>8.2216992517498699E-3</v>
      </c>
      <c r="AG105" s="251">
        <f t="shared" ref="AG105:AP105" si="234">+AG104/AB104-1</f>
        <v>0.29605369707221318</v>
      </c>
      <c r="AH105" s="252">
        <f t="shared" si="234"/>
        <v>9.1921380179612378E-2</v>
      </c>
      <c r="AI105" s="249">
        <f t="shared" si="234"/>
        <v>6.4828957606847704E-2</v>
      </c>
      <c r="AJ105" s="250">
        <f t="shared" si="234"/>
        <v>7.0530574365964327E-2</v>
      </c>
      <c r="AK105" s="250">
        <f t="shared" si="234"/>
        <v>7.785076234794186E-2</v>
      </c>
      <c r="AL105" s="251">
        <f t="shared" si="234"/>
        <v>-2.6755342043513819E-2</v>
      </c>
      <c r="AM105" s="252">
        <f t="shared" si="234"/>
        <v>4.5592442021954005E-2</v>
      </c>
      <c r="AN105" s="249">
        <f t="shared" si="234"/>
        <v>-0.13226517991258102</v>
      </c>
      <c r="AO105" s="250">
        <f t="shared" si="234"/>
        <v>-9.8053557641513356E-2</v>
      </c>
      <c r="AP105" s="250">
        <f t="shared" si="234"/>
        <v>-4.6782164473319066E-3</v>
      </c>
      <c r="AQ105" s="251">
        <f>+AQ104/AL104-1</f>
        <v>-4.3297763067793094E-2</v>
      </c>
      <c r="AR105" s="252">
        <f>+AR104/AM104-1</f>
        <v>-7.0328024950320089E-2</v>
      </c>
      <c r="AS105" s="249">
        <f t="shared" ref="AS105" si="235">+AS104/AN104-1</f>
        <v>0.19908613134132813</v>
      </c>
      <c r="AT105" s="250">
        <f t="shared" ref="AT105" si="236">+AT104/AO104-1</f>
        <v>5.3793476302036458E-2</v>
      </c>
      <c r="AU105" s="250">
        <f t="shared" ref="AU105" si="237">+AU104/AP104-1</f>
        <v>-7.5454329906972206E-2</v>
      </c>
      <c r="AV105" s="251">
        <f>+AV104/AQ104-1</f>
        <v>0.13638329282295247</v>
      </c>
      <c r="AW105" s="252">
        <f>+AW104/AR104-1</f>
        <v>7.4531211150736132E-2</v>
      </c>
      <c r="AX105" s="249">
        <f>+AX58</f>
        <v>0</v>
      </c>
      <c r="AY105" s="250">
        <f>+AY58</f>
        <v>0</v>
      </c>
      <c r="AZ105" s="250">
        <f>+AZ58</f>
        <v>0</v>
      </c>
      <c r="BA105" s="251">
        <f>+BA58</f>
        <v>0</v>
      </c>
      <c r="BB105" s="252">
        <f>+BB104/AW104-1</f>
        <v>0</v>
      </c>
      <c r="BC105" s="249">
        <f>+BC58</f>
        <v>0</v>
      </c>
      <c r="BD105" s="250">
        <f>+BD58</f>
        <v>0</v>
      </c>
      <c r="BE105" s="250">
        <f>+BE58</f>
        <v>0</v>
      </c>
      <c r="BF105" s="251">
        <f>+BF58</f>
        <v>0</v>
      </c>
      <c r="BG105" s="252">
        <f>+BG104/BB104-1</f>
        <v>0</v>
      </c>
      <c r="BH105" s="249">
        <f>+BH58</f>
        <v>0</v>
      </c>
      <c r="BI105" s="250">
        <f>+BI58</f>
        <v>0</v>
      </c>
      <c r="BJ105" s="250">
        <f>+BJ58</f>
        <v>0</v>
      </c>
      <c r="BK105" s="251">
        <f>+BK58</f>
        <v>0</v>
      </c>
      <c r="BL105" s="252">
        <f>+BL104/BG104-1</f>
        <v>0</v>
      </c>
      <c r="BM105" s="249">
        <f>+BM58</f>
        <v>0</v>
      </c>
      <c r="BN105" s="250">
        <f>+BN58</f>
        <v>0</v>
      </c>
      <c r="BO105" s="250">
        <f>+BO58</f>
        <v>0</v>
      </c>
      <c r="BP105" s="251">
        <f>+BP58</f>
        <v>0</v>
      </c>
      <c r="BQ105" s="252">
        <f>+BQ104/BL104-1</f>
        <v>0</v>
      </c>
      <c r="BR105" s="45"/>
      <c r="BS105" s="45"/>
      <c r="BT105" s="45"/>
      <c r="BU105" s="45"/>
      <c r="BV105" s="45"/>
      <c r="BW105" s="45"/>
      <c r="BX105" s="45"/>
      <c r="BY105" s="45"/>
      <c r="BZ105" s="45"/>
      <c r="CA105" s="45"/>
      <c r="CB105" s="45"/>
      <c r="CC105" s="45"/>
      <c r="CD105" s="45"/>
      <c r="CE105" s="45"/>
      <c r="CF105" s="45"/>
      <c r="CG105" s="45"/>
      <c r="CH105" s="45"/>
      <c r="CI105" s="45"/>
      <c r="CJ105" s="45"/>
      <c r="CK105" s="45"/>
      <c r="CL105" s="45"/>
      <c r="CM105" s="45"/>
      <c r="CN105" s="45"/>
      <c r="CO105" s="45"/>
      <c r="CP105" s="45"/>
      <c r="CQ105" s="45"/>
      <c r="CR105" s="45"/>
      <c r="CS105" s="45"/>
      <c r="CT105" s="45"/>
      <c r="CU105" s="45"/>
      <c r="CV105" s="45"/>
      <c r="CW105" s="45"/>
      <c r="CX105" s="45"/>
      <c r="CY105" s="45"/>
      <c r="CZ105" s="45"/>
    </row>
    <row r="106" spans="1:104" x14ac:dyDescent="0.2">
      <c r="A106" s="20"/>
      <c r="B106" s="20"/>
      <c r="C106" s="289"/>
      <c r="D106" s="20"/>
      <c r="E106" s="203"/>
      <c r="F106" s="204"/>
      <c r="G106" s="204"/>
      <c r="H106" s="205"/>
      <c r="I106" s="206"/>
      <c r="J106" s="203"/>
      <c r="K106" s="204"/>
      <c r="L106" s="204"/>
      <c r="M106" s="205"/>
      <c r="N106" s="206"/>
      <c r="O106" s="203"/>
      <c r="P106" s="204"/>
      <c r="Q106" s="204"/>
      <c r="R106" s="205"/>
      <c r="S106" s="206"/>
      <c r="T106" s="203"/>
      <c r="U106" s="204"/>
      <c r="V106" s="204"/>
      <c r="W106" s="205"/>
      <c r="X106" s="206"/>
      <c r="Y106" s="203"/>
      <c r="Z106" s="204"/>
      <c r="AA106" s="204"/>
      <c r="AB106" s="205"/>
      <c r="AC106" s="206"/>
      <c r="AD106" s="203"/>
      <c r="AE106" s="204"/>
      <c r="AF106" s="204"/>
      <c r="AG106" s="205"/>
      <c r="AH106" s="206"/>
      <c r="AI106" s="203"/>
      <c r="AJ106" s="204"/>
      <c r="AK106" s="204"/>
      <c r="AL106" s="205"/>
      <c r="AM106" s="206"/>
      <c r="AN106" s="203"/>
      <c r="AO106" s="204"/>
      <c r="AP106" s="204"/>
      <c r="AQ106" s="205"/>
      <c r="AR106" s="206"/>
      <c r="AS106" s="203"/>
      <c r="AT106" s="204"/>
      <c r="AU106" s="204"/>
      <c r="AV106" s="205"/>
      <c r="AW106" s="206"/>
      <c r="AX106" s="203"/>
      <c r="AY106" s="204"/>
      <c r="AZ106" s="204"/>
      <c r="BA106" s="205"/>
      <c r="BB106" s="206"/>
      <c r="BC106" s="203"/>
      <c r="BD106" s="204"/>
      <c r="BE106" s="204"/>
      <c r="BF106" s="205"/>
      <c r="BG106" s="206"/>
      <c r="BH106" s="203"/>
      <c r="BI106" s="204"/>
      <c r="BJ106" s="204"/>
      <c r="BK106" s="205"/>
      <c r="BL106" s="206"/>
      <c r="BM106" s="203"/>
      <c r="BN106" s="204"/>
      <c r="BO106" s="204"/>
      <c r="BP106" s="205"/>
      <c r="BQ106" s="206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  <c r="CZ106" s="20"/>
    </row>
    <row r="107" spans="1:104" x14ac:dyDescent="0.2">
      <c r="A107" s="220"/>
      <c r="B107" s="220"/>
      <c r="C107" s="289" t="s">
        <v>122</v>
      </c>
      <c r="D107" s="82"/>
      <c r="E107" s="136">
        <f>+E14</f>
        <v>10.542</v>
      </c>
      <c r="F107" s="135">
        <f t="shared" ref="F107:O107" si="238">+F14</f>
        <v>9.2309999999999999</v>
      </c>
      <c r="G107" s="135">
        <f t="shared" si="238"/>
        <v>9.4580000000000002</v>
      </c>
      <c r="H107" s="116">
        <f t="shared" si="238"/>
        <v>9.2719999999999985</v>
      </c>
      <c r="I107" s="82">
        <f t="shared" si="238"/>
        <v>38.503</v>
      </c>
      <c r="J107" s="136">
        <f>+J14</f>
        <v>10.154999999999999</v>
      </c>
      <c r="K107" s="135">
        <f t="shared" si="238"/>
        <v>9.9060000000000006</v>
      </c>
      <c r="L107" s="135">
        <f t="shared" si="238"/>
        <v>10.818</v>
      </c>
      <c r="M107" s="116">
        <f t="shared" si="238"/>
        <v>10.105000000000004</v>
      </c>
      <c r="N107" s="82">
        <f t="shared" si="238"/>
        <v>40.984000000000002</v>
      </c>
      <c r="O107" s="136">
        <f t="shared" si="238"/>
        <v>10.119999999999999</v>
      </c>
      <c r="P107" s="135">
        <f t="shared" ref="P107:V107" si="239">+P14</f>
        <v>10.975</v>
      </c>
      <c r="Q107" s="135">
        <f t="shared" si="239"/>
        <v>10.73</v>
      </c>
      <c r="R107" s="116">
        <f t="shared" si="239"/>
        <v>11.452999999999999</v>
      </c>
      <c r="S107" s="82">
        <f t="shared" si="239"/>
        <v>43.277999999999999</v>
      </c>
      <c r="T107" s="136">
        <f t="shared" si="239"/>
        <v>11.319000000000001</v>
      </c>
      <c r="U107" s="135">
        <f t="shared" si="239"/>
        <v>11.721</v>
      </c>
      <c r="V107" s="135">
        <f t="shared" si="239"/>
        <v>12.102</v>
      </c>
      <c r="W107" s="116">
        <f t="shared" ref="W107:AC107" si="240">+W14</f>
        <v>11.104000000000006</v>
      </c>
      <c r="X107" s="82">
        <f t="shared" si="240"/>
        <v>46.246000000000002</v>
      </c>
      <c r="Y107" s="136">
        <f t="shared" si="240"/>
        <v>12.148999999999999</v>
      </c>
      <c r="Z107" s="135">
        <f t="shared" si="240"/>
        <v>12.634</v>
      </c>
      <c r="AA107" s="135">
        <f t="shared" si="240"/>
        <v>13.353999999999999</v>
      </c>
      <c r="AB107" s="116">
        <f t="shared" si="240"/>
        <v>11.396000000000001</v>
      </c>
      <c r="AC107" s="82">
        <f t="shared" si="240"/>
        <v>49.533000000000001</v>
      </c>
      <c r="AD107" s="136">
        <f t="shared" ref="AD107:AI107" si="241">+AD14</f>
        <v>13.646000000000001</v>
      </c>
      <c r="AE107" s="135">
        <f t="shared" si="241"/>
        <v>12.507</v>
      </c>
      <c r="AF107" s="135">
        <f t="shared" si="241"/>
        <v>13.991</v>
      </c>
      <c r="AG107" s="116">
        <f t="shared" si="241"/>
        <v>13.727000000000004</v>
      </c>
      <c r="AH107" s="82">
        <f t="shared" si="241"/>
        <v>53.871000000000002</v>
      </c>
      <c r="AI107" s="136">
        <f t="shared" si="241"/>
        <v>14.965999999999999</v>
      </c>
      <c r="AJ107" s="135">
        <f t="shared" ref="AJ107:AO107" si="242">+AJ14</f>
        <v>13.49</v>
      </c>
      <c r="AK107" s="135">
        <f t="shared" si="242"/>
        <v>15.016</v>
      </c>
      <c r="AL107" s="116">
        <f t="shared" si="242"/>
        <v>14.064</v>
      </c>
      <c r="AM107" s="82">
        <f t="shared" si="242"/>
        <v>57.536000000000001</v>
      </c>
      <c r="AN107" s="136">
        <f t="shared" si="242"/>
        <v>16.036000000000001</v>
      </c>
      <c r="AO107" s="135">
        <f t="shared" si="242"/>
        <v>14.792</v>
      </c>
      <c r="AP107" s="135">
        <f t="shared" ref="AP107:AT107" si="243">+AP14</f>
        <v>15.589</v>
      </c>
      <c r="AQ107" s="116">
        <f t="shared" si="243"/>
        <v>14.382999999999996</v>
      </c>
      <c r="AR107" s="82">
        <f t="shared" si="243"/>
        <v>60.8</v>
      </c>
      <c r="AS107" s="136">
        <f t="shared" si="243"/>
        <v>16.79</v>
      </c>
      <c r="AT107" s="135">
        <f t="shared" si="243"/>
        <v>16.689</v>
      </c>
      <c r="AU107" s="135">
        <f t="shared" ref="AU107:AW107" si="244">+AU14</f>
        <v>16.742999999999999</v>
      </c>
      <c r="AV107" s="116">
        <f t="shared" si="244"/>
        <v>16.641000000000005</v>
      </c>
      <c r="AW107" s="82">
        <f t="shared" si="244"/>
        <v>66.863</v>
      </c>
      <c r="AX107" s="136">
        <f>AS107*(1+AX108)</f>
        <v>17.881349999999998</v>
      </c>
      <c r="AY107" s="135">
        <f>AT107*(1+AY108)</f>
        <v>17.773785</v>
      </c>
      <c r="AZ107" s="135">
        <f>AU107*(1+AZ108)</f>
        <v>17.831294999999997</v>
      </c>
      <c r="BA107" s="116">
        <f>AV107*(1+BA108)</f>
        <v>17.722665000000006</v>
      </c>
      <c r="BB107" s="82">
        <f>+SUM(AX107:BA107)</f>
        <v>71.209095000000005</v>
      </c>
      <c r="BC107" s="136">
        <f>AX107*(1+BC108)</f>
        <v>18.328383749999997</v>
      </c>
      <c r="BD107" s="135">
        <f>AY107*(1+BD108)</f>
        <v>18.218129625</v>
      </c>
      <c r="BE107" s="135">
        <f>AZ107*(1+BE108)</f>
        <v>18.277077374999994</v>
      </c>
      <c r="BF107" s="116">
        <f>BA107*(1+BF108)</f>
        <v>18.165731625000006</v>
      </c>
      <c r="BG107" s="82">
        <f>+SUM(BC107:BF107)</f>
        <v>72.989322375</v>
      </c>
      <c r="BH107" s="136">
        <f>BC107*(1+BH108)</f>
        <v>18.786593343749995</v>
      </c>
      <c r="BI107" s="135">
        <f>BD107*(1+BI108)</f>
        <v>18.673582865624997</v>
      </c>
      <c r="BJ107" s="135">
        <f>BE107*(1+BJ108)</f>
        <v>18.734004309374992</v>
      </c>
      <c r="BK107" s="116">
        <f>BF107*(1+BK108)</f>
        <v>18.619874915625005</v>
      </c>
      <c r="BL107" s="82">
        <f>+SUM(BH107:BK107)</f>
        <v>74.814055434374993</v>
      </c>
      <c r="BM107" s="136">
        <f>BH107*(1+BM108)</f>
        <v>19.256258177343742</v>
      </c>
      <c r="BN107" s="135">
        <f>BI107*(1+BN108)</f>
        <v>19.14042243726562</v>
      </c>
      <c r="BO107" s="135">
        <f>BJ107*(1+BO108)</f>
        <v>19.202354417109365</v>
      </c>
      <c r="BP107" s="116">
        <f>BK107*(1+BP108)</f>
        <v>19.085371788515626</v>
      </c>
      <c r="BQ107" s="82">
        <f>+SUM(BM107:BP107)</f>
        <v>76.684406820234358</v>
      </c>
      <c r="BR107" s="220"/>
      <c r="BS107" s="220"/>
      <c r="BT107" s="220"/>
      <c r="BU107" s="220"/>
      <c r="BV107" s="220"/>
      <c r="BW107" s="220"/>
      <c r="BX107" s="220"/>
      <c r="BY107" s="220"/>
      <c r="BZ107" s="220"/>
      <c r="CA107" s="220"/>
      <c r="CB107" s="220"/>
      <c r="CC107" s="220"/>
      <c r="CD107" s="220"/>
      <c r="CE107" s="220"/>
      <c r="CF107" s="220"/>
      <c r="CG107" s="220"/>
      <c r="CH107" s="220"/>
      <c r="CI107" s="220"/>
      <c r="CJ107" s="220"/>
      <c r="CK107" s="220"/>
      <c r="CL107" s="220"/>
      <c r="CM107" s="220"/>
      <c r="CN107" s="220"/>
      <c r="CO107" s="220"/>
      <c r="CP107" s="220"/>
      <c r="CQ107" s="220"/>
      <c r="CR107" s="220"/>
      <c r="CS107" s="220"/>
      <c r="CT107" s="220"/>
      <c r="CU107" s="220"/>
      <c r="CV107" s="220"/>
      <c r="CW107" s="220"/>
      <c r="CX107" s="220"/>
      <c r="CY107" s="220"/>
      <c r="CZ107" s="220"/>
    </row>
    <row r="108" spans="1:104" x14ac:dyDescent="0.2">
      <c r="A108" s="45"/>
      <c r="B108" s="45"/>
      <c r="C108" s="338" t="s">
        <v>287</v>
      </c>
      <c r="D108" s="45"/>
      <c r="E108" s="339"/>
      <c r="F108" s="340"/>
      <c r="G108" s="340"/>
      <c r="H108" s="341"/>
      <c r="I108" s="252"/>
      <c r="J108" s="249">
        <f t="shared" ref="J108:P108" si="245">+J107/E107-1</f>
        <v>-3.6710301650540789E-2</v>
      </c>
      <c r="K108" s="250">
        <f t="shared" si="245"/>
        <v>7.3123171920702168E-2</v>
      </c>
      <c r="L108" s="250">
        <f t="shared" si="245"/>
        <v>0.14379361387185452</v>
      </c>
      <c r="M108" s="251">
        <f t="shared" si="245"/>
        <v>8.9840379637619261E-2</v>
      </c>
      <c r="N108" s="252">
        <f t="shared" si="245"/>
        <v>6.4436537412669193E-2</v>
      </c>
      <c r="O108" s="249">
        <f t="shared" si="245"/>
        <v>-3.4465780403741819E-3</v>
      </c>
      <c r="P108" s="250">
        <f t="shared" si="245"/>
        <v>0.10791439531597002</v>
      </c>
      <c r="Q108" s="250">
        <f t="shared" ref="Q108:V108" si="246">+Q107/L107-1</f>
        <v>-8.1345904973192384E-3</v>
      </c>
      <c r="R108" s="251">
        <f t="shared" si="246"/>
        <v>0.13339930727362637</v>
      </c>
      <c r="S108" s="252">
        <f t="shared" si="246"/>
        <v>5.597306265859836E-2</v>
      </c>
      <c r="T108" s="249">
        <f t="shared" si="246"/>
        <v>0.11847826086956537</v>
      </c>
      <c r="U108" s="250">
        <f t="shared" si="246"/>
        <v>6.7972665148063882E-2</v>
      </c>
      <c r="V108" s="250">
        <f t="shared" si="246"/>
        <v>0.12786579683131416</v>
      </c>
      <c r="W108" s="251">
        <f t="shared" ref="W108:AF108" si="247">+W107/R107-1</f>
        <v>-3.0472365319129779E-2</v>
      </c>
      <c r="X108" s="252">
        <f t="shared" si="247"/>
        <v>6.8579878922316206E-2</v>
      </c>
      <c r="Y108" s="249">
        <f t="shared" si="247"/>
        <v>7.3328032511705832E-2</v>
      </c>
      <c r="Z108" s="250">
        <f t="shared" si="247"/>
        <v>7.78943776128318E-2</v>
      </c>
      <c r="AA108" s="250">
        <f t="shared" si="247"/>
        <v>0.10345397454966121</v>
      </c>
      <c r="AB108" s="251">
        <f t="shared" si="247"/>
        <v>2.6296829971180991E-2</v>
      </c>
      <c r="AC108" s="252">
        <f t="shared" si="247"/>
        <v>7.1076417419885018E-2</v>
      </c>
      <c r="AD108" s="249">
        <f t="shared" si="247"/>
        <v>0.12322001810848637</v>
      </c>
      <c r="AE108" s="250">
        <f t="shared" si="247"/>
        <v>-1.0052239987335843E-2</v>
      </c>
      <c r="AF108" s="250">
        <f t="shared" si="247"/>
        <v>4.7701063351804684E-2</v>
      </c>
      <c r="AG108" s="251">
        <f t="shared" ref="AG108:AP108" si="248">+AG107/AB107-1</f>
        <v>0.20454545454545481</v>
      </c>
      <c r="AH108" s="252">
        <f t="shared" si="248"/>
        <v>8.7577978317485261E-2</v>
      </c>
      <c r="AI108" s="249">
        <f t="shared" si="248"/>
        <v>9.6731642972299525E-2</v>
      </c>
      <c r="AJ108" s="250">
        <f t="shared" si="248"/>
        <v>7.8595986247701255E-2</v>
      </c>
      <c r="AK108" s="250">
        <f t="shared" si="248"/>
        <v>7.3261382317203916E-2</v>
      </c>
      <c r="AL108" s="251">
        <f t="shared" si="248"/>
        <v>2.4550156625628095E-2</v>
      </c>
      <c r="AM108" s="252">
        <f t="shared" si="248"/>
        <v>6.8032893393477067E-2</v>
      </c>
      <c r="AN108" s="249">
        <f t="shared" si="248"/>
        <v>7.149538954964596E-2</v>
      </c>
      <c r="AO108" s="250">
        <f t="shared" si="248"/>
        <v>9.6515937731653123E-2</v>
      </c>
      <c r="AP108" s="250">
        <f t="shared" si="248"/>
        <v>3.8159296750133187E-2</v>
      </c>
      <c r="AQ108" s="251">
        <f>+AQ107/AL107-1</f>
        <v>2.2682025028441188E-2</v>
      </c>
      <c r="AR108" s="252">
        <f>+AR107/AM107-1</f>
        <v>5.6729699666295819E-2</v>
      </c>
      <c r="AS108" s="249">
        <f t="shared" ref="AS108" si="249">+AS107/AN107-1</f>
        <v>4.7019206784734147E-2</v>
      </c>
      <c r="AT108" s="250">
        <f t="shared" ref="AT108" si="250">+AT107/AO107-1</f>
        <v>0.12824499729583549</v>
      </c>
      <c r="AU108" s="250">
        <f t="shared" ref="AU108" si="251">+AU107/AP107-1</f>
        <v>7.4026557187760522E-2</v>
      </c>
      <c r="AV108" s="251">
        <f>+AV107/AQ107-1</f>
        <v>0.15699089202530847</v>
      </c>
      <c r="AW108" s="252">
        <f>+AW107/AR107-1</f>
        <v>9.9720394736842133E-2</v>
      </c>
      <c r="AX108" s="249">
        <f>+AX59</f>
        <v>6.5000000000000002E-2</v>
      </c>
      <c r="AY108" s="250">
        <f>+AY59</f>
        <v>6.5000000000000002E-2</v>
      </c>
      <c r="AZ108" s="250">
        <f>+AZ59</f>
        <v>6.5000000000000002E-2</v>
      </c>
      <c r="BA108" s="251">
        <f>+BA59</f>
        <v>6.5000000000000002E-2</v>
      </c>
      <c r="BB108" s="252">
        <f>+BB107/AW107-1</f>
        <v>6.5000000000000169E-2</v>
      </c>
      <c r="BC108" s="249">
        <f>+BC59</f>
        <v>2.5000000000000001E-2</v>
      </c>
      <c r="BD108" s="250">
        <f>+BD59</f>
        <v>2.5000000000000001E-2</v>
      </c>
      <c r="BE108" s="250">
        <f>+BE59</f>
        <v>2.5000000000000001E-2</v>
      </c>
      <c r="BF108" s="251">
        <f>+BF59</f>
        <v>2.5000000000000001E-2</v>
      </c>
      <c r="BG108" s="252">
        <f>+BG107/BB107-1</f>
        <v>2.4999999999999911E-2</v>
      </c>
      <c r="BH108" s="249">
        <f>+BH59</f>
        <v>2.5000000000000001E-2</v>
      </c>
      <c r="BI108" s="250">
        <f>+BI59</f>
        <v>2.5000000000000001E-2</v>
      </c>
      <c r="BJ108" s="250">
        <f>+BJ59</f>
        <v>2.5000000000000001E-2</v>
      </c>
      <c r="BK108" s="251">
        <f>+BK59</f>
        <v>2.5000000000000001E-2</v>
      </c>
      <c r="BL108" s="252">
        <f>+BL107/BG107-1</f>
        <v>2.4999999999999911E-2</v>
      </c>
      <c r="BM108" s="249">
        <f>+BM59</f>
        <v>2.5000000000000001E-2</v>
      </c>
      <c r="BN108" s="250">
        <f>+BN59</f>
        <v>2.5000000000000001E-2</v>
      </c>
      <c r="BO108" s="250">
        <f>+BO59</f>
        <v>2.5000000000000001E-2</v>
      </c>
      <c r="BP108" s="251">
        <f>+BP59</f>
        <v>2.5000000000000001E-2</v>
      </c>
      <c r="BQ108" s="252">
        <f>+BQ107/BL107-1</f>
        <v>2.4999999999999911E-2</v>
      </c>
      <c r="BR108" s="45"/>
      <c r="BS108" s="45"/>
      <c r="BT108" s="45"/>
      <c r="BU108" s="45"/>
      <c r="BV108" s="45"/>
      <c r="BW108" s="45"/>
      <c r="BX108" s="45"/>
      <c r="BY108" s="45"/>
      <c r="BZ108" s="45"/>
      <c r="CA108" s="45"/>
      <c r="CB108" s="45"/>
      <c r="CC108" s="45"/>
      <c r="CD108" s="45"/>
      <c r="CE108" s="45"/>
      <c r="CF108" s="45"/>
      <c r="CG108" s="45"/>
      <c r="CH108" s="45"/>
      <c r="CI108" s="45"/>
      <c r="CJ108" s="45"/>
      <c r="CK108" s="45"/>
      <c r="CL108" s="45"/>
      <c r="CM108" s="45"/>
      <c r="CN108" s="45"/>
      <c r="CO108" s="45"/>
      <c r="CP108" s="45"/>
      <c r="CQ108" s="45"/>
      <c r="CR108" s="45"/>
      <c r="CS108" s="45"/>
      <c r="CT108" s="45"/>
      <c r="CU108" s="45"/>
      <c r="CV108" s="45"/>
      <c r="CW108" s="45"/>
      <c r="CX108" s="45"/>
      <c r="CY108" s="45"/>
      <c r="CZ108" s="45"/>
    </row>
    <row r="109" spans="1:104" x14ac:dyDescent="0.2">
      <c r="A109" s="20"/>
      <c r="B109" s="20"/>
      <c r="C109" s="20"/>
      <c r="D109" s="20"/>
      <c r="E109" s="203"/>
      <c r="F109" s="204"/>
      <c r="G109" s="204"/>
      <c r="H109" s="205"/>
      <c r="I109" s="206"/>
      <c r="J109" s="203"/>
      <c r="K109" s="204"/>
      <c r="L109" s="204"/>
      <c r="M109" s="205"/>
      <c r="N109" s="206"/>
      <c r="O109" s="203"/>
      <c r="P109" s="204"/>
      <c r="Q109" s="204"/>
      <c r="R109" s="205"/>
      <c r="S109" s="206"/>
      <c r="T109" s="203"/>
      <c r="U109" s="204"/>
      <c r="V109" s="204"/>
      <c r="W109" s="205"/>
      <c r="X109" s="206"/>
      <c r="Y109" s="203"/>
      <c r="Z109" s="204"/>
      <c r="AA109" s="204"/>
      <c r="AB109" s="205"/>
      <c r="AC109" s="206"/>
      <c r="AD109" s="203"/>
      <c r="AE109" s="204"/>
      <c r="AF109" s="204"/>
      <c r="AG109" s="205"/>
      <c r="AH109" s="206"/>
      <c r="AI109" s="203"/>
      <c r="AJ109" s="204"/>
      <c r="AK109" s="204"/>
      <c r="AL109" s="205"/>
      <c r="AM109" s="206"/>
      <c r="AN109" s="203"/>
      <c r="AO109" s="204"/>
      <c r="AP109" s="204"/>
      <c r="AQ109" s="205"/>
      <c r="AR109" s="206"/>
      <c r="AS109" s="203"/>
      <c r="AT109" s="204"/>
      <c r="AU109" s="204"/>
      <c r="AV109" s="205"/>
      <c r="AW109" s="206"/>
      <c r="AX109" s="203"/>
      <c r="AY109" s="204"/>
      <c r="AZ109" s="204"/>
      <c r="BA109" s="205"/>
      <c r="BB109" s="206"/>
      <c r="BC109" s="203"/>
      <c r="BD109" s="204"/>
      <c r="BE109" s="204"/>
      <c r="BF109" s="205"/>
      <c r="BG109" s="206"/>
      <c r="BH109" s="203"/>
      <c r="BI109" s="204"/>
      <c r="BJ109" s="204"/>
      <c r="BK109" s="205"/>
      <c r="BL109" s="206"/>
      <c r="BM109" s="203"/>
      <c r="BN109" s="204"/>
      <c r="BO109" s="204"/>
      <c r="BP109" s="205"/>
      <c r="BQ109" s="206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</row>
    <row r="110" spans="1:104" x14ac:dyDescent="0.2">
      <c r="A110" s="220"/>
      <c r="B110" s="220"/>
      <c r="C110" t="s">
        <v>442</v>
      </c>
      <c r="D110" s="82"/>
      <c r="E110" s="136">
        <f>+E15</f>
        <v>1.351</v>
      </c>
      <c r="F110" s="135">
        <f t="shared" ref="F110:M110" si="252">+F15</f>
        <v>2.621</v>
      </c>
      <c r="G110" s="135">
        <f t="shared" si="252"/>
        <v>2.673</v>
      </c>
      <c r="H110" s="116">
        <f t="shared" si="252"/>
        <v>0.625</v>
      </c>
      <c r="I110" s="82">
        <f t="shared" si="252"/>
        <v>7.27</v>
      </c>
      <c r="J110" s="136">
        <f>+J15</f>
        <v>1.946</v>
      </c>
      <c r="K110" s="135">
        <f t="shared" si="252"/>
        <v>3.0470000000000002</v>
      </c>
      <c r="L110" s="135">
        <f t="shared" si="252"/>
        <v>3.3929999999999998</v>
      </c>
      <c r="M110" s="116">
        <f t="shared" si="252"/>
        <v>3.2390000000000008</v>
      </c>
      <c r="N110" s="82">
        <f t="shared" ref="N110:S110" si="253">+N15</f>
        <v>11.625</v>
      </c>
      <c r="O110" s="136">
        <f t="shared" si="253"/>
        <v>3.4289999999999998</v>
      </c>
      <c r="P110" s="135">
        <f t="shared" si="253"/>
        <v>4.3819999999999997</v>
      </c>
      <c r="Q110" s="135">
        <f t="shared" si="253"/>
        <v>4.6580000000000004</v>
      </c>
      <c r="R110" s="116">
        <f t="shared" si="253"/>
        <v>2.945999999999998</v>
      </c>
      <c r="S110" s="82">
        <f t="shared" si="253"/>
        <v>15.414999999999999</v>
      </c>
      <c r="T110" s="136">
        <f t="shared" ref="T110:Y110" si="254">+T15</f>
        <v>3.077</v>
      </c>
      <c r="U110" s="135">
        <f t="shared" si="254"/>
        <v>3.16</v>
      </c>
      <c r="V110" s="135">
        <f t="shared" si="254"/>
        <v>3.129</v>
      </c>
      <c r="W110" s="116">
        <f t="shared" si="254"/>
        <v>3.5250000000000004</v>
      </c>
      <c r="X110" s="82">
        <f t="shared" si="254"/>
        <v>12.891</v>
      </c>
      <c r="Y110" s="136">
        <f t="shared" si="254"/>
        <v>3.04</v>
      </c>
      <c r="Z110" s="135">
        <f t="shared" ref="Z110:AF110" si="255">+Z15</f>
        <v>3.21</v>
      </c>
      <c r="AA110" s="135">
        <f t="shared" si="255"/>
        <v>2.9660000000000002</v>
      </c>
      <c r="AB110" s="116">
        <f t="shared" si="255"/>
        <v>3.2039999999999988</v>
      </c>
      <c r="AC110" s="82">
        <f t="shared" si="255"/>
        <v>12.42</v>
      </c>
      <c r="AD110" s="136">
        <f t="shared" si="255"/>
        <v>3.0640000000000001</v>
      </c>
      <c r="AE110" s="135">
        <f t="shared" si="255"/>
        <v>2.8490000000000002</v>
      </c>
      <c r="AF110" s="135">
        <f t="shared" si="255"/>
        <v>3.4550000000000001</v>
      </c>
      <c r="AG110" s="116">
        <f t="shared" ref="AG110:AM110" si="256">+AG15</f>
        <v>2.9819999999999993</v>
      </c>
      <c r="AH110" s="82">
        <f t="shared" si="256"/>
        <v>12.35</v>
      </c>
      <c r="AI110" s="136">
        <f t="shared" si="256"/>
        <v>3.669</v>
      </c>
      <c r="AJ110" s="135">
        <f t="shared" si="256"/>
        <v>2.76</v>
      </c>
      <c r="AK110" s="135">
        <f t="shared" si="256"/>
        <v>3.726</v>
      </c>
      <c r="AL110" s="116">
        <f t="shared" si="256"/>
        <v>3.2099999999999991</v>
      </c>
      <c r="AM110" s="82">
        <f t="shared" si="256"/>
        <v>13.365</v>
      </c>
      <c r="AN110" s="136">
        <f t="shared" ref="AN110:AR110" si="257">+AN15</f>
        <v>3.3769999999999998</v>
      </c>
      <c r="AO110" s="135">
        <f t="shared" si="257"/>
        <v>3.2389999999999999</v>
      </c>
      <c r="AP110" s="135">
        <f t="shared" si="257"/>
        <v>5.6630000000000003</v>
      </c>
      <c r="AQ110" s="116">
        <f t="shared" si="257"/>
        <v>3.7489999999999988</v>
      </c>
      <c r="AR110" s="82">
        <f t="shared" si="257"/>
        <v>16.027999999999999</v>
      </c>
      <c r="AS110" s="136">
        <f t="shared" ref="AS110:AW110" si="258">+AS15</f>
        <v>3.875</v>
      </c>
      <c r="AT110" s="135">
        <f t="shared" si="258"/>
        <v>3.6909999999999998</v>
      </c>
      <c r="AU110" s="135">
        <f t="shared" si="258"/>
        <v>4.2359999999999998</v>
      </c>
      <c r="AV110" s="116">
        <f t="shared" si="258"/>
        <v>3.7230000000000008</v>
      </c>
      <c r="AW110" s="82">
        <f t="shared" si="258"/>
        <v>15.525</v>
      </c>
      <c r="AX110" s="136">
        <f>AS110*(1+AX111)</f>
        <v>4.0687500000000005</v>
      </c>
      <c r="AY110" s="135">
        <f>AT110*(1+AY111)</f>
        <v>3.8755500000000001</v>
      </c>
      <c r="AZ110" s="135">
        <f>AU110*(1+AZ111)</f>
        <v>4.4478</v>
      </c>
      <c r="BA110" s="116">
        <f>AV110*(1+BA111)</f>
        <v>3.9091500000000008</v>
      </c>
      <c r="BB110" s="82">
        <f>+SUM(AX110:BA110)</f>
        <v>16.30125</v>
      </c>
      <c r="BC110" s="136">
        <f>AX110*(1+BC111)</f>
        <v>4.2721875000000011</v>
      </c>
      <c r="BD110" s="135">
        <f>AY110*(1+BD111)</f>
        <v>4.0693275</v>
      </c>
      <c r="BE110" s="135">
        <f>AZ110*(1+BE111)</f>
        <v>4.6701899999999998</v>
      </c>
      <c r="BF110" s="116">
        <f>BA110*(1+BF111)</f>
        <v>4.1046075000000011</v>
      </c>
      <c r="BG110" s="82">
        <f>+SUM(BC110:BF110)</f>
        <v>17.116312500000003</v>
      </c>
      <c r="BH110" s="136">
        <f>BC110*(1+BH111)</f>
        <v>4.485796875000001</v>
      </c>
      <c r="BI110" s="135">
        <f>BD110*(1+BI111)</f>
        <v>4.2727938750000005</v>
      </c>
      <c r="BJ110" s="135">
        <f>BE110*(1+BJ111)</f>
        <v>4.9036995000000001</v>
      </c>
      <c r="BK110" s="116">
        <f>BF110*(1+BK111)</f>
        <v>4.3098378750000013</v>
      </c>
      <c r="BL110" s="82">
        <f>+SUM(BH110:BK110)</f>
        <v>17.972128125000005</v>
      </c>
      <c r="BM110" s="136">
        <f>BH110*(1+BM111)</f>
        <v>4.7100867187500013</v>
      </c>
      <c r="BN110" s="135">
        <f>BI110*(1+BN111)</f>
        <v>4.4864335687500008</v>
      </c>
      <c r="BO110" s="135">
        <f>BJ110*(1+BO111)</f>
        <v>5.148884475</v>
      </c>
      <c r="BP110" s="116">
        <f>BK110*(1+BP111)</f>
        <v>4.5253297687500016</v>
      </c>
      <c r="BQ110" s="82">
        <f>+SUM(BM110:BP110)</f>
        <v>18.870734531250005</v>
      </c>
      <c r="BR110" s="220"/>
      <c r="BS110" s="220"/>
      <c r="BT110" s="220"/>
      <c r="BU110" s="220"/>
      <c r="BV110" s="220"/>
      <c r="BW110" s="220"/>
      <c r="BX110" s="220"/>
      <c r="BY110" s="220"/>
      <c r="BZ110" s="220"/>
      <c r="CA110" s="220"/>
      <c r="CB110" s="220"/>
      <c r="CC110" s="220"/>
      <c r="CD110" s="220"/>
      <c r="CE110" s="220"/>
      <c r="CF110" s="220"/>
      <c r="CG110" s="220"/>
      <c r="CH110" s="220"/>
      <c r="CI110" s="220"/>
      <c r="CJ110" s="220"/>
      <c r="CK110" s="220"/>
      <c r="CL110" s="220"/>
      <c r="CM110" s="220"/>
      <c r="CN110" s="220"/>
      <c r="CO110" s="220"/>
      <c r="CP110" s="220"/>
      <c r="CQ110" s="220"/>
      <c r="CR110" s="220"/>
      <c r="CS110" s="220"/>
      <c r="CT110" s="220"/>
      <c r="CU110" s="220"/>
      <c r="CV110" s="220"/>
      <c r="CW110" s="220"/>
      <c r="CX110" s="220"/>
      <c r="CY110" s="220"/>
      <c r="CZ110" s="220"/>
    </row>
    <row r="111" spans="1:104" x14ac:dyDescent="0.2">
      <c r="A111" s="45"/>
      <c r="B111" s="45"/>
      <c r="C111" s="338" t="s">
        <v>287</v>
      </c>
      <c r="D111" s="45"/>
      <c r="E111" s="339"/>
      <c r="F111" s="340"/>
      <c r="G111" s="340"/>
      <c r="H111" s="341"/>
      <c r="I111" s="252"/>
      <c r="J111" s="249">
        <f t="shared" ref="J111:P111" si="259">+J110/E110-1</f>
        <v>0.44041450777202074</v>
      </c>
      <c r="K111" s="250">
        <f t="shared" si="259"/>
        <v>0.16253338420450225</v>
      </c>
      <c r="L111" s="250">
        <f t="shared" si="259"/>
        <v>0.26936026936026924</v>
      </c>
      <c r="M111" s="251">
        <f t="shared" si="259"/>
        <v>4.1824000000000012</v>
      </c>
      <c r="N111" s="252">
        <f t="shared" si="259"/>
        <v>0.59903713892709765</v>
      </c>
      <c r="O111" s="249">
        <f t="shared" si="259"/>
        <v>0.76207605344295981</v>
      </c>
      <c r="P111" s="250">
        <f t="shared" si="259"/>
        <v>0.43813587134886767</v>
      </c>
      <c r="Q111" s="250">
        <f t="shared" ref="Q111:V111" si="260">+Q110/L110-1</f>
        <v>0.37282640730916605</v>
      </c>
      <c r="R111" s="251">
        <f t="shared" si="260"/>
        <v>-9.0460018524236685E-2</v>
      </c>
      <c r="S111" s="252">
        <f t="shared" si="260"/>
        <v>0.326021505376344</v>
      </c>
      <c r="T111" s="249">
        <f t="shared" si="260"/>
        <v>-0.10265383493729952</v>
      </c>
      <c r="U111" s="250">
        <f t="shared" si="260"/>
        <v>-0.27886809675947044</v>
      </c>
      <c r="V111" s="250">
        <f t="shared" si="260"/>
        <v>-0.32825246887075998</v>
      </c>
      <c r="W111" s="251">
        <f t="shared" ref="W111:AF111" si="261">+W110/R110-1</f>
        <v>0.19653767820774015</v>
      </c>
      <c r="X111" s="252">
        <f t="shared" si="261"/>
        <v>-0.163736620175154</v>
      </c>
      <c r="Y111" s="249">
        <f t="shared" si="261"/>
        <v>-1.202469938251538E-2</v>
      </c>
      <c r="Z111" s="250">
        <f t="shared" si="261"/>
        <v>1.5822784810126445E-2</v>
      </c>
      <c r="AA111" s="250">
        <f t="shared" si="261"/>
        <v>-5.2093320549696287E-2</v>
      </c>
      <c r="AB111" s="251">
        <f t="shared" si="261"/>
        <v>-9.1063829787234485E-2</v>
      </c>
      <c r="AC111" s="252">
        <f t="shared" si="261"/>
        <v>-3.6537118920176859E-2</v>
      </c>
      <c r="AD111" s="249">
        <f t="shared" si="261"/>
        <v>7.8947368421051767E-3</v>
      </c>
      <c r="AE111" s="250">
        <f t="shared" si="261"/>
        <v>-0.11246105919003113</v>
      </c>
      <c r="AF111" s="250">
        <f t="shared" si="261"/>
        <v>0.16486850977747802</v>
      </c>
      <c r="AG111" s="251">
        <f t="shared" ref="AG111:AP111" si="262">+AG110/AB110-1</f>
        <v>-6.928838951310845E-2</v>
      </c>
      <c r="AH111" s="252">
        <f t="shared" si="262"/>
        <v>-5.6360708534621828E-3</v>
      </c>
      <c r="AI111" s="249">
        <f t="shared" si="262"/>
        <v>0.19745430809399478</v>
      </c>
      <c r="AJ111" s="250">
        <f t="shared" si="262"/>
        <v>-3.1239031239031378E-2</v>
      </c>
      <c r="AK111" s="250">
        <f t="shared" si="262"/>
        <v>7.8437047756874101E-2</v>
      </c>
      <c r="AL111" s="251">
        <f t="shared" si="262"/>
        <v>7.6458752515090378E-2</v>
      </c>
      <c r="AM111" s="252">
        <f t="shared" si="262"/>
        <v>8.218623481781373E-2</v>
      </c>
      <c r="AN111" s="249">
        <f t="shared" si="262"/>
        <v>-7.9585718179340459E-2</v>
      </c>
      <c r="AO111" s="250">
        <f t="shared" si="262"/>
        <v>0.17355072463768129</v>
      </c>
      <c r="AP111" s="250">
        <f t="shared" si="262"/>
        <v>0.51986044015029531</v>
      </c>
      <c r="AQ111" s="251">
        <f>+AQ110/AL110-1</f>
        <v>0.16791277258566972</v>
      </c>
      <c r="AR111" s="252">
        <f>+AR110/AM110-1</f>
        <v>0.19925177702955477</v>
      </c>
      <c r="AS111" s="249">
        <f t="shared" ref="AS111" si="263">+AS110/AN110-1</f>
        <v>0.14746816701214094</v>
      </c>
      <c r="AT111" s="250">
        <f t="shared" ref="AT111" si="264">+AT110/AO110-1</f>
        <v>0.1395492435937018</v>
      </c>
      <c r="AU111" s="250">
        <f t="shared" ref="AU111" si="265">+AU110/AP110-1</f>
        <v>-0.25198657955147452</v>
      </c>
      <c r="AV111" s="251">
        <f>+AV110/AQ110-1</f>
        <v>-6.9351827153902867E-3</v>
      </c>
      <c r="AW111" s="252">
        <f>+AW110/AR110-1</f>
        <v>-3.1382580484152656E-2</v>
      </c>
      <c r="AX111" s="249">
        <f>+AX60</f>
        <v>0.05</v>
      </c>
      <c r="AY111" s="250">
        <f>+AY60</f>
        <v>0.05</v>
      </c>
      <c r="AZ111" s="250">
        <f>+AZ60</f>
        <v>0.05</v>
      </c>
      <c r="BA111" s="251">
        <f>+BA60</f>
        <v>0.05</v>
      </c>
      <c r="BB111" s="252">
        <f>+BB110/AW110-1</f>
        <v>5.0000000000000044E-2</v>
      </c>
      <c r="BC111" s="249">
        <f>+BC60</f>
        <v>0.05</v>
      </c>
      <c r="BD111" s="250">
        <f>+BD60</f>
        <v>0.05</v>
      </c>
      <c r="BE111" s="250">
        <f>+BE60</f>
        <v>0.05</v>
      </c>
      <c r="BF111" s="251">
        <f>+BF60</f>
        <v>0.05</v>
      </c>
      <c r="BG111" s="252">
        <f>+BG110/BB110-1</f>
        <v>5.0000000000000266E-2</v>
      </c>
      <c r="BH111" s="249">
        <f>+BH60</f>
        <v>0.05</v>
      </c>
      <c r="BI111" s="250">
        <f>+BI60</f>
        <v>0.05</v>
      </c>
      <c r="BJ111" s="250">
        <f>+BJ60</f>
        <v>0.05</v>
      </c>
      <c r="BK111" s="251">
        <f>+BK60</f>
        <v>0.05</v>
      </c>
      <c r="BL111" s="252">
        <f>+BL110/BG110-1</f>
        <v>5.0000000000000044E-2</v>
      </c>
      <c r="BM111" s="249">
        <f>+BM60</f>
        <v>0.05</v>
      </c>
      <c r="BN111" s="250">
        <f>+BN60</f>
        <v>0.05</v>
      </c>
      <c r="BO111" s="250">
        <f>+BO60</f>
        <v>0.05</v>
      </c>
      <c r="BP111" s="251">
        <f>+BP60</f>
        <v>0.05</v>
      </c>
      <c r="BQ111" s="252">
        <f>+BQ110/BL110-1</f>
        <v>5.0000000000000044E-2</v>
      </c>
      <c r="BR111" s="45"/>
      <c r="BS111" s="45"/>
      <c r="BT111" s="45"/>
      <c r="BU111" s="45"/>
      <c r="BV111" s="45"/>
      <c r="BW111" s="45"/>
      <c r="BX111" s="45"/>
      <c r="BY111" s="45"/>
      <c r="BZ111" s="45"/>
      <c r="CA111" s="45"/>
      <c r="CB111" s="45"/>
      <c r="CC111" s="45"/>
      <c r="CD111" s="45"/>
      <c r="CE111" s="45"/>
      <c r="CF111" s="45"/>
      <c r="CG111" s="45"/>
      <c r="CH111" s="45"/>
      <c r="CI111" s="45"/>
      <c r="CJ111" s="45"/>
      <c r="CK111" s="45"/>
      <c r="CL111" s="45"/>
      <c r="CM111" s="45"/>
      <c r="CN111" s="45"/>
      <c r="CO111" s="45"/>
      <c r="CP111" s="45"/>
      <c r="CQ111" s="45"/>
      <c r="CR111" s="45"/>
      <c r="CS111" s="45"/>
      <c r="CT111" s="45"/>
      <c r="CU111" s="45"/>
      <c r="CV111" s="45"/>
      <c r="CW111" s="45"/>
      <c r="CX111" s="45"/>
      <c r="CY111" s="45"/>
      <c r="CZ111" s="45"/>
    </row>
    <row r="112" spans="1:104" x14ac:dyDescent="0.2">
      <c r="A112" s="20"/>
      <c r="B112" s="20"/>
      <c r="C112" s="20"/>
      <c r="D112" s="20"/>
      <c r="E112" s="203"/>
      <c r="F112" s="204"/>
      <c r="G112" s="204"/>
      <c r="H112" s="205"/>
      <c r="I112" s="206"/>
      <c r="J112" s="203"/>
      <c r="K112" s="204"/>
      <c r="L112" s="204"/>
      <c r="M112" s="205"/>
      <c r="N112" s="206"/>
      <c r="O112" s="203"/>
      <c r="P112" s="204"/>
      <c r="Q112" s="204"/>
      <c r="R112" s="205"/>
      <c r="S112" s="206"/>
      <c r="T112" s="203"/>
      <c r="U112" s="204"/>
      <c r="V112" s="204"/>
      <c r="W112" s="205"/>
      <c r="X112" s="206"/>
      <c r="Y112" s="203"/>
      <c r="Z112" s="204"/>
      <c r="AA112" s="204"/>
      <c r="AB112" s="205"/>
      <c r="AC112" s="206"/>
      <c r="AD112" s="203"/>
      <c r="AE112" s="204"/>
      <c r="AF112" s="204"/>
      <c r="AG112" s="205"/>
      <c r="AH112" s="206"/>
      <c r="AI112" s="203"/>
      <c r="AJ112" s="204"/>
      <c r="AK112" s="204"/>
      <c r="AL112" s="205"/>
      <c r="AM112" s="206"/>
      <c r="AN112" s="203"/>
      <c r="AO112" s="204"/>
      <c r="AP112" s="204"/>
      <c r="AQ112" s="205"/>
      <c r="AR112" s="206"/>
      <c r="AS112" s="203"/>
      <c r="AT112" s="204"/>
      <c r="AU112" s="204"/>
      <c r="AV112" s="205"/>
      <c r="AW112" s="206"/>
      <c r="AX112" s="203"/>
      <c r="AY112" s="204"/>
      <c r="AZ112" s="204"/>
      <c r="BA112" s="205"/>
      <c r="BB112" s="206"/>
      <c r="BC112" s="203"/>
      <c r="BD112" s="204"/>
      <c r="BE112" s="204"/>
      <c r="BF112" s="205"/>
      <c r="BG112" s="206"/>
      <c r="BH112" s="203"/>
      <c r="BI112" s="204"/>
      <c r="BJ112" s="204"/>
      <c r="BK112" s="205"/>
      <c r="BL112" s="206"/>
      <c r="BM112" s="203"/>
      <c r="BN112" s="204"/>
      <c r="BO112" s="204"/>
      <c r="BP112" s="205"/>
      <c r="BQ112" s="206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  <c r="CT112" s="20"/>
      <c r="CU112" s="20"/>
      <c r="CV112" s="20"/>
      <c r="CW112" s="20"/>
      <c r="CX112" s="20"/>
      <c r="CY112" s="20"/>
      <c r="CZ112" s="20"/>
    </row>
    <row r="113" spans="1:104" x14ac:dyDescent="0.2">
      <c r="A113" s="20"/>
      <c r="B113" s="20"/>
      <c r="C113" s="20"/>
      <c r="D113" s="20"/>
      <c r="E113" s="203"/>
      <c r="F113" s="204"/>
      <c r="G113" s="204"/>
      <c r="H113" s="205"/>
      <c r="I113" s="206"/>
      <c r="J113" s="203"/>
      <c r="K113" s="204"/>
      <c r="L113" s="204"/>
      <c r="M113" s="205"/>
      <c r="N113" s="206"/>
      <c r="O113" s="203"/>
      <c r="P113" s="204"/>
      <c r="Q113" s="204"/>
      <c r="R113" s="205"/>
      <c r="S113" s="206"/>
      <c r="T113" s="203"/>
      <c r="U113" s="204"/>
      <c r="V113" s="204"/>
      <c r="W113" s="205"/>
      <c r="X113" s="206"/>
      <c r="Y113" s="203"/>
      <c r="Z113" s="204"/>
      <c r="AA113" s="204"/>
      <c r="AB113" s="205"/>
      <c r="AC113" s="206"/>
      <c r="AD113" s="203"/>
      <c r="AE113" s="204"/>
      <c r="AF113" s="204"/>
      <c r="AG113" s="205"/>
      <c r="AH113" s="206"/>
      <c r="AI113" s="203"/>
      <c r="AJ113" s="204"/>
      <c r="AK113" s="204"/>
      <c r="AL113" s="205"/>
      <c r="AM113" s="206"/>
      <c r="AN113" s="203"/>
      <c r="AO113" s="204"/>
      <c r="AP113" s="204"/>
      <c r="AQ113" s="205"/>
      <c r="AR113" s="206"/>
      <c r="AS113" s="203"/>
      <c r="AT113" s="204"/>
      <c r="AU113" s="204"/>
      <c r="AV113" s="205"/>
      <c r="AW113" s="206"/>
      <c r="AX113" s="203"/>
      <c r="AY113" s="204"/>
      <c r="AZ113" s="204"/>
      <c r="BA113" s="205"/>
      <c r="BB113" s="206"/>
      <c r="BC113" s="203"/>
      <c r="BD113" s="204"/>
      <c r="BE113" s="204"/>
      <c r="BF113" s="205"/>
      <c r="BG113" s="206"/>
      <c r="BH113" s="203"/>
      <c r="BI113" s="204"/>
      <c r="BJ113" s="204"/>
      <c r="BK113" s="205"/>
      <c r="BL113" s="206"/>
      <c r="BM113" s="203"/>
      <c r="BN113" s="204"/>
      <c r="BO113" s="204"/>
      <c r="BP113" s="205"/>
      <c r="BQ113" s="206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</row>
    <row r="114" spans="1:104" x14ac:dyDescent="0.2">
      <c r="A114" s="20"/>
      <c r="B114" s="16" t="s">
        <v>288</v>
      </c>
      <c r="C114" s="16"/>
      <c r="D114" s="17"/>
      <c r="E114" s="203"/>
      <c r="F114" s="204"/>
      <c r="G114" s="204"/>
      <c r="H114" s="205"/>
      <c r="I114" s="206"/>
      <c r="J114" s="203"/>
      <c r="K114" s="204"/>
      <c r="L114" s="204"/>
      <c r="M114" s="205"/>
      <c r="N114" s="206"/>
      <c r="O114" s="203"/>
      <c r="P114" s="204"/>
      <c r="Q114" s="204"/>
      <c r="R114" s="205"/>
      <c r="S114" s="206"/>
      <c r="T114" s="203"/>
      <c r="U114" s="204"/>
      <c r="V114" s="204"/>
      <c r="W114" s="205"/>
      <c r="X114" s="206"/>
      <c r="Y114" s="203"/>
      <c r="Z114" s="204"/>
      <c r="AA114" s="204"/>
      <c r="AB114" s="205"/>
      <c r="AC114" s="206"/>
      <c r="AD114" s="203"/>
      <c r="AE114" s="204"/>
      <c r="AF114" s="204"/>
      <c r="AG114" s="205"/>
      <c r="AH114" s="206"/>
      <c r="AI114" s="203"/>
      <c r="AJ114" s="204"/>
      <c r="AK114" s="204"/>
      <c r="AL114" s="205"/>
      <c r="AM114" s="206"/>
      <c r="AN114" s="203"/>
      <c r="AO114" s="204"/>
      <c r="AP114" s="204"/>
      <c r="AQ114" s="205"/>
      <c r="AR114" s="206"/>
      <c r="AS114" s="203"/>
      <c r="AT114" s="204"/>
      <c r="AU114" s="204"/>
      <c r="AV114" s="205"/>
      <c r="AW114" s="206"/>
      <c r="AX114" s="203"/>
      <c r="AY114" s="204"/>
      <c r="AZ114" s="204"/>
      <c r="BA114" s="205"/>
      <c r="BB114" s="206"/>
      <c r="BC114" s="203"/>
      <c r="BD114" s="204"/>
      <c r="BE114" s="204"/>
      <c r="BF114" s="205"/>
      <c r="BG114" s="206"/>
      <c r="BH114" s="203"/>
      <c r="BI114" s="204"/>
      <c r="BJ114" s="204"/>
      <c r="BK114" s="205"/>
      <c r="BL114" s="206"/>
      <c r="BM114" s="203"/>
      <c r="BN114" s="204"/>
      <c r="BO114" s="204"/>
      <c r="BP114" s="205"/>
      <c r="BQ114" s="206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  <c r="CT114" s="20"/>
      <c r="CU114" s="20"/>
      <c r="CV114" s="20"/>
      <c r="CW114" s="20"/>
      <c r="CX114" s="20"/>
      <c r="CY114" s="20"/>
      <c r="CZ114" s="20"/>
    </row>
    <row r="115" spans="1:104" x14ac:dyDescent="0.2">
      <c r="A115" s="20"/>
      <c r="B115" s="20"/>
      <c r="C115" s="20"/>
      <c r="D115" s="20"/>
      <c r="E115" s="203"/>
      <c r="F115" s="204"/>
      <c r="G115" s="204"/>
      <c r="H115" s="205"/>
      <c r="I115" s="206"/>
      <c r="J115" s="203"/>
      <c r="K115" s="204"/>
      <c r="L115" s="204"/>
      <c r="M115" s="205"/>
      <c r="N115" s="206"/>
      <c r="O115" s="203"/>
      <c r="P115" s="204"/>
      <c r="Q115" s="204"/>
      <c r="R115" s="205"/>
      <c r="S115" s="206"/>
      <c r="T115" s="203"/>
      <c r="U115" s="204"/>
      <c r="V115" s="204"/>
      <c r="W115" s="205"/>
      <c r="X115" s="206"/>
      <c r="Y115" s="203"/>
      <c r="Z115" s="204"/>
      <c r="AA115" s="204"/>
      <c r="AB115" s="205"/>
      <c r="AC115" s="206"/>
      <c r="AD115" s="203"/>
      <c r="AE115" s="204"/>
      <c r="AF115" s="204"/>
      <c r="AG115" s="205"/>
      <c r="AH115" s="206"/>
      <c r="AI115" s="203"/>
      <c r="AJ115" s="204"/>
      <c r="AK115" s="204"/>
      <c r="AL115" s="205"/>
      <c r="AM115" s="206"/>
      <c r="AN115" s="203"/>
      <c r="AO115" s="204"/>
      <c r="AP115" s="204"/>
      <c r="AQ115" s="205"/>
      <c r="AR115" s="206"/>
      <c r="AS115" s="203"/>
      <c r="AT115" s="204"/>
      <c r="AU115" s="204"/>
      <c r="AV115" s="205"/>
      <c r="AW115" s="206"/>
      <c r="AX115" s="203"/>
      <c r="AY115" s="204"/>
      <c r="AZ115" s="204"/>
      <c r="BA115" s="205"/>
      <c r="BB115" s="206"/>
      <c r="BC115" s="203"/>
      <c r="BD115" s="204"/>
      <c r="BE115" s="204"/>
      <c r="BF115" s="205"/>
      <c r="BG115" s="206"/>
      <c r="BH115" s="203"/>
      <c r="BI115" s="204"/>
      <c r="BJ115" s="204"/>
      <c r="BK115" s="205"/>
      <c r="BL115" s="206"/>
      <c r="BM115" s="203"/>
      <c r="BN115" s="204"/>
      <c r="BO115" s="204"/>
      <c r="BP115" s="205"/>
      <c r="BQ115" s="206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</row>
    <row r="116" spans="1:104" x14ac:dyDescent="0.2">
      <c r="A116" s="85"/>
      <c r="B116" s="85"/>
      <c r="C116" s="289" t="s">
        <v>289</v>
      </c>
      <c r="D116" s="86"/>
      <c r="E116" s="114">
        <v>3629.7280000000001</v>
      </c>
      <c r="F116" s="115">
        <v>3701.2420000000002</v>
      </c>
      <c r="G116" s="115">
        <v>3712.9340000000002</v>
      </c>
      <c r="H116" s="116">
        <f>I116</f>
        <v>3777.623</v>
      </c>
      <c r="I116" s="117">
        <v>3777.623</v>
      </c>
      <c r="J116" s="114">
        <v>3807.8679999999999</v>
      </c>
      <c r="K116" s="115">
        <v>3843.232</v>
      </c>
      <c r="L116" s="115">
        <v>3881.2730000000001</v>
      </c>
      <c r="M116" s="116">
        <f>N116</f>
        <v>3826.2020000000002</v>
      </c>
      <c r="N116" s="117">
        <v>3826.2020000000002</v>
      </c>
      <c r="O116" s="114">
        <v>3872.5410000000002</v>
      </c>
      <c r="P116" s="115">
        <v>4028.0729999999999</v>
      </c>
      <c r="Q116" s="115">
        <v>4092.7820000000002</v>
      </c>
      <c r="R116" s="119">
        <f>S116</f>
        <v>4142.3890000000001</v>
      </c>
      <c r="S116" s="117">
        <v>4142.3890000000001</v>
      </c>
      <c r="T116" s="114">
        <v>4188.0339999999997</v>
      </c>
      <c r="U116" s="115">
        <v>4304.4610000000002</v>
      </c>
      <c r="V116" s="115">
        <v>4344.8490000000002</v>
      </c>
      <c r="W116" s="119">
        <f>X116</f>
        <v>4379.2079999999996</v>
      </c>
      <c r="X116" s="117">
        <v>4379.2079999999996</v>
      </c>
      <c r="Y116" s="114">
        <v>4428.8019999999997</v>
      </c>
      <c r="Z116" s="115">
        <v>4631.7219999999998</v>
      </c>
      <c r="AA116" s="115">
        <v>4660.4179999999997</v>
      </c>
      <c r="AB116" s="119">
        <f>AC116</f>
        <v>4714.3980000000001</v>
      </c>
      <c r="AC116" s="117">
        <v>4714.3980000000001</v>
      </c>
      <c r="AD116" s="114">
        <v>4789.9750000000004</v>
      </c>
      <c r="AE116" s="115">
        <v>4991.826</v>
      </c>
      <c r="AF116" s="115">
        <v>5200.1869999999999</v>
      </c>
      <c r="AG116" s="119">
        <f>AH116</f>
        <v>5376.6059999999998</v>
      </c>
      <c r="AH116" s="117">
        <v>5376.6059999999998</v>
      </c>
      <c r="AI116" s="114">
        <v>5480.75</v>
      </c>
      <c r="AJ116" s="115">
        <v>5580.2250000000004</v>
      </c>
      <c r="AK116" s="115">
        <v>5673.759</v>
      </c>
      <c r="AL116" s="119">
        <f>AM116</f>
        <v>5933.7640000000001</v>
      </c>
      <c r="AM116" s="117">
        <v>5933.7640000000001</v>
      </c>
      <c r="AN116" s="114">
        <v>5989.8620000000001</v>
      </c>
      <c r="AO116" s="115">
        <v>6119.7129999999997</v>
      </c>
      <c r="AP116" s="115">
        <v>6191.5619999999999</v>
      </c>
      <c r="AQ116" s="119">
        <f>AR116</f>
        <v>6362.1890000000003</v>
      </c>
      <c r="AR116" s="117">
        <v>6362.1890000000003</v>
      </c>
      <c r="AS116" s="114">
        <v>6447.85</v>
      </c>
      <c r="AT116" s="115">
        <v>6624.1890000000003</v>
      </c>
      <c r="AU116" s="115">
        <v>6653.2280000000001</v>
      </c>
      <c r="AV116" s="119">
        <f>AW116</f>
        <v>6765.3710000000001</v>
      </c>
      <c r="AW116" s="117">
        <v>6765.3710000000001</v>
      </c>
      <c r="AX116" s="136">
        <f>AW116+AX133-(AX120-AW120)</f>
        <v>6731.1762778348357</v>
      </c>
      <c r="AY116" s="135">
        <f>AX116+AY133-(AY120-AX120)</f>
        <v>6986.1762778348357</v>
      </c>
      <c r="AZ116" s="135">
        <f>AY116+AZ133-(AZ120-AY120)</f>
        <v>7241.1762778348357</v>
      </c>
      <c r="BA116" s="116">
        <f>AZ116+BA133-(BA120-AZ120)</f>
        <v>7496.1762778348357</v>
      </c>
      <c r="BB116" s="82">
        <f>+BA116</f>
        <v>7496.1762778348357</v>
      </c>
      <c r="BC116" s="136">
        <f>BB116+BC133-(BC120-BB120)</f>
        <v>7705.7563105212867</v>
      </c>
      <c r="BD116" s="135">
        <f>BC116+BD133-(BD120-BC120)</f>
        <v>7990.7563105212867</v>
      </c>
      <c r="BE116" s="135">
        <f>BD116+BE133-(BE120-BD120)</f>
        <v>8275.7563105212867</v>
      </c>
      <c r="BF116" s="116">
        <f>BE116+BF133-(BF120-BE120)</f>
        <v>8560.7563105212867</v>
      </c>
      <c r="BG116" s="82">
        <f>+BF116</f>
        <v>8560.7563105212867</v>
      </c>
      <c r="BH116" s="136">
        <f>BG116+BH133-(BH120-BG120)</f>
        <v>9008.5111933948356</v>
      </c>
      <c r="BI116" s="135">
        <f>BH116+BI133-(BI120-BH120)</f>
        <v>9186.0111933948356</v>
      </c>
      <c r="BJ116" s="135">
        <f>BI116+BJ133-(BJ120-BI120)</f>
        <v>9363.5111933948356</v>
      </c>
      <c r="BK116" s="116">
        <f>BJ116+BK133-(BK120-BJ120)</f>
        <v>9541.0111933948356</v>
      </c>
      <c r="BL116" s="82">
        <f>+BK116</f>
        <v>9541.0111933948356</v>
      </c>
      <c r="BM116" s="136">
        <f>BL116+BM133-(BM120-BL120)</f>
        <v>9809.3511280219336</v>
      </c>
      <c r="BN116" s="135">
        <f>BM116+BN133-(BN120-BM120)</f>
        <v>9926.8511280219336</v>
      </c>
      <c r="BO116" s="135">
        <f>BN116+BO133-(BO120-BN120)</f>
        <v>10044.351128021934</v>
      </c>
      <c r="BP116" s="116">
        <f>BO116+BP133-(BP120-BO120)</f>
        <v>10161.851128021934</v>
      </c>
      <c r="BQ116" s="82">
        <f>+BP116</f>
        <v>10161.851128021934</v>
      </c>
      <c r="BR116" s="220"/>
      <c r="BS116" s="220"/>
      <c r="BT116" s="220"/>
      <c r="BU116" s="220"/>
      <c r="BV116" s="220"/>
      <c r="BW116" s="220"/>
      <c r="BX116" s="220"/>
      <c r="BY116" s="220"/>
      <c r="BZ116" s="220"/>
      <c r="CA116" s="220"/>
      <c r="CB116" s="220"/>
      <c r="CC116" s="220"/>
      <c r="CD116" s="220"/>
      <c r="CE116" s="220"/>
      <c r="CF116" s="220"/>
      <c r="CG116" s="220"/>
      <c r="CH116" s="220"/>
      <c r="CI116" s="220"/>
      <c r="CJ116" s="220"/>
      <c r="CK116" s="220"/>
      <c r="CL116" s="220"/>
      <c r="CM116" s="220"/>
      <c r="CN116" s="220"/>
      <c r="CO116" s="220"/>
      <c r="CP116" s="220"/>
      <c r="CQ116" s="220"/>
      <c r="CR116" s="220"/>
      <c r="CS116" s="220"/>
      <c r="CT116" s="220"/>
      <c r="CU116" s="220"/>
      <c r="CV116" s="220"/>
      <c r="CW116" s="220"/>
      <c r="CX116" s="220"/>
      <c r="CY116" s="220"/>
      <c r="CZ116" s="220"/>
    </row>
    <row r="117" spans="1:104" x14ac:dyDescent="0.2">
      <c r="A117" s="220"/>
      <c r="B117" s="220"/>
      <c r="C117" s="289" t="s">
        <v>203</v>
      </c>
      <c r="D117" s="82"/>
      <c r="E117" s="114">
        <v>1575.741</v>
      </c>
      <c r="F117" s="115">
        <v>1594.4739999999999</v>
      </c>
      <c r="G117" s="115">
        <v>1598.5419999999999</v>
      </c>
      <c r="H117" s="119">
        <f>I117</f>
        <v>1612.2909999999999</v>
      </c>
      <c r="I117" s="117">
        <v>1612.2909999999999</v>
      </c>
      <c r="J117" s="114">
        <v>1632.806</v>
      </c>
      <c r="K117" s="115">
        <v>1651.8</v>
      </c>
      <c r="L117" s="115">
        <v>1670.396</v>
      </c>
      <c r="M117" s="119">
        <f>N117</f>
        <v>1645.961</v>
      </c>
      <c r="N117" s="117">
        <v>1645.961</v>
      </c>
      <c r="O117" s="114">
        <v>1661.2639999999999</v>
      </c>
      <c r="P117" s="115">
        <v>1672.7380000000001</v>
      </c>
      <c r="Q117" s="115">
        <v>2532.4540000000002</v>
      </c>
      <c r="R117" s="119">
        <f>S117</f>
        <v>1701.329</v>
      </c>
      <c r="S117" s="117">
        <v>1701.329</v>
      </c>
      <c r="T117" s="114">
        <v>1721.452</v>
      </c>
      <c r="U117" s="115">
        <v>1738.17</v>
      </c>
      <c r="V117" s="115">
        <v>1758.904</v>
      </c>
      <c r="W117" s="119">
        <f>X117</f>
        <v>1754.588</v>
      </c>
      <c r="X117" s="117">
        <v>1754.588</v>
      </c>
      <c r="Y117" s="114">
        <v>1773.702</v>
      </c>
      <c r="Z117" s="115">
        <v>1795.0540000000001</v>
      </c>
      <c r="AA117" s="115">
        <v>1806.222</v>
      </c>
      <c r="AB117" s="119">
        <f>AC117</f>
        <v>1818.691</v>
      </c>
      <c r="AC117" s="117">
        <v>1818.691</v>
      </c>
      <c r="AD117" s="114">
        <v>1840.452</v>
      </c>
      <c r="AE117" s="115">
        <v>1824.578</v>
      </c>
      <c r="AF117" s="115">
        <v>1848.8910000000001</v>
      </c>
      <c r="AG117" s="119">
        <f>AH117</f>
        <v>1871.9839999999999</v>
      </c>
      <c r="AH117" s="117">
        <v>1871.9839999999999</v>
      </c>
      <c r="AI117" s="114">
        <v>1898.627</v>
      </c>
      <c r="AJ117" s="115">
        <v>1922.951</v>
      </c>
      <c r="AK117" s="115">
        <v>1951.029</v>
      </c>
      <c r="AL117" s="119">
        <f>AM117</f>
        <v>1821.6379999999999</v>
      </c>
      <c r="AM117" s="117">
        <v>1821.6379999999999</v>
      </c>
      <c r="AN117" s="114">
        <v>1855.1379999999999</v>
      </c>
      <c r="AO117" s="115">
        <v>1877.0150000000001</v>
      </c>
      <c r="AP117" s="115">
        <v>1906.3679999999999</v>
      </c>
      <c r="AQ117" s="119">
        <f>AR117</f>
        <v>1926.6969999999999</v>
      </c>
      <c r="AR117" s="117">
        <v>1926.6969999999999</v>
      </c>
      <c r="AS117" s="114">
        <v>1973.29</v>
      </c>
      <c r="AT117" s="115">
        <v>1985.2149999999999</v>
      </c>
      <c r="AU117" s="115">
        <v>2018.559</v>
      </c>
      <c r="AV117" s="119">
        <f>AW117</f>
        <v>2021.6369999999999</v>
      </c>
      <c r="AW117" s="117">
        <v>2021.6369999999999</v>
      </c>
      <c r="AX117" s="136">
        <f>AW117+AX122</f>
        <v>2075.0040074999997</v>
      </c>
      <c r="AY117" s="135">
        <f>AX117+AY122</f>
        <v>2127.3859455412667</v>
      </c>
      <c r="AZ117" s="135">
        <f>AY117+AZ122</f>
        <v>2182.0473367795694</v>
      </c>
      <c r="BA117" s="116">
        <f>AZ117+BA122</f>
        <v>2238.9625373664412</v>
      </c>
      <c r="BB117" s="82">
        <f>+BA117</f>
        <v>2238.9625373664412</v>
      </c>
      <c r="BC117" s="136">
        <f>BB117+BC122</f>
        <v>2296.0834638449564</v>
      </c>
      <c r="BD117" s="135">
        <f>BC117+BD122</f>
        <v>2354.8608961888594</v>
      </c>
      <c r="BE117" s="135">
        <f>BD117+BE122</f>
        <v>2416.0962926355714</v>
      </c>
      <c r="BF117" s="116">
        <f>BE117+BF122</f>
        <v>2479.7629467976908</v>
      </c>
      <c r="BG117" s="82">
        <f>+BF117</f>
        <v>2479.7629467976908</v>
      </c>
      <c r="BH117" s="136">
        <f>BG117+BH122</f>
        <v>2545.8344424593161</v>
      </c>
      <c r="BI117" s="135">
        <f>BH117+BI122</f>
        <v>2616.053022446461</v>
      </c>
      <c r="BJ117" s="135">
        <f>BI117+BJ122</f>
        <v>2687.4372415739535</v>
      </c>
      <c r="BK117" s="116">
        <f>BJ117+BK122</f>
        <v>2759.9744348844761</v>
      </c>
      <c r="BL117" s="82">
        <f>+BK117</f>
        <v>2759.9744348844761</v>
      </c>
      <c r="BM117" s="136">
        <f>BL117+BM122</f>
        <v>2833.6520750286008</v>
      </c>
      <c r="BN117" s="135">
        <f>BM117+BN122</f>
        <v>2909.4447691081796</v>
      </c>
      <c r="BO117" s="135">
        <f>BN117+BO122</f>
        <v>2985.6906233734967</v>
      </c>
      <c r="BP117" s="116">
        <f>BO117+BP122</f>
        <v>3062.3847141271472</v>
      </c>
      <c r="BQ117" s="82">
        <f>+BP117</f>
        <v>3062.3847141271472</v>
      </c>
      <c r="BR117" s="220"/>
      <c r="BS117" s="220"/>
      <c r="BT117" s="220"/>
      <c r="BU117" s="220"/>
      <c r="BV117" s="220"/>
      <c r="BW117" s="220"/>
      <c r="BX117" s="220"/>
      <c r="BY117" s="220"/>
      <c r="BZ117" s="220"/>
      <c r="CA117" s="220"/>
      <c r="CB117" s="220"/>
      <c r="CC117" s="220"/>
      <c r="CD117" s="220"/>
      <c r="CE117" s="220"/>
      <c r="CF117" s="220"/>
      <c r="CG117" s="220"/>
      <c r="CH117" s="220"/>
      <c r="CI117" s="220"/>
      <c r="CJ117" s="220"/>
      <c r="CK117" s="220"/>
      <c r="CL117" s="220"/>
      <c r="CM117" s="220"/>
      <c r="CN117" s="220"/>
      <c r="CO117" s="220"/>
      <c r="CP117" s="220"/>
      <c r="CQ117" s="220"/>
      <c r="CR117" s="220"/>
      <c r="CS117" s="220"/>
      <c r="CT117" s="220"/>
      <c r="CU117" s="220"/>
      <c r="CV117" s="220"/>
      <c r="CW117" s="220"/>
      <c r="CX117" s="220"/>
      <c r="CY117" s="220"/>
      <c r="CZ117" s="220"/>
    </row>
    <row r="118" spans="1:104" x14ac:dyDescent="0.2">
      <c r="A118" s="220"/>
      <c r="B118" s="220"/>
      <c r="C118" s="336" t="s">
        <v>206</v>
      </c>
      <c r="D118" s="82"/>
      <c r="E118" s="121">
        <f t="shared" ref="E118:T118" si="266">E116-E117</f>
        <v>2053.9870000000001</v>
      </c>
      <c r="F118" s="122">
        <f t="shared" si="266"/>
        <v>2106.768</v>
      </c>
      <c r="G118" s="122">
        <f t="shared" si="266"/>
        <v>2114.3920000000003</v>
      </c>
      <c r="H118" s="123">
        <f t="shared" si="266"/>
        <v>2165.3320000000003</v>
      </c>
      <c r="I118" s="86">
        <f t="shared" si="266"/>
        <v>2165.3320000000003</v>
      </c>
      <c r="J118" s="121">
        <f t="shared" si="266"/>
        <v>2175.0619999999999</v>
      </c>
      <c r="K118" s="122">
        <f t="shared" si="266"/>
        <v>2191.4319999999998</v>
      </c>
      <c r="L118" s="122">
        <f t="shared" si="266"/>
        <v>2210.8770000000004</v>
      </c>
      <c r="M118" s="123">
        <f t="shared" si="266"/>
        <v>2180.241</v>
      </c>
      <c r="N118" s="86">
        <f t="shared" si="266"/>
        <v>2180.241</v>
      </c>
      <c r="O118" s="121">
        <f t="shared" si="266"/>
        <v>2211.277</v>
      </c>
      <c r="P118" s="122">
        <f t="shared" si="266"/>
        <v>2355.335</v>
      </c>
      <c r="Q118" s="122">
        <f t="shared" si="266"/>
        <v>1560.328</v>
      </c>
      <c r="R118" s="123">
        <f t="shared" si="266"/>
        <v>2441.0600000000004</v>
      </c>
      <c r="S118" s="86">
        <f>S116-S117</f>
        <v>2441.0600000000004</v>
      </c>
      <c r="T118" s="121">
        <f t="shared" si="266"/>
        <v>2466.5819999999994</v>
      </c>
      <c r="U118" s="122">
        <f t="shared" ref="U118:AF118" si="267">U116-U117</f>
        <v>2566.2910000000002</v>
      </c>
      <c r="V118" s="122">
        <f t="shared" si="267"/>
        <v>2585.9450000000002</v>
      </c>
      <c r="W118" s="123">
        <f t="shared" si="267"/>
        <v>2624.62</v>
      </c>
      <c r="X118" s="86">
        <f t="shared" si="267"/>
        <v>2624.62</v>
      </c>
      <c r="Y118" s="121">
        <f t="shared" si="267"/>
        <v>2655.0999999999995</v>
      </c>
      <c r="Z118" s="122">
        <f t="shared" si="267"/>
        <v>2836.6679999999997</v>
      </c>
      <c r="AA118" s="122">
        <f t="shared" si="267"/>
        <v>2854.1959999999999</v>
      </c>
      <c r="AB118" s="123">
        <f t="shared" si="267"/>
        <v>2895.7070000000003</v>
      </c>
      <c r="AC118" s="86">
        <f t="shared" si="267"/>
        <v>2895.7070000000003</v>
      </c>
      <c r="AD118" s="121">
        <f t="shared" si="267"/>
        <v>2949.5230000000001</v>
      </c>
      <c r="AE118" s="122">
        <f t="shared" si="267"/>
        <v>3167.248</v>
      </c>
      <c r="AF118" s="122">
        <f t="shared" si="267"/>
        <v>3351.2959999999998</v>
      </c>
      <c r="AG118" s="123">
        <f t="shared" ref="AG118:AM118" si="268">AG116-AG117</f>
        <v>3504.6219999999998</v>
      </c>
      <c r="AH118" s="86">
        <f t="shared" si="268"/>
        <v>3504.6219999999998</v>
      </c>
      <c r="AI118" s="121">
        <f t="shared" si="268"/>
        <v>3582.123</v>
      </c>
      <c r="AJ118" s="122">
        <f t="shared" si="268"/>
        <v>3657.2740000000003</v>
      </c>
      <c r="AK118" s="122">
        <f t="shared" si="268"/>
        <v>3722.73</v>
      </c>
      <c r="AL118" s="123">
        <f t="shared" si="268"/>
        <v>4112.1260000000002</v>
      </c>
      <c r="AM118" s="86">
        <f t="shared" si="268"/>
        <v>4112.1260000000002</v>
      </c>
      <c r="AN118" s="121">
        <f t="shared" ref="AN118:AS118" si="269">AN116-AN117</f>
        <v>4134.7240000000002</v>
      </c>
      <c r="AO118" s="122">
        <f t="shared" si="269"/>
        <v>4242.6979999999994</v>
      </c>
      <c r="AP118" s="122">
        <f t="shared" si="269"/>
        <v>4285.1939999999995</v>
      </c>
      <c r="AQ118" s="123">
        <f t="shared" si="269"/>
        <v>4435.4920000000002</v>
      </c>
      <c r="AR118" s="86">
        <f t="shared" si="269"/>
        <v>4435.4920000000002</v>
      </c>
      <c r="AS118" s="121">
        <f t="shared" si="269"/>
        <v>4474.5600000000004</v>
      </c>
      <c r="AT118" s="122">
        <f>AT116-AT117</f>
        <v>4638.9740000000002</v>
      </c>
      <c r="AU118" s="122">
        <f t="shared" ref="AU118:BB118" si="270">AU116-AU117</f>
        <v>4634.6689999999999</v>
      </c>
      <c r="AV118" s="123">
        <f t="shared" si="270"/>
        <v>4743.7340000000004</v>
      </c>
      <c r="AW118" s="86">
        <f t="shared" si="270"/>
        <v>4743.7340000000004</v>
      </c>
      <c r="AX118" s="121">
        <f t="shared" si="270"/>
        <v>4656.172270334836</v>
      </c>
      <c r="AY118" s="122">
        <f t="shared" si="270"/>
        <v>4858.790332293569</v>
      </c>
      <c r="AZ118" s="122">
        <f t="shared" si="270"/>
        <v>5059.1289410552663</v>
      </c>
      <c r="BA118" s="123">
        <f t="shared" si="270"/>
        <v>5257.2137404683945</v>
      </c>
      <c r="BB118" s="86">
        <f t="shared" si="270"/>
        <v>5257.2137404683945</v>
      </c>
      <c r="BC118" s="121">
        <f t="shared" ref="BC118:BL118" si="271">BC116-BC117</f>
        <v>5409.6728466763307</v>
      </c>
      <c r="BD118" s="122">
        <f t="shared" si="271"/>
        <v>5635.8954143324272</v>
      </c>
      <c r="BE118" s="122">
        <f t="shared" si="271"/>
        <v>5859.6600178857152</v>
      </c>
      <c r="BF118" s="123">
        <f t="shared" si="271"/>
        <v>6080.9933637235954</v>
      </c>
      <c r="BG118" s="86">
        <f t="shared" si="271"/>
        <v>6080.9933637235954</v>
      </c>
      <c r="BH118" s="121">
        <f t="shared" si="271"/>
        <v>6462.6767509355195</v>
      </c>
      <c r="BI118" s="122">
        <f t="shared" si="271"/>
        <v>6569.9581709483746</v>
      </c>
      <c r="BJ118" s="122">
        <f t="shared" si="271"/>
        <v>6676.073951820882</v>
      </c>
      <c r="BK118" s="123">
        <f t="shared" si="271"/>
        <v>6781.0367585103595</v>
      </c>
      <c r="BL118" s="86">
        <f t="shared" si="271"/>
        <v>6781.0367585103595</v>
      </c>
      <c r="BM118" s="121">
        <f t="shared" ref="BM118:BQ118" si="272">BM116-BM117</f>
        <v>6975.6990529933328</v>
      </c>
      <c r="BN118" s="122">
        <f t="shared" si="272"/>
        <v>7017.406358913754</v>
      </c>
      <c r="BO118" s="122">
        <f t="shared" si="272"/>
        <v>7058.6605046484365</v>
      </c>
      <c r="BP118" s="123">
        <f t="shared" si="272"/>
        <v>7099.4664138947865</v>
      </c>
      <c r="BQ118" s="86">
        <f t="shared" si="272"/>
        <v>7099.4664138947865</v>
      </c>
      <c r="BR118" s="220"/>
      <c r="BS118" s="220"/>
      <c r="BT118" s="220"/>
      <c r="BU118" s="220"/>
      <c r="BV118" s="220"/>
      <c r="BW118" s="220"/>
      <c r="BX118" s="220"/>
      <c r="BY118" s="220"/>
      <c r="BZ118" s="220"/>
      <c r="CA118" s="220"/>
      <c r="CB118" s="220"/>
      <c r="CC118" s="220"/>
      <c r="CD118" s="220"/>
      <c r="CE118" s="220"/>
      <c r="CF118" s="220"/>
      <c r="CG118" s="220"/>
      <c r="CH118" s="220"/>
      <c r="CI118" s="220"/>
      <c r="CJ118" s="220"/>
      <c r="CK118" s="220"/>
      <c r="CL118" s="220"/>
      <c r="CM118" s="220"/>
      <c r="CN118" s="220"/>
      <c r="CO118" s="220"/>
      <c r="CP118" s="220"/>
      <c r="CQ118" s="220"/>
      <c r="CR118" s="220"/>
      <c r="CS118" s="220"/>
      <c r="CT118" s="220"/>
      <c r="CU118" s="220"/>
      <c r="CV118" s="220"/>
      <c r="CW118" s="220"/>
      <c r="CX118" s="220"/>
      <c r="CY118" s="220"/>
      <c r="CZ118" s="220"/>
    </row>
    <row r="119" spans="1:104" x14ac:dyDescent="0.2">
      <c r="A119" s="220"/>
      <c r="B119" s="220"/>
      <c r="C119" s="336"/>
      <c r="D119" s="82"/>
      <c r="E119" s="121"/>
      <c r="F119" s="122"/>
      <c r="G119" s="122"/>
      <c r="H119" s="123"/>
      <c r="I119" s="86"/>
      <c r="J119" s="121"/>
      <c r="K119" s="122"/>
      <c r="L119" s="122"/>
      <c r="M119" s="123"/>
      <c r="N119" s="86"/>
      <c r="O119" s="121"/>
      <c r="P119" s="122"/>
      <c r="Q119" s="122"/>
      <c r="R119" s="123"/>
      <c r="S119" s="86"/>
      <c r="T119" s="121"/>
      <c r="U119" s="122"/>
      <c r="V119" s="122"/>
      <c r="W119" s="123"/>
      <c r="X119" s="86"/>
      <c r="Y119" s="121"/>
      <c r="Z119" s="122"/>
      <c r="AA119" s="122"/>
      <c r="AB119" s="123"/>
      <c r="AC119" s="86"/>
      <c r="AD119" s="121"/>
      <c r="AE119" s="122"/>
      <c r="AF119" s="122"/>
      <c r="AG119" s="123"/>
      <c r="AH119" s="86"/>
      <c r="AI119" s="121"/>
      <c r="AJ119" s="122"/>
      <c r="AK119" s="122"/>
      <c r="AL119" s="123"/>
      <c r="AM119" s="86"/>
      <c r="AN119" s="121"/>
      <c r="AO119" s="122"/>
      <c r="AP119" s="122"/>
      <c r="AQ119" s="123"/>
      <c r="AR119" s="86"/>
      <c r="AS119" s="121"/>
      <c r="AT119" s="122"/>
      <c r="AU119" s="122"/>
      <c r="AV119" s="123"/>
      <c r="AW119" s="86"/>
      <c r="AX119" s="121"/>
      <c r="AY119" s="122"/>
      <c r="AZ119" s="122"/>
      <c r="BA119" s="123"/>
      <c r="BB119" s="86"/>
      <c r="BC119" s="121"/>
      <c r="BD119" s="122"/>
      <c r="BE119" s="122"/>
      <c r="BF119" s="123"/>
      <c r="BG119" s="86"/>
      <c r="BH119" s="121"/>
      <c r="BI119" s="122"/>
      <c r="BJ119" s="122"/>
      <c r="BK119" s="123"/>
      <c r="BL119" s="86"/>
      <c r="BM119" s="121"/>
      <c r="BN119" s="122"/>
      <c r="BO119" s="122"/>
      <c r="BP119" s="123"/>
      <c r="BQ119" s="86"/>
      <c r="BR119" s="220"/>
      <c r="BS119" s="220"/>
      <c r="BT119" s="220"/>
      <c r="BU119" s="220"/>
      <c r="BV119" s="220"/>
      <c r="BW119" s="220"/>
      <c r="BX119" s="220"/>
      <c r="BY119" s="220"/>
      <c r="BZ119" s="220"/>
      <c r="CA119" s="220"/>
      <c r="CB119" s="220"/>
      <c r="CC119" s="220"/>
      <c r="CD119" s="220"/>
      <c r="CE119" s="220"/>
      <c r="CF119" s="220"/>
      <c r="CG119" s="220"/>
      <c r="CH119" s="220"/>
      <c r="CI119" s="220"/>
      <c r="CJ119" s="220"/>
      <c r="CK119" s="220"/>
      <c r="CL119" s="220"/>
      <c r="CM119" s="220"/>
      <c r="CN119" s="220"/>
      <c r="CO119" s="220"/>
      <c r="CP119" s="220"/>
      <c r="CQ119" s="220"/>
      <c r="CR119" s="220"/>
      <c r="CS119" s="220"/>
      <c r="CT119" s="220"/>
      <c r="CU119" s="220"/>
      <c r="CV119" s="220"/>
      <c r="CW119" s="220"/>
      <c r="CX119" s="220"/>
      <c r="CY119" s="220"/>
      <c r="CZ119" s="220"/>
    </row>
    <row r="120" spans="1:104" x14ac:dyDescent="0.2">
      <c r="A120" s="85"/>
      <c r="B120" s="85"/>
      <c r="C120" s="336" t="s">
        <v>205</v>
      </c>
      <c r="D120" s="86"/>
      <c r="E120" s="235">
        <v>109.66500000000001</v>
      </c>
      <c r="F120" s="236">
        <v>79.772000000000006</v>
      </c>
      <c r="G120" s="236">
        <v>98.585999999999999</v>
      </c>
      <c r="H120" s="123">
        <f>I120</f>
        <v>95.652000000000001</v>
      </c>
      <c r="I120" s="237">
        <v>95.652000000000001</v>
      </c>
      <c r="J120" s="235">
        <v>101.301</v>
      </c>
      <c r="K120" s="236">
        <v>127.41200000000001</v>
      </c>
      <c r="L120" s="236">
        <v>160.821</v>
      </c>
      <c r="M120" s="123">
        <f>N120</f>
        <v>221.02500000000001</v>
      </c>
      <c r="N120" s="237">
        <v>221.02500000000001</v>
      </c>
      <c r="O120" s="235">
        <v>252.245</v>
      </c>
      <c r="P120" s="236">
        <v>143.37100000000001</v>
      </c>
      <c r="Q120" s="236">
        <v>135.75800000000001</v>
      </c>
      <c r="R120" s="123">
        <f>S120</f>
        <v>153.672</v>
      </c>
      <c r="S120" s="237">
        <v>153.672</v>
      </c>
      <c r="T120" s="235">
        <v>180.673</v>
      </c>
      <c r="U120" s="236">
        <v>154.48400000000001</v>
      </c>
      <c r="V120" s="236">
        <v>199.459</v>
      </c>
      <c r="W120" s="123">
        <f>X120</f>
        <v>237.136</v>
      </c>
      <c r="X120" s="237">
        <v>237.136</v>
      </c>
      <c r="Y120" s="235">
        <v>276.17599999999999</v>
      </c>
      <c r="Z120" s="236">
        <v>223.20599999999999</v>
      </c>
      <c r="AA120" s="236">
        <v>319.99099999999999</v>
      </c>
      <c r="AB120" s="123">
        <f>AC120</f>
        <v>388.32299999999998</v>
      </c>
      <c r="AC120" s="237">
        <v>388.32299999999998</v>
      </c>
      <c r="AD120" s="235">
        <v>445.75099999999998</v>
      </c>
      <c r="AE120" s="236">
        <v>353.48200000000003</v>
      </c>
      <c r="AF120" s="236">
        <v>264.89400000000001</v>
      </c>
      <c r="AG120" s="123">
        <f>AH120</f>
        <v>238.51900000000001</v>
      </c>
      <c r="AH120" s="237">
        <v>238.51900000000001</v>
      </c>
      <c r="AI120" s="235">
        <v>248.92099999999999</v>
      </c>
      <c r="AJ120" s="236">
        <v>291.565</v>
      </c>
      <c r="AK120" s="236">
        <v>338.88900000000001</v>
      </c>
      <c r="AL120" s="123">
        <f>AM120</f>
        <v>236.697</v>
      </c>
      <c r="AM120" s="237">
        <v>236.697</v>
      </c>
      <c r="AN120" s="235">
        <v>305.44299999999998</v>
      </c>
      <c r="AO120" s="236">
        <v>277.97399999999999</v>
      </c>
      <c r="AP120" s="236">
        <v>294.02499999999998</v>
      </c>
      <c r="AQ120" s="123">
        <f>AR120</f>
        <v>260.327</v>
      </c>
      <c r="AR120" s="237">
        <v>260.327</v>
      </c>
      <c r="AS120" s="235">
        <v>311.99</v>
      </c>
      <c r="AT120" s="236">
        <v>232.81700000000001</v>
      </c>
      <c r="AU120" s="236">
        <v>312.44499999999999</v>
      </c>
      <c r="AV120" s="123">
        <f>AW120</f>
        <v>351.875</v>
      </c>
      <c r="AW120" s="237">
        <v>351.875</v>
      </c>
      <c r="AX120" s="124">
        <f>AX125*BB133</f>
        <v>641.06972216516476</v>
      </c>
      <c r="AY120" s="129">
        <f>AY125*BB133</f>
        <v>641.06972216516476</v>
      </c>
      <c r="AZ120" s="129">
        <f>AZ125*BB133</f>
        <v>641.06972216516476</v>
      </c>
      <c r="BA120" s="126">
        <f>+BA125*BB133</f>
        <v>641.06972216516476</v>
      </c>
      <c r="BB120" s="127">
        <f>BA120</f>
        <v>641.06972216516476</v>
      </c>
      <c r="BC120" s="124">
        <f>BC125*BG133</f>
        <v>716.48968947871356</v>
      </c>
      <c r="BD120" s="129">
        <f>BD125*BG133</f>
        <v>716.48968947871356</v>
      </c>
      <c r="BE120" s="129">
        <f>BE125*BG133</f>
        <v>716.48968947871356</v>
      </c>
      <c r="BF120" s="126">
        <f>+BF125*BG133</f>
        <v>716.48968947871356</v>
      </c>
      <c r="BG120" s="127">
        <f>BF120</f>
        <v>716.48968947871356</v>
      </c>
      <c r="BH120" s="124">
        <f>BH125*BL133</f>
        <v>446.23480660516373</v>
      </c>
      <c r="BI120" s="129">
        <f>BI125*BL133</f>
        <v>446.23480660516373</v>
      </c>
      <c r="BJ120" s="129">
        <f>BJ125*BL133</f>
        <v>446.23480660516373</v>
      </c>
      <c r="BK120" s="126">
        <f>+BK125*BL133</f>
        <v>446.23480660516373</v>
      </c>
      <c r="BL120" s="127">
        <f>BK120</f>
        <v>446.23480660516373</v>
      </c>
      <c r="BM120" s="124">
        <f>BM125*BQ133</f>
        <v>295.39487197806613</v>
      </c>
      <c r="BN120" s="129">
        <f>BN125*BQ133</f>
        <v>295.39487197806613</v>
      </c>
      <c r="BO120" s="129">
        <f>BO125*BQ133</f>
        <v>295.39487197806613</v>
      </c>
      <c r="BP120" s="126">
        <f>+BP125*BQ133</f>
        <v>295.39487197806613</v>
      </c>
      <c r="BQ120" s="127">
        <f>BP120</f>
        <v>295.39487197806613</v>
      </c>
      <c r="BR120" s="220"/>
      <c r="BS120" s="220"/>
      <c r="BT120" s="220"/>
      <c r="BU120" s="220"/>
      <c r="BV120" s="220"/>
      <c r="BW120" s="220"/>
      <c r="BX120" s="220"/>
      <c r="BY120" s="220"/>
      <c r="BZ120" s="220"/>
      <c r="CA120" s="220"/>
      <c r="CB120" s="220"/>
      <c r="CC120" s="220"/>
      <c r="CD120" s="220"/>
      <c r="CE120" s="220"/>
      <c r="CF120" s="220"/>
      <c r="CG120" s="220"/>
      <c r="CH120" s="220"/>
      <c r="CI120" s="220"/>
      <c r="CJ120" s="220"/>
      <c r="CK120" s="220"/>
      <c r="CL120" s="220"/>
      <c r="CM120" s="220"/>
      <c r="CN120" s="220"/>
      <c r="CO120" s="220"/>
      <c r="CP120" s="220"/>
      <c r="CQ120" s="220"/>
      <c r="CR120" s="220"/>
      <c r="CS120" s="220"/>
      <c r="CT120" s="220"/>
      <c r="CU120" s="220"/>
      <c r="CV120" s="220"/>
      <c r="CW120" s="220"/>
      <c r="CX120" s="220"/>
      <c r="CY120" s="220"/>
      <c r="CZ120" s="220"/>
    </row>
    <row r="121" spans="1:104" x14ac:dyDescent="0.2">
      <c r="A121" s="220"/>
      <c r="B121" s="220"/>
      <c r="C121" s="289"/>
      <c r="D121" s="82"/>
      <c r="E121" s="136"/>
      <c r="F121" s="137"/>
      <c r="G121" s="137"/>
      <c r="H121" s="116"/>
      <c r="I121" s="82"/>
      <c r="J121" s="136"/>
      <c r="K121" s="137"/>
      <c r="L121" s="137"/>
      <c r="M121" s="116"/>
      <c r="N121" s="82"/>
      <c r="O121" s="136"/>
      <c r="P121" s="137"/>
      <c r="Q121" s="137"/>
      <c r="R121" s="116"/>
      <c r="S121" s="82"/>
      <c r="T121" s="136"/>
      <c r="U121" s="137"/>
      <c r="V121" s="137"/>
      <c r="W121" s="116"/>
      <c r="X121" s="82"/>
      <c r="Y121" s="136"/>
      <c r="Z121" s="137"/>
      <c r="AA121" s="137"/>
      <c r="AB121" s="116"/>
      <c r="AC121" s="82"/>
      <c r="AD121" s="136"/>
      <c r="AE121" s="137"/>
      <c r="AF121" s="137"/>
      <c r="AG121" s="116"/>
      <c r="AH121" s="82"/>
      <c r="AI121" s="136"/>
      <c r="AJ121" s="137"/>
      <c r="AK121" s="137"/>
      <c r="AL121" s="116"/>
      <c r="AM121" s="82"/>
      <c r="AN121" s="136"/>
      <c r="AO121" s="137"/>
      <c r="AP121" s="137"/>
      <c r="AQ121" s="116"/>
      <c r="AR121" s="82"/>
      <c r="AS121" s="136"/>
      <c r="AT121" s="137"/>
      <c r="AU121" s="137"/>
      <c r="AV121" s="116"/>
      <c r="AW121" s="82"/>
      <c r="AX121" s="136"/>
      <c r="AY121" s="137"/>
      <c r="AZ121" s="137"/>
      <c r="BA121" s="116"/>
      <c r="BB121" s="220"/>
      <c r="BC121" s="136"/>
      <c r="BD121" s="137"/>
      <c r="BE121" s="137"/>
      <c r="BF121" s="116"/>
      <c r="BG121" s="220"/>
      <c r="BH121" s="136"/>
      <c r="BI121" s="137"/>
      <c r="BJ121" s="137"/>
      <c r="BK121" s="116"/>
      <c r="BL121" s="220"/>
      <c r="BM121" s="136"/>
      <c r="BN121" s="137"/>
      <c r="BO121" s="137"/>
      <c r="BP121" s="116"/>
      <c r="BQ121" s="220"/>
      <c r="BR121" s="220"/>
      <c r="BS121" s="220"/>
      <c r="BT121" s="220"/>
      <c r="BU121" s="220"/>
      <c r="BV121" s="220"/>
      <c r="BW121" s="220"/>
      <c r="BX121" s="220"/>
      <c r="BY121" s="220"/>
      <c r="BZ121" s="220"/>
      <c r="CA121" s="220"/>
      <c r="CB121" s="220"/>
      <c r="CC121" s="220"/>
      <c r="CD121" s="220"/>
      <c r="CE121" s="220"/>
      <c r="CF121" s="220"/>
      <c r="CG121" s="220"/>
      <c r="CH121" s="220"/>
      <c r="CI121" s="220"/>
      <c r="CJ121" s="220"/>
      <c r="CK121" s="220"/>
      <c r="CL121" s="220"/>
      <c r="CM121" s="220"/>
      <c r="CN121" s="220"/>
      <c r="CO121" s="220"/>
      <c r="CP121" s="220"/>
      <c r="CQ121" s="220"/>
      <c r="CR121" s="220"/>
      <c r="CS121" s="220"/>
      <c r="CT121" s="220"/>
      <c r="CU121" s="220"/>
      <c r="CV121" s="220"/>
      <c r="CW121" s="220"/>
      <c r="CX121" s="220"/>
      <c r="CY121" s="220"/>
      <c r="CZ121" s="220"/>
    </row>
    <row r="122" spans="1:104" x14ac:dyDescent="0.2">
      <c r="A122" s="85"/>
      <c r="B122" s="85"/>
      <c r="C122" s="336" t="s">
        <v>178</v>
      </c>
      <c r="D122" s="86"/>
      <c r="E122" s="121">
        <f>E160</f>
        <v>26.370999999999999</v>
      </c>
      <c r="F122" s="122">
        <f t="shared" ref="F122:P122" si="273">F160</f>
        <v>25.330000000000002</v>
      </c>
      <c r="G122" s="122">
        <f t="shared" si="273"/>
        <v>26.542999999999999</v>
      </c>
      <c r="H122" s="123">
        <f t="shared" si="273"/>
        <v>28.653000000000006</v>
      </c>
      <c r="I122" s="86">
        <f t="shared" si="273"/>
        <v>106.89700000000001</v>
      </c>
      <c r="J122" s="121">
        <f t="shared" si="273"/>
        <v>26.216000000000001</v>
      </c>
      <c r="K122" s="122">
        <f t="shared" si="273"/>
        <v>26.220999999999997</v>
      </c>
      <c r="L122" s="122">
        <f t="shared" si="273"/>
        <v>26.656999999999996</v>
      </c>
      <c r="M122" s="123">
        <f t="shared" si="273"/>
        <v>27.113</v>
      </c>
      <c r="N122" s="86">
        <f t="shared" si="273"/>
        <v>106.20699999999999</v>
      </c>
      <c r="O122" s="121">
        <f t="shared" si="273"/>
        <v>26.713999999999999</v>
      </c>
      <c r="P122" s="122">
        <f t="shared" si="273"/>
        <v>26.92</v>
      </c>
      <c r="Q122" s="122">
        <f>Q160</f>
        <v>27.619</v>
      </c>
      <c r="R122" s="123">
        <f>R160</f>
        <v>27.953999999999994</v>
      </c>
      <c r="S122" s="86">
        <f>SUM(O122:R122)</f>
        <v>109.20699999999999</v>
      </c>
      <c r="T122" s="121">
        <f>T160</f>
        <v>28.407</v>
      </c>
      <c r="U122" s="122">
        <f>U160</f>
        <v>28.797000000000001</v>
      </c>
      <c r="V122" s="122">
        <f>V160</f>
        <v>29.222000000000001</v>
      </c>
      <c r="W122" s="123">
        <f>W160</f>
        <v>29.491</v>
      </c>
      <c r="X122" s="86">
        <f>SUM(T122:W122)</f>
        <v>115.917</v>
      </c>
      <c r="Y122" s="121">
        <f>Y160</f>
        <v>30.724</v>
      </c>
      <c r="Z122" s="122">
        <f>Z160</f>
        <v>31.580000000000002</v>
      </c>
      <c r="AA122" s="122">
        <f>AA160</f>
        <v>30.867000000000004</v>
      </c>
      <c r="AB122" s="123">
        <f>AB160</f>
        <v>30.897999999999996</v>
      </c>
      <c r="AC122" s="86">
        <f>SUM(Y122:AB122)</f>
        <v>124.069</v>
      </c>
      <c r="AD122" s="121">
        <f>AD160</f>
        <v>31.059000000000001</v>
      </c>
      <c r="AE122" s="122">
        <f>AE160</f>
        <v>35.632999999999996</v>
      </c>
      <c r="AF122" s="122">
        <f>AF160</f>
        <v>34.822000000000003</v>
      </c>
      <c r="AG122" s="123">
        <f>AG160</f>
        <v>36.433000000000007</v>
      </c>
      <c r="AH122" s="86">
        <f>SUM(AD122:AG122)</f>
        <v>137.947</v>
      </c>
      <c r="AI122" s="121">
        <f>AI160</f>
        <v>36.31</v>
      </c>
      <c r="AJ122" s="122">
        <f>AJ160</f>
        <v>37.317999999999998</v>
      </c>
      <c r="AK122" s="122">
        <f>AK160</f>
        <v>36.001000000000005</v>
      </c>
      <c r="AL122" s="123">
        <f>AL160</f>
        <v>43.612000000000009</v>
      </c>
      <c r="AM122" s="86">
        <f>SUM(AI122:AL122)</f>
        <v>153.24100000000001</v>
      </c>
      <c r="AN122" s="121">
        <f>AN160</f>
        <v>40.659999999999997</v>
      </c>
      <c r="AO122" s="122">
        <f>AO160</f>
        <v>40.94</v>
      </c>
      <c r="AP122" s="122">
        <f>AP160</f>
        <v>42.22</v>
      </c>
      <c r="AQ122" s="123">
        <f>AQ160</f>
        <v>39.137</v>
      </c>
      <c r="AR122" s="86">
        <f>SUM(AN122:AQ122)</f>
        <v>162.95699999999999</v>
      </c>
      <c r="AS122" s="121">
        <f>AS160</f>
        <v>50.368000000000002</v>
      </c>
      <c r="AT122" s="122">
        <f>AT160</f>
        <v>46.758000000000003</v>
      </c>
      <c r="AU122" s="122">
        <f>AU160</f>
        <v>47.537999999999982</v>
      </c>
      <c r="AV122" s="123">
        <f>AV160</f>
        <v>49.206000000000017</v>
      </c>
      <c r="AW122" s="86">
        <f>SUM(AS122:AV122)</f>
        <v>193.87</v>
      </c>
      <c r="AX122" s="121">
        <f>(AX124*AW118)/4</f>
        <v>53.3670075</v>
      </c>
      <c r="AY122" s="122">
        <f>(AY124*AX118)/4</f>
        <v>52.381938041266899</v>
      </c>
      <c r="AZ122" s="122">
        <f>(AZ124*AY118)/4</f>
        <v>54.661391238302649</v>
      </c>
      <c r="BA122" s="123">
        <f>(BA124*AZ118)/4</f>
        <v>56.915200586871741</v>
      </c>
      <c r="BB122" s="86">
        <f>SUM(AX122:BA122)</f>
        <v>217.3255373664413</v>
      </c>
      <c r="BC122" s="121">
        <f>(BC124*BB118)/4</f>
        <v>57.120926478515045</v>
      </c>
      <c r="BD122" s="122">
        <f>(BD124*BC118)/4</f>
        <v>58.777432343902923</v>
      </c>
      <c r="BE122" s="122">
        <f>(BE124*BD118)/4</f>
        <v>61.235396446711775</v>
      </c>
      <c r="BF122" s="123">
        <f>(BF124*BE118)/4</f>
        <v>63.666654162119528</v>
      </c>
      <c r="BG122" s="86">
        <f>SUM(BC122:BF122)</f>
        <v>240.80040943124928</v>
      </c>
      <c r="BH122" s="121">
        <f>(BH124*BG118)/4</f>
        <v>66.071495661625093</v>
      </c>
      <c r="BI122" s="122">
        <f>(BI124*BH118)/4</f>
        <v>70.218579987144736</v>
      </c>
      <c r="BJ122" s="122">
        <f>(BJ124*BI118)/4</f>
        <v>71.384219127492671</v>
      </c>
      <c r="BK122" s="123">
        <f>(BK124*BJ118)/4</f>
        <v>72.537193310522312</v>
      </c>
      <c r="BL122" s="86">
        <f>SUM(BH122:BK122)</f>
        <v>280.21148808678481</v>
      </c>
      <c r="BM122" s="121">
        <f>(BM124*BL118)/4</f>
        <v>73.677640144124709</v>
      </c>
      <c r="BN122" s="122">
        <f>(BN124*BM118)/4</f>
        <v>75.792694079578794</v>
      </c>
      <c r="BO122" s="122">
        <f>(BO124*BN118)/4</f>
        <v>76.245854265317234</v>
      </c>
      <c r="BP122" s="123">
        <f>(BP124*BO118)/4</f>
        <v>76.694090753650457</v>
      </c>
      <c r="BQ122" s="86">
        <f>SUM(BM122:BP122)</f>
        <v>302.41027924267121</v>
      </c>
      <c r="BR122" s="85"/>
      <c r="BS122" s="85"/>
      <c r="BT122" s="85"/>
      <c r="BU122" s="85"/>
      <c r="BV122" s="85"/>
      <c r="BW122" s="85"/>
      <c r="BX122" s="85"/>
      <c r="BY122" s="85"/>
      <c r="BZ122" s="85"/>
      <c r="CA122" s="85"/>
      <c r="CB122" s="85"/>
      <c r="CC122" s="85"/>
      <c r="CD122" s="85"/>
      <c r="CE122" s="85"/>
      <c r="CF122" s="85"/>
      <c r="CG122" s="85"/>
      <c r="CH122" s="85"/>
      <c r="CI122" s="85"/>
      <c r="CJ122" s="85"/>
      <c r="CK122" s="85"/>
      <c r="CL122" s="85"/>
      <c r="CM122" s="85"/>
      <c r="CN122" s="85"/>
      <c r="CO122" s="85"/>
      <c r="CP122" s="85"/>
      <c r="CQ122" s="85"/>
      <c r="CR122" s="85"/>
      <c r="CS122" s="85"/>
      <c r="CT122" s="85"/>
      <c r="CU122" s="85"/>
      <c r="CV122" s="85"/>
      <c r="CW122" s="85"/>
      <c r="CX122" s="85"/>
      <c r="CY122" s="85"/>
      <c r="CZ122" s="85"/>
    </row>
    <row r="123" spans="1:104" x14ac:dyDescent="0.2">
      <c r="A123" s="220"/>
      <c r="B123" s="220"/>
      <c r="C123" s="289"/>
      <c r="D123" s="82"/>
      <c r="E123" s="136"/>
      <c r="F123" s="137"/>
      <c r="G123" s="137"/>
      <c r="H123" s="116"/>
      <c r="I123" s="82"/>
      <c r="J123" s="136"/>
      <c r="K123" s="137"/>
      <c r="L123" s="137"/>
      <c r="M123" s="116"/>
      <c r="N123" s="82"/>
      <c r="O123" s="136"/>
      <c r="P123" s="137"/>
      <c r="Q123" s="137"/>
      <c r="R123" s="116"/>
      <c r="S123" s="82"/>
      <c r="T123" s="136"/>
      <c r="U123" s="137"/>
      <c r="V123" s="137"/>
      <c r="W123" s="116"/>
      <c r="X123" s="82"/>
      <c r="Y123" s="136"/>
      <c r="Z123" s="137"/>
      <c r="AA123" s="137"/>
      <c r="AB123" s="116"/>
      <c r="AC123" s="82"/>
      <c r="AD123" s="136"/>
      <c r="AE123" s="137"/>
      <c r="AF123" s="137"/>
      <c r="AG123" s="116"/>
      <c r="AH123" s="82"/>
      <c r="AI123" s="136"/>
      <c r="AJ123" s="137"/>
      <c r="AK123" s="137"/>
      <c r="AL123" s="116"/>
      <c r="AM123" s="82"/>
      <c r="AN123" s="136"/>
      <c r="AO123" s="137"/>
      <c r="AP123" s="137"/>
      <c r="AQ123" s="116"/>
      <c r="AR123" s="82"/>
      <c r="AS123" s="136"/>
      <c r="AT123" s="137"/>
      <c r="AU123" s="137"/>
      <c r="AV123" s="116"/>
      <c r="AW123" s="82"/>
      <c r="AX123" s="136"/>
      <c r="AY123" s="137"/>
      <c r="AZ123" s="137"/>
      <c r="BA123" s="116"/>
      <c r="BB123" s="220"/>
      <c r="BC123" s="136"/>
      <c r="BD123" s="137"/>
      <c r="BE123" s="137"/>
      <c r="BF123" s="116"/>
      <c r="BG123" s="220"/>
      <c r="BH123" s="136"/>
      <c r="BI123" s="137"/>
      <c r="BJ123" s="137"/>
      <c r="BK123" s="116"/>
      <c r="BL123" s="220"/>
      <c r="BM123" s="136"/>
      <c r="BN123" s="137"/>
      <c r="BO123" s="137"/>
      <c r="BP123" s="116"/>
      <c r="BQ123" s="220"/>
      <c r="BR123" s="220"/>
      <c r="BS123" s="220"/>
      <c r="BT123" s="220"/>
      <c r="BU123" s="220"/>
      <c r="BV123" s="220"/>
      <c r="BW123" s="220"/>
      <c r="BX123" s="220"/>
      <c r="BY123" s="220"/>
      <c r="BZ123" s="220"/>
      <c r="CA123" s="220"/>
      <c r="CB123" s="220"/>
      <c r="CC123" s="220"/>
      <c r="CD123" s="220"/>
      <c r="CE123" s="220"/>
      <c r="CF123" s="220"/>
      <c r="CG123" s="220"/>
      <c r="CH123" s="220"/>
      <c r="CI123" s="220"/>
      <c r="CJ123" s="220"/>
      <c r="CK123" s="220"/>
      <c r="CL123" s="220"/>
      <c r="CM123" s="220"/>
      <c r="CN123" s="220"/>
      <c r="CO123" s="220"/>
      <c r="CP123" s="220"/>
      <c r="CQ123" s="220"/>
      <c r="CR123" s="220"/>
      <c r="CS123" s="220"/>
      <c r="CT123" s="220"/>
      <c r="CU123" s="220"/>
      <c r="CV123" s="220"/>
      <c r="CW123" s="220"/>
      <c r="CX123" s="220"/>
      <c r="CY123" s="220"/>
      <c r="CZ123" s="220"/>
    </row>
    <row r="124" spans="1:104" x14ac:dyDescent="0.2">
      <c r="A124" s="20"/>
      <c r="B124" s="20"/>
      <c r="C124" s="289" t="s">
        <v>291</v>
      </c>
      <c r="D124" s="20"/>
      <c r="E124" s="207">
        <f>E122/AVERAGE(D118:E118)*4</f>
        <v>5.135572912584159E-2</v>
      </c>
      <c r="F124" s="208">
        <f>F122/AVERAGE(E118:F118)*4</f>
        <v>4.8702699389894383E-2</v>
      </c>
      <c r="G124" s="208">
        <f>G122/AVERAGE(F118:G118)*4</f>
        <v>5.0304655592301642E-2</v>
      </c>
      <c r="H124" s="209">
        <f>H122/AVERAGE(G118:H118)*4</f>
        <v>5.3560463244826079E-2</v>
      </c>
      <c r="I124" s="88">
        <f>I122/AVERAGE(D118,I118)</f>
        <v>4.9367487295250791E-2</v>
      </c>
      <c r="J124" s="207">
        <f>J122/AVERAGE(I118:J118)*4</f>
        <v>4.8320037305369053E-2</v>
      </c>
      <c r="K124" s="208">
        <f>K122/AVERAGE(J118:K118)*4</f>
        <v>4.8040372894134285E-2</v>
      </c>
      <c r="L124" s="208">
        <f>L122/AVERAGE(K118:L118)*4</f>
        <v>4.8441851764608065E-2</v>
      </c>
      <c r="M124" s="209">
        <f>M122/AVERAGE(L118:M118)*4</f>
        <v>4.9396076352309359E-2</v>
      </c>
      <c r="N124" s="88">
        <f>N122/AVERAGE(I118,N118)</f>
        <v>4.8880550390017603E-2</v>
      </c>
      <c r="O124" s="207">
        <f>O122/AVERAGE(N118:O118)*4</f>
        <v>4.866472140157458E-2</v>
      </c>
      <c r="P124" s="208">
        <f>P122/AVERAGE(O118:P118)*4</f>
        <v>4.7159688626929548E-2</v>
      </c>
      <c r="Q124" s="208">
        <f>Q122/AVERAGE(P118:Q118)*4</f>
        <v>5.6427736503371205E-2</v>
      </c>
      <c r="R124" s="209">
        <f>R122/AVERAGE(Q118:R118)*4</f>
        <v>5.588860665349122E-2</v>
      </c>
      <c r="S124" s="88">
        <f>S122/AVERAGE(N118,S118)</f>
        <v>4.7262448388451644E-2</v>
      </c>
      <c r="T124" s="207">
        <f>T122/AVERAGE(S118:T118)*4</f>
        <v>4.630655618319348E-2</v>
      </c>
      <c r="U124" s="342">
        <f>U122/AVERAGE(T118:U118)*4</f>
        <v>4.5774252598863516E-2</v>
      </c>
      <c r="V124" s="342">
        <f>V122/AVERAGE(U118:V118)*4</f>
        <v>4.5373697943960636E-2</v>
      </c>
      <c r="W124" s="209">
        <f>W122/AVERAGE(V118:W118)*4</f>
        <v>4.52787749505092E-2</v>
      </c>
      <c r="X124" s="88">
        <f>X122/AVERAGE(S118,X118)</f>
        <v>4.5765622779172788E-2</v>
      </c>
      <c r="Y124" s="207">
        <f>Y122/AVERAGE(X118:Y118)*4</f>
        <v>4.6553983923389886E-2</v>
      </c>
      <c r="Z124" s="342">
        <f>Z122/AVERAGE(Y118:Z118)*4</f>
        <v>4.6003399997960596E-2</v>
      </c>
      <c r="AA124" s="342">
        <f>AA122/AVERAGE(Z118:AA118)*4</f>
        <v>4.339165371022749E-2</v>
      </c>
      <c r="AB124" s="209">
        <f>AB122/AVERAGE(AA118:AB118)*4</f>
        <v>4.2989246949035484E-2</v>
      </c>
      <c r="AC124" s="88">
        <f>AC122/AVERAGE(X118,AC118)</f>
        <v>4.4949873440468288E-2</v>
      </c>
      <c r="AD124" s="207">
        <f>AD122/AVERAGE(AC118:AD118)*4</f>
        <v>4.2508506936425085E-2</v>
      </c>
      <c r="AE124" s="342">
        <f>AE122/AVERAGE(AD118:AE118)*4</f>
        <v>4.6603673735701394E-2</v>
      </c>
      <c r="AF124" s="342">
        <f>AF122/AVERAGE(AE118:AF118)*4</f>
        <v>4.2735923850479494E-2</v>
      </c>
      <c r="AG124" s="209">
        <f>AG122/AVERAGE(AF118:AG118)*4</f>
        <v>4.2512760508512507E-2</v>
      </c>
      <c r="AH124" s="88">
        <f>AH122/AVERAGE(AC118,AH118)</f>
        <v>4.3106221570797382E-2</v>
      </c>
      <c r="AI124" s="207">
        <f>AI122/AVERAGE(AH118:AI118)*4</f>
        <v>4.0989198849401241E-2</v>
      </c>
      <c r="AJ124" s="342">
        <f>AJ122/AVERAGE(AI118:AJ118)*4</f>
        <v>4.1238793783515387E-2</v>
      </c>
      <c r="AK124" s="342">
        <f>AK122/AVERAGE(AJ118:AK118)*4</f>
        <v>3.9025453102735447E-2</v>
      </c>
      <c r="AL124" s="209">
        <f>AL122/AVERAGE(AK118:AL118)*4</f>
        <v>4.4531258774890066E-2</v>
      </c>
      <c r="AM124" s="88">
        <f>AM122/AVERAGE(AH118,AM118)</f>
        <v>4.023790730637275E-2</v>
      </c>
      <c r="AN124" s="207">
        <f>AN122/AVERAGE(AM118:AN118)*4</f>
        <v>3.9442938819064244E-2</v>
      </c>
      <c r="AO124" s="342">
        <f>AO122/AVERAGE(AN118:AO118)*4</f>
        <v>3.9095559469249613E-2</v>
      </c>
      <c r="AP124" s="342">
        <f>AP122/AVERAGE(AO118:AP118)*4</f>
        <v>3.9606505335667945E-2</v>
      </c>
      <c r="AQ124" s="209">
        <f>AQ122/AVERAGE(AP118:AQ118)*4</f>
        <v>3.590268013319136E-2</v>
      </c>
      <c r="AR124" s="88">
        <f>AR122/AVERAGE(AM118,AR118)</f>
        <v>3.8129219157898721E-2</v>
      </c>
      <c r="AS124" s="207">
        <f>AS122/AVERAGE(AR118:AS118)*4</f>
        <v>4.5223529559647917E-2</v>
      </c>
      <c r="AT124" s="342">
        <f>AT122/AVERAGE(AS118:AT118)*4</f>
        <v>4.104488994060921E-2</v>
      </c>
      <c r="AU124" s="342">
        <f>AU122/AVERAGE(AT118:AU118)*4</f>
        <v>4.1009126618309528E-2</v>
      </c>
      <c r="AV124" s="209">
        <f>AV122/AVERAGE(AU118:AV118)*4</f>
        <v>4.1973884039745377E-2</v>
      </c>
      <c r="AW124" s="88">
        <f>AW122/AVERAGE(AR118,AW118)</f>
        <v>4.2241034265852045E-2</v>
      </c>
      <c r="AX124" s="858">
        <v>4.4999999999999998E-2</v>
      </c>
      <c r="AY124" s="208">
        <f>AX124</f>
        <v>4.4999999999999998E-2</v>
      </c>
      <c r="AZ124" s="342">
        <f>AY124</f>
        <v>4.4999999999999998E-2</v>
      </c>
      <c r="BA124" s="343">
        <f>AZ124</f>
        <v>4.4999999999999998E-2</v>
      </c>
      <c r="BB124" s="88">
        <f>BB122/AVERAGE(AW118,BB118)</f>
        <v>4.3460988499528515E-2</v>
      </c>
      <c r="BC124" s="207">
        <f>BB124</f>
        <v>4.3460988499528515E-2</v>
      </c>
      <c r="BD124" s="208">
        <f>BC124</f>
        <v>4.3460988499528515E-2</v>
      </c>
      <c r="BE124" s="342">
        <f>BD124</f>
        <v>4.3460988499528515E-2</v>
      </c>
      <c r="BF124" s="343">
        <f>BE124</f>
        <v>4.3460988499528515E-2</v>
      </c>
      <c r="BG124" s="88">
        <f>BG122/AVERAGE(BB118,BG118)</f>
        <v>4.2475923612688281E-2</v>
      </c>
      <c r="BH124" s="207">
        <f>BF124</f>
        <v>4.3460988499528515E-2</v>
      </c>
      <c r="BI124" s="208">
        <f>BH124</f>
        <v>4.3460988499528515E-2</v>
      </c>
      <c r="BJ124" s="342">
        <f>BI124</f>
        <v>4.3460988499528515E-2</v>
      </c>
      <c r="BK124" s="343">
        <f>BJ124</f>
        <v>4.3460988499528515E-2</v>
      </c>
      <c r="BL124" s="88">
        <f>BL122/AVERAGE(BG118,BL118)</f>
        <v>4.3571891128197107E-2</v>
      </c>
      <c r="BM124" s="207">
        <f>BK124</f>
        <v>4.3460988499528515E-2</v>
      </c>
      <c r="BN124" s="208">
        <f>BM124</f>
        <v>4.3460988499528515E-2</v>
      </c>
      <c r="BO124" s="342">
        <f>BN124</f>
        <v>4.3460988499528515E-2</v>
      </c>
      <c r="BP124" s="343">
        <f>BO124</f>
        <v>4.3460988499528515E-2</v>
      </c>
      <c r="BQ124" s="88">
        <f>BQ122/AVERAGE(BL118,BQ118)</f>
        <v>4.3573388584914108E-2</v>
      </c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</row>
    <row r="125" spans="1:104" x14ac:dyDescent="0.2">
      <c r="A125" s="289"/>
      <c r="B125" s="289"/>
      <c r="C125" s="289" t="s">
        <v>419</v>
      </c>
      <c r="D125" s="289"/>
      <c r="E125" s="254">
        <f>E120/I133</f>
        <v>0.51761490753589534</v>
      </c>
      <c r="F125" s="255">
        <f>F120/I133</f>
        <v>0.37652100856201559</v>
      </c>
      <c r="G125" s="255">
        <f>G120/I133</f>
        <v>0.46532242077539571</v>
      </c>
      <c r="H125" s="256">
        <f>H120/I133</f>
        <v>0.45147404491518223</v>
      </c>
      <c r="I125" s="79">
        <f>I120/I133</f>
        <v>0.45147404491518223</v>
      </c>
      <c r="J125" s="254">
        <f>J120/N133</f>
        <v>0.3274026528079429</v>
      </c>
      <c r="K125" s="255">
        <f>K120/N133</f>
        <v>0.41179284310683628</v>
      </c>
      <c r="L125" s="255">
        <f>L120/N133</f>
        <v>0.51977001241079734</v>
      </c>
      <c r="M125" s="256">
        <f>M120/N133</f>
        <v>0.71434804529941043</v>
      </c>
      <c r="N125" s="79">
        <f>N120/N133</f>
        <v>0.71434804529941043</v>
      </c>
      <c r="O125" s="254">
        <f>O120/S133</f>
        <v>0.81838474091810154</v>
      </c>
      <c r="P125" s="255">
        <f>P120/S133</f>
        <v>0.46515347654133532</v>
      </c>
      <c r="Q125" s="255">
        <f>Q120/S133</f>
        <v>0.44045382726143084</v>
      </c>
      <c r="R125" s="256">
        <f>R120/S133</f>
        <v>0.4985740843480207</v>
      </c>
      <c r="S125" s="79">
        <f>S120/S133</f>
        <v>0.4985740843480207</v>
      </c>
      <c r="T125" s="254">
        <f>T120/X133</f>
        <v>0.46973683526334675</v>
      </c>
      <c r="U125" s="255">
        <f>U120/$X$133</f>
        <v>0.40164731453411889</v>
      </c>
      <c r="V125" s="255">
        <f>V120/$X$133</f>
        <v>0.51857908721719281</v>
      </c>
      <c r="W125" s="256">
        <f>W120/X133</f>
        <v>0.61653658359029295</v>
      </c>
      <c r="X125" s="79">
        <f>X120/X133</f>
        <v>0.61653658359029295</v>
      </c>
      <c r="Y125" s="254">
        <f>Y120/AC133</f>
        <v>0.47230887101187541</v>
      </c>
      <c r="Z125" s="720">
        <f>Z120/AC133</f>
        <v>0.38172098177639141</v>
      </c>
      <c r="AA125" s="720">
        <f>AA120/AC133</f>
        <v>0.54724012203797956</v>
      </c>
      <c r="AB125" s="256">
        <f>AB120/AC133</f>
        <v>0.66409969627318988</v>
      </c>
      <c r="AC125" s="79">
        <f>AC120/AC133</f>
        <v>0.66409969627318988</v>
      </c>
      <c r="AD125" s="254">
        <f>AD120/AH133</f>
        <v>0.80324758170311517</v>
      </c>
      <c r="AE125" s="720">
        <f>AE120/AH133</f>
        <v>0.63697795781855926</v>
      </c>
      <c r="AF125" s="720">
        <f>AF120/AH133</f>
        <v>0.47734153127567863</v>
      </c>
      <c r="AG125" s="256">
        <f>AG120/AH133</f>
        <v>0.42981352804647743</v>
      </c>
      <c r="AH125" s="79">
        <f>AH120/AH133</f>
        <v>0.42981352804647743</v>
      </c>
      <c r="AI125" s="254">
        <f>AI120/AM133</f>
        <v>0.41520672681568815</v>
      </c>
      <c r="AJ125" s="720">
        <f>AJ120/AM133</f>
        <v>0.48633803216287946</v>
      </c>
      <c r="AK125" s="720">
        <f>AK120/AM133</f>
        <v>0.56527569969525171</v>
      </c>
      <c r="AL125" s="256">
        <f>AL120/AM133</f>
        <v>0.39481677567217283</v>
      </c>
      <c r="AM125" s="79">
        <f>AM120/AM133</f>
        <v>0.39481677567217283</v>
      </c>
      <c r="AN125" s="254">
        <f>AN120/AR133</f>
        <v>0.59596075875767274</v>
      </c>
      <c r="AO125" s="720">
        <f>AO120/AR133</f>
        <v>0.54236501067271248</v>
      </c>
      <c r="AP125" s="720">
        <f>AP120/AR133</f>
        <v>0.57368269069425304</v>
      </c>
      <c r="AQ125" s="256">
        <f>AQ120/AR133</f>
        <v>0.50793331798439867</v>
      </c>
      <c r="AR125" s="79">
        <f>AR120/AR133</f>
        <v>0.50793331798439867</v>
      </c>
      <c r="AS125" s="254">
        <f>AS120/AW133</f>
        <v>0.55725933930501104</v>
      </c>
      <c r="AT125" s="720">
        <f>AT120/AW133</f>
        <v>0.41584489117912354</v>
      </c>
      <c r="AU125" s="720">
        <f>AU120/AW133</f>
        <v>0.55807203522277693</v>
      </c>
      <c r="AV125" s="256">
        <f>AV120/AW133</f>
        <v>0.62849972761290662</v>
      </c>
      <c r="AW125" s="79">
        <f>AW120/AW133</f>
        <v>0.62849972761290662</v>
      </c>
      <c r="AX125" s="254">
        <f t="shared" ref="AX125:BG125" si="274">+AW125</f>
        <v>0.62849972761290662</v>
      </c>
      <c r="AY125" s="255">
        <f t="shared" si="274"/>
        <v>0.62849972761290662</v>
      </c>
      <c r="AZ125" s="255">
        <f t="shared" si="274"/>
        <v>0.62849972761290662</v>
      </c>
      <c r="BA125" s="256">
        <f t="shared" si="274"/>
        <v>0.62849972761290662</v>
      </c>
      <c r="BB125" s="79">
        <f t="shared" si="274"/>
        <v>0.62849972761290662</v>
      </c>
      <c r="BC125" s="254">
        <f t="shared" si="274"/>
        <v>0.62849972761290662</v>
      </c>
      <c r="BD125" s="255">
        <f t="shared" si="274"/>
        <v>0.62849972761290662</v>
      </c>
      <c r="BE125" s="255">
        <f t="shared" si="274"/>
        <v>0.62849972761290662</v>
      </c>
      <c r="BF125" s="256">
        <f t="shared" si="274"/>
        <v>0.62849972761290662</v>
      </c>
      <c r="BG125" s="79">
        <f t="shared" si="274"/>
        <v>0.62849972761290662</v>
      </c>
      <c r="BH125" s="254">
        <f t="shared" ref="BH125:BQ125" si="275">+BG125</f>
        <v>0.62849972761290662</v>
      </c>
      <c r="BI125" s="255">
        <f t="shared" si="275"/>
        <v>0.62849972761290662</v>
      </c>
      <c r="BJ125" s="255">
        <f t="shared" si="275"/>
        <v>0.62849972761290662</v>
      </c>
      <c r="BK125" s="256">
        <f t="shared" si="275"/>
        <v>0.62849972761290662</v>
      </c>
      <c r="BL125" s="79">
        <f t="shared" si="275"/>
        <v>0.62849972761290662</v>
      </c>
      <c r="BM125" s="254">
        <f t="shared" si="275"/>
        <v>0.62849972761290662</v>
      </c>
      <c r="BN125" s="255">
        <f t="shared" si="275"/>
        <v>0.62849972761290662</v>
      </c>
      <c r="BO125" s="255">
        <f t="shared" si="275"/>
        <v>0.62849972761290662</v>
      </c>
      <c r="BP125" s="256">
        <f t="shared" si="275"/>
        <v>0.62849972761290662</v>
      </c>
      <c r="BQ125" s="79">
        <f t="shared" si="275"/>
        <v>0.62849972761290662</v>
      </c>
      <c r="BR125" s="289"/>
      <c r="BS125" s="289"/>
      <c r="BT125" s="289"/>
      <c r="BU125" s="289"/>
      <c r="BV125" s="289"/>
      <c r="BW125" s="289"/>
      <c r="BX125" s="289"/>
      <c r="BY125" s="289"/>
      <c r="BZ125" s="289"/>
      <c r="CA125" s="289"/>
      <c r="CB125" s="289"/>
      <c r="CC125" s="289"/>
      <c r="CD125" s="289"/>
      <c r="CE125" s="289"/>
      <c r="CF125" s="289"/>
      <c r="CG125" s="289"/>
      <c r="CH125" s="289"/>
      <c r="CI125" s="289"/>
      <c r="CJ125" s="289"/>
      <c r="CK125" s="289"/>
      <c r="CL125" s="289"/>
      <c r="CM125" s="289"/>
      <c r="CN125" s="289"/>
      <c r="CO125" s="289"/>
      <c r="CP125" s="289"/>
      <c r="CQ125" s="289"/>
      <c r="CR125" s="289"/>
      <c r="CS125" s="289"/>
      <c r="CT125" s="289"/>
      <c r="CU125" s="289"/>
      <c r="CV125" s="289"/>
      <c r="CW125" s="289"/>
      <c r="CX125" s="289"/>
      <c r="CY125" s="289"/>
      <c r="CZ125" s="289"/>
    </row>
    <row r="126" spans="1:104" x14ac:dyDescent="0.2">
      <c r="A126" s="289"/>
      <c r="B126" s="289"/>
      <c r="C126" s="289"/>
      <c r="D126" s="289"/>
      <c r="E126" s="291"/>
      <c r="F126" s="292"/>
      <c r="G126" s="292"/>
      <c r="H126" s="293"/>
      <c r="I126" s="289"/>
      <c r="J126" s="291"/>
      <c r="K126" s="292"/>
      <c r="L126" s="292"/>
      <c r="M126" s="293"/>
      <c r="N126" s="289"/>
      <c r="O126" s="291"/>
      <c r="P126" s="292"/>
      <c r="Q126" s="292"/>
      <c r="R126" s="293"/>
      <c r="S126" s="289"/>
      <c r="T126" s="291"/>
      <c r="U126" s="292"/>
      <c r="V126" s="292"/>
      <c r="W126" s="293"/>
      <c r="X126" s="289"/>
      <c r="Y126" s="291"/>
      <c r="Z126" s="292"/>
      <c r="AA126" s="292"/>
      <c r="AB126" s="293"/>
      <c r="AC126" s="289"/>
      <c r="AD126" s="291"/>
      <c r="AE126" s="292"/>
      <c r="AF126" s="292"/>
      <c r="AG126" s="293"/>
      <c r="AH126" s="289"/>
      <c r="AI126" s="291"/>
      <c r="AJ126" s="292"/>
      <c r="AK126" s="292"/>
      <c r="AL126" s="293"/>
      <c r="AM126" s="289"/>
      <c r="AN126" s="291"/>
      <c r="AO126" s="292"/>
      <c r="AP126" s="292"/>
      <c r="AQ126" s="293"/>
      <c r="AR126" s="289"/>
      <c r="AS126" s="291"/>
      <c r="AT126" s="292"/>
      <c r="AU126" s="292"/>
      <c r="AV126" s="293"/>
      <c r="AW126" s="289"/>
      <c r="AX126" s="291"/>
      <c r="AY126" s="292"/>
      <c r="AZ126" s="292"/>
      <c r="BA126" s="293"/>
      <c r="BB126" s="289"/>
      <c r="BC126" s="291"/>
      <c r="BD126" s="292"/>
      <c r="BE126" s="292"/>
      <c r="BF126" s="293"/>
      <c r="BG126" s="289"/>
      <c r="BH126" s="291"/>
      <c r="BI126" s="292"/>
      <c r="BJ126" s="292"/>
      <c r="BK126" s="293"/>
      <c r="BL126" s="289"/>
      <c r="BM126" s="291"/>
      <c r="BN126" s="292"/>
      <c r="BO126" s="292"/>
      <c r="BP126" s="293"/>
      <c r="BQ126" s="289"/>
      <c r="BR126" s="289"/>
      <c r="BS126" s="289"/>
      <c r="BT126" s="289"/>
      <c r="BU126" s="289"/>
      <c r="BV126" s="289"/>
      <c r="BW126" s="289"/>
      <c r="BX126" s="289"/>
      <c r="BY126" s="289"/>
      <c r="BZ126" s="289"/>
      <c r="CA126" s="289"/>
      <c r="CB126" s="289"/>
      <c r="CC126" s="289"/>
      <c r="CD126" s="289"/>
      <c r="CE126" s="289"/>
      <c r="CF126" s="289"/>
      <c r="CG126" s="289"/>
      <c r="CH126" s="289"/>
      <c r="CI126" s="289"/>
      <c r="CJ126" s="289"/>
      <c r="CK126" s="289"/>
      <c r="CL126" s="289"/>
      <c r="CM126" s="289"/>
      <c r="CN126" s="289"/>
      <c r="CO126" s="289"/>
      <c r="CP126" s="289"/>
      <c r="CQ126" s="289"/>
      <c r="CR126" s="289"/>
      <c r="CS126" s="289"/>
      <c r="CT126" s="289"/>
      <c r="CU126" s="289"/>
      <c r="CV126" s="289"/>
      <c r="CW126" s="289"/>
      <c r="CX126" s="289"/>
      <c r="CY126" s="289"/>
      <c r="CZ126" s="289"/>
    </row>
    <row r="127" spans="1:104" x14ac:dyDescent="0.2">
      <c r="A127" s="289"/>
      <c r="B127" s="289"/>
      <c r="C127" s="289"/>
      <c r="D127" s="289"/>
      <c r="E127" s="291"/>
      <c r="F127" s="292"/>
      <c r="G127" s="292"/>
      <c r="H127" s="293"/>
      <c r="I127" s="289"/>
      <c r="J127" s="291"/>
      <c r="K127" s="292"/>
      <c r="L127" s="292"/>
      <c r="M127" s="293"/>
      <c r="N127" s="289"/>
      <c r="O127" s="291"/>
      <c r="P127" s="292"/>
      <c r="Q127" s="292"/>
      <c r="R127" s="293"/>
      <c r="S127" s="289"/>
      <c r="T127" s="291"/>
      <c r="U127" s="292"/>
      <c r="V127" s="292"/>
      <c r="W127" s="293"/>
      <c r="X127" s="289"/>
      <c r="Y127" s="291"/>
      <c r="Z127" s="292"/>
      <c r="AA127" s="292"/>
      <c r="AB127" s="293"/>
      <c r="AC127" s="289"/>
      <c r="AD127" s="291"/>
      <c r="AE127" s="292"/>
      <c r="AF127" s="292"/>
      <c r="AG127" s="293"/>
      <c r="AH127" s="289"/>
      <c r="AI127" s="291"/>
      <c r="AJ127" s="292"/>
      <c r="AK127" s="292"/>
      <c r="AL127" s="293"/>
      <c r="AM127" s="289"/>
      <c r="AN127" s="291"/>
      <c r="AO127" s="292"/>
      <c r="AP127" s="292"/>
      <c r="AQ127" s="293"/>
      <c r="AR127" s="289"/>
      <c r="AS127" s="291"/>
      <c r="AT127" s="292"/>
      <c r="AU127" s="292"/>
      <c r="AV127" s="293"/>
      <c r="AW127" s="289"/>
      <c r="AX127" s="291"/>
      <c r="AY127" s="292"/>
      <c r="AZ127" s="292"/>
      <c r="BA127" s="293"/>
      <c r="BB127" s="712"/>
      <c r="BC127" s="291"/>
      <c r="BD127" s="292"/>
      <c r="BE127" s="292"/>
      <c r="BF127" s="293"/>
      <c r="BG127" s="712"/>
      <c r="BH127" s="291"/>
      <c r="BI127" s="292"/>
      <c r="BJ127" s="292"/>
      <c r="BK127" s="293"/>
      <c r="BL127" s="712"/>
      <c r="BM127" s="291"/>
      <c r="BN127" s="292"/>
      <c r="BO127" s="292"/>
      <c r="BP127" s="293"/>
      <c r="BQ127" s="712"/>
      <c r="BR127" s="289"/>
      <c r="BS127" s="289"/>
      <c r="BT127" s="289"/>
      <c r="BU127" s="289"/>
      <c r="BV127" s="289"/>
      <c r="BW127" s="289"/>
      <c r="BX127" s="289"/>
      <c r="BY127" s="289"/>
      <c r="BZ127" s="289"/>
      <c r="CA127" s="289"/>
      <c r="CB127" s="289"/>
      <c r="CC127" s="289"/>
      <c r="CD127" s="289"/>
      <c r="CE127" s="289"/>
      <c r="CF127" s="289"/>
      <c r="CG127" s="289"/>
      <c r="CH127" s="289"/>
      <c r="CI127" s="289"/>
      <c r="CJ127" s="289"/>
      <c r="CK127" s="289"/>
      <c r="CL127" s="289"/>
      <c r="CM127" s="289"/>
      <c r="CN127" s="289"/>
      <c r="CO127" s="289"/>
      <c r="CP127" s="289"/>
      <c r="CQ127" s="289"/>
      <c r="CR127" s="289"/>
      <c r="CS127" s="289"/>
      <c r="CT127" s="289"/>
      <c r="CU127" s="289"/>
      <c r="CV127" s="289"/>
      <c r="CW127" s="289"/>
      <c r="CX127" s="289"/>
      <c r="CY127" s="289"/>
      <c r="CZ127" s="289"/>
    </row>
    <row r="128" spans="1:104" s="20" customFormat="1" x14ac:dyDescent="0.2">
      <c r="A128" s="289"/>
      <c r="B128" s="289"/>
      <c r="C128" s="605" t="s">
        <v>421</v>
      </c>
      <c r="D128" s="289"/>
      <c r="E128" s="291"/>
      <c r="F128" s="292"/>
      <c r="G128" s="292"/>
      <c r="H128" s="293"/>
      <c r="I128" s="289"/>
      <c r="J128" s="291"/>
      <c r="K128" s="292"/>
      <c r="L128" s="292"/>
      <c r="M128" s="293"/>
      <c r="N128" s="289"/>
      <c r="O128" s="136"/>
      <c r="P128" s="135"/>
      <c r="Q128" s="135"/>
      <c r="R128" s="116"/>
      <c r="S128" s="34">
        <v>100</v>
      </c>
      <c r="T128" s="136"/>
      <c r="U128" s="135"/>
      <c r="V128" s="135"/>
      <c r="W128" s="116"/>
      <c r="X128" s="34">
        <v>165</v>
      </c>
      <c r="Y128" s="136"/>
      <c r="Z128" s="135"/>
      <c r="AA128" s="135"/>
      <c r="AB128" s="116"/>
      <c r="AC128" s="34">
        <v>330</v>
      </c>
      <c r="AD128" s="136"/>
      <c r="AE128" s="135"/>
      <c r="AF128" s="135"/>
      <c r="AG128" s="116"/>
      <c r="AH128" s="853">
        <v>355</v>
      </c>
      <c r="AI128" s="136"/>
      <c r="AJ128" s="135"/>
      <c r="AK128" s="135"/>
      <c r="AL128" s="116"/>
      <c r="AM128" s="34">
        <f>+AM133-SUM(AM129:AM132)</f>
        <v>344.51099999999997</v>
      </c>
      <c r="AN128" s="136"/>
      <c r="AO128" s="135"/>
      <c r="AP128" s="135"/>
      <c r="AQ128" s="116"/>
      <c r="AR128" s="34">
        <f>+AR133-SUM(AR129:AR132)</f>
        <v>247.52200000000005</v>
      </c>
      <c r="AS128" s="136"/>
      <c r="AT128" s="137"/>
      <c r="AU128" s="137"/>
      <c r="AV128" s="116"/>
      <c r="AW128" s="34">
        <f>+AW133-SUM(AW129:AW132)</f>
        <v>309.86500000000001</v>
      </c>
      <c r="AX128" s="136">
        <f>+BB128/4</f>
        <v>80</v>
      </c>
      <c r="AY128" s="135">
        <f>(BB128-SUM(AX128:AX128))/3</f>
        <v>80</v>
      </c>
      <c r="AZ128" s="135">
        <f>(BB128-SUM(AX128:AY128))/2</f>
        <v>80</v>
      </c>
      <c r="BA128" s="116">
        <f>(BB128-SUM(AX128:AZ128))/1</f>
        <v>80</v>
      </c>
      <c r="BB128" s="34">
        <v>320</v>
      </c>
      <c r="BC128" s="136">
        <f>+BG128/4</f>
        <v>62.5</v>
      </c>
      <c r="BD128" s="135">
        <f>(BG128-SUM(BC128:BC128))/3</f>
        <v>62.5</v>
      </c>
      <c r="BE128" s="135">
        <f>(BG128-SUM(BC128:BD128))/2</f>
        <v>62.5</v>
      </c>
      <c r="BF128" s="116">
        <f>(BG128-SUM(BC128:BE128))/1</f>
        <v>62.5</v>
      </c>
      <c r="BG128" s="34">
        <v>250</v>
      </c>
      <c r="BH128" s="136">
        <f>+BL128/4</f>
        <v>37.5</v>
      </c>
      <c r="BI128" s="135">
        <f>(BL128-SUM(BH128:BH128))/3</f>
        <v>37.5</v>
      </c>
      <c r="BJ128" s="135">
        <f>(BL128-SUM(BH128:BI128))/2</f>
        <v>37.5</v>
      </c>
      <c r="BK128" s="116">
        <f>(BL128-SUM(BH128:BJ128))/1</f>
        <v>37.5</v>
      </c>
      <c r="BL128" s="34">
        <v>150</v>
      </c>
      <c r="BM128" s="136">
        <f>+BQ128/4</f>
        <v>62.5</v>
      </c>
      <c r="BN128" s="135">
        <f>(BQ128-SUM(BM128:BM128))/3</f>
        <v>62.5</v>
      </c>
      <c r="BO128" s="135">
        <f>(BQ128-SUM(BM128:BN128))/2</f>
        <v>62.5</v>
      </c>
      <c r="BP128" s="116">
        <f>(BQ128-SUM(BM128:BO128))/1</f>
        <v>62.5</v>
      </c>
      <c r="BQ128" s="34">
        <v>250</v>
      </c>
      <c r="BR128" s="289"/>
      <c r="BS128" s="289"/>
      <c r="BT128" s="289"/>
      <c r="BU128" s="289"/>
      <c r="BV128" s="289"/>
      <c r="BW128" s="289"/>
      <c r="BX128" s="289"/>
      <c r="BY128" s="289"/>
      <c r="BZ128" s="289"/>
      <c r="CA128" s="289"/>
      <c r="CB128" s="289"/>
      <c r="CC128" s="289"/>
      <c r="CD128" s="289"/>
      <c r="CE128" s="289"/>
      <c r="CF128" s="289"/>
      <c r="CG128" s="289"/>
      <c r="CH128" s="289"/>
      <c r="CI128" s="289"/>
      <c r="CJ128" s="289"/>
      <c r="CK128" s="289"/>
      <c r="CL128" s="289"/>
      <c r="CM128" s="289"/>
      <c r="CN128" s="289"/>
      <c r="CO128" s="289"/>
      <c r="CP128" s="289"/>
      <c r="CQ128" s="289"/>
      <c r="CR128" s="289"/>
      <c r="CS128" s="289"/>
      <c r="CT128" s="289"/>
      <c r="CU128" s="289"/>
      <c r="CV128" s="289"/>
      <c r="CW128" s="289"/>
      <c r="CX128" s="289"/>
      <c r="CY128" s="289"/>
      <c r="CZ128" s="289"/>
    </row>
    <row r="129" spans="1:104" s="20" customFormat="1" x14ac:dyDescent="0.2">
      <c r="A129" s="289"/>
      <c r="B129" s="289"/>
      <c r="C129" s="605" t="s">
        <v>423</v>
      </c>
      <c r="D129" s="289"/>
      <c r="E129" s="291"/>
      <c r="F129" s="292"/>
      <c r="G129" s="292"/>
      <c r="H129" s="293"/>
      <c r="I129" s="289"/>
      <c r="J129" s="291"/>
      <c r="K129" s="292"/>
      <c r="L129" s="292"/>
      <c r="M129" s="293"/>
      <c r="N129" s="289"/>
      <c r="O129" s="136"/>
      <c r="P129" s="135"/>
      <c r="Q129" s="135"/>
      <c r="R129" s="116"/>
      <c r="S129" s="34">
        <v>50</v>
      </c>
      <c r="T129" s="136"/>
      <c r="U129" s="135"/>
      <c r="V129" s="135"/>
      <c r="W129" s="116"/>
      <c r="X129" s="34">
        <v>55</v>
      </c>
      <c r="Y129" s="136"/>
      <c r="Z129" s="135"/>
      <c r="AA129" s="135"/>
      <c r="AB129" s="116"/>
      <c r="AC129" s="34">
        <v>70</v>
      </c>
      <c r="AD129" s="136"/>
      <c r="AE129" s="135"/>
      <c r="AF129" s="135"/>
      <c r="AG129" s="116"/>
      <c r="AH129" s="853">
        <v>75</v>
      </c>
      <c r="AI129" s="136"/>
      <c r="AJ129" s="135"/>
      <c r="AK129" s="135"/>
      <c r="AL129" s="116"/>
      <c r="AM129" s="34">
        <v>95</v>
      </c>
      <c r="AN129" s="136"/>
      <c r="AO129" s="135"/>
      <c r="AP129" s="135"/>
      <c r="AQ129" s="116"/>
      <c r="AR129" s="34">
        <v>115</v>
      </c>
      <c r="AS129" s="136"/>
      <c r="AT129" s="135"/>
      <c r="AU129" s="135"/>
      <c r="AV129" s="116"/>
      <c r="AW129" s="34">
        <v>130</v>
      </c>
      <c r="AX129" s="136">
        <f>+BB129/4</f>
        <v>25</v>
      </c>
      <c r="AY129" s="135">
        <f>(BB129-SUM(AX129:AX129))/3</f>
        <v>25</v>
      </c>
      <c r="AZ129" s="135">
        <f>(BB129-SUM(AX129:AY129))/2</f>
        <v>25</v>
      </c>
      <c r="BA129" s="116">
        <f>(BB129-SUM(AX129:AZ129))/1</f>
        <v>25</v>
      </c>
      <c r="BB129" s="34">
        <v>100</v>
      </c>
      <c r="BC129" s="136">
        <f>+BG129/4</f>
        <v>27.5</v>
      </c>
      <c r="BD129" s="135">
        <f>(BG129-SUM(BC129:BC129))/3</f>
        <v>27.5</v>
      </c>
      <c r="BE129" s="135">
        <f>(BG129-SUM(BC129:BD129))/2</f>
        <v>27.5</v>
      </c>
      <c r="BF129" s="116">
        <f>(BG129-SUM(BC129:BE129))/1</f>
        <v>27.5</v>
      </c>
      <c r="BG129" s="34">
        <v>110</v>
      </c>
      <c r="BH129" s="136">
        <f>+BL129/4</f>
        <v>27.5</v>
      </c>
      <c r="BI129" s="135">
        <f>(BL129-SUM(BH129:BH129))/3</f>
        <v>27.5</v>
      </c>
      <c r="BJ129" s="135">
        <f>(BL129-SUM(BH129:BI129))/2</f>
        <v>27.5</v>
      </c>
      <c r="BK129" s="116">
        <f>(BL129-SUM(BH129:BJ129))/1</f>
        <v>27.5</v>
      </c>
      <c r="BL129" s="34">
        <v>110</v>
      </c>
      <c r="BM129" s="136">
        <f>+BQ129/4</f>
        <v>32.5</v>
      </c>
      <c r="BN129" s="135">
        <f>(BQ129-SUM(BM129:BM129))/3</f>
        <v>32.5</v>
      </c>
      <c r="BO129" s="135">
        <f>(BQ129-SUM(BM129:BN129))/2</f>
        <v>32.5</v>
      </c>
      <c r="BP129" s="116">
        <f>(BQ129-SUM(BM129:BO129))/1</f>
        <v>32.5</v>
      </c>
      <c r="BQ129" s="34">
        <v>130</v>
      </c>
      <c r="BR129" s="289"/>
      <c r="BS129" s="709"/>
      <c r="BT129" s="289"/>
      <c r="BU129" s="289"/>
      <c r="BV129" s="289"/>
      <c r="BW129" s="289"/>
      <c r="BX129" s="289"/>
      <c r="BY129" s="289"/>
      <c r="BZ129" s="289"/>
      <c r="CA129" s="289"/>
      <c r="CB129" s="289"/>
      <c r="CC129" s="289"/>
      <c r="CD129" s="289"/>
      <c r="CE129" s="289"/>
      <c r="CF129" s="289"/>
      <c r="CG129" s="289"/>
      <c r="CH129" s="289"/>
      <c r="CI129" s="289"/>
      <c r="CJ129" s="289"/>
      <c r="CK129" s="289"/>
      <c r="CL129" s="289"/>
      <c r="CM129" s="289"/>
      <c r="CN129" s="289"/>
      <c r="CO129" s="289"/>
      <c r="CP129" s="289"/>
      <c r="CQ129" s="289"/>
      <c r="CR129" s="289"/>
      <c r="CS129" s="289"/>
      <c r="CT129" s="289"/>
      <c r="CU129" s="289"/>
      <c r="CV129" s="289"/>
      <c r="CW129" s="289"/>
      <c r="CX129" s="289"/>
      <c r="CY129" s="289"/>
      <c r="CZ129" s="289"/>
    </row>
    <row r="130" spans="1:104" s="20" customFormat="1" x14ac:dyDescent="0.2">
      <c r="A130" s="289"/>
      <c r="B130" s="289"/>
      <c r="C130" s="605" t="s">
        <v>422</v>
      </c>
      <c r="D130" s="289"/>
      <c r="E130" s="291"/>
      <c r="F130" s="292"/>
      <c r="G130" s="292"/>
      <c r="H130" s="293"/>
      <c r="I130" s="289"/>
      <c r="J130" s="291"/>
      <c r="K130" s="292"/>
      <c r="L130" s="292"/>
      <c r="M130" s="293"/>
      <c r="N130" s="289"/>
      <c r="O130" s="136"/>
      <c r="P130" s="135"/>
      <c r="Q130" s="135"/>
      <c r="R130" s="116"/>
      <c r="S130" s="34">
        <v>120</v>
      </c>
      <c r="T130" s="136"/>
      <c r="U130" s="135"/>
      <c r="V130" s="135"/>
      <c r="W130" s="116"/>
      <c r="X130" s="34">
        <v>130</v>
      </c>
      <c r="Y130" s="136"/>
      <c r="Z130" s="135"/>
      <c r="AA130" s="135"/>
      <c r="AB130" s="116"/>
      <c r="AC130" s="34">
        <v>70</v>
      </c>
      <c r="AD130" s="136"/>
      <c r="AE130" s="135"/>
      <c r="AF130" s="135"/>
      <c r="AG130" s="116"/>
      <c r="AH130" s="853">
        <v>60</v>
      </c>
      <c r="AI130" s="136"/>
      <c r="AJ130" s="135"/>
      <c r="AK130" s="135"/>
      <c r="AL130" s="116"/>
      <c r="AM130" s="34">
        <v>125</v>
      </c>
      <c r="AN130" s="136"/>
      <c r="AO130" s="135"/>
      <c r="AP130" s="135"/>
      <c r="AQ130" s="116"/>
      <c r="AR130" s="34">
        <v>85</v>
      </c>
      <c r="AS130" s="136"/>
      <c r="AT130" s="135"/>
      <c r="AU130" s="135"/>
      <c r="AV130" s="116"/>
      <c r="AW130" s="34">
        <v>65</v>
      </c>
      <c r="AX130" s="136">
        <f>+BB130/4</f>
        <v>15</v>
      </c>
      <c r="AY130" s="135">
        <f>(BB130-SUM(AX130:AX130))/3</f>
        <v>15</v>
      </c>
      <c r="AZ130" s="135">
        <f>(BB130-SUM(AX130:AY130))/2</f>
        <v>15</v>
      </c>
      <c r="BA130" s="116">
        <f>(BB130-SUM(AX130:AZ130))/1</f>
        <v>15</v>
      </c>
      <c r="BB130" s="34">
        <v>60</v>
      </c>
      <c r="BC130" s="136">
        <f>+BG130/4</f>
        <v>12.5</v>
      </c>
      <c r="BD130" s="135">
        <f>(BG130-SUM(BC130:BC130))/3</f>
        <v>12.5</v>
      </c>
      <c r="BE130" s="135">
        <f>(BG130-SUM(BC130:BD130))/2</f>
        <v>12.5</v>
      </c>
      <c r="BF130" s="116">
        <f>(BG130-SUM(BC130:BE130))/1</f>
        <v>12.5</v>
      </c>
      <c r="BG130" s="34">
        <v>50</v>
      </c>
      <c r="BH130" s="136">
        <f>+BL130/4</f>
        <v>12.5</v>
      </c>
      <c r="BI130" s="135">
        <f>(BL130-SUM(BH130:BH130))/3</f>
        <v>12.5</v>
      </c>
      <c r="BJ130" s="135">
        <f>(BL130-SUM(BH130:BI130))/2</f>
        <v>12.5</v>
      </c>
      <c r="BK130" s="116">
        <f>(BL130-SUM(BH130:BJ130))/1</f>
        <v>12.5</v>
      </c>
      <c r="BL130" s="34">
        <v>50</v>
      </c>
      <c r="BM130" s="136">
        <f>+BQ130/4</f>
        <v>12.5</v>
      </c>
      <c r="BN130" s="135">
        <f>(BQ130-SUM(BM130:BM130))/3</f>
        <v>12.5</v>
      </c>
      <c r="BO130" s="135">
        <f>(BQ130-SUM(BM130:BN130))/2</f>
        <v>12.5</v>
      </c>
      <c r="BP130" s="116">
        <f>(BQ130-SUM(BM130:BO130))/1</f>
        <v>12.5</v>
      </c>
      <c r="BQ130" s="34">
        <v>50</v>
      </c>
      <c r="BR130" s="289"/>
      <c r="BS130" s="289"/>
      <c r="BT130" s="289"/>
      <c r="BU130" s="289"/>
      <c r="BV130" s="289"/>
      <c r="BW130" s="289"/>
      <c r="BX130" s="289"/>
      <c r="BY130" s="289"/>
      <c r="BZ130" s="289"/>
      <c r="CA130" s="289"/>
      <c r="CB130" s="289"/>
      <c r="CC130" s="289"/>
      <c r="CD130" s="289"/>
      <c r="CE130" s="289"/>
      <c r="CF130" s="289"/>
      <c r="CG130" s="289"/>
      <c r="CH130" s="289"/>
      <c r="CI130" s="289"/>
      <c r="CJ130" s="289"/>
      <c r="CK130" s="289"/>
      <c r="CL130" s="289"/>
      <c r="CM130" s="289"/>
      <c r="CN130" s="289"/>
      <c r="CO130" s="289"/>
      <c r="CP130" s="289"/>
      <c r="CQ130" s="289"/>
      <c r="CR130" s="289"/>
      <c r="CS130" s="289"/>
      <c r="CT130" s="289"/>
      <c r="CU130" s="289"/>
      <c r="CV130" s="289"/>
      <c r="CW130" s="289"/>
      <c r="CX130" s="289"/>
      <c r="CY130" s="289"/>
      <c r="CZ130" s="289"/>
    </row>
    <row r="131" spans="1:104" s="20" customFormat="1" x14ac:dyDescent="0.2">
      <c r="A131" s="289"/>
      <c r="B131" s="289"/>
      <c r="C131" s="932" t="s">
        <v>97</v>
      </c>
      <c r="D131" s="289"/>
      <c r="E131" s="291"/>
      <c r="F131" s="292"/>
      <c r="G131" s="292"/>
      <c r="H131" s="293"/>
      <c r="I131" s="289"/>
      <c r="J131" s="291"/>
      <c r="K131" s="292"/>
      <c r="L131" s="292"/>
      <c r="M131" s="293"/>
      <c r="N131" s="289"/>
      <c r="O131" s="136"/>
      <c r="P131" s="135"/>
      <c r="Q131" s="135"/>
      <c r="R131" s="116"/>
      <c r="S131" s="34">
        <v>30</v>
      </c>
      <c r="T131" s="136"/>
      <c r="U131" s="135"/>
      <c r="V131" s="135"/>
      <c r="W131" s="116"/>
      <c r="X131" s="34">
        <v>35</v>
      </c>
      <c r="Y131" s="136"/>
      <c r="Z131" s="135"/>
      <c r="AA131" s="135"/>
      <c r="AB131" s="116"/>
      <c r="AC131" s="34">
        <v>20</v>
      </c>
      <c r="AD131" s="136"/>
      <c r="AE131" s="135"/>
      <c r="AF131" s="135"/>
      <c r="AG131" s="116"/>
      <c r="AH131" s="853">
        <v>40</v>
      </c>
      <c r="AI131" s="136"/>
      <c r="AJ131" s="135"/>
      <c r="AK131" s="135"/>
      <c r="AL131" s="116"/>
      <c r="AM131" s="34">
        <v>35</v>
      </c>
      <c r="AN131" s="136"/>
      <c r="AO131" s="135"/>
      <c r="AP131" s="135"/>
      <c r="AQ131" s="116"/>
      <c r="AR131" s="34">
        <v>65</v>
      </c>
      <c r="AS131" s="136"/>
      <c r="AT131" s="135"/>
      <c r="AU131" s="135"/>
      <c r="AV131" s="116"/>
      <c r="AW131" s="34">
        <v>55</v>
      </c>
      <c r="AX131" s="136">
        <f>+BB131/4</f>
        <v>7.5</v>
      </c>
      <c r="AY131" s="135">
        <f>(BB131-SUM(AX131:AX131))/3</f>
        <v>7.5</v>
      </c>
      <c r="AZ131" s="135">
        <f>(BB131-SUM(AX131:AY131))/2</f>
        <v>7.5</v>
      </c>
      <c r="BA131" s="116">
        <f>(BB131-SUM(AX131:AZ131))/1</f>
        <v>7.5</v>
      </c>
      <c r="BB131" s="34">
        <v>30</v>
      </c>
      <c r="BC131" s="136">
        <f>+BG131/4</f>
        <v>10</v>
      </c>
      <c r="BD131" s="135">
        <f>(BG131-SUM(BC131:BC131))/3</f>
        <v>10</v>
      </c>
      <c r="BE131" s="135">
        <f>(BG131-SUM(BC131:BD131))/2</f>
        <v>10</v>
      </c>
      <c r="BF131" s="116">
        <f>(BG131-SUM(BC131:BE131))/1</f>
        <v>10</v>
      </c>
      <c r="BG131" s="34">
        <v>40</v>
      </c>
      <c r="BH131" s="136">
        <f>+BL131/4</f>
        <v>10</v>
      </c>
      <c r="BI131" s="135">
        <f>(BL131-SUM(BH131:BH131))/3</f>
        <v>10</v>
      </c>
      <c r="BJ131" s="135">
        <f>(BL131-SUM(BH131:BI131))/2</f>
        <v>10</v>
      </c>
      <c r="BK131" s="116">
        <f>(BL131-SUM(BH131:BJ131))/1</f>
        <v>10</v>
      </c>
      <c r="BL131" s="34">
        <v>40</v>
      </c>
      <c r="BM131" s="136">
        <f>+BQ131/4</f>
        <v>10</v>
      </c>
      <c r="BN131" s="135">
        <f>(BQ131-SUM(BM131:BM131))/3</f>
        <v>10</v>
      </c>
      <c r="BO131" s="135">
        <f>(BQ131-SUM(BM131:BN131))/2</f>
        <v>10</v>
      </c>
      <c r="BP131" s="116">
        <f>(BQ131-SUM(BM131:BO131))/1</f>
        <v>10</v>
      </c>
      <c r="BQ131" s="34">
        <v>40</v>
      </c>
      <c r="BR131" s="289"/>
      <c r="BS131" s="289"/>
      <c r="BT131" s="289"/>
      <c r="BU131" s="289"/>
      <c r="BV131" s="289"/>
      <c r="BW131" s="289"/>
      <c r="BX131" s="289"/>
      <c r="BY131" s="289"/>
      <c r="BZ131" s="289"/>
      <c r="CA131" s="289"/>
      <c r="CB131" s="289"/>
      <c r="CC131" s="289"/>
      <c r="CD131" s="289"/>
      <c r="CE131" s="289"/>
      <c r="CF131" s="289"/>
      <c r="CG131" s="289"/>
      <c r="CH131" s="289"/>
      <c r="CI131" s="289"/>
      <c r="CJ131" s="289"/>
      <c r="CK131" s="289"/>
      <c r="CL131" s="289"/>
      <c r="CM131" s="289"/>
      <c r="CN131" s="289"/>
      <c r="CO131" s="289"/>
      <c r="CP131" s="289"/>
      <c r="CQ131" s="289"/>
      <c r="CR131" s="289"/>
      <c r="CS131" s="289"/>
      <c r="CT131" s="289"/>
      <c r="CU131" s="289"/>
      <c r="CV131" s="289"/>
      <c r="CW131" s="289"/>
      <c r="CX131" s="289"/>
      <c r="CY131" s="289"/>
      <c r="CZ131" s="289"/>
    </row>
    <row r="132" spans="1:104" s="20" customFormat="1" x14ac:dyDescent="0.2">
      <c r="A132" s="289"/>
      <c r="B132" s="289"/>
      <c r="C132" s="932" t="s">
        <v>595</v>
      </c>
      <c r="D132" s="289"/>
      <c r="E132" s="291"/>
      <c r="F132" s="292"/>
      <c r="G132" s="292"/>
      <c r="H132" s="293"/>
      <c r="I132" s="289"/>
      <c r="J132" s="291"/>
      <c r="K132" s="292"/>
      <c r="L132" s="292"/>
      <c r="M132" s="293"/>
      <c r="N132" s="289"/>
      <c r="O132" s="136"/>
      <c r="P132" s="135"/>
      <c r="Q132" s="135"/>
      <c r="R132" s="116"/>
      <c r="S132" s="34">
        <f>+S133-SUM(S128:S131)</f>
        <v>8.2230000000000132</v>
      </c>
      <c r="T132" s="136"/>
      <c r="U132" s="135"/>
      <c r="V132" s="135"/>
      <c r="W132" s="116"/>
      <c r="X132" s="34">
        <f>+X133-SUM(X128:X131)</f>
        <v>-0.37400000000002365</v>
      </c>
      <c r="Y132" s="136"/>
      <c r="Z132" s="135"/>
      <c r="AA132" s="135"/>
      <c r="AB132" s="116"/>
      <c r="AC132" s="34">
        <f>+AC133-SUM(AC128:AC131)</f>
        <v>94.73599999999999</v>
      </c>
      <c r="AD132" s="136"/>
      <c r="AE132" s="135"/>
      <c r="AF132" s="135"/>
      <c r="AG132" s="116"/>
      <c r="AH132" s="853">
        <f>+AH133-SUM(AH128:AH131)</f>
        <v>24.936000000000035</v>
      </c>
      <c r="AI132" s="842"/>
      <c r="AJ132" s="843"/>
      <c r="AK132" s="135"/>
      <c r="AL132" s="116"/>
      <c r="AM132" s="841">
        <v>0</v>
      </c>
      <c r="AN132" s="842"/>
      <c r="AO132" s="843"/>
      <c r="AP132" s="135"/>
      <c r="AQ132" s="116"/>
      <c r="AR132" s="841">
        <v>0</v>
      </c>
      <c r="AS132" s="136"/>
      <c r="AT132" s="843"/>
      <c r="AU132" s="843"/>
      <c r="AV132" s="844"/>
      <c r="AW132" s="841">
        <v>0</v>
      </c>
      <c r="AX132" s="842">
        <f>+BB132/4</f>
        <v>127.5</v>
      </c>
      <c r="AY132" s="843">
        <f>(BB132-SUM(AX132:AX132))/3</f>
        <v>127.5</v>
      </c>
      <c r="AZ132" s="843">
        <f>(BB132-SUM(AX132:AY132))/2</f>
        <v>127.5</v>
      </c>
      <c r="BA132" s="844">
        <f>(BB132-SUM(AX132:AZ132))/1</f>
        <v>127.5</v>
      </c>
      <c r="BB132" s="841">
        <v>510</v>
      </c>
      <c r="BC132" s="842">
        <f>+BG132/4</f>
        <v>172.5</v>
      </c>
      <c r="BD132" s="843">
        <f>(BG132-SUM(BC132:BC132))/3</f>
        <v>172.5</v>
      </c>
      <c r="BE132" s="843">
        <f>(BG132-SUM(BC132:BD132))/2</f>
        <v>172.5</v>
      </c>
      <c r="BF132" s="844">
        <f>(BG132-SUM(BC132:BE132))/1</f>
        <v>172.5</v>
      </c>
      <c r="BG132" s="841">
        <v>690</v>
      </c>
      <c r="BH132" s="842">
        <f>+BL132/4</f>
        <v>90</v>
      </c>
      <c r="BI132" s="843">
        <f>(BL132-SUM(BH132:BH132))/3</f>
        <v>90</v>
      </c>
      <c r="BJ132" s="843">
        <f>(BL132-SUM(BH132:BI132))/2</f>
        <v>90</v>
      </c>
      <c r="BK132" s="844">
        <f>(BL132-SUM(BH132:BJ132))/1</f>
        <v>90</v>
      </c>
      <c r="BL132" s="841">
        <v>360</v>
      </c>
      <c r="BM132" s="842">
        <f>+BQ132/4</f>
        <v>0</v>
      </c>
      <c r="BN132" s="843">
        <f>(BQ132-SUM(BM132:BM132))/3</f>
        <v>0</v>
      </c>
      <c r="BO132" s="843">
        <f>(BQ132-SUM(BM132:BN132))/2</f>
        <v>0</v>
      </c>
      <c r="BP132" s="844">
        <f>(BQ132-SUM(BM132:BO132))/1</f>
        <v>0</v>
      </c>
      <c r="BQ132" s="841">
        <v>0</v>
      </c>
      <c r="BR132" s="289"/>
      <c r="BS132" s="289"/>
      <c r="BT132" s="289"/>
      <c r="BU132" s="289"/>
      <c r="BV132" s="289"/>
      <c r="BW132" s="289"/>
      <c r="BX132" s="289"/>
      <c r="BY132" s="289"/>
      <c r="BZ132" s="289"/>
      <c r="CA132" s="289"/>
      <c r="CB132" s="289"/>
      <c r="CC132" s="289"/>
      <c r="CD132" s="289"/>
      <c r="CE132" s="289"/>
      <c r="CF132" s="289"/>
      <c r="CG132" s="289"/>
      <c r="CH132" s="289"/>
      <c r="CI132" s="289"/>
      <c r="CJ132" s="289"/>
      <c r="CK132" s="289"/>
      <c r="CL132" s="289"/>
      <c r="CM132" s="289"/>
      <c r="CN132" s="289"/>
      <c r="CO132" s="289"/>
      <c r="CP132" s="289"/>
      <c r="CQ132" s="289"/>
      <c r="CR132" s="289"/>
      <c r="CS132" s="289"/>
      <c r="CT132" s="289"/>
      <c r="CU132" s="289"/>
      <c r="CV132" s="289"/>
      <c r="CW132" s="289"/>
      <c r="CX132" s="289"/>
      <c r="CY132" s="289"/>
      <c r="CZ132" s="289"/>
    </row>
    <row r="133" spans="1:104" x14ac:dyDescent="0.2">
      <c r="A133" s="85"/>
      <c r="B133" s="85"/>
      <c r="C133" s="336" t="s">
        <v>292</v>
      </c>
      <c r="D133" s="86"/>
      <c r="E133" s="124">
        <f>-E167</f>
        <v>44.398000000000003</v>
      </c>
      <c r="F133" s="129">
        <f t="shared" ref="F133:M133" si="276">-F167</f>
        <v>51.607999999999997</v>
      </c>
      <c r="G133" s="129">
        <f t="shared" si="276"/>
        <v>52.537000000000006</v>
      </c>
      <c r="H133" s="126">
        <f t="shared" si="276"/>
        <v>63.323000000000008</v>
      </c>
      <c r="I133" s="127">
        <f t="shared" si="276"/>
        <v>211.86600000000001</v>
      </c>
      <c r="J133" s="124">
        <f t="shared" si="276"/>
        <v>47.280999999999999</v>
      </c>
      <c r="K133" s="129">
        <f t="shared" si="276"/>
        <v>64.045999999999992</v>
      </c>
      <c r="L133" s="129">
        <f t="shared" si="276"/>
        <v>84.707999999999998</v>
      </c>
      <c r="M133" s="126">
        <f t="shared" si="276"/>
        <v>113.37300000000002</v>
      </c>
      <c r="N133" s="127">
        <f t="shared" ref="N133:AI133" si="277">-N167</f>
        <v>309.40800000000002</v>
      </c>
      <c r="O133" s="124">
        <f t="shared" si="277"/>
        <v>91.01</v>
      </c>
      <c r="P133" s="129">
        <f t="shared" si="277"/>
        <v>71.98</v>
      </c>
      <c r="Q133" s="129">
        <f t="shared" si="277"/>
        <v>61.873999999999995</v>
      </c>
      <c r="R133" s="126">
        <f t="shared" si="277"/>
        <v>83.359000000000009</v>
      </c>
      <c r="S133" s="127">
        <f t="shared" si="277"/>
        <v>308.22300000000001</v>
      </c>
      <c r="T133" s="124">
        <f t="shared" si="277"/>
        <v>86.03</v>
      </c>
      <c r="U133" s="122">
        <f t="shared" si="277"/>
        <v>98.878999999999991</v>
      </c>
      <c r="V133" s="129">
        <f t="shared" si="277"/>
        <v>90.343999999999994</v>
      </c>
      <c r="W133" s="126">
        <f t="shared" si="277"/>
        <v>109.37299999999999</v>
      </c>
      <c r="X133" s="127">
        <f t="shared" si="277"/>
        <v>384.62599999999998</v>
      </c>
      <c r="Y133" s="124">
        <f t="shared" si="277"/>
        <v>106.376</v>
      </c>
      <c r="Z133" s="122">
        <f t="shared" si="277"/>
        <v>147.93299999999999</v>
      </c>
      <c r="AA133" s="129">
        <f t="shared" si="277"/>
        <v>169.126</v>
      </c>
      <c r="AB133" s="126">
        <f t="shared" si="277"/>
        <v>161.30099999999999</v>
      </c>
      <c r="AC133" s="127">
        <f t="shared" si="277"/>
        <v>584.73599999999999</v>
      </c>
      <c r="AD133" s="124">
        <f t="shared" si="277"/>
        <v>137.637</v>
      </c>
      <c r="AE133" s="122">
        <f t="shared" si="277"/>
        <v>143.76100000000002</v>
      </c>
      <c r="AF133" s="129">
        <f t="shared" si="277"/>
        <v>131.57799999999997</v>
      </c>
      <c r="AG133" s="126">
        <f t="shared" si="277"/>
        <v>141.96000000000004</v>
      </c>
      <c r="AH133" s="127">
        <f t="shared" si="277"/>
        <v>554.93600000000004</v>
      </c>
      <c r="AI133" s="124">
        <f t="shared" si="277"/>
        <v>126.622</v>
      </c>
      <c r="AJ133" s="122">
        <f t="shared" ref="AJ133:AW133" si="278">-AJ167</f>
        <v>153.99299999999999</v>
      </c>
      <c r="AK133" s="122">
        <f t="shared" si="278"/>
        <v>148.37599999999998</v>
      </c>
      <c r="AL133" s="123">
        <f t="shared" si="278"/>
        <v>170.51999999999998</v>
      </c>
      <c r="AM133" s="86">
        <f t="shared" si="278"/>
        <v>599.51099999999997</v>
      </c>
      <c r="AN133" s="124">
        <f t="shared" si="278"/>
        <v>135.72</v>
      </c>
      <c r="AO133" s="122">
        <f t="shared" si="278"/>
        <v>127.93300000000002</v>
      </c>
      <c r="AP133" s="122">
        <f t="shared" si="278"/>
        <v>108.34100000000001</v>
      </c>
      <c r="AQ133" s="123">
        <f t="shared" si="278"/>
        <v>140.52800000000002</v>
      </c>
      <c r="AR133" s="86">
        <f t="shared" si="278"/>
        <v>512.52200000000005</v>
      </c>
      <c r="AS133" s="124">
        <f t="shared" si="278"/>
        <v>142.559</v>
      </c>
      <c r="AT133" s="122">
        <f t="shared" si="278"/>
        <v>137.35900000000001</v>
      </c>
      <c r="AU133" s="122">
        <f t="shared" si="278"/>
        <v>121.03899999999999</v>
      </c>
      <c r="AV133" s="123">
        <f t="shared" si="278"/>
        <v>158.90800000000002</v>
      </c>
      <c r="AW133" s="86">
        <f t="shared" si="278"/>
        <v>559.86500000000001</v>
      </c>
      <c r="AX133" s="121">
        <f t="shared" ref="AX133:BA133" si="279">SUM(AX128:AX132)</f>
        <v>255</v>
      </c>
      <c r="AY133" s="122">
        <f t="shared" si="279"/>
        <v>255</v>
      </c>
      <c r="AZ133" s="122">
        <f t="shared" si="279"/>
        <v>255</v>
      </c>
      <c r="BA133" s="123">
        <f t="shared" si="279"/>
        <v>255</v>
      </c>
      <c r="BB133" s="86">
        <f>SUM(BB128:BB132)</f>
        <v>1020</v>
      </c>
      <c r="BC133" s="121">
        <f>SUM(BC128:BC132)</f>
        <v>285</v>
      </c>
      <c r="BD133" s="122">
        <f>SUM(BD128:BD132)</f>
        <v>285</v>
      </c>
      <c r="BE133" s="122">
        <f>SUM(BE128:BE132)</f>
        <v>285</v>
      </c>
      <c r="BF133" s="123">
        <f>SUM(BF128:BF132)</f>
        <v>285</v>
      </c>
      <c r="BG133" s="86">
        <f t="shared" ref="BG133:BL133" si="280">SUM(BG128:BG132)</f>
        <v>1140</v>
      </c>
      <c r="BH133" s="121">
        <f t="shared" si="280"/>
        <v>177.5</v>
      </c>
      <c r="BI133" s="122">
        <f t="shared" si="280"/>
        <v>177.5</v>
      </c>
      <c r="BJ133" s="122">
        <f t="shared" si="280"/>
        <v>177.5</v>
      </c>
      <c r="BK133" s="123">
        <f t="shared" si="280"/>
        <v>177.5</v>
      </c>
      <c r="BL133" s="86">
        <f t="shared" si="280"/>
        <v>710</v>
      </c>
      <c r="BM133" s="121">
        <f t="shared" ref="BM133:BQ133" si="281">SUM(BM128:BM132)</f>
        <v>117.5</v>
      </c>
      <c r="BN133" s="122">
        <f t="shared" si="281"/>
        <v>117.5</v>
      </c>
      <c r="BO133" s="122">
        <f t="shared" si="281"/>
        <v>117.5</v>
      </c>
      <c r="BP133" s="123">
        <f t="shared" si="281"/>
        <v>117.5</v>
      </c>
      <c r="BQ133" s="86">
        <f t="shared" si="281"/>
        <v>470</v>
      </c>
      <c r="BR133" s="85"/>
      <c r="BS133" s="289"/>
      <c r="BT133" s="85"/>
      <c r="BU133" s="85"/>
      <c r="BV133" s="85"/>
      <c r="BW133" s="85"/>
      <c r="BX133" s="85"/>
      <c r="BY133" s="85"/>
      <c r="BZ133" s="85"/>
      <c r="CA133" s="85"/>
      <c r="CB133" s="85"/>
      <c r="CC133" s="85"/>
      <c r="CD133" s="85"/>
      <c r="CE133" s="85"/>
      <c r="CF133" s="85"/>
      <c r="CG133" s="85"/>
      <c r="CH133" s="85"/>
      <c r="CI133" s="85"/>
      <c r="CJ133" s="85"/>
      <c r="CK133" s="85"/>
      <c r="CL133" s="85"/>
      <c r="CM133" s="85"/>
      <c r="CN133" s="85"/>
      <c r="CO133" s="85"/>
      <c r="CP133" s="85"/>
      <c r="CQ133" s="85"/>
      <c r="CR133" s="85"/>
      <c r="CS133" s="85"/>
      <c r="CT133" s="85"/>
      <c r="CU133" s="85"/>
      <c r="CV133" s="85"/>
      <c r="CW133" s="85"/>
      <c r="CX133" s="85"/>
      <c r="CY133" s="85"/>
      <c r="CZ133" s="85"/>
    </row>
    <row r="134" spans="1:104" x14ac:dyDescent="0.2">
      <c r="A134" s="289"/>
      <c r="B134" s="289"/>
      <c r="C134" s="289"/>
      <c r="D134" s="289"/>
      <c r="E134" s="294"/>
      <c r="F134" s="345"/>
      <c r="G134" s="345"/>
      <c r="H134" s="296"/>
      <c r="I134" s="346"/>
      <c r="J134" s="294"/>
      <c r="K134" s="345"/>
      <c r="L134" s="345"/>
      <c r="M134" s="296"/>
      <c r="N134" s="346"/>
      <c r="O134" s="294"/>
      <c r="P134" s="345"/>
      <c r="Q134" s="345"/>
      <c r="R134" s="296"/>
      <c r="S134" s="346"/>
      <c r="T134" s="291"/>
      <c r="U134" s="292"/>
      <c r="V134" s="292"/>
      <c r="W134" s="293"/>
      <c r="X134" s="289"/>
      <c r="Y134" s="291"/>
      <c r="Z134" s="292"/>
      <c r="AA134" s="292"/>
      <c r="AB134" s="293"/>
      <c r="AC134" s="289"/>
      <c r="AD134" s="291"/>
      <c r="AE134" s="292"/>
      <c r="AF134" s="292"/>
      <c r="AG134" s="293"/>
      <c r="AH134" s="289"/>
      <c r="AI134" s="291"/>
      <c r="AJ134" s="292"/>
      <c r="AK134" s="292"/>
      <c r="AL134" s="293"/>
      <c r="AM134" s="289"/>
      <c r="AN134" s="291"/>
      <c r="AO134" s="292"/>
      <c r="AP134" s="292"/>
      <c r="AQ134" s="293"/>
      <c r="AR134" s="289"/>
      <c r="AS134" s="291"/>
      <c r="AT134" s="292"/>
      <c r="AU134" s="292"/>
      <c r="AV134" s="293"/>
      <c r="AW134" s="289"/>
      <c r="AX134" s="291"/>
      <c r="AY134" s="292"/>
      <c r="AZ134" s="292"/>
      <c r="BA134" s="293"/>
      <c r="BB134" s="289"/>
      <c r="BC134" s="291"/>
      <c r="BD134" s="292"/>
      <c r="BE134" s="292"/>
      <c r="BF134" s="293"/>
      <c r="BG134" s="289"/>
      <c r="BH134" s="291"/>
      <c r="BI134" s="292"/>
      <c r="BJ134" s="292"/>
      <c r="BK134" s="293"/>
      <c r="BL134" s="289"/>
      <c r="BM134" s="291"/>
      <c r="BN134" s="292"/>
      <c r="BO134" s="292"/>
      <c r="BP134" s="293"/>
      <c r="BQ134" s="289"/>
      <c r="BR134" s="289"/>
      <c r="BS134" s="289"/>
      <c r="BT134" s="289"/>
      <c r="BU134" s="289"/>
      <c r="BV134" s="289"/>
      <c r="BW134" s="289"/>
      <c r="BX134" s="289"/>
      <c r="BY134" s="289"/>
      <c r="BZ134" s="289"/>
      <c r="CA134" s="289"/>
      <c r="CB134" s="289"/>
      <c r="CC134" s="289"/>
      <c r="CD134" s="289"/>
      <c r="CE134" s="289"/>
      <c r="CF134" s="289"/>
      <c r="CG134" s="289"/>
      <c r="CH134" s="289"/>
      <c r="CI134" s="289"/>
      <c r="CJ134" s="289"/>
      <c r="CK134" s="289"/>
      <c r="CL134" s="289"/>
      <c r="CM134" s="289"/>
      <c r="CN134" s="289"/>
      <c r="CO134" s="289"/>
      <c r="CP134" s="289"/>
      <c r="CQ134" s="289"/>
      <c r="CR134" s="289"/>
      <c r="CS134" s="289"/>
      <c r="CT134" s="289"/>
      <c r="CU134" s="289"/>
      <c r="CV134" s="289"/>
      <c r="CW134" s="289"/>
      <c r="CX134" s="289"/>
      <c r="CY134" s="289"/>
      <c r="CZ134" s="289"/>
    </row>
    <row r="135" spans="1:104" x14ac:dyDescent="0.2">
      <c r="A135" s="289"/>
      <c r="B135" s="289"/>
      <c r="C135" s="289"/>
      <c r="D135" s="289"/>
      <c r="E135" s="291"/>
      <c r="F135" s="292"/>
      <c r="G135" s="292"/>
      <c r="H135" s="293"/>
      <c r="I135" s="289"/>
      <c r="J135" s="291"/>
      <c r="K135" s="292"/>
      <c r="L135" s="292"/>
      <c r="M135" s="293"/>
      <c r="N135" s="289"/>
      <c r="O135" s="291"/>
      <c r="P135" s="292"/>
      <c r="Q135" s="292"/>
      <c r="R135" s="293"/>
      <c r="S135" s="289"/>
      <c r="T135" s="291"/>
      <c r="U135" s="292"/>
      <c r="V135" s="292"/>
      <c r="W135" s="293"/>
      <c r="X135" s="289"/>
      <c r="Y135" s="291"/>
      <c r="Z135" s="292"/>
      <c r="AA135" s="292"/>
      <c r="AB135" s="293"/>
      <c r="AC135" s="289"/>
      <c r="AD135" s="291"/>
      <c r="AE135" s="292"/>
      <c r="AF135" s="292"/>
      <c r="AG135" s="293"/>
      <c r="AH135" s="289"/>
      <c r="AI135" s="291"/>
      <c r="AJ135" s="292"/>
      <c r="AK135" s="292"/>
      <c r="AL135" s="293"/>
      <c r="AM135" s="289"/>
      <c r="AN135" s="291"/>
      <c r="AO135" s="292"/>
      <c r="AP135" s="292"/>
      <c r="AQ135" s="293"/>
      <c r="AR135" s="289"/>
      <c r="AS135" s="291"/>
      <c r="AT135" s="292"/>
      <c r="AU135" s="292"/>
      <c r="AV135" s="293"/>
      <c r="AW135" s="289"/>
      <c r="AX135" s="291"/>
      <c r="AY135" s="292"/>
      <c r="AZ135" s="292"/>
      <c r="BA135" s="293"/>
      <c r="BB135" s="289"/>
      <c r="BC135" s="291"/>
      <c r="BD135" s="292"/>
      <c r="BE135" s="292"/>
      <c r="BF135" s="293"/>
      <c r="BG135" s="289"/>
      <c r="BH135" s="291"/>
      <c r="BI135" s="292"/>
      <c r="BJ135" s="292"/>
      <c r="BK135" s="293"/>
      <c r="BL135" s="289"/>
      <c r="BM135" s="291"/>
      <c r="BN135" s="292"/>
      <c r="BO135" s="292"/>
      <c r="BP135" s="293"/>
      <c r="BQ135" s="289"/>
      <c r="BR135" s="289"/>
      <c r="BS135" s="289"/>
      <c r="BT135" s="289"/>
      <c r="BU135" s="289"/>
      <c r="BV135" s="289"/>
      <c r="BW135" s="289"/>
      <c r="BX135" s="289"/>
      <c r="BY135" s="289"/>
      <c r="BZ135" s="289"/>
      <c r="CA135" s="289"/>
      <c r="CB135" s="289"/>
      <c r="CC135" s="289"/>
      <c r="CD135" s="289"/>
      <c r="CE135" s="289"/>
      <c r="CF135" s="289"/>
      <c r="CG135" s="289"/>
      <c r="CH135" s="289"/>
      <c r="CI135" s="289"/>
      <c r="CJ135" s="289"/>
      <c r="CK135" s="289"/>
      <c r="CL135" s="289"/>
      <c r="CM135" s="289"/>
      <c r="CN135" s="289"/>
      <c r="CO135" s="289"/>
      <c r="CP135" s="289"/>
      <c r="CQ135" s="289"/>
      <c r="CR135" s="289"/>
      <c r="CS135" s="289"/>
      <c r="CT135" s="289"/>
      <c r="CU135" s="289"/>
      <c r="CV135" s="289"/>
      <c r="CW135" s="289"/>
      <c r="CX135" s="289"/>
      <c r="CY135" s="289"/>
      <c r="CZ135" s="289"/>
    </row>
    <row r="136" spans="1:104" x14ac:dyDescent="0.2">
      <c r="A136" s="289"/>
      <c r="B136" s="347" t="s">
        <v>293</v>
      </c>
      <c r="C136" s="347"/>
      <c r="D136" s="348"/>
      <c r="E136" s="291"/>
      <c r="F136" s="292"/>
      <c r="G136" s="292"/>
      <c r="H136" s="293"/>
      <c r="I136" s="289"/>
      <c r="J136" s="291"/>
      <c r="K136" s="292"/>
      <c r="L136" s="292"/>
      <c r="M136" s="293"/>
      <c r="N136" s="289"/>
      <c r="O136" s="291"/>
      <c r="P136" s="292"/>
      <c r="Q136" s="292"/>
      <c r="R136" s="293"/>
      <c r="S136" s="289"/>
      <c r="T136" s="291"/>
      <c r="U136" s="292"/>
      <c r="V136" s="292"/>
      <c r="W136" s="293"/>
      <c r="X136" s="289"/>
      <c r="Y136" s="291"/>
      <c r="Z136" s="292"/>
      <c r="AA136" s="292"/>
      <c r="AB136" s="293"/>
      <c r="AC136" s="289"/>
      <c r="AD136" s="291"/>
      <c r="AE136" s="292"/>
      <c r="AF136" s="292"/>
      <c r="AG136" s="293"/>
      <c r="AH136" s="289"/>
      <c r="AI136" s="291"/>
      <c r="AJ136" s="292"/>
      <c r="AK136" s="292"/>
      <c r="AL136" s="293"/>
      <c r="AM136" s="289"/>
      <c r="AN136" s="291"/>
      <c r="AO136" s="292"/>
      <c r="AP136" s="292"/>
      <c r="AQ136" s="293"/>
      <c r="AR136" s="289"/>
      <c r="AS136" s="291"/>
      <c r="AT136" s="292"/>
      <c r="AU136" s="292"/>
      <c r="AV136" s="293"/>
      <c r="AW136" s="289"/>
      <c r="AX136" s="291"/>
      <c r="AY136" s="292"/>
      <c r="AZ136" s="292"/>
      <c r="BA136" s="293"/>
      <c r="BB136" s="289"/>
      <c r="BC136" s="291"/>
      <c r="BD136" s="292"/>
      <c r="BE136" s="292"/>
      <c r="BF136" s="293"/>
      <c r="BG136" s="289"/>
      <c r="BH136" s="291"/>
      <c r="BI136" s="292"/>
      <c r="BJ136" s="292"/>
      <c r="BK136" s="293"/>
      <c r="BL136" s="289"/>
      <c r="BM136" s="291"/>
      <c r="BN136" s="292"/>
      <c r="BO136" s="292"/>
      <c r="BP136" s="293"/>
      <c r="BQ136" s="289"/>
      <c r="BR136" s="289"/>
      <c r="BS136" s="289"/>
      <c r="BT136" s="289"/>
      <c r="BU136" s="289"/>
      <c r="BV136" s="289"/>
      <c r="BW136" s="289"/>
      <c r="BX136" s="289"/>
      <c r="BY136" s="289"/>
      <c r="BZ136" s="289"/>
      <c r="CA136" s="289"/>
      <c r="CB136" s="289"/>
      <c r="CC136" s="289"/>
      <c r="CD136" s="289"/>
      <c r="CE136" s="289"/>
      <c r="CF136" s="289"/>
      <c r="CG136" s="289"/>
      <c r="CH136" s="289"/>
      <c r="CI136" s="289"/>
      <c r="CJ136" s="289"/>
      <c r="CK136" s="289"/>
      <c r="CL136" s="289"/>
      <c r="CM136" s="289"/>
      <c r="CN136" s="289"/>
      <c r="CO136" s="289"/>
      <c r="CP136" s="289"/>
      <c r="CQ136" s="289"/>
      <c r="CR136" s="289"/>
      <c r="CS136" s="289"/>
      <c r="CT136" s="289"/>
      <c r="CU136" s="289"/>
      <c r="CV136" s="289"/>
      <c r="CW136" s="289"/>
      <c r="CX136" s="289"/>
      <c r="CY136" s="289"/>
      <c r="CZ136" s="289"/>
    </row>
    <row r="137" spans="1:104" x14ac:dyDescent="0.2">
      <c r="A137" s="220"/>
      <c r="B137" s="220"/>
      <c r="C137" s="20" t="s">
        <v>126</v>
      </c>
      <c r="D137" s="82"/>
      <c r="E137" s="136">
        <f t="shared" ref="E137:P137" si="282">+E20</f>
        <v>1.115</v>
      </c>
      <c r="F137" s="135">
        <f t="shared" si="282"/>
        <v>0.97499999999999998</v>
      </c>
      <c r="G137" s="135">
        <f t="shared" si="282"/>
        <v>0.88700000000000001</v>
      </c>
      <c r="H137" s="116">
        <f t="shared" si="282"/>
        <v>1.105</v>
      </c>
      <c r="I137" s="82">
        <f t="shared" si="282"/>
        <v>4.0819999999999999</v>
      </c>
      <c r="J137" s="136">
        <f t="shared" si="282"/>
        <v>0.433</v>
      </c>
      <c r="K137" s="135">
        <f t="shared" si="282"/>
        <v>1.0109999999999999</v>
      </c>
      <c r="L137" s="135">
        <f t="shared" si="282"/>
        <v>1.085</v>
      </c>
      <c r="M137" s="116">
        <f t="shared" si="282"/>
        <v>1.6589999999999998</v>
      </c>
      <c r="N137" s="82">
        <f t="shared" si="282"/>
        <v>4.1879999999999997</v>
      </c>
      <c r="O137" s="136">
        <f t="shared" si="282"/>
        <v>1.9259999999999999</v>
      </c>
      <c r="P137" s="135">
        <f t="shared" si="282"/>
        <v>1.3580000000000001</v>
      </c>
      <c r="Q137" s="135">
        <f t="shared" ref="Q137:V137" si="283">+Q20</f>
        <v>0.89400000000000002</v>
      </c>
      <c r="R137" s="116">
        <f t="shared" si="283"/>
        <v>1.1639999999999997</v>
      </c>
      <c r="S137" s="82">
        <f t="shared" si="283"/>
        <v>5.3419999999999996</v>
      </c>
      <c r="T137" s="136">
        <f t="shared" si="283"/>
        <v>1.69</v>
      </c>
      <c r="U137" s="135">
        <f t="shared" si="283"/>
        <v>1.702</v>
      </c>
      <c r="V137" s="135">
        <f t="shared" si="283"/>
        <v>1.67</v>
      </c>
      <c r="W137" s="116">
        <f>+W120*W138/4</f>
        <v>1.9854562591810847</v>
      </c>
      <c r="X137" s="82">
        <f>SUM(T137:W137)</f>
        <v>7.0474562591810841</v>
      </c>
      <c r="Y137" s="136">
        <f>+Y20</f>
        <v>2.6219999999999999</v>
      </c>
      <c r="Z137" s="135">
        <f>+Z20</f>
        <v>2.2000000000000002</v>
      </c>
      <c r="AA137" s="135">
        <f>+AA20</f>
        <v>2.15</v>
      </c>
      <c r="AB137" s="116">
        <f>+AB20</f>
        <v>3.2140000000000004</v>
      </c>
      <c r="AC137" s="82">
        <f>SUM(Y137:AB137)</f>
        <v>10.186</v>
      </c>
      <c r="AD137" s="136">
        <f>+AD20</f>
        <v>3.64</v>
      </c>
      <c r="AE137" s="135">
        <f>+AE20</f>
        <v>2.895</v>
      </c>
      <c r="AF137" s="135">
        <f>+AF20</f>
        <v>3.1469999999999998</v>
      </c>
      <c r="AG137" s="116">
        <f>+AG20</f>
        <v>2.4359999999999999</v>
      </c>
      <c r="AH137" s="82">
        <f>SUM(AD137:AG137)</f>
        <v>12.118</v>
      </c>
      <c r="AI137" s="136">
        <f>+AI20</f>
        <v>1.7050000000000001</v>
      </c>
      <c r="AJ137" s="135">
        <f>+AJ20</f>
        <v>1.788</v>
      </c>
      <c r="AK137" s="135">
        <f>+AK20</f>
        <v>2.085</v>
      </c>
      <c r="AL137" s="116">
        <f>+AL20</f>
        <v>1.7999999999999998</v>
      </c>
      <c r="AM137" s="82">
        <f>SUM(AI137:AL137)</f>
        <v>7.3780000000000001</v>
      </c>
      <c r="AN137" s="136">
        <f>+AN20</f>
        <v>2.3370000000000002</v>
      </c>
      <c r="AO137" s="135">
        <f>+AO20</f>
        <v>2.379</v>
      </c>
      <c r="AP137" s="135">
        <f>+AP20</f>
        <v>2.6320000000000001</v>
      </c>
      <c r="AQ137" s="116">
        <f>+AQ20</f>
        <v>2.6329999999999991</v>
      </c>
      <c r="AR137" s="82">
        <f>SUM(AN137:AQ137)</f>
        <v>9.9809999999999999</v>
      </c>
      <c r="AS137" s="136">
        <f>+AS20</f>
        <v>2.1349999999999998</v>
      </c>
      <c r="AT137" s="135">
        <f>+AT20</f>
        <v>1.869</v>
      </c>
      <c r="AU137" s="135">
        <f>+AU20</f>
        <v>2.4529999999999998</v>
      </c>
      <c r="AV137" s="116">
        <f>+AV20</f>
        <v>2.8530000000000015</v>
      </c>
      <c r="AW137" s="82">
        <f>SUM(AS137:AV137)</f>
        <v>9.31</v>
      </c>
      <c r="AX137" s="136">
        <f>+AX120*AX138/4</f>
        <v>4.8080229162387358</v>
      </c>
      <c r="AY137" s="135">
        <f>+AY120*AY138/4</f>
        <v>4.8080229162387358</v>
      </c>
      <c r="AZ137" s="135">
        <f>+AZ120*AZ138/4</f>
        <v>4.8080229162387358</v>
      </c>
      <c r="BA137" s="116">
        <f>+BA120*BA138/4</f>
        <v>4.8080229162387358</v>
      </c>
      <c r="BB137" s="82">
        <f>SUM(AX137:BA137)</f>
        <v>19.232091664954943</v>
      </c>
      <c r="BC137" s="136">
        <f>+BC120*BC138/4</f>
        <v>5.3736726710903513</v>
      </c>
      <c r="BD137" s="135">
        <f>+BD120*BD138/4</f>
        <v>5.3736726710903513</v>
      </c>
      <c r="BE137" s="135">
        <f>+BE120*BE138/4</f>
        <v>5.3736726710903513</v>
      </c>
      <c r="BF137" s="116">
        <f>+BF120*BF138/4</f>
        <v>5.3736726710903513</v>
      </c>
      <c r="BG137" s="82">
        <f>SUM(BC137:BF137)</f>
        <v>21.494690684361405</v>
      </c>
      <c r="BH137" s="136">
        <f>+BH120*BH138/4</f>
        <v>3.3467610495387277</v>
      </c>
      <c r="BI137" s="135">
        <f>+BI120*BI138/4</f>
        <v>3.3467610495387277</v>
      </c>
      <c r="BJ137" s="135">
        <f>+BJ120*BJ138/4</f>
        <v>3.3467610495387277</v>
      </c>
      <c r="BK137" s="116">
        <f>+BK120*BK138/4</f>
        <v>3.3467610495387277</v>
      </c>
      <c r="BL137" s="82">
        <f>SUM(BH137:BK137)</f>
        <v>13.387044198154911</v>
      </c>
      <c r="BM137" s="136">
        <f>+BM120*BM138/4</f>
        <v>2.2154615398354958</v>
      </c>
      <c r="BN137" s="135">
        <f>+BN120*BN138/4</f>
        <v>2.2154615398354958</v>
      </c>
      <c r="BO137" s="135">
        <f>+BO120*BO138/4</f>
        <v>2.2154615398354958</v>
      </c>
      <c r="BP137" s="116">
        <f>+BP120*BP138/4</f>
        <v>2.2154615398354958</v>
      </c>
      <c r="BQ137" s="82">
        <f>SUM(BM137:BP137)</f>
        <v>8.8618461593419831</v>
      </c>
      <c r="BR137" s="220"/>
      <c r="BS137" s="220"/>
      <c r="BT137" s="220"/>
      <c r="BU137" s="220"/>
      <c r="BV137" s="220"/>
      <c r="BW137" s="220"/>
      <c r="BX137" s="220"/>
      <c r="BY137" s="220"/>
      <c r="BZ137" s="220"/>
      <c r="CA137" s="220"/>
      <c r="CB137" s="220"/>
      <c r="CC137" s="220"/>
      <c r="CD137" s="220"/>
      <c r="CE137" s="220"/>
      <c r="CF137" s="220"/>
      <c r="CG137" s="220"/>
      <c r="CH137" s="220"/>
      <c r="CI137" s="220"/>
      <c r="CJ137" s="220"/>
      <c r="CK137" s="220"/>
      <c r="CL137" s="220"/>
      <c r="CM137" s="220"/>
      <c r="CN137" s="220"/>
      <c r="CO137" s="220"/>
      <c r="CP137" s="220"/>
      <c r="CQ137" s="220"/>
      <c r="CR137" s="220"/>
      <c r="CS137" s="220"/>
      <c r="CT137" s="220"/>
      <c r="CU137" s="220"/>
      <c r="CV137" s="220"/>
      <c r="CW137" s="220"/>
      <c r="CX137" s="220"/>
      <c r="CY137" s="220"/>
      <c r="CZ137" s="220"/>
    </row>
    <row r="138" spans="1:104" x14ac:dyDescent="0.2">
      <c r="A138" s="20"/>
      <c r="B138" s="20"/>
      <c r="C138" s="20" t="s">
        <v>294</v>
      </c>
      <c r="D138" s="20"/>
      <c r="E138" s="207">
        <f>+E137/E120*4</f>
        <v>4.0669311083755072E-2</v>
      </c>
      <c r="F138" s="208">
        <f>+F137/F120*4</f>
        <v>4.8889334603620313E-2</v>
      </c>
      <c r="G138" s="208">
        <f>+G137/G120*4</f>
        <v>3.5988882802832044E-2</v>
      </c>
      <c r="H138" s="209">
        <f>+H137/H120*4</f>
        <v>4.6209174925772589E-2</v>
      </c>
      <c r="I138" s="88">
        <f>+I137/AVERAGE(I120,D120)</f>
        <v>4.2675532137331156E-2</v>
      </c>
      <c r="J138" s="207">
        <f>+J137/J120*4</f>
        <v>1.7097560734839735E-2</v>
      </c>
      <c r="K138" s="208">
        <f>+K137/K120*4</f>
        <v>3.1739553574231624E-2</v>
      </c>
      <c r="L138" s="208">
        <f>+L137/L120*4</f>
        <v>2.6986525391584432E-2</v>
      </c>
      <c r="M138" s="209">
        <f>+M137/M120*4</f>
        <v>3.0023752969121135E-2</v>
      </c>
      <c r="N138" s="88">
        <f>+N137/AVERAGE(N120,I120)</f>
        <v>2.6449663221515925E-2</v>
      </c>
      <c r="O138" s="207">
        <f>+O137/O120*4</f>
        <v>3.0541735217744653E-2</v>
      </c>
      <c r="P138" s="208">
        <f>+P137/P120*4</f>
        <v>3.7887717878789993E-2</v>
      </c>
      <c r="Q138" s="208">
        <f>+Q137/Q120*4</f>
        <v>2.634098911298045E-2</v>
      </c>
      <c r="R138" s="209">
        <f>+R137/R120*4</f>
        <v>3.0298297672965789E-2</v>
      </c>
      <c r="S138" s="88">
        <f>+S137/AVERAGE(S120,N120)</f>
        <v>2.8513705740905317E-2</v>
      </c>
      <c r="T138" s="207">
        <f>+T137/T120*4</f>
        <v>3.7415662550574796E-2</v>
      </c>
      <c r="U138" s="208">
        <f>+U137/U120*4</f>
        <v>4.4069288728929852E-2</v>
      </c>
      <c r="V138" s="208">
        <f>+V137/V120*4</f>
        <v>3.3490592051499304E-2</v>
      </c>
      <c r="W138" s="209">
        <f>+V138</f>
        <v>3.3490592051499304E-2</v>
      </c>
      <c r="X138" s="88">
        <f>+X137/X120</f>
        <v>2.9719048390717075E-2</v>
      </c>
      <c r="Y138" s="207">
        <f>+Y137/Y120*4</f>
        <v>3.797578355831064E-2</v>
      </c>
      <c r="Z138" s="208">
        <f>+Z137/Z120*4</f>
        <v>3.942546347320413E-2</v>
      </c>
      <c r="AA138" s="208">
        <f>+AA137/AA120*4</f>
        <v>2.6875755880634143E-2</v>
      </c>
      <c r="AB138" s="209">
        <f>+AB137/AB120*4</f>
        <v>3.3106460343579967E-2</v>
      </c>
      <c r="AC138" s="88">
        <f>+AC137/AC120</f>
        <v>2.623074090383521E-2</v>
      </c>
      <c r="AD138" s="207">
        <f>+AD137/AD120*4</f>
        <v>3.2663976076329614E-2</v>
      </c>
      <c r="AE138" s="208">
        <f>+AE137/AE120*4</f>
        <v>3.2759801064834983E-2</v>
      </c>
      <c r="AF138" s="208">
        <f>+AF137/AF120*4</f>
        <v>4.7520895150513033E-2</v>
      </c>
      <c r="AG138" s="209">
        <f>+AG137/AG120*4</f>
        <v>4.0852091447641486E-2</v>
      </c>
      <c r="AH138" s="88">
        <f>+AH137/AH120</f>
        <v>5.0805176946071381E-2</v>
      </c>
      <c r="AI138" s="207">
        <f>+AI137/AI120*4</f>
        <v>2.7398250850671501E-2</v>
      </c>
      <c r="AJ138" s="208">
        <f>+AJ137/AJ120*4</f>
        <v>2.4529693207346562E-2</v>
      </c>
      <c r="AK138" s="208">
        <f>+AK137/AK120*4</f>
        <v>2.4609827996777706E-2</v>
      </c>
      <c r="AL138" s="209">
        <f>+AL137/AL120*4</f>
        <v>3.0418636484619573E-2</v>
      </c>
      <c r="AM138" s="88">
        <f>+AM137/AM120</f>
        <v>3.1170652775489339E-2</v>
      </c>
      <c r="AN138" s="207">
        <f>+AN137/AN120*4</f>
        <v>3.0604728214429538E-2</v>
      </c>
      <c r="AO138" s="208">
        <f>+AO137/AO120*4</f>
        <v>3.4233417513868207E-2</v>
      </c>
      <c r="AP138" s="208">
        <f>+AP137/AP120*4</f>
        <v>3.5806479040897884E-2</v>
      </c>
      <c r="AQ138" s="209">
        <f>+AQ137/AQ120*4</f>
        <v>4.0456810088849778E-2</v>
      </c>
      <c r="AR138" s="88">
        <f>+AR137/AR120</f>
        <v>3.8340241311888512E-2</v>
      </c>
      <c r="AS138" s="207">
        <f>+AS137/AS120*4</f>
        <v>2.7372672201032081E-2</v>
      </c>
      <c r="AT138" s="208">
        <f>+AT137/AT120*4</f>
        <v>3.2111057182250435E-2</v>
      </c>
      <c r="AU138" s="208">
        <f>+AU137/AU120*4</f>
        <v>3.1403927091168043E-2</v>
      </c>
      <c r="AV138" s="209">
        <f>+AV137/AV120*4</f>
        <v>3.2431971580817072E-2</v>
      </c>
      <c r="AW138" s="88">
        <f>+AW137/AW120</f>
        <v>2.6458259325044406E-2</v>
      </c>
      <c r="AX138" s="858">
        <v>0.03</v>
      </c>
      <c r="AY138" s="208">
        <f>+AX138</f>
        <v>0.03</v>
      </c>
      <c r="AZ138" s="208">
        <f>+AY138</f>
        <v>0.03</v>
      </c>
      <c r="BA138" s="209">
        <f>+AZ138</f>
        <v>0.03</v>
      </c>
      <c r="BB138" s="88">
        <f>+BB137/BB120</f>
        <v>0.03</v>
      </c>
      <c r="BC138" s="207">
        <f>+BA138</f>
        <v>0.03</v>
      </c>
      <c r="BD138" s="208">
        <f>+BC138</f>
        <v>0.03</v>
      </c>
      <c r="BE138" s="208">
        <f>+BD138</f>
        <v>0.03</v>
      </c>
      <c r="BF138" s="209">
        <f>+BE138</f>
        <v>0.03</v>
      </c>
      <c r="BG138" s="88">
        <f>+BG137/BG120</f>
        <v>0.03</v>
      </c>
      <c r="BH138" s="207">
        <f>+BF138</f>
        <v>0.03</v>
      </c>
      <c r="BI138" s="208">
        <f>+BH138</f>
        <v>0.03</v>
      </c>
      <c r="BJ138" s="208">
        <f>+BI138</f>
        <v>0.03</v>
      </c>
      <c r="BK138" s="209">
        <f>+BJ138</f>
        <v>0.03</v>
      </c>
      <c r="BL138" s="88">
        <f>+BL137/BL120</f>
        <v>0.03</v>
      </c>
      <c r="BM138" s="207">
        <f>+BK138</f>
        <v>0.03</v>
      </c>
      <c r="BN138" s="208">
        <f>+BM138</f>
        <v>0.03</v>
      </c>
      <c r="BO138" s="208">
        <f>+BN138</f>
        <v>0.03</v>
      </c>
      <c r="BP138" s="209">
        <f>+BO138</f>
        <v>0.03</v>
      </c>
      <c r="BQ138" s="88">
        <f>+BQ137/BQ120</f>
        <v>2.9999999999999995E-2</v>
      </c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</row>
    <row r="139" spans="1:104" x14ac:dyDescent="0.2">
      <c r="A139" s="20"/>
      <c r="B139" s="20"/>
      <c r="C139" s="20"/>
      <c r="D139" s="20"/>
      <c r="E139" s="203"/>
      <c r="F139" s="204"/>
      <c r="G139" s="204"/>
      <c r="H139" s="205"/>
      <c r="I139" s="82"/>
      <c r="J139" s="203"/>
      <c r="K139" s="204"/>
      <c r="L139" s="204"/>
      <c r="M139" s="205"/>
      <c r="N139" s="82"/>
      <c r="O139" s="203"/>
      <c r="P139" s="204"/>
      <c r="Q139" s="204"/>
      <c r="R139" s="205"/>
      <c r="S139" s="82"/>
      <c r="T139" s="203"/>
      <c r="U139" s="204"/>
      <c r="V139" s="204"/>
      <c r="W139" s="209"/>
      <c r="X139" s="88"/>
      <c r="Y139" s="203"/>
      <c r="Z139" s="204"/>
      <c r="AA139" s="204"/>
      <c r="AB139" s="209"/>
      <c r="AC139" s="88"/>
      <c r="AD139" s="203"/>
      <c r="AE139" s="204"/>
      <c r="AF139" s="204"/>
      <c r="AG139" s="209"/>
      <c r="AH139" s="88"/>
      <c r="AI139" s="203"/>
      <c r="AJ139" s="204"/>
      <c r="AK139" s="204"/>
      <c r="AL139" s="209"/>
      <c r="AM139" s="88"/>
      <c r="AN139" s="203"/>
      <c r="AO139" s="204"/>
      <c r="AP139" s="204"/>
      <c r="AQ139" s="209"/>
      <c r="AR139" s="88"/>
      <c r="AS139" s="203"/>
      <c r="AT139" s="204"/>
      <c r="AU139" s="204"/>
      <c r="AV139" s="209"/>
      <c r="AW139" s="88"/>
      <c r="AX139" s="207"/>
      <c r="AY139" s="208"/>
      <c r="AZ139" s="208"/>
      <c r="BA139" s="209"/>
      <c r="BB139" s="88"/>
      <c r="BC139" s="207"/>
      <c r="BD139" s="208"/>
      <c r="BE139" s="208"/>
      <c r="BF139" s="209"/>
      <c r="BG139" s="88"/>
      <c r="BH139" s="207"/>
      <c r="BI139" s="208"/>
      <c r="BJ139" s="208"/>
      <c r="BK139" s="209"/>
      <c r="BL139" s="88"/>
      <c r="BM139" s="207"/>
      <c r="BN139" s="208"/>
      <c r="BO139" s="208"/>
      <c r="BP139" s="209"/>
      <c r="BQ139" s="88"/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  <c r="CT139" s="20"/>
      <c r="CU139" s="20"/>
      <c r="CV139" s="20"/>
      <c r="CW139" s="20"/>
      <c r="CX139" s="20"/>
      <c r="CY139" s="20"/>
      <c r="CZ139" s="20"/>
    </row>
    <row r="140" spans="1:104" x14ac:dyDescent="0.2">
      <c r="A140" s="220"/>
      <c r="B140" s="220"/>
      <c r="C140" s="20" t="s">
        <v>133</v>
      </c>
      <c r="D140" s="82"/>
      <c r="E140" s="136">
        <f t="shared" ref="E140:P140" si="284">-E28</f>
        <v>0.77</v>
      </c>
      <c r="F140" s="135">
        <f t="shared" si="284"/>
        <v>0.67500000000000004</v>
      </c>
      <c r="G140" s="135">
        <f t="shared" si="284"/>
        <v>0.61799999999999999</v>
      </c>
      <c r="H140" s="116">
        <f t="shared" si="284"/>
        <v>0.70699999999999985</v>
      </c>
      <c r="I140" s="82">
        <f t="shared" si="284"/>
        <v>2.77</v>
      </c>
      <c r="J140" s="136">
        <f t="shared" si="284"/>
        <v>0.54600000000000004</v>
      </c>
      <c r="K140" s="135">
        <f t="shared" si="284"/>
        <v>0.71399999999999997</v>
      </c>
      <c r="L140" s="135">
        <f t="shared" si="284"/>
        <v>0.79200000000000004</v>
      </c>
      <c r="M140" s="116">
        <f t="shared" si="284"/>
        <v>1.141</v>
      </c>
      <c r="N140" s="82">
        <f t="shared" si="284"/>
        <v>3.1930000000000001</v>
      </c>
      <c r="O140" s="136">
        <f t="shared" si="284"/>
        <v>1.349</v>
      </c>
      <c r="P140" s="135">
        <f t="shared" si="284"/>
        <v>1.018</v>
      </c>
      <c r="Q140" s="135">
        <f t="shared" ref="Q140:Y140" si="285">-Q28</f>
        <v>0.65500000000000003</v>
      </c>
      <c r="R140" s="116">
        <f t="shared" si="285"/>
        <v>0.76199999999999957</v>
      </c>
      <c r="S140" s="82">
        <f t="shared" si="285"/>
        <v>3.7839999999999998</v>
      </c>
      <c r="T140" s="136">
        <f t="shared" si="285"/>
        <v>1.083</v>
      </c>
      <c r="U140" s="135">
        <f t="shared" si="285"/>
        <v>1.073</v>
      </c>
      <c r="V140" s="135">
        <f t="shared" si="285"/>
        <v>1.052</v>
      </c>
      <c r="W140" s="116">
        <f t="shared" si="285"/>
        <v>1.3910000000000005</v>
      </c>
      <c r="X140" s="82">
        <f t="shared" si="285"/>
        <v>4.5990000000000002</v>
      </c>
      <c r="Y140" s="136">
        <f t="shared" si="285"/>
        <v>1.609</v>
      </c>
      <c r="Z140" s="135">
        <f t="shared" ref="Z140:AE140" si="286">-Z28</f>
        <v>1.41</v>
      </c>
      <c r="AA140" s="135">
        <f t="shared" si="286"/>
        <v>1.387</v>
      </c>
      <c r="AB140" s="116">
        <f t="shared" si="286"/>
        <v>2.0549999999999997</v>
      </c>
      <c r="AC140" s="82">
        <f t="shared" si="286"/>
        <v>6.4610000000000003</v>
      </c>
      <c r="AD140" s="136">
        <f t="shared" si="286"/>
        <v>2.1269999999999998</v>
      </c>
      <c r="AE140" s="135">
        <f t="shared" si="286"/>
        <v>1.7210000000000001</v>
      </c>
      <c r="AF140" s="135">
        <f t="shared" ref="AF140:AM140" si="287">-AF28</f>
        <v>1.8460000000000001</v>
      </c>
      <c r="AG140" s="116">
        <f t="shared" si="287"/>
        <v>1.3950000000000005</v>
      </c>
      <c r="AH140" s="82">
        <f t="shared" si="287"/>
        <v>7.0890000000000004</v>
      </c>
      <c r="AI140" s="136">
        <f t="shared" si="287"/>
        <v>1.0609999999999999</v>
      </c>
      <c r="AJ140" s="135">
        <f t="shared" si="287"/>
        <v>1.137</v>
      </c>
      <c r="AK140" s="135">
        <f t="shared" si="287"/>
        <v>1.204</v>
      </c>
      <c r="AL140" s="116">
        <f t="shared" si="287"/>
        <v>1.0889999999999995</v>
      </c>
      <c r="AM140" s="82">
        <f t="shared" si="287"/>
        <v>4.4909999999999997</v>
      </c>
      <c r="AN140" s="136">
        <f t="shared" ref="AN140:AR140" si="288">-AN28</f>
        <v>1.327</v>
      </c>
      <c r="AO140" s="135">
        <f t="shared" si="288"/>
        <v>1.397</v>
      </c>
      <c r="AP140" s="135">
        <f t="shared" si="288"/>
        <v>1.4219999999999999</v>
      </c>
      <c r="AQ140" s="116">
        <f t="shared" si="288"/>
        <v>1.4430000000000005</v>
      </c>
      <c r="AR140" s="82">
        <f t="shared" si="288"/>
        <v>5.5890000000000004</v>
      </c>
      <c r="AS140" s="136">
        <f t="shared" ref="AS140:AW140" si="289">-AS28</f>
        <v>1.339</v>
      </c>
      <c r="AT140" s="135">
        <f t="shared" si="289"/>
        <v>1.1279999999999999</v>
      </c>
      <c r="AU140" s="135">
        <f t="shared" si="289"/>
        <v>1.349</v>
      </c>
      <c r="AV140" s="116">
        <f t="shared" si="289"/>
        <v>1.5680000000000005</v>
      </c>
      <c r="AW140" s="82">
        <f t="shared" si="289"/>
        <v>5.3840000000000003</v>
      </c>
      <c r="AX140" s="136">
        <f>+AX120*AX141/4</f>
        <v>3.3656160413671152</v>
      </c>
      <c r="AY140" s="135">
        <f>+AY120*AY141/4</f>
        <v>3.3656160413671152</v>
      </c>
      <c r="AZ140" s="135">
        <f>+AZ120*AZ141/4</f>
        <v>3.3656160413671152</v>
      </c>
      <c r="BA140" s="116">
        <f>+BA120*BA141/4</f>
        <v>3.3656160413671152</v>
      </c>
      <c r="BB140" s="82">
        <f>SUM(AX140:BA140)</f>
        <v>13.462464165468461</v>
      </c>
      <c r="BC140" s="136">
        <f>+BC120*BC141/4</f>
        <v>3.7615708697632466</v>
      </c>
      <c r="BD140" s="135">
        <f>+BD120*BD141/4</f>
        <v>3.7615708697632466</v>
      </c>
      <c r="BE140" s="135">
        <f>+BE120*BE141/4</f>
        <v>3.7615708697632466</v>
      </c>
      <c r="BF140" s="116">
        <f>+BF120*BF141/4</f>
        <v>3.7615708697632466</v>
      </c>
      <c r="BG140" s="82">
        <f>SUM(BC140:BF140)</f>
        <v>15.046283479052986</v>
      </c>
      <c r="BH140" s="136">
        <f>+BH120*BH141/4</f>
        <v>2.3427327346771096</v>
      </c>
      <c r="BI140" s="135">
        <f>+BI120*BI141/4</f>
        <v>2.3427327346771096</v>
      </c>
      <c r="BJ140" s="135">
        <f>+BJ120*BJ141/4</f>
        <v>2.3427327346771096</v>
      </c>
      <c r="BK140" s="116">
        <f>+BK120*BK141/4</f>
        <v>2.3427327346771096</v>
      </c>
      <c r="BL140" s="82">
        <f>SUM(BH140:BK140)</f>
        <v>9.3709309387084385</v>
      </c>
      <c r="BM140" s="136">
        <f>+BM120*BM141/4</f>
        <v>1.5508230778848473</v>
      </c>
      <c r="BN140" s="135">
        <f>+BN120*BN141/4</f>
        <v>1.5508230778848473</v>
      </c>
      <c r="BO140" s="135">
        <f>+BO120*BO141/4</f>
        <v>1.5508230778848473</v>
      </c>
      <c r="BP140" s="116">
        <f>+BP120*BP141/4</f>
        <v>1.5508230778848473</v>
      </c>
      <c r="BQ140" s="82">
        <f>SUM(BM140:BP140)</f>
        <v>6.2032923115393892</v>
      </c>
      <c r="BR140" s="220"/>
      <c r="BS140" s="220"/>
      <c r="BT140" s="220"/>
      <c r="BU140" s="220"/>
      <c r="BV140" s="220"/>
      <c r="BW140" s="220"/>
      <c r="BX140" s="220"/>
      <c r="BY140" s="220"/>
      <c r="BZ140" s="220"/>
      <c r="CA140" s="220"/>
      <c r="CB140" s="220"/>
      <c r="CC140" s="220"/>
      <c r="CD140" s="220"/>
      <c r="CE140" s="220"/>
      <c r="CF140" s="220"/>
      <c r="CG140" s="220"/>
      <c r="CH140" s="220"/>
      <c r="CI140" s="220"/>
      <c r="CJ140" s="220"/>
      <c r="CK140" s="220"/>
      <c r="CL140" s="220"/>
      <c r="CM140" s="220"/>
      <c r="CN140" s="220"/>
      <c r="CO140" s="220"/>
      <c r="CP140" s="220"/>
      <c r="CQ140" s="220"/>
      <c r="CR140" s="220"/>
      <c r="CS140" s="220"/>
      <c r="CT140" s="220"/>
      <c r="CU140" s="220"/>
      <c r="CV140" s="220"/>
      <c r="CW140" s="220"/>
      <c r="CX140" s="220"/>
      <c r="CY140" s="220"/>
      <c r="CZ140" s="220"/>
    </row>
    <row r="141" spans="1:104" x14ac:dyDescent="0.2">
      <c r="A141" s="20"/>
      <c r="B141" s="20"/>
      <c r="C141" s="20" t="s">
        <v>295</v>
      </c>
      <c r="D141" s="20"/>
      <c r="E141" s="207">
        <f>+E140/E120*4</f>
        <v>2.8085533214790497E-2</v>
      </c>
      <c r="F141" s="208">
        <f>+F140/F120*4</f>
        <v>3.3846462417890986E-2</v>
      </c>
      <c r="G141" s="208">
        <f>+G140/G120*4</f>
        <v>2.5074554196336193E-2</v>
      </c>
      <c r="H141" s="209">
        <f>+H140/H120*4</f>
        <v>2.9565508300924175E-2</v>
      </c>
      <c r="I141" s="88">
        <f>+I140/AVERAGE(I120,D120)</f>
        <v>2.8959143562079202E-2</v>
      </c>
      <c r="J141" s="207">
        <f>+J140/J120*4</f>
        <v>2.1559510764948029E-2</v>
      </c>
      <c r="K141" s="208">
        <f>+K140/K120*4</f>
        <v>2.241547107022886E-2</v>
      </c>
      <c r="L141" s="208">
        <f>+L140/L120*4</f>
        <v>1.9698919917174998E-2</v>
      </c>
      <c r="M141" s="209">
        <f>+M140/M120*4</f>
        <v>2.0649247822644497E-2</v>
      </c>
      <c r="N141" s="88">
        <f>+N140/AVERAGE(N120,I120)</f>
        <v>2.0165657752220716E-2</v>
      </c>
      <c r="O141" s="207">
        <f>+O140/O120*4</f>
        <v>2.1391900731431743E-2</v>
      </c>
      <c r="P141" s="208">
        <f>+P140/P120*4</f>
        <v>2.8401838586603983E-2</v>
      </c>
      <c r="Q141" s="208">
        <f>+Q140/Q120*4</f>
        <v>1.929904683333579E-2</v>
      </c>
      <c r="R141" s="209">
        <f>+R140/R120*4</f>
        <v>1.9834452600343579E-2</v>
      </c>
      <c r="S141" s="88">
        <f>+S140/AVERAGE(S120,N120)</f>
        <v>2.0197653036987218E-2</v>
      </c>
      <c r="T141" s="207">
        <f>+T140/T120*4</f>
        <v>2.3977019255782547E-2</v>
      </c>
      <c r="U141" s="208">
        <f>+U140/U120*4</f>
        <v>2.7782812459542734E-2</v>
      </c>
      <c r="V141" s="208">
        <f>+V140/V120*4</f>
        <v>2.1097067567770821E-2</v>
      </c>
      <c r="W141" s="209">
        <f>+W140/W120*4</f>
        <v>2.3463329060117409E-2</v>
      </c>
      <c r="X141" s="88">
        <f>+X140/AVERAGE(X120,S120)</f>
        <v>2.3535853923154083E-2</v>
      </c>
      <c r="Y141" s="207">
        <f>+Y140/Y120*4</f>
        <v>2.3303980070679568E-2</v>
      </c>
      <c r="Z141" s="208">
        <f>+Z140/Z120*4</f>
        <v>2.5268137953280825E-2</v>
      </c>
      <c r="AA141" s="208">
        <f>+AA140/AA120*4</f>
        <v>1.7337987630902121E-2</v>
      </c>
      <c r="AB141" s="209">
        <f>+AB140/AB120*4</f>
        <v>2.1167945241461358E-2</v>
      </c>
      <c r="AC141" s="88">
        <f>+AC140/AVERAGE(AC120,X120)</f>
        <v>2.066002727596853E-2</v>
      </c>
      <c r="AD141" s="207">
        <f>+AD140/AD120*4</f>
        <v>1.9086889317129967E-2</v>
      </c>
      <c r="AE141" s="208">
        <f>+AE140/AE120*4</f>
        <v>1.9474824743551299E-2</v>
      </c>
      <c r="AF141" s="208">
        <f>+AF140/AF120*4</f>
        <v>2.7875301063821755E-2</v>
      </c>
      <c r="AG141" s="209">
        <f>+AG140/AG120*4</f>
        <v>2.3394362713242977E-2</v>
      </c>
      <c r="AH141" s="88">
        <f>+AH140/AVERAGE(AH120,AC120)</f>
        <v>2.2618139818327426E-2</v>
      </c>
      <c r="AI141" s="207">
        <f>+AI140/AI120*4</f>
        <v>1.7049586013233115E-2</v>
      </c>
      <c r="AJ141" s="208">
        <f>+AJ140/AJ120*4</f>
        <v>1.5598580076483803E-2</v>
      </c>
      <c r="AK141" s="208">
        <f>+AK140/AK120*4</f>
        <v>1.4211142881592496E-2</v>
      </c>
      <c r="AL141" s="209">
        <f>+AL140/AL120*4</f>
        <v>1.8403275073194836E-2</v>
      </c>
      <c r="AM141" s="88">
        <f>+AM140/AVERAGE(AM120,AH120)</f>
        <v>1.8900878758290964E-2</v>
      </c>
      <c r="AN141" s="207">
        <f>+AN140/AN120*4</f>
        <v>1.7378037800833544E-2</v>
      </c>
      <c r="AO141" s="208">
        <f>+AO140/AO120*4</f>
        <v>2.0102599523696463E-2</v>
      </c>
      <c r="AP141" s="208">
        <f>+AP140/AP120*4</f>
        <v>1.9345293767536773E-2</v>
      </c>
      <c r="AQ141" s="209">
        <f>+AQ140/AQ120*4</f>
        <v>2.2172114302396607E-2</v>
      </c>
      <c r="AR141" s="88">
        <f>+AR140/AVERAGE(AR120,AM120)</f>
        <v>2.248985964460469E-2</v>
      </c>
      <c r="AS141" s="207">
        <f>+AS140/AS120*4</f>
        <v>1.7167216897977497E-2</v>
      </c>
      <c r="AT141" s="208">
        <f>+AT140/AT120*4</f>
        <v>1.9380028090732204E-2</v>
      </c>
      <c r="AU141" s="208">
        <f>+AU140/AU120*4</f>
        <v>1.7270239562162941E-2</v>
      </c>
      <c r="AV141" s="209">
        <f>+AV140/AV120*4</f>
        <v>1.7824511545293079E-2</v>
      </c>
      <c r="AW141" s="88">
        <f>+AW140/AVERAGE(AW120,AR120)</f>
        <v>1.7588965733532396E-2</v>
      </c>
      <c r="AX141" s="858">
        <v>2.1000000000000001E-2</v>
      </c>
      <c r="AY141" s="208">
        <f>+AX141</f>
        <v>2.1000000000000001E-2</v>
      </c>
      <c r="AZ141" s="208">
        <f>+AY141</f>
        <v>2.1000000000000001E-2</v>
      </c>
      <c r="BA141" s="209">
        <f>+AZ141</f>
        <v>2.1000000000000001E-2</v>
      </c>
      <c r="BB141" s="88">
        <f>+BB140/BB120</f>
        <v>2.1000000000000001E-2</v>
      </c>
      <c r="BC141" s="207">
        <f>+BA141</f>
        <v>2.1000000000000001E-2</v>
      </c>
      <c r="BD141" s="208">
        <f>+BC141</f>
        <v>2.1000000000000001E-2</v>
      </c>
      <c r="BE141" s="208">
        <f>+BD141</f>
        <v>2.1000000000000001E-2</v>
      </c>
      <c r="BF141" s="209">
        <f>+BE141</f>
        <v>2.1000000000000001E-2</v>
      </c>
      <c r="BG141" s="88">
        <f>+BG140/BG120</f>
        <v>2.1000000000000001E-2</v>
      </c>
      <c r="BH141" s="207">
        <f>+BF141</f>
        <v>2.1000000000000001E-2</v>
      </c>
      <c r="BI141" s="208">
        <f>+BH141</f>
        <v>2.1000000000000001E-2</v>
      </c>
      <c r="BJ141" s="208">
        <f>+BI141</f>
        <v>2.1000000000000001E-2</v>
      </c>
      <c r="BK141" s="209">
        <f>+BJ141</f>
        <v>2.1000000000000001E-2</v>
      </c>
      <c r="BL141" s="88">
        <f>+BL140/BL120</f>
        <v>2.1000000000000001E-2</v>
      </c>
      <c r="BM141" s="207">
        <f>+BK141</f>
        <v>2.1000000000000001E-2</v>
      </c>
      <c r="BN141" s="208">
        <f>+BM141</f>
        <v>2.1000000000000001E-2</v>
      </c>
      <c r="BO141" s="208">
        <f>+BN141</f>
        <v>2.1000000000000001E-2</v>
      </c>
      <c r="BP141" s="209">
        <f>+BO141</f>
        <v>2.1000000000000001E-2</v>
      </c>
      <c r="BQ141" s="88">
        <f>+BQ140/BQ120</f>
        <v>2.1000000000000001E-2</v>
      </c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  <c r="CT141" s="20"/>
      <c r="CU141" s="20"/>
      <c r="CV141" s="20"/>
      <c r="CW141" s="20"/>
      <c r="CX141" s="20"/>
      <c r="CY141" s="20"/>
      <c r="CZ141" s="20"/>
    </row>
    <row r="142" spans="1:104" x14ac:dyDescent="0.2">
      <c r="A142" s="289"/>
      <c r="B142" s="289"/>
      <c r="C142" s="289"/>
      <c r="D142" s="289"/>
      <c r="E142" s="291"/>
      <c r="F142" s="292"/>
      <c r="G142" s="292"/>
      <c r="H142" s="293"/>
      <c r="I142" s="289"/>
      <c r="J142" s="291"/>
      <c r="K142" s="292"/>
      <c r="L142" s="292"/>
      <c r="M142" s="293"/>
      <c r="N142" s="289"/>
      <c r="O142" s="291"/>
      <c r="P142" s="292"/>
      <c r="Q142" s="292"/>
      <c r="R142" s="293"/>
      <c r="S142" s="289"/>
      <c r="T142" s="291"/>
      <c r="U142" s="292"/>
      <c r="V142" s="292"/>
      <c r="W142" s="293"/>
      <c r="X142" s="289"/>
      <c r="Y142" s="291"/>
      <c r="Z142" s="292"/>
      <c r="AA142" s="292"/>
      <c r="AB142" s="293"/>
      <c r="AC142" s="289"/>
      <c r="AD142" s="291"/>
      <c r="AE142" s="292"/>
      <c r="AF142" s="292"/>
      <c r="AG142" s="293"/>
      <c r="AH142" s="289"/>
      <c r="AI142" s="291"/>
      <c r="AJ142" s="292"/>
      <c r="AK142" s="292"/>
      <c r="AL142" s="293"/>
      <c r="AM142" s="289"/>
      <c r="AN142" s="291"/>
      <c r="AO142" s="292"/>
      <c r="AP142" s="292"/>
      <c r="AQ142" s="293"/>
      <c r="AR142" s="289"/>
      <c r="AS142" s="291"/>
      <c r="AT142" s="292"/>
      <c r="AU142" s="292"/>
      <c r="AV142" s="293"/>
      <c r="AW142" s="289"/>
      <c r="AX142" s="291"/>
      <c r="AY142" s="292"/>
      <c r="AZ142" s="292"/>
      <c r="BA142" s="293"/>
      <c r="BB142" s="289"/>
      <c r="BC142" s="291"/>
      <c r="BD142" s="292"/>
      <c r="BE142" s="292"/>
      <c r="BF142" s="293"/>
      <c r="BG142" s="289"/>
      <c r="BH142" s="291"/>
      <c r="BI142" s="292"/>
      <c r="BJ142" s="292"/>
      <c r="BK142" s="293"/>
      <c r="BL142" s="289"/>
      <c r="BM142" s="291"/>
      <c r="BN142" s="292"/>
      <c r="BO142" s="292"/>
      <c r="BP142" s="293"/>
      <c r="BQ142" s="289"/>
      <c r="BR142" s="289"/>
      <c r="BS142" s="289"/>
      <c r="BT142" s="289"/>
      <c r="BU142" s="289"/>
      <c r="BV142" s="289"/>
      <c r="BW142" s="289"/>
      <c r="BX142" s="289"/>
      <c r="BY142" s="289"/>
      <c r="BZ142" s="289"/>
      <c r="CA142" s="289"/>
      <c r="CB142" s="289"/>
      <c r="CC142" s="289"/>
      <c r="CD142" s="289"/>
      <c r="CE142" s="289"/>
      <c r="CF142" s="289"/>
      <c r="CG142" s="289"/>
      <c r="CH142" s="289"/>
      <c r="CI142" s="289"/>
      <c r="CJ142" s="289"/>
      <c r="CK142" s="289"/>
      <c r="CL142" s="289"/>
      <c r="CM142" s="289"/>
      <c r="CN142" s="289"/>
      <c r="CO142" s="289"/>
      <c r="CP142" s="289"/>
      <c r="CQ142" s="289"/>
      <c r="CR142" s="289"/>
      <c r="CS142" s="289"/>
      <c r="CT142" s="289"/>
      <c r="CU142" s="289"/>
      <c r="CV142" s="289"/>
      <c r="CW142" s="289"/>
      <c r="CX142" s="289"/>
      <c r="CY142" s="289"/>
      <c r="CZ142" s="289"/>
    </row>
    <row r="143" spans="1:104" x14ac:dyDescent="0.2">
      <c r="A143" s="289"/>
      <c r="B143" s="289"/>
      <c r="C143" s="289"/>
      <c r="D143" s="289"/>
      <c r="E143" s="291"/>
      <c r="F143" s="292"/>
      <c r="G143" s="292"/>
      <c r="H143" s="293"/>
      <c r="I143" s="289"/>
      <c r="J143" s="291"/>
      <c r="K143" s="292"/>
      <c r="L143" s="292"/>
      <c r="M143" s="293"/>
      <c r="N143" s="289"/>
      <c r="O143" s="291"/>
      <c r="P143" s="292"/>
      <c r="Q143" s="292"/>
      <c r="R143" s="293"/>
      <c r="S143" s="289"/>
      <c r="T143" s="291"/>
      <c r="U143" s="292"/>
      <c r="V143" s="292"/>
      <c r="W143" s="293"/>
      <c r="X143" s="289"/>
      <c r="Y143" s="291"/>
      <c r="Z143" s="292"/>
      <c r="AA143" s="292"/>
      <c r="AB143" s="293"/>
      <c r="AC143" s="289"/>
      <c r="AD143" s="291"/>
      <c r="AE143" s="292"/>
      <c r="AF143" s="292"/>
      <c r="AG143" s="293"/>
      <c r="AH143" s="289"/>
      <c r="AI143" s="291"/>
      <c r="AJ143" s="292"/>
      <c r="AK143" s="292"/>
      <c r="AL143" s="293"/>
      <c r="AM143" s="289"/>
      <c r="AN143" s="291"/>
      <c r="AO143" s="292"/>
      <c r="AP143" s="292"/>
      <c r="AQ143" s="293"/>
      <c r="AR143" s="289"/>
      <c r="AS143" s="291"/>
      <c r="AT143" s="292"/>
      <c r="AU143" s="292"/>
      <c r="AV143" s="293"/>
      <c r="AW143" s="289"/>
      <c r="AX143" s="291"/>
      <c r="AY143" s="292"/>
      <c r="AZ143" s="292"/>
      <c r="BA143" s="293"/>
      <c r="BB143" s="289"/>
      <c r="BC143" s="291"/>
      <c r="BD143" s="292"/>
      <c r="BE143" s="292"/>
      <c r="BF143" s="293"/>
      <c r="BG143" s="289"/>
      <c r="BH143" s="291"/>
      <c r="BI143" s="292"/>
      <c r="BJ143" s="292"/>
      <c r="BK143" s="293"/>
      <c r="BL143" s="289"/>
      <c r="BM143" s="291"/>
      <c r="BN143" s="292"/>
      <c r="BO143" s="292"/>
      <c r="BP143" s="293"/>
      <c r="BQ143" s="289"/>
      <c r="BR143" s="289"/>
      <c r="BS143" s="289"/>
      <c r="BT143" s="289"/>
      <c r="BU143" s="289"/>
      <c r="BV143" s="289"/>
      <c r="BW143" s="289"/>
      <c r="BX143" s="289"/>
      <c r="BY143" s="289"/>
      <c r="BZ143" s="289"/>
      <c r="CA143" s="289"/>
      <c r="CB143" s="289"/>
      <c r="CC143" s="289"/>
      <c r="CD143" s="289"/>
      <c r="CE143" s="289"/>
      <c r="CF143" s="289"/>
      <c r="CG143" s="289"/>
      <c r="CH143" s="289"/>
      <c r="CI143" s="289"/>
      <c r="CJ143" s="289"/>
      <c r="CK143" s="289"/>
      <c r="CL143" s="289"/>
      <c r="CM143" s="289"/>
      <c r="CN143" s="289"/>
      <c r="CO143" s="289"/>
      <c r="CP143" s="289"/>
      <c r="CQ143" s="289"/>
      <c r="CR143" s="289"/>
      <c r="CS143" s="289"/>
      <c r="CT143" s="289"/>
      <c r="CU143" s="289"/>
      <c r="CV143" s="289"/>
      <c r="CW143" s="289"/>
      <c r="CX143" s="289"/>
      <c r="CY143" s="289"/>
      <c r="CZ143" s="289"/>
    </row>
    <row r="144" spans="1:104" x14ac:dyDescent="0.2">
      <c r="A144" s="289"/>
      <c r="B144" s="347" t="s">
        <v>296</v>
      </c>
      <c r="C144" s="347"/>
      <c r="D144" s="348"/>
      <c r="E144" s="291"/>
      <c r="F144" s="292"/>
      <c r="G144" s="292"/>
      <c r="H144" s="293"/>
      <c r="I144" s="289"/>
      <c r="J144" s="291"/>
      <c r="K144" s="292"/>
      <c r="L144" s="292"/>
      <c r="M144" s="293"/>
      <c r="N144" s="289"/>
      <c r="O144" s="291"/>
      <c r="P144" s="292"/>
      <c r="Q144" s="292"/>
      <c r="R144" s="293"/>
      <c r="S144" s="289"/>
      <c r="T144" s="291"/>
      <c r="U144" s="292"/>
      <c r="V144" s="292"/>
      <c r="W144" s="293"/>
      <c r="X144" s="289"/>
      <c r="Y144" s="291"/>
      <c r="Z144" s="292"/>
      <c r="AA144" s="292"/>
      <c r="AB144" s="293"/>
      <c r="AC144" s="289"/>
      <c r="AD144" s="291"/>
      <c r="AE144" s="292"/>
      <c r="AF144" s="292"/>
      <c r="AG144" s="293"/>
      <c r="AH144" s="289"/>
      <c r="AI144" s="291"/>
      <c r="AJ144" s="292"/>
      <c r="AK144" s="292"/>
      <c r="AL144" s="293"/>
      <c r="AM144" s="289"/>
      <c r="AN144" s="291"/>
      <c r="AO144" s="292"/>
      <c r="AP144" s="292"/>
      <c r="AQ144" s="293"/>
      <c r="AR144" s="289"/>
      <c r="AS144" s="291"/>
      <c r="AT144" s="292"/>
      <c r="AU144" s="292"/>
      <c r="AV144" s="293"/>
      <c r="AW144" s="289"/>
      <c r="AX144" s="291"/>
      <c r="AY144" s="292"/>
      <c r="AZ144" s="292"/>
      <c r="BA144" s="293"/>
      <c r="BB144" s="289"/>
      <c r="BC144" s="291"/>
      <c r="BD144" s="292"/>
      <c r="BE144" s="292"/>
      <c r="BF144" s="293"/>
      <c r="BG144" s="289"/>
      <c r="BH144" s="291"/>
      <c r="BI144" s="292"/>
      <c r="BJ144" s="292"/>
      <c r="BK144" s="293"/>
      <c r="BL144" s="289"/>
      <c r="BM144" s="291"/>
      <c r="BN144" s="292"/>
      <c r="BO144" s="292"/>
      <c r="BP144" s="293"/>
      <c r="BQ144" s="289"/>
      <c r="BR144" s="289"/>
      <c r="BS144" s="289"/>
      <c r="BT144" s="289"/>
      <c r="BU144" s="289"/>
      <c r="BV144" s="289"/>
      <c r="BW144" s="289"/>
      <c r="BX144" s="289"/>
      <c r="BY144" s="289"/>
      <c r="BZ144" s="289"/>
      <c r="CA144" s="289"/>
      <c r="CB144" s="289"/>
      <c r="CC144" s="289"/>
      <c r="CD144" s="289"/>
      <c r="CE144" s="289"/>
      <c r="CF144" s="289"/>
      <c r="CG144" s="289"/>
      <c r="CH144" s="289"/>
      <c r="CI144" s="289"/>
      <c r="CJ144" s="289"/>
      <c r="CK144" s="289"/>
      <c r="CL144" s="289"/>
      <c r="CM144" s="289"/>
      <c r="CN144" s="289"/>
      <c r="CO144" s="289"/>
      <c r="CP144" s="289"/>
      <c r="CQ144" s="289"/>
      <c r="CR144" s="289"/>
      <c r="CS144" s="289"/>
      <c r="CT144" s="289"/>
      <c r="CU144" s="289"/>
      <c r="CV144" s="289"/>
      <c r="CW144" s="289"/>
      <c r="CX144" s="289"/>
      <c r="CY144" s="289"/>
      <c r="CZ144" s="289"/>
    </row>
    <row r="145" spans="1:134" x14ac:dyDescent="0.2">
      <c r="A145" s="289"/>
      <c r="B145" s="289"/>
      <c r="C145" s="141" t="s">
        <v>157</v>
      </c>
      <c r="D145" s="289"/>
      <c r="E145" s="291"/>
      <c r="F145" s="292"/>
      <c r="G145" s="292"/>
      <c r="H145" s="293"/>
      <c r="I145" s="289"/>
      <c r="J145" s="291"/>
      <c r="K145" s="292"/>
      <c r="L145" s="292"/>
      <c r="M145" s="293"/>
      <c r="N145" s="289"/>
      <c r="O145" s="291"/>
      <c r="P145" s="292"/>
      <c r="Q145" s="292"/>
      <c r="R145" s="293"/>
      <c r="S145" s="289"/>
      <c r="T145" s="291"/>
      <c r="U145" s="292"/>
      <c r="V145" s="292"/>
      <c r="W145" s="293"/>
      <c r="X145" s="289"/>
      <c r="Y145" s="291"/>
      <c r="Z145" s="292"/>
      <c r="AA145" s="292"/>
      <c r="AB145" s="293"/>
      <c r="AC145" s="289"/>
      <c r="AD145" s="291"/>
      <c r="AE145" s="292"/>
      <c r="AF145" s="292"/>
      <c r="AG145" s="293"/>
      <c r="AH145" s="289"/>
      <c r="AI145" s="291"/>
      <c r="AJ145" s="292"/>
      <c r="AK145" s="292"/>
      <c r="AL145" s="293"/>
      <c r="AM145" s="289"/>
      <c r="AN145" s="291"/>
      <c r="AO145" s="292"/>
      <c r="AP145" s="292"/>
      <c r="AQ145" s="293"/>
      <c r="AR145" s="289"/>
      <c r="AS145" s="291"/>
      <c r="AT145" s="292"/>
      <c r="AU145" s="292"/>
      <c r="AV145" s="293"/>
      <c r="AW145" s="289"/>
      <c r="AX145" s="291"/>
      <c r="AY145" s="292"/>
      <c r="AZ145" s="292"/>
      <c r="BA145" s="293"/>
      <c r="BB145" s="289"/>
      <c r="BC145" s="291"/>
      <c r="BD145" s="292"/>
      <c r="BE145" s="292"/>
      <c r="BF145" s="293"/>
      <c r="BG145" s="289"/>
      <c r="BH145" s="291"/>
      <c r="BI145" s="292"/>
      <c r="BJ145" s="292"/>
      <c r="BK145" s="293"/>
      <c r="BL145" s="289"/>
      <c r="BM145" s="291"/>
      <c r="BN145" s="292"/>
      <c r="BO145" s="292"/>
      <c r="BP145" s="293"/>
      <c r="BQ145" s="289"/>
      <c r="BR145" s="289"/>
      <c r="BS145" s="289"/>
      <c r="BT145" s="289"/>
      <c r="BU145" s="289"/>
      <c r="BV145" s="289"/>
      <c r="BW145" s="289"/>
      <c r="BX145" s="289"/>
      <c r="BY145" s="289"/>
      <c r="BZ145" s="289"/>
      <c r="CA145" s="289"/>
      <c r="CB145" s="289"/>
      <c r="CC145" s="289"/>
      <c r="CD145" s="289"/>
      <c r="CE145" s="289"/>
      <c r="CF145" s="289"/>
      <c r="CG145" s="289"/>
      <c r="CH145" s="289"/>
      <c r="CI145" s="289"/>
      <c r="CJ145" s="289"/>
      <c r="CK145" s="289"/>
      <c r="CL145" s="289"/>
      <c r="CM145" s="289"/>
      <c r="CN145" s="289"/>
      <c r="CO145" s="289"/>
      <c r="CP145" s="289"/>
      <c r="CQ145" s="289"/>
      <c r="CR145" s="289"/>
      <c r="CS145" s="289"/>
      <c r="CT145" s="289"/>
      <c r="CU145" s="289"/>
      <c r="CV145" s="289"/>
      <c r="CW145" s="289"/>
      <c r="CX145" s="289"/>
      <c r="CY145" s="289"/>
      <c r="CZ145" s="289"/>
    </row>
    <row r="146" spans="1:134" x14ac:dyDescent="0.2">
      <c r="A146" s="220"/>
      <c r="B146" s="220"/>
      <c r="C146" s="70" t="s">
        <v>158</v>
      </c>
      <c r="D146" s="82"/>
      <c r="E146" s="136">
        <f t="shared" ref="E146:P147" si="290">+E172</f>
        <v>0</v>
      </c>
      <c r="F146" s="135">
        <f t="shared" si="290"/>
        <v>0</v>
      </c>
      <c r="G146" s="135">
        <f t="shared" si="290"/>
        <v>0</v>
      </c>
      <c r="H146" s="116">
        <f t="shared" si="290"/>
        <v>0</v>
      </c>
      <c r="I146" s="82">
        <f t="shared" si="290"/>
        <v>0</v>
      </c>
      <c r="J146" s="136">
        <f t="shared" si="290"/>
        <v>0</v>
      </c>
      <c r="K146" s="135">
        <f t="shared" si="290"/>
        <v>0</v>
      </c>
      <c r="L146" s="135">
        <f t="shared" si="290"/>
        <v>0</v>
      </c>
      <c r="M146" s="116">
        <f t="shared" si="290"/>
        <v>0</v>
      </c>
      <c r="N146" s="82">
        <f t="shared" si="290"/>
        <v>0</v>
      </c>
      <c r="O146" s="136">
        <f t="shared" si="290"/>
        <v>0</v>
      </c>
      <c r="P146" s="135">
        <f t="shared" si="290"/>
        <v>0</v>
      </c>
      <c r="Q146" s="135">
        <f t="shared" ref="Q146:U147" si="291">+Q172</f>
        <v>193.149</v>
      </c>
      <c r="R146" s="116">
        <f t="shared" si="291"/>
        <v>-1.2000000000000455E-2</v>
      </c>
      <c r="S146" s="82">
        <f t="shared" si="291"/>
        <v>193.137</v>
      </c>
      <c r="T146" s="136">
        <f t="shared" si="291"/>
        <v>0</v>
      </c>
      <c r="U146" s="135">
        <f t="shared" si="291"/>
        <v>108.95099999999999</v>
      </c>
      <c r="V146" s="135">
        <f t="shared" ref="V146:Z147" si="292">+V172</f>
        <v>-0.25999999999999091</v>
      </c>
      <c r="W146" s="116">
        <f t="shared" si="292"/>
        <v>-1.300000000000523E-2</v>
      </c>
      <c r="X146" s="82">
        <f t="shared" si="292"/>
        <v>108.678</v>
      </c>
      <c r="Y146" s="136">
        <f t="shared" si="292"/>
        <v>0</v>
      </c>
      <c r="Z146" s="135">
        <f t="shared" si="292"/>
        <v>0</v>
      </c>
      <c r="AA146" s="135">
        <f t="shared" ref="AA146:AE147" si="293">+AA172</f>
        <v>94.808999999999997</v>
      </c>
      <c r="AB146" s="116">
        <f t="shared" si="293"/>
        <v>-0.18299999999999272</v>
      </c>
      <c r="AC146" s="82">
        <f t="shared" si="293"/>
        <v>94.626000000000005</v>
      </c>
      <c r="AD146" s="136">
        <f t="shared" si="293"/>
        <v>0</v>
      </c>
      <c r="AE146" s="135">
        <f t="shared" si="293"/>
        <v>148.51</v>
      </c>
      <c r="AF146" s="135">
        <f t="shared" ref="AF146:AJ147" si="294">+AF172</f>
        <v>-0.26899999999997704</v>
      </c>
      <c r="AG146" s="116">
        <f t="shared" si="294"/>
        <v>-0.11800000000002342</v>
      </c>
      <c r="AH146" s="82">
        <f t="shared" si="294"/>
        <v>148.12299999999999</v>
      </c>
      <c r="AI146" s="136">
        <f t="shared" si="294"/>
        <v>0</v>
      </c>
      <c r="AJ146" s="135">
        <f t="shared" si="294"/>
        <v>-8.5000000000000006E-2</v>
      </c>
      <c r="AK146" s="135">
        <f t="shared" ref="AK146:AO147" si="295">+AK172</f>
        <v>198.869</v>
      </c>
      <c r="AL146" s="116">
        <f t="shared" si="295"/>
        <v>-0.28799999999998249</v>
      </c>
      <c r="AM146" s="82">
        <f t="shared" si="295"/>
        <v>198.49600000000001</v>
      </c>
      <c r="AN146" s="136">
        <f t="shared" si="295"/>
        <v>0</v>
      </c>
      <c r="AO146" s="135">
        <f t="shared" si="295"/>
        <v>0</v>
      </c>
      <c r="AP146" s="135">
        <f t="shared" ref="AP146:AT147" si="296">+AP172</f>
        <v>296.15199999999999</v>
      </c>
      <c r="AQ146" s="116">
        <f t="shared" si="296"/>
        <v>-0.16699999999997317</v>
      </c>
      <c r="AR146" s="82">
        <f t="shared" si="296"/>
        <v>295.98500000000001</v>
      </c>
      <c r="AS146" s="136">
        <f t="shared" si="296"/>
        <v>0</v>
      </c>
      <c r="AT146" s="135">
        <f t="shared" si="296"/>
        <v>0</v>
      </c>
      <c r="AU146" s="135">
        <f t="shared" ref="AU146:AW146" si="297">+AU172</f>
        <v>442.65100000000001</v>
      </c>
      <c r="AV146" s="116">
        <f t="shared" si="297"/>
        <v>-0.31299999999998818</v>
      </c>
      <c r="AW146" s="82">
        <f t="shared" si="297"/>
        <v>442.33800000000002</v>
      </c>
      <c r="AX146" s="136">
        <f>Debt!AV165</f>
        <v>0</v>
      </c>
      <c r="AY146" s="135">
        <f>Debt!AW165</f>
        <v>0</v>
      </c>
      <c r="AZ146" s="135">
        <f>Debt!AX165</f>
        <v>350</v>
      </c>
      <c r="BA146" s="116">
        <f>Debt!AY165</f>
        <v>0</v>
      </c>
      <c r="BB146" s="853">
        <v>350</v>
      </c>
      <c r="BC146" s="136">
        <f>Debt!BA165</f>
        <v>0</v>
      </c>
      <c r="BD146" s="135">
        <f>Debt!BB165</f>
        <v>0</v>
      </c>
      <c r="BE146" s="135">
        <f>Debt!BC165</f>
        <v>400</v>
      </c>
      <c r="BF146" s="116">
        <f>Debt!BD165</f>
        <v>0</v>
      </c>
      <c r="BG146" s="853">
        <v>400</v>
      </c>
      <c r="BH146" s="136">
        <f>Debt!BF165</f>
        <v>0</v>
      </c>
      <c r="BI146" s="135">
        <f>Debt!BG165</f>
        <v>0</v>
      </c>
      <c r="BJ146" s="135">
        <f>Debt!BH165</f>
        <v>150</v>
      </c>
      <c r="BK146" s="116">
        <f>Debt!BI165</f>
        <v>0</v>
      </c>
      <c r="BL146" s="853">
        <v>150</v>
      </c>
      <c r="BM146" s="136">
        <f>Debt!BK165</f>
        <v>0</v>
      </c>
      <c r="BN146" s="135">
        <f>Debt!BL165</f>
        <v>0</v>
      </c>
      <c r="BO146" s="135">
        <f>Debt!BM165</f>
        <v>150</v>
      </c>
      <c r="BP146" s="116">
        <f>Debt!BN165</f>
        <v>0</v>
      </c>
      <c r="BQ146" s="853">
        <v>150</v>
      </c>
      <c r="BR146" s="220"/>
      <c r="BS146" s="220"/>
      <c r="BT146" s="220"/>
      <c r="BU146" s="220"/>
      <c r="BV146" s="220"/>
      <c r="BW146" s="220"/>
      <c r="BX146" s="220"/>
      <c r="BY146" s="220"/>
      <c r="BZ146" s="220"/>
      <c r="CA146" s="220"/>
      <c r="CB146" s="220"/>
      <c r="CC146" s="220"/>
      <c r="CD146" s="220"/>
      <c r="CE146" s="220"/>
      <c r="CF146" s="220"/>
      <c r="CG146" s="220"/>
      <c r="CH146" s="220"/>
      <c r="CI146" s="220"/>
      <c r="CJ146" s="220"/>
      <c r="CK146" s="220"/>
      <c r="CL146" s="220"/>
      <c r="CM146" s="220"/>
      <c r="CN146" s="220"/>
      <c r="CO146" s="220"/>
      <c r="CP146" s="220"/>
      <c r="CQ146" s="220"/>
      <c r="CR146" s="220"/>
      <c r="CS146" s="220"/>
      <c r="CT146" s="220"/>
      <c r="CU146" s="220"/>
      <c r="CV146" s="220"/>
      <c r="CW146" s="220"/>
      <c r="CX146" s="220"/>
      <c r="CY146" s="220"/>
      <c r="CZ146" s="220"/>
    </row>
    <row r="147" spans="1:134" x14ac:dyDescent="0.2">
      <c r="A147" s="220"/>
      <c r="B147" s="220"/>
      <c r="C147" s="70" t="s">
        <v>159</v>
      </c>
      <c r="D147" s="82"/>
      <c r="E147" s="136">
        <f t="shared" si="290"/>
        <v>-100</v>
      </c>
      <c r="F147" s="135">
        <f t="shared" si="290"/>
        <v>-2.7000000000001023E-2</v>
      </c>
      <c r="G147" s="135">
        <f t="shared" si="290"/>
        <v>0</v>
      </c>
      <c r="H147" s="116">
        <f t="shared" si="290"/>
        <v>-3.0000000000001137E-2</v>
      </c>
      <c r="I147" s="82">
        <f t="shared" si="290"/>
        <v>-100.057</v>
      </c>
      <c r="J147" s="136">
        <f t="shared" si="290"/>
        <v>-25</v>
      </c>
      <c r="K147" s="135">
        <f t="shared" si="290"/>
        <v>0</v>
      </c>
      <c r="L147" s="135">
        <f t="shared" si="290"/>
        <v>0</v>
      </c>
      <c r="M147" s="116">
        <f t="shared" si="290"/>
        <v>0</v>
      </c>
      <c r="N147" s="82">
        <f t="shared" si="290"/>
        <v>-25</v>
      </c>
      <c r="O147" s="136">
        <f t="shared" si="290"/>
        <v>0</v>
      </c>
      <c r="P147" s="135">
        <f t="shared" si="290"/>
        <v>0</v>
      </c>
      <c r="Q147" s="135">
        <f t="shared" si="291"/>
        <v>-101.8</v>
      </c>
      <c r="R147" s="116">
        <f t="shared" si="291"/>
        <v>0</v>
      </c>
      <c r="S147" s="82">
        <f t="shared" si="291"/>
        <v>-101.8</v>
      </c>
      <c r="T147" s="136">
        <f t="shared" si="291"/>
        <v>0</v>
      </c>
      <c r="U147" s="135">
        <f t="shared" si="291"/>
        <v>0</v>
      </c>
      <c r="V147" s="135">
        <f t="shared" si="292"/>
        <v>0</v>
      </c>
      <c r="W147" s="116">
        <f t="shared" si="292"/>
        <v>0</v>
      </c>
      <c r="X147" s="82">
        <f t="shared" si="292"/>
        <v>0</v>
      </c>
      <c r="Y147" s="136">
        <f t="shared" si="292"/>
        <v>0</v>
      </c>
      <c r="Z147" s="135">
        <f t="shared" si="292"/>
        <v>0</v>
      </c>
      <c r="AA147" s="135">
        <f t="shared" si="293"/>
        <v>0</v>
      </c>
      <c r="AB147" s="116">
        <f t="shared" si="293"/>
        <v>0</v>
      </c>
      <c r="AC147" s="82">
        <f t="shared" si="293"/>
        <v>0</v>
      </c>
      <c r="AD147" s="136">
        <f t="shared" si="293"/>
        <v>0</v>
      </c>
      <c r="AE147" s="135">
        <f t="shared" si="293"/>
        <v>0</v>
      </c>
      <c r="AF147" s="135">
        <f t="shared" si="294"/>
        <v>0</v>
      </c>
      <c r="AG147" s="116">
        <f t="shared" si="294"/>
        <v>0</v>
      </c>
      <c r="AH147" s="82">
        <f t="shared" si="294"/>
        <v>0</v>
      </c>
      <c r="AI147" s="136">
        <f t="shared" si="294"/>
        <v>0</v>
      </c>
      <c r="AJ147" s="135">
        <f t="shared" si="294"/>
        <v>0</v>
      </c>
      <c r="AK147" s="135">
        <f t="shared" si="295"/>
        <v>0</v>
      </c>
      <c r="AL147" s="116">
        <f t="shared" si="295"/>
        <v>0</v>
      </c>
      <c r="AM147" s="82">
        <f t="shared" si="295"/>
        <v>0</v>
      </c>
      <c r="AN147" s="136">
        <f t="shared" si="295"/>
        <v>0</v>
      </c>
      <c r="AO147" s="135">
        <f t="shared" si="295"/>
        <v>0</v>
      </c>
      <c r="AP147" s="135">
        <f t="shared" si="296"/>
        <v>0</v>
      </c>
      <c r="AQ147" s="116">
        <f t="shared" si="296"/>
        <v>-200</v>
      </c>
      <c r="AR147" s="82">
        <f t="shared" si="296"/>
        <v>-200</v>
      </c>
      <c r="AS147" s="136">
        <f t="shared" si="296"/>
        <v>-1.7999999999999999E-2</v>
      </c>
      <c r="AT147" s="135">
        <f t="shared" si="296"/>
        <v>0</v>
      </c>
      <c r="AU147" s="135">
        <f t="shared" ref="AU147:AW147" si="298">+AU173</f>
        <v>-271.59500000000003</v>
      </c>
      <c r="AV147" s="116">
        <f t="shared" si="298"/>
        <v>0</v>
      </c>
      <c r="AW147" s="82">
        <f t="shared" si="298"/>
        <v>-271.613</v>
      </c>
      <c r="AX147" s="136">
        <f>Debt!AV156</f>
        <v>0</v>
      </c>
      <c r="AY147" s="135">
        <f>Debt!AW156</f>
        <v>0</v>
      </c>
      <c r="AZ147" s="135">
        <f>Debt!AX156</f>
        <v>0</v>
      </c>
      <c r="BA147" s="116">
        <f>Debt!AY156</f>
        <v>0</v>
      </c>
      <c r="BB147" s="82">
        <f>Debt!AZ156</f>
        <v>0</v>
      </c>
      <c r="BC147" s="136">
        <f>Debt!BA156</f>
        <v>0</v>
      </c>
      <c r="BD147" s="135">
        <f>Debt!BB156</f>
        <v>0</v>
      </c>
      <c r="BE147" s="135">
        <f>Debt!BC156</f>
        <v>0</v>
      </c>
      <c r="BF147" s="116">
        <f>Debt!BD156</f>
        <v>0</v>
      </c>
      <c r="BG147" s="82">
        <f>Debt!BE156</f>
        <v>0</v>
      </c>
      <c r="BH147" s="136">
        <f>Debt!BF156</f>
        <v>0</v>
      </c>
      <c r="BI147" s="135">
        <f>Debt!BG156</f>
        <v>0</v>
      </c>
      <c r="BJ147" s="135">
        <f>Debt!BH156</f>
        <v>0</v>
      </c>
      <c r="BK147" s="116">
        <f>Debt!BI156</f>
        <v>0</v>
      </c>
      <c r="BL147" s="82">
        <f>Debt!BJ156</f>
        <v>0</v>
      </c>
      <c r="BM147" s="136">
        <f>Debt!BK156</f>
        <v>0</v>
      </c>
      <c r="BN147" s="135">
        <f>Debt!BL156</f>
        <v>0</v>
      </c>
      <c r="BO147" s="135">
        <f>Debt!BM156</f>
        <v>0</v>
      </c>
      <c r="BP147" s="116">
        <f>Debt!BN156</f>
        <v>0</v>
      </c>
      <c r="BQ147" s="82">
        <f>Debt!BO156</f>
        <v>0</v>
      </c>
      <c r="BR147" s="220"/>
      <c r="BS147" s="220"/>
      <c r="BT147" s="220"/>
      <c r="BU147" s="220"/>
      <c r="BV147" s="220"/>
      <c r="BW147" s="220"/>
      <c r="BX147" s="220"/>
      <c r="BY147" s="220"/>
      <c r="BZ147" s="220"/>
      <c r="CA147" s="220"/>
      <c r="CB147" s="220"/>
      <c r="CC147" s="220"/>
      <c r="CD147" s="220"/>
      <c r="CE147" s="220"/>
      <c r="CF147" s="220"/>
      <c r="CG147" s="220"/>
      <c r="CH147" s="220"/>
      <c r="CI147" s="220"/>
      <c r="CJ147" s="220"/>
      <c r="CK147" s="220"/>
      <c r="CL147" s="220"/>
      <c r="CM147" s="220"/>
      <c r="CN147" s="220"/>
      <c r="CO147" s="220"/>
      <c r="CP147" s="220"/>
      <c r="CQ147" s="220"/>
      <c r="CR147" s="220"/>
      <c r="CS147" s="220"/>
      <c r="CT147" s="220"/>
      <c r="CU147" s="220"/>
      <c r="CV147" s="220"/>
      <c r="CW147" s="220"/>
      <c r="CX147" s="220"/>
      <c r="CY147" s="220"/>
      <c r="CZ147" s="220"/>
    </row>
    <row r="148" spans="1:134" x14ac:dyDescent="0.2">
      <c r="A148" s="289"/>
      <c r="B148" s="289"/>
      <c r="C148" s="70"/>
      <c r="D148" s="289"/>
      <c r="E148" s="291"/>
      <c r="F148" s="292"/>
      <c r="G148" s="292"/>
      <c r="H148" s="293"/>
      <c r="I148" s="289"/>
      <c r="J148" s="291"/>
      <c r="K148" s="292"/>
      <c r="L148" s="292"/>
      <c r="M148" s="293"/>
      <c r="N148" s="289"/>
      <c r="O148" s="291"/>
      <c r="P148" s="292"/>
      <c r="Q148" s="292"/>
      <c r="R148" s="116"/>
      <c r="S148" s="82"/>
      <c r="T148" s="136"/>
      <c r="U148" s="292"/>
      <c r="V148" s="292"/>
      <c r="W148" s="116"/>
      <c r="X148" s="82"/>
      <c r="Y148" s="136"/>
      <c r="Z148" s="137"/>
      <c r="AA148" s="292"/>
      <c r="AB148" s="116"/>
      <c r="AC148" s="82"/>
      <c r="AD148" s="136"/>
      <c r="AE148" s="137"/>
      <c r="AF148" s="292"/>
      <c r="AG148" s="116"/>
      <c r="AH148" s="82"/>
      <c r="AI148" s="136"/>
      <c r="AJ148" s="137"/>
      <c r="AK148" s="292"/>
      <c r="AL148" s="116"/>
      <c r="AM148" s="82"/>
      <c r="AN148" s="136"/>
      <c r="AO148" s="137"/>
      <c r="AP148" s="292"/>
      <c r="AQ148" s="116"/>
      <c r="AR148" s="82"/>
      <c r="AS148" s="136"/>
      <c r="AT148" s="137"/>
      <c r="AU148" s="137"/>
      <c r="AV148" s="116"/>
      <c r="AW148" s="82"/>
      <c r="AX148" s="136"/>
      <c r="AY148" s="137"/>
      <c r="AZ148" s="137"/>
      <c r="BA148" s="116"/>
      <c r="BB148" s="82"/>
      <c r="BC148" s="136"/>
      <c r="BD148" s="137"/>
      <c r="BE148" s="137"/>
      <c r="BF148" s="116"/>
      <c r="BG148" s="82"/>
      <c r="BH148" s="136"/>
      <c r="BI148" s="137"/>
      <c r="BJ148" s="137"/>
      <c r="BK148" s="116"/>
      <c r="BL148" s="82"/>
      <c r="BM148" s="136"/>
      <c r="BN148" s="137"/>
      <c r="BO148" s="137"/>
      <c r="BP148" s="116"/>
      <c r="BQ148" s="82"/>
      <c r="BR148" s="289"/>
      <c r="BS148" s="289"/>
      <c r="BT148" s="289"/>
      <c r="BU148" s="289"/>
      <c r="BV148" s="289"/>
      <c r="BW148" s="289"/>
      <c r="BX148" s="289"/>
      <c r="BY148" s="289"/>
      <c r="BZ148" s="289"/>
      <c r="CA148" s="289"/>
      <c r="CB148" s="289"/>
      <c r="CC148" s="289"/>
      <c r="CD148" s="289"/>
      <c r="CE148" s="289"/>
      <c r="CF148" s="289"/>
      <c r="CG148" s="289"/>
      <c r="CH148" s="289"/>
      <c r="CI148" s="289"/>
      <c r="CJ148" s="289"/>
      <c r="CK148" s="289"/>
      <c r="CL148" s="289"/>
      <c r="CM148" s="289"/>
      <c r="CN148" s="289"/>
      <c r="CO148" s="289"/>
      <c r="CP148" s="289"/>
      <c r="CQ148" s="289"/>
      <c r="CR148" s="289"/>
      <c r="CS148" s="289"/>
      <c r="CT148" s="289"/>
      <c r="CU148" s="289"/>
      <c r="CV148" s="289"/>
      <c r="CW148" s="289"/>
      <c r="CX148" s="289"/>
      <c r="CY148" s="289"/>
      <c r="CZ148" s="289"/>
    </row>
    <row r="149" spans="1:134" x14ac:dyDescent="0.2">
      <c r="A149" s="289"/>
      <c r="B149" s="289"/>
      <c r="C149" s="141" t="s">
        <v>132</v>
      </c>
      <c r="D149" s="289"/>
      <c r="E149" s="291"/>
      <c r="F149" s="292"/>
      <c r="G149" s="292"/>
      <c r="H149" s="293"/>
      <c r="I149" s="289"/>
      <c r="J149" s="291"/>
      <c r="K149" s="292"/>
      <c r="L149" s="292"/>
      <c r="M149" s="293"/>
      <c r="N149" s="289"/>
      <c r="O149" s="291"/>
      <c r="P149" s="292"/>
      <c r="Q149" s="292"/>
      <c r="R149" s="116"/>
      <c r="S149" s="82"/>
      <c r="T149" s="136"/>
      <c r="U149" s="292"/>
      <c r="V149" s="292"/>
      <c r="W149" s="116"/>
      <c r="X149" s="82"/>
      <c r="Y149" s="136"/>
      <c r="Z149" s="135"/>
      <c r="AA149" s="292"/>
      <c r="AB149" s="116"/>
      <c r="AC149" s="82"/>
      <c r="AD149" s="136"/>
      <c r="AE149" s="135"/>
      <c r="AF149" s="292"/>
      <c r="AG149" s="116"/>
      <c r="AH149" s="82"/>
      <c r="AI149" s="136"/>
      <c r="AJ149" s="135"/>
      <c r="AK149" s="292"/>
      <c r="AL149" s="116"/>
      <c r="AM149" s="82"/>
      <c r="AN149" s="136"/>
      <c r="AO149" s="135"/>
      <c r="AP149" s="292"/>
      <c r="AQ149" s="116"/>
      <c r="AR149" s="82"/>
      <c r="AS149" s="136"/>
      <c r="AT149" s="135"/>
      <c r="AU149" s="135"/>
      <c r="AV149" s="116"/>
      <c r="AW149" s="82"/>
      <c r="AX149" s="136"/>
      <c r="AY149" s="135"/>
      <c r="AZ149" s="135"/>
      <c r="BA149" s="116"/>
      <c r="BB149" s="82"/>
      <c r="BC149" s="136"/>
      <c r="BD149" s="135"/>
      <c r="BE149" s="135"/>
      <c r="BF149" s="116"/>
      <c r="BG149" s="82"/>
      <c r="BH149" s="136"/>
      <c r="BI149" s="135"/>
      <c r="BJ149" s="135"/>
      <c r="BK149" s="116"/>
      <c r="BL149" s="82"/>
      <c r="BM149" s="136"/>
      <c r="BN149" s="135"/>
      <c r="BO149" s="135"/>
      <c r="BP149" s="116"/>
      <c r="BQ149" s="82"/>
      <c r="BR149" s="289"/>
      <c r="BS149" s="289"/>
      <c r="BT149" s="289"/>
      <c r="BU149" s="289"/>
      <c r="BV149" s="289"/>
      <c r="BW149" s="289"/>
      <c r="BX149" s="289"/>
      <c r="BY149" s="289"/>
      <c r="BZ149" s="289"/>
      <c r="CA149" s="289"/>
      <c r="CB149" s="289"/>
      <c r="CC149" s="289"/>
      <c r="CD149" s="289"/>
      <c r="CE149" s="289"/>
      <c r="CF149" s="289"/>
      <c r="CG149" s="289"/>
      <c r="CH149" s="289"/>
      <c r="CI149" s="289"/>
      <c r="CJ149" s="289"/>
      <c r="CK149" s="289"/>
      <c r="CL149" s="289"/>
      <c r="CM149" s="289"/>
      <c r="CN149" s="289"/>
      <c r="CO149" s="289"/>
      <c r="CP149" s="289"/>
      <c r="CQ149" s="289"/>
      <c r="CR149" s="289"/>
      <c r="CS149" s="289"/>
      <c r="CT149" s="289"/>
      <c r="CU149" s="289"/>
      <c r="CV149" s="289"/>
      <c r="CW149" s="289"/>
      <c r="CX149" s="289"/>
      <c r="CY149" s="289"/>
      <c r="CZ149" s="289"/>
    </row>
    <row r="150" spans="1:134" x14ac:dyDescent="0.2">
      <c r="A150" s="220"/>
      <c r="B150" s="220"/>
      <c r="C150" s="70" t="s">
        <v>160</v>
      </c>
      <c r="D150" s="82"/>
      <c r="E150" s="136"/>
      <c r="F150" s="137"/>
      <c r="G150" s="137"/>
      <c r="H150" s="116"/>
      <c r="I150" s="82"/>
      <c r="J150" s="136"/>
      <c r="K150" s="137"/>
      <c r="L150" s="137"/>
      <c r="M150" s="116"/>
      <c r="N150" s="82"/>
      <c r="O150" s="136"/>
      <c r="P150" s="135"/>
      <c r="Q150" s="135"/>
      <c r="R150" s="116"/>
      <c r="S150" s="82"/>
      <c r="T150" s="136"/>
      <c r="U150" s="135"/>
      <c r="V150" s="135"/>
      <c r="W150" s="116"/>
      <c r="X150" s="82"/>
      <c r="Y150" s="136"/>
      <c r="Z150" s="135"/>
      <c r="AA150" s="135"/>
      <c r="AB150" s="116"/>
      <c r="AC150" s="82"/>
      <c r="AD150" s="136"/>
      <c r="AE150" s="135"/>
      <c r="AF150" s="135"/>
      <c r="AG150" s="116"/>
      <c r="AH150" s="82"/>
      <c r="AI150" s="136"/>
      <c r="AJ150" s="135"/>
      <c r="AK150" s="135"/>
      <c r="AL150" s="116"/>
      <c r="AM150" s="82"/>
      <c r="AN150" s="136"/>
      <c r="AO150" s="135"/>
      <c r="AP150" s="135"/>
      <c r="AQ150" s="116"/>
      <c r="AR150" s="82"/>
      <c r="AS150" s="136"/>
      <c r="AT150" s="135"/>
      <c r="AU150" s="135"/>
      <c r="AV150" s="116"/>
      <c r="AW150" s="82"/>
      <c r="AX150" s="136">
        <f t="shared" ref="AX150:BA150" si="299">(((AW188-AS188)*AX155)/4)-((AW186-AS186)*(AX155-1%)/4)</f>
        <v>-0.57967750000000007</v>
      </c>
      <c r="AY150" s="135">
        <f t="shared" si="299"/>
        <v>-0.34899682109489971</v>
      </c>
      <c r="AZ150" s="135">
        <f t="shared" si="299"/>
        <v>1.0954267809299878</v>
      </c>
      <c r="BA150" s="116">
        <f t="shared" si="299"/>
        <v>-0.20316937042148087</v>
      </c>
      <c r="BB150" s="82">
        <f>SUM(AX150:BA150)</f>
        <v>-3.6416910586392848E-2</v>
      </c>
      <c r="BC150" s="136">
        <f>(((BB188-AX188)*BC155)/4)-((BB186-AX186)*(BC155-1%)/4)</f>
        <v>-0.30803076800419549</v>
      </c>
      <c r="BD150" s="135">
        <f>(((BC188-AY188)*BD155)/4)-((BC186-AY186)*(BD155-1%)/4)</f>
        <v>-0.20233537534878734</v>
      </c>
      <c r="BE150" s="135">
        <f>(((BD188-AZ188)*BE155)/4)-((BD186-AZ186)*(BE155-1%)/4)</f>
        <v>1.5614035137582323</v>
      </c>
      <c r="BF150" s="116">
        <f>(((BE188-BA188)*BF155)/4)-((BE186-BA186)*(BF155-1%)/4)</f>
        <v>-0.33177791009560165</v>
      </c>
      <c r="BG150" s="82">
        <f>SUM(BC150:BF150)</f>
        <v>0.71925946030964794</v>
      </c>
      <c r="BH150" s="136">
        <f>(((BG188-BC188)*BH155)/4)-((BG186-BC186)*(BH155-1%)/4)</f>
        <v>-0.38397328054625407</v>
      </c>
      <c r="BI150" s="135">
        <f>(((BH188-BD188)*BI155)/4)-((BH186-BD186)*(BI155-1%)/4)</f>
        <v>-0.66777289760069136</v>
      </c>
      <c r="BJ150" s="135">
        <f>(((BI188-BE188)*BJ155)/4)-((BI186-BE186)*(BJ155-1%)/4)</f>
        <v>1.036281050194964</v>
      </c>
      <c r="BK150" s="116">
        <f>(((BJ188-BF188)*BK155)/4)-((BJ186-BF186)*(BK155-1%)/4)</f>
        <v>-0.27428996885654228</v>
      </c>
      <c r="BL150" s="82">
        <f>SUM(BH150:BK150)</f>
        <v>-0.28975509680852379</v>
      </c>
      <c r="BM150" s="136">
        <f>(((BL188-BH188)*BM155)/4)-((BL186-BH186)*(BM155-1%)/4)</f>
        <v>-0.18477056501083258</v>
      </c>
      <c r="BN150" s="135">
        <f>(((BM188-BI188)*BN155)/4)-((BM186-BI186)*(BN155-1%)/4)</f>
        <v>-0.35287823368563365</v>
      </c>
      <c r="BO150" s="135">
        <f>(((BN188-BJ188)*BO155)/4)-((BN186-BJ186)*(BO155-1%)/4)</f>
        <v>0.4024343305651702</v>
      </c>
      <c r="BP150" s="116">
        <f>(((BO188-BK188)*BP155)/4)-((BO186-BK186)*(BP155-1%)/4)</f>
        <v>-0.72077351288748592</v>
      </c>
      <c r="BQ150" s="82">
        <f>SUM(BM150:BP150)</f>
        <v>-0.85598798101878193</v>
      </c>
      <c r="BR150" s="220"/>
      <c r="BS150" s="220"/>
      <c r="BT150" s="220"/>
      <c r="BU150" s="220"/>
      <c r="BV150" s="220"/>
      <c r="BW150" s="220"/>
      <c r="BX150" s="220"/>
      <c r="BY150" s="220"/>
      <c r="BZ150" s="220"/>
      <c r="CA150" s="220"/>
      <c r="CB150" s="220"/>
      <c r="CC150" s="220"/>
      <c r="CD150" s="220"/>
      <c r="CE150" s="220"/>
      <c r="CF150" s="220"/>
      <c r="CG150" s="220"/>
      <c r="CH150" s="220"/>
      <c r="CI150" s="220"/>
      <c r="CJ150" s="220"/>
      <c r="CK150" s="220"/>
      <c r="CL150" s="220"/>
      <c r="CM150" s="220"/>
      <c r="CN150" s="220"/>
      <c r="CO150" s="220"/>
      <c r="CP150" s="220"/>
      <c r="CQ150" s="220"/>
      <c r="CR150" s="220"/>
      <c r="CS150" s="220"/>
      <c r="CT150" s="220"/>
      <c r="CU150" s="220"/>
      <c r="CV150" s="220"/>
      <c r="CW150" s="220"/>
      <c r="CX150" s="220"/>
      <c r="CY150" s="220"/>
      <c r="CZ150" s="220"/>
    </row>
    <row r="151" spans="1:134" x14ac:dyDescent="0.2">
      <c r="A151" s="220"/>
      <c r="B151" s="220"/>
      <c r="C151" s="70"/>
      <c r="D151" s="82"/>
      <c r="E151" s="136"/>
      <c r="F151" s="137"/>
      <c r="G151" s="137"/>
      <c r="H151" s="116"/>
      <c r="I151" s="82"/>
      <c r="J151" s="136"/>
      <c r="K151" s="137"/>
      <c r="L151" s="137"/>
      <c r="M151" s="116"/>
      <c r="N151" s="82"/>
      <c r="O151" s="136"/>
      <c r="P151" s="137"/>
      <c r="Q151" s="137"/>
      <c r="R151" s="116"/>
      <c r="S151" s="82"/>
      <c r="T151" s="136"/>
      <c r="U151" s="137"/>
      <c r="V151" s="137"/>
      <c r="W151" s="116"/>
      <c r="X151" s="82"/>
      <c r="Y151" s="136"/>
      <c r="Z151" s="137"/>
      <c r="AA151" s="137"/>
      <c r="AB151" s="116"/>
      <c r="AC151" s="82"/>
      <c r="AD151" s="136"/>
      <c r="AE151" s="137"/>
      <c r="AF151" s="137"/>
      <c r="AG151" s="116"/>
      <c r="AH151" s="82"/>
      <c r="AI151" s="136"/>
      <c r="AJ151" s="137"/>
      <c r="AK151" s="137"/>
      <c r="AL151" s="116"/>
      <c r="AM151" s="82"/>
      <c r="AN151" s="136"/>
      <c r="AO151" s="137"/>
      <c r="AP151" s="137"/>
      <c r="AQ151" s="116"/>
      <c r="AR151" s="82"/>
      <c r="AS151" s="136"/>
      <c r="AT151" s="137"/>
      <c r="AU151" s="137"/>
      <c r="AV151" s="116"/>
      <c r="AW151" s="220"/>
      <c r="AX151" s="136"/>
      <c r="AY151" s="137"/>
      <c r="AZ151" s="137"/>
      <c r="BA151" s="116"/>
      <c r="BB151" s="220"/>
      <c r="BC151" s="136"/>
      <c r="BD151" s="137"/>
      <c r="BE151" s="137"/>
      <c r="BF151" s="116"/>
      <c r="BG151" s="220"/>
      <c r="BH151" s="136"/>
      <c r="BI151" s="137"/>
      <c r="BJ151" s="137"/>
      <c r="BK151" s="116"/>
      <c r="BL151" s="220"/>
      <c r="BM151" s="136"/>
      <c r="BN151" s="137"/>
      <c r="BO151" s="137"/>
      <c r="BP151" s="116"/>
      <c r="BQ151" s="220"/>
      <c r="BR151" s="220"/>
      <c r="BS151" s="220"/>
      <c r="BT151" s="220"/>
      <c r="BU151" s="220"/>
      <c r="BV151" s="220"/>
      <c r="BW151" s="220"/>
      <c r="BX151" s="220"/>
      <c r="BY151" s="220"/>
      <c r="BZ151" s="220"/>
      <c r="CA151" s="220"/>
      <c r="CB151" s="220"/>
      <c r="CC151" s="220"/>
      <c r="CD151" s="220"/>
      <c r="CE151" s="220"/>
      <c r="CF151" s="220"/>
      <c r="CG151" s="220"/>
      <c r="CH151" s="220"/>
      <c r="CI151" s="220"/>
      <c r="CJ151" s="220"/>
      <c r="CK151" s="220"/>
      <c r="CL151" s="220"/>
      <c r="CM151" s="220"/>
      <c r="CN151" s="220"/>
      <c r="CO151" s="220"/>
      <c r="CP151" s="220"/>
      <c r="CQ151" s="220"/>
      <c r="CR151" s="220"/>
      <c r="CS151" s="220"/>
      <c r="CT151" s="220"/>
      <c r="CU151" s="220"/>
      <c r="CV151" s="220"/>
      <c r="CW151" s="220"/>
      <c r="CX151" s="220"/>
      <c r="CY151" s="220"/>
      <c r="CZ151" s="220"/>
    </row>
    <row r="152" spans="1:134" x14ac:dyDescent="0.2">
      <c r="A152" s="220"/>
      <c r="B152" s="220"/>
      <c r="C152" s="70" t="s">
        <v>161</v>
      </c>
      <c r="D152" s="82"/>
      <c r="E152" s="136"/>
      <c r="F152" s="137"/>
      <c r="G152" s="137"/>
      <c r="H152" s="116"/>
      <c r="I152" s="82"/>
      <c r="J152" s="136"/>
      <c r="K152" s="137"/>
      <c r="L152" s="137"/>
      <c r="M152" s="116"/>
      <c r="N152" s="82"/>
      <c r="O152" s="136"/>
      <c r="P152" s="135"/>
      <c r="Q152" s="135"/>
      <c r="R152" s="116"/>
      <c r="S152" s="82"/>
      <c r="T152" s="136"/>
      <c r="U152" s="135"/>
      <c r="V152" s="135"/>
      <c r="W152" s="116"/>
      <c r="X152" s="82"/>
      <c r="Y152" s="136"/>
      <c r="Z152" s="135"/>
      <c r="AA152" s="135"/>
      <c r="AB152" s="116"/>
      <c r="AC152" s="82"/>
      <c r="AD152" s="136"/>
      <c r="AE152" s="135"/>
      <c r="AF152" s="135"/>
      <c r="AG152" s="116"/>
      <c r="AH152" s="82"/>
      <c r="AI152" s="136"/>
      <c r="AJ152" s="135"/>
      <c r="AK152" s="135"/>
      <c r="AL152" s="116"/>
      <c r="AM152" s="82"/>
      <c r="AN152" s="136"/>
      <c r="AO152" s="135"/>
      <c r="AP152" s="135"/>
      <c r="AQ152" s="116"/>
      <c r="AR152" s="82"/>
      <c r="AS152" s="136"/>
      <c r="AT152" s="135"/>
      <c r="AU152" s="135"/>
      <c r="AV152" s="116"/>
      <c r="AW152" s="82"/>
      <c r="AX152" s="136">
        <f>Debt!DA165</f>
        <v>4.1624999999999996</v>
      </c>
      <c r="AY152" s="135">
        <f>Debt!DB165</f>
        <v>4.1624999999999996</v>
      </c>
      <c r="AZ152" s="135">
        <f>Debt!DC165</f>
        <v>4.8875000000000002</v>
      </c>
      <c r="BA152" s="116">
        <f>Debt!DD165</f>
        <v>3.5</v>
      </c>
      <c r="BB152" s="82">
        <f>Debt!DE165</f>
        <v>16.712499999999999</v>
      </c>
      <c r="BC152" s="136">
        <f>Debt!DF165</f>
        <v>3.5</v>
      </c>
      <c r="BD152" s="135">
        <f>Debt!DG165</f>
        <v>3.5</v>
      </c>
      <c r="BE152" s="135">
        <f>Debt!DH165</f>
        <v>4.5</v>
      </c>
      <c r="BF152" s="116">
        <f>Debt!DI165</f>
        <v>4.5</v>
      </c>
      <c r="BG152" s="82">
        <f>Debt!DJ165</f>
        <v>16</v>
      </c>
      <c r="BH152" s="136">
        <f>Debt!DK165</f>
        <v>4.5</v>
      </c>
      <c r="BI152" s="135">
        <f>Debt!DL165</f>
        <v>4.5</v>
      </c>
      <c r="BJ152" s="135">
        <f>Debt!DM165</f>
        <v>1.6875</v>
      </c>
      <c r="BK152" s="116">
        <f>Debt!DN165</f>
        <v>1.6875</v>
      </c>
      <c r="BL152" s="82">
        <f>Debt!DO165</f>
        <v>12.375</v>
      </c>
      <c r="BM152" s="136">
        <f>Debt!DP165</f>
        <v>1.6875</v>
      </c>
      <c r="BN152" s="135">
        <f>Debt!DQ165</f>
        <v>1.6875</v>
      </c>
      <c r="BO152" s="135">
        <f>Debt!DR165</f>
        <v>1.6875</v>
      </c>
      <c r="BP152" s="116">
        <f>Debt!DS165</f>
        <v>1.6875</v>
      </c>
      <c r="BQ152" s="82">
        <f>Debt!DT165</f>
        <v>6.75</v>
      </c>
      <c r="BR152" s="220"/>
      <c r="BS152" s="220"/>
      <c r="BT152" s="220"/>
      <c r="BU152" s="220"/>
      <c r="BV152" s="220"/>
      <c r="BW152" s="220"/>
      <c r="BX152" s="220"/>
      <c r="BY152" s="220"/>
      <c r="BZ152" s="220"/>
      <c r="CA152" s="220"/>
      <c r="CB152" s="220"/>
      <c r="CC152" s="220"/>
      <c r="CD152" s="220"/>
      <c r="CE152" s="220"/>
      <c r="CF152" s="220"/>
      <c r="CG152" s="220"/>
      <c r="CH152" s="220"/>
      <c r="CI152" s="220"/>
      <c r="CJ152" s="220"/>
      <c r="CK152" s="220"/>
      <c r="CL152" s="220"/>
      <c r="CM152" s="220"/>
      <c r="CN152" s="220"/>
      <c r="CO152" s="220"/>
      <c r="CP152" s="220"/>
      <c r="CQ152" s="220"/>
      <c r="CR152" s="220"/>
      <c r="CS152" s="220"/>
      <c r="CT152" s="220"/>
      <c r="CU152" s="220"/>
      <c r="CV152" s="220"/>
      <c r="CW152" s="220"/>
      <c r="CX152" s="220"/>
      <c r="CY152" s="220"/>
      <c r="CZ152" s="220"/>
    </row>
    <row r="153" spans="1:134" x14ac:dyDescent="0.2">
      <c r="A153" s="220"/>
      <c r="B153" s="220"/>
      <c r="C153" s="70" t="s">
        <v>162</v>
      </c>
      <c r="D153" s="82"/>
      <c r="E153" s="136"/>
      <c r="F153" s="137"/>
      <c r="G153" s="137"/>
      <c r="H153" s="116"/>
      <c r="I153" s="82"/>
      <c r="J153" s="136"/>
      <c r="K153" s="137"/>
      <c r="L153" s="137"/>
      <c r="M153" s="116"/>
      <c r="N153" s="82"/>
      <c r="O153" s="136"/>
      <c r="P153" s="135"/>
      <c r="Q153" s="135"/>
      <c r="R153" s="116"/>
      <c r="S153" s="82"/>
      <c r="T153" s="136"/>
      <c r="U153" s="135"/>
      <c r="V153" s="135"/>
      <c r="W153" s="116"/>
      <c r="X153" s="82"/>
      <c r="Y153" s="136"/>
      <c r="Z153" s="135"/>
      <c r="AA153" s="135"/>
      <c r="AB153" s="116"/>
      <c r="AC153" s="82"/>
      <c r="AD153" s="136"/>
      <c r="AE153" s="135"/>
      <c r="AF153" s="135"/>
      <c r="AG153" s="116"/>
      <c r="AH153" s="82"/>
      <c r="AI153" s="136"/>
      <c r="AJ153" s="135"/>
      <c r="AK153" s="135"/>
      <c r="AL153" s="116"/>
      <c r="AM153" s="82"/>
      <c r="AN153" s="136"/>
      <c r="AO153" s="135"/>
      <c r="AP153" s="135"/>
      <c r="AQ153" s="116"/>
      <c r="AR153" s="82"/>
      <c r="AS153" s="136"/>
      <c r="AT153" s="135"/>
      <c r="AU153" s="135"/>
      <c r="AV153" s="116"/>
      <c r="AW153" s="82"/>
      <c r="AX153" s="136">
        <f>Debt!DA156</f>
        <v>-5.46875</v>
      </c>
      <c r="AY153" s="135">
        <f>Debt!DB156</f>
        <v>-5.46875</v>
      </c>
      <c r="AZ153" s="135">
        <f>Debt!DC156</f>
        <v>-1.8229166666666667</v>
      </c>
      <c r="BA153" s="116">
        <f>Debt!DD156</f>
        <v>0</v>
      </c>
      <c r="BB153" s="82">
        <f>Debt!DE156</f>
        <v>-12.760416666666666</v>
      </c>
      <c r="BC153" s="136">
        <f>Debt!DF156</f>
        <v>0</v>
      </c>
      <c r="BD153" s="135">
        <f>Debt!DG156</f>
        <v>0</v>
      </c>
      <c r="BE153" s="135">
        <f>Debt!DH156</f>
        <v>0</v>
      </c>
      <c r="BF153" s="116">
        <f>Debt!DI156</f>
        <v>0</v>
      </c>
      <c r="BG153" s="82">
        <f>Debt!DJ156</f>
        <v>0</v>
      </c>
      <c r="BH153" s="136">
        <f>Debt!DK156</f>
        <v>0</v>
      </c>
      <c r="BI153" s="135">
        <f>Debt!DL156</f>
        <v>0</v>
      </c>
      <c r="BJ153" s="135">
        <f>Debt!DM156</f>
        <v>0</v>
      </c>
      <c r="BK153" s="116">
        <f>Debt!DN156</f>
        <v>0</v>
      </c>
      <c r="BL153" s="82">
        <f>Debt!DO156</f>
        <v>0</v>
      </c>
      <c r="BM153" s="136">
        <f>Debt!DP156</f>
        <v>0</v>
      </c>
      <c r="BN153" s="135">
        <f>Debt!DQ156</f>
        <v>0</v>
      </c>
      <c r="BO153" s="135">
        <f>Debt!DR156</f>
        <v>0</v>
      </c>
      <c r="BP153" s="116">
        <f>Debt!DS156</f>
        <v>0</v>
      </c>
      <c r="BQ153" s="82">
        <f>Debt!DT156</f>
        <v>0</v>
      </c>
      <c r="BR153" s="220"/>
      <c r="BS153" s="220"/>
      <c r="BT153" s="220"/>
      <c r="BU153" s="220"/>
      <c r="BV153" s="220"/>
      <c r="BW153" s="220"/>
      <c r="BX153" s="220"/>
      <c r="BY153" s="220"/>
      <c r="BZ153" s="220"/>
      <c r="CA153" s="220"/>
      <c r="CB153" s="220"/>
      <c r="CC153" s="220"/>
      <c r="CD153" s="220"/>
      <c r="CE153" s="220"/>
      <c r="CF153" s="220"/>
      <c r="CG153" s="220"/>
      <c r="CH153" s="220"/>
      <c r="CI153" s="220"/>
      <c r="CJ153" s="220"/>
      <c r="CK153" s="220"/>
      <c r="CL153" s="220"/>
      <c r="CM153" s="220"/>
      <c r="CN153" s="220"/>
      <c r="CO153" s="220"/>
      <c r="CP153" s="220"/>
      <c r="CQ153" s="220"/>
      <c r="CR153" s="220"/>
      <c r="CS153" s="220"/>
      <c r="CT153" s="220"/>
      <c r="CU153" s="220"/>
      <c r="CV153" s="220"/>
      <c r="CW153" s="220"/>
      <c r="CX153" s="220"/>
      <c r="CY153" s="220"/>
      <c r="CZ153" s="220"/>
    </row>
    <row r="154" spans="1:134" x14ac:dyDescent="0.2">
      <c r="A154" s="289"/>
      <c r="B154" s="289"/>
      <c r="C154" s="20"/>
      <c r="D154" s="289"/>
      <c r="E154" s="291"/>
      <c r="F154" s="292"/>
      <c r="G154" s="292"/>
      <c r="H154" s="293"/>
      <c r="I154" s="289"/>
      <c r="J154" s="291"/>
      <c r="K154" s="292"/>
      <c r="L154" s="292"/>
      <c r="M154" s="293"/>
      <c r="N154" s="289"/>
      <c r="O154" s="291"/>
      <c r="P154" s="292"/>
      <c r="Q154" s="292"/>
      <c r="R154" s="293"/>
      <c r="S154" s="289"/>
      <c r="T154" s="291"/>
      <c r="U154" s="292"/>
      <c r="V154" s="292"/>
      <c r="W154" s="293"/>
      <c r="X154" s="289"/>
      <c r="Y154" s="291"/>
      <c r="Z154" s="292"/>
      <c r="AA154" s="292"/>
      <c r="AB154" s="293"/>
      <c r="AC154" s="289"/>
      <c r="AD154" s="291"/>
      <c r="AE154" s="292"/>
      <c r="AF154" s="292"/>
      <c r="AG154" s="293"/>
      <c r="AH154" s="289"/>
      <c r="AI154" s="291"/>
      <c r="AJ154" s="292"/>
      <c r="AK154" s="292"/>
      <c r="AL154" s="293"/>
      <c r="AM154" s="289"/>
      <c r="AN154" s="291"/>
      <c r="AO154" s="292"/>
      <c r="AP154" s="292"/>
      <c r="AQ154" s="293"/>
      <c r="AR154" s="289"/>
      <c r="AS154" s="291"/>
      <c r="AT154" s="292"/>
      <c r="AU154" s="292"/>
      <c r="AV154" s="293"/>
      <c r="AW154" s="289"/>
      <c r="AX154" s="291"/>
      <c r="AY154" s="292"/>
      <c r="AZ154" s="292"/>
      <c r="BA154" s="293"/>
      <c r="BB154" s="289"/>
      <c r="BC154" s="291"/>
      <c r="BD154" s="292"/>
      <c r="BE154" s="292"/>
      <c r="BF154" s="293"/>
      <c r="BG154" s="289"/>
      <c r="BH154" s="291"/>
      <c r="BI154" s="292"/>
      <c r="BJ154" s="292"/>
      <c r="BK154" s="293"/>
      <c r="BL154" s="289"/>
      <c r="BM154" s="291"/>
      <c r="BN154" s="292"/>
      <c r="BO154" s="292"/>
      <c r="BP154" s="293"/>
      <c r="BQ154" s="289"/>
      <c r="BR154" s="289"/>
      <c r="BS154" s="289"/>
      <c r="BT154" s="289"/>
      <c r="BU154" s="289"/>
      <c r="BV154" s="289"/>
      <c r="BW154" s="289"/>
      <c r="BX154" s="289"/>
      <c r="BY154" s="289"/>
      <c r="BZ154" s="289"/>
      <c r="CA154" s="289"/>
      <c r="CB154" s="289"/>
      <c r="CC154" s="289"/>
      <c r="CD154" s="289"/>
      <c r="CE154" s="289"/>
      <c r="CF154" s="289"/>
      <c r="CG154" s="289"/>
      <c r="CH154" s="289"/>
      <c r="CI154" s="289"/>
      <c r="CJ154" s="289"/>
      <c r="CK154" s="289"/>
      <c r="CL154" s="289"/>
      <c r="CM154" s="289"/>
      <c r="CN154" s="289"/>
      <c r="CO154" s="289"/>
      <c r="CP154" s="289"/>
      <c r="CQ154" s="289"/>
      <c r="CR154" s="289"/>
      <c r="CS154" s="289"/>
      <c r="CT154" s="289"/>
      <c r="CU154" s="289"/>
      <c r="CV154" s="289"/>
      <c r="CW154" s="289"/>
      <c r="CX154" s="289"/>
      <c r="CY154" s="289"/>
      <c r="CZ154" s="289"/>
    </row>
    <row r="155" spans="1:134" x14ac:dyDescent="0.2">
      <c r="A155" s="289"/>
      <c r="B155" s="289"/>
      <c r="C155" s="70" t="s">
        <v>164</v>
      </c>
      <c r="D155" s="289"/>
      <c r="E155" s="291"/>
      <c r="F155" s="292"/>
      <c r="G155" s="292"/>
      <c r="H155" s="293"/>
      <c r="I155" s="289"/>
      <c r="J155" s="291"/>
      <c r="K155" s="292"/>
      <c r="L155" s="292"/>
      <c r="M155" s="293"/>
      <c r="N155" s="289"/>
      <c r="O155" s="291"/>
      <c r="P155" s="292"/>
      <c r="Q155" s="292"/>
      <c r="R155" s="209"/>
      <c r="S155" s="88"/>
      <c r="T155" s="207"/>
      <c r="U155" s="292"/>
      <c r="V155" s="292"/>
      <c r="W155" s="209"/>
      <c r="X155" s="88"/>
      <c r="Y155" s="207"/>
      <c r="Z155" s="208"/>
      <c r="AA155" s="292"/>
      <c r="AB155" s="209"/>
      <c r="AC155" s="88"/>
      <c r="AD155" s="207"/>
      <c r="AE155" s="208"/>
      <c r="AF155" s="292"/>
      <c r="AG155" s="209"/>
      <c r="AH155" s="88"/>
      <c r="AI155" s="207"/>
      <c r="AJ155" s="208"/>
      <c r="AK155" s="292"/>
      <c r="AL155" s="209"/>
      <c r="AM155" s="88"/>
      <c r="AN155" s="207"/>
      <c r="AO155" s="208"/>
      <c r="AP155" s="292"/>
      <c r="AQ155" s="209"/>
      <c r="AR155" s="88"/>
      <c r="AS155" s="207"/>
      <c r="AT155" s="208"/>
      <c r="AU155" s="208"/>
      <c r="AV155" s="209"/>
      <c r="AW155" s="88"/>
      <c r="AX155" s="207">
        <f>+XEL!AX113</f>
        <v>0.02</v>
      </c>
      <c r="AY155" s="208">
        <f>+XEL!AY113</f>
        <v>0.02</v>
      </c>
      <c r="AZ155" s="208">
        <f>+XEL!AZ113</f>
        <v>0.02</v>
      </c>
      <c r="BA155" s="209">
        <f>+XEL!BA113</f>
        <v>0.02</v>
      </c>
      <c r="BB155" s="88">
        <f>+XEL!BB113</f>
        <v>0.02</v>
      </c>
      <c r="BC155" s="207">
        <f>+XEL!BC113</f>
        <v>0.02</v>
      </c>
      <c r="BD155" s="208">
        <f>+XEL!BD113</f>
        <v>0.02</v>
      </c>
      <c r="BE155" s="208">
        <f>+XEL!BE113</f>
        <v>0.02</v>
      </c>
      <c r="BF155" s="209">
        <f>+XEL!BF113</f>
        <v>0.02</v>
      </c>
      <c r="BG155" s="88">
        <f>+XEL!BG113</f>
        <v>0.02</v>
      </c>
      <c r="BH155" s="207">
        <f>+XEL!BH113</f>
        <v>0.02</v>
      </c>
      <c r="BI155" s="208">
        <f>+XEL!BI113</f>
        <v>0.02</v>
      </c>
      <c r="BJ155" s="208">
        <f>+XEL!BJ113</f>
        <v>0.02</v>
      </c>
      <c r="BK155" s="209">
        <f>+XEL!BK113</f>
        <v>0.02</v>
      </c>
      <c r="BL155" s="88">
        <f>+XEL!BL113</f>
        <v>0.02</v>
      </c>
      <c r="BM155" s="207">
        <f>+XEL!BM113</f>
        <v>0.02</v>
      </c>
      <c r="BN155" s="208">
        <f>+XEL!BN113</f>
        <v>0.02</v>
      </c>
      <c r="BO155" s="208">
        <f>+XEL!BO113</f>
        <v>0.02</v>
      </c>
      <c r="BP155" s="209">
        <f>+XEL!BP113</f>
        <v>0.02</v>
      </c>
      <c r="BQ155" s="88">
        <f>+XEL!BQ113</f>
        <v>0.02</v>
      </c>
      <c r="BR155" s="289"/>
      <c r="BS155" s="289"/>
      <c r="BT155" s="289"/>
      <c r="BU155" s="289"/>
      <c r="BV155" s="289"/>
      <c r="BW155" s="289"/>
      <c r="BX155" s="289"/>
      <c r="BY155" s="289"/>
      <c r="BZ155" s="289"/>
      <c r="CA155" s="289"/>
      <c r="CB155" s="289"/>
      <c r="CC155" s="289"/>
      <c r="CD155" s="289"/>
      <c r="CE155" s="289"/>
      <c r="CF155" s="289"/>
      <c r="CG155" s="289"/>
      <c r="CH155" s="289"/>
      <c r="CI155" s="289"/>
      <c r="CJ155" s="289"/>
      <c r="CK155" s="289"/>
      <c r="CL155" s="289"/>
      <c r="CM155" s="289"/>
      <c r="CN155" s="289"/>
      <c r="CO155" s="289"/>
      <c r="CP155" s="289"/>
      <c r="CQ155" s="289"/>
      <c r="CR155" s="289"/>
      <c r="CS155" s="289"/>
      <c r="CT155" s="289"/>
      <c r="CU155" s="289"/>
      <c r="CV155" s="289"/>
      <c r="CW155" s="289"/>
      <c r="CX155" s="289"/>
      <c r="CY155" s="289"/>
      <c r="CZ155" s="289"/>
    </row>
    <row r="156" spans="1:134" x14ac:dyDescent="0.2">
      <c r="A156" s="289"/>
      <c r="B156" s="289"/>
      <c r="C156" s="289"/>
      <c r="D156" s="289"/>
      <c r="E156" s="291"/>
      <c r="F156" s="292"/>
      <c r="G156" s="292"/>
      <c r="H156" s="293"/>
      <c r="I156" s="289"/>
      <c r="J156" s="291"/>
      <c r="K156" s="292"/>
      <c r="L156" s="292"/>
      <c r="M156" s="293"/>
      <c r="N156" s="289"/>
      <c r="O156" s="291"/>
      <c r="P156" s="292"/>
      <c r="Q156" s="292"/>
      <c r="R156" s="293"/>
      <c r="S156" s="289"/>
      <c r="T156" s="291"/>
      <c r="U156" s="292"/>
      <c r="V156" s="292"/>
      <c r="W156" s="293"/>
      <c r="X156" s="289"/>
      <c r="Y156" s="291"/>
      <c r="Z156" s="292"/>
      <c r="AA156" s="292"/>
      <c r="AB156" s="293"/>
      <c r="AC156" s="289"/>
      <c r="AD156" s="291"/>
      <c r="AE156" s="292"/>
      <c r="AF156" s="292"/>
      <c r="AG156" s="293"/>
      <c r="AH156" s="289"/>
      <c r="AI156" s="291"/>
      <c r="AJ156" s="292"/>
      <c r="AK156" s="292"/>
      <c r="AL156" s="293"/>
      <c r="AM156" s="289"/>
      <c r="AN156" s="291"/>
      <c r="AO156" s="292"/>
      <c r="AP156" s="292"/>
      <c r="AQ156" s="293"/>
      <c r="AR156" s="289"/>
      <c r="AS156" s="291"/>
      <c r="AT156" s="292"/>
      <c r="AU156" s="292"/>
      <c r="AV156" s="293"/>
      <c r="AW156" s="289"/>
      <c r="AX156" s="291"/>
      <c r="AY156" s="292"/>
      <c r="AZ156" s="292"/>
      <c r="BA156" s="293"/>
      <c r="BB156" s="289"/>
      <c r="BC156" s="291"/>
      <c r="BD156" s="292"/>
      <c r="BE156" s="292"/>
      <c r="BF156" s="293"/>
      <c r="BG156" s="289"/>
      <c r="BH156" s="291"/>
      <c r="BI156" s="292"/>
      <c r="BJ156" s="292"/>
      <c r="BK156" s="293"/>
      <c r="BL156" s="289"/>
      <c r="BM156" s="291"/>
      <c r="BN156" s="292"/>
      <c r="BO156" s="292"/>
      <c r="BP156" s="293"/>
      <c r="BQ156" s="289"/>
      <c r="BR156" s="289"/>
      <c r="BS156" s="289"/>
      <c r="BT156" s="289"/>
      <c r="BU156" s="289"/>
      <c r="BV156" s="289"/>
      <c r="BW156" s="289"/>
      <c r="BX156" s="289"/>
      <c r="BY156" s="289"/>
      <c r="BZ156" s="289"/>
      <c r="CA156" s="289"/>
      <c r="CB156" s="289"/>
      <c r="CC156" s="289"/>
      <c r="CD156" s="289"/>
      <c r="CE156" s="289"/>
      <c r="CF156" s="289"/>
      <c r="CG156" s="289"/>
      <c r="CH156" s="289"/>
      <c r="CI156" s="289"/>
      <c r="CJ156" s="289"/>
      <c r="CK156" s="289"/>
      <c r="CL156" s="349"/>
      <c r="CM156" s="349"/>
      <c r="CN156" s="349"/>
      <c r="CO156" s="346"/>
      <c r="CP156" s="349"/>
      <c r="CQ156" s="349"/>
      <c r="CR156" s="349"/>
      <c r="CS156" s="349"/>
      <c r="CT156" s="346"/>
      <c r="CU156" s="349"/>
      <c r="CV156" s="349"/>
      <c r="CW156" s="349"/>
      <c r="CX156" s="349"/>
      <c r="CY156" s="346"/>
      <c r="CZ156" s="289"/>
    </row>
    <row r="157" spans="1:134" x14ac:dyDescent="0.2">
      <c r="A157" s="289"/>
      <c r="B157" s="289"/>
      <c r="C157" s="289"/>
      <c r="D157" s="289"/>
      <c r="E157" s="291"/>
      <c r="F157" s="292"/>
      <c r="G157" s="292"/>
      <c r="H157" s="293"/>
      <c r="I157" s="289"/>
      <c r="J157" s="291"/>
      <c r="K157" s="292"/>
      <c r="L157" s="292"/>
      <c r="M157" s="293"/>
      <c r="N157" s="289"/>
      <c r="O157" s="291"/>
      <c r="P157" s="292"/>
      <c r="Q157" s="292"/>
      <c r="R157" s="293"/>
      <c r="S157" s="289"/>
      <c r="T157" s="291"/>
      <c r="U157" s="292"/>
      <c r="V157" s="292"/>
      <c r="W157" s="293"/>
      <c r="X157" s="289"/>
      <c r="Y157" s="291"/>
      <c r="Z157" s="292"/>
      <c r="AA157" s="292"/>
      <c r="AB157" s="293"/>
      <c r="AC157" s="289"/>
      <c r="AD157" s="291"/>
      <c r="AE157" s="292"/>
      <c r="AF157" s="292"/>
      <c r="AG157" s="293"/>
      <c r="AH157" s="289"/>
      <c r="AI157" s="291"/>
      <c r="AJ157" s="292"/>
      <c r="AK157" s="292"/>
      <c r="AL157" s="293"/>
      <c r="AM157" s="289"/>
      <c r="AN157" s="291"/>
      <c r="AO157" s="292"/>
      <c r="AP157" s="292"/>
      <c r="AQ157" s="293"/>
      <c r="AR157" s="289"/>
      <c r="AS157" s="291"/>
      <c r="AT157" s="292"/>
      <c r="AU157" s="292"/>
      <c r="AV157" s="293"/>
      <c r="AW157" s="289"/>
      <c r="AX157" s="291"/>
      <c r="AY157" s="292"/>
      <c r="AZ157" s="292"/>
      <c r="BA157" s="293"/>
      <c r="BB157" s="289"/>
      <c r="BC157" s="291"/>
      <c r="BD157" s="292"/>
      <c r="BE157" s="292"/>
      <c r="BF157" s="293"/>
      <c r="BG157" s="289"/>
      <c r="BH157" s="291"/>
      <c r="BI157" s="292"/>
      <c r="BJ157" s="292"/>
      <c r="BK157" s="293"/>
      <c r="BL157" s="289"/>
      <c r="BM157" s="291"/>
      <c r="BN157" s="292"/>
      <c r="BO157" s="292"/>
      <c r="BP157" s="293"/>
      <c r="BQ157" s="289"/>
      <c r="BR157" s="289"/>
      <c r="BS157" s="289"/>
      <c r="BT157" s="289"/>
      <c r="BU157" s="289"/>
      <c r="BV157" s="289"/>
      <c r="BW157" s="289"/>
      <c r="BX157" s="289"/>
      <c r="BY157" s="289"/>
      <c r="BZ157" s="289"/>
      <c r="CA157" s="289"/>
      <c r="CB157" s="289"/>
      <c r="CC157" s="289"/>
      <c r="CD157" s="289"/>
      <c r="CE157" s="289"/>
      <c r="CF157" s="289"/>
      <c r="CG157" s="289"/>
      <c r="CH157" s="289"/>
      <c r="CI157" s="289"/>
      <c r="CJ157" s="289"/>
      <c r="CK157" s="289"/>
      <c r="CL157" s="7" t="s">
        <v>171</v>
      </c>
      <c r="CM157" s="7"/>
      <c r="CN157" s="7"/>
      <c r="CO157" s="20"/>
      <c r="CP157" s="20"/>
      <c r="CQ157" s="20"/>
      <c r="CR157" s="20"/>
      <c r="CS157" s="20"/>
      <c r="CT157" s="20"/>
      <c r="CU157" s="20"/>
      <c r="CV157" s="20"/>
      <c r="CW157" s="20"/>
      <c r="CX157" s="20"/>
    </row>
    <row r="158" spans="1:134" x14ac:dyDescent="0.2">
      <c r="A158" s="289"/>
      <c r="B158" s="347" t="s">
        <v>297</v>
      </c>
      <c r="C158" s="347"/>
      <c r="D158" s="348"/>
      <c r="E158" s="291"/>
      <c r="F158" s="292"/>
      <c r="G158" s="292"/>
      <c r="H158" s="293"/>
      <c r="I158" s="289"/>
      <c r="J158" s="291"/>
      <c r="K158" s="292"/>
      <c r="L158" s="292"/>
      <c r="M158" s="293"/>
      <c r="N158" s="289"/>
      <c r="O158" s="291"/>
      <c r="P158" s="292"/>
      <c r="Q158" s="292"/>
      <c r="R158" s="293"/>
      <c r="S158" s="289"/>
      <c r="T158" s="291"/>
      <c r="U158" s="292"/>
      <c r="V158" s="292"/>
      <c r="W158" s="293"/>
      <c r="X158" s="289"/>
      <c r="Y158" s="291"/>
      <c r="Z158" s="292"/>
      <c r="AA158" s="292"/>
      <c r="AB158" s="293"/>
      <c r="AC158" s="289"/>
      <c r="AD158" s="291"/>
      <c r="AE158" s="292"/>
      <c r="AF158" s="292"/>
      <c r="AG158" s="293"/>
      <c r="AH158" s="289"/>
      <c r="AI158" s="291"/>
      <c r="AJ158" s="292"/>
      <c r="AK158" s="292"/>
      <c r="AL158" s="293"/>
      <c r="AM158" s="289"/>
      <c r="AN158" s="291"/>
      <c r="AO158" s="292"/>
      <c r="AP158" s="292"/>
      <c r="AQ158" s="293"/>
      <c r="AR158" s="289"/>
      <c r="AS158" s="291"/>
      <c r="AT158" s="292"/>
      <c r="AU158" s="292"/>
      <c r="AV158" s="293"/>
      <c r="AW158" s="289"/>
      <c r="AX158" s="291"/>
      <c r="AY158" s="292"/>
      <c r="AZ158" s="292"/>
      <c r="BA158" s="293"/>
      <c r="BB158" s="289"/>
      <c r="BC158" s="291"/>
      <c r="BD158" s="292"/>
      <c r="BE158" s="292"/>
      <c r="BF158" s="293"/>
      <c r="BG158" s="289"/>
      <c r="BH158" s="291"/>
      <c r="BI158" s="292"/>
      <c r="BJ158" s="292"/>
      <c r="BK158" s="293"/>
      <c r="BL158" s="289"/>
      <c r="BM158" s="291"/>
      <c r="BN158" s="292"/>
      <c r="BO158" s="292"/>
      <c r="BP158" s="293"/>
      <c r="BQ158" s="289"/>
      <c r="BR158" s="289"/>
      <c r="BS158" s="289"/>
      <c r="BT158" s="289"/>
      <c r="BU158" s="289"/>
      <c r="BV158" s="289"/>
      <c r="BW158" s="289"/>
      <c r="BX158" s="289"/>
      <c r="BY158" s="289"/>
      <c r="BZ158" s="289"/>
      <c r="CA158" s="289"/>
      <c r="CB158" s="289"/>
      <c r="CC158" s="289"/>
      <c r="CD158" s="289"/>
      <c r="CE158" s="289"/>
      <c r="CF158" s="289"/>
      <c r="CG158" s="289"/>
      <c r="CH158" s="289"/>
      <c r="CI158" s="289"/>
      <c r="CJ158" s="289"/>
      <c r="CK158" s="289"/>
      <c r="CL158" s="218" t="s">
        <v>101</v>
      </c>
      <c r="CM158" s="218" t="s">
        <v>102</v>
      </c>
      <c r="CN158" s="218" t="s">
        <v>103</v>
      </c>
      <c r="CO158" s="218" t="s">
        <v>104</v>
      </c>
      <c r="CP158" s="218" t="s">
        <v>173</v>
      </c>
      <c r="CQ158" s="218" t="s">
        <v>105</v>
      </c>
      <c r="CR158" s="218" t="s">
        <v>106</v>
      </c>
      <c r="CS158" s="218" t="s">
        <v>107</v>
      </c>
      <c r="CT158" s="218" t="s">
        <v>108</v>
      </c>
      <c r="CU158" s="218" t="s">
        <v>174</v>
      </c>
      <c r="CV158" s="218" t="s">
        <v>109</v>
      </c>
      <c r="CW158" s="218" t="s">
        <v>110</v>
      </c>
      <c r="CX158" s="218" t="s">
        <v>479</v>
      </c>
      <c r="CY158" s="218" t="s">
        <v>175</v>
      </c>
      <c r="CZ158" s="218" t="s">
        <v>176</v>
      </c>
      <c r="DA158" s="218" t="s">
        <v>508</v>
      </c>
      <c r="DB158" s="218" t="s">
        <v>509</v>
      </c>
      <c r="DC158" s="218" t="s">
        <v>510</v>
      </c>
      <c r="DD158" s="218" t="s">
        <v>522</v>
      </c>
      <c r="DE158" s="218" t="s">
        <v>525</v>
      </c>
      <c r="DF158" s="218" t="s">
        <v>524</v>
      </c>
      <c r="DG158" s="218" t="s">
        <v>527</v>
      </c>
      <c r="DH158" s="218" t="s">
        <v>528</v>
      </c>
      <c r="DI158" s="218" t="s">
        <v>537</v>
      </c>
      <c r="DJ158" s="218" t="s">
        <v>540</v>
      </c>
      <c r="DK158" s="218" t="s">
        <v>539</v>
      </c>
      <c r="DL158" s="218" t="s">
        <v>543</v>
      </c>
      <c r="DM158" s="218" t="s">
        <v>544</v>
      </c>
      <c r="DN158" s="218" t="s">
        <v>550</v>
      </c>
      <c r="DO158" s="218" t="s">
        <v>552</v>
      </c>
      <c r="DP158" s="218" t="s">
        <v>553</v>
      </c>
      <c r="DQ158" s="218" t="s">
        <v>554</v>
      </c>
      <c r="DR158" s="218" t="s">
        <v>569</v>
      </c>
      <c r="DS158" s="218" t="s">
        <v>570</v>
      </c>
      <c r="DT158" s="218" t="s">
        <v>573</v>
      </c>
      <c r="DU158" s="218" t="s">
        <v>574</v>
      </c>
      <c r="DV158" s="218" t="s">
        <v>589</v>
      </c>
      <c r="DW158" s="218" t="s">
        <v>597</v>
      </c>
      <c r="DX158" s="218" t="s">
        <v>605</v>
      </c>
      <c r="DY158" s="218" t="s">
        <v>606</v>
      </c>
      <c r="DZ158" s="218" t="s">
        <v>631</v>
      </c>
      <c r="EA158" s="218" t="s">
        <v>638</v>
      </c>
      <c r="EB158" s="218" t="s">
        <v>640</v>
      </c>
      <c r="EC158" s="218" t="s">
        <v>664</v>
      </c>
      <c r="ED158" s="218" t="s">
        <v>666</v>
      </c>
    </row>
    <row r="159" spans="1:134" x14ac:dyDescent="0.2">
      <c r="A159" s="220"/>
      <c r="B159" s="220"/>
      <c r="C159" s="70" t="s">
        <v>177</v>
      </c>
      <c r="D159" s="82"/>
      <c r="E159" s="136">
        <f t="shared" ref="E159:E164" si="300">+CL159</f>
        <v>9.1820000000000004</v>
      </c>
      <c r="F159" s="135">
        <f t="shared" ref="F159:G164" si="301">+CM159-CL159</f>
        <v>16.808</v>
      </c>
      <c r="G159" s="135">
        <f t="shared" si="301"/>
        <v>37.415000000000006</v>
      </c>
      <c r="H159" s="116">
        <f t="shared" ref="H159:H164" si="302">+CP159-CN159</f>
        <v>4.3449999999999989</v>
      </c>
      <c r="I159" s="223">
        <f t="shared" ref="I159:I165" si="303">CP159</f>
        <v>67.75</v>
      </c>
      <c r="J159" s="136">
        <f t="shared" ref="J159:J164" si="304">+CQ159</f>
        <v>7.6989999999999998</v>
      </c>
      <c r="K159" s="135">
        <f t="shared" ref="K159:L164" si="305">+CR159-CQ159</f>
        <v>24.396000000000001</v>
      </c>
      <c r="L159" s="135">
        <f t="shared" si="305"/>
        <v>39.189000000000007</v>
      </c>
      <c r="M159" s="116">
        <f t="shared" ref="M159:M164" si="306">+CU159-CS159</f>
        <v>6.782999999999987</v>
      </c>
      <c r="N159" s="223">
        <f t="shared" ref="N159:N165" si="307">CU159</f>
        <v>78.066999999999993</v>
      </c>
      <c r="O159" s="136">
        <f t="shared" ref="O159:O164" si="308">+CV159</f>
        <v>10.238</v>
      </c>
      <c r="P159" s="135">
        <f t="shared" ref="P159:Q164" si="309">+CW159-CV159</f>
        <v>24.671999999999997</v>
      </c>
      <c r="Q159" s="135">
        <f t="shared" si="309"/>
        <v>48.581000000000003</v>
      </c>
      <c r="R159" s="116">
        <f t="shared" ref="R159:R164" si="310">+CZ159-CX159</f>
        <v>6.4099999999999966</v>
      </c>
      <c r="S159" s="223">
        <f t="shared" ref="S159:S165" si="311">CZ159</f>
        <v>89.900999999999996</v>
      </c>
      <c r="T159" s="136">
        <f t="shared" ref="T159:T164" si="312">+DA159</f>
        <v>11.36</v>
      </c>
      <c r="U159" s="135">
        <f t="shared" ref="U159:U164" si="313">+DB159-DA159</f>
        <v>30.294000000000004</v>
      </c>
      <c r="V159" s="135">
        <f t="shared" ref="V159:V164" si="314">+DC159-DB159</f>
        <v>58.246999999999993</v>
      </c>
      <c r="W159" s="116">
        <f t="shared" ref="W159:W164" si="315">+DE159-DC159</f>
        <v>6.4680000000000035</v>
      </c>
      <c r="X159" s="223">
        <f t="shared" ref="X159:X165" si="316">DE159</f>
        <v>106.369</v>
      </c>
      <c r="Y159" s="136">
        <f t="shared" ref="Y159:Y164" si="317">+DF159</f>
        <v>12.584</v>
      </c>
      <c r="Z159" s="135">
        <f t="shared" ref="Z159:Z164" si="318">+DG159-DF159</f>
        <v>28.206</v>
      </c>
      <c r="AA159" s="135">
        <f t="shared" ref="AA159:AA164" si="319">+DH159-DG159</f>
        <v>35.036999999999999</v>
      </c>
      <c r="AB159" s="116">
        <f t="shared" ref="AB159:AB164" si="320">+DJ159-DH159</f>
        <v>19.350000000000009</v>
      </c>
      <c r="AC159" s="223">
        <f t="shared" ref="AC159:AC165" si="321">DJ159</f>
        <v>95.177000000000007</v>
      </c>
      <c r="AD159" s="136">
        <f t="shared" ref="AD159:AD164" si="322">+DK159</f>
        <v>18.734999999999999</v>
      </c>
      <c r="AE159" s="135">
        <f t="shared" ref="AE159:AF164" si="323">+DL159-DK159</f>
        <v>28.035000000000004</v>
      </c>
      <c r="AF159" s="135">
        <f t="shared" si="323"/>
        <v>66.936999999999983</v>
      </c>
      <c r="AG159" s="116">
        <f t="shared" ref="AG159:AG164" si="324">+DO159-DM159</f>
        <v>16.14500000000001</v>
      </c>
      <c r="AH159" s="223">
        <f t="shared" ref="AH159:AH165" si="325">DO159</f>
        <v>129.852</v>
      </c>
      <c r="AI159" s="136">
        <f t="shared" ref="AI159:AI164" si="326">+DP159</f>
        <v>20.247</v>
      </c>
      <c r="AJ159" s="135">
        <f t="shared" ref="AJ159:AK164" si="327">+DQ159-DP159</f>
        <v>22.576000000000001</v>
      </c>
      <c r="AK159" s="135">
        <f t="shared" si="327"/>
        <v>61.815000000000005</v>
      </c>
      <c r="AL159" s="116">
        <f t="shared" ref="AL159:AL164" si="328">+DT159-DR159</f>
        <v>22.625</v>
      </c>
      <c r="AM159" s="223">
        <f t="shared" ref="AM159:AM165" si="329">DT159</f>
        <v>127.26300000000001</v>
      </c>
      <c r="AN159" s="136">
        <f t="shared" ref="AN159:AN164" si="330">+DU159</f>
        <v>22.523</v>
      </c>
      <c r="AO159" s="135">
        <f t="shared" ref="AO159:AP164" si="331">+DV159-DU159</f>
        <v>32.210999999999999</v>
      </c>
      <c r="AP159" s="135">
        <f t="shared" si="331"/>
        <v>68.346000000000004</v>
      </c>
      <c r="AQ159" s="116">
        <f t="shared" ref="AQ159:AQ164" si="332">+DY159-DW159</f>
        <v>29.077000000000012</v>
      </c>
      <c r="AR159" s="223">
        <f t="shared" ref="AR159:AR165" si="333">DY159</f>
        <v>152.15700000000001</v>
      </c>
      <c r="AS159" s="136">
        <f t="shared" ref="AS159:AS164" si="334">+DZ159</f>
        <v>25.055</v>
      </c>
      <c r="AT159" s="135">
        <f t="shared" ref="AT159:AT164" si="335">+EA159-DZ159</f>
        <v>35.362000000000002</v>
      </c>
      <c r="AU159" s="135">
        <f t="shared" ref="AU159:AU164" si="336">+EB159-EA159</f>
        <v>67.781000000000006</v>
      </c>
      <c r="AV159" s="116">
        <f t="shared" ref="AV159:AV164" si="337">+ED159-EB159</f>
        <v>31.014999999999986</v>
      </c>
      <c r="AW159" s="223">
        <f t="shared" ref="AW159:AW165" si="338">ED159</f>
        <v>159.21299999999999</v>
      </c>
      <c r="AX159" s="136">
        <f>+AX35</f>
        <v>43.510898268294504</v>
      </c>
      <c r="AY159" s="135">
        <f>+AY35</f>
        <v>50.841011894376365</v>
      </c>
      <c r="AZ159" s="135">
        <f>+AZ35</f>
        <v>76.859915566275163</v>
      </c>
      <c r="BA159" s="116">
        <f>+BA35</f>
        <v>26.012057527325908</v>
      </c>
      <c r="BB159" s="82">
        <f>SUM(AX159:BA159)</f>
        <v>197.22388325627193</v>
      </c>
      <c r="BC159" s="136">
        <f>+BC35</f>
        <v>54.06862410684198</v>
      </c>
      <c r="BD159" s="135">
        <f>+BD35</f>
        <v>59.836683246512735</v>
      </c>
      <c r="BE159" s="135">
        <f>+BE35</f>
        <v>87.300267091660601</v>
      </c>
      <c r="BF159" s="116">
        <f>+BF35</f>
        <v>33.60093403253191</v>
      </c>
      <c r="BG159" s="82">
        <f>SUM(BC159:BF159)</f>
        <v>234.80650847754723</v>
      </c>
      <c r="BH159" s="136">
        <f>+BH35</f>
        <v>57.986600410998761</v>
      </c>
      <c r="BI159" s="135">
        <f>+BI35</f>
        <v>62.749609482395066</v>
      </c>
      <c r="BJ159" s="135">
        <f>+BJ35</f>
        <v>96.311885140044623</v>
      </c>
      <c r="BK159" s="116">
        <f>+BK35</f>
        <v>39.617916597469389</v>
      </c>
      <c r="BL159" s="82">
        <f>SUM(BH159:BK159)</f>
        <v>256.66601163090786</v>
      </c>
      <c r="BM159" s="136">
        <f>+BM35</f>
        <v>63.520889788454468</v>
      </c>
      <c r="BN159" s="135">
        <f>+BN35</f>
        <v>70.398569410933618</v>
      </c>
      <c r="BO159" s="135">
        <f>+BO35</f>
        <v>107.37282234618473</v>
      </c>
      <c r="BP159" s="116">
        <f>+BP35</f>
        <v>48.153411482665973</v>
      </c>
      <c r="BQ159" s="82">
        <f>SUM(BM159:BP159)</f>
        <v>289.44569302823879</v>
      </c>
      <c r="BR159" s="220"/>
      <c r="BS159" s="220"/>
      <c r="BT159" s="220"/>
      <c r="BU159" s="220"/>
      <c r="BV159" s="220"/>
      <c r="BW159" s="220"/>
      <c r="BX159" s="220"/>
      <c r="BY159" s="220"/>
      <c r="BZ159" s="220"/>
      <c r="CA159" s="220"/>
      <c r="CB159" s="220"/>
      <c r="CC159" s="220"/>
      <c r="CD159" s="220"/>
      <c r="CE159" s="220"/>
      <c r="CF159" s="220"/>
      <c r="CG159" s="220"/>
      <c r="CH159" s="220"/>
      <c r="CI159" s="220"/>
      <c r="CJ159" s="220"/>
      <c r="CK159" s="220"/>
      <c r="CL159" s="117">
        <v>9.1820000000000004</v>
      </c>
      <c r="CM159" s="117">
        <v>25.99</v>
      </c>
      <c r="CN159" s="117">
        <v>63.405000000000001</v>
      </c>
      <c r="CO159" s="82">
        <f t="shared" ref="CO159:CO164" si="339">CP159-CN159</f>
        <v>4.3449999999999989</v>
      </c>
      <c r="CP159" s="117">
        <v>67.75</v>
      </c>
      <c r="CQ159" s="117">
        <v>7.6989999999999998</v>
      </c>
      <c r="CR159" s="117">
        <v>32.094999999999999</v>
      </c>
      <c r="CS159" s="117">
        <v>71.284000000000006</v>
      </c>
      <c r="CT159" s="82">
        <f t="shared" ref="CT159:CT164" si="340">CU159-CS159</f>
        <v>6.782999999999987</v>
      </c>
      <c r="CU159" s="117">
        <v>78.066999999999993</v>
      </c>
      <c r="CV159" s="117">
        <v>10.238</v>
      </c>
      <c r="CW159" s="117">
        <v>34.909999999999997</v>
      </c>
      <c r="CX159" s="117">
        <v>83.491</v>
      </c>
      <c r="CY159" s="82">
        <f t="shared" ref="CY159:CY164" si="341">CZ159-CX159</f>
        <v>6.4099999999999966</v>
      </c>
      <c r="CZ159" s="117">
        <v>89.900999999999996</v>
      </c>
      <c r="DA159" s="117">
        <v>11.36</v>
      </c>
      <c r="DB159" s="117">
        <v>41.654000000000003</v>
      </c>
      <c r="DC159" s="117">
        <v>99.900999999999996</v>
      </c>
      <c r="DD159" s="82">
        <f t="shared" ref="DD159:DD164" si="342">DE159-DC159</f>
        <v>6.4680000000000035</v>
      </c>
      <c r="DE159" s="117">
        <v>106.369</v>
      </c>
      <c r="DF159" s="117">
        <v>12.584</v>
      </c>
      <c r="DG159" s="117">
        <v>40.79</v>
      </c>
      <c r="DH159" s="117">
        <v>75.826999999999998</v>
      </c>
      <c r="DI159" s="82">
        <f t="shared" ref="DI159:DI164" si="343">DJ159-DH159</f>
        <v>19.350000000000009</v>
      </c>
      <c r="DJ159" s="117">
        <v>95.177000000000007</v>
      </c>
      <c r="DK159" s="117">
        <v>18.734999999999999</v>
      </c>
      <c r="DL159" s="117">
        <v>46.77</v>
      </c>
      <c r="DM159" s="117">
        <v>113.70699999999999</v>
      </c>
      <c r="DN159" s="82">
        <f t="shared" ref="DN159:DN164" si="344">DO159-DM159</f>
        <v>16.14500000000001</v>
      </c>
      <c r="DO159" s="117">
        <v>129.852</v>
      </c>
      <c r="DP159" s="117">
        <v>20.247</v>
      </c>
      <c r="DQ159" s="117">
        <v>42.823</v>
      </c>
      <c r="DR159" s="117">
        <v>104.63800000000001</v>
      </c>
      <c r="DS159" s="82">
        <f t="shared" ref="DS159:DS164" si="345">DT159-DR159</f>
        <v>22.625</v>
      </c>
      <c r="DT159" s="117">
        <v>127.26300000000001</v>
      </c>
      <c r="DU159" s="117">
        <v>22.523</v>
      </c>
      <c r="DV159" s="117">
        <v>54.734000000000002</v>
      </c>
      <c r="DW159" s="117">
        <v>123.08</v>
      </c>
      <c r="DX159" s="82">
        <f t="shared" ref="DX159:DX164" si="346">DY159-DW159</f>
        <v>29.077000000000012</v>
      </c>
      <c r="DY159" s="117">
        <v>152.15700000000001</v>
      </c>
      <c r="DZ159" s="117">
        <v>25.055</v>
      </c>
      <c r="EA159" s="117">
        <v>60.417000000000002</v>
      </c>
      <c r="EB159" s="117">
        <v>128.19800000000001</v>
      </c>
      <c r="EC159" s="82">
        <f t="shared" ref="EC159:EC164" si="347">ED159-EB159</f>
        <v>31.014999999999986</v>
      </c>
      <c r="ED159" s="117">
        <v>159.21299999999999</v>
      </c>
    </row>
    <row r="160" spans="1:134" x14ac:dyDescent="0.2">
      <c r="A160" s="220"/>
      <c r="B160" s="220"/>
      <c r="C160" s="70" t="s">
        <v>178</v>
      </c>
      <c r="D160" s="82"/>
      <c r="E160" s="136">
        <f t="shared" si="300"/>
        <v>26.370999999999999</v>
      </c>
      <c r="F160" s="135">
        <f t="shared" si="301"/>
        <v>25.330000000000002</v>
      </c>
      <c r="G160" s="135">
        <f t="shared" si="301"/>
        <v>26.542999999999999</v>
      </c>
      <c r="H160" s="116">
        <f t="shared" si="302"/>
        <v>28.653000000000006</v>
      </c>
      <c r="I160" s="223">
        <f t="shared" si="303"/>
        <v>106.89700000000001</v>
      </c>
      <c r="J160" s="136">
        <f t="shared" si="304"/>
        <v>26.216000000000001</v>
      </c>
      <c r="K160" s="135">
        <f t="shared" si="305"/>
        <v>26.220999999999997</v>
      </c>
      <c r="L160" s="135">
        <f t="shared" si="305"/>
        <v>26.656999999999996</v>
      </c>
      <c r="M160" s="116">
        <f t="shared" si="306"/>
        <v>27.113</v>
      </c>
      <c r="N160" s="223">
        <f t="shared" si="307"/>
        <v>106.20699999999999</v>
      </c>
      <c r="O160" s="136">
        <f t="shared" si="308"/>
        <v>26.713999999999999</v>
      </c>
      <c r="P160" s="135">
        <f t="shared" si="309"/>
        <v>26.92</v>
      </c>
      <c r="Q160" s="135">
        <f t="shared" si="309"/>
        <v>27.619</v>
      </c>
      <c r="R160" s="116">
        <f t="shared" si="310"/>
        <v>27.953999999999994</v>
      </c>
      <c r="S160" s="223">
        <f t="shared" si="311"/>
        <v>109.20699999999999</v>
      </c>
      <c r="T160" s="136">
        <f t="shared" si="312"/>
        <v>28.407</v>
      </c>
      <c r="U160" s="135">
        <f t="shared" si="313"/>
        <v>28.797000000000001</v>
      </c>
      <c r="V160" s="135">
        <f t="shared" si="314"/>
        <v>29.222000000000001</v>
      </c>
      <c r="W160" s="116">
        <f t="shared" si="315"/>
        <v>29.491</v>
      </c>
      <c r="X160" s="223">
        <f t="shared" si="316"/>
        <v>115.917</v>
      </c>
      <c r="Y160" s="136">
        <f t="shared" si="317"/>
        <v>30.724</v>
      </c>
      <c r="Z160" s="135">
        <f t="shared" si="318"/>
        <v>31.580000000000002</v>
      </c>
      <c r="AA160" s="135">
        <f t="shared" si="319"/>
        <v>30.867000000000004</v>
      </c>
      <c r="AB160" s="116">
        <f t="shared" si="320"/>
        <v>30.897999999999996</v>
      </c>
      <c r="AC160" s="223">
        <f t="shared" si="321"/>
        <v>124.069</v>
      </c>
      <c r="AD160" s="136">
        <f t="shared" si="322"/>
        <v>31.059000000000001</v>
      </c>
      <c r="AE160" s="135">
        <f t="shared" si="323"/>
        <v>35.632999999999996</v>
      </c>
      <c r="AF160" s="135">
        <f t="shared" si="323"/>
        <v>34.822000000000003</v>
      </c>
      <c r="AG160" s="116">
        <f t="shared" si="324"/>
        <v>36.433000000000007</v>
      </c>
      <c r="AH160" s="223">
        <f t="shared" si="325"/>
        <v>137.947</v>
      </c>
      <c r="AI160" s="136">
        <f t="shared" si="326"/>
        <v>36.31</v>
      </c>
      <c r="AJ160" s="135">
        <f t="shared" si="327"/>
        <v>37.317999999999998</v>
      </c>
      <c r="AK160" s="135">
        <f t="shared" si="327"/>
        <v>36.001000000000005</v>
      </c>
      <c r="AL160" s="116">
        <f t="shared" si="328"/>
        <v>43.612000000000009</v>
      </c>
      <c r="AM160" s="223">
        <f t="shared" si="329"/>
        <v>153.24100000000001</v>
      </c>
      <c r="AN160" s="136">
        <f t="shared" si="330"/>
        <v>40.659999999999997</v>
      </c>
      <c r="AO160" s="135">
        <f t="shared" si="331"/>
        <v>40.94</v>
      </c>
      <c r="AP160" s="135">
        <f t="shared" si="331"/>
        <v>42.22</v>
      </c>
      <c r="AQ160" s="116">
        <f t="shared" si="332"/>
        <v>39.137</v>
      </c>
      <c r="AR160" s="223">
        <f t="shared" si="333"/>
        <v>162.95699999999999</v>
      </c>
      <c r="AS160" s="136">
        <f t="shared" si="334"/>
        <v>50.368000000000002</v>
      </c>
      <c r="AT160" s="135">
        <f t="shared" si="335"/>
        <v>46.758000000000003</v>
      </c>
      <c r="AU160" s="135">
        <f t="shared" si="336"/>
        <v>47.537999999999982</v>
      </c>
      <c r="AV160" s="116">
        <f t="shared" si="337"/>
        <v>49.206000000000017</v>
      </c>
      <c r="AW160" s="223">
        <f t="shared" si="338"/>
        <v>193.87</v>
      </c>
      <c r="AX160" s="136">
        <f>AX13+(AS160-AS13)</f>
        <v>53.317007500000003</v>
      </c>
      <c r="AY160" s="135">
        <f>AY13+(AT160-AT13)</f>
        <v>52.324938041266904</v>
      </c>
      <c r="AZ160" s="135">
        <f>AZ13+(AU160-AU13)</f>
        <v>54.651391238302629</v>
      </c>
      <c r="BA160" s="116">
        <f>BA13+(AV160-AV13)</f>
        <v>56.987200586871772</v>
      </c>
      <c r="BB160" s="82">
        <f>SUM(AX160:BA160)</f>
        <v>217.28053736644131</v>
      </c>
      <c r="BC160" s="136">
        <f>BC13+(AX160-AX13)</f>
        <v>57.070926478515048</v>
      </c>
      <c r="BD160" s="135">
        <f>BD13+(AY160-AY13)</f>
        <v>58.720432343902928</v>
      </c>
      <c r="BE160" s="135">
        <f>BE13+(AZ160-AZ13)</f>
        <v>61.225396446711756</v>
      </c>
      <c r="BF160" s="116">
        <f>BF13+(BA160-BA13)</f>
        <v>63.738654162119559</v>
      </c>
      <c r="BG160" s="82">
        <f>SUM(BC160:BF160)</f>
        <v>240.75540943124929</v>
      </c>
      <c r="BH160" s="136">
        <f>BH13+(BC160-BC13)</f>
        <v>66.021495661625096</v>
      </c>
      <c r="BI160" s="135">
        <f>BI13+(BD160-BD13)</f>
        <v>70.161579987144734</v>
      </c>
      <c r="BJ160" s="135">
        <f>BJ13+(BE160-BE13)</f>
        <v>71.374219127492651</v>
      </c>
      <c r="BK160" s="116">
        <f>BK13+(BF160-BF13)</f>
        <v>72.609193310522343</v>
      </c>
      <c r="BL160" s="82">
        <f>SUM(BH160:BK160)</f>
        <v>280.16648808678485</v>
      </c>
      <c r="BM160" s="136">
        <f>BM13+(BH160-BH13)</f>
        <v>73.627640144124712</v>
      </c>
      <c r="BN160" s="135">
        <f>BN13+(BI160-BI13)</f>
        <v>75.735694079578792</v>
      </c>
      <c r="BO160" s="135">
        <f>BO13+(BJ160-BJ13)</f>
        <v>76.235854265317215</v>
      </c>
      <c r="BP160" s="116">
        <f>BP13+(BK160-BK13)</f>
        <v>76.766090753650488</v>
      </c>
      <c r="BQ160" s="82">
        <f>SUM(BM160:BP160)</f>
        <v>302.36527924267119</v>
      </c>
      <c r="BR160" s="220"/>
      <c r="BS160" s="220"/>
      <c r="BT160" s="220"/>
      <c r="BU160" s="220"/>
      <c r="BV160" s="220"/>
      <c r="BW160" s="220"/>
      <c r="BX160" s="220"/>
      <c r="BY160" s="220"/>
      <c r="BZ160" s="220"/>
      <c r="CA160" s="220"/>
      <c r="CB160" s="220"/>
      <c r="CC160" s="220"/>
      <c r="CD160" s="220"/>
      <c r="CE160" s="220"/>
      <c r="CF160" s="220"/>
      <c r="CG160" s="220"/>
      <c r="CH160" s="220"/>
      <c r="CI160" s="220"/>
      <c r="CJ160" s="220"/>
      <c r="CK160" s="220"/>
      <c r="CL160" s="117">
        <v>26.370999999999999</v>
      </c>
      <c r="CM160" s="117">
        <v>51.701000000000001</v>
      </c>
      <c r="CN160" s="117">
        <v>78.244</v>
      </c>
      <c r="CO160" s="82">
        <f t="shared" si="339"/>
        <v>28.653000000000006</v>
      </c>
      <c r="CP160" s="117">
        <v>106.89700000000001</v>
      </c>
      <c r="CQ160" s="117">
        <v>26.216000000000001</v>
      </c>
      <c r="CR160" s="117">
        <v>52.436999999999998</v>
      </c>
      <c r="CS160" s="117">
        <v>79.093999999999994</v>
      </c>
      <c r="CT160" s="82">
        <f t="shared" si="340"/>
        <v>27.113</v>
      </c>
      <c r="CU160" s="117">
        <v>106.20699999999999</v>
      </c>
      <c r="CV160" s="117">
        <v>26.713999999999999</v>
      </c>
      <c r="CW160" s="117">
        <v>53.634</v>
      </c>
      <c r="CX160" s="117">
        <v>81.253</v>
      </c>
      <c r="CY160" s="82">
        <f t="shared" si="341"/>
        <v>27.953999999999994</v>
      </c>
      <c r="CZ160" s="117">
        <v>109.20699999999999</v>
      </c>
      <c r="DA160" s="117">
        <v>28.407</v>
      </c>
      <c r="DB160" s="117">
        <v>57.204000000000001</v>
      </c>
      <c r="DC160" s="117">
        <v>86.426000000000002</v>
      </c>
      <c r="DD160" s="82">
        <f t="shared" si="342"/>
        <v>29.491</v>
      </c>
      <c r="DE160" s="117">
        <v>115.917</v>
      </c>
      <c r="DF160" s="117">
        <v>30.724</v>
      </c>
      <c r="DG160" s="117">
        <v>62.304000000000002</v>
      </c>
      <c r="DH160" s="117">
        <v>93.171000000000006</v>
      </c>
      <c r="DI160" s="82">
        <f t="shared" si="343"/>
        <v>30.897999999999996</v>
      </c>
      <c r="DJ160" s="117">
        <v>124.069</v>
      </c>
      <c r="DK160" s="117">
        <v>31.059000000000001</v>
      </c>
      <c r="DL160" s="117">
        <v>66.691999999999993</v>
      </c>
      <c r="DM160" s="117">
        <v>101.514</v>
      </c>
      <c r="DN160" s="82">
        <f t="shared" si="344"/>
        <v>36.433000000000007</v>
      </c>
      <c r="DO160" s="117">
        <v>137.947</v>
      </c>
      <c r="DP160" s="117">
        <v>36.31</v>
      </c>
      <c r="DQ160" s="117">
        <v>73.628</v>
      </c>
      <c r="DR160" s="117">
        <v>109.629</v>
      </c>
      <c r="DS160" s="82">
        <f t="shared" si="345"/>
        <v>43.612000000000009</v>
      </c>
      <c r="DT160" s="117">
        <v>153.24100000000001</v>
      </c>
      <c r="DU160" s="117">
        <v>40.659999999999997</v>
      </c>
      <c r="DV160" s="117">
        <v>81.599999999999994</v>
      </c>
      <c r="DW160" s="117">
        <v>123.82</v>
      </c>
      <c r="DX160" s="82">
        <f t="shared" si="346"/>
        <v>39.137</v>
      </c>
      <c r="DY160" s="117">
        <v>162.95699999999999</v>
      </c>
      <c r="DZ160" s="117">
        <v>50.368000000000002</v>
      </c>
      <c r="EA160" s="117">
        <v>97.126000000000005</v>
      </c>
      <c r="EB160" s="117">
        <v>144.66399999999999</v>
      </c>
      <c r="EC160" s="82">
        <f t="shared" si="347"/>
        <v>49.206000000000017</v>
      </c>
      <c r="ED160" s="117">
        <v>193.87</v>
      </c>
    </row>
    <row r="161" spans="1:134" x14ac:dyDescent="0.2">
      <c r="A161" s="220"/>
      <c r="B161" s="220"/>
      <c r="C161" s="70" t="s">
        <v>179</v>
      </c>
      <c r="D161" s="82"/>
      <c r="E161" s="136">
        <f t="shared" si="300"/>
        <v>-1.115</v>
      </c>
      <c r="F161" s="135">
        <f t="shared" si="301"/>
        <v>-0.97499999999999987</v>
      </c>
      <c r="G161" s="135">
        <f t="shared" si="301"/>
        <v>-0.88700000000000001</v>
      </c>
      <c r="H161" s="116">
        <f t="shared" si="302"/>
        <v>-1.105</v>
      </c>
      <c r="I161" s="223">
        <f t="shared" si="303"/>
        <v>-4.0819999999999999</v>
      </c>
      <c r="J161" s="136">
        <f t="shared" si="304"/>
        <v>-0.433</v>
      </c>
      <c r="K161" s="135">
        <f t="shared" si="305"/>
        <v>-1.0109999999999999</v>
      </c>
      <c r="L161" s="135">
        <f t="shared" si="305"/>
        <v>-1.085</v>
      </c>
      <c r="M161" s="116">
        <f t="shared" si="306"/>
        <v>-1.6589999999999998</v>
      </c>
      <c r="N161" s="223">
        <f t="shared" si="307"/>
        <v>-4.1879999999999997</v>
      </c>
      <c r="O161" s="136">
        <f t="shared" si="308"/>
        <v>-1.9259999999999999</v>
      </c>
      <c r="P161" s="135">
        <f t="shared" si="309"/>
        <v>-1.3579999999999999</v>
      </c>
      <c r="Q161" s="135">
        <f t="shared" si="309"/>
        <v>-0.89400000000000013</v>
      </c>
      <c r="R161" s="116">
        <f t="shared" si="310"/>
        <v>-1.1639999999999997</v>
      </c>
      <c r="S161" s="223">
        <f t="shared" si="311"/>
        <v>-5.3419999999999996</v>
      </c>
      <c r="T161" s="136">
        <f t="shared" si="312"/>
        <v>-1.69</v>
      </c>
      <c r="U161" s="135">
        <f t="shared" si="313"/>
        <v>-1.702</v>
      </c>
      <c r="V161" s="135">
        <f t="shared" si="314"/>
        <v>-1.6700000000000004</v>
      </c>
      <c r="W161" s="116">
        <f t="shared" si="315"/>
        <v>-2.21</v>
      </c>
      <c r="X161" s="223">
        <f t="shared" si="316"/>
        <v>-7.2720000000000002</v>
      </c>
      <c r="Y161" s="136">
        <f t="shared" si="317"/>
        <v>-2.6219999999999999</v>
      </c>
      <c r="Z161" s="135">
        <f t="shared" si="318"/>
        <v>-2.2000000000000002</v>
      </c>
      <c r="AA161" s="135">
        <f t="shared" si="319"/>
        <v>-2.1500000000000004</v>
      </c>
      <c r="AB161" s="116">
        <f t="shared" si="320"/>
        <v>-3.2139999999999995</v>
      </c>
      <c r="AC161" s="223">
        <f t="shared" si="321"/>
        <v>-10.186</v>
      </c>
      <c r="AD161" s="136">
        <f t="shared" si="322"/>
        <v>-3.64</v>
      </c>
      <c r="AE161" s="135">
        <f t="shared" si="323"/>
        <v>-2.895</v>
      </c>
      <c r="AF161" s="135">
        <f t="shared" si="323"/>
        <v>-3.1470000000000002</v>
      </c>
      <c r="AG161" s="116">
        <f t="shared" si="324"/>
        <v>-2.4359999999999999</v>
      </c>
      <c r="AH161" s="223">
        <f t="shared" si="325"/>
        <v>-12.118</v>
      </c>
      <c r="AI161" s="136">
        <f t="shared" si="326"/>
        <v>-1.7050000000000001</v>
      </c>
      <c r="AJ161" s="135">
        <f t="shared" si="327"/>
        <v>-1.7879999999999998</v>
      </c>
      <c r="AK161" s="135">
        <f t="shared" si="327"/>
        <v>-2.0850000000000004</v>
      </c>
      <c r="AL161" s="116">
        <f t="shared" si="328"/>
        <v>-1.7999999999999998</v>
      </c>
      <c r="AM161" s="223">
        <f t="shared" si="329"/>
        <v>-7.3780000000000001</v>
      </c>
      <c r="AN161" s="136">
        <f t="shared" si="330"/>
        <v>-2.3370000000000002</v>
      </c>
      <c r="AO161" s="135">
        <f t="shared" si="331"/>
        <v>-2.379</v>
      </c>
      <c r="AP161" s="135">
        <f t="shared" si="331"/>
        <v>-2.6319999999999997</v>
      </c>
      <c r="AQ161" s="116">
        <f t="shared" si="332"/>
        <v>-2.633</v>
      </c>
      <c r="AR161" s="223">
        <f t="shared" si="333"/>
        <v>-9.9809999999999999</v>
      </c>
      <c r="AS161" s="136">
        <f t="shared" si="334"/>
        <v>-2.1349999999999998</v>
      </c>
      <c r="AT161" s="135">
        <f t="shared" si="335"/>
        <v>-1.8689999999999998</v>
      </c>
      <c r="AU161" s="135">
        <f t="shared" si="336"/>
        <v>-2.4530000000000003</v>
      </c>
      <c r="AV161" s="116">
        <f t="shared" si="337"/>
        <v>-2.8530000000000006</v>
      </c>
      <c r="AW161" s="223">
        <f t="shared" si="338"/>
        <v>-9.31</v>
      </c>
      <c r="AX161" s="136">
        <f>+-AX20</f>
        <v>-4.8080229162387358</v>
      </c>
      <c r="AY161" s="135">
        <f>+-AY20</f>
        <v>-4.8080229162387358</v>
      </c>
      <c r="AZ161" s="135">
        <f>+-AZ20</f>
        <v>-4.8080229162387358</v>
      </c>
      <c r="BA161" s="116">
        <f>+-BA20</f>
        <v>-4.8080229162387358</v>
      </c>
      <c r="BB161" s="82">
        <f>SUM(AX161:BA161)</f>
        <v>-19.232091664954943</v>
      </c>
      <c r="BC161" s="136">
        <f>+-BC20</f>
        <v>-5.3736726710903513</v>
      </c>
      <c r="BD161" s="135">
        <f>+-BD20</f>
        <v>-5.3736726710903513</v>
      </c>
      <c r="BE161" s="135">
        <f>+-BE20</f>
        <v>-5.3736726710903513</v>
      </c>
      <c r="BF161" s="116">
        <f>+-BF20</f>
        <v>-5.3736726710903513</v>
      </c>
      <c r="BG161" s="82">
        <f>SUM(BC161:BF161)</f>
        <v>-21.494690684361405</v>
      </c>
      <c r="BH161" s="136">
        <f>+-BH20</f>
        <v>-3.3467610495387277</v>
      </c>
      <c r="BI161" s="135">
        <f>+-BI20</f>
        <v>-3.3467610495387277</v>
      </c>
      <c r="BJ161" s="135">
        <f>+-BJ20</f>
        <v>-3.3467610495387277</v>
      </c>
      <c r="BK161" s="116">
        <f>+-BK20</f>
        <v>-3.3467610495387277</v>
      </c>
      <c r="BL161" s="82">
        <f>SUM(BH161:BK161)</f>
        <v>-13.387044198154911</v>
      </c>
      <c r="BM161" s="136">
        <f>+-BM20</f>
        <v>-2.2154615398354958</v>
      </c>
      <c r="BN161" s="135">
        <f>+-BN20</f>
        <v>-2.2154615398354958</v>
      </c>
      <c r="BO161" s="135">
        <f>+-BO20</f>
        <v>-2.2154615398354958</v>
      </c>
      <c r="BP161" s="116">
        <f>+-BP20</f>
        <v>-2.2154615398354958</v>
      </c>
      <c r="BQ161" s="82">
        <f>SUM(BM161:BP161)</f>
        <v>-8.8618461593419831</v>
      </c>
      <c r="BR161" s="220"/>
      <c r="BS161" s="220"/>
      <c r="BT161" s="220"/>
      <c r="BU161" s="220"/>
      <c r="BV161" s="220"/>
      <c r="BW161" s="220"/>
      <c r="BX161" s="220"/>
      <c r="BY161" s="220"/>
      <c r="BZ161" s="220"/>
      <c r="CA161" s="220"/>
      <c r="CB161" s="220"/>
      <c r="CC161" s="220"/>
      <c r="CD161" s="220"/>
      <c r="CE161" s="220"/>
      <c r="CF161" s="220"/>
      <c r="CG161" s="220"/>
      <c r="CH161" s="220"/>
      <c r="CI161" s="220"/>
      <c r="CJ161" s="220"/>
      <c r="CK161" s="220"/>
      <c r="CL161" s="117">
        <v>-1.115</v>
      </c>
      <c r="CM161" s="117">
        <v>-2.09</v>
      </c>
      <c r="CN161" s="117">
        <v>-2.9769999999999999</v>
      </c>
      <c r="CO161" s="82">
        <f t="shared" si="339"/>
        <v>-1.105</v>
      </c>
      <c r="CP161" s="117">
        <v>-4.0819999999999999</v>
      </c>
      <c r="CQ161" s="117">
        <v>-0.433</v>
      </c>
      <c r="CR161" s="117">
        <v>-1.444</v>
      </c>
      <c r="CS161" s="117">
        <v>-2.5289999999999999</v>
      </c>
      <c r="CT161" s="82">
        <f t="shared" si="340"/>
        <v>-1.6589999999999998</v>
      </c>
      <c r="CU161" s="117">
        <v>-4.1879999999999997</v>
      </c>
      <c r="CV161" s="117">
        <v>-1.9259999999999999</v>
      </c>
      <c r="CW161" s="117">
        <v>-3.2839999999999998</v>
      </c>
      <c r="CX161" s="117">
        <v>-4.1779999999999999</v>
      </c>
      <c r="CY161" s="82">
        <f t="shared" si="341"/>
        <v>-1.1639999999999997</v>
      </c>
      <c r="CZ161" s="117">
        <v>-5.3419999999999996</v>
      </c>
      <c r="DA161" s="117">
        <v>-1.69</v>
      </c>
      <c r="DB161" s="117">
        <v>-3.3919999999999999</v>
      </c>
      <c r="DC161" s="117">
        <v>-5.0620000000000003</v>
      </c>
      <c r="DD161" s="82">
        <f t="shared" si="342"/>
        <v>-2.21</v>
      </c>
      <c r="DE161" s="117">
        <v>-7.2720000000000002</v>
      </c>
      <c r="DF161" s="117">
        <v>-2.6219999999999999</v>
      </c>
      <c r="DG161" s="117">
        <v>-4.8220000000000001</v>
      </c>
      <c r="DH161" s="117">
        <v>-6.9720000000000004</v>
      </c>
      <c r="DI161" s="82">
        <f t="shared" si="343"/>
        <v>-3.2139999999999995</v>
      </c>
      <c r="DJ161" s="117">
        <v>-10.186</v>
      </c>
      <c r="DK161" s="117">
        <v>-3.64</v>
      </c>
      <c r="DL161" s="117">
        <v>-6.5350000000000001</v>
      </c>
      <c r="DM161" s="117">
        <v>-9.6820000000000004</v>
      </c>
      <c r="DN161" s="82">
        <f t="shared" si="344"/>
        <v>-2.4359999999999999</v>
      </c>
      <c r="DO161" s="117">
        <v>-12.118</v>
      </c>
      <c r="DP161" s="117">
        <v>-1.7050000000000001</v>
      </c>
      <c r="DQ161" s="117">
        <v>-3.4929999999999999</v>
      </c>
      <c r="DR161" s="117">
        <v>-5.5780000000000003</v>
      </c>
      <c r="DS161" s="82">
        <f t="shared" si="345"/>
        <v>-1.7999999999999998</v>
      </c>
      <c r="DT161" s="117">
        <v>-7.3780000000000001</v>
      </c>
      <c r="DU161" s="117">
        <v>-2.3370000000000002</v>
      </c>
      <c r="DV161" s="117">
        <v>-4.7160000000000002</v>
      </c>
      <c r="DW161" s="117">
        <v>-7.3479999999999999</v>
      </c>
      <c r="DX161" s="82">
        <f t="shared" si="346"/>
        <v>-2.633</v>
      </c>
      <c r="DY161" s="117">
        <v>-9.9809999999999999</v>
      </c>
      <c r="DZ161" s="117">
        <v>-2.1349999999999998</v>
      </c>
      <c r="EA161" s="117">
        <v>-4.0039999999999996</v>
      </c>
      <c r="EB161" s="117">
        <v>-6.4569999999999999</v>
      </c>
      <c r="EC161" s="82">
        <f t="shared" si="347"/>
        <v>-2.8530000000000006</v>
      </c>
      <c r="ED161" s="117">
        <v>-9.31</v>
      </c>
    </row>
    <row r="162" spans="1:134" x14ac:dyDescent="0.2">
      <c r="A162" s="220"/>
      <c r="B162" s="220"/>
      <c r="C162" s="70" t="s">
        <v>180</v>
      </c>
      <c r="D162" s="82"/>
      <c r="E162" s="136">
        <f t="shared" si="300"/>
        <v>-24.687000000000001</v>
      </c>
      <c r="F162" s="135">
        <f t="shared" si="301"/>
        <v>5.2550000000000026</v>
      </c>
      <c r="G162" s="135">
        <f t="shared" si="301"/>
        <v>23.177</v>
      </c>
      <c r="H162" s="116">
        <f t="shared" si="302"/>
        <v>26.628</v>
      </c>
      <c r="I162" s="223">
        <f t="shared" si="303"/>
        <v>30.373000000000001</v>
      </c>
      <c r="J162" s="136">
        <f t="shared" si="304"/>
        <v>10.895</v>
      </c>
      <c r="K162" s="135">
        <f t="shared" si="305"/>
        <v>7.0339999999999989</v>
      </c>
      <c r="L162" s="135">
        <f t="shared" si="305"/>
        <v>8.5910000000000011</v>
      </c>
      <c r="M162" s="116">
        <f t="shared" si="306"/>
        <v>-1.2079999999999984</v>
      </c>
      <c r="N162" s="223">
        <f t="shared" si="307"/>
        <v>25.312000000000001</v>
      </c>
      <c r="O162" s="136">
        <f t="shared" si="308"/>
        <v>5.431</v>
      </c>
      <c r="P162" s="135">
        <f t="shared" si="309"/>
        <v>14.277999999999999</v>
      </c>
      <c r="Q162" s="135">
        <f t="shared" si="309"/>
        <v>36.766999999999996</v>
      </c>
      <c r="R162" s="116">
        <f t="shared" si="310"/>
        <v>-0.96799999999999642</v>
      </c>
      <c r="S162" s="223">
        <f t="shared" si="311"/>
        <v>55.508000000000003</v>
      </c>
      <c r="T162" s="136">
        <f t="shared" si="312"/>
        <v>12.584</v>
      </c>
      <c r="U162" s="135">
        <f t="shared" si="313"/>
        <v>13.577999999999999</v>
      </c>
      <c r="V162" s="135">
        <f t="shared" si="314"/>
        <v>10.438000000000002</v>
      </c>
      <c r="W162" s="116">
        <f t="shared" si="315"/>
        <v>17.518999999999998</v>
      </c>
      <c r="X162" s="223">
        <f t="shared" si="316"/>
        <v>54.119</v>
      </c>
      <c r="Y162" s="136">
        <f t="shared" si="317"/>
        <v>10.433</v>
      </c>
      <c r="Z162" s="135">
        <f t="shared" si="318"/>
        <v>16.068000000000001</v>
      </c>
      <c r="AA162" s="135">
        <f t="shared" si="319"/>
        <v>10.330000000000002</v>
      </c>
      <c r="AB162" s="116">
        <f t="shared" si="320"/>
        <v>-0.35600000000000165</v>
      </c>
      <c r="AC162" s="223">
        <f t="shared" si="321"/>
        <v>36.475000000000001</v>
      </c>
      <c r="AD162" s="136">
        <f t="shared" si="322"/>
        <v>22.166</v>
      </c>
      <c r="AE162" s="135">
        <f t="shared" si="323"/>
        <v>29.511999999999997</v>
      </c>
      <c r="AF162" s="135">
        <f t="shared" si="323"/>
        <v>36.33</v>
      </c>
      <c r="AG162" s="116">
        <f t="shared" si="324"/>
        <v>35.509</v>
      </c>
      <c r="AH162" s="223">
        <f t="shared" si="325"/>
        <v>123.517</v>
      </c>
      <c r="AI162" s="136">
        <f t="shared" si="326"/>
        <v>3.617</v>
      </c>
      <c r="AJ162" s="135">
        <f t="shared" si="327"/>
        <v>8.2489999999999988</v>
      </c>
      <c r="AK162" s="135">
        <f t="shared" si="327"/>
        <v>23.674999999999997</v>
      </c>
      <c r="AL162" s="116">
        <f t="shared" si="328"/>
        <v>27.295000000000002</v>
      </c>
      <c r="AM162" s="223">
        <f t="shared" si="329"/>
        <v>62.835999999999999</v>
      </c>
      <c r="AN162" s="136">
        <f t="shared" si="330"/>
        <v>25.751000000000001</v>
      </c>
      <c r="AO162" s="135">
        <f t="shared" si="331"/>
        <v>27.465999999999998</v>
      </c>
      <c r="AP162" s="135">
        <f t="shared" si="331"/>
        <v>46.665000000000006</v>
      </c>
      <c r="AQ162" s="116">
        <f t="shared" si="332"/>
        <v>23.100999999999999</v>
      </c>
      <c r="AR162" s="223">
        <f t="shared" si="333"/>
        <v>122.983</v>
      </c>
      <c r="AS162" s="136">
        <f t="shared" si="334"/>
        <v>33.079000000000001</v>
      </c>
      <c r="AT162" s="135">
        <f t="shared" si="335"/>
        <v>15.019999999999996</v>
      </c>
      <c r="AU162" s="135">
        <f t="shared" si="336"/>
        <v>53.289000000000009</v>
      </c>
      <c r="AV162" s="116">
        <f t="shared" si="337"/>
        <v>25.076999999999998</v>
      </c>
      <c r="AW162" s="223">
        <f t="shared" si="338"/>
        <v>126.465</v>
      </c>
      <c r="AX162" s="136">
        <f>AX33</f>
        <v>12.900958450685257</v>
      </c>
      <c r="AY162" s="135">
        <f>AY33</f>
        <v>15.344329659379211</v>
      </c>
      <c r="AZ162" s="135">
        <f>AZ33</f>
        <v>24.017297550012138</v>
      </c>
      <c r="BA162" s="116">
        <f>BA33</f>
        <v>7.0680115370289993</v>
      </c>
      <c r="BB162" s="34">
        <f>SUM(AX162:BA162)</f>
        <v>59.330597197105611</v>
      </c>
      <c r="BC162" s="136">
        <f>BC33</f>
        <v>16.231650478583877</v>
      </c>
      <c r="BD162" s="135">
        <f>BD33</f>
        <v>18.154336858474128</v>
      </c>
      <c r="BE162" s="135">
        <f>BE33</f>
        <v>27.308864806856754</v>
      </c>
      <c r="BF162" s="116">
        <f>BF33</f>
        <v>9.4090871204804696</v>
      </c>
      <c r="BG162" s="34">
        <f>SUM(BC162:BF162)</f>
        <v>71.103939264395223</v>
      </c>
      <c r="BH162" s="136">
        <f>BH33</f>
        <v>18.213279787153343</v>
      </c>
      <c r="BI162" s="135">
        <f>BI33</f>
        <v>19.800949477618779</v>
      </c>
      <c r="BJ162" s="135">
        <f>BJ33</f>
        <v>30.988374696835297</v>
      </c>
      <c r="BK162" s="116">
        <f>BK33</f>
        <v>12.090385182643686</v>
      </c>
      <c r="BL162" s="34">
        <f>SUM(BH162:BK162)</f>
        <v>81.092989144251106</v>
      </c>
      <c r="BM162" s="136">
        <f>BM33</f>
        <v>20.435142749539654</v>
      </c>
      <c r="BN162" s="135">
        <f>BN33</f>
        <v>22.727702623699372</v>
      </c>
      <c r="BO162" s="135">
        <f>BO33</f>
        <v>35.052453602116408</v>
      </c>
      <c r="BP162" s="116">
        <f>BP33</f>
        <v>15.312649980943574</v>
      </c>
      <c r="BQ162" s="34">
        <f>SUM(BM162:BP162)</f>
        <v>93.527948956299014</v>
      </c>
      <c r="BR162" s="220"/>
      <c r="BS162" s="220"/>
      <c r="BT162" s="220"/>
      <c r="BU162" s="220"/>
      <c r="BV162" s="220"/>
      <c r="BW162" s="220"/>
      <c r="BX162" s="220"/>
      <c r="BY162" s="220"/>
      <c r="BZ162" s="220"/>
      <c r="CA162" s="220"/>
      <c r="CB162" s="220"/>
      <c r="CC162" s="220"/>
      <c r="CD162" s="220"/>
      <c r="CE162" s="220"/>
      <c r="CF162" s="220"/>
      <c r="CG162" s="220"/>
      <c r="CH162" s="220"/>
      <c r="CI162" s="220"/>
      <c r="CJ162" s="220"/>
      <c r="CK162" s="220"/>
      <c r="CL162" s="117">
        <v>-24.687000000000001</v>
      </c>
      <c r="CM162" s="117">
        <v>-19.431999999999999</v>
      </c>
      <c r="CN162" s="117">
        <v>3.7450000000000001</v>
      </c>
      <c r="CO162" s="82">
        <f t="shared" si="339"/>
        <v>26.628</v>
      </c>
      <c r="CP162" s="117">
        <v>30.373000000000001</v>
      </c>
      <c r="CQ162" s="117">
        <v>10.895</v>
      </c>
      <c r="CR162" s="117">
        <v>17.928999999999998</v>
      </c>
      <c r="CS162" s="117">
        <v>26.52</v>
      </c>
      <c r="CT162" s="82">
        <f t="shared" si="340"/>
        <v>-1.2079999999999984</v>
      </c>
      <c r="CU162" s="117">
        <v>25.312000000000001</v>
      </c>
      <c r="CV162" s="117">
        <v>5.431</v>
      </c>
      <c r="CW162" s="117">
        <v>19.709</v>
      </c>
      <c r="CX162" s="117">
        <v>56.475999999999999</v>
      </c>
      <c r="CY162" s="82">
        <f t="shared" si="341"/>
        <v>-0.96799999999999642</v>
      </c>
      <c r="CZ162" s="117">
        <v>55.508000000000003</v>
      </c>
      <c r="DA162" s="117">
        <v>12.584</v>
      </c>
      <c r="DB162" s="117">
        <v>26.161999999999999</v>
      </c>
      <c r="DC162" s="117">
        <v>36.6</v>
      </c>
      <c r="DD162" s="82">
        <f t="shared" si="342"/>
        <v>17.518999999999998</v>
      </c>
      <c r="DE162" s="117">
        <v>54.119</v>
      </c>
      <c r="DF162" s="117">
        <v>10.433</v>
      </c>
      <c r="DG162" s="117">
        <v>26.501000000000001</v>
      </c>
      <c r="DH162" s="117">
        <v>36.831000000000003</v>
      </c>
      <c r="DI162" s="82">
        <f t="shared" si="343"/>
        <v>-0.35600000000000165</v>
      </c>
      <c r="DJ162" s="117">
        <v>36.475000000000001</v>
      </c>
      <c r="DK162" s="117">
        <v>22.166</v>
      </c>
      <c r="DL162" s="117">
        <v>51.677999999999997</v>
      </c>
      <c r="DM162" s="117">
        <v>88.007999999999996</v>
      </c>
      <c r="DN162" s="82">
        <f t="shared" si="344"/>
        <v>35.509</v>
      </c>
      <c r="DO162" s="117">
        <v>123.517</v>
      </c>
      <c r="DP162" s="117">
        <v>3.617</v>
      </c>
      <c r="DQ162" s="117">
        <v>11.866</v>
      </c>
      <c r="DR162" s="117">
        <v>35.540999999999997</v>
      </c>
      <c r="DS162" s="82">
        <f t="shared" si="345"/>
        <v>27.295000000000002</v>
      </c>
      <c r="DT162" s="117">
        <v>62.835999999999999</v>
      </c>
      <c r="DU162" s="117">
        <v>25.751000000000001</v>
      </c>
      <c r="DV162" s="117">
        <v>53.216999999999999</v>
      </c>
      <c r="DW162" s="117">
        <v>99.882000000000005</v>
      </c>
      <c r="DX162" s="82">
        <f t="shared" si="346"/>
        <v>23.100999999999999</v>
      </c>
      <c r="DY162" s="117">
        <v>122.983</v>
      </c>
      <c r="DZ162" s="117">
        <v>33.079000000000001</v>
      </c>
      <c r="EA162" s="117">
        <v>48.098999999999997</v>
      </c>
      <c r="EB162" s="117">
        <v>101.38800000000001</v>
      </c>
      <c r="EC162" s="82">
        <f t="shared" si="347"/>
        <v>25.076999999999998</v>
      </c>
      <c r="ED162" s="117">
        <v>126.465</v>
      </c>
    </row>
    <row r="163" spans="1:134" x14ac:dyDescent="0.2">
      <c r="A163" s="220"/>
      <c r="B163" s="220"/>
      <c r="C163" s="70" t="s">
        <v>97</v>
      </c>
      <c r="D163" s="82"/>
      <c r="E163" s="136">
        <f t="shared" si="300"/>
        <v>-0.29399999999999998</v>
      </c>
      <c r="F163" s="135">
        <f t="shared" si="301"/>
        <v>-0.53599999999999981</v>
      </c>
      <c r="G163" s="135">
        <f t="shared" si="301"/>
        <v>0.89100000000000001</v>
      </c>
      <c r="H163" s="116">
        <f t="shared" si="302"/>
        <v>2.5010000000000003</v>
      </c>
      <c r="I163" s="223">
        <f t="shared" si="303"/>
        <v>2.5620000000000003</v>
      </c>
      <c r="J163" s="136">
        <f t="shared" si="304"/>
        <v>0.46799999999999997</v>
      </c>
      <c r="K163" s="135">
        <f t="shared" si="305"/>
        <v>0.46699999999999997</v>
      </c>
      <c r="L163" s="135">
        <f t="shared" si="305"/>
        <v>0.61599999999999999</v>
      </c>
      <c r="M163" s="116">
        <f t="shared" si="306"/>
        <v>4.3999999999999995</v>
      </c>
      <c r="N163" s="223">
        <f t="shared" si="307"/>
        <v>5.9509999999999996</v>
      </c>
      <c r="O163" s="136">
        <f t="shared" si="308"/>
        <v>0.434</v>
      </c>
      <c r="P163" s="135">
        <f t="shared" si="309"/>
        <v>0.434</v>
      </c>
      <c r="Q163" s="135">
        <f t="shared" si="309"/>
        <v>0.43600000000000028</v>
      </c>
      <c r="R163" s="116">
        <f t="shared" si="310"/>
        <v>4.1549999999999994</v>
      </c>
      <c r="S163" s="223">
        <f t="shared" si="311"/>
        <v>5.4589999999999996</v>
      </c>
      <c r="T163" s="136">
        <f t="shared" si="312"/>
        <v>0.45100000000000001</v>
      </c>
      <c r="U163" s="135">
        <f t="shared" si="313"/>
        <v>0.45100000000000001</v>
      </c>
      <c r="V163" s="135">
        <f t="shared" si="314"/>
        <v>0.45100000000000018</v>
      </c>
      <c r="W163" s="116">
        <f t="shared" si="315"/>
        <v>3.3149999999999999</v>
      </c>
      <c r="X163" s="223">
        <f t="shared" si="316"/>
        <v>4.6680000000000001</v>
      </c>
      <c r="Y163" s="136">
        <f t="shared" si="317"/>
        <v>0.40199999999999997</v>
      </c>
      <c r="Z163" s="135">
        <f t="shared" si="318"/>
        <v>0.40399999999999997</v>
      </c>
      <c r="AA163" s="135">
        <f t="shared" si="319"/>
        <v>0.40499999999999992</v>
      </c>
      <c r="AB163" s="116">
        <f t="shared" si="320"/>
        <v>-9.8349999999999991</v>
      </c>
      <c r="AC163" s="223">
        <f t="shared" si="321"/>
        <v>-8.6239999999999988</v>
      </c>
      <c r="AD163" s="136">
        <f t="shared" si="322"/>
        <v>0.39899999999999997</v>
      </c>
      <c r="AE163" s="135">
        <f t="shared" si="323"/>
        <v>0.40099999999999997</v>
      </c>
      <c r="AF163" s="135">
        <f t="shared" si="323"/>
        <v>0.40099999999999991</v>
      </c>
      <c r="AG163" s="116">
        <f t="shared" si="324"/>
        <v>4.5359999999999996</v>
      </c>
      <c r="AH163" s="223">
        <f t="shared" si="325"/>
        <v>5.7369999999999992</v>
      </c>
      <c r="AI163" s="136">
        <f t="shared" si="326"/>
        <v>0.39899999999999997</v>
      </c>
      <c r="AJ163" s="135">
        <f t="shared" si="327"/>
        <v>0.40099999999999997</v>
      </c>
      <c r="AK163" s="135">
        <f t="shared" si="327"/>
        <v>0.40099999999999991</v>
      </c>
      <c r="AL163" s="116">
        <f t="shared" si="328"/>
        <v>1.3550000000000002</v>
      </c>
      <c r="AM163" s="223">
        <f t="shared" si="329"/>
        <v>2.556</v>
      </c>
      <c r="AN163" s="136">
        <f t="shared" si="330"/>
        <v>0.432</v>
      </c>
      <c r="AO163" s="135">
        <f t="shared" si="331"/>
        <v>0.433</v>
      </c>
      <c r="AP163" s="135">
        <f t="shared" si="331"/>
        <v>0.55499999999999994</v>
      </c>
      <c r="AQ163" s="116">
        <f t="shared" si="332"/>
        <v>6.4449999999999994</v>
      </c>
      <c r="AR163" s="223">
        <f t="shared" si="333"/>
        <v>7.8649999999999993</v>
      </c>
      <c r="AS163" s="136">
        <f t="shared" si="334"/>
        <v>0.4</v>
      </c>
      <c r="AT163" s="135">
        <f t="shared" si="335"/>
        <v>0.41199999999999992</v>
      </c>
      <c r="AU163" s="135">
        <f t="shared" si="336"/>
        <v>0.3999999999999998</v>
      </c>
      <c r="AV163" s="116">
        <f t="shared" si="337"/>
        <v>5.4540000000000006</v>
      </c>
      <c r="AW163" s="223">
        <f t="shared" si="338"/>
        <v>6.6660000000000004</v>
      </c>
      <c r="AX163" s="136">
        <f>+BB163/4</f>
        <v>0</v>
      </c>
      <c r="AY163" s="135">
        <f>(BB163-SUM(AX163:AX163))/3</f>
        <v>0</v>
      </c>
      <c r="AZ163" s="135">
        <f>(BB163-SUM(AX163:AY163))/2</f>
        <v>0</v>
      </c>
      <c r="BA163" s="116">
        <f>(BB163-SUM(AX163:AZ163))/1</f>
        <v>0</v>
      </c>
      <c r="BB163" s="34">
        <v>0</v>
      </c>
      <c r="BC163" s="136">
        <f>+BG163/4</f>
        <v>0</v>
      </c>
      <c r="BD163" s="135">
        <f>(BG163-SUM(BC163:BC163))/3</f>
        <v>0</v>
      </c>
      <c r="BE163" s="135">
        <f>(BG163-SUM(BC163:BD163))/2</f>
        <v>0</v>
      </c>
      <c r="BF163" s="116">
        <f>(BG163-SUM(BC163:BE163))/1</f>
        <v>0</v>
      </c>
      <c r="BG163" s="34">
        <v>0</v>
      </c>
      <c r="BH163" s="136">
        <f>+BL163/4</f>
        <v>0</v>
      </c>
      <c r="BI163" s="135">
        <f>(BL163-SUM(BH163:BH163))/3</f>
        <v>0</v>
      </c>
      <c r="BJ163" s="135">
        <f>(BL163-SUM(BH163:BI163))/2</f>
        <v>0</v>
      </c>
      <c r="BK163" s="116">
        <f>(BL163-SUM(BH163:BJ163))/1</f>
        <v>0</v>
      </c>
      <c r="BL163" s="34">
        <v>0</v>
      </c>
      <c r="BM163" s="136">
        <f>+BQ163/4</f>
        <v>0</v>
      </c>
      <c r="BN163" s="135">
        <f>(BQ163-SUM(BM163:BM163))/3</f>
        <v>0</v>
      </c>
      <c r="BO163" s="135">
        <f>(BQ163-SUM(BM163:BN163))/2</f>
        <v>0</v>
      </c>
      <c r="BP163" s="116">
        <f>(BQ163-SUM(BM163:BO163))/1</f>
        <v>0</v>
      </c>
      <c r="BQ163" s="34">
        <v>0</v>
      </c>
      <c r="BR163" s="220"/>
      <c r="BS163" s="220"/>
      <c r="BT163" s="220"/>
      <c r="BU163" s="220"/>
      <c r="BV163" s="220"/>
      <c r="BW163" s="220"/>
      <c r="BX163" s="220"/>
      <c r="BY163" s="220"/>
      <c r="BZ163" s="220"/>
      <c r="CA163" s="220"/>
      <c r="CB163" s="220"/>
      <c r="CC163" s="220"/>
      <c r="CD163" s="220"/>
      <c r="CE163" s="220"/>
      <c r="CF163" s="220"/>
      <c r="CG163" s="220"/>
      <c r="CH163" s="220"/>
      <c r="CI163" s="220"/>
      <c r="CJ163" s="220"/>
      <c r="CK163" s="220"/>
      <c r="CL163" s="117">
        <f>-0.508-0.081+0.295</f>
        <v>-0.29399999999999998</v>
      </c>
      <c r="CM163" s="117">
        <f>-1.509-0.162+0.841</f>
        <v>-0.82999999999999985</v>
      </c>
      <c r="CN163" s="117">
        <f>-1.013-0.243+1.317</f>
        <v>6.1000000000000165E-2</v>
      </c>
      <c r="CO163" s="82">
        <f t="shared" si="339"/>
        <v>2.5010000000000003</v>
      </c>
      <c r="CP163" s="117">
        <f>-2.698+3.765-0.298+1.793</f>
        <v>2.5620000000000003</v>
      </c>
      <c r="CQ163" s="117">
        <f>0.066-0.074+0.476</f>
        <v>0.46799999999999997</v>
      </c>
      <c r="CR163" s="117">
        <f>0.133-0.149+0.951</f>
        <v>0.93499999999999994</v>
      </c>
      <c r="CS163" s="117">
        <f>0.201-0.223+1.573</f>
        <v>1.5509999999999999</v>
      </c>
      <c r="CT163" s="82">
        <f t="shared" si="340"/>
        <v>4.3999999999999995</v>
      </c>
      <c r="CU163" s="117">
        <f>0.268+3.99-0.341+2.034</f>
        <v>5.9509999999999996</v>
      </c>
      <c r="CV163" s="117">
        <f>0.066-0.085+0.453</f>
        <v>0.434</v>
      </c>
      <c r="CW163" s="117">
        <f>0.133-0.17+0.905</f>
        <v>0.86799999999999999</v>
      </c>
      <c r="CX163" s="117">
        <f>1.358-0.255+0.201</f>
        <v>1.3040000000000003</v>
      </c>
      <c r="CY163" s="82">
        <f t="shared" si="341"/>
        <v>4.1549999999999994</v>
      </c>
      <c r="CZ163" s="117">
        <f>1.811-0.275+3.655+0.268</f>
        <v>5.4589999999999996</v>
      </c>
      <c r="DA163" s="117">
        <f>0.453-0.069+0.067</f>
        <v>0.45100000000000001</v>
      </c>
      <c r="DB163" s="117">
        <f>0.905-0.137+0.134</f>
        <v>0.90200000000000002</v>
      </c>
      <c r="DC163" s="117">
        <f>1.358-0.206+0.201</f>
        <v>1.3530000000000002</v>
      </c>
      <c r="DD163" s="82">
        <f t="shared" si="342"/>
        <v>3.3149999999999999</v>
      </c>
      <c r="DE163" s="117">
        <f>1.811-0.327+2.915+0.269</f>
        <v>4.6680000000000001</v>
      </c>
      <c r="DF163" s="117">
        <f>0.418-0.082+0.066</f>
        <v>0.40199999999999997</v>
      </c>
      <c r="DG163" s="117">
        <f>0.837-0.164+0.133</f>
        <v>0.80599999999999994</v>
      </c>
      <c r="DH163" s="117">
        <f>1.255-0.245+0.201</f>
        <v>1.2109999999999999</v>
      </c>
      <c r="DI163" s="82">
        <f t="shared" si="343"/>
        <v>-9.8349999999999991</v>
      </c>
      <c r="DJ163" s="117">
        <f>1.673-0.341+3.437-13.661+0.268</f>
        <v>-8.6239999999999988</v>
      </c>
      <c r="DK163" s="117">
        <f>0.418-0.085+0.066</f>
        <v>0.39899999999999997</v>
      </c>
      <c r="DL163" s="117">
        <f>0.837-0.17+0.133</f>
        <v>0.79999999999999993</v>
      </c>
      <c r="DM163" s="117">
        <f>1.255-0.255+0.201</f>
        <v>1.2009999999999998</v>
      </c>
      <c r="DN163" s="82">
        <f t="shared" si="344"/>
        <v>4.5359999999999996</v>
      </c>
      <c r="DO163" s="117">
        <f>1.673-0.341+4.137+0.268</f>
        <v>5.7369999999999992</v>
      </c>
      <c r="DP163" s="117">
        <f>0.418-0.085+0.066</f>
        <v>0.39899999999999997</v>
      </c>
      <c r="DQ163" s="117">
        <f>0.837-0.17+0.133</f>
        <v>0.79999999999999993</v>
      </c>
      <c r="DR163" s="117">
        <f>1.255-0.255+0.201</f>
        <v>1.2009999999999998</v>
      </c>
      <c r="DS163" s="82">
        <f t="shared" si="345"/>
        <v>1.3550000000000002</v>
      </c>
      <c r="DT163" s="117">
        <f>1.673+-0.213+4.655+0.268-3.827</f>
        <v>2.556</v>
      </c>
      <c r="DU163" s="117">
        <f>0.418-0.053+0.067</f>
        <v>0.432</v>
      </c>
      <c r="DV163" s="117">
        <f>0.837-0.106+0.134</f>
        <v>0.86499999999999999</v>
      </c>
      <c r="DW163" s="117">
        <f>1.255-0.16+0.203+0.122</f>
        <v>1.42</v>
      </c>
      <c r="DX163" s="82">
        <f t="shared" si="346"/>
        <v>6.4449999999999994</v>
      </c>
      <c r="DY163" s="117">
        <f>1.673-0.213+6.066+0.217+0.122</f>
        <v>7.8649999999999993</v>
      </c>
      <c r="DZ163" s="117">
        <f>0.418-0.033+0.015</f>
        <v>0.4</v>
      </c>
      <c r="EA163" s="117">
        <f>0.837-0.066+0.031+0.01</f>
        <v>0.81199999999999994</v>
      </c>
      <c r="EB163" s="117">
        <f>1.255-0.099+0.047+0.009</f>
        <v>1.2119999999999997</v>
      </c>
      <c r="EC163" s="82">
        <f t="shared" si="347"/>
        <v>5.4540000000000006</v>
      </c>
      <c r="ED163" s="117">
        <f>1.673-0.133+5.091+0.063-0.028</f>
        <v>6.6660000000000004</v>
      </c>
    </row>
    <row r="164" spans="1:134" x14ac:dyDescent="0.2">
      <c r="A164" s="220"/>
      <c r="B164" s="220"/>
      <c r="C164" s="70" t="s">
        <v>181</v>
      </c>
      <c r="D164" s="82"/>
      <c r="E164" s="136">
        <f t="shared" si="300"/>
        <v>106.06</v>
      </c>
      <c r="F164" s="135">
        <f t="shared" si="301"/>
        <v>-52.099999999999994</v>
      </c>
      <c r="G164" s="135">
        <f t="shared" si="301"/>
        <v>-41.122000000000007</v>
      </c>
      <c r="H164" s="116">
        <f t="shared" si="302"/>
        <v>5.1729999999999983</v>
      </c>
      <c r="I164" s="223">
        <f t="shared" si="303"/>
        <v>18.010999999999999</v>
      </c>
      <c r="J164" s="136">
        <f t="shared" si="304"/>
        <v>-21.235000000000003</v>
      </c>
      <c r="K164" s="135">
        <f t="shared" si="305"/>
        <v>-47.583999999999989</v>
      </c>
      <c r="L164" s="135">
        <f t="shared" si="305"/>
        <v>9.1529999999999774</v>
      </c>
      <c r="M164" s="116">
        <f t="shared" si="306"/>
        <v>25.647000000000013</v>
      </c>
      <c r="N164" s="223">
        <f t="shared" si="307"/>
        <v>-34.018999999999998</v>
      </c>
      <c r="O164" s="136">
        <f t="shared" si="308"/>
        <v>-3.5769999999999982</v>
      </c>
      <c r="P164" s="135">
        <f t="shared" si="309"/>
        <v>-39.891000000000005</v>
      </c>
      <c r="Q164" s="135">
        <f t="shared" si="309"/>
        <v>5.585000000000008</v>
      </c>
      <c r="R164" s="116">
        <f t="shared" si="310"/>
        <v>12.114999999999995</v>
      </c>
      <c r="S164" s="223">
        <f t="shared" si="311"/>
        <v>-25.768000000000001</v>
      </c>
      <c r="T164" s="136">
        <f t="shared" si="312"/>
        <v>-1.4370000000000047</v>
      </c>
      <c r="U164" s="135">
        <f t="shared" si="313"/>
        <v>-8.1169999999999938</v>
      </c>
      <c r="V164" s="135">
        <f t="shared" si="314"/>
        <v>19.460999999999999</v>
      </c>
      <c r="W164" s="116">
        <f t="shared" si="315"/>
        <v>-12.615000000000002</v>
      </c>
      <c r="X164" s="223">
        <f t="shared" si="316"/>
        <v>-2.7080000000000006</v>
      </c>
      <c r="Y164" s="136">
        <f t="shared" si="317"/>
        <v>-21.14</v>
      </c>
      <c r="Z164" s="135">
        <f t="shared" si="318"/>
        <v>-51.638000000000005</v>
      </c>
      <c r="AA164" s="135">
        <f t="shared" si="319"/>
        <v>50.391999999999996</v>
      </c>
      <c r="AB164" s="116">
        <f t="shared" si="320"/>
        <v>23.11200000000002</v>
      </c>
      <c r="AC164" s="223">
        <f t="shared" si="321"/>
        <v>0.72600000000001197</v>
      </c>
      <c r="AD164" s="136">
        <f t="shared" si="322"/>
        <v>-2.6469999999999994</v>
      </c>
      <c r="AE164" s="135">
        <f t="shared" si="323"/>
        <v>-69.217999999999989</v>
      </c>
      <c r="AF164" s="135">
        <f t="shared" si="323"/>
        <v>57.795999999999992</v>
      </c>
      <c r="AG164" s="116">
        <f t="shared" si="324"/>
        <v>15.911999999999999</v>
      </c>
      <c r="AH164" s="223">
        <f t="shared" si="325"/>
        <v>1.843</v>
      </c>
      <c r="AI164" s="136">
        <f t="shared" si="326"/>
        <v>23.835999999999995</v>
      </c>
      <c r="AJ164" s="135">
        <f t="shared" si="327"/>
        <v>-7.620000000000001</v>
      </c>
      <c r="AK164" s="135">
        <f t="shared" si="327"/>
        <v>39.774000000000001</v>
      </c>
      <c r="AL164" s="116">
        <f t="shared" si="328"/>
        <v>-79.759999999999991</v>
      </c>
      <c r="AM164" s="223">
        <f t="shared" si="329"/>
        <v>-23.77</v>
      </c>
      <c r="AN164" s="136">
        <f t="shared" si="330"/>
        <v>-22.677</v>
      </c>
      <c r="AO164" s="135">
        <f t="shared" si="331"/>
        <v>7.8410000000000029</v>
      </c>
      <c r="AP164" s="135">
        <f t="shared" si="331"/>
        <v>5.0220000000000002</v>
      </c>
      <c r="AQ164" s="116">
        <f t="shared" si="332"/>
        <v>-38.484000000000009</v>
      </c>
      <c r="AR164" s="223">
        <f t="shared" si="333"/>
        <v>-48.298000000000009</v>
      </c>
      <c r="AS164" s="136">
        <f t="shared" si="334"/>
        <v>-41.298999999999992</v>
      </c>
      <c r="AT164" s="135">
        <f t="shared" si="335"/>
        <v>10.615999999999989</v>
      </c>
      <c r="AU164" s="135">
        <f t="shared" si="336"/>
        <v>18.779000000000003</v>
      </c>
      <c r="AV164" s="116">
        <f t="shared" si="337"/>
        <v>5.4559999999999995</v>
      </c>
      <c r="AW164" s="223">
        <f t="shared" si="338"/>
        <v>-6.4480000000000004</v>
      </c>
      <c r="AX164" s="136">
        <f>+BB164/4</f>
        <v>0</v>
      </c>
      <c r="AY164" s="135">
        <f>(BB164-SUM(AX164:AX164))/3</f>
        <v>0</v>
      </c>
      <c r="AZ164" s="135">
        <f>(BB164-SUM(AX164:AY164))/2</f>
        <v>0</v>
      </c>
      <c r="BA164" s="116">
        <f>(BB164-SUM(AX164:AZ164))/1</f>
        <v>0</v>
      </c>
      <c r="BB164" s="34">
        <v>0</v>
      </c>
      <c r="BC164" s="136">
        <f>+BG164/4</f>
        <v>0</v>
      </c>
      <c r="BD164" s="135">
        <f>(BG164-SUM(BC164:BC164))/3</f>
        <v>0</v>
      </c>
      <c r="BE164" s="135">
        <f>(BG164-SUM(BC164:BD164))/2</f>
        <v>0</v>
      </c>
      <c r="BF164" s="116">
        <f>(BG164-SUM(BC164:BE164))/1</f>
        <v>0</v>
      </c>
      <c r="BG164" s="34">
        <v>0</v>
      </c>
      <c r="BH164" s="136">
        <f>+BL164/4</f>
        <v>0</v>
      </c>
      <c r="BI164" s="135">
        <f>(BL164-SUM(BH164:BH164))/3</f>
        <v>0</v>
      </c>
      <c r="BJ164" s="135">
        <f>(BL164-SUM(BH164:BI164))/2</f>
        <v>0</v>
      </c>
      <c r="BK164" s="116">
        <f>(BL164-SUM(BH164:BJ164))/1</f>
        <v>0</v>
      </c>
      <c r="BL164" s="34">
        <v>0</v>
      </c>
      <c r="BM164" s="136">
        <f>+BQ164/4</f>
        <v>0</v>
      </c>
      <c r="BN164" s="135">
        <f>(BQ164-SUM(BM164:BM164))/3</f>
        <v>0</v>
      </c>
      <c r="BO164" s="135">
        <f>(BQ164-SUM(BM164:BN164))/2</f>
        <v>0</v>
      </c>
      <c r="BP164" s="116">
        <f>(BQ164-SUM(BM164:BO164))/1</f>
        <v>0</v>
      </c>
      <c r="BQ164" s="34">
        <v>0</v>
      </c>
      <c r="BR164" s="220"/>
      <c r="BS164" s="220"/>
      <c r="BT164" s="220"/>
      <c r="BU164" s="220"/>
      <c r="BV164" s="220"/>
      <c r="BW164" s="220"/>
      <c r="BX164" s="220"/>
      <c r="BY164" s="220"/>
      <c r="BZ164" s="220"/>
      <c r="CA164" s="220"/>
      <c r="CB164" s="220"/>
      <c r="CC164" s="220"/>
      <c r="CD164" s="220"/>
      <c r="CE164" s="220"/>
      <c r="CF164" s="220"/>
      <c r="CG164" s="220"/>
      <c r="CH164" s="220"/>
      <c r="CI164" s="220"/>
      <c r="CJ164" s="220"/>
      <c r="CK164" s="220"/>
      <c r="CL164" s="117">
        <f>4.902+5.859+1.172+20.76+1.058-35.463+78.27+2.544+28.962-2.585+0.581</f>
        <v>106.06</v>
      </c>
      <c r="CM164" s="117">
        <f>-6.49-10.842+2.018+24.835+1.828-25.55+92.428+3.655-5.567-5.064-17.291</f>
        <v>53.960000000000008</v>
      </c>
      <c r="CN164" s="117">
        <f>9.471+7.104+3.978+20.543-27.133-40.945+52.547+1.961+11.441-8.019-18.11</f>
        <v>12.838000000000001</v>
      </c>
      <c r="CO164" s="82">
        <f t="shared" si="339"/>
        <v>5.1729999999999983</v>
      </c>
      <c r="CP164" s="117">
        <f>11.919-7.922+19.935-10.558-5.788+43.946-3.236-11.067-19.218</f>
        <v>18.010999999999999</v>
      </c>
      <c r="CQ164" s="117">
        <f>-1.538+6.79+4.982+6.88-18.594-21.105+3.336-1.172-0.814</f>
        <v>-21.235000000000003</v>
      </c>
      <c r="CR164" s="117">
        <f>-16.464-15.831+3.106-1.832-3.697-26.814-3.897-1.579-1.811</f>
        <v>-68.818999999999988</v>
      </c>
      <c r="CS164" s="117">
        <f>-25.352-12.666-4.978-5.734+11.468-19.399-16.43+2.134+16.24-2.838-2.111</f>
        <v>-59.666000000000011</v>
      </c>
      <c r="CT164" s="82">
        <f t="shared" si="340"/>
        <v>25.647000000000013</v>
      </c>
      <c r="CU164" s="117">
        <f>1.691-4.399-2.702+10.92-17.015-20.082+3.902-2.868-3.466</f>
        <v>-34.018999999999998</v>
      </c>
      <c r="CV164" s="117">
        <f>-0.734+5.233+5.658-1.351-1.872-5.721+7.864-3.798-8.856</f>
        <v>-3.5769999999999982</v>
      </c>
      <c r="CW164" s="117">
        <f>-22.037-26.881+3.174-0.741+17.332-6.1+1.614-0.835-8.994</f>
        <v>-43.468000000000004</v>
      </c>
      <c r="CX164" s="117">
        <f>+-37.089-3.013-4.732-1.655-6.129+7.327+17.53+1.101-11.223</f>
        <v>-37.882999999999996</v>
      </c>
      <c r="CY164" s="82">
        <f t="shared" si="341"/>
        <v>12.114999999999995</v>
      </c>
      <c r="CZ164" s="117">
        <f>-23.518+6.042-5.726-2.48-1.527+6.09+5.717-7.576+1.509-4.299</f>
        <v>-25.768000000000001</v>
      </c>
      <c r="DA164" s="117">
        <f>-0.036+7.536+11.69-6.44-27.344+23.622+1.424-12.11-0.171+0.392</f>
        <v>-1.4370000000000047</v>
      </c>
      <c r="DB164" s="117">
        <f>-15.564-11.177+10.385-4.556-6.924+32.017-1.715-11.527-0.449-0.044</f>
        <v>-9.5539999999999985</v>
      </c>
      <c r="DC164" s="117">
        <f>-21.406-8.593+3.601+1.204-21.834+44.031+25.664-10.527-1.577-0.656</f>
        <v>9.9070000000000018</v>
      </c>
      <c r="DD164" s="82">
        <f t="shared" si="342"/>
        <v>-12.615000000000002</v>
      </c>
      <c r="DE164" s="117">
        <f>-3.429+5.25+4.238-3.901-13.73+24.243+1.78-13.706-1.541-1.912</f>
        <v>-2.7080000000000006</v>
      </c>
      <c r="DF164" s="117">
        <f>4.777-7.384+6.856-10.87+11.987-7.047+6.556-20.739-2.593-2.683</f>
        <v>-21.14</v>
      </c>
      <c r="DG164" s="117">
        <f>-19.542-36.171+3.102+4.764+24.335-27.545+4.724-19.816-3.714-2.915</f>
        <v>-72.778000000000006</v>
      </c>
      <c r="DH164" s="117">
        <f>-32.999-25.86-5.558-7.046+21.281-11.629+62.149-18.923-1.58-2.221</f>
        <v>-22.386000000000006</v>
      </c>
      <c r="DI164" s="82">
        <f t="shared" si="343"/>
        <v>23.11200000000002</v>
      </c>
      <c r="DJ164" s="117">
        <f>-36.184-10.315-7.443+4.456+20.65+0.62+51.88-17.968-2.281-2.689</f>
        <v>0.72600000000001197</v>
      </c>
      <c r="DK164" s="117">
        <f>12.526-2.413+5.131-15.455+9.454-16.994+3.908-3.513+2.951+1.758</f>
        <v>-2.6469999999999994</v>
      </c>
      <c r="DL164" s="117">
        <f>-15.131-33.034+2.022-12.786+16.949-34.055+1.536-3.122+3.558+2.198</f>
        <v>-71.864999999999995</v>
      </c>
      <c r="DM164" s="117">
        <f>-10.982-22.164-6.257-0.672+5.777-11.55+29.426-2.535+2.684+2.204</f>
        <v>-14.068999999999999</v>
      </c>
      <c r="DN164" s="82">
        <f t="shared" si="344"/>
        <v>15.911999999999999</v>
      </c>
      <c r="DO164" s="117">
        <f>9.045-20.08-6.093-11.905+11.428-0.973+12.665-2.246+2.836+7.166</f>
        <v>1.843</v>
      </c>
      <c r="DP164" s="117">
        <f>-12.719+26.906+11.482-12.485-21.16+29.566+12.521-10.954+0.301+0.378</f>
        <v>23.835999999999995</v>
      </c>
      <c r="DQ164" s="117">
        <f>-19.478+10.927+10.776-21.378-10.21+41.291+13.51-10.435+0.607+0.606</f>
        <v>16.215999999999994</v>
      </c>
      <c r="DR164" s="117">
        <f>-24.416+18.286+3.351-14.589-6.891+43.98+43.949-9.961+1.054+1.227</f>
        <v>55.989999999999995</v>
      </c>
      <c r="DS164" s="82">
        <f t="shared" si="345"/>
        <v>-79.759999999999991</v>
      </c>
      <c r="DT164" s="117">
        <f>+-3.291+25.506+5.686-24.712-24.57+26.452-30.762-9.405+2.352+8.974</f>
        <v>-23.77</v>
      </c>
      <c r="DU164" s="117">
        <f>-2.415+1.352+6.275-12.428-8.684+8.361+2.289-17.201-0.653+0.427</f>
        <v>-22.677</v>
      </c>
      <c r="DV164" s="117">
        <f>-12.997-25.69+5.889+30.189+9.888-3.216-4.862-16.357-0.373+2.693</f>
        <v>-14.835999999999997</v>
      </c>
      <c r="DW164" s="117">
        <f>-22.16-18.307-1.491+24.172+19.69-18.48+18.989-15.606-0.537+3.916</f>
        <v>-9.8139999999999965</v>
      </c>
      <c r="DX164" s="82">
        <f t="shared" si="346"/>
        <v>-38.484000000000009</v>
      </c>
      <c r="DY164" s="117">
        <f>-8.868-15.637-0.959+22.651+13.776-55.689+5.156-15.276-0.2+6.748</f>
        <v>-48.298000000000009</v>
      </c>
      <c r="DZ164" s="117">
        <f>-1.486+0.427+7.204-9.655-7.497-2.636-5.444-22.278-0.306+0.372</f>
        <v>-41.298999999999992</v>
      </c>
      <c r="EA164" s="117">
        <f>-12.21-16.668+5.411+7.028+16.799-3.477-2.896-21.946-0.373-2.351</f>
        <v>-30.683000000000003</v>
      </c>
      <c r="EB164" s="117">
        <f>-25.134-13.682-2.845+19.361+7.817+24.856+19.748-21.638-1.697-18.69</f>
        <v>-11.904</v>
      </c>
      <c r="EC164" s="82">
        <f t="shared" si="347"/>
        <v>5.4559999999999995</v>
      </c>
      <c r="ED164" s="117">
        <f>-10.392-10.386-1.928+4.267+11.836+38.137+3.427-21.679-1.206-18.524</f>
        <v>-6.4480000000000004</v>
      </c>
    </row>
    <row r="165" spans="1:134" x14ac:dyDescent="0.2">
      <c r="A165" s="220"/>
      <c r="B165" s="220"/>
      <c r="C165" s="141" t="s">
        <v>182</v>
      </c>
      <c r="D165" s="82"/>
      <c r="E165" s="121">
        <f>SUM(E159:E164)</f>
        <v>115.517</v>
      </c>
      <c r="F165" s="122">
        <f>SUM(F159:F164)</f>
        <v>-6.2179999999999893</v>
      </c>
      <c r="G165" s="122">
        <f>SUM(G159:G164)</f>
        <v>46.017000000000003</v>
      </c>
      <c r="H165" s="123">
        <f>SUM(H159:H164)</f>
        <v>66.194999999999993</v>
      </c>
      <c r="I165" s="127">
        <f t="shared" si="303"/>
        <v>221.511</v>
      </c>
      <c r="J165" s="121">
        <f>SUM(J159:J164)</f>
        <v>23.609999999999996</v>
      </c>
      <c r="K165" s="122">
        <f>SUM(K159:K164)</f>
        <v>9.5230000000000032</v>
      </c>
      <c r="L165" s="122">
        <f>SUM(L159:L164)</f>
        <v>83.120999999999981</v>
      </c>
      <c r="M165" s="123">
        <f>SUM(M159:M164)</f>
        <v>61.076000000000001</v>
      </c>
      <c r="N165" s="127">
        <f t="shared" si="307"/>
        <v>177.33</v>
      </c>
      <c r="O165" s="121">
        <f>SUM(O159:O164)</f>
        <v>37.313999999999993</v>
      </c>
      <c r="P165" s="122">
        <f>SUM(P159:P164)</f>
        <v>25.054999999999993</v>
      </c>
      <c r="Q165" s="122">
        <f>SUM(Q159:Q164)</f>
        <v>118.09400000000001</v>
      </c>
      <c r="R165" s="123">
        <f>SUM(R159:R164)</f>
        <v>48.501999999999988</v>
      </c>
      <c r="S165" s="127">
        <f t="shared" si="311"/>
        <v>228.965</v>
      </c>
      <c r="T165" s="121">
        <f>SUM(T159:T164)</f>
        <v>49.674999999999997</v>
      </c>
      <c r="U165" s="122">
        <f>SUM(U159:U164)</f>
        <v>63.301000000000016</v>
      </c>
      <c r="V165" s="122">
        <f>SUM(V159:V164)</f>
        <v>116.14899999999999</v>
      </c>
      <c r="W165" s="123">
        <f>SUM(W159:W164)</f>
        <v>41.967999999999996</v>
      </c>
      <c r="X165" s="127">
        <f t="shared" si="316"/>
        <v>271.09300000000002</v>
      </c>
      <c r="Y165" s="121">
        <f>SUM(Y159:Y164)</f>
        <v>30.381</v>
      </c>
      <c r="Z165" s="122">
        <f>SUM(Z159:Z164)</f>
        <v>22.419999999999987</v>
      </c>
      <c r="AA165" s="122">
        <f>SUM(AA159:AA164)</f>
        <v>124.881</v>
      </c>
      <c r="AB165" s="123">
        <f>SUM(AB159:AB164)</f>
        <v>59.955000000000027</v>
      </c>
      <c r="AC165" s="127">
        <f t="shared" si="321"/>
        <v>237.637</v>
      </c>
      <c r="AD165" s="121">
        <f>SUM(AD159:AD164)</f>
        <v>66.071999999999989</v>
      </c>
      <c r="AE165" s="122">
        <f>SUM(AE159:AE164)</f>
        <v>21.468000000000004</v>
      </c>
      <c r="AF165" s="122">
        <f>SUM(AF159:AF164)</f>
        <v>193.13899999999998</v>
      </c>
      <c r="AG165" s="123">
        <f>SUM(AG159:AG164)</f>
        <v>106.09900000000002</v>
      </c>
      <c r="AH165" s="127">
        <f t="shared" si="325"/>
        <v>386.77800000000002</v>
      </c>
      <c r="AI165" s="121">
        <f>SUM(AI159:AI164)</f>
        <v>82.703999999999994</v>
      </c>
      <c r="AJ165" s="122">
        <f>SUM(AJ159:AJ164)</f>
        <v>59.135999999999996</v>
      </c>
      <c r="AK165" s="122">
        <f>SUM(AK159:AK164)</f>
        <v>159.58100000000002</v>
      </c>
      <c r="AL165" s="123">
        <f>SUM(AL159:AL164)</f>
        <v>13.327000000000027</v>
      </c>
      <c r="AM165" s="127">
        <f t="shared" si="329"/>
        <v>314.74800000000005</v>
      </c>
      <c r="AN165" s="121">
        <f>SUM(AN159:AN164)</f>
        <v>64.352000000000004</v>
      </c>
      <c r="AO165" s="122">
        <f>SUM(AO159:AO164)</f>
        <v>106.512</v>
      </c>
      <c r="AP165" s="122">
        <f>SUM(AP159:AP164)</f>
        <v>160.17599999999999</v>
      </c>
      <c r="AQ165" s="123">
        <f>SUM(AQ159:AQ164)</f>
        <v>56.643000000000001</v>
      </c>
      <c r="AR165" s="127">
        <f t="shared" si="333"/>
        <v>387.68300000000005</v>
      </c>
      <c r="AS165" s="121">
        <f>SUM(AS159:AS164)</f>
        <v>65.468000000000004</v>
      </c>
      <c r="AT165" s="122">
        <f>SUM(AT159:AT164)</f>
        <v>106.29899999999999</v>
      </c>
      <c r="AU165" s="122">
        <f>SUM(AU159:AU164)</f>
        <v>185.334</v>
      </c>
      <c r="AV165" s="123">
        <f>SUM(AV159:AV164)</f>
        <v>113.355</v>
      </c>
      <c r="AW165" s="127">
        <f t="shared" si="338"/>
        <v>470.45599999999996</v>
      </c>
      <c r="AX165" s="121">
        <f t="shared" ref="AX165:BG165" si="348">SUM(AX159:AX164)</f>
        <v>104.92084130274101</v>
      </c>
      <c r="AY165" s="122">
        <f t="shared" si="348"/>
        <v>113.70225667878374</v>
      </c>
      <c r="AZ165" s="122">
        <f t="shared" si="348"/>
        <v>150.72058143835119</v>
      </c>
      <c r="BA165" s="123">
        <f t="shared" si="348"/>
        <v>85.25924673498794</v>
      </c>
      <c r="BB165" s="86">
        <f t="shared" si="348"/>
        <v>454.60292615486389</v>
      </c>
      <c r="BC165" s="121">
        <f t="shared" si="348"/>
        <v>121.99752839285055</v>
      </c>
      <c r="BD165" s="122">
        <f t="shared" si="348"/>
        <v>131.33777977779945</v>
      </c>
      <c r="BE165" s="122">
        <f t="shared" si="348"/>
        <v>170.46085567413874</v>
      </c>
      <c r="BF165" s="123">
        <f t="shared" si="348"/>
        <v>101.37500264404159</v>
      </c>
      <c r="BG165" s="86">
        <f t="shared" si="348"/>
        <v>525.17116648883041</v>
      </c>
      <c r="BH165" s="121">
        <f t="shared" ref="BH165:BQ165" si="349">SUM(BH159:BH164)</f>
        <v>138.87461481023848</v>
      </c>
      <c r="BI165" s="122">
        <f t="shared" si="349"/>
        <v>149.36537789761988</v>
      </c>
      <c r="BJ165" s="122">
        <f t="shared" si="349"/>
        <v>195.32771791483384</v>
      </c>
      <c r="BK165" s="123">
        <f t="shared" si="349"/>
        <v>120.97073404109669</v>
      </c>
      <c r="BL165" s="86">
        <f t="shared" si="349"/>
        <v>604.53844466378882</v>
      </c>
      <c r="BM165" s="121">
        <f t="shared" si="349"/>
        <v>155.36821114228334</v>
      </c>
      <c r="BN165" s="122">
        <f t="shared" si="349"/>
        <v>166.64650457437628</v>
      </c>
      <c r="BO165" s="122">
        <f t="shared" si="349"/>
        <v>216.44566867378285</v>
      </c>
      <c r="BP165" s="123">
        <f t="shared" si="349"/>
        <v>138.01669067742452</v>
      </c>
      <c r="BQ165" s="86">
        <f t="shared" si="349"/>
        <v>676.47707506786708</v>
      </c>
      <c r="BR165" s="220"/>
      <c r="BS165" s="220"/>
      <c r="BT165" s="220"/>
      <c r="BU165" s="220"/>
      <c r="BV165" s="220"/>
      <c r="BW165" s="220"/>
      <c r="BX165" s="220"/>
      <c r="BY165" s="220"/>
      <c r="BZ165" s="220"/>
      <c r="CA165" s="220"/>
      <c r="CB165" s="220"/>
      <c r="CC165" s="220"/>
      <c r="CD165" s="220"/>
      <c r="CE165" s="220"/>
      <c r="CF165" s="220"/>
      <c r="CG165" s="220"/>
      <c r="CH165" s="220"/>
      <c r="CI165" s="220"/>
      <c r="CJ165" s="220"/>
      <c r="CK165" s="220"/>
      <c r="CL165" s="86">
        <f t="shared" ref="CL165:CW165" si="350">SUM(CL159:CL164)</f>
        <v>115.517</v>
      </c>
      <c r="CM165" s="86">
        <f t="shared" si="350"/>
        <v>109.29900000000001</v>
      </c>
      <c r="CN165" s="86">
        <f t="shared" si="350"/>
        <v>155.316</v>
      </c>
      <c r="CO165" s="86">
        <f t="shared" si="350"/>
        <v>66.194999999999993</v>
      </c>
      <c r="CP165" s="86">
        <f t="shared" si="350"/>
        <v>221.511</v>
      </c>
      <c r="CQ165" s="86">
        <f t="shared" si="350"/>
        <v>23.609999999999996</v>
      </c>
      <c r="CR165" s="86">
        <f t="shared" si="350"/>
        <v>33.13300000000001</v>
      </c>
      <c r="CS165" s="86">
        <f t="shared" si="350"/>
        <v>116.25399999999998</v>
      </c>
      <c r="CT165" s="86">
        <f t="shared" si="350"/>
        <v>61.076000000000001</v>
      </c>
      <c r="CU165" s="86">
        <f t="shared" si="350"/>
        <v>177.33</v>
      </c>
      <c r="CV165" s="86">
        <f t="shared" si="350"/>
        <v>37.313999999999993</v>
      </c>
      <c r="CW165" s="86">
        <f t="shared" si="350"/>
        <v>62.368999999999986</v>
      </c>
      <c r="CX165" s="86">
        <f t="shared" ref="CX165:DH165" si="351">SUM(CX159:CX164)</f>
        <v>180.46300000000002</v>
      </c>
      <c r="CY165" s="86">
        <f t="shared" si="351"/>
        <v>48.501999999999988</v>
      </c>
      <c r="CZ165" s="86">
        <f t="shared" si="351"/>
        <v>228.965</v>
      </c>
      <c r="DA165" s="86">
        <f t="shared" si="351"/>
        <v>49.674999999999997</v>
      </c>
      <c r="DB165" s="86">
        <f t="shared" si="351"/>
        <v>112.97600000000001</v>
      </c>
      <c r="DC165" s="86">
        <f t="shared" si="351"/>
        <v>229.125</v>
      </c>
      <c r="DD165" s="86">
        <f>SUM(DD159:DD164)</f>
        <v>41.967999999999996</v>
      </c>
      <c r="DE165" s="86">
        <f>SUM(DE159:DE164)</f>
        <v>271.09300000000002</v>
      </c>
      <c r="DF165" s="86">
        <f t="shared" si="351"/>
        <v>30.381</v>
      </c>
      <c r="DG165" s="86">
        <f t="shared" si="351"/>
        <v>52.800999999999988</v>
      </c>
      <c r="DH165" s="86">
        <f t="shared" si="351"/>
        <v>177.68199999999999</v>
      </c>
      <c r="DI165" s="86">
        <f t="shared" ref="DI165:DQ165" si="352">SUM(DI159:DI164)</f>
        <v>59.955000000000027</v>
      </c>
      <c r="DJ165" s="86">
        <f t="shared" si="352"/>
        <v>237.637</v>
      </c>
      <c r="DK165" s="86">
        <f t="shared" si="352"/>
        <v>66.071999999999989</v>
      </c>
      <c r="DL165" s="86">
        <f t="shared" si="352"/>
        <v>87.54</v>
      </c>
      <c r="DM165" s="86">
        <f t="shared" si="352"/>
        <v>280.67900000000003</v>
      </c>
      <c r="DN165" s="86">
        <f t="shared" si="352"/>
        <v>106.09900000000002</v>
      </c>
      <c r="DO165" s="86">
        <f t="shared" si="352"/>
        <v>386.77800000000002</v>
      </c>
      <c r="DP165" s="86">
        <f t="shared" si="352"/>
        <v>82.703999999999994</v>
      </c>
      <c r="DQ165" s="86">
        <f t="shared" si="352"/>
        <v>141.83999999999997</v>
      </c>
      <c r="DR165" s="86">
        <f t="shared" ref="DR165:DW165" si="353">SUM(DR159:DR164)</f>
        <v>301.42099999999999</v>
      </c>
      <c r="DS165" s="86">
        <f t="shared" si="353"/>
        <v>13.327000000000027</v>
      </c>
      <c r="DT165" s="86">
        <f t="shared" si="353"/>
        <v>314.74800000000005</v>
      </c>
      <c r="DU165" s="86">
        <f t="shared" si="353"/>
        <v>64.352000000000004</v>
      </c>
      <c r="DV165" s="86">
        <f t="shared" si="353"/>
        <v>170.864</v>
      </c>
      <c r="DW165" s="86">
        <f t="shared" si="353"/>
        <v>331.03999999999996</v>
      </c>
      <c r="DX165" s="86">
        <f t="shared" ref="DX165:ED165" si="354">SUM(DX159:DX164)</f>
        <v>56.643000000000001</v>
      </c>
      <c r="DY165" s="86">
        <f t="shared" si="354"/>
        <v>387.68300000000005</v>
      </c>
      <c r="DZ165" s="86">
        <f t="shared" si="354"/>
        <v>65.468000000000004</v>
      </c>
      <c r="EA165" s="86">
        <f t="shared" si="354"/>
        <v>171.76700000000002</v>
      </c>
      <c r="EB165" s="86">
        <f t="shared" si="354"/>
        <v>357.101</v>
      </c>
      <c r="EC165" s="86">
        <f t="shared" si="354"/>
        <v>113.355</v>
      </c>
      <c r="ED165" s="86">
        <f t="shared" si="354"/>
        <v>470.45599999999996</v>
      </c>
    </row>
    <row r="166" spans="1:134" x14ac:dyDescent="0.2">
      <c r="A166" s="220"/>
      <c r="B166" s="220"/>
      <c r="C166" s="70"/>
      <c r="D166" s="82"/>
      <c r="E166" s="136"/>
      <c r="F166" s="137"/>
      <c r="G166" s="137"/>
      <c r="H166" s="116"/>
      <c r="I166" s="223"/>
      <c r="J166" s="136"/>
      <c r="K166" s="137"/>
      <c r="L166" s="137"/>
      <c r="M166" s="116"/>
      <c r="N166" s="223"/>
      <c r="O166" s="136"/>
      <c r="P166" s="137"/>
      <c r="Q166" s="137"/>
      <c r="R166" s="116"/>
      <c r="S166" s="223"/>
      <c r="T166" s="136"/>
      <c r="U166" s="137"/>
      <c r="V166" s="137"/>
      <c r="W166" s="116"/>
      <c r="X166" s="223"/>
      <c r="Y166" s="136"/>
      <c r="Z166" s="137"/>
      <c r="AA166" s="137"/>
      <c r="AB166" s="116"/>
      <c r="AC166" s="223"/>
      <c r="AD166" s="136"/>
      <c r="AE166" s="137"/>
      <c r="AF166" s="137"/>
      <c r="AG166" s="116"/>
      <c r="AH166" s="223"/>
      <c r="AI166" s="136"/>
      <c r="AJ166" s="137"/>
      <c r="AK166" s="137"/>
      <c r="AL166" s="116"/>
      <c r="AM166" s="223"/>
      <c r="AN166" s="136"/>
      <c r="AO166" s="137"/>
      <c r="AP166" s="137"/>
      <c r="AQ166" s="116"/>
      <c r="AR166" s="223"/>
      <c r="AS166" s="136"/>
      <c r="AT166" s="137"/>
      <c r="AU166" s="137"/>
      <c r="AV166" s="116"/>
      <c r="AW166" s="223"/>
      <c r="AX166" s="136"/>
      <c r="AY166" s="137"/>
      <c r="AZ166" s="137"/>
      <c r="BA166" s="116"/>
      <c r="BB166" s="220"/>
      <c r="BC166" s="136"/>
      <c r="BD166" s="137"/>
      <c r="BE166" s="137"/>
      <c r="BF166" s="116"/>
      <c r="BG166" s="220"/>
      <c r="BH166" s="136"/>
      <c r="BI166" s="137"/>
      <c r="BJ166" s="137"/>
      <c r="BK166" s="116"/>
      <c r="BL166" s="220"/>
      <c r="BM166" s="136"/>
      <c r="BN166" s="137"/>
      <c r="BO166" s="137"/>
      <c r="BP166" s="116"/>
      <c r="BQ166" s="220"/>
      <c r="BR166" s="220"/>
      <c r="BS166" s="220"/>
      <c r="BT166" s="220"/>
      <c r="BU166" s="220"/>
      <c r="BV166" s="220"/>
      <c r="BW166" s="220"/>
      <c r="BX166" s="220"/>
      <c r="BY166" s="220"/>
      <c r="BZ166" s="220"/>
      <c r="CA166" s="220"/>
      <c r="CB166" s="220"/>
      <c r="CC166" s="220"/>
      <c r="CD166" s="220"/>
      <c r="CE166" s="220"/>
      <c r="CF166" s="220"/>
      <c r="CG166" s="220"/>
      <c r="CH166" s="220"/>
      <c r="CI166" s="220"/>
      <c r="CJ166" s="220"/>
      <c r="CK166" s="220"/>
      <c r="CL166" s="220"/>
      <c r="CM166" s="220"/>
      <c r="CN166" s="220"/>
      <c r="CO166" s="220"/>
      <c r="CP166" s="220"/>
      <c r="CQ166" s="220"/>
      <c r="CR166" s="220"/>
      <c r="CS166" s="220"/>
      <c r="CT166" s="220"/>
      <c r="CU166" s="220"/>
      <c r="CV166" s="220"/>
      <c r="CW166" s="220"/>
      <c r="CX166" s="117"/>
      <c r="CY166" s="220"/>
      <c r="CZ166" s="220"/>
      <c r="DA166" s="220"/>
      <c r="DB166" s="220"/>
      <c r="DC166" s="117"/>
      <c r="DD166" s="220"/>
      <c r="DE166" s="220"/>
      <c r="DF166" s="220"/>
      <c r="DG166" s="220"/>
      <c r="DH166" s="117"/>
      <c r="DI166" s="220"/>
      <c r="DJ166" s="220"/>
      <c r="DK166" s="220"/>
      <c r="DL166" s="220"/>
      <c r="DM166" s="117"/>
      <c r="DN166" s="220"/>
      <c r="DO166" s="220"/>
      <c r="DP166" s="220"/>
      <c r="DR166" s="117"/>
      <c r="DS166" s="220"/>
      <c r="DT166" s="220"/>
      <c r="DU166" s="220"/>
      <c r="DX166" s="220"/>
      <c r="DY166" s="220"/>
      <c r="DZ166" s="220"/>
      <c r="EC166" s="220"/>
      <c r="ED166" s="220"/>
    </row>
    <row r="167" spans="1:134" x14ac:dyDescent="0.2">
      <c r="A167" s="220"/>
      <c r="B167" s="220"/>
      <c r="C167" s="70" t="s">
        <v>183</v>
      </c>
      <c r="D167" s="82"/>
      <c r="E167" s="136">
        <f>+CL167</f>
        <v>-44.398000000000003</v>
      </c>
      <c r="F167" s="135">
        <f t="shared" ref="F167:G169" si="355">+CM167-CL167</f>
        <v>-51.607999999999997</v>
      </c>
      <c r="G167" s="135">
        <f t="shared" si="355"/>
        <v>-52.537000000000006</v>
      </c>
      <c r="H167" s="116">
        <f>+CP167-CN167</f>
        <v>-63.323000000000008</v>
      </c>
      <c r="I167" s="223">
        <f t="shared" ref="I167:I179" si="356">CP167</f>
        <v>-211.86600000000001</v>
      </c>
      <c r="J167" s="136">
        <f>+CQ167</f>
        <v>-47.280999999999999</v>
      </c>
      <c r="K167" s="135">
        <f t="shared" ref="K167:L169" si="357">+CR167-CQ167</f>
        <v>-64.045999999999992</v>
      </c>
      <c r="L167" s="135">
        <f t="shared" si="357"/>
        <v>-84.707999999999998</v>
      </c>
      <c r="M167" s="116">
        <f>+CU167-CS167</f>
        <v>-113.37300000000002</v>
      </c>
      <c r="N167" s="223">
        <f t="shared" ref="N167:N180" si="358">CU167</f>
        <v>-309.40800000000002</v>
      </c>
      <c r="O167" s="136">
        <f>+CV167</f>
        <v>-91.01</v>
      </c>
      <c r="P167" s="135">
        <f t="shared" ref="P167:Q169" si="359">+CW167-CV167</f>
        <v>-71.98</v>
      </c>
      <c r="Q167" s="135">
        <f t="shared" si="359"/>
        <v>-61.873999999999995</v>
      </c>
      <c r="R167" s="116">
        <f>+CZ167-CX167</f>
        <v>-83.359000000000009</v>
      </c>
      <c r="S167" s="223">
        <f>CZ167</f>
        <v>-308.22300000000001</v>
      </c>
      <c r="T167" s="136">
        <f>+DA167</f>
        <v>-86.03</v>
      </c>
      <c r="U167" s="135">
        <f t="shared" ref="U167:V169" si="360">+DB167-DA167</f>
        <v>-98.878999999999991</v>
      </c>
      <c r="V167" s="135">
        <f t="shared" si="360"/>
        <v>-90.343999999999994</v>
      </c>
      <c r="W167" s="116">
        <f>+DE167-DC167</f>
        <v>-109.37299999999999</v>
      </c>
      <c r="X167" s="223">
        <f>DE167</f>
        <v>-384.62599999999998</v>
      </c>
      <c r="Y167" s="136">
        <f>+DF167</f>
        <v>-106.376</v>
      </c>
      <c r="Z167" s="135">
        <f t="shared" ref="Z167:AA169" si="361">+DG167-DF167</f>
        <v>-147.93299999999999</v>
      </c>
      <c r="AA167" s="135">
        <f t="shared" si="361"/>
        <v>-169.126</v>
      </c>
      <c r="AB167" s="116">
        <f>+DJ167-DH167</f>
        <v>-161.30099999999999</v>
      </c>
      <c r="AC167" s="223">
        <f>DJ167</f>
        <v>-584.73599999999999</v>
      </c>
      <c r="AD167" s="136">
        <f>+DK167</f>
        <v>-137.637</v>
      </c>
      <c r="AE167" s="135">
        <f t="shared" ref="AE167:AF169" si="362">+DL167-DK167</f>
        <v>-143.76100000000002</v>
      </c>
      <c r="AF167" s="135">
        <f t="shared" si="362"/>
        <v>-131.57799999999997</v>
      </c>
      <c r="AG167" s="116">
        <f>+DO167-DM167</f>
        <v>-141.96000000000004</v>
      </c>
      <c r="AH167" s="223">
        <f>DO167</f>
        <v>-554.93600000000004</v>
      </c>
      <c r="AI167" s="136">
        <f>+DP167</f>
        <v>-126.622</v>
      </c>
      <c r="AJ167" s="135">
        <f t="shared" ref="AJ167:AK169" si="363">+DQ167-DP167</f>
        <v>-153.99299999999999</v>
      </c>
      <c r="AK167" s="135">
        <f t="shared" si="363"/>
        <v>-148.37599999999998</v>
      </c>
      <c r="AL167" s="116">
        <f>+DT167-DR167</f>
        <v>-170.51999999999998</v>
      </c>
      <c r="AM167" s="223">
        <f>DT167</f>
        <v>-599.51099999999997</v>
      </c>
      <c r="AN167" s="136">
        <f>+DU167</f>
        <v>-135.72</v>
      </c>
      <c r="AO167" s="135">
        <f t="shared" ref="AO167:AP169" si="364">+DV167-DU167</f>
        <v>-127.93300000000002</v>
      </c>
      <c r="AP167" s="135">
        <f t="shared" si="364"/>
        <v>-108.34100000000001</v>
      </c>
      <c r="AQ167" s="116">
        <f>+DY167-DW167</f>
        <v>-140.52800000000002</v>
      </c>
      <c r="AR167" s="223">
        <f>DY167</f>
        <v>-512.52200000000005</v>
      </c>
      <c r="AS167" s="136">
        <f>+DZ167</f>
        <v>-142.559</v>
      </c>
      <c r="AT167" s="135">
        <f t="shared" ref="AT167:AT169" si="365">+EA167-DZ167</f>
        <v>-137.35900000000001</v>
      </c>
      <c r="AU167" s="135">
        <f t="shared" ref="AU167:AU169" si="366">+EB167-EA167</f>
        <v>-121.03899999999999</v>
      </c>
      <c r="AV167" s="116">
        <f>+ED167-EB167</f>
        <v>-158.90800000000002</v>
      </c>
      <c r="AW167" s="223">
        <f>ED167</f>
        <v>-559.86500000000001</v>
      </c>
      <c r="AX167" s="136">
        <f>+-AX133</f>
        <v>-255</v>
      </c>
      <c r="AY167" s="135">
        <f>+-AY133</f>
        <v>-255</v>
      </c>
      <c r="AZ167" s="135">
        <f>+-AZ133</f>
        <v>-255</v>
      </c>
      <c r="BA167" s="116">
        <f>+-BA133</f>
        <v>-255</v>
      </c>
      <c r="BB167" s="82">
        <f>SUM(AX167:BA167)</f>
        <v>-1020</v>
      </c>
      <c r="BC167" s="136">
        <f>+-BC133</f>
        <v>-285</v>
      </c>
      <c r="BD167" s="135">
        <f>+-BD133</f>
        <v>-285</v>
      </c>
      <c r="BE167" s="135">
        <f>+-BE133</f>
        <v>-285</v>
      </c>
      <c r="BF167" s="116">
        <f>+-BF133</f>
        <v>-285</v>
      </c>
      <c r="BG167" s="82">
        <f>SUM(BC167:BF167)</f>
        <v>-1140</v>
      </c>
      <c r="BH167" s="136">
        <f>+-BH133</f>
        <v>-177.5</v>
      </c>
      <c r="BI167" s="135">
        <f>+-BI133</f>
        <v>-177.5</v>
      </c>
      <c r="BJ167" s="135">
        <f>+-BJ133</f>
        <v>-177.5</v>
      </c>
      <c r="BK167" s="116">
        <f>+-BK133</f>
        <v>-177.5</v>
      </c>
      <c r="BL167" s="82">
        <f>SUM(BH167:BK167)</f>
        <v>-710</v>
      </c>
      <c r="BM167" s="136">
        <f>+-BM133</f>
        <v>-117.5</v>
      </c>
      <c r="BN167" s="135">
        <f>+-BN133</f>
        <v>-117.5</v>
      </c>
      <c r="BO167" s="135">
        <f>+-BO133</f>
        <v>-117.5</v>
      </c>
      <c r="BP167" s="116">
        <f>+-BP133</f>
        <v>-117.5</v>
      </c>
      <c r="BQ167" s="82">
        <f>SUM(BM167:BP167)</f>
        <v>-470</v>
      </c>
      <c r="BR167" s="220"/>
      <c r="BS167" s="220"/>
      <c r="BT167" s="220"/>
      <c r="BU167" s="220"/>
      <c r="BV167" s="220"/>
      <c r="BW167" s="220"/>
      <c r="BX167" s="220"/>
      <c r="BY167" s="220"/>
      <c r="BZ167" s="220"/>
      <c r="CA167" s="220"/>
      <c r="CB167" s="220"/>
      <c r="CC167" s="220"/>
      <c r="CD167" s="220"/>
      <c r="CE167" s="220"/>
      <c r="CF167" s="220"/>
      <c r="CG167" s="220"/>
      <c r="CH167" s="220"/>
      <c r="CI167" s="220"/>
      <c r="CJ167" s="220"/>
      <c r="CK167" s="220"/>
      <c r="CL167" s="117">
        <v>-44.398000000000003</v>
      </c>
      <c r="CM167" s="117">
        <v>-96.006</v>
      </c>
      <c r="CN167" s="117">
        <v>-148.54300000000001</v>
      </c>
      <c r="CO167" s="82">
        <f>CP167-CN167</f>
        <v>-63.323000000000008</v>
      </c>
      <c r="CP167" s="117">
        <v>-211.86600000000001</v>
      </c>
      <c r="CQ167" s="117">
        <v>-47.280999999999999</v>
      </c>
      <c r="CR167" s="117">
        <v>-111.327</v>
      </c>
      <c r="CS167" s="117">
        <v>-196.035</v>
      </c>
      <c r="CT167" s="82">
        <f>CU167-CS167</f>
        <v>-113.37300000000002</v>
      </c>
      <c r="CU167" s="117">
        <v>-309.40800000000002</v>
      </c>
      <c r="CV167" s="117">
        <v>-91.01</v>
      </c>
      <c r="CW167" s="117">
        <v>-162.99</v>
      </c>
      <c r="CX167" s="117">
        <v>-224.864</v>
      </c>
      <c r="CY167" s="82">
        <f>CZ167-CX167</f>
        <v>-83.359000000000009</v>
      </c>
      <c r="CZ167" s="117">
        <v>-308.22300000000001</v>
      </c>
      <c r="DA167" s="117">
        <v>-86.03</v>
      </c>
      <c r="DB167" s="117">
        <v>-184.90899999999999</v>
      </c>
      <c r="DC167" s="117">
        <v>-275.25299999999999</v>
      </c>
      <c r="DD167" s="82">
        <f>DE167-DC167</f>
        <v>-109.37299999999999</v>
      </c>
      <c r="DE167" s="117">
        <v>-384.62599999999998</v>
      </c>
      <c r="DF167" s="117">
        <v>-106.376</v>
      </c>
      <c r="DG167" s="117">
        <v>-254.309</v>
      </c>
      <c r="DH167" s="117">
        <v>-423.435</v>
      </c>
      <c r="DI167" s="82">
        <f>DJ167-DH167</f>
        <v>-161.30099999999999</v>
      </c>
      <c r="DJ167" s="117">
        <v>-584.73599999999999</v>
      </c>
      <c r="DK167" s="117">
        <v>-137.637</v>
      </c>
      <c r="DL167" s="117">
        <v>-281.39800000000002</v>
      </c>
      <c r="DM167" s="117">
        <v>-412.976</v>
      </c>
      <c r="DN167" s="82">
        <f>DO167-DM167</f>
        <v>-141.96000000000004</v>
      </c>
      <c r="DO167" s="117">
        <v>-554.93600000000004</v>
      </c>
      <c r="DP167" s="117">
        <v>-126.622</v>
      </c>
      <c r="DQ167" s="117">
        <v>-280.61500000000001</v>
      </c>
      <c r="DR167" s="117">
        <v>-428.99099999999999</v>
      </c>
      <c r="DS167" s="82">
        <f>DT167-DR167</f>
        <v>-170.51999999999998</v>
      </c>
      <c r="DT167" s="117">
        <v>-599.51099999999997</v>
      </c>
      <c r="DU167" s="117">
        <v>-135.72</v>
      </c>
      <c r="DV167" s="117">
        <v>-263.65300000000002</v>
      </c>
      <c r="DW167" s="117">
        <v>-371.99400000000003</v>
      </c>
      <c r="DX167" s="82">
        <f>DY167-DW167</f>
        <v>-140.52800000000002</v>
      </c>
      <c r="DY167" s="117">
        <v>-512.52200000000005</v>
      </c>
      <c r="DZ167" s="117">
        <v>-142.559</v>
      </c>
      <c r="EA167" s="117">
        <v>-279.91800000000001</v>
      </c>
      <c r="EB167" s="117">
        <v>-400.95699999999999</v>
      </c>
      <c r="EC167" s="82">
        <f>ED167-EB167</f>
        <v>-158.90800000000002</v>
      </c>
      <c r="ED167" s="117">
        <v>-559.86500000000001</v>
      </c>
    </row>
    <row r="168" spans="1:134" x14ac:dyDescent="0.2">
      <c r="A168" s="220"/>
      <c r="B168" s="220"/>
      <c r="C168" s="70" t="s">
        <v>179</v>
      </c>
      <c r="D168" s="82"/>
      <c r="E168" s="136">
        <f>+CL168</f>
        <v>1.115</v>
      </c>
      <c r="F168" s="135">
        <f t="shared" si="355"/>
        <v>0.97499999999999987</v>
      </c>
      <c r="G168" s="135">
        <f t="shared" si="355"/>
        <v>0.88700000000000001</v>
      </c>
      <c r="H168" s="116">
        <f>+CP168-CN168</f>
        <v>1.105</v>
      </c>
      <c r="I168" s="223">
        <f t="shared" si="356"/>
        <v>4.0819999999999999</v>
      </c>
      <c r="J168" s="136">
        <f>+CQ168</f>
        <v>0.433</v>
      </c>
      <c r="K168" s="135">
        <f t="shared" si="357"/>
        <v>1.0109999999999999</v>
      </c>
      <c r="L168" s="135">
        <f t="shared" si="357"/>
        <v>1.085</v>
      </c>
      <c r="M168" s="116">
        <f>+CU168-CS168</f>
        <v>1.6589999999999998</v>
      </c>
      <c r="N168" s="223">
        <f t="shared" si="358"/>
        <v>4.1879999999999997</v>
      </c>
      <c r="O168" s="136">
        <f>+CV168</f>
        <v>1.9259999999999999</v>
      </c>
      <c r="P168" s="135">
        <f t="shared" si="359"/>
        <v>1.3579999999999999</v>
      </c>
      <c r="Q168" s="135">
        <f t="shared" si="359"/>
        <v>0.89400000000000013</v>
      </c>
      <c r="R168" s="116">
        <f>+CZ168-CX168</f>
        <v>1.1639999999999997</v>
      </c>
      <c r="S168" s="223">
        <f>CZ168</f>
        <v>5.3419999999999996</v>
      </c>
      <c r="T168" s="136">
        <f>+DA168</f>
        <v>1.69</v>
      </c>
      <c r="U168" s="135">
        <f t="shared" si="360"/>
        <v>1.702</v>
      </c>
      <c r="V168" s="135">
        <f t="shared" si="360"/>
        <v>1.6700000000000004</v>
      </c>
      <c r="W168" s="116">
        <f>+DE168-DC168</f>
        <v>2.21</v>
      </c>
      <c r="X168" s="223">
        <f>DE168</f>
        <v>7.2720000000000002</v>
      </c>
      <c r="Y168" s="136">
        <f>+DF168</f>
        <v>2.6219999999999999</v>
      </c>
      <c r="Z168" s="135">
        <f t="shared" si="361"/>
        <v>2.2000000000000002</v>
      </c>
      <c r="AA168" s="135">
        <f t="shared" si="361"/>
        <v>2.1500000000000004</v>
      </c>
      <c r="AB168" s="116">
        <f>+DJ168-DH168</f>
        <v>3.2139999999999995</v>
      </c>
      <c r="AC168" s="223">
        <f>DJ168</f>
        <v>10.186</v>
      </c>
      <c r="AD168" s="136">
        <f>+DK168</f>
        <v>3.64</v>
      </c>
      <c r="AE168" s="135">
        <f t="shared" si="362"/>
        <v>2.895</v>
      </c>
      <c r="AF168" s="135">
        <f t="shared" si="362"/>
        <v>3.1470000000000002</v>
      </c>
      <c r="AG168" s="116">
        <f>+DO168-DM168</f>
        <v>2.4359999999999999</v>
      </c>
      <c r="AH168" s="223">
        <f>DO168</f>
        <v>12.118</v>
      </c>
      <c r="AI168" s="136">
        <f>+DP168</f>
        <v>1.7050000000000001</v>
      </c>
      <c r="AJ168" s="135">
        <f t="shared" si="363"/>
        <v>1.7879999999999998</v>
      </c>
      <c r="AK168" s="135">
        <f t="shared" si="363"/>
        <v>2.0850000000000004</v>
      </c>
      <c r="AL168" s="116">
        <f>+DT168-DR168</f>
        <v>1.7999999999999998</v>
      </c>
      <c r="AM168" s="223">
        <f>DT168</f>
        <v>7.3780000000000001</v>
      </c>
      <c r="AN168" s="136">
        <f>+DU168</f>
        <v>2.3370000000000002</v>
      </c>
      <c r="AO168" s="135">
        <f t="shared" si="364"/>
        <v>2.379</v>
      </c>
      <c r="AP168" s="135">
        <f t="shared" si="364"/>
        <v>2.6319999999999997</v>
      </c>
      <c r="AQ168" s="116">
        <f>+DY168-DW168</f>
        <v>2.633</v>
      </c>
      <c r="AR168" s="223">
        <f>DY168</f>
        <v>9.9809999999999999</v>
      </c>
      <c r="AS168" s="136">
        <f>+DZ168</f>
        <v>2.1349999999999998</v>
      </c>
      <c r="AT168" s="135">
        <f t="shared" si="365"/>
        <v>1.8689999999999998</v>
      </c>
      <c r="AU168" s="135">
        <f t="shared" si="366"/>
        <v>2.4530000000000003</v>
      </c>
      <c r="AV168" s="116">
        <f>+ED168-EB168</f>
        <v>2.8530000000000006</v>
      </c>
      <c r="AW168" s="223">
        <f>ED168</f>
        <v>9.31</v>
      </c>
      <c r="AX168" s="136">
        <f>+AX20</f>
        <v>4.8080229162387358</v>
      </c>
      <c r="AY168" s="135">
        <f>+AY20</f>
        <v>4.8080229162387358</v>
      </c>
      <c r="AZ168" s="135">
        <f>+AZ20</f>
        <v>4.8080229162387358</v>
      </c>
      <c r="BA168" s="116">
        <f>+BA20</f>
        <v>4.8080229162387358</v>
      </c>
      <c r="BB168" s="82">
        <f>SUM(AX168:BA168)</f>
        <v>19.232091664954943</v>
      </c>
      <c r="BC168" s="136">
        <f>+BC20</f>
        <v>5.3736726710903513</v>
      </c>
      <c r="BD168" s="135">
        <f>+BD20</f>
        <v>5.3736726710903513</v>
      </c>
      <c r="BE168" s="135">
        <f>+BE20</f>
        <v>5.3736726710903513</v>
      </c>
      <c r="BF168" s="116">
        <f>+BF20</f>
        <v>5.3736726710903513</v>
      </c>
      <c r="BG168" s="82">
        <f>SUM(BC168:BF168)</f>
        <v>21.494690684361405</v>
      </c>
      <c r="BH168" s="136">
        <f>+BH20</f>
        <v>3.3467610495387277</v>
      </c>
      <c r="BI168" s="135">
        <f>+BI20</f>
        <v>3.3467610495387277</v>
      </c>
      <c r="BJ168" s="135">
        <f>+BJ20</f>
        <v>3.3467610495387277</v>
      </c>
      <c r="BK168" s="116">
        <f>+BK20</f>
        <v>3.3467610495387277</v>
      </c>
      <c r="BL168" s="82">
        <f>SUM(BH168:BK168)</f>
        <v>13.387044198154911</v>
      </c>
      <c r="BM168" s="136">
        <f>+BM20</f>
        <v>2.2154615398354958</v>
      </c>
      <c r="BN168" s="135">
        <f>+BN20</f>
        <v>2.2154615398354958</v>
      </c>
      <c r="BO168" s="135">
        <f>+BO20</f>
        <v>2.2154615398354958</v>
      </c>
      <c r="BP168" s="116">
        <f>+BP20</f>
        <v>2.2154615398354958</v>
      </c>
      <c r="BQ168" s="82">
        <f>SUM(BM168:BP168)</f>
        <v>8.8618461593419831</v>
      </c>
      <c r="BR168" s="220"/>
      <c r="BS168" s="220"/>
      <c r="BT168" s="220"/>
      <c r="BU168" s="220"/>
      <c r="BV168" s="220"/>
      <c r="BW168" s="220"/>
      <c r="BX168" s="220"/>
      <c r="BY168" s="220"/>
      <c r="BZ168" s="220"/>
      <c r="CA168" s="220"/>
      <c r="CB168" s="220"/>
      <c r="CC168" s="220"/>
      <c r="CD168" s="220"/>
      <c r="CE168" s="220"/>
      <c r="CF168" s="220"/>
      <c r="CG168" s="220"/>
      <c r="CH168" s="220"/>
      <c r="CI168" s="220"/>
      <c r="CJ168" s="220"/>
      <c r="CK168" s="220"/>
      <c r="CL168" s="117">
        <v>1.115</v>
      </c>
      <c r="CM168" s="117">
        <v>2.09</v>
      </c>
      <c r="CN168" s="117">
        <v>2.9769999999999999</v>
      </c>
      <c r="CO168" s="82">
        <f>CP168-CN168</f>
        <v>1.105</v>
      </c>
      <c r="CP168" s="117">
        <v>4.0819999999999999</v>
      </c>
      <c r="CQ168" s="117">
        <v>0.433</v>
      </c>
      <c r="CR168" s="117">
        <v>1.444</v>
      </c>
      <c r="CS168" s="117">
        <v>2.5289999999999999</v>
      </c>
      <c r="CT168" s="82">
        <f>CU168-CS168</f>
        <v>1.6589999999999998</v>
      </c>
      <c r="CU168" s="117">
        <v>4.1879999999999997</v>
      </c>
      <c r="CV168" s="117">
        <v>1.9259999999999999</v>
      </c>
      <c r="CW168" s="117">
        <v>3.2839999999999998</v>
      </c>
      <c r="CX168" s="117">
        <v>4.1779999999999999</v>
      </c>
      <c r="CY168" s="82">
        <f>CZ168-CX168</f>
        <v>1.1639999999999997</v>
      </c>
      <c r="CZ168" s="117">
        <v>5.3419999999999996</v>
      </c>
      <c r="DA168" s="117">
        <v>1.69</v>
      </c>
      <c r="DB168" s="117">
        <v>3.3919999999999999</v>
      </c>
      <c r="DC168" s="117">
        <v>5.0620000000000003</v>
      </c>
      <c r="DD168" s="82">
        <f>DE168-DC168</f>
        <v>2.21</v>
      </c>
      <c r="DE168" s="117">
        <v>7.2720000000000002</v>
      </c>
      <c r="DF168" s="117">
        <v>2.6219999999999999</v>
      </c>
      <c r="DG168" s="117">
        <v>4.8220000000000001</v>
      </c>
      <c r="DH168" s="117">
        <v>6.9720000000000004</v>
      </c>
      <c r="DI168" s="82">
        <f>DJ168-DH168</f>
        <v>3.2139999999999995</v>
      </c>
      <c r="DJ168" s="117">
        <v>10.186</v>
      </c>
      <c r="DK168" s="117">
        <v>3.64</v>
      </c>
      <c r="DL168" s="117">
        <v>6.5350000000000001</v>
      </c>
      <c r="DM168" s="117">
        <v>9.6820000000000004</v>
      </c>
      <c r="DN168" s="82">
        <f>DO168-DM168</f>
        <v>2.4359999999999999</v>
      </c>
      <c r="DO168" s="117">
        <v>12.118</v>
      </c>
      <c r="DP168" s="117">
        <v>1.7050000000000001</v>
      </c>
      <c r="DQ168" s="117">
        <v>3.4929999999999999</v>
      </c>
      <c r="DR168" s="117">
        <v>5.5780000000000003</v>
      </c>
      <c r="DS168" s="82">
        <f>DT168-DR168</f>
        <v>1.7999999999999998</v>
      </c>
      <c r="DT168" s="117">
        <v>7.3780000000000001</v>
      </c>
      <c r="DU168" s="117">
        <v>2.3370000000000002</v>
      </c>
      <c r="DV168" s="117">
        <v>4.7160000000000002</v>
      </c>
      <c r="DW168" s="117">
        <v>7.3479999999999999</v>
      </c>
      <c r="DX168" s="82">
        <f>DY168-DW168</f>
        <v>2.633</v>
      </c>
      <c r="DY168" s="117">
        <v>9.9809999999999999</v>
      </c>
      <c r="DZ168" s="117">
        <v>2.1349999999999998</v>
      </c>
      <c r="EA168" s="117">
        <v>4.0039999999999996</v>
      </c>
      <c r="EB168" s="117">
        <v>6.4569999999999999</v>
      </c>
      <c r="EC168" s="82">
        <f>ED168-EB168</f>
        <v>2.8530000000000006</v>
      </c>
      <c r="ED168" s="117">
        <v>9.31</v>
      </c>
    </row>
    <row r="169" spans="1:134" x14ac:dyDescent="0.2">
      <c r="A169" s="220"/>
      <c r="B169" s="220"/>
      <c r="C169" s="70" t="s">
        <v>184</v>
      </c>
      <c r="D169" s="82"/>
      <c r="E169" s="136">
        <f>+CL169</f>
        <v>71.5</v>
      </c>
      <c r="F169" s="135">
        <f t="shared" si="355"/>
        <v>19</v>
      </c>
      <c r="G169" s="135">
        <f t="shared" si="355"/>
        <v>-90</v>
      </c>
      <c r="H169" s="116">
        <f>+CP169-CN169</f>
        <v>13</v>
      </c>
      <c r="I169" s="223">
        <f t="shared" si="356"/>
        <v>13.5</v>
      </c>
      <c r="J169" s="136">
        <f>+CQ169</f>
        <v>69.999999999999972</v>
      </c>
      <c r="K169" s="135">
        <f t="shared" si="357"/>
        <v>7.0000000000000284</v>
      </c>
      <c r="L169" s="135">
        <f t="shared" si="357"/>
        <v>0</v>
      </c>
      <c r="M169" s="116">
        <f>+CU169-CS169</f>
        <v>87.822999999999979</v>
      </c>
      <c r="N169" s="223">
        <f t="shared" si="358"/>
        <v>164.82299999999998</v>
      </c>
      <c r="O169" s="136">
        <f>+CV169</f>
        <v>0</v>
      </c>
      <c r="P169" s="135">
        <f t="shared" si="359"/>
        <v>0.221</v>
      </c>
      <c r="Q169" s="135">
        <f t="shared" si="359"/>
        <v>0</v>
      </c>
      <c r="R169" s="116">
        <f>+CZ169-CX169</f>
        <v>0</v>
      </c>
      <c r="S169" s="223">
        <f>CZ169</f>
        <v>0.221</v>
      </c>
      <c r="T169" s="136">
        <f>+DA169</f>
        <v>0</v>
      </c>
      <c r="U169" s="135">
        <f t="shared" si="360"/>
        <v>-5</v>
      </c>
      <c r="V169" s="135">
        <f t="shared" si="360"/>
        <v>5</v>
      </c>
      <c r="W169" s="116">
        <f>+DE169-DC169</f>
        <v>0</v>
      </c>
      <c r="X169" s="223">
        <f>DE169</f>
        <v>0</v>
      </c>
      <c r="Y169" s="136">
        <f>+DF169</f>
        <v>0</v>
      </c>
      <c r="Z169" s="135">
        <f t="shared" si="361"/>
        <v>0</v>
      </c>
      <c r="AA169" s="135">
        <f t="shared" si="361"/>
        <v>0</v>
      </c>
      <c r="AB169" s="116">
        <f>+DJ169-DH169</f>
        <v>37.118000000000002</v>
      </c>
      <c r="AC169" s="223">
        <f>DJ169</f>
        <v>37.118000000000002</v>
      </c>
      <c r="AD169" s="136">
        <f>+DK169</f>
        <v>0</v>
      </c>
      <c r="AE169" s="135">
        <f t="shared" si="362"/>
        <v>0</v>
      </c>
      <c r="AF169" s="135">
        <f t="shared" si="362"/>
        <v>-3</v>
      </c>
      <c r="AG169" s="116">
        <f>+DO169-DM169</f>
        <v>3</v>
      </c>
      <c r="AH169" s="223">
        <f>DO169</f>
        <v>0</v>
      </c>
      <c r="AI169" s="136">
        <f>+DP169</f>
        <v>0</v>
      </c>
      <c r="AJ169" s="135">
        <f t="shared" si="363"/>
        <v>0</v>
      </c>
      <c r="AK169" s="135">
        <f t="shared" si="363"/>
        <v>0</v>
      </c>
      <c r="AL169" s="116">
        <f>+DT169-DR169</f>
        <v>3.1360000000000001</v>
      </c>
      <c r="AM169" s="223">
        <f>DT169</f>
        <v>3.1360000000000001</v>
      </c>
      <c r="AN169" s="136">
        <f>+DU169</f>
        <v>0</v>
      </c>
      <c r="AO169" s="135">
        <f t="shared" si="364"/>
        <v>-0.18699999999999994</v>
      </c>
      <c r="AP169" s="135">
        <f t="shared" si="364"/>
        <v>-5.2180482157382357E-15</v>
      </c>
      <c r="AQ169" s="116">
        <f>+DY169-DW169</f>
        <v>2.9140000000000015</v>
      </c>
      <c r="AR169" s="223">
        <f>DY169</f>
        <v>2.7269999999999963</v>
      </c>
      <c r="AS169" s="136">
        <f>+DZ169</f>
        <v>0</v>
      </c>
      <c r="AT169" s="135">
        <f t="shared" si="365"/>
        <v>-0.49299999999999999</v>
      </c>
      <c r="AU169" s="135">
        <f t="shared" si="366"/>
        <v>0</v>
      </c>
      <c r="AV169" s="116">
        <f>+ED169-EB169</f>
        <v>-65</v>
      </c>
      <c r="AW169" s="223">
        <f>ED169</f>
        <v>-65.492999999999995</v>
      </c>
      <c r="AX169" s="136">
        <f>+BB169/4</f>
        <v>0</v>
      </c>
      <c r="AY169" s="135">
        <f>(BB169-SUM(AX169:AX169))/3</f>
        <v>0</v>
      </c>
      <c r="AZ169" s="135">
        <f>(BB169-SUM(AX169:AY169))/2</f>
        <v>0</v>
      </c>
      <c r="BA169" s="116">
        <f>(BB169-SUM(AX169:AZ169))/1</f>
        <v>0</v>
      </c>
      <c r="BB169" s="34">
        <v>0</v>
      </c>
      <c r="BC169" s="136">
        <f>+BG169/4</f>
        <v>0</v>
      </c>
      <c r="BD169" s="135">
        <f>(BG169-SUM(BC169:BC169))/3</f>
        <v>0</v>
      </c>
      <c r="BE169" s="135">
        <f>(BG169-SUM(BC169:BD169))/2</f>
        <v>0</v>
      </c>
      <c r="BF169" s="116">
        <f>(BG169-SUM(BC169:BE169))/1</f>
        <v>0</v>
      </c>
      <c r="BG169" s="34">
        <v>0</v>
      </c>
      <c r="BH169" s="136">
        <f>+BL169/4</f>
        <v>0</v>
      </c>
      <c r="BI169" s="135">
        <f>(BL169-SUM(BH169:BH169))/3</f>
        <v>0</v>
      </c>
      <c r="BJ169" s="135">
        <f>(BL169-SUM(BH169:BI169))/2</f>
        <v>0</v>
      </c>
      <c r="BK169" s="116">
        <f>(BL169-SUM(BH169:BJ169))/1</f>
        <v>0</v>
      </c>
      <c r="BL169" s="34">
        <v>0</v>
      </c>
      <c r="BM169" s="136">
        <f>+BQ169/4</f>
        <v>0</v>
      </c>
      <c r="BN169" s="135">
        <f>(BQ169-SUM(BM169:BM169))/3</f>
        <v>0</v>
      </c>
      <c r="BO169" s="135">
        <f>(BQ169-SUM(BM169:BN169))/2</f>
        <v>0</v>
      </c>
      <c r="BP169" s="116">
        <f>(BQ169-SUM(BM169:BO169))/1</f>
        <v>0</v>
      </c>
      <c r="BQ169" s="34">
        <v>0</v>
      </c>
      <c r="BR169" s="220"/>
      <c r="BS169" s="220"/>
      <c r="BT169" s="220"/>
      <c r="BU169" s="220"/>
      <c r="BV169" s="220"/>
      <c r="BW169" s="220"/>
      <c r="BX169" s="220"/>
      <c r="BY169" s="220"/>
      <c r="BZ169" s="220"/>
      <c r="CA169" s="220"/>
      <c r="CB169" s="220"/>
      <c r="CC169" s="220"/>
      <c r="CD169" s="220"/>
      <c r="CE169" s="220"/>
      <c r="CF169" s="220"/>
      <c r="CG169" s="220"/>
      <c r="CH169" s="220"/>
      <c r="CI169" s="220"/>
      <c r="CJ169" s="220"/>
      <c r="CK169" s="220"/>
      <c r="CL169" s="117">
        <f>-378.8+450.3</f>
        <v>71.5</v>
      </c>
      <c r="CM169" s="117">
        <f>-567.8+658.3</f>
        <v>90.5</v>
      </c>
      <c r="CN169" s="117">
        <f>-776.4+776.9</f>
        <v>0.5</v>
      </c>
      <c r="CO169" s="82">
        <f>CP169-CN169</f>
        <v>13</v>
      </c>
      <c r="CP169" s="117">
        <f>-990.8+1004.3</f>
        <v>13.5</v>
      </c>
      <c r="CQ169" s="117">
        <f>-189.9+259.9</f>
        <v>69.999999999999972</v>
      </c>
      <c r="CR169" s="117">
        <f>-204.2+281.2</f>
        <v>77</v>
      </c>
      <c r="CS169" s="117">
        <f>-204.2+281.2</f>
        <v>77</v>
      </c>
      <c r="CT169" s="82">
        <f>CU169-CS169</f>
        <v>87.822999999999979</v>
      </c>
      <c r="CU169" s="117">
        <f>87.823-204.2+281.2</f>
        <v>164.82299999999998</v>
      </c>
      <c r="CV169" s="117">
        <v>0</v>
      </c>
      <c r="CW169" s="117">
        <v>0.221</v>
      </c>
      <c r="CX169" s="117">
        <v>0.221</v>
      </c>
      <c r="CY169" s="82">
        <f>CZ169-CX169</f>
        <v>0</v>
      </c>
      <c r="CZ169" s="117">
        <f>-40.3+40.3+0.221</f>
        <v>0.221</v>
      </c>
      <c r="DA169" s="117">
        <v>0</v>
      </c>
      <c r="DB169" s="117">
        <f>-77+72</f>
        <v>-5</v>
      </c>
      <c r="DC169" s="117">
        <f>134-134</f>
        <v>0</v>
      </c>
      <c r="DD169" s="82">
        <f>DE169-DC169</f>
        <v>0</v>
      </c>
      <c r="DE169" s="117">
        <f>-217+217</f>
        <v>0</v>
      </c>
      <c r="DF169" s="117">
        <f>-12+12</f>
        <v>0</v>
      </c>
      <c r="DG169" s="117">
        <f>-12+12</f>
        <v>0</v>
      </c>
      <c r="DH169" s="117">
        <f>-12+12</f>
        <v>0</v>
      </c>
      <c r="DI169" s="82">
        <f>DJ169-DH169</f>
        <v>37.118000000000002</v>
      </c>
      <c r="DJ169" s="117">
        <v>37.118000000000002</v>
      </c>
      <c r="DK169" s="117">
        <v>0</v>
      </c>
      <c r="DL169" s="117">
        <f>22-22</f>
        <v>0</v>
      </c>
      <c r="DM169" s="117">
        <f>-94+91</f>
        <v>-3</v>
      </c>
      <c r="DN169" s="82">
        <f>DO169-DM169</f>
        <v>3</v>
      </c>
      <c r="DO169" s="117">
        <f>-105+105</f>
        <v>0</v>
      </c>
      <c r="DP169" s="117">
        <f>-9+9</f>
        <v>0</v>
      </c>
      <c r="DQ169" s="117">
        <f>9-9</f>
        <v>0</v>
      </c>
      <c r="DR169" s="117">
        <f>9-9</f>
        <v>0</v>
      </c>
      <c r="DS169" s="82">
        <f>DT169-DR169</f>
        <v>3.1360000000000001</v>
      </c>
      <c r="DT169" s="117">
        <f>92-92+3.136</f>
        <v>3.1360000000000001</v>
      </c>
      <c r="DU169" s="117">
        <v>0</v>
      </c>
      <c r="DV169" s="117">
        <f>0.987-1.174</f>
        <v>-0.18699999999999994</v>
      </c>
      <c r="DW169" s="117">
        <f>0.987-75+75-1.174</f>
        <v>-0.18700000000000516</v>
      </c>
      <c r="DX169" s="82">
        <f>DY169-DW169</f>
        <v>2.9140000000000015</v>
      </c>
      <c r="DY169" s="117">
        <f>3.901-75+75-1.174</f>
        <v>2.7269999999999963</v>
      </c>
      <c r="DZ169" s="117">
        <v>0</v>
      </c>
      <c r="EA169" s="117">
        <v>-0.49299999999999999</v>
      </c>
      <c r="EB169" s="117">
        <v>-0.49299999999999999</v>
      </c>
      <c r="EC169" s="82">
        <f>ED169-EB169</f>
        <v>-65</v>
      </c>
      <c r="ED169" s="117">
        <f>-142+77-0.493</f>
        <v>-65.492999999999995</v>
      </c>
    </row>
    <row r="170" spans="1:134" x14ac:dyDescent="0.2">
      <c r="A170" s="220"/>
      <c r="B170" s="220"/>
      <c r="C170" s="141" t="s">
        <v>185</v>
      </c>
      <c r="D170" s="82"/>
      <c r="E170" s="121">
        <f>SUM(E167:E169)</f>
        <v>28.216999999999999</v>
      </c>
      <c r="F170" s="122">
        <f>SUM(F167:F169)</f>
        <v>-31.632999999999996</v>
      </c>
      <c r="G170" s="122">
        <f>SUM(G167:G169)</f>
        <v>-141.65</v>
      </c>
      <c r="H170" s="123">
        <f>SUM(H167:H169)</f>
        <v>-49.218000000000011</v>
      </c>
      <c r="I170" s="127">
        <f t="shared" si="356"/>
        <v>-194.28400000000002</v>
      </c>
      <c r="J170" s="121">
        <f>SUM(J167:J169)</f>
        <v>23.151999999999973</v>
      </c>
      <c r="K170" s="122">
        <f>SUM(K167:K169)</f>
        <v>-56.034999999999961</v>
      </c>
      <c r="L170" s="122">
        <f>SUM(L167:L169)</f>
        <v>-83.623000000000005</v>
      </c>
      <c r="M170" s="123">
        <f>SUM(M167:M169)</f>
        <v>-23.891000000000034</v>
      </c>
      <c r="N170" s="127">
        <f t="shared" si="358"/>
        <v>-140.39700000000005</v>
      </c>
      <c r="O170" s="121">
        <f>SUM(O167:O169)</f>
        <v>-89.084000000000003</v>
      </c>
      <c r="P170" s="122">
        <f>SUM(P167:P169)</f>
        <v>-70.400999999999996</v>
      </c>
      <c r="Q170" s="122">
        <f>SUM(Q167:Q169)</f>
        <v>-60.98</v>
      </c>
      <c r="R170" s="123">
        <f>SUM(R167:R169)</f>
        <v>-82.195000000000007</v>
      </c>
      <c r="S170" s="127">
        <f>CZ170</f>
        <v>-302.66000000000003</v>
      </c>
      <c r="T170" s="121">
        <f>SUM(T167:T169)</f>
        <v>-84.34</v>
      </c>
      <c r="U170" s="122">
        <f>SUM(U167:U169)</f>
        <v>-102.17699999999999</v>
      </c>
      <c r="V170" s="122">
        <f>SUM(V167:V169)</f>
        <v>-83.673999999999992</v>
      </c>
      <c r="W170" s="123">
        <f>SUM(W167:W169)</f>
        <v>-107.163</v>
      </c>
      <c r="X170" s="127">
        <f>DE170</f>
        <v>-377.35399999999998</v>
      </c>
      <c r="Y170" s="121">
        <f>SUM(Y167:Y169)</f>
        <v>-103.754</v>
      </c>
      <c r="Z170" s="122">
        <f>SUM(Z167:Z169)</f>
        <v>-145.733</v>
      </c>
      <c r="AA170" s="122">
        <f>SUM(AA167:AA169)</f>
        <v>-166.976</v>
      </c>
      <c r="AB170" s="123">
        <f>SUM(AB167:AB169)</f>
        <v>-120.96899999999999</v>
      </c>
      <c r="AC170" s="127">
        <f>DJ170</f>
        <v>-537.4319999999999</v>
      </c>
      <c r="AD170" s="121">
        <f>SUM(AD167:AD169)</f>
        <v>-133.99700000000001</v>
      </c>
      <c r="AE170" s="122">
        <f>SUM(AE167:AE169)</f>
        <v>-140.86600000000001</v>
      </c>
      <c r="AF170" s="122">
        <f>SUM(AF167:AF169)</f>
        <v>-131.43099999999998</v>
      </c>
      <c r="AG170" s="123">
        <f>SUM(AG167:AG169)</f>
        <v>-136.52400000000003</v>
      </c>
      <c r="AH170" s="127">
        <f>DO170</f>
        <v>-542.81799999999998</v>
      </c>
      <c r="AI170" s="121">
        <f>SUM(AI167:AI169)</f>
        <v>-124.917</v>
      </c>
      <c r="AJ170" s="122">
        <f>SUM(AJ167:AJ169)</f>
        <v>-152.20499999999998</v>
      </c>
      <c r="AK170" s="122">
        <f>SUM(AK167:AK169)</f>
        <v>-146.29099999999997</v>
      </c>
      <c r="AL170" s="123">
        <f>SUM(AL167:AL169)</f>
        <v>-165.58399999999997</v>
      </c>
      <c r="AM170" s="127">
        <f>DT170</f>
        <v>-588.99699999999996</v>
      </c>
      <c r="AN170" s="121">
        <f>SUM(AN167:AN169)</f>
        <v>-133.38300000000001</v>
      </c>
      <c r="AO170" s="122">
        <f>SUM(AO167:AO169)</f>
        <v>-125.74100000000001</v>
      </c>
      <c r="AP170" s="122">
        <f>SUM(AP167:AP169)</f>
        <v>-105.709</v>
      </c>
      <c r="AQ170" s="123">
        <f>SUM(AQ167:AQ169)</f>
        <v>-134.98099999999999</v>
      </c>
      <c r="AR170" s="127">
        <f>DY170</f>
        <v>-499.81400000000008</v>
      </c>
      <c r="AS170" s="121">
        <f>SUM(AS167:AS169)</f>
        <v>-140.42400000000001</v>
      </c>
      <c r="AT170" s="122">
        <f>SUM(AT167:AT169)</f>
        <v>-135.983</v>
      </c>
      <c r="AU170" s="122">
        <f>SUM(AU167:AU169)</f>
        <v>-118.58599999999998</v>
      </c>
      <c r="AV170" s="123">
        <f>SUM(AV167:AV169)</f>
        <v>-221.05500000000001</v>
      </c>
      <c r="AW170" s="127">
        <f>ED170</f>
        <v>-616.048</v>
      </c>
      <c r="AX170" s="121">
        <f t="shared" ref="AX170:BG170" si="367">SUM(AX167:AX169)</f>
        <v>-250.19197708376126</v>
      </c>
      <c r="AY170" s="122">
        <f t="shared" si="367"/>
        <v>-250.19197708376126</v>
      </c>
      <c r="AZ170" s="122">
        <f t="shared" si="367"/>
        <v>-250.19197708376126</v>
      </c>
      <c r="BA170" s="123">
        <f t="shared" si="367"/>
        <v>-250.19197708376126</v>
      </c>
      <c r="BB170" s="86">
        <f t="shared" si="367"/>
        <v>-1000.767908335045</v>
      </c>
      <c r="BC170" s="121">
        <f t="shared" si="367"/>
        <v>-279.62632732890967</v>
      </c>
      <c r="BD170" s="122">
        <f t="shared" si="367"/>
        <v>-279.62632732890967</v>
      </c>
      <c r="BE170" s="122">
        <f t="shared" si="367"/>
        <v>-279.62632732890967</v>
      </c>
      <c r="BF170" s="123">
        <f t="shared" si="367"/>
        <v>-279.62632732890967</v>
      </c>
      <c r="BG170" s="86">
        <f t="shared" si="367"/>
        <v>-1118.5053093156387</v>
      </c>
      <c r="BH170" s="121">
        <f t="shared" ref="BH170:BQ170" si="368">SUM(BH167:BH169)</f>
        <v>-174.15323895046129</v>
      </c>
      <c r="BI170" s="122">
        <f t="shared" si="368"/>
        <v>-174.15323895046129</v>
      </c>
      <c r="BJ170" s="122">
        <f t="shared" si="368"/>
        <v>-174.15323895046129</v>
      </c>
      <c r="BK170" s="123">
        <f t="shared" si="368"/>
        <v>-174.15323895046129</v>
      </c>
      <c r="BL170" s="86">
        <f t="shared" si="368"/>
        <v>-696.61295580184515</v>
      </c>
      <c r="BM170" s="121">
        <f t="shared" si="368"/>
        <v>-115.2845384601645</v>
      </c>
      <c r="BN170" s="122">
        <f t="shared" si="368"/>
        <v>-115.2845384601645</v>
      </c>
      <c r="BO170" s="122">
        <f t="shared" si="368"/>
        <v>-115.2845384601645</v>
      </c>
      <c r="BP170" s="123">
        <f t="shared" si="368"/>
        <v>-115.2845384601645</v>
      </c>
      <c r="BQ170" s="86">
        <f t="shared" si="368"/>
        <v>-461.13815384065799</v>
      </c>
      <c r="BR170" s="220"/>
      <c r="BS170" s="220"/>
      <c r="BT170" s="220"/>
      <c r="BU170" s="220"/>
      <c r="BV170" s="220"/>
      <c r="BW170" s="220"/>
      <c r="BX170" s="220"/>
      <c r="BY170" s="220"/>
      <c r="BZ170" s="220"/>
      <c r="CA170" s="220"/>
      <c r="CB170" s="220"/>
      <c r="CC170" s="220"/>
      <c r="CD170" s="220"/>
      <c r="CE170" s="220"/>
      <c r="CF170" s="220"/>
      <c r="CG170" s="220"/>
      <c r="CH170" s="220"/>
      <c r="CI170" s="220"/>
      <c r="CJ170" s="220"/>
      <c r="CK170" s="220"/>
      <c r="CL170" s="86">
        <f t="shared" ref="CL170:CX170" si="369">SUM(CL167:CL169)</f>
        <v>28.216999999999999</v>
      </c>
      <c r="CM170" s="86">
        <f t="shared" si="369"/>
        <v>-3.4159999999999968</v>
      </c>
      <c r="CN170" s="86">
        <f t="shared" si="369"/>
        <v>-145.066</v>
      </c>
      <c r="CO170" s="86">
        <f t="shared" si="369"/>
        <v>-49.218000000000011</v>
      </c>
      <c r="CP170" s="86">
        <f t="shared" si="369"/>
        <v>-194.28400000000002</v>
      </c>
      <c r="CQ170" s="86">
        <f t="shared" si="369"/>
        <v>23.151999999999973</v>
      </c>
      <c r="CR170" s="86">
        <f t="shared" si="369"/>
        <v>-32.882999999999996</v>
      </c>
      <c r="CS170" s="86">
        <f t="shared" si="369"/>
        <v>-116.506</v>
      </c>
      <c r="CT170" s="86">
        <f t="shared" si="369"/>
        <v>-23.891000000000034</v>
      </c>
      <c r="CU170" s="86">
        <f t="shared" si="369"/>
        <v>-140.39700000000005</v>
      </c>
      <c r="CV170" s="86">
        <f t="shared" si="369"/>
        <v>-89.084000000000003</v>
      </c>
      <c r="CW170" s="86">
        <f t="shared" si="369"/>
        <v>-159.48500000000001</v>
      </c>
      <c r="CX170" s="86">
        <f t="shared" si="369"/>
        <v>-220.465</v>
      </c>
      <c r="CY170" s="86">
        <f t="shared" ref="CY170:DH170" si="370">SUM(CY167:CY169)</f>
        <v>-82.195000000000007</v>
      </c>
      <c r="CZ170" s="86">
        <f t="shared" si="370"/>
        <v>-302.66000000000003</v>
      </c>
      <c r="DA170" s="86">
        <f t="shared" si="370"/>
        <v>-84.34</v>
      </c>
      <c r="DB170" s="86">
        <f t="shared" si="370"/>
        <v>-186.517</v>
      </c>
      <c r="DC170" s="86">
        <f t="shared" si="370"/>
        <v>-270.19099999999997</v>
      </c>
      <c r="DD170" s="86">
        <f t="shared" si="370"/>
        <v>-107.163</v>
      </c>
      <c r="DE170" s="86">
        <f t="shared" si="370"/>
        <v>-377.35399999999998</v>
      </c>
      <c r="DF170" s="86">
        <f t="shared" si="370"/>
        <v>-103.754</v>
      </c>
      <c r="DG170" s="86">
        <f t="shared" si="370"/>
        <v>-249.48699999999999</v>
      </c>
      <c r="DH170" s="86">
        <f t="shared" si="370"/>
        <v>-416.46300000000002</v>
      </c>
      <c r="DI170" s="86">
        <f t="shared" ref="DI170:DQ170" si="371">SUM(DI167:DI169)</f>
        <v>-120.96899999999999</v>
      </c>
      <c r="DJ170" s="86">
        <f t="shared" si="371"/>
        <v>-537.4319999999999</v>
      </c>
      <c r="DK170" s="86">
        <f t="shared" si="371"/>
        <v>-133.99700000000001</v>
      </c>
      <c r="DL170" s="86">
        <f t="shared" si="371"/>
        <v>-274.863</v>
      </c>
      <c r="DM170" s="86">
        <f t="shared" si="371"/>
        <v>-406.29399999999998</v>
      </c>
      <c r="DN170" s="86">
        <f t="shared" si="371"/>
        <v>-136.52400000000003</v>
      </c>
      <c r="DO170" s="86">
        <f t="shared" si="371"/>
        <v>-542.81799999999998</v>
      </c>
      <c r="DP170" s="86">
        <f t="shared" si="371"/>
        <v>-124.917</v>
      </c>
      <c r="DQ170" s="86">
        <f t="shared" si="371"/>
        <v>-277.12200000000001</v>
      </c>
      <c r="DR170" s="86">
        <f t="shared" ref="DR170:DW170" si="372">SUM(DR167:DR169)</f>
        <v>-423.41300000000001</v>
      </c>
      <c r="DS170" s="86">
        <f t="shared" si="372"/>
        <v>-165.58399999999997</v>
      </c>
      <c r="DT170" s="86">
        <f t="shared" si="372"/>
        <v>-588.99699999999996</v>
      </c>
      <c r="DU170" s="86">
        <f t="shared" si="372"/>
        <v>-133.38300000000001</v>
      </c>
      <c r="DV170" s="86">
        <f t="shared" si="372"/>
        <v>-259.12400000000002</v>
      </c>
      <c r="DW170" s="86">
        <f t="shared" si="372"/>
        <v>-364.83300000000003</v>
      </c>
      <c r="DX170" s="86">
        <f t="shared" ref="DX170:ED170" si="373">SUM(DX167:DX169)</f>
        <v>-134.98099999999999</v>
      </c>
      <c r="DY170" s="86">
        <f t="shared" si="373"/>
        <v>-499.81400000000008</v>
      </c>
      <c r="DZ170" s="86">
        <f t="shared" si="373"/>
        <v>-140.42400000000001</v>
      </c>
      <c r="EA170" s="86">
        <f t="shared" si="373"/>
        <v>-276.40699999999998</v>
      </c>
      <c r="EB170" s="86">
        <f t="shared" si="373"/>
        <v>-394.99299999999999</v>
      </c>
      <c r="EC170" s="86">
        <f t="shared" si="373"/>
        <v>-221.05500000000001</v>
      </c>
      <c r="ED170" s="86">
        <f t="shared" si="373"/>
        <v>-616.048</v>
      </c>
    </row>
    <row r="171" spans="1:134" x14ac:dyDescent="0.2">
      <c r="A171" s="220"/>
      <c r="B171" s="220"/>
      <c r="C171" s="70"/>
      <c r="D171" s="82"/>
      <c r="E171" s="136"/>
      <c r="F171" s="137"/>
      <c r="G171" s="137"/>
      <c r="H171" s="116"/>
      <c r="I171" s="223"/>
      <c r="J171" s="136"/>
      <c r="K171" s="137"/>
      <c r="L171" s="137"/>
      <c r="M171" s="116"/>
      <c r="N171" s="223"/>
      <c r="O171" s="136"/>
      <c r="P171" s="137"/>
      <c r="Q171" s="137"/>
      <c r="R171" s="116"/>
      <c r="S171" s="223"/>
      <c r="T171" s="136"/>
      <c r="U171" s="137"/>
      <c r="V171" s="137"/>
      <c r="W171" s="116"/>
      <c r="X171" s="223"/>
      <c r="Y171" s="136"/>
      <c r="Z171" s="137"/>
      <c r="AA171" s="137"/>
      <c r="AB171" s="116"/>
      <c r="AC171" s="223"/>
      <c r="AD171" s="136"/>
      <c r="AE171" s="137"/>
      <c r="AF171" s="137"/>
      <c r="AG171" s="116"/>
      <c r="AH171" s="223"/>
      <c r="AI171" s="136"/>
      <c r="AJ171" s="137"/>
      <c r="AK171" s="137"/>
      <c r="AL171" s="116"/>
      <c r="AM171" s="223"/>
      <c r="AN171" s="136"/>
      <c r="AO171" s="137"/>
      <c r="AP171" s="137"/>
      <c r="AQ171" s="116"/>
      <c r="AR171" s="223"/>
      <c r="AS171" s="136"/>
      <c r="AT171" s="137"/>
      <c r="AU171" s="137"/>
      <c r="AV171" s="116"/>
      <c r="AW171" s="223"/>
      <c r="AX171" s="136"/>
      <c r="AY171" s="137"/>
      <c r="AZ171" s="137"/>
      <c r="BA171" s="116"/>
      <c r="BB171" s="220"/>
      <c r="BC171" s="136"/>
      <c r="BD171" s="137"/>
      <c r="BE171" s="137"/>
      <c r="BF171" s="116"/>
      <c r="BG171" s="220"/>
      <c r="BH171" s="136"/>
      <c r="BI171" s="137"/>
      <c r="BJ171" s="137"/>
      <c r="BK171" s="116"/>
      <c r="BL171" s="220"/>
      <c r="BM171" s="136"/>
      <c r="BN171" s="137"/>
      <c r="BO171" s="137"/>
      <c r="BP171" s="116"/>
      <c r="BQ171" s="220"/>
      <c r="BR171" s="220"/>
      <c r="BS171" s="220"/>
      <c r="BT171" s="220"/>
      <c r="BU171" s="220"/>
      <c r="BV171" s="220"/>
      <c r="BW171" s="220"/>
      <c r="BX171" s="220"/>
      <c r="BY171" s="220"/>
      <c r="BZ171" s="220"/>
      <c r="CA171" s="220"/>
      <c r="CB171" s="220"/>
      <c r="CC171" s="220"/>
      <c r="CD171" s="220"/>
      <c r="CE171" s="220"/>
      <c r="CF171" s="220"/>
      <c r="CG171" s="220"/>
      <c r="CH171" s="220"/>
      <c r="CI171" s="220"/>
      <c r="CJ171" s="220"/>
      <c r="CK171" s="220"/>
      <c r="CL171" s="220"/>
      <c r="CM171" s="220"/>
      <c r="CN171" s="220"/>
      <c r="CO171" s="220"/>
      <c r="CP171" s="220"/>
      <c r="CQ171" s="220"/>
      <c r="CR171" s="220"/>
      <c r="CS171" s="220"/>
      <c r="CT171" s="220"/>
      <c r="CU171" s="220"/>
      <c r="CV171" s="220"/>
      <c r="CW171" s="220"/>
      <c r="CX171" s="117"/>
      <c r="CY171" s="220"/>
      <c r="CZ171" s="220"/>
      <c r="DA171" s="220"/>
      <c r="DB171" s="220"/>
      <c r="DC171" s="117"/>
      <c r="DD171" s="220"/>
      <c r="DE171" s="220"/>
      <c r="DF171" s="220"/>
      <c r="DG171" s="220"/>
      <c r="DH171" s="117"/>
      <c r="DI171" s="220"/>
      <c r="DJ171" s="220"/>
      <c r="DK171" s="220"/>
      <c r="DL171" s="220"/>
      <c r="DM171" s="117"/>
      <c r="DN171" s="220"/>
      <c r="DO171" s="220"/>
      <c r="DP171" s="220"/>
      <c r="DR171" s="117"/>
      <c r="DS171" s="220"/>
      <c r="DT171" s="220"/>
      <c r="DU171" s="220"/>
      <c r="DX171" s="220"/>
      <c r="DY171" s="220"/>
      <c r="DZ171" s="220"/>
      <c r="EC171" s="220"/>
      <c r="ED171" s="220"/>
    </row>
    <row r="172" spans="1:134" x14ac:dyDescent="0.2">
      <c r="A172" s="220"/>
      <c r="B172" s="220"/>
      <c r="C172" s="70" t="s">
        <v>186</v>
      </c>
      <c r="D172" s="82"/>
      <c r="E172" s="136">
        <f>+CL172</f>
        <v>0</v>
      </c>
      <c r="F172" s="135">
        <f t="shared" ref="F172:G176" si="374">+CM172-CL172</f>
        <v>0</v>
      </c>
      <c r="G172" s="135">
        <f t="shared" si="374"/>
        <v>0</v>
      </c>
      <c r="H172" s="116">
        <f>+CP172-CN172</f>
        <v>0</v>
      </c>
      <c r="I172" s="223">
        <f t="shared" si="356"/>
        <v>0</v>
      </c>
      <c r="J172" s="136">
        <f>+CQ172</f>
        <v>0</v>
      </c>
      <c r="K172" s="135">
        <f t="shared" ref="K172:L176" si="375">+CR172-CQ172</f>
        <v>0</v>
      </c>
      <c r="L172" s="135">
        <f t="shared" si="375"/>
        <v>0</v>
      </c>
      <c r="M172" s="116">
        <f>+CU172-CS172</f>
        <v>0</v>
      </c>
      <c r="N172" s="223">
        <f t="shared" si="358"/>
        <v>0</v>
      </c>
      <c r="O172" s="136">
        <f>+CV172</f>
        <v>0</v>
      </c>
      <c r="P172" s="135">
        <f t="shared" ref="P172:Q176" si="376">+CW172-CV172</f>
        <v>0</v>
      </c>
      <c r="Q172" s="135">
        <f t="shared" si="376"/>
        <v>193.149</v>
      </c>
      <c r="R172" s="116">
        <f>+CZ172-CX172</f>
        <v>-1.2000000000000455E-2</v>
      </c>
      <c r="S172" s="223">
        <f t="shared" ref="S172:S177" si="377">CZ172</f>
        <v>193.137</v>
      </c>
      <c r="T172" s="136">
        <f>+DA172</f>
        <v>0</v>
      </c>
      <c r="U172" s="135">
        <f t="shared" ref="U172:V176" si="378">+DB172-DA172</f>
        <v>108.95099999999999</v>
      </c>
      <c r="V172" s="135">
        <f t="shared" si="378"/>
        <v>-0.25999999999999091</v>
      </c>
      <c r="W172" s="116">
        <f>+DE172-DC172</f>
        <v>-1.300000000000523E-2</v>
      </c>
      <c r="X172" s="223">
        <f t="shared" ref="X172:X177" si="379">DE172</f>
        <v>108.678</v>
      </c>
      <c r="Y172" s="136">
        <f>+DF172</f>
        <v>0</v>
      </c>
      <c r="Z172" s="135">
        <f t="shared" ref="Z172:AA176" si="380">+DG172-DF172</f>
        <v>0</v>
      </c>
      <c r="AA172" s="135">
        <f t="shared" si="380"/>
        <v>94.808999999999997</v>
      </c>
      <c r="AB172" s="116">
        <f>+DJ172-DH172</f>
        <v>-0.18299999999999272</v>
      </c>
      <c r="AC172" s="223">
        <f t="shared" ref="AC172:AC177" si="381">DJ172</f>
        <v>94.626000000000005</v>
      </c>
      <c r="AD172" s="136">
        <f>+DK172</f>
        <v>0</v>
      </c>
      <c r="AE172" s="135">
        <f t="shared" ref="AE172:AF176" si="382">+DL172-DK172</f>
        <v>148.51</v>
      </c>
      <c r="AF172" s="135">
        <f t="shared" si="382"/>
        <v>-0.26899999999997704</v>
      </c>
      <c r="AG172" s="116">
        <f>+DO172-DM172</f>
        <v>-0.11800000000002342</v>
      </c>
      <c r="AH172" s="223">
        <f t="shared" ref="AH172:AH177" si="383">DO172</f>
        <v>148.12299999999999</v>
      </c>
      <c r="AI172" s="136">
        <f>+DP172</f>
        <v>0</v>
      </c>
      <c r="AJ172" s="135">
        <f t="shared" ref="AJ172:AK176" si="384">+DQ172-DP172</f>
        <v>-8.5000000000000006E-2</v>
      </c>
      <c r="AK172" s="135">
        <f t="shared" si="384"/>
        <v>198.869</v>
      </c>
      <c r="AL172" s="116">
        <f>+DT172-DR172</f>
        <v>-0.28799999999998249</v>
      </c>
      <c r="AM172" s="223">
        <f t="shared" ref="AM172:AM177" si="385">DT172</f>
        <v>198.49600000000001</v>
      </c>
      <c r="AN172" s="136">
        <f>+DU172</f>
        <v>0</v>
      </c>
      <c r="AO172" s="135">
        <f t="shared" ref="AO172:AP176" si="386">+DV172-DU172</f>
        <v>0</v>
      </c>
      <c r="AP172" s="135">
        <f t="shared" si="386"/>
        <v>296.15199999999999</v>
      </c>
      <c r="AQ172" s="116">
        <f>+DY172-DW172</f>
        <v>-0.16699999999997317</v>
      </c>
      <c r="AR172" s="223">
        <f t="shared" ref="AR172:AR177" si="387">DY172</f>
        <v>295.98500000000001</v>
      </c>
      <c r="AS172" s="136">
        <f>+DZ172</f>
        <v>0</v>
      </c>
      <c r="AT172" s="135">
        <f t="shared" ref="AT172:AT176" si="388">+EA172-DZ172</f>
        <v>0</v>
      </c>
      <c r="AU172" s="135">
        <f t="shared" ref="AU172:AU176" si="389">+EB172-EA172</f>
        <v>442.65100000000001</v>
      </c>
      <c r="AV172" s="116">
        <f>+ED172-EB172</f>
        <v>-0.31299999999998818</v>
      </c>
      <c r="AW172" s="223">
        <f t="shared" ref="AW172:AW177" si="390">ED172</f>
        <v>442.33800000000002</v>
      </c>
      <c r="AX172" s="136">
        <f t="shared" ref="AX172:BA173" si="391">+AX146</f>
        <v>0</v>
      </c>
      <c r="AY172" s="135">
        <f t="shared" si="391"/>
        <v>0</v>
      </c>
      <c r="AZ172" s="135">
        <f t="shared" si="391"/>
        <v>350</v>
      </c>
      <c r="BA172" s="116">
        <f t="shared" si="391"/>
        <v>0</v>
      </c>
      <c r="BB172" s="82">
        <f>SUM(AX172:BA172)</f>
        <v>350</v>
      </c>
      <c r="BC172" s="136">
        <f t="shared" ref="BC172:BF173" si="392">+BC146</f>
        <v>0</v>
      </c>
      <c r="BD172" s="135">
        <f t="shared" si="392"/>
        <v>0</v>
      </c>
      <c r="BE172" s="135">
        <f t="shared" si="392"/>
        <v>400</v>
      </c>
      <c r="BF172" s="116">
        <f t="shared" si="392"/>
        <v>0</v>
      </c>
      <c r="BG172" s="82">
        <f>SUM(BC172:BF172)</f>
        <v>400</v>
      </c>
      <c r="BH172" s="136">
        <f t="shared" ref="BH172:BK173" si="393">+BH146</f>
        <v>0</v>
      </c>
      <c r="BI172" s="135">
        <f t="shared" si="393"/>
        <v>0</v>
      </c>
      <c r="BJ172" s="135">
        <f t="shared" si="393"/>
        <v>150</v>
      </c>
      <c r="BK172" s="116">
        <f t="shared" si="393"/>
        <v>0</v>
      </c>
      <c r="BL172" s="82">
        <f>SUM(BH172:BK172)</f>
        <v>150</v>
      </c>
      <c r="BM172" s="136">
        <f t="shared" ref="BM172:BP172" si="394">+BM146</f>
        <v>0</v>
      </c>
      <c r="BN172" s="135">
        <f t="shared" si="394"/>
        <v>0</v>
      </c>
      <c r="BO172" s="135">
        <f t="shared" si="394"/>
        <v>150</v>
      </c>
      <c r="BP172" s="116">
        <f t="shared" si="394"/>
        <v>0</v>
      </c>
      <c r="BQ172" s="82">
        <f>SUM(BM172:BP172)</f>
        <v>150</v>
      </c>
      <c r="BR172" s="220"/>
      <c r="BS172" s="220"/>
      <c r="BT172" s="220"/>
      <c r="BU172" s="220"/>
      <c r="BV172" s="220"/>
      <c r="BW172" s="220"/>
      <c r="BX172" s="220"/>
      <c r="BY172" s="220"/>
      <c r="BZ172" s="220"/>
      <c r="CA172" s="220"/>
      <c r="CB172" s="220"/>
      <c r="CC172" s="220"/>
      <c r="CD172" s="220"/>
      <c r="CE172" s="220"/>
      <c r="CF172" s="220"/>
      <c r="CG172" s="220"/>
      <c r="CH172" s="220"/>
      <c r="CI172" s="220"/>
      <c r="CJ172" s="220"/>
      <c r="CK172" s="220"/>
      <c r="CL172" s="117">
        <v>0</v>
      </c>
      <c r="CM172" s="117">
        <v>0</v>
      </c>
      <c r="CN172" s="117">
        <v>0</v>
      </c>
      <c r="CO172" s="82">
        <f>CP172-CN172</f>
        <v>0</v>
      </c>
      <c r="CP172" s="117">
        <v>0</v>
      </c>
      <c r="CQ172" s="117">
        <v>0</v>
      </c>
      <c r="CR172" s="117">
        <v>0</v>
      </c>
      <c r="CS172" s="117">
        <v>0</v>
      </c>
      <c r="CT172" s="82">
        <f>CU172-CS172</f>
        <v>0</v>
      </c>
      <c r="CU172" s="117">
        <v>0</v>
      </c>
      <c r="CV172" s="117">
        <v>0</v>
      </c>
      <c r="CW172" s="117">
        <v>0</v>
      </c>
      <c r="CX172" s="117">
        <v>193.149</v>
      </c>
      <c r="CY172" s="82">
        <f>CZ172-CX172</f>
        <v>-1.2000000000000455E-2</v>
      </c>
      <c r="CZ172" s="117">
        <v>193.137</v>
      </c>
      <c r="DA172" s="117">
        <v>0</v>
      </c>
      <c r="DB172" s="117">
        <v>108.95099999999999</v>
      </c>
      <c r="DC172" s="117">
        <v>108.691</v>
      </c>
      <c r="DD172" s="82">
        <f>DE172-DC172</f>
        <v>-1.300000000000523E-2</v>
      </c>
      <c r="DE172" s="117">
        <v>108.678</v>
      </c>
      <c r="DF172" s="117">
        <v>0</v>
      </c>
      <c r="DG172" s="117">
        <v>0</v>
      </c>
      <c r="DH172" s="117">
        <v>94.808999999999997</v>
      </c>
      <c r="DI172" s="82">
        <f>DJ172-DH172</f>
        <v>-0.18299999999999272</v>
      </c>
      <c r="DJ172" s="117">
        <v>94.626000000000005</v>
      </c>
      <c r="DK172" s="117">
        <v>0</v>
      </c>
      <c r="DL172" s="117">
        <v>148.51</v>
      </c>
      <c r="DM172" s="117">
        <v>148.24100000000001</v>
      </c>
      <c r="DN172" s="82">
        <f>DO172-DM172</f>
        <v>-0.11800000000002342</v>
      </c>
      <c r="DO172" s="117">
        <v>148.12299999999999</v>
      </c>
      <c r="DP172" s="117">
        <v>0</v>
      </c>
      <c r="DQ172" s="117">
        <v>-8.5000000000000006E-2</v>
      </c>
      <c r="DR172" s="117">
        <v>198.78399999999999</v>
      </c>
      <c r="DS172" s="82">
        <f>DT172-DR172</f>
        <v>-0.28799999999998249</v>
      </c>
      <c r="DT172" s="117">
        <v>198.49600000000001</v>
      </c>
      <c r="DU172" s="117">
        <v>0</v>
      </c>
      <c r="DV172" s="117">
        <v>0</v>
      </c>
      <c r="DW172" s="117">
        <v>296.15199999999999</v>
      </c>
      <c r="DX172" s="82">
        <f>DY172-DW172</f>
        <v>-0.16699999999997317</v>
      </c>
      <c r="DY172" s="117">
        <v>295.98500000000001</v>
      </c>
      <c r="DZ172" s="117">
        <v>0</v>
      </c>
      <c r="EA172" s="117">
        <v>0</v>
      </c>
      <c r="EB172" s="117">
        <v>442.65100000000001</v>
      </c>
      <c r="EC172" s="82">
        <f>ED172-EB172</f>
        <v>-0.31299999999998818</v>
      </c>
      <c r="ED172" s="117">
        <v>442.33800000000002</v>
      </c>
    </row>
    <row r="173" spans="1:134" x14ac:dyDescent="0.2">
      <c r="A173" s="220"/>
      <c r="B173" s="220"/>
      <c r="C173" s="70" t="s">
        <v>187</v>
      </c>
      <c r="D173" s="82"/>
      <c r="E173" s="136">
        <f>+CL173</f>
        <v>-100</v>
      </c>
      <c r="F173" s="135">
        <f t="shared" si="374"/>
        <v>-2.7000000000001023E-2</v>
      </c>
      <c r="G173" s="135">
        <f t="shared" si="374"/>
        <v>0</v>
      </c>
      <c r="H173" s="116">
        <f>+CP173-CN173</f>
        <v>-3.0000000000001137E-2</v>
      </c>
      <c r="I173" s="223">
        <f t="shared" si="356"/>
        <v>-100.057</v>
      </c>
      <c r="J173" s="136">
        <f>+CQ173</f>
        <v>-25</v>
      </c>
      <c r="K173" s="135">
        <f t="shared" si="375"/>
        <v>0</v>
      </c>
      <c r="L173" s="135">
        <f t="shared" si="375"/>
        <v>0</v>
      </c>
      <c r="M173" s="116">
        <f>+CU173-CS173</f>
        <v>0</v>
      </c>
      <c r="N173" s="223">
        <f t="shared" si="358"/>
        <v>-25</v>
      </c>
      <c r="O173" s="136">
        <f>+CV173</f>
        <v>0</v>
      </c>
      <c r="P173" s="135">
        <f t="shared" si="376"/>
        <v>0</v>
      </c>
      <c r="Q173" s="135">
        <f t="shared" si="376"/>
        <v>-101.8</v>
      </c>
      <c r="R173" s="116">
        <f>+CZ173-CX173</f>
        <v>0</v>
      </c>
      <c r="S173" s="223">
        <f t="shared" si="377"/>
        <v>-101.8</v>
      </c>
      <c r="T173" s="136">
        <f>+DA173</f>
        <v>0</v>
      </c>
      <c r="U173" s="135">
        <f t="shared" si="378"/>
        <v>0</v>
      </c>
      <c r="V173" s="135">
        <f t="shared" si="378"/>
        <v>0</v>
      </c>
      <c r="W173" s="116">
        <f>+DE173-DC173</f>
        <v>0</v>
      </c>
      <c r="X173" s="223">
        <f t="shared" si="379"/>
        <v>0</v>
      </c>
      <c r="Y173" s="136">
        <f>+DF173</f>
        <v>0</v>
      </c>
      <c r="Z173" s="135">
        <f t="shared" si="380"/>
        <v>0</v>
      </c>
      <c r="AA173" s="135">
        <f t="shared" si="380"/>
        <v>0</v>
      </c>
      <c r="AB173" s="116">
        <f>+DJ173-DH173</f>
        <v>0</v>
      </c>
      <c r="AC173" s="223">
        <f t="shared" si="381"/>
        <v>0</v>
      </c>
      <c r="AD173" s="136">
        <f>+DK173</f>
        <v>0</v>
      </c>
      <c r="AE173" s="135">
        <f t="shared" si="382"/>
        <v>0</v>
      </c>
      <c r="AF173" s="135">
        <f t="shared" si="382"/>
        <v>0</v>
      </c>
      <c r="AG173" s="116">
        <f>+DO173-DM173</f>
        <v>0</v>
      </c>
      <c r="AH173" s="223">
        <f t="shared" si="383"/>
        <v>0</v>
      </c>
      <c r="AI173" s="136">
        <f>+DP173</f>
        <v>0</v>
      </c>
      <c r="AJ173" s="135">
        <f t="shared" si="384"/>
        <v>0</v>
      </c>
      <c r="AK173" s="135">
        <f t="shared" si="384"/>
        <v>0</v>
      </c>
      <c r="AL173" s="116">
        <f>+DT173-DR173</f>
        <v>0</v>
      </c>
      <c r="AM173" s="223">
        <f t="shared" si="385"/>
        <v>0</v>
      </c>
      <c r="AN173" s="136">
        <f>+DU173</f>
        <v>0</v>
      </c>
      <c r="AO173" s="135">
        <f t="shared" si="386"/>
        <v>0</v>
      </c>
      <c r="AP173" s="135">
        <f t="shared" si="386"/>
        <v>0</v>
      </c>
      <c r="AQ173" s="116">
        <f>+DY173-DW173</f>
        <v>-200</v>
      </c>
      <c r="AR173" s="223">
        <f t="shared" si="387"/>
        <v>-200</v>
      </c>
      <c r="AS173" s="136">
        <f>+DZ173</f>
        <v>-1.7999999999999999E-2</v>
      </c>
      <c r="AT173" s="135">
        <f t="shared" si="388"/>
        <v>0</v>
      </c>
      <c r="AU173" s="135">
        <f t="shared" si="389"/>
        <v>-271.59500000000003</v>
      </c>
      <c r="AV173" s="116">
        <f>+ED173-EB173</f>
        <v>0</v>
      </c>
      <c r="AW173" s="223">
        <f t="shared" si="390"/>
        <v>-271.613</v>
      </c>
      <c r="AX173" s="136">
        <f t="shared" si="391"/>
        <v>0</v>
      </c>
      <c r="AY173" s="135">
        <f t="shared" si="391"/>
        <v>0</v>
      </c>
      <c r="AZ173" s="135">
        <f t="shared" si="391"/>
        <v>0</v>
      </c>
      <c r="BA173" s="116">
        <f t="shared" si="391"/>
        <v>0</v>
      </c>
      <c r="BB173" s="82">
        <f>SUM(AX173:BA173)</f>
        <v>0</v>
      </c>
      <c r="BC173" s="136">
        <f t="shared" si="392"/>
        <v>0</v>
      </c>
      <c r="BD173" s="135">
        <f t="shared" si="392"/>
        <v>0</v>
      </c>
      <c r="BE173" s="135">
        <f t="shared" si="392"/>
        <v>0</v>
      </c>
      <c r="BF173" s="116">
        <f t="shared" si="392"/>
        <v>0</v>
      </c>
      <c r="BG173" s="82">
        <f>SUM(BC173:BF173)</f>
        <v>0</v>
      </c>
      <c r="BH173" s="136">
        <f t="shared" si="393"/>
        <v>0</v>
      </c>
      <c r="BI173" s="135">
        <f t="shared" si="393"/>
        <v>0</v>
      </c>
      <c r="BJ173" s="135">
        <f t="shared" si="393"/>
        <v>0</v>
      </c>
      <c r="BK173" s="116">
        <f t="shared" si="393"/>
        <v>0</v>
      </c>
      <c r="BL173" s="82">
        <f>SUM(BH173:BK173)</f>
        <v>0</v>
      </c>
      <c r="BM173" s="136">
        <f t="shared" ref="BM173:BP173" si="395">+BM147</f>
        <v>0</v>
      </c>
      <c r="BN173" s="135">
        <f t="shared" si="395"/>
        <v>0</v>
      </c>
      <c r="BO173" s="135">
        <f t="shared" si="395"/>
        <v>0</v>
      </c>
      <c r="BP173" s="116">
        <f t="shared" si="395"/>
        <v>0</v>
      </c>
      <c r="BQ173" s="82">
        <f>SUM(BM173:BP173)</f>
        <v>0</v>
      </c>
      <c r="BR173" s="220"/>
      <c r="BS173" s="220"/>
      <c r="BT173" s="220"/>
      <c r="BU173" s="220"/>
      <c r="BV173" s="220"/>
      <c r="BW173" s="220"/>
      <c r="BX173" s="220"/>
      <c r="BY173" s="220"/>
      <c r="BZ173" s="220"/>
      <c r="CA173" s="220"/>
      <c r="CB173" s="220"/>
      <c r="CC173" s="220"/>
      <c r="CD173" s="220"/>
      <c r="CE173" s="220"/>
      <c r="CF173" s="220"/>
      <c r="CG173" s="220"/>
      <c r="CH173" s="220"/>
      <c r="CI173" s="220"/>
      <c r="CJ173" s="220"/>
      <c r="CK173" s="220"/>
      <c r="CL173" s="117">
        <v>-100</v>
      </c>
      <c r="CM173" s="117">
        <v>-100.027</v>
      </c>
      <c r="CN173" s="117">
        <v>-100.027</v>
      </c>
      <c r="CO173" s="82">
        <f>CP173-CN173</f>
        <v>-3.0000000000001137E-2</v>
      </c>
      <c r="CP173" s="117">
        <v>-100.057</v>
      </c>
      <c r="CQ173" s="117">
        <v>-25</v>
      </c>
      <c r="CR173" s="117">
        <v>-25</v>
      </c>
      <c r="CS173" s="117">
        <v>-25</v>
      </c>
      <c r="CT173" s="82">
        <f>CU173-CS173</f>
        <v>0</v>
      </c>
      <c r="CU173" s="117">
        <v>-25</v>
      </c>
      <c r="CV173" s="117">
        <v>0</v>
      </c>
      <c r="CW173" s="117">
        <v>0</v>
      </c>
      <c r="CX173" s="117">
        <v>-101.8</v>
      </c>
      <c r="CY173" s="82">
        <f>CZ173-CX173</f>
        <v>0</v>
      </c>
      <c r="CZ173" s="117">
        <v>-101.8</v>
      </c>
      <c r="DA173" s="117">
        <v>0</v>
      </c>
      <c r="DB173" s="117">
        <v>0</v>
      </c>
      <c r="DC173" s="117">
        <v>0</v>
      </c>
      <c r="DD173" s="82">
        <f>DE173-DC173</f>
        <v>0</v>
      </c>
      <c r="DE173" s="117">
        <v>0</v>
      </c>
      <c r="DF173" s="117">
        <v>0</v>
      </c>
      <c r="DG173" s="117">
        <v>0</v>
      </c>
      <c r="DH173" s="117">
        <v>0</v>
      </c>
      <c r="DI173" s="82">
        <f>DJ173-DH173</f>
        <v>0</v>
      </c>
      <c r="DJ173" s="117">
        <v>0</v>
      </c>
      <c r="DK173" s="117">
        <v>0</v>
      </c>
      <c r="DL173" s="117">
        <v>0</v>
      </c>
      <c r="DM173" s="117">
        <v>0</v>
      </c>
      <c r="DN173" s="82">
        <f>DO173-DM173</f>
        <v>0</v>
      </c>
      <c r="DO173" s="117">
        <v>0</v>
      </c>
      <c r="DP173" s="117">
        <v>0</v>
      </c>
      <c r="DQ173" s="117">
        <v>0</v>
      </c>
      <c r="DR173" s="117">
        <v>0</v>
      </c>
      <c r="DS173" s="82">
        <f>DT173-DR173</f>
        <v>0</v>
      </c>
      <c r="DT173" s="117">
        <v>0</v>
      </c>
      <c r="DU173" s="117">
        <v>0</v>
      </c>
      <c r="DV173" s="117">
        <v>0</v>
      </c>
      <c r="DW173" s="117">
        <v>0</v>
      </c>
      <c r="DX173" s="82">
        <f>DY173-DW173</f>
        <v>-200</v>
      </c>
      <c r="DY173" s="117">
        <v>-200</v>
      </c>
      <c r="DZ173" s="117">
        <v>-1.7999999999999999E-2</v>
      </c>
      <c r="EA173" s="117">
        <v>-1.7999999999999999E-2</v>
      </c>
      <c r="EB173" s="117">
        <v>-271.613</v>
      </c>
      <c r="EC173" s="82">
        <f>ED173-EB173</f>
        <v>0</v>
      </c>
      <c r="ED173" s="117">
        <v>-271.613</v>
      </c>
    </row>
    <row r="174" spans="1:134" x14ac:dyDescent="0.2">
      <c r="A174" s="220"/>
      <c r="B174" s="220"/>
      <c r="C174" s="70" t="s">
        <v>188</v>
      </c>
      <c r="D174" s="82"/>
      <c r="E174" s="136">
        <f>+CL174</f>
        <v>0</v>
      </c>
      <c r="F174" s="135">
        <f t="shared" si="374"/>
        <v>0</v>
      </c>
      <c r="G174" s="135">
        <f t="shared" si="374"/>
        <v>0</v>
      </c>
      <c r="H174" s="116">
        <f>+CP174-CN174</f>
        <v>0</v>
      </c>
      <c r="I174" s="223">
        <f t="shared" si="356"/>
        <v>0</v>
      </c>
      <c r="J174" s="136">
        <f>+CQ174</f>
        <v>0</v>
      </c>
      <c r="K174" s="135">
        <f t="shared" si="375"/>
        <v>24</v>
      </c>
      <c r="L174" s="135">
        <f t="shared" si="375"/>
        <v>-24</v>
      </c>
      <c r="M174" s="116">
        <f>+CU174-CS174</f>
        <v>49</v>
      </c>
      <c r="N174" s="223">
        <f t="shared" si="358"/>
        <v>49</v>
      </c>
      <c r="O174" s="136">
        <f>+CV174</f>
        <v>26</v>
      </c>
      <c r="P174" s="135">
        <f t="shared" si="376"/>
        <v>56</v>
      </c>
      <c r="Q174" s="135">
        <f t="shared" si="376"/>
        <v>-131</v>
      </c>
      <c r="R174" s="116">
        <f>+CZ174-CX174</f>
        <v>5</v>
      </c>
      <c r="S174" s="223">
        <f t="shared" si="377"/>
        <v>-44</v>
      </c>
      <c r="T174" s="136">
        <f>+DA174</f>
        <v>52</v>
      </c>
      <c r="U174" s="135">
        <f t="shared" si="378"/>
        <v>-52</v>
      </c>
      <c r="V174" s="135">
        <f t="shared" si="378"/>
        <v>0</v>
      </c>
      <c r="W174" s="116">
        <f>+DE174-DC174</f>
        <v>4</v>
      </c>
      <c r="X174" s="223">
        <f t="shared" si="379"/>
        <v>4</v>
      </c>
      <c r="Y174" s="136">
        <f>+DF174</f>
        <v>27</v>
      </c>
      <c r="Z174" s="135">
        <f t="shared" si="380"/>
        <v>13</v>
      </c>
      <c r="AA174" s="135">
        <f t="shared" si="380"/>
        <v>-49</v>
      </c>
      <c r="AB174" s="116">
        <f>+DJ174-DH174</f>
        <v>122</v>
      </c>
      <c r="AC174" s="223">
        <f t="shared" si="381"/>
        <v>113</v>
      </c>
      <c r="AD174" s="136">
        <f>+DK174</f>
        <v>47</v>
      </c>
      <c r="AE174" s="135">
        <f t="shared" si="382"/>
        <v>-32</v>
      </c>
      <c r="AF174" s="135">
        <f t="shared" si="382"/>
        <v>-99</v>
      </c>
      <c r="AG174" s="116">
        <f>+DO174-DM174</f>
        <v>15</v>
      </c>
      <c r="AH174" s="223">
        <f t="shared" si="383"/>
        <v>-69</v>
      </c>
      <c r="AI174" s="136">
        <f>+DP174</f>
        <v>70</v>
      </c>
      <c r="AJ174" s="135">
        <f t="shared" si="384"/>
        <v>102</v>
      </c>
      <c r="AK174" s="135">
        <f t="shared" si="384"/>
        <v>-209</v>
      </c>
      <c r="AL174" s="116">
        <f>+DT174-DR174</f>
        <v>-1</v>
      </c>
      <c r="AM174" s="223">
        <f t="shared" si="385"/>
        <v>-38</v>
      </c>
      <c r="AN174" s="136">
        <f>+DU174</f>
        <v>65</v>
      </c>
      <c r="AO174" s="135">
        <f t="shared" si="386"/>
        <v>45</v>
      </c>
      <c r="AP174" s="135">
        <f t="shared" si="386"/>
        <v>-125</v>
      </c>
      <c r="AQ174" s="116">
        <f>+DY174-DW174</f>
        <v>50</v>
      </c>
      <c r="AR174" s="223">
        <f t="shared" si="387"/>
        <v>35</v>
      </c>
      <c r="AS174" s="136">
        <f>+DZ174</f>
        <v>61</v>
      </c>
      <c r="AT174" s="135">
        <f t="shared" si="388"/>
        <v>56</v>
      </c>
      <c r="AU174" s="135">
        <f t="shared" si="389"/>
        <v>-167</v>
      </c>
      <c r="AV174" s="116">
        <f>+ED174-EB174</f>
        <v>0</v>
      </c>
      <c r="AW174" s="223">
        <f t="shared" si="390"/>
        <v>-50</v>
      </c>
      <c r="AX174" s="148">
        <v>0</v>
      </c>
      <c r="AY174" s="221">
        <v>0</v>
      </c>
      <c r="AZ174" s="221">
        <v>0</v>
      </c>
      <c r="BA174" s="150">
        <v>0</v>
      </c>
      <c r="BB174" s="82">
        <f>SUM(AX174:BA174)</f>
        <v>0</v>
      </c>
      <c r="BC174" s="148">
        <v>0</v>
      </c>
      <c r="BD174" s="221">
        <v>0</v>
      </c>
      <c r="BE174" s="221">
        <v>0</v>
      </c>
      <c r="BF174" s="150">
        <v>0</v>
      </c>
      <c r="BG174" s="82">
        <f>SUM(BC174:BF174)</f>
        <v>0</v>
      </c>
      <c r="BH174" s="148">
        <v>0</v>
      </c>
      <c r="BI174" s="221">
        <v>0</v>
      </c>
      <c r="BJ174" s="221">
        <v>0</v>
      </c>
      <c r="BK174" s="150">
        <v>0</v>
      </c>
      <c r="BL174" s="82">
        <f>SUM(BH174:BK174)</f>
        <v>0</v>
      </c>
      <c r="BM174" s="148">
        <v>0</v>
      </c>
      <c r="BN174" s="221">
        <v>0</v>
      </c>
      <c r="BO174" s="221">
        <v>0</v>
      </c>
      <c r="BP174" s="150">
        <v>0</v>
      </c>
      <c r="BQ174" s="82">
        <f>SUM(BM174:BP174)</f>
        <v>0</v>
      </c>
      <c r="BR174" s="220"/>
      <c r="BS174" s="220"/>
      <c r="BT174" s="220"/>
      <c r="BU174" s="220"/>
      <c r="BV174" s="220"/>
      <c r="BW174" s="220"/>
      <c r="BX174" s="220"/>
      <c r="BY174" s="220"/>
      <c r="BZ174" s="220"/>
      <c r="CA174" s="220"/>
      <c r="CB174" s="220"/>
      <c r="CC174" s="220"/>
      <c r="CD174" s="220"/>
      <c r="CE174" s="220"/>
      <c r="CF174" s="220"/>
      <c r="CG174" s="220"/>
      <c r="CH174" s="220"/>
      <c r="CI174" s="220"/>
      <c r="CJ174" s="220"/>
      <c r="CK174" s="220"/>
      <c r="CL174" s="313">
        <v>0</v>
      </c>
      <c r="CM174" s="313">
        <v>0</v>
      </c>
      <c r="CN174" s="313">
        <v>0</v>
      </c>
      <c r="CO174" s="82">
        <f>CP174-CN174</f>
        <v>0</v>
      </c>
      <c r="CP174" s="313">
        <v>0</v>
      </c>
      <c r="CQ174" s="313">
        <v>0</v>
      </c>
      <c r="CR174" s="313">
        <v>24</v>
      </c>
      <c r="CS174" s="313">
        <v>0</v>
      </c>
      <c r="CT174" s="82">
        <f>CU174-CS174</f>
        <v>49</v>
      </c>
      <c r="CU174" s="313">
        <v>49</v>
      </c>
      <c r="CV174" s="313">
        <v>26</v>
      </c>
      <c r="CW174" s="313">
        <v>82</v>
      </c>
      <c r="CX174" s="117">
        <f>-49</f>
        <v>-49</v>
      </c>
      <c r="CY174" s="82">
        <f>CZ174-CX174</f>
        <v>5</v>
      </c>
      <c r="CZ174" s="313">
        <f>-49+293.5-288.5</f>
        <v>-44</v>
      </c>
      <c r="DA174" s="313">
        <f>26+165-139</f>
        <v>52</v>
      </c>
      <c r="DB174" s="313">
        <v>0</v>
      </c>
      <c r="DC174" s="117">
        <v>0</v>
      </c>
      <c r="DD174" s="82">
        <f>DE174-DC174</f>
        <v>4</v>
      </c>
      <c r="DE174" s="313">
        <f>9+265-270</f>
        <v>4</v>
      </c>
      <c r="DF174" s="313">
        <f>7+49-29</f>
        <v>27</v>
      </c>
      <c r="DG174" s="313">
        <v>40</v>
      </c>
      <c r="DH174" s="117">
        <v>-9</v>
      </c>
      <c r="DI174" s="82">
        <f>DJ174-DH174</f>
        <v>122</v>
      </c>
      <c r="DJ174" s="313">
        <f>75+767-729</f>
        <v>113</v>
      </c>
      <c r="DK174" s="313">
        <f>-15+231-169</f>
        <v>47</v>
      </c>
      <c r="DL174" s="313">
        <v>15</v>
      </c>
      <c r="DM174" s="117">
        <v>-84</v>
      </c>
      <c r="DN174" s="82">
        <f>DO174-DM174</f>
        <v>15</v>
      </c>
      <c r="DO174" s="313">
        <f>-47+458-480</f>
        <v>-69</v>
      </c>
      <c r="DP174" s="313">
        <f>86+41-57</f>
        <v>70</v>
      </c>
      <c r="DQ174" s="313">
        <v>172</v>
      </c>
      <c r="DR174" s="117">
        <v>-37</v>
      </c>
      <c r="DS174" s="82">
        <f>DT174-DR174</f>
        <v>-1</v>
      </c>
      <c r="DT174" s="313">
        <f>-22+579.7-595.7</f>
        <v>-38</v>
      </c>
      <c r="DU174" s="313">
        <f>65+168-168</f>
        <v>65</v>
      </c>
      <c r="DV174" s="313">
        <f>10+391-291</f>
        <v>110</v>
      </c>
      <c r="DW174" s="313">
        <f>-15+505-505</f>
        <v>-15</v>
      </c>
      <c r="DX174" s="82">
        <f>DY174-DW174</f>
        <v>50</v>
      </c>
      <c r="DY174" s="313">
        <f>35+636.5-636.5</f>
        <v>35</v>
      </c>
      <c r="DZ174" s="313">
        <f>61+93-93</f>
        <v>61</v>
      </c>
      <c r="EA174" s="313">
        <f>56+572-511</f>
        <v>117</v>
      </c>
      <c r="EB174" s="313">
        <f>-50+323-323</f>
        <v>-50</v>
      </c>
      <c r="EC174" s="82">
        <f>ED174-EB174</f>
        <v>0</v>
      </c>
      <c r="ED174" s="313">
        <f>-50+335-335</f>
        <v>-50</v>
      </c>
    </row>
    <row r="175" spans="1:134" x14ac:dyDescent="0.2">
      <c r="A175" s="220"/>
      <c r="B175" s="220"/>
      <c r="C175" s="70" t="s">
        <v>298</v>
      </c>
      <c r="D175" s="82"/>
      <c r="E175" s="136">
        <f>+CL175</f>
        <v>-15.585000000000001</v>
      </c>
      <c r="F175" s="135">
        <f t="shared" si="374"/>
        <v>-4.3300000000000018</v>
      </c>
      <c r="G175" s="135">
        <f t="shared" si="374"/>
        <v>-16.854000000000003</v>
      </c>
      <c r="H175" s="116">
        <f>+CP175-CN175</f>
        <v>-13.832999999999998</v>
      </c>
      <c r="I175" s="223">
        <f t="shared" si="356"/>
        <v>-50.602000000000004</v>
      </c>
      <c r="J175" s="136">
        <f>+CQ175</f>
        <v>-17.239999999999998</v>
      </c>
      <c r="K175" s="135">
        <f t="shared" si="375"/>
        <v>-8.0940000000000047</v>
      </c>
      <c r="L175" s="135">
        <f t="shared" si="375"/>
        <v>-16.673999999999999</v>
      </c>
      <c r="M175" s="116">
        <f>+CU175-CS175</f>
        <v>-24.509999999999998</v>
      </c>
      <c r="N175" s="223">
        <f t="shared" si="358"/>
        <v>-66.518000000000001</v>
      </c>
      <c r="O175" s="136">
        <f>+CV175</f>
        <v>33.641999999999996</v>
      </c>
      <c r="P175" s="135">
        <f t="shared" si="376"/>
        <v>-15.86</v>
      </c>
      <c r="Q175" s="135">
        <f t="shared" si="376"/>
        <v>7.8170000000000073</v>
      </c>
      <c r="R175" s="116">
        <f>+CZ175-CX175</f>
        <v>-0.36899999999999977</v>
      </c>
      <c r="S175" s="223">
        <f t="shared" si="377"/>
        <v>25.230000000000004</v>
      </c>
      <c r="T175" s="136">
        <f>+DA175</f>
        <v>-16.913</v>
      </c>
      <c r="U175" s="135">
        <f t="shared" si="378"/>
        <v>-12.965</v>
      </c>
      <c r="V175" s="135">
        <f t="shared" si="378"/>
        <v>-16.399999999999999</v>
      </c>
      <c r="W175" s="116">
        <f>+DE175-DC175</f>
        <v>39.693000000000005</v>
      </c>
      <c r="X175" s="223">
        <f t="shared" si="379"/>
        <v>-6.5849999999999937</v>
      </c>
      <c r="Y175" s="136">
        <f>+DF175</f>
        <v>48.227000000000004</v>
      </c>
      <c r="Z175" s="135">
        <f t="shared" si="380"/>
        <v>42.887</v>
      </c>
      <c r="AA175" s="135">
        <f t="shared" si="380"/>
        <v>-17.539999999999992</v>
      </c>
      <c r="AB175" s="116">
        <f>+DJ175-DH175</f>
        <v>19.123999999999981</v>
      </c>
      <c r="AC175" s="223">
        <f t="shared" si="381"/>
        <v>92.697999999999993</v>
      </c>
      <c r="AD175" s="136">
        <f>+DK175</f>
        <v>21.917999999999999</v>
      </c>
      <c r="AE175" s="135">
        <f t="shared" si="382"/>
        <v>41.817999999999998</v>
      </c>
      <c r="AF175" s="135">
        <f t="shared" si="382"/>
        <v>35.631999999999998</v>
      </c>
      <c r="AG175" s="116">
        <f>+DO175-DM175</f>
        <v>-22.866</v>
      </c>
      <c r="AH175" s="223">
        <f t="shared" si="383"/>
        <v>76.501999999999995</v>
      </c>
      <c r="AI175" s="136">
        <f>+DP175</f>
        <v>-27.827999999999999</v>
      </c>
      <c r="AJ175" s="135">
        <f t="shared" si="384"/>
        <v>9.1959999999999944</v>
      </c>
      <c r="AK175" s="135">
        <f t="shared" si="384"/>
        <v>-23.024999999999991</v>
      </c>
      <c r="AL175" s="116">
        <f>+DT175-DR175</f>
        <v>155.648</v>
      </c>
      <c r="AM175" s="223">
        <f t="shared" si="385"/>
        <v>113.991</v>
      </c>
      <c r="AN175" s="136">
        <f>+DU175</f>
        <v>3.6870000000000012</v>
      </c>
      <c r="AO175" s="135">
        <f t="shared" si="386"/>
        <v>-25.644000000000002</v>
      </c>
      <c r="AP175" s="135">
        <f t="shared" si="386"/>
        <v>-19.387999999999998</v>
      </c>
      <c r="AQ175" s="116">
        <f>+DY175-DW175</f>
        <v>22.500999999999991</v>
      </c>
      <c r="AR175" s="223">
        <f t="shared" si="387"/>
        <v>-18.844000000000008</v>
      </c>
      <c r="AS175" s="136">
        <f>+DZ175</f>
        <v>14.129999999999999</v>
      </c>
      <c r="AT175" s="135">
        <f t="shared" si="388"/>
        <v>-26.715</v>
      </c>
      <c r="AU175" s="135">
        <f t="shared" si="389"/>
        <v>-25.014000000000003</v>
      </c>
      <c r="AV175" s="116">
        <f>+ED175-EB175</f>
        <v>72.492999999999995</v>
      </c>
      <c r="AW175" s="223">
        <f t="shared" si="390"/>
        <v>34.893999999999991</v>
      </c>
      <c r="AX175" s="136">
        <f>+BB175/4</f>
        <v>37.5</v>
      </c>
      <c r="AY175" s="135">
        <f>(BB175-SUM(AX175:AX175))/3</f>
        <v>37.5</v>
      </c>
      <c r="AZ175" s="135">
        <f>(BB175-SUM(AX175:AY175))/2</f>
        <v>37.5</v>
      </c>
      <c r="BA175" s="116">
        <f>(BB175-SUM(AX175:AZ175))/1</f>
        <v>37.5</v>
      </c>
      <c r="BB175" s="853">
        <v>150</v>
      </c>
      <c r="BC175" s="136">
        <f>+BG175/4</f>
        <v>37.5</v>
      </c>
      <c r="BD175" s="135">
        <f>(BG175-SUM(BC175:BC175))/3</f>
        <v>37.5</v>
      </c>
      <c r="BE175" s="135">
        <f>(BG175-SUM(BC175:BD175))/2</f>
        <v>37.5</v>
      </c>
      <c r="BF175" s="116">
        <f>(BG175-SUM(BC175:BE175))/1</f>
        <v>37.5</v>
      </c>
      <c r="BG175" s="853">
        <v>150</v>
      </c>
      <c r="BH175" s="136">
        <f>+BL175/4</f>
        <v>-18.75</v>
      </c>
      <c r="BI175" s="135">
        <f>(BL175-SUM(BH175:BH175))/3</f>
        <v>-18.75</v>
      </c>
      <c r="BJ175" s="135">
        <f>(BL175-SUM(BH175:BI175))/2</f>
        <v>-18.75</v>
      </c>
      <c r="BK175" s="116">
        <f>(BL175-SUM(BH175:BJ175))/1</f>
        <v>-18.75</v>
      </c>
      <c r="BL175" s="853">
        <v>-75</v>
      </c>
      <c r="BM175" s="136">
        <f>+BQ175/4</f>
        <v>-50</v>
      </c>
      <c r="BN175" s="135">
        <f>(BQ175-SUM(BM175:BM175))/3</f>
        <v>-50</v>
      </c>
      <c r="BO175" s="135">
        <f>(BQ175-SUM(BM175:BN175))/2</f>
        <v>-50</v>
      </c>
      <c r="BP175" s="116">
        <f>(BQ175-SUM(BM175:BO175))/1</f>
        <v>-50</v>
      </c>
      <c r="BQ175" s="853">
        <v>-200</v>
      </c>
      <c r="BR175" s="220"/>
      <c r="BS175" s="220"/>
      <c r="BT175" s="220"/>
      <c r="BU175" s="220"/>
      <c r="BV175" s="220"/>
      <c r="BW175" s="220"/>
      <c r="BX175" s="220"/>
      <c r="BY175" s="220"/>
      <c r="BZ175" s="220"/>
      <c r="CA175" s="220"/>
      <c r="CB175" s="220"/>
      <c r="CC175" s="220"/>
      <c r="CD175" s="220"/>
      <c r="CE175" s="220"/>
      <c r="CF175" s="220"/>
      <c r="CG175" s="220"/>
      <c r="CH175" s="220"/>
      <c r="CI175" s="220"/>
      <c r="CJ175" s="220"/>
      <c r="CK175" s="220"/>
      <c r="CL175" s="313">
        <v>-15.585000000000001</v>
      </c>
      <c r="CM175" s="313">
        <f>-32.959+13.044</f>
        <v>-19.915000000000003</v>
      </c>
      <c r="CN175" s="313">
        <f>-49.813+13.044</f>
        <v>-36.769000000000005</v>
      </c>
      <c r="CO175" s="82">
        <f>CP175-CN175</f>
        <v>-13.832999999999998</v>
      </c>
      <c r="CP175" s="313">
        <f>-66.845+16.243</f>
        <v>-50.602000000000004</v>
      </c>
      <c r="CQ175" s="313">
        <v>-17.239999999999998</v>
      </c>
      <c r="CR175" s="313">
        <f>-34.136+8.802</f>
        <v>-25.334000000000003</v>
      </c>
      <c r="CS175" s="313">
        <f>-50.81+8.802</f>
        <v>-42.008000000000003</v>
      </c>
      <c r="CT175" s="82">
        <f>CU175-CS175</f>
        <v>-24.509999999999998</v>
      </c>
      <c r="CU175" s="313">
        <f>-67.101+0.583</f>
        <v>-66.518000000000001</v>
      </c>
      <c r="CV175" s="313">
        <f>-16.358+50</f>
        <v>33.641999999999996</v>
      </c>
      <c r="CW175" s="313">
        <f>-32.218+50</f>
        <v>17.781999999999996</v>
      </c>
      <c r="CX175" s="117">
        <f>-64.401+90</f>
        <v>25.599000000000004</v>
      </c>
      <c r="CY175" s="82">
        <f>CZ175-CX175</f>
        <v>-0.36899999999999977</v>
      </c>
      <c r="CZ175" s="313">
        <f>89.631-64.401</f>
        <v>25.230000000000004</v>
      </c>
      <c r="DA175" s="313">
        <v>-16.913</v>
      </c>
      <c r="DB175" s="313">
        <f>3.811-33.689</f>
        <v>-29.878</v>
      </c>
      <c r="DC175" s="117">
        <f>3.811-50.089</f>
        <v>-46.277999999999999</v>
      </c>
      <c r="DD175" s="82">
        <f>DE175-DC175</f>
        <v>39.693000000000005</v>
      </c>
      <c r="DE175" s="313">
        <f>60.024-66.609</f>
        <v>-6.5849999999999937</v>
      </c>
      <c r="DF175" s="313">
        <f>65-16.773</f>
        <v>48.227000000000004</v>
      </c>
      <c r="DG175" s="313">
        <f>125-33.886</f>
        <v>91.114000000000004</v>
      </c>
      <c r="DH175" s="117">
        <f>124.935-51.361</f>
        <v>73.574000000000012</v>
      </c>
      <c r="DI175" s="82">
        <f>DJ175-DH175</f>
        <v>19.123999999999981</v>
      </c>
      <c r="DJ175" s="313">
        <f>162.277-69.579</f>
        <v>92.697999999999993</v>
      </c>
      <c r="DK175" s="313">
        <f>40-18.082</f>
        <v>21.917999999999999</v>
      </c>
      <c r="DL175" s="313">
        <f>100-36.264</f>
        <v>63.735999999999997</v>
      </c>
      <c r="DM175" s="117">
        <f>160-60.632</f>
        <v>99.367999999999995</v>
      </c>
      <c r="DN175" s="82">
        <f>DO175-DM175</f>
        <v>-22.866</v>
      </c>
      <c r="DO175" s="313">
        <f>160-83.498</f>
        <v>76.501999999999995</v>
      </c>
      <c r="DP175" s="313">
        <v>-27.827999999999999</v>
      </c>
      <c r="DQ175" s="313">
        <f>34.535-53.167</f>
        <v>-18.632000000000005</v>
      </c>
      <c r="DR175" s="117">
        <f>34.535-76.192</f>
        <v>-41.656999999999996</v>
      </c>
      <c r="DS175" s="82">
        <f>DT175-DR175</f>
        <v>155.648</v>
      </c>
      <c r="DT175" s="313">
        <f>214.535-100.544</f>
        <v>113.991</v>
      </c>
      <c r="DU175" s="313">
        <f>16.225-12.538</f>
        <v>3.6870000000000012</v>
      </c>
      <c r="DV175" s="313">
        <f>16.225-38.182</f>
        <v>-21.957000000000001</v>
      </c>
      <c r="DW175" s="313">
        <f>16.225+-57.57</f>
        <v>-41.344999999999999</v>
      </c>
      <c r="DX175" s="82">
        <f>DY175-DW175</f>
        <v>22.500999999999991</v>
      </c>
      <c r="DY175" s="313">
        <f>66.225-85.069</f>
        <v>-18.844000000000008</v>
      </c>
      <c r="DZ175" s="313">
        <f>45-30.87</f>
        <v>14.129999999999999</v>
      </c>
      <c r="EA175" s="313">
        <f>45-57.585</f>
        <v>-12.585000000000001</v>
      </c>
      <c r="EB175" s="313">
        <f>45-82.599</f>
        <v>-37.599000000000004</v>
      </c>
      <c r="EC175" s="82">
        <f>ED175-EB175</f>
        <v>72.492999999999995</v>
      </c>
      <c r="ED175" s="313">
        <f>143.659-108.765</f>
        <v>34.893999999999991</v>
      </c>
    </row>
    <row r="176" spans="1:134" x14ac:dyDescent="0.2">
      <c r="A176" s="220"/>
      <c r="B176" s="220"/>
      <c r="C176" s="70" t="s">
        <v>97</v>
      </c>
      <c r="D176" s="82"/>
      <c r="E176" s="136">
        <f>+CL176</f>
        <v>0</v>
      </c>
      <c r="F176" s="135">
        <f t="shared" si="374"/>
        <v>0</v>
      </c>
      <c r="G176" s="135">
        <f t="shared" si="374"/>
        <v>0</v>
      </c>
      <c r="H176" s="116">
        <f>+CP176-CN176</f>
        <v>0</v>
      </c>
      <c r="I176" s="223">
        <f t="shared" si="356"/>
        <v>0</v>
      </c>
      <c r="J176" s="136">
        <f>+CQ176</f>
        <v>0</v>
      </c>
      <c r="K176" s="135">
        <f t="shared" si="375"/>
        <v>19</v>
      </c>
      <c r="L176" s="135">
        <f t="shared" si="375"/>
        <v>42</v>
      </c>
      <c r="M176" s="116">
        <f>+CU176-CS176</f>
        <v>-61</v>
      </c>
      <c r="N176" s="223">
        <f t="shared" si="358"/>
        <v>0</v>
      </c>
      <c r="O176" s="136">
        <f>+CV176</f>
        <v>0</v>
      </c>
      <c r="P176" s="135">
        <f t="shared" si="376"/>
        <v>0</v>
      </c>
      <c r="Q176" s="135">
        <f t="shared" si="376"/>
        <v>0</v>
      </c>
      <c r="R176" s="116">
        <f>+CZ176-CX176</f>
        <v>0</v>
      </c>
      <c r="S176" s="223">
        <f t="shared" si="377"/>
        <v>0</v>
      </c>
      <c r="T176" s="136">
        <f>+DA176</f>
        <v>0</v>
      </c>
      <c r="U176" s="135">
        <f t="shared" si="378"/>
        <v>-5</v>
      </c>
      <c r="V176" s="135">
        <f t="shared" si="378"/>
        <v>0</v>
      </c>
      <c r="W176" s="116">
        <f>+DE176-DC176</f>
        <v>5</v>
      </c>
      <c r="X176" s="223">
        <f t="shared" si="379"/>
        <v>0</v>
      </c>
      <c r="Y176" s="136">
        <f>+DF176</f>
        <v>0</v>
      </c>
      <c r="Z176" s="135">
        <f t="shared" si="380"/>
        <v>66</v>
      </c>
      <c r="AA176" s="135">
        <f t="shared" si="380"/>
        <v>14</v>
      </c>
      <c r="AB176" s="116">
        <f>+DJ176-DH176</f>
        <v>-80</v>
      </c>
      <c r="AC176" s="223">
        <f t="shared" si="381"/>
        <v>0</v>
      </c>
      <c r="AD176" s="136">
        <f>+DK176</f>
        <v>0</v>
      </c>
      <c r="AE176" s="135">
        <f t="shared" si="382"/>
        <v>-38</v>
      </c>
      <c r="AF176" s="135">
        <f t="shared" si="382"/>
        <v>0</v>
      </c>
      <c r="AG176" s="116">
        <f>+DO176-DM176</f>
        <v>38</v>
      </c>
      <c r="AH176" s="223">
        <f t="shared" si="383"/>
        <v>0</v>
      </c>
      <c r="AI176" s="136">
        <f>+DP176</f>
        <v>0</v>
      </c>
      <c r="AJ176" s="135">
        <f t="shared" si="384"/>
        <v>-16</v>
      </c>
      <c r="AK176" s="135">
        <f t="shared" si="384"/>
        <v>18</v>
      </c>
      <c r="AL176" s="116">
        <f>+DT176-DR176</f>
        <v>-2</v>
      </c>
      <c r="AM176" s="223">
        <f t="shared" si="385"/>
        <v>0</v>
      </c>
      <c r="AN176" s="136">
        <f>+DU176</f>
        <v>0</v>
      </c>
      <c r="AO176" s="135">
        <f t="shared" si="386"/>
        <v>0</v>
      </c>
      <c r="AP176" s="135">
        <f t="shared" si="386"/>
        <v>0</v>
      </c>
      <c r="AQ176" s="116">
        <f>+DY176-DW176</f>
        <v>0</v>
      </c>
      <c r="AR176" s="223">
        <f t="shared" si="387"/>
        <v>0</v>
      </c>
      <c r="AS176" s="136">
        <f>+DZ176</f>
        <v>0</v>
      </c>
      <c r="AT176" s="135">
        <f t="shared" si="388"/>
        <v>0</v>
      </c>
      <c r="AU176" s="135">
        <f t="shared" si="389"/>
        <v>0</v>
      </c>
      <c r="AV176" s="116">
        <f>+ED176-EB176</f>
        <v>0</v>
      </c>
      <c r="AW176" s="223">
        <f t="shared" si="390"/>
        <v>0</v>
      </c>
      <c r="AX176" s="136">
        <f>+BB176/4</f>
        <v>0</v>
      </c>
      <c r="AY176" s="135">
        <f>(BB176-SUM(AX176:AX176))/3</f>
        <v>0</v>
      </c>
      <c r="AZ176" s="135">
        <f>(BB176-SUM(AX176:AY176))/2</f>
        <v>0</v>
      </c>
      <c r="BA176" s="116">
        <f>(BB176-SUM(AX176:AZ176))/1</f>
        <v>0</v>
      </c>
      <c r="BB176" s="34">
        <v>0</v>
      </c>
      <c r="BC176" s="136">
        <f>+BG176/4</f>
        <v>0</v>
      </c>
      <c r="BD176" s="135">
        <f>(BG176-SUM(BC176:BC176))/3</f>
        <v>0</v>
      </c>
      <c r="BE176" s="135">
        <f>(BG176-SUM(BC176:BD176))/2</f>
        <v>0</v>
      </c>
      <c r="BF176" s="116">
        <f>(BG176-SUM(BC176:BE176))/1</f>
        <v>0</v>
      </c>
      <c r="BG176" s="34">
        <v>0</v>
      </c>
      <c r="BH176" s="136">
        <f>+BL176/4</f>
        <v>0</v>
      </c>
      <c r="BI176" s="135">
        <f>(BL176-SUM(BH176:BH176))/3</f>
        <v>0</v>
      </c>
      <c r="BJ176" s="135">
        <f>(BL176-SUM(BH176:BI176))/2</f>
        <v>0</v>
      </c>
      <c r="BK176" s="116">
        <f>(BL176-SUM(BH176:BJ176))/1</f>
        <v>0</v>
      </c>
      <c r="BL176" s="34">
        <v>0</v>
      </c>
      <c r="BM176" s="136">
        <f>+BQ176/4</f>
        <v>0</v>
      </c>
      <c r="BN176" s="135">
        <f>(BQ176-SUM(BM176:BM176))/3</f>
        <v>0</v>
      </c>
      <c r="BO176" s="135">
        <f>(BQ176-SUM(BM176:BN176))/2</f>
        <v>0</v>
      </c>
      <c r="BP176" s="116">
        <f>(BQ176-SUM(BM176:BO176))/1</f>
        <v>0</v>
      </c>
      <c r="BQ176" s="34">
        <v>0</v>
      </c>
      <c r="BR176" s="220"/>
      <c r="BS176" s="220"/>
      <c r="BT176" s="220"/>
      <c r="BU176" s="220"/>
      <c r="BV176" s="220"/>
      <c r="BW176" s="220"/>
      <c r="BX176" s="220"/>
      <c r="BY176" s="220"/>
      <c r="BZ176" s="220"/>
      <c r="CA176" s="220"/>
      <c r="CB176" s="220"/>
      <c r="CC176" s="220"/>
      <c r="CD176" s="220"/>
      <c r="CE176" s="220"/>
      <c r="CF176" s="220"/>
      <c r="CG176" s="220"/>
      <c r="CH176" s="220"/>
      <c r="CI176" s="220"/>
      <c r="CJ176" s="220"/>
      <c r="CK176" s="220"/>
      <c r="CL176" s="117">
        <v>0</v>
      </c>
      <c r="CM176" s="117">
        <v>0</v>
      </c>
      <c r="CN176" s="117">
        <v>0</v>
      </c>
      <c r="CO176" s="82">
        <f>CP176-CN176</f>
        <v>0</v>
      </c>
      <c r="CP176" s="117">
        <v>0</v>
      </c>
      <c r="CQ176" s="117">
        <v>0</v>
      </c>
      <c r="CR176" s="313">
        <v>19</v>
      </c>
      <c r="CS176" s="313">
        <v>61</v>
      </c>
      <c r="CT176" s="82">
        <f>CU176-CS176</f>
        <v>-61</v>
      </c>
      <c r="CU176" s="117">
        <v>0</v>
      </c>
      <c r="CV176" s="117">
        <v>0</v>
      </c>
      <c r="CW176" s="34">
        <v>0</v>
      </c>
      <c r="CX176" s="117">
        <f>283.5-283.5</f>
        <v>0</v>
      </c>
      <c r="CY176" s="82">
        <f>CZ176-CX176</f>
        <v>0</v>
      </c>
      <c r="CZ176" s="117">
        <v>0</v>
      </c>
      <c r="DA176" s="117">
        <v>0</v>
      </c>
      <c r="DB176" s="313">
        <f>231-236</f>
        <v>-5</v>
      </c>
      <c r="DC176" s="117">
        <f>240-245</f>
        <v>-5</v>
      </c>
      <c r="DD176" s="82">
        <f>DE176-DC176</f>
        <v>5</v>
      </c>
      <c r="DE176" s="117">
        <v>0</v>
      </c>
      <c r="DF176" s="117">
        <v>0</v>
      </c>
      <c r="DG176" s="313">
        <f>280-214</f>
        <v>66</v>
      </c>
      <c r="DH176" s="117">
        <f>565-485</f>
        <v>80</v>
      </c>
      <c r="DI176" s="82">
        <f>DJ176-DH176</f>
        <v>-80</v>
      </c>
      <c r="DJ176" s="117">
        <v>0</v>
      </c>
      <c r="DK176" s="117">
        <v>0</v>
      </c>
      <c r="DL176" s="313">
        <f>382-420</f>
        <v>-38</v>
      </c>
      <c r="DM176" s="117">
        <f>433-471</f>
        <v>-38</v>
      </c>
      <c r="DN176" s="82">
        <f>DO176-DM176</f>
        <v>38</v>
      </c>
      <c r="DO176" s="117">
        <v>0</v>
      </c>
      <c r="DP176" s="117">
        <v>0</v>
      </c>
      <c r="DQ176" s="117">
        <f>163.7-179.7</f>
        <v>-16</v>
      </c>
      <c r="DR176" s="117">
        <f>407.7-405.7</f>
        <v>2</v>
      </c>
      <c r="DS176" s="82">
        <f>DT176-DR176</f>
        <v>-2</v>
      </c>
      <c r="DT176" s="117">
        <v>0</v>
      </c>
      <c r="DU176" s="117">
        <v>0</v>
      </c>
      <c r="DV176" s="117">
        <v>0</v>
      </c>
      <c r="DW176" s="117">
        <v>0</v>
      </c>
      <c r="DX176" s="82">
        <f>DY176-DW176</f>
        <v>0</v>
      </c>
      <c r="DY176" s="117">
        <v>0</v>
      </c>
      <c r="DZ176" s="117">
        <v>0</v>
      </c>
      <c r="EA176" s="117">
        <v>0</v>
      </c>
      <c r="EB176" s="117">
        <v>0</v>
      </c>
      <c r="EC176" s="82">
        <f>ED176-EB176</f>
        <v>0</v>
      </c>
      <c r="ED176" s="117">
        <v>0</v>
      </c>
    </row>
    <row r="177" spans="1:134" x14ac:dyDescent="0.2">
      <c r="A177" s="220"/>
      <c r="B177" s="220"/>
      <c r="C177" s="141" t="s">
        <v>192</v>
      </c>
      <c r="D177" s="82"/>
      <c r="E177" s="121">
        <f>SUM(E172:E176)</f>
        <v>-115.58500000000001</v>
      </c>
      <c r="F177" s="122">
        <f>SUM(F172:F176)</f>
        <v>-4.3570000000000029</v>
      </c>
      <c r="G177" s="122">
        <f>SUM(G172:G176)</f>
        <v>-16.854000000000003</v>
      </c>
      <c r="H177" s="123">
        <f>SUM(H172:H176)</f>
        <v>-13.863</v>
      </c>
      <c r="I177" s="127">
        <f t="shared" si="356"/>
        <v>-150.65899999999999</v>
      </c>
      <c r="J177" s="121">
        <f>SUM(J172:J176)</f>
        <v>-42.239999999999995</v>
      </c>
      <c r="K177" s="122">
        <f>SUM(K172:K176)</f>
        <v>34.905999999999992</v>
      </c>
      <c r="L177" s="122">
        <f>SUM(L172:L176)</f>
        <v>1.3260000000000005</v>
      </c>
      <c r="M177" s="123">
        <f>SUM(M172:M176)</f>
        <v>-36.51</v>
      </c>
      <c r="N177" s="127">
        <f t="shared" si="358"/>
        <v>-42.518000000000001</v>
      </c>
      <c r="O177" s="121">
        <f>SUM(O172:O176)</f>
        <v>59.641999999999996</v>
      </c>
      <c r="P177" s="122">
        <f>SUM(P172:P176)</f>
        <v>40.14</v>
      </c>
      <c r="Q177" s="122">
        <f>SUM(Q172:Q176)</f>
        <v>-31.833999999999989</v>
      </c>
      <c r="R177" s="123">
        <f>SUM(R172:R176)</f>
        <v>4.6189999999999998</v>
      </c>
      <c r="S177" s="127">
        <f t="shared" si="377"/>
        <v>72.567000000000007</v>
      </c>
      <c r="T177" s="121">
        <f>SUM(T172:T176)</f>
        <v>35.087000000000003</v>
      </c>
      <c r="U177" s="122">
        <f>SUM(U172:U176)</f>
        <v>38.98599999999999</v>
      </c>
      <c r="V177" s="122">
        <f>SUM(V172:V176)</f>
        <v>-16.659999999999989</v>
      </c>
      <c r="W177" s="123">
        <f>SUM(W172:W176)</f>
        <v>48.68</v>
      </c>
      <c r="X177" s="127">
        <f t="shared" si="379"/>
        <v>106.093</v>
      </c>
      <c r="Y177" s="121">
        <f>SUM(Y172:Y176)</f>
        <v>75.227000000000004</v>
      </c>
      <c r="Z177" s="122">
        <f>SUM(Z172:Z176)</f>
        <v>121.887</v>
      </c>
      <c r="AA177" s="122">
        <f>SUM(AA172:AA176)</f>
        <v>42.269000000000005</v>
      </c>
      <c r="AB177" s="123">
        <f>SUM(AB172:AB176)</f>
        <v>60.940999999999974</v>
      </c>
      <c r="AC177" s="127">
        <f t="shared" si="381"/>
        <v>300.32400000000001</v>
      </c>
      <c r="AD177" s="121">
        <f>SUM(AD172:AD176)</f>
        <v>68.918000000000006</v>
      </c>
      <c r="AE177" s="122">
        <f>SUM(AE172:AE176)</f>
        <v>120.32799999999997</v>
      </c>
      <c r="AF177" s="122">
        <f>SUM(AF172:AF176)</f>
        <v>-63.636999999999979</v>
      </c>
      <c r="AG177" s="123">
        <f>SUM(AG172:AG176)</f>
        <v>30.015999999999977</v>
      </c>
      <c r="AH177" s="127">
        <f t="shared" si="383"/>
        <v>155.625</v>
      </c>
      <c r="AI177" s="121">
        <f>SUM(AI172:AI176)</f>
        <v>42.171999999999997</v>
      </c>
      <c r="AJ177" s="122">
        <f>SUM(AJ172:AJ176)</f>
        <v>95.111000000000004</v>
      </c>
      <c r="AK177" s="122">
        <f>SUM(AK172:AK176)</f>
        <v>-15.155999999999992</v>
      </c>
      <c r="AL177" s="123">
        <f>SUM(AL172:AL176)</f>
        <v>152.36000000000001</v>
      </c>
      <c r="AM177" s="127">
        <f t="shared" si="385"/>
        <v>274.48700000000002</v>
      </c>
      <c r="AN177" s="121">
        <f>SUM(AN172:AN176)</f>
        <v>68.686999999999998</v>
      </c>
      <c r="AO177" s="122">
        <f>SUM(AO172:AO176)</f>
        <v>19.355999999999998</v>
      </c>
      <c r="AP177" s="122">
        <f>SUM(AP172:AP176)</f>
        <v>151.76399999999998</v>
      </c>
      <c r="AQ177" s="123">
        <f>SUM(AQ172:AQ176)</f>
        <v>-127.66599999999998</v>
      </c>
      <c r="AR177" s="127">
        <f t="shared" si="387"/>
        <v>112.14100000000001</v>
      </c>
      <c r="AS177" s="121">
        <f>SUM(AS172:AS176)</f>
        <v>75.111999999999995</v>
      </c>
      <c r="AT177" s="122">
        <f>SUM(AT172:AT176)</f>
        <v>29.285</v>
      </c>
      <c r="AU177" s="122">
        <f>SUM(AU172:AU176)</f>
        <v>-20.95800000000002</v>
      </c>
      <c r="AV177" s="123">
        <f>SUM(AV172:AV176)</f>
        <v>72.180000000000007</v>
      </c>
      <c r="AW177" s="127">
        <f t="shared" si="390"/>
        <v>155.61900000000003</v>
      </c>
      <c r="AX177" s="121">
        <f t="shared" ref="AX177:BG177" si="396">SUM(AX172:AX176)</f>
        <v>37.5</v>
      </c>
      <c r="AY177" s="122">
        <f t="shared" si="396"/>
        <v>37.5</v>
      </c>
      <c r="AZ177" s="122">
        <f t="shared" si="396"/>
        <v>387.5</v>
      </c>
      <c r="BA177" s="123">
        <f t="shared" si="396"/>
        <v>37.5</v>
      </c>
      <c r="BB177" s="86">
        <f t="shared" si="396"/>
        <v>500</v>
      </c>
      <c r="BC177" s="121">
        <f t="shared" si="396"/>
        <v>37.5</v>
      </c>
      <c r="BD177" s="122">
        <f t="shared" si="396"/>
        <v>37.5</v>
      </c>
      <c r="BE177" s="122">
        <f t="shared" si="396"/>
        <v>437.5</v>
      </c>
      <c r="BF177" s="123">
        <f t="shared" si="396"/>
        <v>37.5</v>
      </c>
      <c r="BG177" s="86">
        <f t="shared" si="396"/>
        <v>550</v>
      </c>
      <c r="BH177" s="121">
        <f t="shared" ref="BH177:BQ177" si="397">SUM(BH172:BH176)</f>
        <v>-18.75</v>
      </c>
      <c r="BI177" s="122">
        <f t="shared" si="397"/>
        <v>-18.75</v>
      </c>
      <c r="BJ177" s="122">
        <f t="shared" si="397"/>
        <v>131.25</v>
      </c>
      <c r="BK177" s="123">
        <f t="shared" si="397"/>
        <v>-18.75</v>
      </c>
      <c r="BL177" s="86">
        <f t="shared" si="397"/>
        <v>75</v>
      </c>
      <c r="BM177" s="121">
        <f t="shared" si="397"/>
        <v>-50</v>
      </c>
      <c r="BN177" s="122">
        <f t="shared" si="397"/>
        <v>-50</v>
      </c>
      <c r="BO177" s="122">
        <f t="shared" si="397"/>
        <v>100</v>
      </c>
      <c r="BP177" s="123">
        <f t="shared" si="397"/>
        <v>-50</v>
      </c>
      <c r="BQ177" s="86">
        <f t="shared" si="397"/>
        <v>-50</v>
      </c>
      <c r="BR177" s="220"/>
      <c r="BS177" s="220"/>
      <c r="BT177" s="220"/>
      <c r="BU177" s="220"/>
      <c r="BV177" s="220"/>
      <c r="BW177" s="220"/>
      <c r="BX177" s="220"/>
      <c r="BY177" s="220"/>
      <c r="BZ177" s="220"/>
      <c r="CA177" s="220"/>
      <c r="CB177" s="220"/>
      <c r="CC177" s="220"/>
      <c r="CD177" s="220"/>
      <c r="CE177" s="220"/>
      <c r="CF177" s="220"/>
      <c r="CG177" s="220"/>
      <c r="CH177" s="220"/>
      <c r="CI177" s="220"/>
      <c r="CJ177" s="220"/>
      <c r="CK177" s="220"/>
      <c r="CL177" s="86">
        <f t="shared" ref="CL177:CX177" si="398">SUM(CL172:CL176)</f>
        <v>-115.58500000000001</v>
      </c>
      <c r="CM177" s="86">
        <f t="shared" si="398"/>
        <v>-119.94200000000001</v>
      </c>
      <c r="CN177" s="86">
        <f t="shared" si="398"/>
        <v>-136.79599999999999</v>
      </c>
      <c r="CO177" s="86">
        <f t="shared" si="398"/>
        <v>-13.863</v>
      </c>
      <c r="CP177" s="86">
        <f t="shared" si="398"/>
        <v>-150.65899999999999</v>
      </c>
      <c r="CQ177" s="86">
        <f t="shared" si="398"/>
        <v>-42.239999999999995</v>
      </c>
      <c r="CR177" s="86">
        <f t="shared" si="398"/>
        <v>-7.3340000000000032</v>
      </c>
      <c r="CS177" s="86">
        <f t="shared" si="398"/>
        <v>-6.0080000000000098</v>
      </c>
      <c r="CT177" s="86">
        <f t="shared" si="398"/>
        <v>-36.51</v>
      </c>
      <c r="CU177" s="86">
        <f t="shared" si="398"/>
        <v>-42.518000000000001</v>
      </c>
      <c r="CV177" s="86">
        <f t="shared" si="398"/>
        <v>59.641999999999996</v>
      </c>
      <c r="CW177" s="86">
        <f t="shared" si="398"/>
        <v>99.781999999999996</v>
      </c>
      <c r="CX177" s="86">
        <f t="shared" si="398"/>
        <v>67.948000000000008</v>
      </c>
      <c r="CY177" s="86">
        <f t="shared" ref="CY177:DH177" si="399">SUM(CY172:CY176)</f>
        <v>4.6189999999999998</v>
      </c>
      <c r="CZ177" s="86">
        <f t="shared" si="399"/>
        <v>72.567000000000007</v>
      </c>
      <c r="DA177" s="86">
        <f t="shared" si="399"/>
        <v>35.087000000000003</v>
      </c>
      <c r="DB177" s="86">
        <f t="shared" si="399"/>
        <v>74.072999999999993</v>
      </c>
      <c r="DC177" s="86">
        <f t="shared" si="399"/>
        <v>57.413000000000004</v>
      </c>
      <c r="DD177" s="86">
        <f t="shared" si="399"/>
        <v>48.68</v>
      </c>
      <c r="DE177" s="86">
        <f t="shared" si="399"/>
        <v>106.093</v>
      </c>
      <c r="DF177" s="86">
        <f t="shared" si="399"/>
        <v>75.227000000000004</v>
      </c>
      <c r="DG177" s="86">
        <f t="shared" si="399"/>
        <v>197.114</v>
      </c>
      <c r="DH177" s="86">
        <f t="shared" si="399"/>
        <v>239.38300000000001</v>
      </c>
      <c r="DI177" s="86">
        <f t="shared" ref="DI177:DQ177" si="400">SUM(DI172:DI176)</f>
        <v>60.940999999999974</v>
      </c>
      <c r="DJ177" s="86">
        <f t="shared" si="400"/>
        <v>300.32400000000001</v>
      </c>
      <c r="DK177" s="86">
        <f t="shared" si="400"/>
        <v>68.918000000000006</v>
      </c>
      <c r="DL177" s="86">
        <f t="shared" si="400"/>
        <v>189.24599999999998</v>
      </c>
      <c r="DM177" s="86">
        <f t="shared" si="400"/>
        <v>125.60900000000001</v>
      </c>
      <c r="DN177" s="86">
        <f t="shared" si="400"/>
        <v>30.015999999999977</v>
      </c>
      <c r="DO177" s="86">
        <f t="shared" si="400"/>
        <v>155.625</v>
      </c>
      <c r="DP177" s="86">
        <f t="shared" si="400"/>
        <v>42.171999999999997</v>
      </c>
      <c r="DQ177" s="86">
        <f t="shared" si="400"/>
        <v>137.28299999999999</v>
      </c>
      <c r="DR177" s="86">
        <f t="shared" ref="DR177:DW177" si="401">SUM(DR172:DR176)</f>
        <v>122.127</v>
      </c>
      <c r="DS177" s="86">
        <f t="shared" si="401"/>
        <v>152.36000000000001</v>
      </c>
      <c r="DT177" s="86">
        <f t="shared" si="401"/>
        <v>274.48700000000002</v>
      </c>
      <c r="DU177" s="86">
        <f t="shared" si="401"/>
        <v>68.686999999999998</v>
      </c>
      <c r="DV177" s="86">
        <f t="shared" si="401"/>
        <v>88.043000000000006</v>
      </c>
      <c r="DW177" s="86">
        <f t="shared" si="401"/>
        <v>239.80699999999999</v>
      </c>
      <c r="DX177" s="86">
        <f t="shared" ref="DX177:ED177" si="402">SUM(DX172:DX176)</f>
        <v>-127.66599999999998</v>
      </c>
      <c r="DY177" s="86">
        <f t="shared" si="402"/>
        <v>112.14100000000001</v>
      </c>
      <c r="DZ177" s="86">
        <f t="shared" si="402"/>
        <v>75.111999999999995</v>
      </c>
      <c r="EA177" s="86">
        <f t="shared" si="402"/>
        <v>104.39699999999999</v>
      </c>
      <c r="EB177" s="86">
        <f t="shared" si="402"/>
        <v>83.439000000000007</v>
      </c>
      <c r="EC177" s="86">
        <f t="shared" si="402"/>
        <v>72.180000000000007</v>
      </c>
      <c r="ED177" s="86">
        <f t="shared" si="402"/>
        <v>155.61900000000003</v>
      </c>
    </row>
    <row r="178" spans="1:134" x14ac:dyDescent="0.2">
      <c r="A178" s="220"/>
      <c r="B178" s="220"/>
      <c r="C178" s="70"/>
      <c r="D178" s="82"/>
      <c r="E178" s="136"/>
      <c r="F178" s="137"/>
      <c r="G178" s="137"/>
      <c r="H178" s="116"/>
      <c r="I178" s="223"/>
      <c r="J178" s="136"/>
      <c r="K178" s="137"/>
      <c r="L178" s="137"/>
      <c r="M178" s="116"/>
      <c r="N178" s="223"/>
      <c r="O178" s="136"/>
      <c r="P178" s="137"/>
      <c r="Q178" s="137"/>
      <c r="R178" s="116"/>
      <c r="S178" s="223"/>
      <c r="T178" s="136"/>
      <c r="U178" s="137"/>
      <c r="V178" s="137"/>
      <c r="W178" s="116"/>
      <c r="X178" s="223"/>
      <c r="Y178" s="136"/>
      <c r="Z178" s="137"/>
      <c r="AA178" s="137"/>
      <c r="AB178" s="116"/>
      <c r="AC178" s="223"/>
      <c r="AD178" s="136"/>
      <c r="AE178" s="137"/>
      <c r="AF178" s="137"/>
      <c r="AG178" s="116"/>
      <c r="AH178" s="223"/>
      <c r="AI178" s="136"/>
      <c r="AJ178" s="137"/>
      <c r="AK178" s="137"/>
      <c r="AL178" s="116"/>
      <c r="AM178" s="223"/>
      <c r="AN178" s="136"/>
      <c r="AO178" s="137"/>
      <c r="AP178" s="137"/>
      <c r="AQ178" s="116"/>
      <c r="AR178" s="223"/>
      <c r="AS178" s="136"/>
      <c r="AT178" s="137"/>
      <c r="AU178" s="137"/>
      <c r="AV178" s="116"/>
      <c r="AW178" s="223"/>
      <c r="AX178" s="136"/>
      <c r="AY178" s="137"/>
      <c r="AZ178" s="137"/>
      <c r="BA178" s="116"/>
      <c r="BB178" s="220"/>
      <c r="BC178" s="136"/>
      <c r="BD178" s="137"/>
      <c r="BE178" s="137"/>
      <c r="BF178" s="116"/>
      <c r="BG178" s="220"/>
      <c r="BH178" s="136"/>
      <c r="BI178" s="137"/>
      <c r="BJ178" s="137"/>
      <c r="BK178" s="116"/>
      <c r="BL178" s="220"/>
      <c r="BM178" s="136"/>
      <c r="BN178" s="137"/>
      <c r="BO178" s="137"/>
      <c r="BP178" s="116"/>
      <c r="BQ178" s="220"/>
      <c r="BR178" s="220"/>
      <c r="BS178" s="220"/>
      <c r="BT178" s="220"/>
      <c r="BU178" s="220"/>
      <c r="BV178" s="220"/>
      <c r="BW178" s="220"/>
      <c r="BX178" s="220"/>
      <c r="BY178" s="220"/>
      <c r="BZ178" s="220"/>
      <c r="CA178" s="220"/>
      <c r="CB178" s="220"/>
      <c r="CC178" s="220"/>
      <c r="CD178" s="220"/>
      <c r="CE178" s="220"/>
      <c r="CF178" s="220"/>
      <c r="CG178" s="220"/>
      <c r="CH178" s="220"/>
      <c r="CI178" s="220"/>
      <c r="CJ178" s="220"/>
      <c r="CK178" s="220"/>
      <c r="CL178" s="85"/>
      <c r="CM178" s="85"/>
      <c r="CN178" s="85"/>
      <c r="CO178" s="85"/>
      <c r="CP178" s="85"/>
      <c r="CQ178" s="85"/>
      <c r="CR178" s="85"/>
      <c r="CS178" s="85"/>
      <c r="CT178" s="85"/>
      <c r="CU178" s="85"/>
      <c r="CV178" s="85"/>
      <c r="CW178" s="85"/>
      <c r="CX178" s="85"/>
      <c r="CY178" s="85"/>
      <c r="CZ178" s="85"/>
      <c r="DA178" s="85"/>
      <c r="DB178" s="85"/>
      <c r="DC178" s="85"/>
      <c r="DD178" s="85"/>
      <c r="DE178" s="85"/>
      <c r="DF178" s="85"/>
      <c r="DG178" s="85"/>
      <c r="DH178" s="85"/>
      <c r="DI178" s="85"/>
      <c r="DJ178" s="85"/>
      <c r="DK178" s="85"/>
      <c r="DL178" s="85"/>
      <c r="DM178" s="85"/>
      <c r="DN178" s="85"/>
      <c r="DO178" s="85"/>
      <c r="DP178" s="85"/>
      <c r="DR178" s="85"/>
      <c r="DS178" s="85"/>
      <c r="DT178" s="85"/>
      <c r="DU178" s="85"/>
      <c r="DX178" s="85"/>
      <c r="DY178" s="85"/>
      <c r="DZ178" s="85"/>
      <c r="EC178" s="85"/>
      <c r="ED178" s="85"/>
    </row>
    <row r="179" spans="1:134" ht="12.75" customHeight="1" x14ac:dyDescent="0.2">
      <c r="A179" s="220"/>
      <c r="B179" s="220"/>
      <c r="C179" s="141" t="s">
        <v>193</v>
      </c>
      <c r="D179" s="82"/>
      <c r="E179" s="121">
        <f>+E165+E170+E177</f>
        <v>28.148999999999972</v>
      </c>
      <c r="F179" s="122">
        <f>+F165+F170+F177</f>
        <v>-42.207999999999984</v>
      </c>
      <c r="G179" s="122">
        <f>+G165+G170+G177</f>
        <v>-112.48700000000001</v>
      </c>
      <c r="H179" s="123">
        <f>+H165+H170+H177</f>
        <v>3.113999999999983</v>
      </c>
      <c r="I179" s="127">
        <f t="shared" si="356"/>
        <v>-123.43200000000002</v>
      </c>
      <c r="J179" s="121">
        <f>+J165+J170+J177</f>
        <v>4.5219999999999771</v>
      </c>
      <c r="K179" s="122">
        <f>+K165+K170+K177</f>
        <v>-11.605999999999966</v>
      </c>
      <c r="L179" s="122">
        <f>+L165+L170+L177</f>
        <v>0.82399999999997675</v>
      </c>
      <c r="M179" s="123">
        <f>+M165+M170+M177</f>
        <v>0.67499999999996874</v>
      </c>
      <c r="N179" s="127">
        <f t="shared" si="358"/>
        <v>-5.5850000000000364</v>
      </c>
      <c r="O179" s="121">
        <f>+O165+O170+O177</f>
        <v>7.8719999999999857</v>
      </c>
      <c r="P179" s="122">
        <f>+P165+P170+P177</f>
        <v>-5.2060000000000031</v>
      </c>
      <c r="Q179" s="122">
        <f>+Q165+Q170+Q177</f>
        <v>25.280000000000022</v>
      </c>
      <c r="R179" s="123">
        <f>+R165+R170+R177</f>
        <v>-29.074000000000019</v>
      </c>
      <c r="S179" s="127">
        <f>CZ179</f>
        <v>-1.1280000000000143</v>
      </c>
      <c r="T179" s="121">
        <f>+T165+T170+T177</f>
        <v>0.42199999999999704</v>
      </c>
      <c r="U179" s="122">
        <f>+U165+U170+U177</f>
        <v>0.11000000000001364</v>
      </c>
      <c r="V179" s="122">
        <f>+V165+V170+V177</f>
        <v>15.815000000000005</v>
      </c>
      <c r="W179" s="123">
        <f>+W165+W170+W177</f>
        <v>-16.514999999999993</v>
      </c>
      <c r="X179" s="127">
        <f>DE179</f>
        <v>-0.16799999999996373</v>
      </c>
      <c r="Y179" s="121">
        <f>+Y165+Y170+Y177</f>
        <v>1.8539999999999992</v>
      </c>
      <c r="Z179" s="122">
        <f>+Z165+Z170+Z177</f>
        <v>-1.4260000000000161</v>
      </c>
      <c r="AA179" s="122">
        <f>+AA165+AA170+AA177</f>
        <v>0.17400000000000659</v>
      </c>
      <c r="AB179" s="123">
        <f>+AB165+AB170+AB177</f>
        <v>-7.2999999999993292E-2</v>
      </c>
      <c r="AC179" s="127">
        <f>DJ179</f>
        <v>0.52900000000011005</v>
      </c>
      <c r="AD179" s="121">
        <f>+AD165+AD170+AD177</f>
        <v>0.99299999999998079</v>
      </c>
      <c r="AE179" s="122">
        <f>+AE165+AE170+AE177</f>
        <v>0.92999999999996419</v>
      </c>
      <c r="AF179" s="122">
        <f>+AF165+AF170+AF177</f>
        <v>-1.9289999999999807</v>
      </c>
      <c r="AG179" s="123">
        <f>+AG165+AG170+AG177</f>
        <v>-0.40900000000003445</v>
      </c>
      <c r="AH179" s="127">
        <f>DO179</f>
        <v>-0.41499999999996362</v>
      </c>
      <c r="AI179" s="121">
        <f>+AI165+AI170+AI177</f>
        <v>-4.1000000000011028E-2</v>
      </c>
      <c r="AJ179" s="122">
        <f>+AJ165+AJ170+AJ177</f>
        <v>2.0420000000000158</v>
      </c>
      <c r="AK179" s="122">
        <f>+AK165+AK170+AK177</f>
        <v>-1.8659999999999428</v>
      </c>
      <c r="AL179" s="123">
        <f>+AL165+AL170+AL177</f>
        <v>0.10300000000006548</v>
      </c>
      <c r="AM179" s="127">
        <f>DT179</f>
        <v>0.23800000000011323</v>
      </c>
      <c r="AN179" s="121">
        <f>+AN165+AN170+AN177</f>
        <v>-0.3440000000000083</v>
      </c>
      <c r="AO179" s="122">
        <f>+AO165+AO170+AO177</f>
        <v>0.12699999999998468</v>
      </c>
      <c r="AP179" s="122">
        <f>+AP165+AP170+AP177</f>
        <v>206.23099999999997</v>
      </c>
      <c r="AQ179" s="123">
        <f>+AQ165+AQ170+AQ177</f>
        <v>-206.00399999999996</v>
      </c>
      <c r="AR179" s="127">
        <f>DY179</f>
        <v>9.9999999999766942E-3</v>
      </c>
      <c r="AS179" s="121">
        <f>+AS165+AS170+AS177</f>
        <v>0.1559999999999917</v>
      </c>
      <c r="AT179" s="122">
        <f>+AT165+AT170+AT177</f>
        <v>-0.39900000000001157</v>
      </c>
      <c r="AU179" s="122">
        <f>+AU165+AU170+AU177</f>
        <v>45.79</v>
      </c>
      <c r="AV179" s="123">
        <f>+AV165+AV170+AV177</f>
        <v>-35.519999999999996</v>
      </c>
      <c r="AW179" s="127">
        <f>ED179</f>
        <v>10.026999999999987</v>
      </c>
      <c r="AX179" s="121">
        <f t="shared" ref="AX179:BG179" si="403">+AX165+AX170+AX177</f>
        <v>-107.77113578102023</v>
      </c>
      <c r="AY179" s="122">
        <f t="shared" si="403"/>
        <v>-98.989720404977504</v>
      </c>
      <c r="AZ179" s="122">
        <f t="shared" si="403"/>
        <v>288.0286043545899</v>
      </c>
      <c r="BA179" s="123">
        <f t="shared" si="403"/>
        <v>-127.4327303487733</v>
      </c>
      <c r="BB179" s="86">
        <f t="shared" si="403"/>
        <v>-46.164982180181141</v>
      </c>
      <c r="BC179" s="121">
        <f t="shared" si="403"/>
        <v>-120.12879893605913</v>
      </c>
      <c r="BD179" s="122">
        <f t="shared" si="403"/>
        <v>-110.78854755111021</v>
      </c>
      <c r="BE179" s="122">
        <f t="shared" si="403"/>
        <v>328.33452834522905</v>
      </c>
      <c r="BF179" s="123">
        <f t="shared" si="403"/>
        <v>-140.75132468486808</v>
      </c>
      <c r="BG179" s="86">
        <f t="shared" si="403"/>
        <v>-43.334142826808261</v>
      </c>
      <c r="BH179" s="121">
        <f t="shared" ref="BH179:BQ179" si="404">+BH165+BH170+BH177</f>
        <v>-54.028624140222803</v>
      </c>
      <c r="BI179" s="122">
        <f t="shared" si="404"/>
        <v>-43.537861052841407</v>
      </c>
      <c r="BJ179" s="122">
        <f t="shared" si="404"/>
        <v>152.42447896437255</v>
      </c>
      <c r="BK179" s="123">
        <f t="shared" si="404"/>
        <v>-71.932504909364596</v>
      </c>
      <c r="BL179" s="86">
        <f t="shared" si="404"/>
        <v>-17.074511138056323</v>
      </c>
      <c r="BM179" s="121">
        <f t="shared" si="404"/>
        <v>-9.9163273178811551</v>
      </c>
      <c r="BN179" s="122">
        <f t="shared" si="404"/>
        <v>1.361966114211782</v>
      </c>
      <c r="BO179" s="122">
        <f t="shared" si="404"/>
        <v>201.16113021361835</v>
      </c>
      <c r="BP179" s="123">
        <f t="shared" si="404"/>
        <v>-27.267847782739977</v>
      </c>
      <c r="BQ179" s="86">
        <f t="shared" si="404"/>
        <v>165.33892122720908</v>
      </c>
      <c r="BR179" s="220"/>
      <c r="BS179" s="220"/>
      <c r="BT179" s="220"/>
      <c r="BU179" s="220"/>
      <c r="BV179" s="220"/>
      <c r="BW179" s="220"/>
      <c r="BX179" s="220"/>
      <c r="BY179" s="220"/>
      <c r="BZ179" s="220"/>
      <c r="CA179" s="220"/>
      <c r="CB179" s="220"/>
      <c r="CC179" s="220"/>
      <c r="CD179" s="220"/>
      <c r="CE179" s="220"/>
      <c r="CF179" s="220"/>
      <c r="CG179" s="220"/>
      <c r="CH179" s="220"/>
      <c r="CI179" s="220"/>
      <c r="CJ179" s="220"/>
      <c r="CK179" s="220"/>
      <c r="CL179" s="86">
        <f t="shared" ref="CL179:CX179" si="405">CL165+CL170+CL177</f>
        <v>28.148999999999972</v>
      </c>
      <c r="CM179" s="86">
        <f t="shared" si="405"/>
        <v>-14.058999999999997</v>
      </c>
      <c r="CN179" s="86">
        <f t="shared" si="405"/>
        <v>-126.54599999999999</v>
      </c>
      <c r="CO179" s="86">
        <f t="shared" si="405"/>
        <v>3.113999999999983</v>
      </c>
      <c r="CP179" s="86">
        <f t="shared" si="405"/>
        <v>-123.43200000000002</v>
      </c>
      <c r="CQ179" s="86">
        <f t="shared" si="405"/>
        <v>4.5219999999999771</v>
      </c>
      <c r="CR179" s="86">
        <f t="shared" si="405"/>
        <v>-7.083999999999989</v>
      </c>
      <c r="CS179" s="86">
        <f t="shared" si="405"/>
        <v>-6.2600000000000335</v>
      </c>
      <c r="CT179" s="86">
        <f t="shared" si="405"/>
        <v>0.67499999999996874</v>
      </c>
      <c r="CU179" s="86">
        <f t="shared" si="405"/>
        <v>-5.5850000000000364</v>
      </c>
      <c r="CV179" s="86">
        <f t="shared" si="405"/>
        <v>7.8719999999999857</v>
      </c>
      <c r="CW179" s="86">
        <f t="shared" si="405"/>
        <v>2.6659999999999684</v>
      </c>
      <c r="CX179" s="86">
        <f t="shared" si="405"/>
        <v>27.946000000000026</v>
      </c>
      <c r="CY179" s="86">
        <f t="shared" ref="CY179:DF179" si="406">CY165+CY170+CY177</f>
        <v>-29.074000000000019</v>
      </c>
      <c r="CZ179" s="86">
        <f t="shared" si="406"/>
        <v>-1.1280000000000143</v>
      </c>
      <c r="DA179" s="86">
        <f t="shared" si="406"/>
        <v>0.42199999999999704</v>
      </c>
      <c r="DB179" s="86">
        <f t="shared" si="406"/>
        <v>0.53200000000001069</v>
      </c>
      <c r="DC179" s="86">
        <f t="shared" si="406"/>
        <v>16.34700000000003</v>
      </c>
      <c r="DD179" s="86">
        <f t="shared" si="406"/>
        <v>-16.514999999999993</v>
      </c>
      <c r="DE179" s="86">
        <f t="shared" si="406"/>
        <v>-0.16799999999996373</v>
      </c>
      <c r="DF179" s="86">
        <f t="shared" si="406"/>
        <v>1.8539999999999992</v>
      </c>
      <c r="DG179" s="86">
        <f t="shared" ref="DG179:DM179" si="407">DG165+DG170+DG177</f>
        <v>0.42799999999999727</v>
      </c>
      <c r="DH179" s="86">
        <f t="shared" si="407"/>
        <v>0.60199999999997544</v>
      </c>
      <c r="DI179" s="86">
        <f t="shared" si="407"/>
        <v>-7.2999999999993292E-2</v>
      </c>
      <c r="DJ179" s="86">
        <f t="shared" si="407"/>
        <v>0.52900000000011005</v>
      </c>
      <c r="DK179" s="86">
        <f t="shared" si="407"/>
        <v>0.99299999999998079</v>
      </c>
      <c r="DL179" s="86">
        <f t="shared" si="407"/>
        <v>1.9230000000000018</v>
      </c>
      <c r="DM179" s="86">
        <f t="shared" si="407"/>
        <v>-5.999999999943384E-3</v>
      </c>
      <c r="DN179" s="86">
        <f t="shared" ref="DN179:DT179" si="408">DN165+DN170+DN177</f>
        <v>-0.40900000000003445</v>
      </c>
      <c r="DO179" s="86">
        <f t="shared" si="408"/>
        <v>-0.41499999999996362</v>
      </c>
      <c r="DP179" s="86">
        <f t="shared" si="408"/>
        <v>-4.1000000000011028E-2</v>
      </c>
      <c r="DQ179" s="86">
        <f t="shared" si="408"/>
        <v>2.0009999999999479</v>
      </c>
      <c r="DR179" s="86">
        <f t="shared" si="408"/>
        <v>0.13499999999997669</v>
      </c>
      <c r="DS179" s="86">
        <f t="shared" si="408"/>
        <v>0.10300000000006548</v>
      </c>
      <c r="DT179" s="86">
        <f t="shared" si="408"/>
        <v>0.23800000000011323</v>
      </c>
      <c r="DU179" s="86">
        <f t="shared" ref="DU179:DZ179" si="409">DU165+DU170+DU177</f>
        <v>-0.3440000000000083</v>
      </c>
      <c r="DV179" s="86">
        <f t="shared" si="409"/>
        <v>-0.21700000000001296</v>
      </c>
      <c r="DW179" s="86">
        <f t="shared" si="409"/>
        <v>206.01399999999992</v>
      </c>
      <c r="DX179" s="86">
        <f t="shared" si="409"/>
        <v>-206.00399999999996</v>
      </c>
      <c r="DY179" s="86">
        <f t="shared" si="409"/>
        <v>9.9999999999766942E-3</v>
      </c>
      <c r="DZ179" s="86">
        <f t="shared" si="409"/>
        <v>0.1559999999999917</v>
      </c>
      <c r="EA179" s="86">
        <f>EA165+EA170+EA177</f>
        <v>-0.24299999999996658</v>
      </c>
      <c r="EB179" s="86">
        <f>EB165+EB170+EB177</f>
        <v>45.547000000000011</v>
      </c>
      <c r="EC179" s="86">
        <f t="shared" ref="EC179:ED179" si="410">EC165+EC170+EC177</f>
        <v>-35.519999999999996</v>
      </c>
      <c r="ED179" s="86">
        <f t="shared" si="410"/>
        <v>10.026999999999987</v>
      </c>
    </row>
    <row r="180" spans="1:134" ht="12.75" customHeight="1" x14ac:dyDescent="0.2">
      <c r="A180" s="220"/>
      <c r="B180" s="220"/>
      <c r="C180" s="70" t="s">
        <v>194</v>
      </c>
      <c r="D180" s="82"/>
      <c r="E180" s="222">
        <f>CL180</f>
        <v>130.79499999999999</v>
      </c>
      <c r="F180" s="135">
        <f>+E182</f>
        <v>158.94399999999996</v>
      </c>
      <c r="G180" s="135">
        <f>+F182</f>
        <v>116.73599999999998</v>
      </c>
      <c r="H180" s="116">
        <f>+G182</f>
        <v>4.2489999999999668</v>
      </c>
      <c r="I180" s="223">
        <f>+E180</f>
        <v>130.79499999999999</v>
      </c>
      <c r="J180" s="136">
        <f>+I182</f>
        <v>7.3629999999999711</v>
      </c>
      <c r="K180" s="135">
        <f>+J182</f>
        <v>11.884999999999948</v>
      </c>
      <c r="L180" s="135">
        <f>+K182</f>
        <v>0.27899999999998215</v>
      </c>
      <c r="M180" s="116">
        <f>+L182</f>
        <v>1.1029999999999589</v>
      </c>
      <c r="N180" s="127">
        <f t="shared" si="358"/>
        <v>7.3629999999999711</v>
      </c>
      <c r="O180" s="136">
        <f>+N182</f>
        <v>1.7779999999999347</v>
      </c>
      <c r="P180" s="135">
        <f>+O182</f>
        <v>9.6499999999999204</v>
      </c>
      <c r="Q180" s="135">
        <f>+P182</f>
        <v>4.4439999999999173</v>
      </c>
      <c r="R180" s="116">
        <f>+Q182</f>
        <v>29.72399999999994</v>
      </c>
      <c r="S180" s="127">
        <f>CZ180</f>
        <v>1.7779999999999347</v>
      </c>
      <c r="T180" s="136">
        <f>+S182</f>
        <v>0.64999999999992042</v>
      </c>
      <c r="U180" s="135">
        <f>+T182</f>
        <v>1.0719999999999175</v>
      </c>
      <c r="V180" s="135">
        <f>+U182</f>
        <v>1.1819999999999311</v>
      </c>
      <c r="W180" s="116">
        <f>+V182</f>
        <v>16.996999999999936</v>
      </c>
      <c r="X180" s="127">
        <f>DE180</f>
        <v>0.64999999999992042</v>
      </c>
      <c r="Y180" s="136">
        <f>+X182</f>
        <v>0.48199999999995669</v>
      </c>
      <c r="Z180" s="135">
        <f>+Y182</f>
        <v>2.3359999999999559</v>
      </c>
      <c r="AA180" s="135">
        <f>+Z182</f>
        <v>0.90999999999993975</v>
      </c>
      <c r="AB180" s="116">
        <f>+AA182</f>
        <v>1.0839999999999463</v>
      </c>
      <c r="AC180" s="127">
        <f>DJ180</f>
        <v>0.48199999999995669</v>
      </c>
      <c r="AD180" s="136">
        <f>+AC182</f>
        <v>1.0110000000000667</v>
      </c>
      <c r="AE180" s="135">
        <f>+AD182</f>
        <v>2.0040000000000475</v>
      </c>
      <c r="AF180" s="135">
        <f>+AE182</f>
        <v>2.9340000000000117</v>
      </c>
      <c r="AG180" s="116">
        <f>+AF182</f>
        <v>1.005000000000031</v>
      </c>
      <c r="AH180" s="127">
        <f>DO180</f>
        <v>1.0110000000000667</v>
      </c>
      <c r="AI180" s="136">
        <f>+AH182</f>
        <v>0.59600000000010311</v>
      </c>
      <c r="AJ180" s="135">
        <f>+AI182</f>
        <v>0.55500000000009209</v>
      </c>
      <c r="AK180" s="135">
        <f>+AJ182</f>
        <v>2.5970000000001079</v>
      </c>
      <c r="AL180" s="116">
        <f>+AK182</f>
        <v>0.73100000000016507</v>
      </c>
      <c r="AM180" s="127">
        <f>DT180</f>
        <v>0.59600000000010311</v>
      </c>
      <c r="AN180" s="136">
        <f>+AM182</f>
        <v>0.83400000000021635</v>
      </c>
      <c r="AO180" s="135">
        <f>+AN182</f>
        <v>0.49000000000020805</v>
      </c>
      <c r="AP180" s="135">
        <f>+AO182</f>
        <v>0.61700000000019273</v>
      </c>
      <c r="AQ180" s="116">
        <f>+AP182</f>
        <v>206.84800000000016</v>
      </c>
      <c r="AR180" s="127">
        <f>DY180</f>
        <v>0.83400000000021635</v>
      </c>
      <c r="AS180" s="136">
        <f>+AR182</f>
        <v>0.84400000000019304</v>
      </c>
      <c r="AT180" s="135">
        <f>+AS182</f>
        <v>1.0000000000001847</v>
      </c>
      <c r="AU180" s="135">
        <f>+AT182</f>
        <v>0.60100000000017317</v>
      </c>
      <c r="AV180" s="116">
        <f>+AU182</f>
        <v>46.391000000000176</v>
      </c>
      <c r="AW180" s="127">
        <f>ED180</f>
        <v>0.84400000000019304</v>
      </c>
      <c r="AX180" s="136">
        <f>+AW182</f>
        <v>10.87100000000018</v>
      </c>
      <c r="AY180" s="135">
        <f>+AX182</f>
        <v>0</v>
      </c>
      <c r="AZ180" s="135">
        <f>+AY182</f>
        <v>0</v>
      </c>
      <c r="BA180" s="116">
        <f>+AZ182</f>
        <v>92.138748168592343</v>
      </c>
      <c r="BB180" s="82">
        <f>+AW182</f>
        <v>10.87100000000018</v>
      </c>
      <c r="BC180" s="136">
        <f>+BB182</f>
        <v>0</v>
      </c>
      <c r="BD180" s="135">
        <f>+BC182</f>
        <v>0</v>
      </c>
      <c r="BE180" s="135">
        <f>+BD182</f>
        <v>0</v>
      </c>
      <c r="BF180" s="116">
        <f>+BE182</f>
        <v>62.123199677878745</v>
      </c>
      <c r="BG180" s="82">
        <f>+BB182</f>
        <v>0</v>
      </c>
      <c r="BH180" s="136">
        <f>+BG182</f>
        <v>1.1368683772161603E-13</v>
      </c>
      <c r="BI180" s="135">
        <f>+BH182</f>
        <v>0</v>
      </c>
      <c r="BJ180" s="135">
        <f>+BI182</f>
        <v>0</v>
      </c>
      <c r="BK180" s="116">
        <f>+BJ182</f>
        <v>0</v>
      </c>
      <c r="BL180" s="82">
        <f>+BG182</f>
        <v>1.1368683772161603E-13</v>
      </c>
      <c r="BM180" s="136">
        <f>+BL182</f>
        <v>-7.1054273576010019E-14</v>
      </c>
      <c r="BN180" s="135">
        <f>+BM182</f>
        <v>0</v>
      </c>
      <c r="BO180" s="135">
        <f>+BN182</f>
        <v>0</v>
      </c>
      <c r="BP180" s="116">
        <f>+BO182</f>
        <v>96.904132864903431</v>
      </c>
      <c r="BQ180" s="82">
        <f>+BL182</f>
        <v>-7.1054273576010019E-14</v>
      </c>
      <c r="BR180" s="220"/>
      <c r="BS180" s="220"/>
      <c r="BT180" s="220"/>
      <c r="BU180" s="220"/>
      <c r="BV180" s="220"/>
      <c r="BW180" s="220"/>
      <c r="BX180" s="220"/>
      <c r="BY180" s="220"/>
      <c r="BZ180" s="220"/>
      <c r="CA180" s="220"/>
      <c r="CB180" s="220"/>
      <c r="CC180" s="220"/>
      <c r="CD180" s="220"/>
      <c r="CE180" s="220"/>
      <c r="CF180" s="220"/>
      <c r="CG180" s="220"/>
      <c r="CH180" s="220"/>
      <c r="CI180" s="220"/>
      <c r="CJ180" s="220"/>
      <c r="CK180" s="220"/>
      <c r="CL180" s="117">
        <v>130.79499999999999</v>
      </c>
      <c r="CM180" s="82">
        <f>CL180</f>
        <v>130.79499999999999</v>
      </c>
      <c r="CN180" s="82">
        <f>CM180</f>
        <v>130.79499999999999</v>
      </c>
      <c r="CO180" s="82">
        <f>CN182</f>
        <v>4.2489999999999952</v>
      </c>
      <c r="CP180" s="82">
        <f>CL180</f>
        <v>130.79499999999999</v>
      </c>
      <c r="CQ180" s="82">
        <f>CP182</f>
        <v>7.3629999999999711</v>
      </c>
      <c r="CR180" s="82">
        <f>CQ180</f>
        <v>7.3629999999999711</v>
      </c>
      <c r="CS180" s="82">
        <f>CQ180</f>
        <v>7.3629999999999711</v>
      </c>
      <c r="CT180" s="82">
        <f>CS182</f>
        <v>1.1029999999999376</v>
      </c>
      <c r="CU180" s="223">
        <f>CQ180</f>
        <v>7.3629999999999711</v>
      </c>
      <c r="CV180" s="82">
        <f>CU182</f>
        <v>1.7779999999999347</v>
      </c>
      <c r="CW180" s="82">
        <f>CV180</f>
        <v>1.7779999999999347</v>
      </c>
      <c r="CX180" s="82">
        <f>CV180</f>
        <v>1.7779999999999347</v>
      </c>
      <c r="CY180" s="82">
        <f>CX182</f>
        <v>29.723999999999961</v>
      </c>
      <c r="CZ180" s="223">
        <f>CV180</f>
        <v>1.7779999999999347</v>
      </c>
      <c r="DA180" s="82">
        <f>CZ182</f>
        <v>0.64999999999992042</v>
      </c>
      <c r="DB180" s="82">
        <f>DA180</f>
        <v>0.64999999999992042</v>
      </c>
      <c r="DC180" s="82">
        <f>DA180</f>
        <v>0.64999999999992042</v>
      </c>
      <c r="DD180" s="82">
        <f>DC182</f>
        <v>16.99699999999995</v>
      </c>
      <c r="DE180" s="223">
        <f>DA180</f>
        <v>0.64999999999992042</v>
      </c>
      <c r="DF180" s="82">
        <f>DE182</f>
        <v>0.48199999999995669</v>
      </c>
      <c r="DG180" s="82">
        <f>DF180</f>
        <v>0.48199999999995669</v>
      </c>
      <c r="DH180" s="82">
        <f>DF180</f>
        <v>0.48199999999995669</v>
      </c>
      <c r="DI180" s="82">
        <f>DH182</f>
        <v>1.0839999999999321</v>
      </c>
      <c r="DJ180" s="223">
        <f>DF180</f>
        <v>0.48199999999995669</v>
      </c>
      <c r="DK180" s="82">
        <f>DJ182</f>
        <v>1.0110000000000667</v>
      </c>
      <c r="DL180" s="82">
        <f>DK180</f>
        <v>1.0110000000000667</v>
      </c>
      <c r="DM180" s="82">
        <f>DK180</f>
        <v>1.0110000000000667</v>
      </c>
      <c r="DN180" s="82">
        <f>DM182</f>
        <v>1.0050000000001234</v>
      </c>
      <c r="DO180" s="223">
        <f>DK180</f>
        <v>1.0110000000000667</v>
      </c>
      <c r="DP180" s="82">
        <f>DO182</f>
        <v>0.59600000000010311</v>
      </c>
      <c r="DQ180" s="82">
        <f>DP180</f>
        <v>0.59600000000010311</v>
      </c>
      <c r="DR180" s="82">
        <f>DP180</f>
        <v>0.59600000000010311</v>
      </c>
      <c r="DS180" s="82">
        <f>DR182</f>
        <v>0.73100000000007981</v>
      </c>
      <c r="DT180" s="223">
        <f>DP180</f>
        <v>0.59600000000010311</v>
      </c>
      <c r="DU180" s="82">
        <f>DT182</f>
        <v>0.83400000000021635</v>
      </c>
      <c r="DV180" s="82">
        <f>DU180</f>
        <v>0.83400000000021635</v>
      </c>
      <c r="DW180" s="82">
        <f>DV180</f>
        <v>0.83400000000021635</v>
      </c>
      <c r="DX180" s="82">
        <f>DW182</f>
        <v>206.84800000000013</v>
      </c>
      <c r="DY180" s="223">
        <f>DU180</f>
        <v>0.83400000000021635</v>
      </c>
      <c r="DZ180" s="82">
        <f>DY182</f>
        <v>0.84400000000019304</v>
      </c>
      <c r="EA180" s="82">
        <f>DZ180</f>
        <v>0.84400000000019304</v>
      </c>
      <c r="EB180" s="82">
        <f>EA180</f>
        <v>0.84400000000019304</v>
      </c>
      <c r="EC180" s="82">
        <f>EB182</f>
        <v>46.391000000000204</v>
      </c>
      <c r="ED180" s="223">
        <f>DZ180</f>
        <v>0.84400000000019304</v>
      </c>
    </row>
    <row r="181" spans="1:134" x14ac:dyDescent="0.2">
      <c r="A181" s="220"/>
      <c r="B181" s="220"/>
      <c r="C181" s="70" t="s">
        <v>188</v>
      </c>
      <c r="D181" s="82"/>
      <c r="E181" s="114"/>
      <c r="F181" s="133"/>
      <c r="G181" s="133"/>
      <c r="H181" s="132"/>
      <c r="I181" s="223"/>
      <c r="J181" s="114"/>
      <c r="K181" s="133"/>
      <c r="L181" s="133"/>
      <c r="M181" s="132"/>
      <c r="N181" s="223"/>
      <c r="O181" s="114"/>
      <c r="P181" s="115"/>
      <c r="Q181" s="115"/>
      <c r="R181" s="132"/>
      <c r="S181" s="223"/>
      <c r="T181" s="114">
        <v>0</v>
      </c>
      <c r="U181" s="115"/>
      <c r="V181" s="115"/>
      <c r="W181" s="132"/>
      <c r="X181" s="223"/>
      <c r="Y181" s="114">
        <v>0</v>
      </c>
      <c r="Z181" s="115"/>
      <c r="AA181" s="115"/>
      <c r="AB181" s="132"/>
      <c r="AC181" s="223"/>
      <c r="AD181" s="114">
        <v>0</v>
      </c>
      <c r="AE181" s="115"/>
      <c r="AF181" s="115"/>
      <c r="AG181" s="132"/>
      <c r="AH181" s="223"/>
      <c r="AI181" s="114">
        <v>0</v>
      </c>
      <c r="AJ181" s="115"/>
      <c r="AK181" s="115"/>
      <c r="AL181" s="132"/>
      <c r="AM181" s="223"/>
      <c r="AN181" s="114">
        <v>0</v>
      </c>
      <c r="AO181" s="115"/>
      <c r="AP181" s="115"/>
      <c r="AQ181" s="132"/>
      <c r="AR181" s="223"/>
      <c r="AS181" s="114">
        <v>0</v>
      </c>
      <c r="AT181" s="115"/>
      <c r="AU181" s="115"/>
      <c r="AV181" s="132"/>
      <c r="AW181" s="223"/>
      <c r="AX181" s="136">
        <f>IF((AX179+AX180)&gt;=AW188,-AW188,-(AX179+AX180))</f>
        <v>96.900135781020055</v>
      </c>
      <c r="AY181" s="135">
        <f>IF((AY179+AY180)&gt;=AX188,-AX188,-(AY179+AY180))</f>
        <v>98.989720404977504</v>
      </c>
      <c r="AZ181" s="135">
        <f>IF((AZ179+AZ180)&gt;=AY188,-AY188,-(AZ179+AZ180))</f>
        <v>-195.88985618599756</v>
      </c>
      <c r="BA181" s="116">
        <f>IF((BA179+BA180)&gt;=AZ188,-AZ188,-(BA179+BA180))</f>
        <v>35.293982180180961</v>
      </c>
      <c r="BB181" s="82">
        <f>SUM(AX181:BA181)</f>
        <v>35.293982180180961</v>
      </c>
      <c r="BC181" s="136">
        <f>IF((BC179+BC180)&gt;=BB188,-BB188,-(BC179+BC180))</f>
        <v>120.12879893605913</v>
      </c>
      <c r="BD181" s="135">
        <f>IF((BD179+BD180)&gt;=BC188,-BC188,-(BD179+BD180))</f>
        <v>110.78854755111021</v>
      </c>
      <c r="BE181" s="135">
        <f>IF((BE179+BE180)&gt;=BD188,-BD188,-(BE179+BE180))</f>
        <v>-266.2113286673503</v>
      </c>
      <c r="BF181" s="116">
        <f>IF((BF179+BF180)&gt;=BE188,-BE188,-(BF179+BF180))</f>
        <v>78.628125006989336</v>
      </c>
      <c r="BG181" s="82">
        <f>SUM(BC181:BF181)</f>
        <v>43.334142826808375</v>
      </c>
      <c r="BH181" s="136">
        <f>IF((BH179+BH180)&gt;=BG188,-BG188,-(BH179+BH180))</f>
        <v>54.028624140222689</v>
      </c>
      <c r="BI181" s="135">
        <f>IF((BI179+BI180)&gt;=BH188,-BH188,-(BI179+BI180))</f>
        <v>43.537861052841407</v>
      </c>
      <c r="BJ181" s="135">
        <f>IF((BJ179+BJ180)&gt;=BI188,-BI188,-(BJ179+BJ180))</f>
        <v>-152.42447896437255</v>
      </c>
      <c r="BK181" s="116">
        <f>IF((BK179+BK180)&gt;=BJ188,-BJ188,-(BK179+BK180))</f>
        <v>71.932504909364596</v>
      </c>
      <c r="BL181" s="82">
        <f>SUM(BH181:BK181)</f>
        <v>17.074511138056138</v>
      </c>
      <c r="BM181" s="136">
        <f>IF((BM179+BM180)&gt;=BL188,-BL188,-(BM179+BM180))</f>
        <v>9.9163273178812261</v>
      </c>
      <c r="BN181" s="135">
        <f>IF((BN179+BN180)&gt;=BM188,-BM188,-(BN179+BN180))</f>
        <v>-1.361966114211782</v>
      </c>
      <c r="BO181" s="135">
        <f>IF((BO179+BO180)&gt;=BN188,-BN188,-(BO179+BO180))</f>
        <v>-104.25699734871492</v>
      </c>
      <c r="BP181" s="116">
        <f>IF((BP179+BP180)&gt;=BO188,-BO188,-(BP179+BP180))</f>
        <v>0</v>
      </c>
      <c r="BQ181" s="82">
        <f>SUM(BM181:BP181)</f>
        <v>-95.702636145045474</v>
      </c>
      <c r="BR181" s="220"/>
      <c r="BS181" s="220"/>
      <c r="BT181" s="220"/>
      <c r="BU181" s="220"/>
      <c r="BV181" s="220"/>
      <c r="BW181" s="220"/>
      <c r="BX181" s="220"/>
      <c r="BY181" s="220"/>
      <c r="BZ181" s="220"/>
      <c r="CA181" s="220"/>
      <c r="CB181" s="220"/>
      <c r="CC181" s="220"/>
      <c r="CD181" s="220"/>
      <c r="CE181" s="220"/>
      <c r="CF181" s="220"/>
      <c r="CG181" s="220"/>
      <c r="CH181" s="220"/>
      <c r="CI181" s="220"/>
      <c r="CJ181" s="220"/>
      <c r="CK181" s="220"/>
      <c r="CL181" s="220"/>
      <c r="CM181" s="220"/>
      <c r="CN181" s="220"/>
      <c r="CO181" s="220"/>
      <c r="CP181" s="220"/>
      <c r="CQ181" s="220"/>
      <c r="CR181" s="220"/>
      <c r="CS181" s="220"/>
      <c r="CT181" s="220"/>
      <c r="CU181" s="220"/>
      <c r="CV181" s="220"/>
      <c r="CW181" s="220"/>
      <c r="CX181" s="220"/>
      <c r="CY181" s="220"/>
      <c r="CZ181" s="220"/>
      <c r="DA181" s="220"/>
      <c r="DB181" s="220"/>
      <c r="DC181" s="220"/>
      <c r="DD181" s="220"/>
      <c r="DE181" s="220"/>
      <c r="DF181" s="220"/>
      <c r="DG181" s="220"/>
      <c r="DH181" s="220"/>
      <c r="DI181" s="220"/>
      <c r="DJ181" s="220"/>
      <c r="DK181" s="220"/>
      <c r="DL181" s="220"/>
      <c r="DM181" s="220"/>
      <c r="DN181" s="220"/>
      <c r="DO181" s="220"/>
      <c r="DP181" s="220"/>
      <c r="DQ181" s="220"/>
      <c r="DR181" s="220"/>
      <c r="DS181" s="220"/>
      <c r="DT181" s="220"/>
      <c r="DU181" s="220"/>
      <c r="DV181" s="220"/>
      <c r="DW181" s="220"/>
      <c r="DX181" s="220"/>
      <c r="DY181" s="220"/>
      <c r="DZ181" s="220"/>
      <c r="EA181" s="220"/>
      <c r="EB181" s="220"/>
      <c r="EC181" s="220"/>
      <c r="ED181" s="220"/>
    </row>
    <row r="182" spans="1:134" x14ac:dyDescent="0.2">
      <c r="A182" s="220"/>
      <c r="B182" s="220"/>
      <c r="C182" s="141" t="s">
        <v>195</v>
      </c>
      <c r="D182" s="82"/>
      <c r="E182" s="121">
        <f t="shared" ref="E182:Q182" si="411">E181+E180+E179</f>
        <v>158.94399999999996</v>
      </c>
      <c r="F182" s="122">
        <f t="shared" si="411"/>
        <v>116.73599999999998</v>
      </c>
      <c r="G182" s="122">
        <f t="shared" si="411"/>
        <v>4.2489999999999668</v>
      </c>
      <c r="H182" s="123">
        <f t="shared" si="411"/>
        <v>7.3629999999999498</v>
      </c>
      <c r="I182" s="127">
        <f t="shared" si="411"/>
        <v>7.3629999999999711</v>
      </c>
      <c r="J182" s="121">
        <f t="shared" si="411"/>
        <v>11.884999999999948</v>
      </c>
      <c r="K182" s="122">
        <f t="shared" si="411"/>
        <v>0.27899999999998215</v>
      </c>
      <c r="L182" s="122">
        <f t="shared" si="411"/>
        <v>1.1029999999999589</v>
      </c>
      <c r="M182" s="123">
        <f t="shared" si="411"/>
        <v>1.7779999999999276</v>
      </c>
      <c r="N182" s="127">
        <f t="shared" si="411"/>
        <v>1.7779999999999347</v>
      </c>
      <c r="O182" s="121">
        <f t="shared" si="411"/>
        <v>9.6499999999999204</v>
      </c>
      <c r="P182" s="122">
        <f t="shared" si="411"/>
        <v>4.4439999999999173</v>
      </c>
      <c r="Q182" s="122">
        <f t="shared" si="411"/>
        <v>29.72399999999994</v>
      </c>
      <c r="R182" s="123">
        <f t="shared" ref="R182:Y182" si="412">R181+R180+R179</f>
        <v>0.64999999999992042</v>
      </c>
      <c r="S182" s="127">
        <f t="shared" si="412"/>
        <v>0.64999999999992042</v>
      </c>
      <c r="T182" s="121">
        <f t="shared" si="412"/>
        <v>1.0719999999999175</v>
      </c>
      <c r="U182" s="122">
        <f t="shared" si="412"/>
        <v>1.1819999999999311</v>
      </c>
      <c r="V182" s="122">
        <f t="shared" si="412"/>
        <v>16.996999999999936</v>
      </c>
      <c r="W182" s="123">
        <f t="shared" si="412"/>
        <v>0.48199999999994247</v>
      </c>
      <c r="X182" s="127">
        <f t="shared" si="412"/>
        <v>0.48199999999995669</v>
      </c>
      <c r="Y182" s="121">
        <f t="shared" si="412"/>
        <v>2.3359999999999559</v>
      </c>
      <c r="Z182" s="122">
        <f t="shared" ref="Z182:AF182" si="413">Z181+Z180+Z179</f>
        <v>0.90999999999993975</v>
      </c>
      <c r="AA182" s="122">
        <f t="shared" si="413"/>
        <v>1.0839999999999463</v>
      </c>
      <c r="AB182" s="123">
        <f t="shared" si="413"/>
        <v>1.010999999999953</v>
      </c>
      <c r="AC182" s="127">
        <f t="shared" si="413"/>
        <v>1.0110000000000667</v>
      </c>
      <c r="AD182" s="121">
        <f t="shared" si="413"/>
        <v>2.0040000000000475</v>
      </c>
      <c r="AE182" s="122">
        <f t="shared" si="413"/>
        <v>2.9340000000000117</v>
      </c>
      <c r="AF182" s="122">
        <f t="shared" si="413"/>
        <v>1.005000000000031</v>
      </c>
      <c r="AG182" s="123">
        <f t="shared" ref="AG182:AM182" si="414">AG181+AG180+AG179</f>
        <v>0.59599999999999653</v>
      </c>
      <c r="AH182" s="127">
        <f t="shared" si="414"/>
        <v>0.59600000000010311</v>
      </c>
      <c r="AI182" s="121">
        <f t="shared" si="414"/>
        <v>0.55500000000009209</v>
      </c>
      <c r="AJ182" s="122">
        <f t="shared" si="414"/>
        <v>2.5970000000001079</v>
      </c>
      <c r="AK182" s="122">
        <f t="shared" si="414"/>
        <v>0.73100000000016507</v>
      </c>
      <c r="AL182" s="123">
        <f t="shared" si="414"/>
        <v>0.83400000000023056</v>
      </c>
      <c r="AM182" s="127">
        <f t="shared" si="414"/>
        <v>0.83400000000021635</v>
      </c>
      <c r="AN182" s="121">
        <f t="shared" ref="AN182:AR182" si="415">AN181+AN180+AN179</f>
        <v>0.49000000000020805</v>
      </c>
      <c r="AO182" s="122">
        <f t="shared" si="415"/>
        <v>0.61700000000019273</v>
      </c>
      <c r="AP182" s="122">
        <f t="shared" si="415"/>
        <v>206.84800000000016</v>
      </c>
      <c r="AQ182" s="123">
        <f t="shared" si="415"/>
        <v>0.84400000000019304</v>
      </c>
      <c r="AR182" s="127">
        <f t="shared" si="415"/>
        <v>0.84400000000019304</v>
      </c>
      <c r="AS182" s="121">
        <f t="shared" ref="AS182:AW182" si="416">AS181+AS180+AS179</f>
        <v>1.0000000000001847</v>
      </c>
      <c r="AT182" s="122">
        <f t="shared" si="416"/>
        <v>0.60100000000017317</v>
      </c>
      <c r="AU182" s="122">
        <f t="shared" si="416"/>
        <v>46.391000000000176</v>
      </c>
      <c r="AV182" s="123">
        <f t="shared" si="416"/>
        <v>10.87100000000018</v>
      </c>
      <c r="AW182" s="993">
        <f t="shared" si="416"/>
        <v>10.87100000000018</v>
      </c>
      <c r="AX182" s="121">
        <f t="shared" ref="AX182:BG182" si="417">AX181+AX180+AX179</f>
        <v>0</v>
      </c>
      <c r="AY182" s="122">
        <f t="shared" si="417"/>
        <v>0</v>
      </c>
      <c r="AZ182" s="122">
        <f t="shared" si="417"/>
        <v>92.138748168592343</v>
      </c>
      <c r="BA182" s="123">
        <f t="shared" si="417"/>
        <v>0</v>
      </c>
      <c r="BB182" s="86">
        <f t="shared" si="417"/>
        <v>0</v>
      </c>
      <c r="BC182" s="121">
        <f t="shared" si="417"/>
        <v>0</v>
      </c>
      <c r="BD182" s="122">
        <f t="shared" si="417"/>
        <v>0</v>
      </c>
      <c r="BE182" s="122">
        <f t="shared" si="417"/>
        <v>62.123199677878745</v>
      </c>
      <c r="BF182" s="123">
        <f t="shared" si="417"/>
        <v>0</v>
      </c>
      <c r="BG182" s="86">
        <f t="shared" si="417"/>
        <v>1.1368683772161603E-13</v>
      </c>
      <c r="BH182" s="121">
        <f t="shared" ref="BH182:BQ182" si="418">BH181+BH180+BH179</f>
        <v>0</v>
      </c>
      <c r="BI182" s="122">
        <f t="shared" si="418"/>
        <v>0</v>
      </c>
      <c r="BJ182" s="122">
        <f t="shared" si="418"/>
        <v>0</v>
      </c>
      <c r="BK182" s="123">
        <f t="shared" si="418"/>
        <v>0</v>
      </c>
      <c r="BL182" s="86">
        <f t="shared" si="418"/>
        <v>-7.1054273576010019E-14</v>
      </c>
      <c r="BM182" s="121">
        <f t="shared" si="418"/>
        <v>0</v>
      </c>
      <c r="BN182" s="122">
        <f t="shared" si="418"/>
        <v>0</v>
      </c>
      <c r="BO182" s="122">
        <f t="shared" si="418"/>
        <v>96.904132864903431</v>
      </c>
      <c r="BP182" s="123">
        <f t="shared" si="418"/>
        <v>69.636285082163454</v>
      </c>
      <c r="BQ182" s="86">
        <f t="shared" si="418"/>
        <v>69.636285082163539</v>
      </c>
      <c r="BR182" s="220"/>
      <c r="BS182" s="220"/>
      <c r="BT182" s="220"/>
      <c r="BU182" s="220"/>
      <c r="BV182" s="220"/>
      <c r="BW182" s="220"/>
      <c r="BX182" s="220"/>
      <c r="BY182" s="220"/>
      <c r="BZ182" s="220"/>
      <c r="CA182" s="220"/>
      <c r="CB182" s="220"/>
      <c r="CC182" s="220"/>
      <c r="CD182" s="220"/>
      <c r="CE182" s="220"/>
      <c r="CF182" s="220"/>
      <c r="CG182" s="220"/>
      <c r="CH182" s="220"/>
      <c r="CI182" s="220"/>
      <c r="CJ182" s="220"/>
      <c r="CK182" s="220"/>
      <c r="CL182" s="127">
        <f t="shared" ref="CL182:CX182" si="419">CL179+CL180+CL181</f>
        <v>158.94399999999996</v>
      </c>
      <c r="CM182" s="127">
        <f t="shared" si="419"/>
        <v>116.73599999999999</v>
      </c>
      <c r="CN182" s="127">
        <f t="shared" si="419"/>
        <v>4.2489999999999952</v>
      </c>
      <c r="CO182" s="127">
        <f t="shared" si="419"/>
        <v>7.3629999999999782</v>
      </c>
      <c r="CP182" s="127">
        <f t="shared" si="419"/>
        <v>7.3629999999999711</v>
      </c>
      <c r="CQ182" s="127">
        <f t="shared" si="419"/>
        <v>11.884999999999948</v>
      </c>
      <c r="CR182" s="127">
        <f t="shared" si="419"/>
        <v>0.27899999999998215</v>
      </c>
      <c r="CS182" s="127">
        <f t="shared" si="419"/>
        <v>1.1029999999999376</v>
      </c>
      <c r="CT182" s="127">
        <f t="shared" si="419"/>
        <v>1.7779999999999063</v>
      </c>
      <c r="CU182" s="127">
        <f t="shared" si="419"/>
        <v>1.7779999999999347</v>
      </c>
      <c r="CV182" s="127">
        <f t="shared" si="419"/>
        <v>9.6499999999999204</v>
      </c>
      <c r="CW182" s="127">
        <f t="shared" si="419"/>
        <v>4.4439999999999031</v>
      </c>
      <c r="CX182" s="127">
        <f t="shared" si="419"/>
        <v>29.723999999999961</v>
      </c>
      <c r="CY182" s="127">
        <f t="shared" ref="CY182:DH182" si="420">CY179+CY180+CY181</f>
        <v>0.64999999999994174</v>
      </c>
      <c r="CZ182" s="127">
        <f t="shared" si="420"/>
        <v>0.64999999999992042</v>
      </c>
      <c r="DA182" s="127">
        <f t="shared" si="420"/>
        <v>1.0719999999999175</v>
      </c>
      <c r="DB182" s="127">
        <f t="shared" si="420"/>
        <v>1.1819999999999311</v>
      </c>
      <c r="DC182" s="127">
        <f t="shared" si="420"/>
        <v>16.99699999999995</v>
      </c>
      <c r="DD182" s="127">
        <f t="shared" si="420"/>
        <v>0.48199999999995669</v>
      </c>
      <c r="DE182" s="127">
        <f t="shared" si="420"/>
        <v>0.48199999999995669</v>
      </c>
      <c r="DF182" s="127">
        <f t="shared" si="420"/>
        <v>2.3359999999999559</v>
      </c>
      <c r="DG182" s="127">
        <f t="shared" si="420"/>
        <v>0.90999999999995396</v>
      </c>
      <c r="DH182" s="127">
        <f t="shared" si="420"/>
        <v>1.0839999999999321</v>
      </c>
      <c r="DI182" s="127">
        <f t="shared" ref="DI182:DQ182" si="421">DI179+DI180+DI181</f>
        <v>1.0109999999999388</v>
      </c>
      <c r="DJ182" s="127">
        <f t="shared" si="421"/>
        <v>1.0110000000000667</v>
      </c>
      <c r="DK182" s="127">
        <f t="shared" si="421"/>
        <v>2.0040000000000475</v>
      </c>
      <c r="DL182" s="127">
        <f t="shared" si="421"/>
        <v>2.9340000000000686</v>
      </c>
      <c r="DM182" s="127">
        <f t="shared" si="421"/>
        <v>1.0050000000001234</v>
      </c>
      <c r="DN182" s="127">
        <f t="shared" si="421"/>
        <v>0.5960000000000889</v>
      </c>
      <c r="DO182" s="127">
        <f t="shared" si="421"/>
        <v>0.59600000000010311</v>
      </c>
      <c r="DP182" s="127">
        <f t="shared" si="421"/>
        <v>0.55500000000009209</v>
      </c>
      <c r="DQ182" s="127">
        <f t="shared" si="421"/>
        <v>2.597000000000051</v>
      </c>
      <c r="DR182" s="127">
        <f t="shared" ref="DR182:DW182" si="422">DR179+DR180+DR181</f>
        <v>0.73100000000007981</v>
      </c>
      <c r="DS182" s="127">
        <f t="shared" si="422"/>
        <v>0.83400000000014529</v>
      </c>
      <c r="DT182" s="127">
        <f t="shared" si="422"/>
        <v>0.83400000000021635</v>
      </c>
      <c r="DU182" s="127">
        <f t="shared" si="422"/>
        <v>0.49000000000020805</v>
      </c>
      <c r="DV182" s="127">
        <f t="shared" si="422"/>
        <v>0.61700000000020339</v>
      </c>
      <c r="DW182" s="127">
        <f t="shared" si="422"/>
        <v>206.84800000000013</v>
      </c>
      <c r="DX182" s="127">
        <f t="shared" ref="DX182:ED182" si="423">DX179+DX180+DX181</f>
        <v>0.84400000000016462</v>
      </c>
      <c r="DY182" s="127">
        <f t="shared" si="423"/>
        <v>0.84400000000019304</v>
      </c>
      <c r="DZ182" s="127">
        <f t="shared" si="423"/>
        <v>1.0000000000001847</v>
      </c>
      <c r="EA182" s="127">
        <f t="shared" si="423"/>
        <v>0.60100000000022646</v>
      </c>
      <c r="EB182" s="127">
        <f t="shared" si="423"/>
        <v>46.391000000000204</v>
      </c>
      <c r="EC182" s="127">
        <f t="shared" si="423"/>
        <v>10.871000000000208</v>
      </c>
      <c r="ED182" s="127">
        <f t="shared" si="423"/>
        <v>10.87100000000018</v>
      </c>
    </row>
    <row r="183" spans="1:134" x14ac:dyDescent="0.2">
      <c r="A183" s="289"/>
      <c r="B183" s="289"/>
      <c r="C183" s="289"/>
      <c r="D183" s="289"/>
      <c r="E183" s="291"/>
      <c r="F183" s="292"/>
      <c r="G183" s="292"/>
      <c r="H183" s="293"/>
      <c r="I183" s="289"/>
      <c r="J183" s="291"/>
      <c r="K183" s="292"/>
      <c r="L183" s="292"/>
      <c r="M183" s="293"/>
      <c r="N183" s="289"/>
      <c r="O183" s="291"/>
      <c r="P183" s="292"/>
      <c r="Q183" s="292"/>
      <c r="R183" s="293"/>
      <c r="S183" s="289"/>
      <c r="T183" s="291"/>
      <c r="U183" s="292"/>
      <c r="V183" s="292"/>
      <c r="W183" s="293"/>
      <c r="X183" s="289"/>
      <c r="Y183" s="291"/>
      <c r="Z183" s="292"/>
      <c r="AA183" s="292"/>
      <c r="AB183" s="293"/>
      <c r="AC183" s="289"/>
      <c r="AD183" s="291"/>
      <c r="AE183" s="292"/>
      <c r="AF183" s="292"/>
      <c r="AG183" s="293"/>
      <c r="AH183" s="289"/>
      <c r="AI183" s="291"/>
      <c r="AJ183" s="292"/>
      <c r="AK183" s="292"/>
      <c r="AL183" s="293"/>
      <c r="AM183" s="289"/>
      <c r="AN183" s="291"/>
      <c r="AO183" s="292"/>
      <c r="AP183" s="292"/>
      <c r="AQ183" s="293"/>
      <c r="AR183" s="289"/>
      <c r="AS183" s="291"/>
      <c r="AT183" s="292"/>
      <c r="AU183" s="292"/>
      <c r="AV183" s="293"/>
      <c r="AW183" s="289"/>
      <c r="AX183" s="291"/>
      <c r="AY183" s="292"/>
      <c r="AZ183" s="292"/>
      <c r="BA183" s="293"/>
      <c r="BB183" s="289"/>
      <c r="BC183" s="291"/>
      <c r="BD183" s="292"/>
      <c r="BE183" s="292"/>
      <c r="BF183" s="293"/>
      <c r="BG183" s="289"/>
      <c r="BH183" s="291"/>
      <c r="BI183" s="292"/>
      <c r="BJ183" s="292"/>
      <c r="BK183" s="293"/>
      <c r="BL183" s="289"/>
      <c r="BM183" s="291"/>
      <c r="BN183" s="292"/>
      <c r="BO183" s="292"/>
      <c r="BP183" s="293"/>
      <c r="BQ183" s="289"/>
      <c r="BR183" s="289"/>
      <c r="BS183" s="289"/>
      <c r="BT183" s="289"/>
      <c r="BU183" s="289"/>
      <c r="BV183" s="289"/>
      <c r="BW183" s="289"/>
      <c r="BX183" s="289"/>
      <c r="BY183" s="289"/>
      <c r="BZ183" s="289"/>
      <c r="CA183" s="289"/>
      <c r="CB183" s="289"/>
      <c r="CC183" s="289"/>
      <c r="CD183" s="289"/>
      <c r="CE183" s="289"/>
      <c r="CF183" s="289"/>
      <c r="CG183" s="289"/>
      <c r="CH183" s="289"/>
      <c r="CI183" s="289"/>
      <c r="CJ183" s="289"/>
      <c r="CK183" s="289"/>
      <c r="CL183" s="289"/>
      <c r="CM183" s="289"/>
      <c r="CN183" s="289"/>
      <c r="CO183" s="289"/>
      <c r="CP183" s="289"/>
      <c r="CQ183" s="289"/>
      <c r="CR183" s="289"/>
      <c r="CS183" s="289"/>
      <c r="CT183" s="289"/>
      <c r="CU183" s="289"/>
      <c r="CV183" s="289"/>
      <c r="CW183" s="289"/>
      <c r="CX183" s="289"/>
      <c r="CY183" s="289"/>
      <c r="CZ183" s="289"/>
    </row>
    <row r="184" spans="1:134" x14ac:dyDescent="0.2">
      <c r="A184" s="289"/>
      <c r="B184" s="289"/>
      <c r="C184" s="289"/>
      <c r="D184" s="289"/>
      <c r="E184" s="701"/>
      <c r="F184" s="702"/>
      <c r="G184" s="702"/>
      <c r="H184" s="703"/>
      <c r="I184" s="704"/>
      <c r="J184" s="701"/>
      <c r="K184" s="702"/>
      <c r="L184" s="702"/>
      <c r="M184" s="703"/>
      <c r="N184" s="704"/>
      <c r="O184" s="701"/>
      <c r="P184" s="702"/>
      <c r="Q184" s="702"/>
      <c r="R184" s="703"/>
      <c r="S184" s="704"/>
      <c r="T184" s="701"/>
      <c r="U184" s="292"/>
      <c r="V184" s="292"/>
      <c r="W184" s="293"/>
      <c r="X184" s="289"/>
      <c r="Y184" s="291"/>
      <c r="Z184" s="292"/>
      <c r="AA184" s="292"/>
      <c r="AB184" s="293"/>
      <c r="AC184" s="289"/>
      <c r="AD184" s="291"/>
      <c r="AE184" s="292"/>
      <c r="AF184" s="292"/>
      <c r="AG184" s="293"/>
      <c r="AH184" s="289"/>
      <c r="AI184" s="291"/>
      <c r="AJ184" s="292"/>
      <c r="AK184" s="292"/>
      <c r="AL184" s="293"/>
      <c r="AM184" s="289"/>
      <c r="AN184" s="291"/>
      <c r="AO184" s="292"/>
      <c r="AP184" s="292"/>
      <c r="AQ184" s="293"/>
      <c r="AR184" s="289"/>
      <c r="AS184" s="291"/>
      <c r="AT184" s="292"/>
      <c r="AU184" s="292"/>
      <c r="AV184" s="293"/>
      <c r="AW184" s="289"/>
      <c r="AX184" s="291"/>
      <c r="AY184" s="292"/>
      <c r="AZ184" s="292"/>
      <c r="BA184" s="293"/>
      <c r="BB184" s="289"/>
      <c r="BC184" s="291"/>
      <c r="BD184" s="292"/>
      <c r="BE184" s="292"/>
      <c r="BF184" s="293"/>
      <c r="BG184" s="289"/>
      <c r="BH184" s="291"/>
      <c r="BI184" s="292"/>
      <c r="BJ184" s="292"/>
      <c r="BK184" s="293"/>
      <c r="BL184" s="289"/>
      <c r="BM184" s="291"/>
      <c r="BN184" s="292"/>
      <c r="BO184" s="292"/>
      <c r="BP184" s="293"/>
      <c r="BQ184" s="289"/>
      <c r="BR184" s="289"/>
      <c r="BS184" s="289"/>
      <c r="BT184" s="289"/>
      <c r="BU184" s="289"/>
      <c r="BV184" s="289"/>
      <c r="BW184" s="289"/>
      <c r="BX184" s="289"/>
      <c r="BY184" s="289"/>
      <c r="BZ184" s="289"/>
      <c r="CA184" s="289"/>
      <c r="CB184" s="289"/>
      <c r="CC184" s="289"/>
      <c r="CD184" s="289"/>
      <c r="CE184" s="289"/>
      <c r="CF184" s="289"/>
      <c r="CG184" s="289"/>
      <c r="CH184" s="289"/>
      <c r="CI184" s="289"/>
      <c r="CJ184" s="289"/>
      <c r="CK184" s="289"/>
      <c r="CL184" s="289"/>
      <c r="CM184" s="289"/>
      <c r="CN184" s="289"/>
      <c r="CO184" s="289"/>
      <c r="CP184" s="289"/>
      <c r="CQ184" s="289"/>
      <c r="CR184" s="289"/>
      <c r="CS184" s="289"/>
      <c r="CT184" s="289"/>
      <c r="CU184" s="289"/>
      <c r="CV184" s="289"/>
      <c r="CW184" s="289"/>
      <c r="CX184" s="289"/>
      <c r="CY184" s="289"/>
      <c r="CZ184" s="289"/>
    </row>
    <row r="185" spans="1:134" x14ac:dyDescent="0.2">
      <c r="A185" s="289"/>
      <c r="B185" s="347" t="s">
        <v>230</v>
      </c>
      <c r="C185" s="347"/>
      <c r="D185" s="348"/>
      <c r="E185" s="291"/>
      <c r="F185" s="292"/>
      <c r="G185" s="292"/>
      <c r="H185" s="293"/>
      <c r="I185" s="289"/>
      <c r="J185" s="291"/>
      <c r="K185" s="292"/>
      <c r="L185" s="292"/>
      <c r="M185" s="293"/>
      <c r="N185" s="289"/>
      <c r="O185" s="291"/>
      <c r="P185" s="292"/>
      <c r="Q185" s="292"/>
      <c r="R185" s="293"/>
      <c r="S185" s="289"/>
      <c r="T185" s="291"/>
      <c r="U185" s="292"/>
      <c r="V185" s="292"/>
      <c r="W185" s="293"/>
      <c r="X185" s="289"/>
      <c r="Y185" s="291"/>
      <c r="Z185" s="292"/>
      <c r="AA185" s="292"/>
      <c r="AB185" s="293"/>
      <c r="AC185" s="289"/>
      <c r="AD185" s="291"/>
      <c r="AE185" s="292"/>
      <c r="AF185" s="292"/>
      <c r="AG185" s="293"/>
      <c r="AH185" s="289"/>
      <c r="AI185" s="774"/>
      <c r="AJ185" s="794"/>
      <c r="AK185" s="794"/>
      <c r="AL185" s="293"/>
      <c r="AM185" s="289"/>
      <c r="AN185" s="291"/>
      <c r="AO185" s="292"/>
      <c r="AP185" s="292"/>
      <c r="AQ185" s="293"/>
      <c r="AR185" s="289"/>
      <c r="AS185" s="291"/>
      <c r="AT185" s="292"/>
      <c r="AU185" s="292"/>
      <c r="AV185" s="293"/>
      <c r="AW185" s="289"/>
      <c r="AX185" s="291"/>
      <c r="AY185" s="292"/>
      <c r="AZ185" s="292"/>
      <c r="BA185" s="293"/>
      <c r="BB185" s="289"/>
      <c r="BC185" s="291"/>
      <c r="BD185" s="292"/>
      <c r="BE185" s="292"/>
      <c r="BF185" s="293"/>
      <c r="BG185" s="289"/>
      <c r="BH185" s="291"/>
      <c r="BI185" s="292"/>
      <c r="BJ185" s="292"/>
      <c r="BK185" s="293"/>
      <c r="BL185" s="289"/>
      <c r="BM185" s="291"/>
      <c r="BN185" s="292"/>
      <c r="BO185" s="292"/>
      <c r="BP185" s="293"/>
      <c r="BQ185" s="289"/>
      <c r="BR185" s="289"/>
      <c r="BS185" s="289"/>
      <c r="BT185" s="289"/>
      <c r="BU185" s="289"/>
      <c r="BV185" s="289"/>
      <c r="BW185" s="289"/>
      <c r="BX185" s="289"/>
      <c r="BY185" s="289"/>
      <c r="BZ185" s="289"/>
      <c r="CA185" s="289"/>
      <c r="CB185" s="289"/>
      <c r="CC185" s="289"/>
      <c r="CD185" s="289"/>
      <c r="CE185" s="289"/>
      <c r="CF185" s="289"/>
      <c r="CG185" s="289"/>
      <c r="CH185" s="289"/>
      <c r="CI185" s="289"/>
      <c r="CJ185" s="289"/>
      <c r="CK185" s="289"/>
      <c r="CL185" s="289"/>
      <c r="CM185" s="289"/>
      <c r="CN185" s="289"/>
      <c r="CO185" s="289"/>
      <c r="CP185" s="289"/>
      <c r="CQ185" s="289"/>
      <c r="CR185" s="289"/>
      <c r="CS185" s="289"/>
      <c r="CT185" s="289"/>
      <c r="CU185" s="289"/>
      <c r="CV185" s="289"/>
      <c r="CW185" s="289"/>
      <c r="CX185" s="289"/>
      <c r="CY185" s="289"/>
      <c r="CZ185" s="289"/>
    </row>
    <row r="186" spans="1:134" x14ac:dyDescent="0.2">
      <c r="A186" s="220"/>
      <c r="B186" s="220"/>
      <c r="C186" s="70" t="s">
        <v>231</v>
      </c>
      <c r="D186" s="82"/>
      <c r="E186" s="114">
        <v>158.94399999999999</v>
      </c>
      <c r="F186" s="115">
        <v>116.736</v>
      </c>
      <c r="G186" s="115">
        <v>4.2489999999999997</v>
      </c>
      <c r="H186" s="119">
        <f>I186</f>
        <v>7.3630000000000004</v>
      </c>
      <c r="I186" s="117">
        <v>7.3630000000000004</v>
      </c>
      <c r="J186" s="114">
        <v>11.885</v>
      </c>
      <c r="K186" s="115">
        <v>0.27900000000000003</v>
      </c>
      <c r="L186" s="115">
        <v>1.103</v>
      </c>
      <c r="M186" s="119">
        <f>N186</f>
        <v>1.778</v>
      </c>
      <c r="N186" s="117">
        <v>1.778</v>
      </c>
      <c r="O186" s="114">
        <v>9.65</v>
      </c>
      <c r="P186" s="115">
        <v>4.444</v>
      </c>
      <c r="Q186" s="115">
        <v>29.724</v>
      </c>
      <c r="R186" s="119">
        <f>S186</f>
        <v>0.65</v>
      </c>
      <c r="S186" s="117">
        <v>0.65</v>
      </c>
      <c r="T186" s="114">
        <v>1.0720000000000001</v>
      </c>
      <c r="U186" s="115">
        <v>1.1819999999999999</v>
      </c>
      <c r="V186" s="115">
        <v>16.997</v>
      </c>
      <c r="W186" s="119">
        <f>X186</f>
        <v>0.48199999999999998</v>
      </c>
      <c r="X186" s="117">
        <v>0.48199999999999998</v>
      </c>
      <c r="Y186" s="114">
        <v>2.3359999999999999</v>
      </c>
      <c r="Z186" s="115">
        <v>0.91</v>
      </c>
      <c r="AA186" s="115">
        <v>1.0840000000000001</v>
      </c>
      <c r="AB186" s="119">
        <f>AC186</f>
        <v>1.0109999999999999</v>
      </c>
      <c r="AC186" s="117">
        <v>1.0109999999999999</v>
      </c>
      <c r="AD186" s="114">
        <v>2.004</v>
      </c>
      <c r="AE186" s="115">
        <v>2.9340000000000002</v>
      </c>
      <c r="AF186" s="115">
        <v>1.0049999999999999</v>
      </c>
      <c r="AG186" s="119">
        <f>AH186</f>
        <v>0.59599999999999997</v>
      </c>
      <c r="AH186" s="117">
        <v>0.59599999999999997</v>
      </c>
      <c r="AI186" s="114">
        <v>0.55500000000000005</v>
      </c>
      <c r="AJ186" s="115">
        <v>2.597</v>
      </c>
      <c r="AK186" s="115">
        <v>0.73099999999999998</v>
      </c>
      <c r="AL186" s="119">
        <f>AM186</f>
        <v>0.83399999999999996</v>
      </c>
      <c r="AM186" s="117">
        <v>0.83399999999999996</v>
      </c>
      <c r="AN186" s="114">
        <v>0.49</v>
      </c>
      <c r="AO186" s="115">
        <v>0.61699999999999999</v>
      </c>
      <c r="AP186" s="115">
        <v>206.84800000000001</v>
      </c>
      <c r="AQ186" s="119">
        <f>AR186</f>
        <v>0.84399999999999997</v>
      </c>
      <c r="AR186" s="117">
        <v>0.84399999999999997</v>
      </c>
      <c r="AS186" s="114">
        <v>1</v>
      </c>
      <c r="AT186" s="115">
        <v>0.60099999999999998</v>
      </c>
      <c r="AU186" s="115">
        <v>46.390999999999998</v>
      </c>
      <c r="AV186" s="119">
        <f>AW186</f>
        <v>10.871</v>
      </c>
      <c r="AW186" s="117">
        <v>10.871</v>
      </c>
      <c r="AX186" s="136">
        <f t="shared" ref="AX186:BF186" si="424">+AX182</f>
        <v>0</v>
      </c>
      <c r="AY186" s="135">
        <f t="shared" si="424"/>
        <v>0</v>
      </c>
      <c r="AZ186" s="135">
        <f t="shared" si="424"/>
        <v>92.138748168592343</v>
      </c>
      <c r="BA186" s="116">
        <f t="shared" si="424"/>
        <v>0</v>
      </c>
      <c r="BB186" s="82">
        <f t="shared" si="424"/>
        <v>0</v>
      </c>
      <c r="BC186" s="136">
        <f t="shared" si="424"/>
        <v>0</v>
      </c>
      <c r="BD186" s="135">
        <f t="shared" si="424"/>
        <v>0</v>
      </c>
      <c r="BE186" s="135">
        <f t="shared" si="424"/>
        <v>62.123199677878745</v>
      </c>
      <c r="BF186" s="116">
        <f t="shared" si="424"/>
        <v>0</v>
      </c>
      <c r="BG186" s="82">
        <f t="shared" ref="BG186:BL186" si="425">+BG182</f>
        <v>1.1368683772161603E-13</v>
      </c>
      <c r="BH186" s="136">
        <f t="shared" si="425"/>
        <v>0</v>
      </c>
      <c r="BI186" s="135">
        <f t="shared" si="425"/>
        <v>0</v>
      </c>
      <c r="BJ186" s="135">
        <f t="shared" si="425"/>
        <v>0</v>
      </c>
      <c r="BK186" s="116">
        <f t="shared" si="425"/>
        <v>0</v>
      </c>
      <c r="BL186" s="82">
        <f t="shared" si="425"/>
        <v>-7.1054273576010019E-14</v>
      </c>
      <c r="BM186" s="136">
        <f t="shared" ref="BM186:BQ186" si="426">+BM182</f>
        <v>0</v>
      </c>
      <c r="BN186" s="135">
        <f t="shared" si="426"/>
        <v>0</v>
      </c>
      <c r="BO186" s="135">
        <f t="shared" si="426"/>
        <v>96.904132864903431</v>
      </c>
      <c r="BP186" s="116">
        <f t="shared" si="426"/>
        <v>69.636285082163454</v>
      </c>
      <c r="BQ186" s="82">
        <f t="shared" si="426"/>
        <v>69.636285082163539</v>
      </c>
      <c r="BR186" s="220"/>
      <c r="BS186" s="220"/>
      <c r="BT186" s="220"/>
      <c r="BU186" s="220"/>
      <c r="BV186" s="220"/>
      <c r="BW186" s="220"/>
      <c r="BX186" s="220"/>
      <c r="BY186" s="220"/>
      <c r="BZ186" s="220"/>
      <c r="CA186" s="220"/>
      <c r="CB186" s="220"/>
      <c r="CC186" s="220"/>
      <c r="CD186" s="220"/>
      <c r="CE186" s="220"/>
      <c r="CF186" s="220"/>
      <c r="CG186" s="220"/>
      <c r="CH186" s="220"/>
      <c r="CI186" s="220"/>
      <c r="CJ186" s="220"/>
      <c r="CK186" s="220"/>
      <c r="CL186" s="220"/>
      <c r="CM186" s="220"/>
      <c r="CN186" s="220"/>
      <c r="CO186" s="220"/>
      <c r="CP186" s="220"/>
      <c r="CQ186" s="220"/>
      <c r="CR186" s="220"/>
      <c r="CS186" s="220"/>
      <c r="CT186" s="220"/>
      <c r="CU186" s="220"/>
      <c r="CV186" s="220"/>
      <c r="CW186" s="220"/>
      <c r="CX186" s="220"/>
      <c r="CY186" s="220"/>
      <c r="CZ186" s="220"/>
    </row>
    <row r="187" spans="1:134" x14ac:dyDescent="0.2">
      <c r="A187" s="220"/>
      <c r="B187" s="220"/>
      <c r="C187" s="70"/>
      <c r="D187" s="82"/>
      <c r="E187" s="351"/>
      <c r="F187" s="352"/>
      <c r="G187" s="352"/>
      <c r="H187" s="353"/>
      <c r="I187" s="354"/>
      <c r="J187" s="351"/>
      <c r="K187" s="352"/>
      <c r="L187" s="352"/>
      <c r="M187" s="353"/>
      <c r="N187" s="354"/>
      <c r="O187" s="351"/>
      <c r="P187" s="337"/>
      <c r="Q187" s="337"/>
      <c r="R187" s="353"/>
      <c r="S187" s="354"/>
      <c r="T187" s="351"/>
      <c r="U187" s="337"/>
      <c r="V187" s="337"/>
      <c r="W187" s="353"/>
      <c r="X187" s="354"/>
      <c r="Y187" s="351"/>
      <c r="Z187" s="337"/>
      <c r="AA187" s="337"/>
      <c r="AB187" s="353"/>
      <c r="AC187" s="354"/>
      <c r="AD187" s="351"/>
      <c r="AE187" s="337"/>
      <c r="AF187" s="337"/>
      <c r="AG187" s="353"/>
      <c r="AH187" s="354"/>
      <c r="AI187" s="351"/>
      <c r="AJ187" s="337"/>
      <c r="AK187" s="337"/>
      <c r="AL187" s="353"/>
      <c r="AM187" s="354"/>
      <c r="AN187" s="351"/>
      <c r="AO187" s="337"/>
      <c r="AP187" s="337"/>
      <c r="AQ187" s="353"/>
      <c r="AR187" s="354"/>
      <c r="AS187" s="351"/>
      <c r="AT187" s="337"/>
      <c r="AU187" s="137"/>
      <c r="AV187" s="353"/>
      <c r="AW187" s="354"/>
      <c r="AX187" s="136"/>
      <c r="AY187" s="137"/>
      <c r="AZ187" s="137"/>
      <c r="BA187" s="116"/>
      <c r="BB187" s="220"/>
      <c r="BC187" s="136"/>
      <c r="BD187" s="137"/>
      <c r="BE187" s="137"/>
      <c r="BF187" s="116"/>
      <c r="BG187" s="220"/>
      <c r="BH187" s="136"/>
      <c r="BI187" s="137"/>
      <c r="BJ187" s="137"/>
      <c r="BK187" s="116"/>
      <c r="BL187" s="220"/>
      <c r="BM187" s="136"/>
      <c r="BN187" s="137"/>
      <c r="BO187" s="137"/>
      <c r="BP187" s="116"/>
      <c r="BQ187" s="220"/>
      <c r="BR187" s="220"/>
      <c r="BS187" s="220"/>
      <c r="BT187" s="220"/>
      <c r="BU187" s="220"/>
      <c r="BV187" s="220"/>
      <c r="BW187" s="220"/>
      <c r="BX187" s="220"/>
      <c r="BY187" s="220"/>
      <c r="BZ187" s="220"/>
      <c r="CA187" s="220"/>
      <c r="CB187" s="220"/>
      <c r="CC187" s="220"/>
      <c r="CD187" s="220"/>
      <c r="CE187" s="220"/>
      <c r="CF187" s="220"/>
      <c r="CG187" s="220"/>
      <c r="CH187" s="220"/>
      <c r="CI187" s="220"/>
      <c r="CJ187" s="220"/>
      <c r="CK187" s="220"/>
      <c r="CL187" s="220"/>
      <c r="CM187" s="220"/>
      <c r="CN187" s="220"/>
      <c r="CO187" s="220"/>
      <c r="CP187" s="220"/>
      <c r="CQ187" s="220"/>
      <c r="CR187" s="220"/>
      <c r="CS187" s="220"/>
      <c r="CT187" s="220"/>
      <c r="CU187" s="220"/>
      <c r="CV187" s="220"/>
      <c r="CW187" s="220"/>
      <c r="CX187" s="220"/>
      <c r="CY187" s="220"/>
      <c r="CZ187" s="220"/>
    </row>
    <row r="188" spans="1:134" x14ac:dyDescent="0.2">
      <c r="A188" s="220"/>
      <c r="B188" s="220"/>
      <c r="C188" s="70" t="s">
        <v>232</v>
      </c>
      <c r="D188" s="82"/>
      <c r="E188" s="114">
        <v>0</v>
      </c>
      <c r="F188" s="115">
        <v>0</v>
      </c>
      <c r="G188" s="115">
        <v>0</v>
      </c>
      <c r="H188" s="119">
        <f>I188</f>
        <v>0</v>
      </c>
      <c r="I188" s="117">
        <v>0</v>
      </c>
      <c r="J188" s="114">
        <v>0</v>
      </c>
      <c r="K188" s="115">
        <v>24</v>
      </c>
      <c r="L188" s="115">
        <v>0</v>
      </c>
      <c r="M188" s="119">
        <f>N188</f>
        <v>49</v>
      </c>
      <c r="N188" s="117">
        <v>49</v>
      </c>
      <c r="O188" s="114">
        <v>75</v>
      </c>
      <c r="P188" s="115">
        <v>131</v>
      </c>
      <c r="Q188" s="115">
        <v>133.173</v>
      </c>
      <c r="R188" s="119">
        <f>S188</f>
        <v>5</v>
      </c>
      <c r="S188" s="117">
        <v>5</v>
      </c>
      <c r="T188" s="114">
        <f>26+31</f>
        <v>57</v>
      </c>
      <c r="U188" s="115">
        <v>0</v>
      </c>
      <c r="V188" s="115">
        <v>0</v>
      </c>
      <c r="W188" s="119">
        <f>X188</f>
        <v>9</v>
      </c>
      <c r="X188" s="117">
        <v>9</v>
      </c>
      <c r="Y188" s="114">
        <f>16+20</f>
        <v>36</v>
      </c>
      <c r="Z188" s="115">
        <f>49+66</f>
        <v>115</v>
      </c>
      <c r="AA188" s="115">
        <v>80</v>
      </c>
      <c r="AB188" s="119">
        <f>AC188</f>
        <v>122</v>
      </c>
      <c r="AC188" s="117">
        <f>84+38</f>
        <v>122</v>
      </c>
      <c r="AD188" s="114">
        <f>69+100</f>
        <v>169</v>
      </c>
      <c r="AE188" s="115">
        <v>99</v>
      </c>
      <c r="AF188" s="115">
        <v>0</v>
      </c>
      <c r="AG188" s="119">
        <f>AH188</f>
        <v>53</v>
      </c>
      <c r="AH188" s="117">
        <f>37+16</f>
        <v>53</v>
      </c>
      <c r="AI188" s="114">
        <v>123</v>
      </c>
      <c r="AJ188" s="115">
        <v>209</v>
      </c>
      <c r="AK188" s="115">
        <v>18</v>
      </c>
      <c r="AL188" s="119">
        <f>AM188</f>
        <v>15</v>
      </c>
      <c r="AM188" s="117">
        <v>15</v>
      </c>
      <c r="AN188" s="114">
        <v>80</v>
      </c>
      <c r="AO188" s="115">
        <f>25+100</f>
        <v>125</v>
      </c>
      <c r="AP188" s="115">
        <v>0</v>
      </c>
      <c r="AQ188" s="119">
        <f>AR188</f>
        <v>50</v>
      </c>
      <c r="AR188" s="117">
        <v>50</v>
      </c>
      <c r="AS188" s="114">
        <v>111</v>
      </c>
      <c r="AT188" s="115">
        <f>106+61</f>
        <v>167</v>
      </c>
      <c r="AU188" s="133">
        <v>0</v>
      </c>
      <c r="AV188" s="119">
        <f>AW188</f>
        <v>0</v>
      </c>
      <c r="AW188" s="117">
        <v>0</v>
      </c>
      <c r="AX188" s="136">
        <f>+AW188+AX181</f>
        <v>96.900135781020055</v>
      </c>
      <c r="AY188" s="135">
        <f>+AX188+AY181</f>
        <v>195.88985618599756</v>
      </c>
      <c r="AZ188" s="135">
        <f>+AY188+AZ181</f>
        <v>0</v>
      </c>
      <c r="BA188" s="116">
        <f>+AZ188+BA181</f>
        <v>35.293982180180961</v>
      </c>
      <c r="BB188" s="82">
        <f>+BA188</f>
        <v>35.293982180180961</v>
      </c>
      <c r="BC188" s="136">
        <f>+BB188+BC181</f>
        <v>155.42278111624009</v>
      </c>
      <c r="BD188" s="135">
        <f>+BC188+BD181</f>
        <v>266.2113286673503</v>
      </c>
      <c r="BE188" s="135">
        <f>+BD188+BE181</f>
        <v>0</v>
      </c>
      <c r="BF188" s="116">
        <f>+BE188+BF181</f>
        <v>78.628125006989336</v>
      </c>
      <c r="BG188" s="82">
        <f>+BF188</f>
        <v>78.628125006989336</v>
      </c>
      <c r="BH188" s="136">
        <f>+BG188+BH181</f>
        <v>132.65674914721203</v>
      </c>
      <c r="BI188" s="135">
        <f>+BH188+BI181</f>
        <v>176.19461020005343</v>
      </c>
      <c r="BJ188" s="135">
        <f>+BI188+BJ181</f>
        <v>23.770131235680878</v>
      </c>
      <c r="BK188" s="116">
        <f>+BJ188+BK181</f>
        <v>95.702636145045474</v>
      </c>
      <c r="BL188" s="82">
        <f>+BK188</f>
        <v>95.702636145045474</v>
      </c>
      <c r="BM188" s="136">
        <f>+BL188+BM181</f>
        <v>105.6189634629267</v>
      </c>
      <c r="BN188" s="135">
        <f>+BM188+BN181</f>
        <v>104.25699734871492</v>
      </c>
      <c r="BO188" s="135">
        <f>+BN188+BO181</f>
        <v>0</v>
      </c>
      <c r="BP188" s="116">
        <f>+BO188+BP181</f>
        <v>0</v>
      </c>
      <c r="BQ188" s="82">
        <f>+BP188</f>
        <v>0</v>
      </c>
      <c r="BR188" s="220"/>
      <c r="BS188" s="220"/>
      <c r="BT188" s="220"/>
      <c r="BU188" s="220"/>
      <c r="BV188" s="220"/>
      <c r="BW188" s="220"/>
      <c r="BX188" s="220"/>
      <c r="BY188" s="220"/>
      <c r="BZ188" s="220"/>
      <c r="CA188" s="220"/>
      <c r="CB188" s="220"/>
      <c r="CC188" s="220"/>
      <c r="CD188" s="220"/>
      <c r="CE188" s="220"/>
      <c r="CF188" s="220"/>
      <c r="CG188" s="220"/>
      <c r="CH188" s="220"/>
      <c r="CI188" s="220"/>
      <c r="CJ188" s="220"/>
      <c r="CK188" s="220"/>
      <c r="CL188" s="220"/>
      <c r="CM188" s="220"/>
      <c r="CN188" s="220"/>
      <c r="CO188" s="220"/>
      <c r="CP188" s="220"/>
      <c r="CQ188" s="220"/>
      <c r="CR188" s="220"/>
      <c r="CS188" s="220"/>
      <c r="CT188" s="220"/>
      <c r="CU188" s="220"/>
      <c r="CV188" s="220"/>
      <c r="CW188" s="220"/>
      <c r="CX188" s="220"/>
      <c r="CY188" s="220"/>
      <c r="CZ188" s="220"/>
    </row>
    <row r="189" spans="1:134" x14ac:dyDescent="0.2">
      <c r="A189" s="220"/>
      <c r="B189" s="220"/>
      <c r="C189" s="70" t="s">
        <v>299</v>
      </c>
      <c r="D189" s="82"/>
      <c r="E189" s="114">
        <v>922.20500000000004</v>
      </c>
      <c r="F189" s="115">
        <v>922.28499999999997</v>
      </c>
      <c r="G189" s="115">
        <v>922.36599999999999</v>
      </c>
      <c r="H189" s="116">
        <f>+I189</f>
        <v>922.447</v>
      </c>
      <c r="I189" s="117">
        <v>922.447</v>
      </c>
      <c r="J189" s="114">
        <v>897.52599999999995</v>
      </c>
      <c r="K189" s="115">
        <v>897.60599999999999</v>
      </c>
      <c r="L189" s="115">
        <f>853.178+44.5</f>
        <v>897.678</v>
      </c>
      <c r="M189" s="116">
        <f>+N189</f>
        <v>897.76700000000005</v>
      </c>
      <c r="N189" s="117">
        <f>853.267+44.5</f>
        <v>897.76700000000005</v>
      </c>
      <c r="O189" s="114">
        <f>853.347+44.5</f>
        <v>897.84699999999998</v>
      </c>
      <c r="P189" s="115">
        <f>853.427+44.5</f>
        <v>897.92700000000002</v>
      </c>
      <c r="Q189" s="115">
        <v>993.20799999999997</v>
      </c>
      <c r="R189" s="116">
        <f>+S189</f>
        <v>993.31399999999996</v>
      </c>
      <c r="S189" s="117">
        <v>993.31399999999996</v>
      </c>
      <c r="T189" s="114">
        <v>993.41899999999998</v>
      </c>
      <c r="U189" s="115">
        <v>1103.566</v>
      </c>
      <c r="V189" s="115">
        <v>1103.625</v>
      </c>
      <c r="W189" s="116">
        <f>+X189</f>
        <v>1103.684</v>
      </c>
      <c r="X189" s="117">
        <v>1103.684</v>
      </c>
      <c r="Y189" s="114">
        <v>1103.74</v>
      </c>
      <c r="Z189" s="115">
        <v>1103.797</v>
      </c>
      <c r="AA189" s="115">
        <v>1199.7829999999999</v>
      </c>
      <c r="AB189" s="116">
        <f>+AC189</f>
        <v>1199.865</v>
      </c>
      <c r="AC189" s="117">
        <v>1199.865</v>
      </c>
      <c r="AD189" s="114">
        <v>1199.9369999999999</v>
      </c>
      <c r="AE189" s="115">
        <v>1349.518</v>
      </c>
      <c r="AF189" s="115">
        <v>1349.604</v>
      </c>
      <c r="AG189" s="116">
        <f>+AH189</f>
        <v>1349.691</v>
      </c>
      <c r="AH189" s="117">
        <v>1349.691</v>
      </c>
      <c r="AI189" s="114">
        <v>1349.7739999999999</v>
      </c>
      <c r="AJ189" s="115">
        <v>1349.8579999999999</v>
      </c>
      <c r="AK189" s="115">
        <v>1550.537</v>
      </c>
      <c r="AL189" s="116">
        <f>+AM189</f>
        <v>1550.605</v>
      </c>
      <c r="AM189" s="117">
        <f>200+1350.605</f>
        <v>1550.605</v>
      </c>
      <c r="AN189" s="114">
        <f>200+1338.842</f>
        <v>1538.8420000000001</v>
      </c>
      <c r="AO189" s="115">
        <f>200+1339.177</f>
        <v>1539.1769999999999</v>
      </c>
      <c r="AP189" s="115">
        <f>1635.687+200</f>
        <v>1835.6869999999999</v>
      </c>
      <c r="AQ189" s="116">
        <f>+AR189</f>
        <v>1635.8579999999999</v>
      </c>
      <c r="AR189" s="117">
        <v>1635.8579999999999</v>
      </c>
      <c r="AS189" s="114">
        <v>1636.1579999999999</v>
      </c>
      <c r="AT189" s="115">
        <v>1636.4780000000001</v>
      </c>
      <c r="AU189" s="115">
        <v>1829.9649999999999</v>
      </c>
      <c r="AV189" s="116">
        <f>+AW189</f>
        <v>1829.941</v>
      </c>
      <c r="AW189" s="117">
        <v>1829.941</v>
      </c>
      <c r="AX189" s="136">
        <f>+AW189+AX172+AX173</f>
        <v>1829.941</v>
      </c>
      <c r="AY189" s="135">
        <f>+AX189+AY172+AY173</f>
        <v>1829.941</v>
      </c>
      <c r="AZ189" s="135">
        <f>+AY189+AZ172+AZ173</f>
        <v>2179.9409999999998</v>
      </c>
      <c r="BA189" s="116">
        <f>+AZ189+BA172+BA173</f>
        <v>2179.9409999999998</v>
      </c>
      <c r="BB189" s="82">
        <f>+BA189</f>
        <v>2179.9409999999998</v>
      </c>
      <c r="BC189" s="136">
        <f>+BB189+BC172+BC173</f>
        <v>2179.9409999999998</v>
      </c>
      <c r="BD189" s="135">
        <f>+BC189+BD172+BD173</f>
        <v>2179.9409999999998</v>
      </c>
      <c r="BE189" s="135">
        <f>+BD189+BE172+BE173</f>
        <v>2579.9409999999998</v>
      </c>
      <c r="BF189" s="116">
        <f>+BE189+BF172+BF173</f>
        <v>2579.9409999999998</v>
      </c>
      <c r="BG189" s="82">
        <f>+BF189</f>
        <v>2579.9409999999998</v>
      </c>
      <c r="BH189" s="136">
        <f>+BG189+BH172+BH173</f>
        <v>2579.9409999999998</v>
      </c>
      <c r="BI189" s="135">
        <f>+BH189+BI172+BI173</f>
        <v>2579.9409999999998</v>
      </c>
      <c r="BJ189" s="135">
        <f>+BI189+BJ172+BJ173</f>
        <v>2729.9409999999998</v>
      </c>
      <c r="BK189" s="116">
        <f>+BJ189+BK172+BK173</f>
        <v>2729.9409999999998</v>
      </c>
      <c r="BL189" s="82">
        <f>+BK189</f>
        <v>2729.9409999999998</v>
      </c>
      <c r="BM189" s="136">
        <f>+BL189+BM172+BM173</f>
        <v>2729.9409999999998</v>
      </c>
      <c r="BN189" s="135">
        <f>+BM189+BN172+BN173</f>
        <v>2729.9409999999998</v>
      </c>
      <c r="BO189" s="135">
        <f>+BN189+BO172+BO173</f>
        <v>2879.9409999999998</v>
      </c>
      <c r="BP189" s="116">
        <f>+BO189+BP172+BP173</f>
        <v>2879.9409999999998</v>
      </c>
      <c r="BQ189" s="82">
        <f>+BP189</f>
        <v>2879.9409999999998</v>
      </c>
      <c r="BR189" s="220"/>
      <c r="BS189" s="220"/>
      <c r="BT189" s="220"/>
      <c r="BU189" s="220"/>
      <c r="BV189" s="220"/>
      <c r="BW189" s="220"/>
      <c r="BX189" s="220"/>
      <c r="BY189" s="220"/>
      <c r="BZ189" s="220"/>
      <c r="CA189" s="220"/>
      <c r="CB189" s="220"/>
      <c r="CC189" s="220"/>
      <c r="CD189" s="220"/>
      <c r="CE189" s="220"/>
      <c r="CF189" s="220"/>
      <c r="CG189" s="220"/>
      <c r="CH189" s="220"/>
      <c r="CI189" s="220"/>
      <c r="CJ189" s="220"/>
      <c r="CK189" s="220"/>
      <c r="CL189" s="220"/>
      <c r="CM189" s="220"/>
      <c r="CN189" s="220"/>
      <c r="CO189" s="220"/>
      <c r="CP189" s="220"/>
      <c r="CQ189" s="220"/>
      <c r="CR189" s="220"/>
      <c r="CS189" s="220"/>
      <c r="CT189" s="220"/>
      <c r="CU189" s="220"/>
      <c r="CV189" s="220"/>
      <c r="CW189" s="220"/>
      <c r="CX189" s="220"/>
      <c r="CY189" s="220"/>
      <c r="CZ189" s="220"/>
    </row>
    <row r="190" spans="1:134" x14ac:dyDescent="0.2">
      <c r="A190" s="220"/>
      <c r="B190" s="220"/>
      <c r="C190" s="141" t="s">
        <v>48</v>
      </c>
      <c r="D190" s="82"/>
      <c r="E190" s="121">
        <f>SUM(E188:E189)</f>
        <v>922.20500000000004</v>
      </c>
      <c r="F190" s="122">
        <f>SUM(F188:F189)</f>
        <v>922.28499999999997</v>
      </c>
      <c r="G190" s="122">
        <f>SUM(G188:G189)</f>
        <v>922.36599999999999</v>
      </c>
      <c r="H190" s="123">
        <f>+I190</f>
        <v>922.447</v>
      </c>
      <c r="I190" s="86">
        <f>SUM(I188:I189)</f>
        <v>922.447</v>
      </c>
      <c r="J190" s="121">
        <f>SUM(J188:J189)</f>
        <v>897.52599999999995</v>
      </c>
      <c r="K190" s="122">
        <f>SUM(K188:K189)</f>
        <v>921.60599999999999</v>
      </c>
      <c r="L190" s="122">
        <f>SUM(L188:L189)</f>
        <v>897.678</v>
      </c>
      <c r="M190" s="123">
        <f>+N190</f>
        <v>946.76700000000005</v>
      </c>
      <c r="N190" s="86">
        <f>SUM(N188:N189)</f>
        <v>946.76700000000005</v>
      </c>
      <c r="O190" s="121">
        <f>SUM(O188:O189)</f>
        <v>972.84699999999998</v>
      </c>
      <c r="P190" s="122">
        <f>SUM(P188:P189)</f>
        <v>1028.9270000000001</v>
      </c>
      <c r="Q190" s="122">
        <f>SUM(Q188:Q189)</f>
        <v>1126.3809999999999</v>
      </c>
      <c r="R190" s="123">
        <f>+S190</f>
        <v>998.31399999999996</v>
      </c>
      <c r="S190" s="86">
        <f>SUM(S188:S189)</f>
        <v>998.31399999999996</v>
      </c>
      <c r="T190" s="121">
        <f>SUM(T188:T189)</f>
        <v>1050.4189999999999</v>
      </c>
      <c r="U190" s="122">
        <f>SUM(U188:U189)</f>
        <v>1103.566</v>
      </c>
      <c r="V190" s="122">
        <f>SUM(V188:V189)</f>
        <v>1103.625</v>
      </c>
      <c r="W190" s="123">
        <f>+X190</f>
        <v>1112.684</v>
      </c>
      <c r="X190" s="86">
        <f>SUM(X188:X189)</f>
        <v>1112.684</v>
      </c>
      <c r="Y190" s="121">
        <f>SUM(Y188:Y189)</f>
        <v>1139.74</v>
      </c>
      <c r="Z190" s="122">
        <f>SUM(Z188:Z189)</f>
        <v>1218.797</v>
      </c>
      <c r="AA190" s="122">
        <f>SUM(AA188:AA189)</f>
        <v>1279.7829999999999</v>
      </c>
      <c r="AB190" s="123">
        <f>+AC190</f>
        <v>1321.865</v>
      </c>
      <c r="AC190" s="86">
        <f>SUM(AC188:AC189)</f>
        <v>1321.865</v>
      </c>
      <c r="AD190" s="121">
        <f>SUM(AD188:AD189)</f>
        <v>1368.9369999999999</v>
      </c>
      <c r="AE190" s="122">
        <f>SUM(AE188:AE189)</f>
        <v>1448.518</v>
      </c>
      <c r="AF190" s="122">
        <f>SUM(AF188:AF189)</f>
        <v>1349.604</v>
      </c>
      <c r="AG190" s="123">
        <f>+AH190</f>
        <v>1402.691</v>
      </c>
      <c r="AH190" s="86">
        <f>SUM(AH188:AH189)</f>
        <v>1402.691</v>
      </c>
      <c r="AI190" s="121">
        <f>SUM(AI188:AI189)</f>
        <v>1472.7739999999999</v>
      </c>
      <c r="AJ190" s="122">
        <f>SUM(AJ188:AJ189)</f>
        <v>1558.8579999999999</v>
      </c>
      <c r="AK190" s="122">
        <f>SUM(AK188:AK189)</f>
        <v>1568.537</v>
      </c>
      <c r="AL190" s="123">
        <f>+AM190</f>
        <v>1565.605</v>
      </c>
      <c r="AM190" s="86">
        <f>SUM(AM188:AM189)</f>
        <v>1565.605</v>
      </c>
      <c r="AN190" s="121">
        <f>SUM(AN188:AN189)</f>
        <v>1618.8420000000001</v>
      </c>
      <c r="AO190" s="122">
        <f>SUM(AO188:AO189)</f>
        <v>1664.1769999999999</v>
      </c>
      <c r="AP190" s="122">
        <f>SUM(AP188:AP189)</f>
        <v>1835.6869999999999</v>
      </c>
      <c r="AQ190" s="123">
        <f>+AR190</f>
        <v>1685.8579999999999</v>
      </c>
      <c r="AR190" s="86">
        <f t="shared" ref="AR190" si="427">SUM(AR188:AR189)</f>
        <v>1685.8579999999999</v>
      </c>
      <c r="AS190" s="121">
        <f>SUM(AS188:AS189)</f>
        <v>1747.1579999999999</v>
      </c>
      <c r="AT190" s="122">
        <f>SUM(AT188:AT189)</f>
        <v>1803.4780000000001</v>
      </c>
      <c r="AU190" s="122">
        <f>SUM(AU188:AU189)</f>
        <v>1829.9649999999999</v>
      </c>
      <c r="AV190" s="123">
        <f>+AW190</f>
        <v>1829.941</v>
      </c>
      <c r="AW190" s="86">
        <f t="shared" ref="AW190" si="428">SUM(AW188:AW189)</f>
        <v>1829.941</v>
      </c>
      <c r="AX190" s="121">
        <f t="shared" ref="AX190:BG190" si="429">SUM(AX188:AX189)</f>
        <v>1926.8411357810201</v>
      </c>
      <c r="AY190" s="122">
        <f t="shared" si="429"/>
        <v>2025.8308561859976</v>
      </c>
      <c r="AZ190" s="122">
        <f t="shared" si="429"/>
        <v>2179.9409999999998</v>
      </c>
      <c r="BA190" s="123">
        <f t="shared" si="429"/>
        <v>2215.2349821801809</v>
      </c>
      <c r="BB190" s="86">
        <f t="shared" si="429"/>
        <v>2215.2349821801809</v>
      </c>
      <c r="BC190" s="121">
        <f t="shared" si="429"/>
        <v>2335.3637811162398</v>
      </c>
      <c r="BD190" s="122">
        <f t="shared" si="429"/>
        <v>2446.15232866735</v>
      </c>
      <c r="BE190" s="122">
        <f t="shared" si="429"/>
        <v>2579.9409999999998</v>
      </c>
      <c r="BF190" s="123">
        <f t="shared" si="429"/>
        <v>2658.569125006989</v>
      </c>
      <c r="BG190" s="86">
        <f t="shared" si="429"/>
        <v>2658.569125006989</v>
      </c>
      <c r="BH190" s="121">
        <f t="shared" ref="BH190:BQ190" si="430">SUM(BH188:BH189)</f>
        <v>2712.5977491472117</v>
      </c>
      <c r="BI190" s="122">
        <f t="shared" si="430"/>
        <v>2756.1356102000532</v>
      </c>
      <c r="BJ190" s="122">
        <f t="shared" si="430"/>
        <v>2753.7111312356806</v>
      </c>
      <c r="BK190" s="123">
        <f t="shared" si="430"/>
        <v>2825.6436361450451</v>
      </c>
      <c r="BL190" s="86">
        <f t="shared" si="430"/>
        <v>2825.6436361450451</v>
      </c>
      <c r="BM190" s="121">
        <f t="shared" si="430"/>
        <v>2835.5599634629266</v>
      </c>
      <c r="BN190" s="122">
        <f t="shared" si="430"/>
        <v>2834.1979973487146</v>
      </c>
      <c r="BO190" s="122">
        <f t="shared" si="430"/>
        <v>2879.9409999999998</v>
      </c>
      <c r="BP190" s="123">
        <f t="shared" si="430"/>
        <v>2879.9409999999998</v>
      </c>
      <c r="BQ190" s="86">
        <f t="shared" si="430"/>
        <v>2879.9409999999998</v>
      </c>
      <c r="BR190" s="220"/>
      <c r="BS190" s="220"/>
      <c r="BT190" s="220"/>
      <c r="BU190" s="220"/>
      <c r="BV190" s="220"/>
      <c r="BW190" s="220"/>
      <c r="BX190" s="220"/>
      <c r="BY190" s="220"/>
      <c r="BZ190" s="220"/>
      <c r="CA190" s="220"/>
      <c r="CB190" s="220"/>
      <c r="CC190" s="220"/>
      <c r="CD190" s="220"/>
      <c r="CE190" s="220"/>
      <c r="CF190" s="220"/>
      <c r="CG190" s="220"/>
      <c r="CH190" s="220"/>
      <c r="CI190" s="220"/>
      <c r="CJ190" s="220"/>
      <c r="CK190" s="220"/>
      <c r="CL190" s="220"/>
      <c r="CM190" s="220"/>
      <c r="CN190" s="220"/>
      <c r="CO190" s="220"/>
      <c r="CP190" s="220"/>
      <c r="CQ190" s="220"/>
      <c r="CR190" s="220"/>
      <c r="CS190" s="220"/>
      <c r="CT190" s="220"/>
      <c r="CU190" s="220"/>
      <c r="CV190" s="220"/>
      <c r="CW190" s="220"/>
      <c r="CX190" s="220"/>
      <c r="CY190" s="220"/>
      <c r="CZ190" s="220"/>
    </row>
    <row r="191" spans="1:134" x14ac:dyDescent="0.2">
      <c r="A191" s="45"/>
      <c r="B191" s="45"/>
      <c r="C191" s="248" t="s">
        <v>234</v>
      </c>
      <c r="D191" s="45"/>
      <c r="E191" s="249">
        <f t="shared" ref="E191:T191" si="431">+E190/E199</f>
        <v>0.49998156660041487</v>
      </c>
      <c r="F191" s="250">
        <f t="shared" si="431"/>
        <v>0.49646151701254815</v>
      </c>
      <c r="G191" s="250">
        <f t="shared" si="431"/>
        <v>0.49105380282589944</v>
      </c>
      <c r="H191" s="251">
        <f t="shared" si="431"/>
        <v>0.4927714685754</v>
      </c>
      <c r="I191" s="252">
        <f t="shared" si="431"/>
        <v>0.4927714685754</v>
      </c>
      <c r="J191" s="249">
        <f t="shared" si="431"/>
        <v>0.48834773486669175</v>
      </c>
      <c r="K191" s="250">
        <f t="shared" si="431"/>
        <v>0.49060008687653311</v>
      </c>
      <c r="L191" s="250">
        <f t="shared" si="431"/>
        <v>0.4781134057187536</v>
      </c>
      <c r="M191" s="251">
        <f t="shared" si="431"/>
        <v>0.49598036544989732</v>
      </c>
      <c r="N191" s="252">
        <f t="shared" si="431"/>
        <v>0.49598036544989732</v>
      </c>
      <c r="O191" s="249">
        <f t="shared" si="431"/>
        <v>0.49149076983701961</v>
      </c>
      <c r="P191" s="250">
        <f t="shared" si="431"/>
        <v>0.5033559443754666</v>
      </c>
      <c r="Q191" s="250">
        <f>+Q190/Q199</f>
        <v>0.50873798422723049</v>
      </c>
      <c r="R191" s="251">
        <f t="shared" si="431"/>
        <v>0.48107507181328985</v>
      </c>
      <c r="S191" s="252">
        <f>+S190/S199</f>
        <v>0.48107507181328985</v>
      </c>
      <c r="T191" s="249">
        <f t="shared" si="431"/>
        <v>0.49503606195190741</v>
      </c>
      <c r="U191" s="250">
        <f t="shared" ref="U191:Z191" si="432">+U190/U199</f>
        <v>0.50326796789492878</v>
      </c>
      <c r="V191" s="250">
        <f t="shared" si="432"/>
        <v>0.4938739271709085</v>
      </c>
      <c r="W191" s="251">
        <f t="shared" si="432"/>
        <v>0.48596481803463337</v>
      </c>
      <c r="X191" s="252">
        <f t="shared" si="432"/>
        <v>0.48596481803463337</v>
      </c>
      <c r="Y191" s="249">
        <f t="shared" si="432"/>
        <v>0.47944479406093199</v>
      </c>
      <c r="Z191" s="250">
        <f t="shared" si="432"/>
        <v>0.48230260091063137</v>
      </c>
      <c r="AA191" s="250">
        <f t="shared" ref="AA191:AF191" si="433">+AA190/AA199</f>
        <v>0.49131284544093784</v>
      </c>
      <c r="AB191" s="251">
        <f t="shared" si="433"/>
        <v>0.49221278573226551</v>
      </c>
      <c r="AC191" s="252">
        <f t="shared" si="433"/>
        <v>0.49221278573226551</v>
      </c>
      <c r="AD191" s="249">
        <f t="shared" si="433"/>
        <v>0.49362637362637363</v>
      </c>
      <c r="AE191" s="250">
        <f t="shared" si="433"/>
        <v>0.49666090979193306</v>
      </c>
      <c r="AF191" s="250">
        <f t="shared" si="433"/>
        <v>0.46192169259435206</v>
      </c>
      <c r="AG191" s="251">
        <f t="shared" ref="AG191:AM191" si="434">+AG190/AG199</f>
        <v>0.47337625368567304</v>
      </c>
      <c r="AH191" s="252">
        <f t="shared" si="434"/>
        <v>0.47337625368567304</v>
      </c>
      <c r="AI191" s="249">
        <f t="shared" si="434"/>
        <v>0.48635808845480172</v>
      </c>
      <c r="AJ191" s="250">
        <f t="shared" si="434"/>
        <v>0.49512579055827582</v>
      </c>
      <c r="AK191" s="250">
        <f t="shared" si="434"/>
        <v>0.49084348924065779</v>
      </c>
      <c r="AL191" s="251">
        <f t="shared" si="434"/>
        <v>0.46408179623032564</v>
      </c>
      <c r="AM191" s="252">
        <f t="shared" si="434"/>
        <v>0.46408179623032564</v>
      </c>
      <c r="AN191" s="249">
        <f t="shared" ref="AN191:AR191" si="435">+AN190/AN199</f>
        <v>0.46940317636319984</v>
      </c>
      <c r="AO191" s="250">
        <f t="shared" si="435"/>
        <v>0.47453874265170509</v>
      </c>
      <c r="AP191" s="250">
        <f t="shared" si="435"/>
        <v>0.4935506186700952</v>
      </c>
      <c r="AQ191" s="251">
        <f t="shared" si="435"/>
        <v>0.46602151619574994</v>
      </c>
      <c r="AR191" s="252">
        <f t="shared" si="435"/>
        <v>0.46602151619574994</v>
      </c>
      <c r="AS191" s="249">
        <f>+AS190/AS199</f>
        <v>0.46938626378143355</v>
      </c>
      <c r="AT191" s="250">
        <f>+AT190/AT199</f>
        <v>0.47598848323436471</v>
      </c>
      <c r="AU191" s="250">
        <f>+AU190/AU199</f>
        <v>0.4746131569433083</v>
      </c>
      <c r="AV191" s="251">
        <f t="shared" ref="AV191:AW191" si="436">+AV190/AV199</f>
        <v>0.46207084102634544</v>
      </c>
      <c r="AW191" s="252">
        <f t="shared" si="436"/>
        <v>0.46207084102634544</v>
      </c>
      <c r="AX191" s="249">
        <f t="shared" ref="AX191:BG191" si="437">+AX190/AX199</f>
        <v>0.4656213173861033</v>
      </c>
      <c r="AY191" s="250">
        <f t="shared" si="437"/>
        <v>0.46834109858374384</v>
      </c>
      <c r="AZ191" s="250">
        <f t="shared" si="437"/>
        <v>0.4745175207693374</v>
      </c>
      <c r="BA191" s="251">
        <f t="shared" si="437"/>
        <v>0.4720475325295892</v>
      </c>
      <c r="BB191" s="252">
        <f t="shared" si="437"/>
        <v>0.4720475325295892</v>
      </c>
      <c r="BC191" s="249">
        <f t="shared" si="437"/>
        <v>0.47616568388302122</v>
      </c>
      <c r="BD191" s="250">
        <f t="shared" si="437"/>
        <v>0.47845147837762869</v>
      </c>
      <c r="BE191" s="250">
        <f t="shared" si="437"/>
        <v>0.48032561241605964</v>
      </c>
      <c r="BF191" s="251">
        <f t="shared" si="437"/>
        <v>0.48154087569796133</v>
      </c>
      <c r="BG191" s="252">
        <f t="shared" si="437"/>
        <v>0.48154087569796133</v>
      </c>
      <c r="BH191" s="249">
        <f t="shared" ref="BH191:BQ191" si="438">+BH190/BH199</f>
        <v>0.48316489357856884</v>
      </c>
      <c r="BI191" s="250">
        <f t="shared" si="438"/>
        <v>0.48338286614870701</v>
      </c>
      <c r="BJ191" s="250">
        <f t="shared" si="438"/>
        <v>0.47667605173992572</v>
      </c>
      <c r="BK191" s="251">
        <f t="shared" si="438"/>
        <v>0.48139464929064596</v>
      </c>
      <c r="BL191" s="252">
        <f t="shared" si="438"/>
        <v>0.48139464929064596</v>
      </c>
      <c r="BM191" s="249">
        <f t="shared" si="438"/>
        <v>0.48116281642533487</v>
      </c>
      <c r="BN191" s="250">
        <f t="shared" si="438"/>
        <v>0.47938315522423375</v>
      </c>
      <c r="BO191" s="250">
        <f t="shared" si="438"/>
        <v>0.47876988716184904</v>
      </c>
      <c r="BP191" s="251">
        <f t="shared" si="438"/>
        <v>0.47891690618586735</v>
      </c>
      <c r="BQ191" s="252">
        <f t="shared" si="438"/>
        <v>0.47891690618586735</v>
      </c>
      <c r="BR191" s="45"/>
      <c r="BS191" s="45"/>
      <c r="BT191" s="45"/>
      <c r="BU191" s="45"/>
      <c r="BV191" s="45"/>
      <c r="BW191" s="45"/>
      <c r="BX191" s="45"/>
      <c r="BY191" s="45"/>
      <c r="BZ191" s="45"/>
      <c r="CA191" s="45"/>
      <c r="CB191" s="45"/>
      <c r="CC191" s="45"/>
      <c r="CD191" s="45"/>
      <c r="CE191" s="45"/>
      <c r="CF191" s="45"/>
      <c r="CG191" s="45"/>
      <c r="CH191" s="45"/>
      <c r="CI191" s="45"/>
      <c r="CJ191" s="45"/>
      <c r="CK191" s="45"/>
      <c r="CL191" s="45"/>
      <c r="CM191" s="45"/>
      <c r="CN191" s="45"/>
      <c r="CO191" s="45"/>
      <c r="CP191" s="45"/>
      <c r="CQ191" s="45"/>
      <c r="CR191" s="45"/>
      <c r="CS191" s="45"/>
      <c r="CT191" s="45"/>
      <c r="CU191" s="45"/>
      <c r="CV191" s="45"/>
      <c r="CW191" s="45"/>
      <c r="CX191" s="45"/>
      <c r="CY191" s="45"/>
      <c r="CZ191" s="45"/>
    </row>
    <row r="192" spans="1:134" x14ac:dyDescent="0.2">
      <c r="A192" s="289"/>
      <c r="B192" s="289"/>
      <c r="C192" s="355"/>
      <c r="D192" s="289"/>
      <c r="E192" s="291"/>
      <c r="F192" s="292"/>
      <c r="G192" s="292"/>
      <c r="H192" s="293"/>
      <c r="I192" s="289"/>
      <c r="J192" s="291"/>
      <c r="K192" s="292"/>
      <c r="L192" s="292"/>
      <c r="M192" s="293"/>
      <c r="N192" s="289"/>
      <c r="O192" s="291"/>
      <c r="P192" s="292"/>
      <c r="Q192" s="292"/>
      <c r="R192" s="293"/>
      <c r="S192" s="289"/>
      <c r="T192" s="291"/>
      <c r="U192" s="292"/>
      <c r="V192" s="292"/>
      <c r="W192" s="293"/>
      <c r="X192" s="289"/>
      <c r="Y192" s="291"/>
      <c r="Z192" s="292"/>
      <c r="AA192" s="292"/>
      <c r="AB192" s="293"/>
      <c r="AC192" s="289"/>
      <c r="AD192" s="291"/>
      <c r="AE192" s="292"/>
      <c r="AF192" s="292"/>
      <c r="AG192" s="293"/>
      <c r="AH192" s="289"/>
      <c r="AI192" s="291"/>
      <c r="AJ192" s="292"/>
      <c r="AK192" s="292"/>
      <c r="AL192" s="293"/>
      <c r="AM192" s="289"/>
      <c r="AN192" s="291"/>
      <c r="AO192" s="292"/>
      <c r="AP192" s="292"/>
      <c r="AQ192" s="293"/>
      <c r="AR192" s="289"/>
      <c r="AS192" s="291"/>
      <c r="AT192" s="292"/>
      <c r="AU192" s="292"/>
      <c r="AV192" s="293"/>
      <c r="AW192" s="289"/>
      <c r="AX192" s="291"/>
      <c r="AY192" s="292"/>
      <c r="AZ192" s="292"/>
      <c r="BA192" s="293"/>
      <c r="BB192" s="289"/>
      <c r="BC192" s="291"/>
      <c r="BD192" s="292"/>
      <c r="BE192" s="292"/>
      <c r="BF192" s="293"/>
      <c r="BG192" s="289"/>
      <c r="BH192" s="291"/>
      <c r="BI192" s="292"/>
      <c r="BJ192" s="292"/>
      <c r="BK192" s="293"/>
      <c r="BL192" s="289"/>
      <c r="BM192" s="291"/>
      <c r="BN192" s="292"/>
      <c r="BO192" s="292"/>
      <c r="BP192" s="293"/>
      <c r="BQ192" s="289"/>
      <c r="BR192" s="289"/>
      <c r="BS192" s="289"/>
      <c r="BT192" s="289"/>
      <c r="BU192" s="289"/>
      <c r="BV192" s="289"/>
      <c r="BW192" s="289"/>
      <c r="BX192" s="289"/>
      <c r="BY192" s="289"/>
      <c r="BZ192" s="289"/>
      <c r="CA192" s="289"/>
      <c r="CB192" s="289"/>
      <c r="CC192" s="289"/>
      <c r="CD192" s="289"/>
      <c r="CE192" s="289"/>
      <c r="CF192" s="289"/>
      <c r="CG192" s="289"/>
      <c r="CH192" s="289"/>
      <c r="CI192" s="289"/>
      <c r="CJ192" s="289"/>
      <c r="CK192" s="289"/>
      <c r="CL192" s="289"/>
      <c r="CM192" s="289"/>
      <c r="CN192" s="289"/>
      <c r="CO192" s="289"/>
      <c r="CP192" s="289"/>
      <c r="CQ192" s="289"/>
      <c r="CR192" s="289"/>
      <c r="CS192" s="289"/>
      <c r="CT192" s="289"/>
      <c r="CU192" s="289"/>
      <c r="CV192" s="289"/>
      <c r="CW192" s="289"/>
      <c r="CX192" s="289"/>
      <c r="CY192" s="289"/>
      <c r="CZ192" s="289"/>
    </row>
    <row r="193" spans="1:104" x14ac:dyDescent="0.2">
      <c r="A193" s="220"/>
      <c r="B193" s="220"/>
      <c r="C193" s="141" t="s">
        <v>235</v>
      </c>
      <c r="D193" s="82"/>
      <c r="E193" s="235">
        <v>0</v>
      </c>
      <c r="F193" s="236">
        <v>0</v>
      </c>
      <c r="G193" s="236">
        <v>0</v>
      </c>
      <c r="H193" s="119">
        <f>I193</f>
        <v>0</v>
      </c>
      <c r="I193" s="237">
        <v>0</v>
      </c>
      <c r="J193" s="235">
        <v>0</v>
      </c>
      <c r="K193" s="236">
        <v>0</v>
      </c>
      <c r="L193" s="236">
        <v>0</v>
      </c>
      <c r="M193" s="119">
        <f>N193</f>
        <v>0</v>
      </c>
      <c r="N193" s="237">
        <v>0</v>
      </c>
      <c r="O193" s="235">
        <v>0</v>
      </c>
      <c r="P193" s="236">
        <v>0</v>
      </c>
      <c r="Q193" s="236">
        <v>0</v>
      </c>
      <c r="R193" s="119">
        <f>S193</f>
        <v>0</v>
      </c>
      <c r="S193" s="237">
        <v>0</v>
      </c>
      <c r="T193" s="235">
        <v>0</v>
      </c>
      <c r="U193" s="236">
        <v>0</v>
      </c>
      <c r="V193" s="236">
        <v>0</v>
      </c>
      <c r="W193" s="119">
        <f>X193</f>
        <v>0</v>
      </c>
      <c r="X193" s="237">
        <v>0</v>
      </c>
      <c r="Y193" s="235">
        <v>0</v>
      </c>
      <c r="Z193" s="236">
        <v>0</v>
      </c>
      <c r="AA193" s="236">
        <v>0</v>
      </c>
      <c r="AB193" s="119">
        <f>AC193</f>
        <v>0</v>
      </c>
      <c r="AC193" s="237">
        <v>0</v>
      </c>
      <c r="AD193" s="235">
        <v>0</v>
      </c>
      <c r="AE193" s="236">
        <v>0</v>
      </c>
      <c r="AF193" s="236">
        <v>0</v>
      </c>
      <c r="AG193" s="119">
        <f>AH193</f>
        <v>0</v>
      </c>
      <c r="AH193" s="237">
        <v>0</v>
      </c>
      <c r="AI193" s="235">
        <v>0</v>
      </c>
      <c r="AJ193" s="236">
        <v>0</v>
      </c>
      <c r="AK193" s="236">
        <v>0</v>
      </c>
      <c r="AL193" s="119">
        <f>AM193</f>
        <v>0</v>
      </c>
      <c r="AM193" s="237">
        <v>0</v>
      </c>
      <c r="AN193" s="235">
        <v>0</v>
      </c>
      <c r="AO193" s="236">
        <v>0</v>
      </c>
      <c r="AP193" s="236">
        <v>0</v>
      </c>
      <c r="AQ193" s="119">
        <f>AR193</f>
        <v>0</v>
      </c>
      <c r="AR193" s="237">
        <v>0</v>
      </c>
      <c r="AS193" s="235">
        <v>0</v>
      </c>
      <c r="AT193" s="236">
        <v>0</v>
      </c>
      <c r="AU193" s="236">
        <v>0</v>
      </c>
      <c r="AV193" s="119">
        <f>AW193</f>
        <v>0</v>
      </c>
      <c r="AW193" s="237">
        <v>0</v>
      </c>
      <c r="AX193" s="121">
        <f t="shared" ref="AX193:BG193" si="439">+AW193</f>
        <v>0</v>
      </c>
      <c r="AY193" s="122">
        <f t="shared" si="439"/>
        <v>0</v>
      </c>
      <c r="AZ193" s="122">
        <f t="shared" si="439"/>
        <v>0</v>
      </c>
      <c r="BA193" s="123">
        <f t="shared" si="439"/>
        <v>0</v>
      </c>
      <c r="BB193" s="86">
        <f t="shared" si="439"/>
        <v>0</v>
      </c>
      <c r="BC193" s="121">
        <f t="shared" si="439"/>
        <v>0</v>
      </c>
      <c r="BD193" s="122">
        <f t="shared" si="439"/>
        <v>0</v>
      </c>
      <c r="BE193" s="122">
        <f t="shared" si="439"/>
        <v>0</v>
      </c>
      <c r="BF193" s="123">
        <f t="shared" si="439"/>
        <v>0</v>
      </c>
      <c r="BG193" s="86">
        <f t="shared" si="439"/>
        <v>0</v>
      </c>
      <c r="BH193" s="121">
        <f t="shared" ref="BH193:BQ193" si="440">+BG193</f>
        <v>0</v>
      </c>
      <c r="BI193" s="122">
        <f t="shared" si="440"/>
        <v>0</v>
      </c>
      <c r="BJ193" s="122">
        <f t="shared" si="440"/>
        <v>0</v>
      </c>
      <c r="BK193" s="123">
        <f t="shared" si="440"/>
        <v>0</v>
      </c>
      <c r="BL193" s="86">
        <f t="shared" si="440"/>
        <v>0</v>
      </c>
      <c r="BM193" s="121">
        <f t="shared" si="440"/>
        <v>0</v>
      </c>
      <c r="BN193" s="122">
        <f t="shared" si="440"/>
        <v>0</v>
      </c>
      <c r="BO193" s="122">
        <f t="shared" si="440"/>
        <v>0</v>
      </c>
      <c r="BP193" s="123">
        <f t="shared" si="440"/>
        <v>0</v>
      </c>
      <c r="BQ193" s="86">
        <f t="shared" si="440"/>
        <v>0</v>
      </c>
      <c r="BR193" s="220"/>
      <c r="BS193" s="220"/>
      <c r="BT193" s="220"/>
      <c r="BU193" s="220"/>
      <c r="BV193" s="220"/>
      <c r="BW193" s="220"/>
      <c r="BX193" s="220"/>
      <c r="BY193" s="220"/>
      <c r="BZ193" s="220"/>
      <c r="CA193" s="220"/>
      <c r="CB193" s="220"/>
      <c r="CC193" s="220"/>
      <c r="CD193" s="220"/>
      <c r="CE193" s="220"/>
      <c r="CF193" s="220"/>
      <c r="CG193" s="220"/>
      <c r="CH193" s="220"/>
      <c r="CI193" s="220"/>
      <c r="CJ193" s="220"/>
      <c r="CK193" s="220"/>
      <c r="CL193" s="220"/>
      <c r="CM193" s="220"/>
      <c r="CN193" s="220"/>
      <c r="CO193" s="220"/>
      <c r="CP193" s="220"/>
      <c r="CQ193" s="220"/>
      <c r="CR193" s="220"/>
      <c r="CS193" s="220"/>
      <c r="CT193" s="220"/>
      <c r="CU193" s="220"/>
      <c r="CV193" s="220"/>
      <c r="CW193" s="220"/>
      <c r="CX193" s="220"/>
      <c r="CY193" s="220"/>
      <c r="CZ193" s="220"/>
    </row>
    <row r="194" spans="1:104" x14ac:dyDescent="0.2">
      <c r="A194" s="45"/>
      <c r="B194" s="45"/>
      <c r="C194" s="248" t="s">
        <v>234</v>
      </c>
      <c r="D194" s="45"/>
      <c r="E194" s="249">
        <f t="shared" ref="E194:T194" si="441">+E193/E199</f>
        <v>0</v>
      </c>
      <c r="F194" s="250">
        <f t="shared" si="441"/>
        <v>0</v>
      </c>
      <c r="G194" s="250">
        <f t="shared" si="441"/>
        <v>0</v>
      </c>
      <c r="H194" s="251">
        <f t="shared" si="441"/>
        <v>0</v>
      </c>
      <c r="I194" s="252">
        <f t="shared" si="441"/>
        <v>0</v>
      </c>
      <c r="J194" s="249">
        <f t="shared" si="441"/>
        <v>0</v>
      </c>
      <c r="K194" s="250">
        <f t="shared" si="441"/>
        <v>0</v>
      </c>
      <c r="L194" s="250">
        <f t="shared" si="441"/>
        <v>0</v>
      </c>
      <c r="M194" s="251">
        <f t="shared" si="441"/>
        <v>0</v>
      </c>
      <c r="N194" s="252">
        <f t="shared" si="441"/>
        <v>0</v>
      </c>
      <c r="O194" s="249">
        <f t="shared" si="441"/>
        <v>0</v>
      </c>
      <c r="P194" s="250">
        <f t="shared" si="441"/>
        <v>0</v>
      </c>
      <c r="Q194" s="250">
        <f>+Q193/Q199</f>
        <v>0</v>
      </c>
      <c r="R194" s="251">
        <f t="shared" si="441"/>
        <v>0</v>
      </c>
      <c r="S194" s="252">
        <f>+S193/S199</f>
        <v>0</v>
      </c>
      <c r="T194" s="249">
        <f t="shared" si="441"/>
        <v>0</v>
      </c>
      <c r="U194" s="250">
        <f t="shared" ref="U194:Z194" si="442">+U193/U199</f>
        <v>0</v>
      </c>
      <c r="V194" s="250">
        <f t="shared" si="442"/>
        <v>0</v>
      </c>
      <c r="W194" s="251">
        <f t="shared" si="442"/>
        <v>0</v>
      </c>
      <c r="X194" s="252">
        <f t="shared" si="442"/>
        <v>0</v>
      </c>
      <c r="Y194" s="249">
        <f t="shared" si="442"/>
        <v>0</v>
      </c>
      <c r="Z194" s="250">
        <f t="shared" si="442"/>
        <v>0</v>
      </c>
      <c r="AA194" s="250">
        <f t="shared" ref="AA194:AF194" si="443">+AA193/AA199</f>
        <v>0</v>
      </c>
      <c r="AB194" s="251">
        <f t="shared" si="443"/>
        <v>0</v>
      </c>
      <c r="AC194" s="252">
        <f t="shared" si="443"/>
        <v>0</v>
      </c>
      <c r="AD194" s="249">
        <f t="shared" si="443"/>
        <v>0</v>
      </c>
      <c r="AE194" s="250">
        <f t="shared" si="443"/>
        <v>0</v>
      </c>
      <c r="AF194" s="250">
        <f t="shared" si="443"/>
        <v>0</v>
      </c>
      <c r="AG194" s="251">
        <f t="shared" ref="AG194:AM194" si="444">+AG193/AG199</f>
        <v>0</v>
      </c>
      <c r="AH194" s="252">
        <f t="shared" si="444"/>
        <v>0</v>
      </c>
      <c r="AI194" s="249">
        <f t="shared" si="444"/>
        <v>0</v>
      </c>
      <c r="AJ194" s="250">
        <f t="shared" si="444"/>
        <v>0</v>
      </c>
      <c r="AK194" s="250">
        <f t="shared" si="444"/>
        <v>0</v>
      </c>
      <c r="AL194" s="251">
        <f t="shared" si="444"/>
        <v>0</v>
      </c>
      <c r="AM194" s="252">
        <f t="shared" si="444"/>
        <v>0</v>
      </c>
      <c r="AN194" s="249">
        <f t="shared" ref="AN194:AR194" si="445">+AN193/AN199</f>
        <v>0</v>
      </c>
      <c r="AO194" s="250">
        <f t="shared" si="445"/>
        <v>0</v>
      </c>
      <c r="AP194" s="250">
        <f t="shared" si="445"/>
        <v>0</v>
      </c>
      <c r="AQ194" s="251">
        <f t="shared" si="445"/>
        <v>0</v>
      </c>
      <c r="AR194" s="252">
        <f t="shared" si="445"/>
        <v>0</v>
      </c>
      <c r="AS194" s="249">
        <f>+AS193/AS199</f>
        <v>0</v>
      </c>
      <c r="AT194" s="250">
        <f>+AT193/AT199</f>
        <v>0</v>
      </c>
      <c r="AU194" s="250">
        <f>+AU193/AU199</f>
        <v>0</v>
      </c>
      <c r="AV194" s="251">
        <f t="shared" ref="AV194:AW194" si="446">+AV193/AV199</f>
        <v>0</v>
      </c>
      <c r="AW194" s="252">
        <f t="shared" si="446"/>
        <v>0</v>
      </c>
      <c r="AX194" s="249">
        <f t="shared" ref="AX194:BG194" si="447">+AX193/AX199</f>
        <v>0</v>
      </c>
      <c r="AY194" s="250">
        <f t="shared" si="447"/>
        <v>0</v>
      </c>
      <c r="AZ194" s="250">
        <f t="shared" si="447"/>
        <v>0</v>
      </c>
      <c r="BA194" s="251">
        <f t="shared" si="447"/>
        <v>0</v>
      </c>
      <c r="BB194" s="252">
        <f t="shared" si="447"/>
        <v>0</v>
      </c>
      <c r="BC194" s="249">
        <f t="shared" si="447"/>
        <v>0</v>
      </c>
      <c r="BD194" s="250">
        <f t="shared" si="447"/>
        <v>0</v>
      </c>
      <c r="BE194" s="250">
        <f t="shared" si="447"/>
        <v>0</v>
      </c>
      <c r="BF194" s="251">
        <f t="shared" si="447"/>
        <v>0</v>
      </c>
      <c r="BG194" s="252">
        <f t="shared" si="447"/>
        <v>0</v>
      </c>
      <c r="BH194" s="249">
        <f t="shared" ref="BH194:BQ194" si="448">+BH193/BH199</f>
        <v>0</v>
      </c>
      <c r="BI194" s="250">
        <f t="shared" si="448"/>
        <v>0</v>
      </c>
      <c r="BJ194" s="250">
        <f t="shared" si="448"/>
        <v>0</v>
      </c>
      <c r="BK194" s="251">
        <f t="shared" si="448"/>
        <v>0</v>
      </c>
      <c r="BL194" s="252">
        <f t="shared" si="448"/>
        <v>0</v>
      </c>
      <c r="BM194" s="249">
        <f t="shared" si="448"/>
        <v>0</v>
      </c>
      <c r="BN194" s="250">
        <f t="shared" si="448"/>
        <v>0</v>
      </c>
      <c r="BO194" s="250">
        <f t="shared" si="448"/>
        <v>0</v>
      </c>
      <c r="BP194" s="251">
        <f t="shared" si="448"/>
        <v>0</v>
      </c>
      <c r="BQ194" s="252">
        <f t="shared" si="448"/>
        <v>0</v>
      </c>
      <c r="BR194" s="45"/>
      <c r="BS194" s="45"/>
      <c r="BT194" s="45"/>
      <c r="BU194" s="45"/>
      <c r="BV194" s="45"/>
      <c r="BW194" s="45"/>
      <c r="BX194" s="45"/>
      <c r="BY194" s="45"/>
      <c r="BZ194" s="45"/>
      <c r="CA194" s="45"/>
      <c r="CB194" s="45"/>
      <c r="CC194" s="45"/>
      <c r="CD194" s="45"/>
      <c r="CE194" s="45"/>
      <c r="CF194" s="45"/>
      <c r="CG194" s="45"/>
      <c r="CH194" s="45"/>
      <c r="CI194" s="45"/>
      <c r="CJ194" s="45"/>
      <c r="CK194" s="45"/>
      <c r="CL194" s="45"/>
      <c r="CM194" s="45"/>
      <c r="CN194" s="45"/>
      <c r="CO194" s="45"/>
      <c r="CP194" s="45"/>
      <c r="CQ194" s="45"/>
      <c r="CR194" s="45"/>
      <c r="CS194" s="45"/>
      <c r="CT194" s="45"/>
      <c r="CU194" s="45"/>
      <c r="CV194" s="45"/>
      <c r="CW194" s="45"/>
      <c r="CX194" s="45"/>
      <c r="CY194" s="45"/>
      <c r="CZ194" s="45"/>
    </row>
    <row r="195" spans="1:104" x14ac:dyDescent="0.2">
      <c r="A195" s="20"/>
      <c r="B195" s="20"/>
      <c r="C195" s="70"/>
      <c r="D195" s="20"/>
      <c r="E195" s="203"/>
      <c r="F195" s="204"/>
      <c r="G195" s="204"/>
      <c r="H195" s="205"/>
      <c r="I195" s="206"/>
      <c r="J195" s="203"/>
      <c r="K195" s="204"/>
      <c r="L195" s="204"/>
      <c r="M195" s="205"/>
      <c r="N195" s="206"/>
      <c r="O195" s="203"/>
      <c r="P195" s="204"/>
      <c r="Q195" s="204"/>
      <c r="R195" s="205"/>
      <c r="S195" s="206"/>
      <c r="T195" s="203"/>
      <c r="U195" s="204"/>
      <c r="V195" s="204"/>
      <c r="W195" s="205"/>
      <c r="X195" s="206"/>
      <c r="Y195" s="203"/>
      <c r="Z195" s="204"/>
      <c r="AA195" s="204"/>
      <c r="AB195" s="205"/>
      <c r="AC195" s="206"/>
      <c r="AD195" s="203"/>
      <c r="AE195" s="204"/>
      <c r="AF195" s="204"/>
      <c r="AG195" s="205"/>
      <c r="AH195" s="206"/>
      <c r="AI195" s="203"/>
      <c r="AJ195" s="204"/>
      <c r="AK195" s="204"/>
      <c r="AL195" s="205"/>
      <c r="AM195" s="206"/>
      <c r="AN195" s="203"/>
      <c r="AO195" s="204"/>
      <c r="AP195" s="204"/>
      <c r="AQ195" s="205"/>
      <c r="AR195" s="206"/>
      <c r="AS195" s="203"/>
      <c r="AT195" s="204"/>
      <c r="AU195" s="204"/>
      <c r="AV195" s="205"/>
      <c r="AW195" s="206"/>
      <c r="AX195" s="203"/>
      <c r="AY195" s="204"/>
      <c r="AZ195" s="204"/>
      <c r="BA195" s="205"/>
      <c r="BB195" s="206"/>
      <c r="BC195" s="203"/>
      <c r="BD195" s="204"/>
      <c r="BE195" s="204"/>
      <c r="BF195" s="205"/>
      <c r="BG195" s="206"/>
      <c r="BH195" s="203"/>
      <c r="BI195" s="204"/>
      <c r="BJ195" s="204"/>
      <c r="BK195" s="205"/>
      <c r="BL195" s="206"/>
      <c r="BM195" s="203"/>
      <c r="BN195" s="204"/>
      <c r="BO195" s="204"/>
      <c r="BP195" s="205"/>
      <c r="BQ195" s="206"/>
      <c r="BR195" s="20"/>
      <c r="BS195" s="20"/>
      <c r="BT195" s="20"/>
      <c r="BU195" s="20"/>
      <c r="BV195" s="20"/>
      <c r="BW195" s="20"/>
      <c r="BX195" s="20"/>
      <c r="BY195" s="20"/>
      <c r="BZ195" s="20"/>
      <c r="CA195" s="20"/>
      <c r="CB195" s="20"/>
      <c r="CC195" s="20"/>
      <c r="CD195" s="20"/>
      <c r="CE195" s="20"/>
      <c r="CF195" s="20"/>
      <c r="CG195" s="20"/>
      <c r="CH195" s="20"/>
      <c r="CI195" s="20"/>
      <c r="CJ195" s="20"/>
      <c r="CK195" s="20"/>
      <c r="CL195" s="20"/>
      <c r="CM195" s="20"/>
      <c r="CN195" s="20"/>
      <c r="CO195" s="20"/>
      <c r="CP195" s="20"/>
      <c r="CQ195" s="20"/>
      <c r="CR195" s="20"/>
      <c r="CS195" s="20"/>
      <c r="CT195" s="20"/>
      <c r="CU195" s="20"/>
      <c r="CV195" s="20"/>
      <c r="CW195" s="20"/>
      <c r="CX195" s="20"/>
      <c r="CY195" s="20"/>
      <c r="CZ195" s="20"/>
    </row>
    <row r="196" spans="1:104" x14ac:dyDescent="0.2">
      <c r="A196" s="220"/>
      <c r="B196" s="220"/>
      <c r="C196" s="141" t="s">
        <v>51</v>
      </c>
      <c r="D196" s="117"/>
      <c r="E196" s="235">
        <v>922.27300000000002</v>
      </c>
      <c r="F196" s="236">
        <v>935.43200000000002</v>
      </c>
      <c r="G196" s="236">
        <v>955.97400000000005</v>
      </c>
      <c r="H196" s="123">
        <f>+I196</f>
        <v>949.51</v>
      </c>
      <c r="I196" s="237">
        <v>949.51</v>
      </c>
      <c r="J196" s="235">
        <v>940.35699999999997</v>
      </c>
      <c r="K196" s="236">
        <v>956.92200000000003</v>
      </c>
      <c r="L196" s="236">
        <v>979.86400000000003</v>
      </c>
      <c r="M196" s="123">
        <f>+N196</f>
        <v>962.11300000000006</v>
      </c>
      <c r="N196" s="237">
        <v>962.11300000000006</v>
      </c>
      <c r="O196" s="235">
        <v>1006.533</v>
      </c>
      <c r="P196" s="236">
        <v>1015.207</v>
      </c>
      <c r="Q196" s="236">
        <v>1087.6880000000001</v>
      </c>
      <c r="R196" s="123">
        <f>+S196</f>
        <v>1076.8589999999999</v>
      </c>
      <c r="S196" s="237">
        <v>1076.8589999999999</v>
      </c>
      <c r="T196" s="235">
        <v>1071.4849999999999</v>
      </c>
      <c r="U196" s="236">
        <v>1089.2339999999999</v>
      </c>
      <c r="V196" s="236">
        <v>1131.0039999999999</v>
      </c>
      <c r="W196" s="123">
        <f>+X196</f>
        <v>1176.9549999999999</v>
      </c>
      <c r="X196" s="237">
        <v>1176.9549999999999</v>
      </c>
      <c r="Y196" s="235">
        <v>1237.4680000000001</v>
      </c>
      <c r="Z196" s="236">
        <v>1308.241</v>
      </c>
      <c r="AA196" s="236">
        <v>1325.04</v>
      </c>
      <c r="AB196" s="123">
        <f>+AC196</f>
        <v>1363.691</v>
      </c>
      <c r="AC196" s="237">
        <v>1363.691</v>
      </c>
      <c r="AD196" s="235">
        <v>1404.288</v>
      </c>
      <c r="AE196" s="236">
        <v>1467.9949999999999</v>
      </c>
      <c r="AF196" s="236">
        <v>1572.1120000000001</v>
      </c>
      <c r="AG196" s="123">
        <f>+AH196</f>
        <v>1560.472</v>
      </c>
      <c r="AH196" s="237">
        <v>1560.472</v>
      </c>
      <c r="AI196" s="235">
        <v>1555.394</v>
      </c>
      <c r="AJ196" s="236">
        <v>1589.55</v>
      </c>
      <c r="AK196" s="236">
        <v>1627.058</v>
      </c>
      <c r="AL196" s="123">
        <f>+AM196</f>
        <v>1807.9490000000001</v>
      </c>
      <c r="AM196" s="237">
        <v>1807.9490000000001</v>
      </c>
      <c r="AN196" s="235">
        <v>1829.8820000000001</v>
      </c>
      <c r="AO196" s="236">
        <v>1842.759</v>
      </c>
      <c r="AP196" s="236">
        <v>1883.662</v>
      </c>
      <c r="AQ196" s="123">
        <f>+AR196</f>
        <v>1931.6959999999999</v>
      </c>
      <c r="AR196" s="237">
        <v>1931.6959999999999</v>
      </c>
      <c r="AS196" s="235">
        <v>1975.06</v>
      </c>
      <c r="AT196" s="236">
        <v>1985.433</v>
      </c>
      <c r="AU196" s="236">
        <v>2025.7329999999999</v>
      </c>
      <c r="AV196" s="123">
        <f>+AW196</f>
        <v>2130.3629999999998</v>
      </c>
      <c r="AW196" s="994">
        <v>2130.3629999999998</v>
      </c>
      <c r="AX196" s="121">
        <f>+AW196+AX159+AX175</f>
        <v>2211.3738982682944</v>
      </c>
      <c r="AY196" s="122">
        <f>+AX196+AY159+AY175</f>
        <v>2299.7149101626705</v>
      </c>
      <c r="AZ196" s="122">
        <f>+AY196+AZ159+AZ175</f>
        <v>2414.0748257289456</v>
      </c>
      <c r="BA196" s="123">
        <f>+AZ196+BA159+BA175</f>
        <v>2477.5868832562714</v>
      </c>
      <c r="BB196" s="86">
        <f>+BA196</f>
        <v>2477.5868832562714</v>
      </c>
      <c r="BC196" s="121">
        <f>+BB196+BC159+BC175</f>
        <v>2569.1555073631134</v>
      </c>
      <c r="BD196" s="122">
        <f>+BC196+BD159+BD175</f>
        <v>2666.492190609626</v>
      </c>
      <c r="BE196" s="122">
        <f>+BD196+BE159+BE175</f>
        <v>2791.2924577012868</v>
      </c>
      <c r="BF196" s="123">
        <f>+BE196+BF159+BF175</f>
        <v>2862.3933917338186</v>
      </c>
      <c r="BG196" s="86">
        <f>+BF196</f>
        <v>2862.3933917338186</v>
      </c>
      <c r="BH196" s="121">
        <f>+BG196+BH159+BH175</f>
        <v>2901.6299921448172</v>
      </c>
      <c r="BI196" s="122">
        <f>+BH196+BI159+BI175</f>
        <v>2945.6296016272122</v>
      </c>
      <c r="BJ196" s="122">
        <f>+BI196+BJ159+BJ175</f>
        <v>3023.1914867672567</v>
      </c>
      <c r="BK196" s="123">
        <f>+BJ196+BK159+BK175</f>
        <v>3044.0594033647262</v>
      </c>
      <c r="BL196" s="86">
        <f>+BK196</f>
        <v>3044.0594033647262</v>
      </c>
      <c r="BM196" s="121">
        <f>+BL196+BM159+BM175</f>
        <v>3057.5802931531807</v>
      </c>
      <c r="BN196" s="122">
        <f>+BM196+BN159+BN175</f>
        <v>3077.9788625641145</v>
      </c>
      <c r="BO196" s="122">
        <f>+BN196+BO159+BO175</f>
        <v>3135.3516849102994</v>
      </c>
      <c r="BP196" s="123">
        <f>+BO196+BP159+BP175</f>
        <v>3133.5050963929652</v>
      </c>
      <c r="BQ196" s="86">
        <f>+BP196</f>
        <v>3133.5050963929652</v>
      </c>
      <c r="BR196" s="220"/>
      <c r="BS196" s="220"/>
      <c r="BT196" s="220"/>
      <c r="BU196" s="220"/>
      <c r="BV196" s="220"/>
      <c r="BW196" s="220"/>
      <c r="BX196" s="220"/>
      <c r="BY196" s="220"/>
      <c r="BZ196" s="220"/>
      <c r="CA196" s="220"/>
      <c r="CB196" s="220"/>
      <c r="CC196" s="220"/>
      <c r="CD196" s="220"/>
      <c r="CE196" s="220"/>
      <c r="CF196" s="220"/>
      <c r="CG196" s="220"/>
      <c r="CH196" s="220"/>
      <c r="CI196" s="220"/>
      <c r="CJ196" s="220"/>
      <c r="CK196" s="220"/>
      <c r="CL196" s="220"/>
      <c r="CM196" s="220"/>
      <c r="CN196" s="220"/>
      <c r="CO196" s="220"/>
      <c r="CP196" s="220"/>
      <c r="CQ196" s="220"/>
      <c r="CR196" s="220"/>
      <c r="CS196" s="220"/>
      <c r="CT196" s="220"/>
      <c r="CU196" s="220"/>
      <c r="CV196" s="220"/>
      <c r="CW196" s="220"/>
      <c r="CX196" s="220"/>
      <c r="CY196" s="220"/>
      <c r="CZ196" s="220"/>
    </row>
    <row r="197" spans="1:104" x14ac:dyDescent="0.2">
      <c r="A197" s="45"/>
      <c r="B197" s="45"/>
      <c r="C197" s="248" t="s">
        <v>234</v>
      </c>
      <c r="D197" s="45"/>
      <c r="E197" s="249">
        <f t="shared" ref="E197:T197" si="449">+E196/E199</f>
        <v>0.50001843339958518</v>
      </c>
      <c r="F197" s="250">
        <f t="shared" si="449"/>
        <v>0.50353848298745174</v>
      </c>
      <c r="G197" s="250">
        <f t="shared" si="449"/>
        <v>0.5089461971741005</v>
      </c>
      <c r="H197" s="251">
        <f t="shared" si="449"/>
        <v>0.5072285314246</v>
      </c>
      <c r="I197" s="252">
        <f t="shared" si="449"/>
        <v>0.5072285314246</v>
      </c>
      <c r="J197" s="249">
        <f t="shared" si="449"/>
        <v>0.5116522651333083</v>
      </c>
      <c r="K197" s="250">
        <f t="shared" si="449"/>
        <v>0.50939991312346689</v>
      </c>
      <c r="L197" s="250">
        <f t="shared" si="449"/>
        <v>0.52188659428124651</v>
      </c>
      <c r="M197" s="251">
        <f t="shared" si="449"/>
        <v>0.50401963455010268</v>
      </c>
      <c r="N197" s="252">
        <f t="shared" si="449"/>
        <v>0.50401963455010268</v>
      </c>
      <c r="O197" s="249">
        <f t="shared" si="449"/>
        <v>0.50850923016298033</v>
      </c>
      <c r="P197" s="250">
        <f t="shared" si="449"/>
        <v>0.4966440556245334</v>
      </c>
      <c r="Q197" s="250">
        <f>+Q196/Q199</f>
        <v>0.49126201577276957</v>
      </c>
      <c r="R197" s="251">
        <f t="shared" si="449"/>
        <v>0.51892492818671021</v>
      </c>
      <c r="S197" s="252">
        <f>+S196/S199</f>
        <v>0.51892492818671021</v>
      </c>
      <c r="T197" s="249">
        <f t="shared" si="449"/>
        <v>0.5049639380480927</v>
      </c>
      <c r="U197" s="250">
        <f t="shared" ref="U197:Z197" si="450">+U196/U199</f>
        <v>0.49673203210507105</v>
      </c>
      <c r="V197" s="250">
        <f t="shared" si="450"/>
        <v>0.5061260728290915</v>
      </c>
      <c r="W197" s="251">
        <f t="shared" si="450"/>
        <v>0.51403518196536657</v>
      </c>
      <c r="X197" s="252">
        <f t="shared" si="450"/>
        <v>0.51403518196536657</v>
      </c>
      <c r="Y197" s="249">
        <f t="shared" si="450"/>
        <v>0.52055520593906801</v>
      </c>
      <c r="Z197" s="250">
        <f t="shared" si="450"/>
        <v>0.51769739908936863</v>
      </c>
      <c r="AA197" s="250">
        <f t="shared" ref="AA197:AF197" si="451">+AA196/AA199</f>
        <v>0.50868715455906222</v>
      </c>
      <c r="AB197" s="251">
        <f t="shared" si="451"/>
        <v>0.50778721426773454</v>
      </c>
      <c r="AC197" s="252">
        <f t="shared" si="451"/>
        <v>0.50778721426773454</v>
      </c>
      <c r="AD197" s="249">
        <f t="shared" si="451"/>
        <v>0.50637362637362637</v>
      </c>
      <c r="AE197" s="250">
        <f t="shared" si="451"/>
        <v>0.50333909020806689</v>
      </c>
      <c r="AF197" s="250">
        <f t="shared" si="451"/>
        <v>0.53807830740564788</v>
      </c>
      <c r="AG197" s="251">
        <f t="shared" ref="AG197:AM197" si="452">+AG196/AG199</f>
        <v>0.52662374631432696</v>
      </c>
      <c r="AH197" s="252">
        <f t="shared" si="452"/>
        <v>0.52662374631432696</v>
      </c>
      <c r="AI197" s="249">
        <f t="shared" si="452"/>
        <v>0.51364191154519834</v>
      </c>
      <c r="AJ197" s="250">
        <f t="shared" si="452"/>
        <v>0.50487420944172423</v>
      </c>
      <c r="AK197" s="250">
        <f t="shared" si="452"/>
        <v>0.5091565107593421</v>
      </c>
      <c r="AL197" s="251">
        <f t="shared" si="452"/>
        <v>0.53591820376967436</v>
      </c>
      <c r="AM197" s="252">
        <f t="shared" si="452"/>
        <v>0.53591820376967436</v>
      </c>
      <c r="AN197" s="249">
        <f t="shared" ref="AN197:AR197" si="453">+AN196/AN199</f>
        <v>0.53059682363680016</v>
      </c>
      <c r="AO197" s="250">
        <f t="shared" si="453"/>
        <v>0.52546125734829496</v>
      </c>
      <c r="AP197" s="250">
        <f t="shared" si="453"/>
        <v>0.5064493813299048</v>
      </c>
      <c r="AQ197" s="251">
        <f t="shared" si="453"/>
        <v>0.53397848380425006</v>
      </c>
      <c r="AR197" s="252">
        <f t="shared" si="453"/>
        <v>0.53397848380425006</v>
      </c>
      <c r="AS197" s="249">
        <f>+AS196/AS199</f>
        <v>0.53061373621856645</v>
      </c>
      <c r="AT197" s="250">
        <f>+AT196/AT199</f>
        <v>0.52401151676563529</v>
      </c>
      <c r="AU197" s="250">
        <f>+AU196/AU199</f>
        <v>0.5253868430566917</v>
      </c>
      <c r="AV197" s="251">
        <f t="shared" ref="AV197:AW197" si="454">+AV196/AV199</f>
        <v>0.53792915897365445</v>
      </c>
      <c r="AW197" s="252">
        <f t="shared" si="454"/>
        <v>0.53792915897365445</v>
      </c>
      <c r="AX197" s="249">
        <f t="shared" ref="AX197:BG197" si="455">+AX196/AX199</f>
        <v>0.53437868261389676</v>
      </c>
      <c r="AY197" s="250">
        <f t="shared" si="455"/>
        <v>0.53165890141625605</v>
      </c>
      <c r="AZ197" s="250">
        <f t="shared" si="455"/>
        <v>0.52548247923066249</v>
      </c>
      <c r="BA197" s="251">
        <f t="shared" si="455"/>
        <v>0.52795246747041091</v>
      </c>
      <c r="BB197" s="252">
        <f t="shared" si="455"/>
        <v>0.52795246747041091</v>
      </c>
      <c r="BC197" s="249">
        <f t="shared" si="455"/>
        <v>0.52383431611697884</v>
      </c>
      <c r="BD197" s="250">
        <f t="shared" si="455"/>
        <v>0.52154852162237131</v>
      </c>
      <c r="BE197" s="250">
        <f t="shared" si="455"/>
        <v>0.51967438758394047</v>
      </c>
      <c r="BF197" s="251">
        <f t="shared" si="455"/>
        <v>0.51845912430203867</v>
      </c>
      <c r="BG197" s="252">
        <f t="shared" si="455"/>
        <v>0.51845912430203867</v>
      </c>
      <c r="BH197" s="249">
        <f t="shared" ref="BH197:BQ197" si="456">+BH196/BH199</f>
        <v>0.51683510642143127</v>
      </c>
      <c r="BI197" s="250">
        <f t="shared" si="456"/>
        <v>0.51661713385129293</v>
      </c>
      <c r="BJ197" s="250">
        <f t="shared" si="456"/>
        <v>0.52332394826007422</v>
      </c>
      <c r="BK197" s="251">
        <f t="shared" si="456"/>
        <v>0.51860535070935398</v>
      </c>
      <c r="BL197" s="252">
        <f t="shared" si="456"/>
        <v>0.51860535070935398</v>
      </c>
      <c r="BM197" s="249">
        <f t="shared" si="456"/>
        <v>0.51883718357466524</v>
      </c>
      <c r="BN197" s="250">
        <f t="shared" si="456"/>
        <v>0.52061684477576631</v>
      </c>
      <c r="BO197" s="250">
        <f t="shared" si="456"/>
        <v>0.52123011283815102</v>
      </c>
      <c r="BP197" s="251">
        <f t="shared" si="456"/>
        <v>0.52108309381413265</v>
      </c>
      <c r="BQ197" s="252">
        <f t="shared" si="456"/>
        <v>0.52108309381413265</v>
      </c>
      <c r="BR197" s="45"/>
      <c r="BS197" s="45"/>
      <c r="BT197" s="45"/>
      <c r="BU197" s="45"/>
      <c r="BV197" s="45"/>
      <c r="BW197" s="45"/>
      <c r="BX197" s="45"/>
      <c r="BY197" s="45"/>
      <c r="BZ197" s="45"/>
      <c r="CA197" s="45"/>
      <c r="CB197" s="45"/>
      <c r="CC197" s="45"/>
      <c r="CD197" s="45"/>
      <c r="CE197" s="45"/>
      <c r="CF197" s="45"/>
      <c r="CG197" s="45"/>
      <c r="CH197" s="45"/>
      <c r="CI197" s="45"/>
      <c r="CJ197" s="45"/>
      <c r="CK197" s="45"/>
      <c r="CL197" s="45"/>
      <c r="CM197" s="45"/>
      <c r="CN197" s="45"/>
      <c r="CO197" s="45"/>
      <c r="CP197" s="45"/>
      <c r="CQ197" s="45"/>
      <c r="CR197" s="45"/>
      <c r="CS197" s="45"/>
      <c r="CT197" s="45"/>
      <c r="CU197" s="45"/>
      <c r="CV197" s="45"/>
      <c r="CW197" s="45"/>
      <c r="CX197" s="45"/>
      <c r="CY197" s="45"/>
      <c r="CZ197" s="45"/>
    </row>
    <row r="198" spans="1:104" x14ac:dyDescent="0.2">
      <c r="A198" s="20"/>
      <c r="B198" s="20"/>
      <c r="C198" s="70"/>
      <c r="D198" s="20"/>
      <c r="E198" s="203"/>
      <c r="F198" s="204"/>
      <c r="G198" s="204"/>
      <c r="H198" s="205"/>
      <c r="I198" s="206"/>
      <c r="J198" s="203"/>
      <c r="K198" s="204"/>
      <c r="L198" s="204"/>
      <c r="M198" s="205"/>
      <c r="N198" s="206"/>
      <c r="O198" s="203"/>
      <c r="P198" s="204"/>
      <c r="Q198" s="204"/>
      <c r="R198" s="205"/>
      <c r="S198" s="206"/>
      <c r="T198" s="203"/>
      <c r="U198" s="204"/>
      <c r="V198" s="204"/>
      <c r="W198" s="205"/>
      <c r="X198" s="206"/>
      <c r="Y198" s="203"/>
      <c r="Z198" s="204"/>
      <c r="AA198" s="204"/>
      <c r="AB198" s="205"/>
      <c r="AC198" s="206"/>
      <c r="AD198" s="203"/>
      <c r="AE198" s="204"/>
      <c r="AF198" s="204"/>
      <c r="AG198" s="205"/>
      <c r="AH198" s="206"/>
      <c r="AI198" s="203"/>
      <c r="AJ198" s="204"/>
      <c r="AK198" s="204"/>
      <c r="AL198" s="205"/>
      <c r="AM198" s="206"/>
      <c r="AN198" s="203"/>
      <c r="AO198" s="204"/>
      <c r="AP198" s="204"/>
      <c r="AQ198" s="205"/>
      <c r="AR198" s="206"/>
      <c r="AS198" s="203"/>
      <c r="AT198" s="204"/>
      <c r="AU198" s="204"/>
      <c r="AV198" s="205"/>
      <c r="AW198" s="206"/>
      <c r="AX198" s="203"/>
      <c r="AY198" s="204"/>
      <c r="AZ198" s="204"/>
      <c r="BA198" s="205"/>
      <c r="BB198" s="206"/>
      <c r="BC198" s="203"/>
      <c r="BD198" s="204"/>
      <c r="BE198" s="204"/>
      <c r="BF198" s="205"/>
      <c r="BG198" s="206"/>
      <c r="BH198" s="203"/>
      <c r="BI198" s="204"/>
      <c r="BJ198" s="204"/>
      <c r="BK198" s="205"/>
      <c r="BL198" s="206"/>
      <c r="BM198" s="203"/>
      <c r="BN198" s="204"/>
      <c r="BO198" s="204"/>
      <c r="BP198" s="205"/>
      <c r="BQ198" s="206"/>
      <c r="BR198" s="20"/>
      <c r="BS198" s="20"/>
      <c r="BT198" s="20"/>
      <c r="BU198" s="20"/>
      <c r="BV198" s="20"/>
      <c r="BW198" s="20"/>
      <c r="BX198" s="20"/>
      <c r="BY198" s="20"/>
      <c r="BZ198" s="20"/>
      <c r="CA198" s="20"/>
      <c r="CB198" s="20"/>
      <c r="CC198" s="20"/>
      <c r="CD198" s="20"/>
      <c r="CE198" s="20"/>
      <c r="CF198" s="20"/>
      <c r="CG198" s="20"/>
      <c r="CH198" s="20"/>
      <c r="CI198" s="20"/>
      <c r="CJ198" s="20"/>
      <c r="CK198" s="20"/>
      <c r="CL198" s="20"/>
      <c r="CM198" s="20"/>
      <c r="CN198" s="20"/>
      <c r="CO198" s="20"/>
      <c r="CP198" s="20"/>
      <c r="CQ198" s="20"/>
      <c r="CR198" s="20"/>
      <c r="CS198" s="20"/>
      <c r="CT198" s="20"/>
      <c r="CU198" s="20"/>
      <c r="CV198" s="20"/>
      <c r="CW198" s="20"/>
      <c r="CX198" s="20"/>
      <c r="CY198" s="20"/>
      <c r="CZ198" s="20"/>
    </row>
    <row r="199" spans="1:104" x14ac:dyDescent="0.2">
      <c r="A199" s="220"/>
      <c r="B199" s="220"/>
      <c r="C199" s="141" t="s">
        <v>54</v>
      </c>
      <c r="D199" s="82"/>
      <c r="E199" s="121">
        <f>+E196+E193+E190</f>
        <v>1844.4780000000001</v>
      </c>
      <c r="F199" s="122">
        <f>+F196+F193+F190</f>
        <v>1857.7170000000001</v>
      </c>
      <c r="G199" s="122">
        <f>+G196+G193+G190</f>
        <v>1878.3400000000001</v>
      </c>
      <c r="H199" s="123">
        <f>+I199</f>
        <v>1871.9569999999999</v>
      </c>
      <c r="I199" s="86">
        <f>+I196+I193+I190</f>
        <v>1871.9569999999999</v>
      </c>
      <c r="J199" s="121">
        <f>+J196+J193+J190</f>
        <v>1837.8829999999998</v>
      </c>
      <c r="K199" s="122">
        <f>+K196+K193+K190</f>
        <v>1878.528</v>
      </c>
      <c r="L199" s="122">
        <f>+L196+L193+L190</f>
        <v>1877.5419999999999</v>
      </c>
      <c r="M199" s="123">
        <f>+N199</f>
        <v>1908.88</v>
      </c>
      <c r="N199" s="86">
        <f>+N196+N193+N190</f>
        <v>1908.88</v>
      </c>
      <c r="O199" s="121">
        <f>+O196+O193+O190</f>
        <v>1979.38</v>
      </c>
      <c r="P199" s="122">
        <f>+P196+P193+P190</f>
        <v>2044.134</v>
      </c>
      <c r="Q199" s="122">
        <f>+Q196+Q193+Q190</f>
        <v>2214.069</v>
      </c>
      <c r="R199" s="123">
        <f>+S199</f>
        <v>2075.1729999999998</v>
      </c>
      <c r="S199" s="86">
        <f>+S196+S193+S190</f>
        <v>2075.1729999999998</v>
      </c>
      <c r="T199" s="121">
        <f>+T196+T193+T190</f>
        <v>2121.9039999999995</v>
      </c>
      <c r="U199" s="122">
        <f>+U196+U193+U190</f>
        <v>2192.8000000000002</v>
      </c>
      <c r="V199" s="122">
        <f>+V196+V193+V190</f>
        <v>2234.6289999999999</v>
      </c>
      <c r="W199" s="123">
        <f>+X199</f>
        <v>2289.6390000000001</v>
      </c>
      <c r="X199" s="86">
        <f>+X196+X193+X190</f>
        <v>2289.6390000000001</v>
      </c>
      <c r="Y199" s="121">
        <f>+Y196+Y193+Y190</f>
        <v>2377.2080000000001</v>
      </c>
      <c r="Z199" s="122">
        <f>+Z196+Z193+Z190</f>
        <v>2527.038</v>
      </c>
      <c r="AA199" s="122">
        <f>+AA196+AA193+AA190</f>
        <v>2604.8229999999999</v>
      </c>
      <c r="AB199" s="123">
        <f>+AC199</f>
        <v>2685.556</v>
      </c>
      <c r="AC199" s="86">
        <f>+AC196+AC193+AC190</f>
        <v>2685.556</v>
      </c>
      <c r="AD199" s="121">
        <f>+AD196+AD193+AD190</f>
        <v>2773.2249999999999</v>
      </c>
      <c r="AE199" s="122">
        <f>+AE196+AE193+AE190</f>
        <v>2916.5129999999999</v>
      </c>
      <c r="AF199" s="122">
        <f>+AF196+AF193+AF190</f>
        <v>2921.7160000000003</v>
      </c>
      <c r="AG199" s="123">
        <f>+AH199</f>
        <v>2963.163</v>
      </c>
      <c r="AH199" s="86">
        <f>+AH196+AH193+AH190</f>
        <v>2963.163</v>
      </c>
      <c r="AI199" s="121">
        <f>+AI196+AI193+AI190</f>
        <v>3028.1679999999997</v>
      </c>
      <c r="AJ199" s="122">
        <f>+AJ196+AJ193+AJ190</f>
        <v>3148.4079999999999</v>
      </c>
      <c r="AK199" s="122">
        <f>+AK196+AK193+AK190</f>
        <v>3195.5950000000003</v>
      </c>
      <c r="AL199" s="123">
        <f>+AM199</f>
        <v>3373.5540000000001</v>
      </c>
      <c r="AM199" s="86">
        <f>+AM196+AM193+AM190</f>
        <v>3373.5540000000001</v>
      </c>
      <c r="AN199" s="121">
        <f>+AN196+AN193+AN190</f>
        <v>3448.7240000000002</v>
      </c>
      <c r="AO199" s="122">
        <f>+AO196+AO193+AO190</f>
        <v>3506.9359999999997</v>
      </c>
      <c r="AP199" s="122">
        <f>+AP196+AP193+AP190</f>
        <v>3719.3490000000002</v>
      </c>
      <c r="AQ199" s="123">
        <f>+AR199</f>
        <v>3617.5540000000001</v>
      </c>
      <c r="AR199" s="86">
        <f>+AR196+AR193+AR190</f>
        <v>3617.5540000000001</v>
      </c>
      <c r="AS199" s="121">
        <f>+AS196+AS193+AS190</f>
        <v>3722.2179999999998</v>
      </c>
      <c r="AT199" s="122">
        <f>+AT196+AT193+AT190</f>
        <v>3788.9110000000001</v>
      </c>
      <c r="AU199" s="122">
        <f>+AU196+AU193+AU190</f>
        <v>3855.6979999999999</v>
      </c>
      <c r="AV199" s="123">
        <f>+AW199</f>
        <v>3960.3040000000001</v>
      </c>
      <c r="AW199" s="86">
        <f>+AW196+AW193+AW190</f>
        <v>3960.3040000000001</v>
      </c>
      <c r="AX199" s="121">
        <f>+AX196+AX193+AX190</f>
        <v>4138.2150340493145</v>
      </c>
      <c r="AY199" s="122">
        <f>+AY196+AY193+AY190</f>
        <v>4325.5457663486686</v>
      </c>
      <c r="AZ199" s="122">
        <f>+AZ196+AZ193+AZ190</f>
        <v>4594.0158257289459</v>
      </c>
      <c r="BA199" s="123">
        <f>+BB199</f>
        <v>4692.8218654364518</v>
      </c>
      <c r="BB199" s="86">
        <f>+BB196+BB193+BB190</f>
        <v>4692.8218654364518</v>
      </c>
      <c r="BC199" s="121">
        <f>+BC196+BC193+BC190</f>
        <v>4904.5192884793532</v>
      </c>
      <c r="BD199" s="122">
        <f>+BD196+BD193+BD190</f>
        <v>5112.6445192769761</v>
      </c>
      <c r="BE199" s="122">
        <f>+BE196+BE193+BE190</f>
        <v>5371.2334577012862</v>
      </c>
      <c r="BF199" s="123">
        <f>+BG199</f>
        <v>5520.9625167408076</v>
      </c>
      <c r="BG199" s="86">
        <f>+BG196+BG193+BG190</f>
        <v>5520.9625167408076</v>
      </c>
      <c r="BH199" s="121">
        <f>+BH196+BH193+BH190</f>
        <v>5614.2277412920284</v>
      </c>
      <c r="BI199" s="122">
        <f>+BI196+BI193+BI190</f>
        <v>5701.7652118272654</v>
      </c>
      <c r="BJ199" s="122">
        <f>+BJ196+BJ193+BJ190</f>
        <v>5776.9026180029377</v>
      </c>
      <c r="BK199" s="123">
        <f>+BL199</f>
        <v>5869.7030395097718</v>
      </c>
      <c r="BL199" s="86">
        <f>+BL196+BL193+BL190</f>
        <v>5869.7030395097718</v>
      </c>
      <c r="BM199" s="121">
        <f>+BM196+BM193+BM190</f>
        <v>5893.1402566161069</v>
      </c>
      <c r="BN199" s="122">
        <f>+BN196+BN193+BN190</f>
        <v>5912.1768599128291</v>
      </c>
      <c r="BO199" s="122">
        <f>+BO196+BO193+BO190</f>
        <v>6015.2926849102987</v>
      </c>
      <c r="BP199" s="123">
        <f>+BQ199</f>
        <v>6013.446096392965</v>
      </c>
      <c r="BQ199" s="86">
        <f>+BQ196+BQ193+BQ190</f>
        <v>6013.446096392965</v>
      </c>
      <c r="BR199" s="220"/>
      <c r="BS199" s="220"/>
      <c r="BT199" s="220"/>
      <c r="BU199" s="220"/>
      <c r="BV199" s="220"/>
      <c r="BW199" s="220"/>
      <c r="BX199" s="220"/>
      <c r="BY199" s="220"/>
      <c r="BZ199" s="220"/>
      <c r="CA199" s="220"/>
      <c r="CB199" s="220"/>
      <c r="CC199" s="220"/>
      <c r="CD199" s="220"/>
      <c r="CE199" s="220"/>
      <c r="CF199" s="220"/>
      <c r="CG199" s="220"/>
      <c r="CH199" s="220"/>
      <c r="CI199" s="220"/>
      <c r="CJ199" s="220"/>
      <c r="CK199" s="220"/>
      <c r="CL199" s="220"/>
      <c r="CM199" s="220"/>
      <c r="CN199" s="220"/>
      <c r="CO199" s="220"/>
      <c r="CP199" s="220"/>
      <c r="CQ199" s="220"/>
      <c r="CR199" s="220"/>
      <c r="CS199" s="220"/>
      <c r="CT199" s="220"/>
      <c r="CU199" s="220"/>
      <c r="CV199" s="220"/>
      <c r="CW199" s="220"/>
      <c r="CX199" s="220"/>
      <c r="CY199" s="220"/>
      <c r="CZ199" s="220"/>
    </row>
    <row r="200" spans="1:104" x14ac:dyDescent="0.2">
      <c r="A200" s="45"/>
      <c r="B200" s="45"/>
      <c r="C200" s="248" t="s">
        <v>234</v>
      </c>
      <c r="D200" s="45"/>
      <c r="E200" s="249">
        <f t="shared" ref="E200:T200" si="457">(E190+E193+E196)/E199</f>
        <v>1</v>
      </c>
      <c r="F200" s="250">
        <f t="shared" si="457"/>
        <v>1</v>
      </c>
      <c r="G200" s="250">
        <f t="shared" si="457"/>
        <v>1</v>
      </c>
      <c r="H200" s="251">
        <f t="shared" si="457"/>
        <v>1</v>
      </c>
      <c r="I200" s="252">
        <f t="shared" si="457"/>
        <v>1</v>
      </c>
      <c r="J200" s="249">
        <f t="shared" si="457"/>
        <v>1</v>
      </c>
      <c r="K200" s="250">
        <f t="shared" si="457"/>
        <v>1</v>
      </c>
      <c r="L200" s="250">
        <f t="shared" si="457"/>
        <v>1</v>
      </c>
      <c r="M200" s="251">
        <f t="shared" si="457"/>
        <v>1</v>
      </c>
      <c r="N200" s="252">
        <f t="shared" si="457"/>
        <v>1</v>
      </c>
      <c r="O200" s="249">
        <f t="shared" si="457"/>
        <v>1</v>
      </c>
      <c r="P200" s="250">
        <f t="shared" si="457"/>
        <v>1</v>
      </c>
      <c r="Q200" s="250">
        <f>(Q190+Q193+Q196)/Q199</f>
        <v>1</v>
      </c>
      <c r="R200" s="251">
        <f t="shared" si="457"/>
        <v>1</v>
      </c>
      <c r="S200" s="252">
        <f>(S190+S193+S196)/S199</f>
        <v>1</v>
      </c>
      <c r="T200" s="249">
        <f t="shared" si="457"/>
        <v>1</v>
      </c>
      <c r="U200" s="250">
        <f>(U190+U193+U196)/U199</f>
        <v>1</v>
      </c>
      <c r="V200" s="250">
        <f>(V190+V193+V196)/V199</f>
        <v>1</v>
      </c>
      <c r="W200" s="251">
        <f t="shared" ref="W200:AD200" si="458">(W190+W193+W196)/W199</f>
        <v>1</v>
      </c>
      <c r="X200" s="252">
        <f t="shared" si="458"/>
        <v>1</v>
      </c>
      <c r="Y200" s="249">
        <f t="shared" si="458"/>
        <v>1</v>
      </c>
      <c r="Z200" s="250">
        <f t="shared" si="458"/>
        <v>1</v>
      </c>
      <c r="AA200" s="250">
        <f t="shared" si="458"/>
        <v>1</v>
      </c>
      <c r="AB200" s="251">
        <f t="shared" si="458"/>
        <v>1</v>
      </c>
      <c r="AC200" s="252">
        <f t="shared" si="458"/>
        <v>1</v>
      </c>
      <c r="AD200" s="249">
        <f t="shared" si="458"/>
        <v>1</v>
      </c>
      <c r="AE200" s="250">
        <f t="shared" ref="AE200:AJ200" si="459">(AE190+AE193+AE196)/AE199</f>
        <v>1</v>
      </c>
      <c r="AF200" s="250">
        <f t="shared" si="459"/>
        <v>1</v>
      </c>
      <c r="AG200" s="251">
        <f t="shared" si="459"/>
        <v>1</v>
      </c>
      <c r="AH200" s="252">
        <f t="shared" si="459"/>
        <v>1</v>
      </c>
      <c r="AI200" s="249">
        <f t="shared" si="459"/>
        <v>1</v>
      </c>
      <c r="AJ200" s="250">
        <f t="shared" si="459"/>
        <v>1</v>
      </c>
      <c r="AK200" s="250">
        <f t="shared" ref="AK200:AP200" si="460">(AK190+AK193+AK196)/AK199</f>
        <v>1</v>
      </c>
      <c r="AL200" s="251">
        <f t="shared" si="460"/>
        <v>1</v>
      </c>
      <c r="AM200" s="252">
        <f t="shared" si="460"/>
        <v>1</v>
      </c>
      <c r="AN200" s="249">
        <f t="shared" si="460"/>
        <v>1</v>
      </c>
      <c r="AO200" s="250">
        <f t="shared" si="460"/>
        <v>1</v>
      </c>
      <c r="AP200" s="250">
        <f t="shared" si="460"/>
        <v>1</v>
      </c>
      <c r="AQ200" s="251">
        <f t="shared" ref="AQ200:AT200" si="461">(AQ190+AQ193+AQ196)/AQ199</f>
        <v>1</v>
      </c>
      <c r="AR200" s="252">
        <f t="shared" si="461"/>
        <v>1</v>
      </c>
      <c r="AS200" s="249">
        <f t="shared" si="461"/>
        <v>1</v>
      </c>
      <c r="AT200" s="250">
        <f t="shared" si="461"/>
        <v>1</v>
      </c>
      <c r="AU200" s="250">
        <f>(AU190+AU193+AU196)/AU199</f>
        <v>1</v>
      </c>
      <c r="AV200" s="251">
        <f t="shared" ref="AV200:AW200" si="462">(AV190+AV193+AV196)/AV199</f>
        <v>1</v>
      </c>
      <c r="AW200" s="252">
        <f t="shared" si="462"/>
        <v>1</v>
      </c>
      <c r="AX200" s="249">
        <f t="shared" ref="AX200:BG200" si="463">(AX190+AX193+AX196)/AX199</f>
        <v>1</v>
      </c>
      <c r="AY200" s="250">
        <f t="shared" si="463"/>
        <v>1</v>
      </c>
      <c r="AZ200" s="250">
        <f t="shared" si="463"/>
        <v>1</v>
      </c>
      <c r="BA200" s="251">
        <f t="shared" si="463"/>
        <v>1</v>
      </c>
      <c r="BB200" s="252">
        <f t="shared" si="463"/>
        <v>1</v>
      </c>
      <c r="BC200" s="249">
        <f t="shared" si="463"/>
        <v>1</v>
      </c>
      <c r="BD200" s="250">
        <f t="shared" si="463"/>
        <v>1</v>
      </c>
      <c r="BE200" s="250">
        <f t="shared" si="463"/>
        <v>1</v>
      </c>
      <c r="BF200" s="251">
        <f t="shared" si="463"/>
        <v>1</v>
      </c>
      <c r="BG200" s="252">
        <f t="shared" si="463"/>
        <v>1</v>
      </c>
      <c r="BH200" s="249">
        <f t="shared" ref="BH200:BQ200" si="464">(BH190+BH193+BH196)/BH199</f>
        <v>1</v>
      </c>
      <c r="BI200" s="250">
        <f t="shared" si="464"/>
        <v>1</v>
      </c>
      <c r="BJ200" s="250">
        <f t="shared" si="464"/>
        <v>1</v>
      </c>
      <c r="BK200" s="251">
        <f t="shared" si="464"/>
        <v>1</v>
      </c>
      <c r="BL200" s="252">
        <f t="shared" si="464"/>
        <v>1</v>
      </c>
      <c r="BM200" s="249">
        <f t="shared" si="464"/>
        <v>1</v>
      </c>
      <c r="BN200" s="250">
        <f t="shared" si="464"/>
        <v>1</v>
      </c>
      <c r="BO200" s="250">
        <f t="shared" si="464"/>
        <v>1</v>
      </c>
      <c r="BP200" s="251">
        <f t="shared" si="464"/>
        <v>1</v>
      </c>
      <c r="BQ200" s="252">
        <f t="shared" si="464"/>
        <v>1</v>
      </c>
      <c r="BR200" s="45"/>
      <c r="BS200" s="45"/>
      <c r="BT200" s="45"/>
      <c r="BU200" s="45"/>
      <c r="BV200" s="45"/>
      <c r="BW200" s="45"/>
      <c r="BX200" s="45"/>
      <c r="BY200" s="45"/>
      <c r="BZ200" s="45"/>
      <c r="CA200" s="45"/>
      <c r="CB200" s="45"/>
      <c r="CC200" s="45"/>
      <c r="CD200" s="45"/>
      <c r="CE200" s="45"/>
      <c r="CF200" s="45"/>
      <c r="CG200" s="45"/>
      <c r="CH200" s="45"/>
      <c r="CI200" s="45"/>
      <c r="CJ200" s="45"/>
      <c r="CK200" s="45"/>
      <c r="CL200" s="45"/>
      <c r="CM200" s="45"/>
      <c r="CN200" s="45"/>
      <c r="CO200" s="45"/>
      <c r="CP200" s="45"/>
      <c r="CQ200" s="45"/>
      <c r="CR200" s="45"/>
      <c r="CS200" s="45"/>
      <c r="CT200" s="45"/>
      <c r="CU200" s="45"/>
      <c r="CV200" s="45"/>
      <c r="CW200" s="45"/>
      <c r="CX200" s="45"/>
      <c r="CY200" s="45"/>
      <c r="CZ200" s="45"/>
    </row>
    <row r="201" spans="1:104" x14ac:dyDescent="0.2">
      <c r="A201" s="20"/>
      <c r="B201" s="20"/>
      <c r="C201" s="20"/>
      <c r="D201" s="20"/>
      <c r="E201" s="203"/>
      <c r="F201" s="204"/>
      <c r="G201" s="204"/>
      <c r="H201" s="205"/>
      <c r="I201" s="206"/>
      <c r="J201" s="203"/>
      <c r="K201" s="204"/>
      <c r="L201" s="204"/>
      <c r="M201" s="205"/>
      <c r="N201" s="206"/>
      <c r="O201" s="203"/>
      <c r="P201" s="204"/>
      <c r="Q201" s="204"/>
      <c r="R201" s="205"/>
      <c r="S201" s="206"/>
      <c r="T201" s="203"/>
      <c r="U201" s="204"/>
      <c r="V201" s="204"/>
      <c r="W201" s="205"/>
      <c r="X201" s="206"/>
      <c r="Y201" s="203"/>
      <c r="Z201" s="204"/>
      <c r="AA201" s="204"/>
      <c r="AB201" s="205"/>
      <c r="AC201" s="206"/>
      <c r="AD201" s="203"/>
      <c r="AE201" s="204"/>
      <c r="AF201" s="204"/>
      <c r="AG201" s="205"/>
      <c r="AH201" s="206"/>
      <c r="AI201" s="203"/>
      <c r="AJ201" s="204"/>
      <c r="AK201" s="204"/>
      <c r="AL201" s="205"/>
      <c r="AM201" s="206"/>
      <c r="AN201" s="203"/>
      <c r="AO201" s="204"/>
      <c r="AP201" s="204"/>
      <c r="AQ201" s="205"/>
      <c r="AR201" s="206"/>
      <c r="AS201" s="203"/>
      <c r="AT201" s="204"/>
      <c r="AU201" s="204"/>
      <c r="AV201" s="205"/>
      <c r="AW201" s="206"/>
      <c r="AX201" s="203"/>
      <c r="AY201" s="204"/>
      <c r="AZ201" s="204"/>
      <c r="BA201" s="205"/>
      <c r="BB201" s="206"/>
      <c r="BC201" s="203"/>
      <c r="BD201" s="204"/>
      <c r="BE201" s="204"/>
      <c r="BF201" s="205"/>
      <c r="BG201" s="206"/>
      <c r="BH201" s="203"/>
      <c r="BI201" s="204"/>
      <c r="BJ201" s="204"/>
      <c r="BK201" s="205"/>
      <c r="BL201" s="206"/>
      <c r="BM201" s="203"/>
      <c r="BN201" s="204"/>
      <c r="BO201" s="204"/>
      <c r="BP201" s="205"/>
      <c r="BQ201" s="206"/>
      <c r="BR201" s="20"/>
      <c r="BS201" s="20"/>
      <c r="BT201" s="20"/>
      <c r="BU201" s="20"/>
      <c r="BV201" s="20"/>
      <c r="BW201" s="20"/>
      <c r="BX201" s="20"/>
      <c r="BY201" s="20"/>
      <c r="BZ201" s="20"/>
      <c r="CA201" s="20"/>
      <c r="CB201" s="20"/>
      <c r="CC201" s="20"/>
      <c r="CD201" s="20"/>
      <c r="CE201" s="20"/>
      <c r="CF201" s="20"/>
      <c r="CG201" s="20"/>
      <c r="CH201" s="20"/>
      <c r="CI201" s="20"/>
      <c r="CJ201" s="20"/>
      <c r="CK201" s="20"/>
      <c r="CL201" s="20"/>
      <c r="CM201" s="20"/>
      <c r="CN201" s="20"/>
      <c r="CO201" s="20"/>
      <c r="CP201" s="20"/>
      <c r="CQ201" s="20"/>
      <c r="CR201" s="20"/>
      <c r="CS201" s="20"/>
      <c r="CT201" s="20"/>
      <c r="CU201" s="20"/>
      <c r="CV201" s="20"/>
      <c r="CW201" s="20"/>
      <c r="CX201" s="20"/>
      <c r="CY201" s="20"/>
      <c r="CZ201" s="20"/>
    </row>
    <row r="202" spans="1:104" x14ac:dyDescent="0.2">
      <c r="A202" s="20"/>
      <c r="B202" s="20"/>
      <c r="C202" s="20"/>
      <c r="D202" s="20"/>
      <c r="E202" s="203"/>
      <c r="F202" s="204"/>
      <c r="G202" s="204"/>
      <c r="H202" s="205"/>
      <c r="I202" s="206"/>
      <c r="J202" s="203"/>
      <c r="K202" s="204"/>
      <c r="L202" s="204"/>
      <c r="M202" s="205"/>
      <c r="N202" s="206"/>
      <c r="O202" s="203"/>
      <c r="P202" s="204"/>
      <c r="Q202" s="204"/>
      <c r="R202" s="205"/>
      <c r="S202" s="206"/>
      <c r="T202" s="203"/>
      <c r="U202" s="204"/>
      <c r="V202" s="204"/>
      <c r="W202" s="205"/>
      <c r="X202" s="206"/>
      <c r="Y202" s="203"/>
      <c r="Z202" s="204"/>
      <c r="AA202" s="204"/>
      <c r="AB202" s="205"/>
      <c r="AC202" s="206"/>
      <c r="AD202" s="203"/>
      <c r="AE202" s="204"/>
      <c r="AF202" s="204"/>
      <c r="AG202" s="205"/>
      <c r="AH202" s="206"/>
      <c r="AI202" s="203"/>
      <c r="AJ202" s="204"/>
      <c r="AK202" s="204"/>
      <c r="AL202" s="205"/>
      <c r="AM202" s="206"/>
      <c r="AN202" s="203"/>
      <c r="AO202" s="204"/>
      <c r="AP202" s="204"/>
      <c r="AQ202" s="205"/>
      <c r="AR202" s="206"/>
      <c r="AS202" s="203"/>
      <c r="AT202" s="204"/>
      <c r="AU202" s="204"/>
      <c r="AV202" s="205"/>
      <c r="AW202" s="206"/>
      <c r="AX202" s="203"/>
      <c r="AY202" s="204"/>
      <c r="AZ202" s="204"/>
      <c r="BA202" s="205"/>
      <c r="BB202" s="206"/>
      <c r="BC202" s="203"/>
      <c r="BD202" s="204"/>
      <c r="BE202" s="204"/>
      <c r="BF202" s="205"/>
      <c r="BG202" s="206"/>
      <c r="BH202" s="203"/>
      <c r="BI202" s="204"/>
      <c r="BJ202" s="204"/>
      <c r="BK202" s="205"/>
      <c r="BL202" s="206"/>
      <c r="BM202" s="203"/>
      <c r="BN202" s="204"/>
      <c r="BO202" s="204"/>
      <c r="BP202" s="205"/>
      <c r="BQ202" s="206"/>
      <c r="BR202" s="20"/>
      <c r="BS202" s="20"/>
      <c r="BT202" s="20"/>
      <c r="BU202" s="20"/>
      <c r="BV202" s="20"/>
      <c r="BW202" s="20"/>
      <c r="BX202" s="20"/>
      <c r="BY202" s="20"/>
      <c r="BZ202" s="20"/>
      <c r="CA202" s="20"/>
      <c r="CB202" s="20"/>
      <c r="CC202" s="20"/>
      <c r="CD202" s="20"/>
      <c r="CE202" s="20"/>
      <c r="CF202" s="20"/>
      <c r="CG202" s="20"/>
      <c r="CH202" s="20"/>
      <c r="CI202" s="20"/>
      <c r="CJ202" s="20"/>
      <c r="CK202" s="20"/>
      <c r="CL202" s="20"/>
      <c r="CM202" s="20"/>
      <c r="CN202" s="20"/>
      <c r="CO202" s="20"/>
      <c r="CP202" s="20"/>
      <c r="CQ202" s="20"/>
      <c r="CR202" s="20"/>
      <c r="CS202" s="20"/>
      <c r="CT202" s="20"/>
      <c r="CU202" s="20"/>
      <c r="CV202" s="20"/>
      <c r="CW202" s="20"/>
      <c r="CX202" s="20"/>
      <c r="CY202" s="20"/>
      <c r="CZ202" s="20"/>
    </row>
    <row r="203" spans="1:104" x14ac:dyDescent="0.2">
      <c r="A203" s="20"/>
      <c r="B203" s="16" t="s">
        <v>236</v>
      </c>
      <c r="C203" s="16"/>
      <c r="D203" s="17"/>
      <c r="E203" s="203"/>
      <c r="F203" s="204"/>
      <c r="G203" s="204"/>
      <c r="H203" s="205"/>
      <c r="I203" s="206"/>
      <c r="J203" s="203"/>
      <c r="K203" s="204"/>
      <c r="L203" s="204"/>
      <c r="M203" s="205"/>
      <c r="N203" s="206"/>
      <c r="O203" s="203"/>
      <c r="P203" s="204"/>
      <c r="Q203" s="204"/>
      <c r="R203" s="205"/>
      <c r="S203" s="206"/>
      <c r="T203" s="203"/>
      <c r="U203" s="204"/>
      <c r="V203" s="204"/>
      <c r="W203" s="205"/>
      <c r="X203" s="206"/>
      <c r="Y203" s="203"/>
      <c r="Z203" s="204"/>
      <c r="AA203" s="204"/>
      <c r="AB203" s="205"/>
      <c r="AC203" s="206"/>
      <c r="AD203" s="203"/>
      <c r="AE203" s="204"/>
      <c r="AF203" s="204"/>
      <c r="AG203" s="205"/>
      <c r="AH203" s="206"/>
      <c r="AI203" s="203"/>
      <c r="AJ203" s="204"/>
      <c r="AK203" s="204"/>
      <c r="AL203" s="205"/>
      <c r="AM203" s="206"/>
      <c r="AN203" s="203"/>
      <c r="AO203" s="204"/>
      <c r="AP203" s="204"/>
      <c r="AQ203" s="205"/>
      <c r="AR203" s="206"/>
      <c r="AS203" s="203"/>
      <c r="AT203" s="204"/>
      <c r="AU203" s="204"/>
      <c r="AV203" s="205"/>
      <c r="AW203" s="206"/>
      <c r="AX203" s="203"/>
      <c r="AY203" s="204"/>
      <c r="AZ203" s="204"/>
      <c r="BA203" s="205"/>
      <c r="BB203" s="206"/>
      <c r="BC203" s="203"/>
      <c r="BD203" s="204"/>
      <c r="BE203" s="204"/>
      <c r="BF203" s="205"/>
      <c r="BG203" s="206"/>
      <c r="BH203" s="203"/>
      <c r="BI203" s="204"/>
      <c r="BJ203" s="204"/>
      <c r="BK203" s="205"/>
      <c r="BL203" s="206"/>
      <c r="BM203" s="203"/>
      <c r="BN203" s="204"/>
      <c r="BO203" s="204"/>
      <c r="BP203" s="205"/>
      <c r="BQ203" s="206"/>
      <c r="BR203" s="20"/>
      <c r="BS203" s="20"/>
      <c r="BT203" s="20"/>
      <c r="BU203" s="20"/>
      <c r="BV203" s="20"/>
      <c r="BW203" s="20"/>
      <c r="BX203" s="20"/>
      <c r="BY203" s="20"/>
      <c r="BZ203" s="20"/>
      <c r="CA203" s="20"/>
      <c r="CB203" s="20"/>
      <c r="CC203" s="20"/>
      <c r="CD203" s="20"/>
      <c r="CE203" s="20"/>
      <c r="CF203" s="20"/>
      <c r="CG203" s="20"/>
      <c r="CH203" s="20"/>
      <c r="CI203" s="20"/>
      <c r="CJ203" s="20"/>
      <c r="CK203" s="20"/>
      <c r="CL203" s="20"/>
      <c r="CM203" s="20"/>
      <c r="CN203" s="20"/>
      <c r="CO203" s="20"/>
      <c r="CP203" s="20"/>
      <c r="CQ203" s="20"/>
      <c r="CR203" s="20"/>
      <c r="CS203" s="20"/>
      <c r="CT203" s="20"/>
      <c r="CU203" s="20"/>
      <c r="CV203" s="20"/>
      <c r="CW203" s="20"/>
      <c r="CX203" s="20"/>
      <c r="CY203" s="20"/>
      <c r="CZ203" s="20"/>
    </row>
    <row r="204" spans="1:104" x14ac:dyDescent="0.2">
      <c r="A204" s="220"/>
      <c r="B204" s="220"/>
      <c r="C204" s="70" t="s">
        <v>237</v>
      </c>
      <c r="D204" s="82"/>
      <c r="E204" s="136"/>
      <c r="F204" s="135"/>
      <c r="G204" s="122"/>
      <c r="H204" s="116">
        <f>SUM(E41:H41)+SUM(E13:H13)</f>
        <v>172.352</v>
      </c>
      <c r="I204" s="82">
        <f>I41+I13</f>
        <v>172.352</v>
      </c>
      <c r="J204" s="136">
        <f>SUM(J41,F41:H41)+SUM(J13,F13:H13)</f>
        <v>171.24799999999999</v>
      </c>
      <c r="K204" s="135">
        <f>SUM(J41:K41,G41:H41)+SUM(J13:K13,G13:H13)</f>
        <v>179.21100000000001</v>
      </c>
      <c r="L204" s="135">
        <f>SUM(J41:L41,H41)+SUM(J13:L13,H13)</f>
        <v>181.09799999999996</v>
      </c>
      <c r="M204" s="116">
        <f>SUM(J41:M41)+SUM(J13:M13)</f>
        <v>182.00200000000012</v>
      </c>
      <c r="N204" s="82">
        <f>N41+N13</f>
        <v>182.00200000000012</v>
      </c>
      <c r="O204" s="136">
        <f>SUM(O41,K41:M41)+SUM(O13,K13:M13)</f>
        <v>185.04500000000007</v>
      </c>
      <c r="P204" s="135">
        <f>SUM(O41:P41,L41:M41)+SUM(O13:P13,L13:M13)</f>
        <v>186.03100000000001</v>
      </c>
      <c r="Q204" s="135">
        <f>SUM(O41:Q41,M41)+SUM(O13:Q13,M13)</f>
        <v>196.40700000000012</v>
      </c>
      <c r="R204" s="116">
        <f>SUM(O41:R41)+SUM(O13:R13)</f>
        <v>196.87499999999994</v>
      </c>
      <c r="S204" s="82">
        <f>S41+S13</f>
        <v>196.87499999999994</v>
      </c>
      <c r="T204" s="136">
        <f>SUM(T41,P41:R41)+SUM(T13,P13:R13)</f>
        <v>199.68499999999995</v>
      </c>
      <c r="U204" s="135">
        <f>SUM(T41:U41,Q41:R41)+SUM(T13:U13,Q13:R13)</f>
        <v>207.19200000000001</v>
      </c>
      <c r="V204" s="135">
        <f>SUM(T41:V41,R41)+SUM(T13:V13,R13)</f>
        <v>218.48099999999994</v>
      </c>
      <c r="W204" s="116">
        <f>SUM(T41:W41)+SUM(T13:W13)</f>
        <v>220.11200000000014</v>
      </c>
      <c r="X204" s="82">
        <f>X41+X13</f>
        <v>220.11200000000014</v>
      </c>
      <c r="Y204" s="136">
        <f>SUM(Y41,U41:W41)+SUM(Y13,U13:W13)</f>
        <v>223.69500000000016</v>
      </c>
      <c r="Z204" s="135">
        <f>SUM(Y41:Z41,V41:W41)+SUM(Y13:Z13,V13:W13)</f>
        <v>224.41300000000021</v>
      </c>
      <c r="AA204" s="135">
        <f>SUM(Y41:AA41,W41)+SUM(Y13:AA13,W13)</f>
        <v>202.82800000000015</v>
      </c>
      <c r="AB204" s="116">
        <f>SUM(Y41:AB41)+SUM(Y13:AB13)</f>
        <v>217.08400000000006</v>
      </c>
      <c r="AC204" s="82">
        <f>AC41+AC13</f>
        <v>217.08400000000006</v>
      </c>
      <c r="AD204" s="136">
        <f>SUM(AD41,Z41:AB41)+SUM(AD13,Z13:AB13)</f>
        <v>223.542</v>
      </c>
      <c r="AE204" s="135">
        <f>SUM(AD41:AE41,AA41:AB41)+SUM(AD13:AE13,AA13:AB13)</f>
        <v>227.38699999999994</v>
      </c>
      <c r="AF204" s="135">
        <f>SUM(AD41:AF41,AB41)+SUM(AD13:AF13,AB13)</f>
        <v>263.17899999999997</v>
      </c>
      <c r="AG204" s="116">
        <f>SUM(AD41:AG41)+SUM(AD13:AG13)</f>
        <v>265.48400000000004</v>
      </c>
      <c r="AH204" s="82">
        <f>AH41+AH13</f>
        <v>265.48400000000004</v>
      </c>
      <c r="AI204" s="136">
        <f>SUM(AI41,AE41:AG41)+SUM(AI13,AE13:AG13)</f>
        <v>272.22300000000007</v>
      </c>
      <c r="AJ204" s="135">
        <f>SUM(AI41:AJ41,AF41:AG41)+SUM(AI13:AJ13,AF13:AG13)</f>
        <v>268.4430000000001</v>
      </c>
      <c r="AK204" s="135">
        <f>SUM(AI41:AK41,AG41)+SUM(AI13:AK13,AG13)</f>
        <v>264.53600000000006</v>
      </c>
      <c r="AL204" s="116">
        <f>SUM(AI41:AL41)+SUM(AI13:AL13)</f>
        <v>278.17600000000016</v>
      </c>
      <c r="AM204" s="82">
        <f>AM41+AM13</f>
        <v>278.17600000000016</v>
      </c>
      <c r="AN204" s="136">
        <f>SUM(AN41,AJ41:AL41)+SUM(AN13,AJ13:AL13)</f>
        <v>285.04400000000015</v>
      </c>
      <c r="AO204" s="135">
        <f>SUM(AN41:AO41,AK41:AL41)+SUM(AN13:AO13,AK13:AL13)</f>
        <v>298.82200000000023</v>
      </c>
      <c r="AP204" s="135">
        <f>SUM(AN41:AP41,AL41)+SUM(AN13:AP13,AL13)</f>
        <v>311.95700000000033</v>
      </c>
      <c r="AQ204" s="116">
        <f>SUM(AN41:AQ41)+SUM(AN13:AQ13)</f>
        <v>314.58599999999996</v>
      </c>
      <c r="AR204" s="82">
        <f>AR41+AR13</f>
        <v>314.58599999999996</v>
      </c>
      <c r="AS204" s="136">
        <f>SUM(AS41,AO41:AQ41)+SUM(AS13,AO13:AQ13)</f>
        <v>327.20499999999998</v>
      </c>
      <c r="AT204" s="135">
        <f>SUM(AS41:AT41,AP41:AQ41)+SUM(AS13:AT13,AP13:AQ13)</f>
        <v>336.27799999999991</v>
      </c>
      <c r="AU204" s="135">
        <f>SUM(AS41:AU41,AQ41)+SUM(AS13:AU13,AQ13)</f>
        <v>341.2349999999999</v>
      </c>
      <c r="AV204" s="116">
        <f>SUM(AS41:AV41)+SUM(AS13:AV13)</f>
        <v>353.1279999999997</v>
      </c>
      <c r="AW204" s="82">
        <f>AW41+AW13</f>
        <v>353.1279999999997</v>
      </c>
      <c r="AX204" s="136">
        <f>SUM(AX41,AT41:AV41)+SUM(AX13,AT13:AV13)</f>
        <v>374.5329057682942</v>
      </c>
      <c r="AY204" s="135">
        <f>SUM(AX41:AY41,AU41:AV41)+SUM(AX13:AY13,AU13:AV13)</f>
        <v>395.57885570393751</v>
      </c>
      <c r="AZ204" s="135">
        <f>SUM(AX41:AZ41,AV41)+SUM(AX13:AZ13,AV13)</f>
        <v>411.77116250851526</v>
      </c>
      <c r="BA204" s="116">
        <f>SUM(AX41:BA41)+SUM(AX13:BA13)</f>
        <v>414.54942062271323</v>
      </c>
      <c r="BB204" s="82">
        <f>BB41+BB13</f>
        <v>414.54942062271323</v>
      </c>
      <c r="BC204" s="136">
        <f>SUM(BC41,AY41:BA41)+SUM(BC13,AY13:BA13)</f>
        <v>428.86106543977576</v>
      </c>
      <c r="BD204" s="135">
        <f>SUM(BC41:BD41,AZ41:BA41)+SUM(BC13:BD13,AZ13:BA13)</f>
        <v>444.25223109454816</v>
      </c>
      <c r="BE204" s="135">
        <f>SUM(BC41:BE41,BA41)+SUM(BC13:BE13,BA13)</f>
        <v>461.26658782834272</v>
      </c>
      <c r="BF204" s="116">
        <f>SUM(BC41:BF41)+SUM(BC13:BF13)</f>
        <v>475.6069179087965</v>
      </c>
      <c r="BG204" s="82">
        <f>BG41+BG13</f>
        <v>475.6069179087965</v>
      </c>
      <c r="BH204" s="136">
        <f>SUM(BH41,BD41:BF41)+SUM(BH13,BD13:BF13)</f>
        <v>488.47546339606333</v>
      </c>
      <c r="BI204" s="135">
        <f>SUM(BH41:BI41,BE41:BF41)+SUM(BH13:BI13,BE13:BF13)</f>
        <v>502.82953727518748</v>
      </c>
      <c r="BJ204" s="135">
        <f>SUM(BH41:BJ41,BF41)+SUM(BH13:BJ13,BF13)</f>
        <v>521.98997800435245</v>
      </c>
      <c r="BK204" s="116">
        <f>SUM(BH41:BK41)+SUM(BH13:BK13)</f>
        <v>536.87749971769267</v>
      </c>
      <c r="BL204" s="82">
        <f>BL41+BL13</f>
        <v>536.87749971769267</v>
      </c>
      <c r="BM204" s="136">
        <f>SUM(BM41,BI41:BK41)+SUM(BM13,BI13:BK13)</f>
        <v>550.01793357764791</v>
      </c>
      <c r="BN204" s="135">
        <f>SUM(BM41:BN41,BJ41:BK41)+SUM(BM13:BN13,BJ13:BK13)</f>
        <v>563.24100759862063</v>
      </c>
      <c r="BO204" s="135">
        <f>SUM(BM41:BO41,BK41)+SUM(BM13:BO13,BK13)</f>
        <v>579.16357994258522</v>
      </c>
      <c r="BP204" s="116">
        <f>SUM(BM41:BP41)+SUM(BM13:BP13)</f>
        <v>591.85597227091</v>
      </c>
      <c r="BQ204" s="82">
        <f>BQ41+BQ13</f>
        <v>591.85597227091</v>
      </c>
      <c r="BR204" s="220"/>
      <c r="BS204" s="220"/>
      <c r="BT204" s="220"/>
      <c r="BU204" s="220"/>
      <c r="BV204" s="220"/>
      <c r="BW204" s="220"/>
      <c r="BX204" s="220"/>
      <c r="BY204" s="220"/>
      <c r="BZ204" s="220"/>
      <c r="CA204" s="220"/>
      <c r="CB204" s="220"/>
      <c r="CC204" s="220"/>
      <c r="CD204" s="220"/>
      <c r="CE204" s="220"/>
      <c r="CF204" s="220"/>
      <c r="CG204" s="220"/>
      <c r="CH204" s="220"/>
      <c r="CI204" s="220"/>
      <c r="CJ204" s="220"/>
      <c r="CK204" s="220"/>
      <c r="CL204" s="220"/>
      <c r="CM204" s="220"/>
      <c r="CN204" s="220"/>
      <c r="CO204" s="220"/>
      <c r="CP204" s="220"/>
      <c r="CQ204" s="220"/>
      <c r="CR204" s="220"/>
      <c r="CS204" s="220"/>
      <c r="CT204" s="220"/>
      <c r="CU204" s="220"/>
      <c r="CV204" s="220"/>
      <c r="CW204" s="220"/>
      <c r="CX204" s="220"/>
      <c r="CY204" s="220"/>
      <c r="CZ204" s="220"/>
    </row>
    <row r="205" spans="1:104" x14ac:dyDescent="0.2">
      <c r="A205" s="220"/>
      <c r="B205" s="220"/>
      <c r="C205" s="70" t="s">
        <v>238</v>
      </c>
      <c r="D205" s="82"/>
      <c r="E205" s="136"/>
      <c r="F205" s="135"/>
      <c r="G205" s="122"/>
      <c r="H205" s="116">
        <f>SUM(E24:H24)</f>
        <v>177.1629999999999</v>
      </c>
      <c r="I205" s="82">
        <f>+I24</f>
        <v>177.16300000000001</v>
      </c>
      <c r="J205" s="136">
        <f>SUM(J24,F24:H24)</f>
        <v>177.10599999999988</v>
      </c>
      <c r="K205" s="135">
        <f>SUM(J24:K24,G24:H24)</f>
        <v>190.59199999999993</v>
      </c>
      <c r="L205" s="135">
        <f>SUM(J24:L24,H24)</f>
        <v>191.51299999999986</v>
      </c>
      <c r="M205" s="116">
        <f>SUM(J24:M24)</f>
        <v>187.65199999999996</v>
      </c>
      <c r="N205" s="82">
        <f>+N24</f>
        <v>187.65200000000013</v>
      </c>
      <c r="O205" s="136">
        <f>SUM(O24,K24:M24)</f>
        <v>187.88399999999987</v>
      </c>
      <c r="P205" s="135">
        <f>SUM(O24:P24,L24:M24)</f>
        <v>187.57799999999983</v>
      </c>
      <c r="Q205" s="135">
        <f>SUM(O24:Q24,M24)</f>
        <v>203.70299999999995</v>
      </c>
      <c r="R205" s="116">
        <f>SUM(O24:R24)</f>
        <v>206.34500000000011</v>
      </c>
      <c r="S205" s="82">
        <f>+S24</f>
        <v>206.34499999999997</v>
      </c>
      <c r="T205" s="136">
        <f>SUM(T24,P24:R24)</f>
        <v>208.2710000000001</v>
      </c>
      <c r="U205" s="135">
        <f>SUM(T24:U24,Q24:R24)</f>
        <v>217.13100000000014</v>
      </c>
      <c r="V205" s="135">
        <f>SUM(T24:V24,R24)</f>
        <v>232.17200000000011</v>
      </c>
      <c r="W205" s="116">
        <f>SUM(T24:W24)</f>
        <v>233.07300000000001</v>
      </c>
      <c r="X205" s="82">
        <f>+X24</f>
        <v>233.07300000000012</v>
      </c>
      <c r="Y205" s="136">
        <f>SUM(Y24,U24:W24)</f>
        <v>235.29300000000003</v>
      </c>
      <c r="Z205" s="135">
        <f>SUM(Y24:Z24,V24:W24)</f>
        <v>232.33200000000008</v>
      </c>
      <c r="AA205" s="135">
        <f>SUM(Y24:AA24,W24)</f>
        <v>199.91400000000002</v>
      </c>
      <c r="AB205" s="116">
        <f>SUM(Y24:AB24)</f>
        <v>220.34300000000016</v>
      </c>
      <c r="AC205" s="82">
        <f>+AC24</f>
        <v>220.34300000000005</v>
      </c>
      <c r="AD205" s="136">
        <f>SUM(AD24,Z24:AB24)</f>
        <v>230.9670000000001</v>
      </c>
      <c r="AE205" s="135">
        <f>SUM(AD24:AE24,AA24:AB24)</f>
        <v>231.95900000000006</v>
      </c>
      <c r="AF205" s="135">
        <f>SUM(AD24:AF24,AB24)</f>
        <v>277.2530000000001</v>
      </c>
      <c r="AG205" s="116">
        <f>SUM(AD24:AG24)</f>
        <v>278.18299999999999</v>
      </c>
      <c r="AH205" s="82">
        <f>+AH24</f>
        <v>278.18300000000005</v>
      </c>
      <c r="AI205" s="136">
        <f>SUM(AI24,AE24:AG24)</f>
        <v>283.33400000000006</v>
      </c>
      <c r="AJ205" s="135">
        <f>SUM(AI24:AJ24,AF24:AG24)</f>
        <v>276.64400000000006</v>
      </c>
      <c r="AK205" s="135">
        <f>SUM(AI24:AK24,AG24)</f>
        <v>273.92600000000004</v>
      </c>
      <c r="AL205" s="116">
        <f>SUM(AI24:AL24)</f>
        <v>281.8370000000001</v>
      </c>
      <c r="AM205" s="82">
        <f>+AM24</f>
        <v>281.83700000000016</v>
      </c>
      <c r="AN205" s="136">
        <f>SUM(AN24,AJ24:AL24)</f>
        <v>286.36900000000009</v>
      </c>
      <c r="AO205" s="135">
        <f>SUM(AN24:AO24,AK24:AL24)</f>
        <v>302.4500000000001</v>
      </c>
      <c r="AP205" s="135">
        <f>SUM(AN24:AP24,AL24)</f>
        <v>308.31700000000023</v>
      </c>
      <c r="AQ205" s="116">
        <f>SUM(AN24:AQ24)</f>
        <v>317.35300000000018</v>
      </c>
      <c r="AR205" s="82">
        <f>+AR24</f>
        <v>317.35299999999995</v>
      </c>
      <c r="AS205" s="136">
        <f>SUM(AS24,AO24:AQ24)</f>
        <v>321.9940000000002</v>
      </c>
      <c r="AT205" s="135">
        <f>SUM(AS24:AT24,AP24:AQ24)</f>
        <v>327.33100000000013</v>
      </c>
      <c r="AU205" s="135">
        <f>SUM(AS24:AU24,AQ24)</f>
        <v>327.34500000000008</v>
      </c>
      <c r="AV205" s="116">
        <f>SUM(AS24:AV24)</f>
        <v>308.47799999999989</v>
      </c>
      <c r="AW205" s="82">
        <f>+AW24</f>
        <v>308.47799999999972</v>
      </c>
      <c r="AX205" s="136">
        <f>SUM(AX24,AT24:AV24)</f>
        <v>321.79531317761251</v>
      </c>
      <c r="AY205" s="135">
        <f>SUM(AX24:AY24,AU24:AV24)</f>
        <v>328.41179186890611</v>
      </c>
      <c r="AZ205" s="135">
        <f>SUM(AX24:AZ24,AV24)</f>
        <v>326.38239905808956</v>
      </c>
      <c r="BA205" s="116">
        <f>SUM(AX24:BA24)</f>
        <v>333.24068271065585</v>
      </c>
      <c r="BB205" s="82">
        <f>+BB24</f>
        <v>333.24068271065602</v>
      </c>
      <c r="BC205" s="136">
        <f>SUM(BC24,AY24:BA24)</f>
        <v>349.92511498070161</v>
      </c>
      <c r="BD205" s="135">
        <f>SUM(BC24:BD24,AZ24:BA24)</f>
        <v>364.63250332818797</v>
      </c>
      <c r="BE205" s="135">
        <f>SUM(BC24:BE24,BA24)</f>
        <v>384.02987079578014</v>
      </c>
      <c r="BF205" s="116">
        <f>SUM(BC24:BF24)</f>
        <v>397.7320901459459</v>
      </c>
      <c r="BG205" s="82">
        <f>+BG24</f>
        <v>397.73209014594607</v>
      </c>
      <c r="BH205" s="136">
        <f>SUM(BH24,BD24:BF24)</f>
        <v>409.16656061321203</v>
      </c>
      <c r="BI205" s="135">
        <f>SUM(BH24:BI24,BE24:BF24)</f>
        <v>418.97716470572448</v>
      </c>
      <c r="BJ205" s="135">
        <f>SUM(BH24:BJ24,BF24)</f>
        <v>435.81091182936814</v>
      </c>
      <c r="BK205" s="116">
        <f>SUM(BH24:BK24)</f>
        <v>447.34124062269893</v>
      </c>
      <c r="BL205" s="82">
        <f>+BL24</f>
        <v>447.34124062269859</v>
      </c>
      <c r="BM205" s="136">
        <f>SUM(BM24,BI24:BK24)</f>
        <v>457.39203205432239</v>
      </c>
      <c r="BN205" s="135">
        <f>SUM(BM24:BN24,BJ24:BK24)</f>
        <v>470.0942765520482</v>
      </c>
      <c r="BO205" s="135">
        <f>SUM(BM24:BO24,BK24)</f>
        <v>488.10113665082679</v>
      </c>
      <c r="BP205" s="116">
        <f>SUM(BM24:BP24)</f>
        <v>501.61753247822793</v>
      </c>
      <c r="BQ205" s="82">
        <f>+BQ24</f>
        <v>501.6175324782277</v>
      </c>
      <c r="BR205" s="220"/>
      <c r="BS205" s="220"/>
      <c r="BT205" s="220"/>
      <c r="BU205" s="220"/>
      <c r="BV205" s="220"/>
      <c r="BW205" s="220"/>
      <c r="BX205" s="220"/>
      <c r="BY205" s="220"/>
      <c r="BZ205" s="220"/>
      <c r="CA205" s="220"/>
      <c r="CB205" s="220"/>
      <c r="CC205" s="220"/>
      <c r="CD205" s="220"/>
      <c r="CE205" s="220"/>
      <c r="CF205" s="220"/>
      <c r="CG205" s="220"/>
      <c r="CH205" s="220"/>
      <c r="CI205" s="220"/>
      <c r="CJ205" s="220"/>
      <c r="CK205" s="220"/>
      <c r="CL205" s="220"/>
      <c r="CM205" s="220"/>
      <c r="CN205" s="220"/>
      <c r="CO205" s="220"/>
      <c r="CP205" s="220"/>
      <c r="CQ205" s="220"/>
      <c r="CR205" s="220"/>
      <c r="CS205" s="220"/>
      <c r="CT205" s="220"/>
      <c r="CU205" s="220"/>
      <c r="CV205" s="220"/>
      <c r="CW205" s="220"/>
      <c r="CX205" s="220"/>
      <c r="CY205" s="220"/>
      <c r="CZ205" s="220"/>
    </row>
    <row r="206" spans="1:104" x14ac:dyDescent="0.2">
      <c r="A206" s="220"/>
      <c r="B206" s="220"/>
      <c r="C206" s="70" t="s">
        <v>239</v>
      </c>
      <c r="D206" s="82"/>
      <c r="E206" s="136"/>
      <c r="F206" s="135"/>
      <c r="G206" s="122"/>
      <c r="H206" s="116">
        <f>SUM(E25:H25)</f>
        <v>281.76499999999987</v>
      </c>
      <c r="I206" s="82">
        <f>+I25</f>
        <v>281.76499999999999</v>
      </c>
      <c r="J206" s="136">
        <f>SUM(J25,F25:H25)</f>
        <v>282.08699999999988</v>
      </c>
      <c r="K206" s="135">
        <f>SUM(J25:K25,G25:H25)</f>
        <v>295.94799999999992</v>
      </c>
      <c r="L206" s="135">
        <f>SUM(J25:L25,H25)</f>
        <v>296.98199999999986</v>
      </c>
      <c r="M206" s="116">
        <f>SUM(J25:M25)</f>
        <v>291.58699999999999</v>
      </c>
      <c r="N206" s="82">
        <f>+N25</f>
        <v>291.5870000000001</v>
      </c>
      <c r="O206" s="136">
        <f>SUM(O25,K25:M25)</f>
        <v>292.32299999999992</v>
      </c>
      <c r="P206" s="135">
        <f>SUM(O25:P25,L25:M25)</f>
        <v>292.72699999999986</v>
      </c>
      <c r="Q206" s="135">
        <f>SUM(O25:Q25,M25)</f>
        <v>309.83599999999996</v>
      </c>
      <c r="R206" s="116">
        <f>SUM(O25:R25)</f>
        <v>313.31900000000013</v>
      </c>
      <c r="S206" s="82">
        <f>+S25</f>
        <v>313.31899999999996</v>
      </c>
      <c r="T206" s="136">
        <f>SUM(T25,P25:R25)</f>
        <v>316.93300000000011</v>
      </c>
      <c r="U206" s="135">
        <f>SUM(T25:U25,Q25:R25)</f>
        <v>327.67800000000017</v>
      </c>
      <c r="V206" s="135">
        <f>SUM(T25:V25,R25)</f>
        <v>344.3420000000001</v>
      </c>
      <c r="W206" s="116">
        <f>SUM(T25:W25)</f>
        <v>346.81599999999997</v>
      </c>
      <c r="X206" s="82">
        <f>+X25</f>
        <v>346.81600000000014</v>
      </c>
      <c r="Y206" s="136">
        <f>SUM(Y25,U25:W25)</f>
        <v>351.39500000000004</v>
      </c>
      <c r="Z206" s="135">
        <f>SUM(Y25:Z25,V25:W25)</f>
        <v>351.24000000000007</v>
      </c>
      <c r="AA206" s="135">
        <f>SUM(Y25:AA25,W25)</f>
        <v>320.44700000000006</v>
      </c>
      <c r="AB206" s="116">
        <f>SUM(Y25:AB25)</f>
        <v>342.25000000000023</v>
      </c>
      <c r="AC206" s="82">
        <f>+AC25</f>
        <v>342.25000000000006</v>
      </c>
      <c r="AD206" s="136">
        <f>SUM(AD25,Z25:AB25)</f>
        <v>353.18100000000015</v>
      </c>
      <c r="AE206" s="135">
        <f>SUM(AD25:AE25,AA25:AB25)</f>
        <v>358.18900000000008</v>
      </c>
      <c r="AF206" s="135">
        <f>SUM(AD25:AF25,AB25)</f>
        <v>407.37500000000011</v>
      </c>
      <c r="AG206" s="116">
        <f>SUM(AD25:AG25)</f>
        <v>413.81500000000005</v>
      </c>
      <c r="AH206" s="82">
        <f>+AH25</f>
        <v>413.81500000000005</v>
      </c>
      <c r="AI206" s="136">
        <f>SUM(AI25,AE25:AG25)</f>
        <v>424.1930000000001</v>
      </c>
      <c r="AJ206" s="135">
        <f>SUM(AI25:AJ25,AF25:AG25)</f>
        <v>419.18200000000013</v>
      </c>
      <c r="AK206" s="135">
        <f>SUM(AI25:AK25,AG25)</f>
        <v>417.67900000000009</v>
      </c>
      <c r="AL206" s="116">
        <f>SUM(AI25:AL25)</f>
        <v>432.75000000000011</v>
      </c>
      <c r="AM206" s="82">
        <f>+AM25</f>
        <v>432.75000000000017</v>
      </c>
      <c r="AN206" s="136">
        <f>SUM(AN25,AJ25:AL25)</f>
        <v>441.87400000000014</v>
      </c>
      <c r="AO206" s="135">
        <f>SUM(AN25:AO25,AK25:AL25)</f>
        <v>462.09800000000013</v>
      </c>
      <c r="AP206" s="135">
        <f>SUM(AN25:AP25,AL25)</f>
        <v>474.56900000000024</v>
      </c>
      <c r="AQ206" s="116">
        <f>SUM(AN25:AQ25)</f>
        <v>479.78200000000015</v>
      </c>
      <c r="AR206" s="82">
        <f>+AR25</f>
        <v>479.78199999999993</v>
      </c>
      <c r="AS206" s="136">
        <f>SUM(AS25,AO25:AQ25)</f>
        <v>494.51000000000022</v>
      </c>
      <c r="AT206" s="135">
        <f>SUM(AS25:AT25,AP25:AQ25)</f>
        <v>505.76900000000012</v>
      </c>
      <c r="AU206" s="135">
        <f>SUM(AS25:AU25,AQ25)</f>
        <v>511.30500000000006</v>
      </c>
      <c r="AV206" s="116">
        <f>SUM(AS25:AV25)</f>
        <v>502.39299999999992</v>
      </c>
      <c r="AW206" s="82">
        <f>+AW25</f>
        <v>502.39299999999969</v>
      </c>
      <c r="AX206" s="136">
        <f>SUM(AX25,AT25:AV25)</f>
        <v>518.65932067761253</v>
      </c>
      <c r="AY206" s="135">
        <f>SUM(AX25:AY25,AU25:AV25)</f>
        <v>530.84273741017296</v>
      </c>
      <c r="AZ206" s="135">
        <f>SUM(AX25:AZ25,AV25)</f>
        <v>535.92673583765907</v>
      </c>
      <c r="BA206" s="116">
        <f>SUM(AX25:BA25)</f>
        <v>550.56622007709711</v>
      </c>
      <c r="BB206" s="82">
        <f>+BB25</f>
        <v>550.56622007709734</v>
      </c>
      <c r="BC206" s="136">
        <f>SUM(BC25,AY25:BA25)</f>
        <v>571.00457132565793</v>
      </c>
      <c r="BD206" s="135">
        <f>SUM(BC25:BD25,AZ25:BA25)</f>
        <v>592.10745397578034</v>
      </c>
      <c r="BE206" s="135">
        <f>SUM(BC25:BE25,BA25)</f>
        <v>618.07882665178158</v>
      </c>
      <c r="BF206" s="116">
        <f>SUM(BC25:BF25)</f>
        <v>638.53249957719515</v>
      </c>
      <c r="BG206" s="82">
        <f>+BG25</f>
        <v>638.53249957719538</v>
      </c>
      <c r="BH206" s="136">
        <f>SUM(BH25,BD25:BF25)</f>
        <v>658.9175392275713</v>
      </c>
      <c r="BI206" s="135">
        <f>SUM(BH25:BI25,BE25:BF25)</f>
        <v>680.16929096332558</v>
      </c>
      <c r="BJ206" s="135">
        <f>SUM(BH25:BJ25,BF25)</f>
        <v>707.15186076775012</v>
      </c>
      <c r="BK206" s="116">
        <f>SUM(BH25:BK25)</f>
        <v>727.55272870948374</v>
      </c>
      <c r="BL206" s="82">
        <f>+BL25</f>
        <v>727.5527287094834</v>
      </c>
      <c r="BM206" s="136">
        <f>SUM(BM25,BI25:BK25)</f>
        <v>745.20966462360684</v>
      </c>
      <c r="BN206" s="135">
        <f>SUM(BM25:BN25,BJ25:BK25)</f>
        <v>763.48602321376666</v>
      </c>
      <c r="BO206" s="135">
        <f>SUM(BM25:BO25,BK25)</f>
        <v>786.35451845036982</v>
      </c>
      <c r="BP206" s="116">
        <f>SUM(BM25:BP25)</f>
        <v>804.02781172089908</v>
      </c>
      <c r="BQ206" s="82">
        <f>+BQ25</f>
        <v>804.02781172089885</v>
      </c>
      <c r="BR206" s="220"/>
      <c r="BS206" s="220"/>
      <c r="BT206" s="220"/>
      <c r="BU206" s="220"/>
      <c r="BV206" s="220"/>
      <c r="BW206" s="220"/>
      <c r="BX206" s="220"/>
      <c r="BY206" s="220"/>
      <c r="BZ206" s="220"/>
      <c r="CA206" s="220"/>
      <c r="CB206" s="220"/>
      <c r="CC206" s="220"/>
      <c r="CD206" s="220"/>
      <c r="CE206" s="220"/>
      <c r="CF206" s="220"/>
      <c r="CG206" s="220"/>
      <c r="CH206" s="220"/>
      <c r="CI206" s="220"/>
      <c r="CJ206" s="220"/>
      <c r="CK206" s="220"/>
      <c r="CL206" s="220"/>
      <c r="CM206" s="220"/>
      <c r="CN206" s="220"/>
      <c r="CO206" s="220"/>
      <c r="CP206" s="220"/>
      <c r="CQ206" s="220"/>
      <c r="CR206" s="220"/>
      <c r="CS206" s="220"/>
      <c r="CT206" s="220"/>
      <c r="CU206" s="220"/>
      <c r="CV206" s="220"/>
      <c r="CW206" s="220"/>
      <c r="CX206" s="220"/>
      <c r="CY206" s="220"/>
      <c r="CZ206" s="220"/>
    </row>
    <row r="207" spans="1:104" x14ac:dyDescent="0.2">
      <c r="A207" s="220"/>
      <c r="B207" s="220"/>
      <c r="C207" s="70" t="s">
        <v>240</v>
      </c>
      <c r="D207" s="82"/>
      <c r="E207" s="136"/>
      <c r="F207" s="135"/>
      <c r="G207" s="122"/>
      <c r="H207" s="116">
        <f>SUM(E27:H27)</f>
        <v>71.688000000000002</v>
      </c>
      <c r="I207" s="82">
        <f>+SUM(I27:I27)</f>
        <v>71.688000000000002</v>
      </c>
      <c r="J207" s="136">
        <f>SUM(J27:J27,F27:H27)</f>
        <v>69.734000000000009</v>
      </c>
      <c r="K207" s="135">
        <f>SUM(J27:K27,G27:H27)</f>
        <v>69.888000000000005</v>
      </c>
      <c r="L207" s="135">
        <f>SUM(J27:L27,H27:H27)</f>
        <v>68.927000000000007</v>
      </c>
      <c r="M207" s="116">
        <f>SUM(J27:M27)</f>
        <v>63.911999999999999</v>
      </c>
      <c r="N207" s="82">
        <f>+SUM(N27:N27)</f>
        <v>63.911999999999999</v>
      </c>
      <c r="O207" s="136">
        <f>SUM(O27:O27,K27:M27)</f>
        <v>63.563999999999993</v>
      </c>
      <c r="P207" s="135">
        <f>SUM(O27:P27,L27:M27)</f>
        <v>63.895999999999994</v>
      </c>
      <c r="Q207" s="135">
        <f>SUM(O27:Q27,M27:M27)</f>
        <v>64.134999999999991</v>
      </c>
      <c r="R207" s="116">
        <f>SUM(O27:R27)</f>
        <v>65.094999999999999</v>
      </c>
      <c r="S207" s="82">
        <f>+SUM(S27:S27)</f>
        <v>65.094999999999999</v>
      </c>
      <c r="T207" s="136">
        <f>SUM(T27:T27,P27:R27)</f>
        <v>66.003</v>
      </c>
      <c r="U207" s="135">
        <f>SUM(T27:U27,Q27:R27)</f>
        <v>66.86999999999999</v>
      </c>
      <c r="V207" s="135">
        <f>SUM(T27:V27,R27:R27)</f>
        <v>68.062999999999988</v>
      </c>
      <c r="W207" s="116">
        <f>SUM(T27:W27)</f>
        <v>69.073999999999998</v>
      </c>
      <c r="X207" s="82">
        <f>+SUM(X27:X27)</f>
        <v>69.073999999999998</v>
      </c>
      <c r="Y207" s="136">
        <f>SUM(Y27:Y27,U27:W27)</f>
        <v>70.140999999999991</v>
      </c>
      <c r="Z207" s="135">
        <f>SUM(Y27:Z27,V27:W27)</f>
        <v>71.050000000000011</v>
      </c>
      <c r="AA207" s="135">
        <f>SUM(Y27:AA27,W27:W27)</f>
        <v>76.293000000000006</v>
      </c>
      <c r="AB207" s="116">
        <f>SUM(Y27:AB27)</f>
        <v>77.866</v>
      </c>
      <c r="AC207" s="82">
        <f>+SUM(AC27:AC27)</f>
        <v>77.866</v>
      </c>
      <c r="AD207" s="136">
        <f>SUM(AD27:AD27,Z27:AB27)</f>
        <v>79.373999999999995</v>
      </c>
      <c r="AE207" s="135">
        <f>SUM(AD27:AE27,AA27:AB27)</f>
        <v>81.174999999999997</v>
      </c>
      <c r="AF207" s="135">
        <f>SUM(AD27:AF27,AB27:AB27)</f>
        <v>78.762</v>
      </c>
      <c r="AG207" s="116">
        <f>SUM(AD27:AG27)</f>
        <v>80.218000000000004</v>
      </c>
      <c r="AH207" s="82">
        <f>+SUM(AH27:AH27)</f>
        <v>80.218000000000004</v>
      </c>
      <c r="AI207" s="136">
        <f>SUM(AI27:AI27,AE27:AG27)</f>
        <v>81.820999999999998</v>
      </c>
      <c r="AJ207" s="135">
        <f>SUM(AI27:AJ27,AF27:AG27)</f>
        <v>83.25</v>
      </c>
      <c r="AK207" s="135">
        <f>SUM(AI27:AK27,AG27:AG27)</f>
        <v>84.55</v>
      </c>
      <c r="AL207" s="116">
        <f>SUM(AI27:AL27)</f>
        <v>84.04</v>
      </c>
      <c r="AM207" s="82">
        <f>+SUM(AM27:AM27)</f>
        <v>84.04</v>
      </c>
      <c r="AN207" s="136">
        <f>SUM(AN27:AN27,AJ27:AL27)</f>
        <v>85.088000000000008</v>
      </c>
      <c r="AO207" s="135">
        <f>SUM(AN27:AO27,AK27:AL27)</f>
        <v>86.089000000000013</v>
      </c>
      <c r="AP207" s="135">
        <f>SUM(AN27:AP27,AL27:AL27)</f>
        <v>87.653000000000006</v>
      </c>
      <c r="AQ207" s="116">
        <f>SUM(AN27:AQ27)</f>
        <v>88.671000000000006</v>
      </c>
      <c r="AR207" s="82">
        <f>+SUM(AR27:AR27)</f>
        <v>88.671000000000006</v>
      </c>
      <c r="AS207" s="136">
        <f>SUM(AS27:AS27,AO27:AQ27)</f>
        <v>89.477000000000018</v>
      </c>
      <c r="AT207" s="135">
        <f>SUM(AS27:AT27,AP27:AQ27)</f>
        <v>89.348000000000013</v>
      </c>
      <c r="AU207" s="135">
        <f>SUM(AS27:AU27,AQ27:AQ27)</f>
        <v>87.449000000000012</v>
      </c>
      <c r="AV207" s="116">
        <f>SUM(AS27:AV27)</f>
        <v>86.233000000000004</v>
      </c>
      <c r="AW207" s="82">
        <f>+SUM(AW27:AW27)</f>
        <v>86.233000000000004</v>
      </c>
      <c r="AX207" s="136">
        <f>SUM(AX27:AX27,AT27:AV27)</f>
        <v>84.34707250000001</v>
      </c>
      <c r="AY207" s="135">
        <f>SUM(AX27:AY27,AU27:AV27)</f>
        <v>82.691825678905104</v>
      </c>
      <c r="AZ207" s="135">
        <f>SUM(AX27:AZ27,AV27:AV27)</f>
        <v>86.851835793168419</v>
      </c>
      <c r="BA207" s="116">
        <f>SUM(AX27:BA27)</f>
        <v>90.148666422746942</v>
      </c>
      <c r="BB207" s="82">
        <f>+SUM(BB27:BB27)</f>
        <v>90.148666422746942</v>
      </c>
      <c r="BC207" s="136">
        <f>SUM(BC27:BC27,AY27:BA27)</f>
        <v>93.340635654742741</v>
      </c>
      <c r="BD207" s="135">
        <f>SUM(BC27:BD27,AZ27:BA27)</f>
        <v>96.63830027939396</v>
      </c>
      <c r="BE207" s="135">
        <f>SUM(BC27:BE27,BA27:BA27)</f>
        <v>102.6997037931522</v>
      </c>
      <c r="BF207" s="116">
        <f>SUM(BC27:BF27)</f>
        <v>106.86792588305659</v>
      </c>
      <c r="BG207" s="82">
        <f>+SUM(BG27:BG27)</f>
        <v>106.86792588305659</v>
      </c>
      <c r="BH207" s="136">
        <f>SUM(BH27:BH27,BD27:BF27)</f>
        <v>110.98395260251033</v>
      </c>
      <c r="BI207" s="135">
        <f>SUM(BH27:BI27,BE27:BF27)</f>
        <v>114.81617970490964</v>
      </c>
      <c r="BJ207" s="135">
        <f>SUM(BH27:BJ27,BF27:BF27)</f>
        <v>117.5399607551046</v>
      </c>
      <c r="BK207" s="116">
        <f>SUM(BH27:BK27)</f>
        <v>118.95317078624807</v>
      </c>
      <c r="BL207" s="82">
        <f>+SUM(BL27:BL27)</f>
        <v>118.95317078624807</v>
      </c>
      <c r="BM207" s="136">
        <f>SUM(BM27:BM27,BI27:BK27)</f>
        <v>120.45590022123723</v>
      </c>
      <c r="BN207" s="135">
        <f>SUM(BM27:BN27,BJ27:BK27)</f>
        <v>121.7905219875516</v>
      </c>
      <c r="BO207" s="135">
        <f>SUM(BM27:BO27,BK27:BK27)</f>
        <v>123.88045631811677</v>
      </c>
      <c r="BP207" s="116">
        <f>SUM(BM27:BP27)</f>
        <v>124.84718280522928</v>
      </c>
      <c r="BQ207" s="82">
        <f>+SUM(BQ27:BQ27)</f>
        <v>124.84718280522928</v>
      </c>
      <c r="BR207" s="220"/>
      <c r="BS207" s="220"/>
      <c r="BT207" s="220"/>
      <c r="BU207" s="220"/>
      <c r="BV207" s="220"/>
      <c r="BW207" s="220"/>
      <c r="BX207" s="220"/>
      <c r="BY207" s="220"/>
      <c r="BZ207" s="220"/>
      <c r="CA207" s="220"/>
      <c r="CB207" s="220"/>
      <c r="CC207" s="220"/>
      <c r="CD207" s="220"/>
      <c r="CE207" s="220"/>
      <c r="CF207" s="220"/>
      <c r="CG207" s="220"/>
      <c r="CH207" s="220"/>
      <c r="CI207" s="220"/>
      <c r="CJ207" s="220"/>
      <c r="CK207" s="220"/>
      <c r="CL207" s="220"/>
      <c r="CM207" s="220"/>
      <c r="CN207" s="220"/>
      <c r="CO207" s="220"/>
      <c r="CP207" s="220"/>
      <c r="CQ207" s="220"/>
      <c r="CR207" s="220"/>
      <c r="CS207" s="220"/>
      <c r="CT207" s="220"/>
      <c r="CU207" s="220"/>
      <c r="CV207" s="220"/>
      <c r="CW207" s="220"/>
      <c r="CX207" s="220"/>
      <c r="CY207" s="220"/>
      <c r="CZ207" s="220"/>
    </row>
    <row r="208" spans="1:104" x14ac:dyDescent="0.2">
      <c r="A208" s="220"/>
      <c r="B208" s="220"/>
      <c r="C208" s="70" t="s">
        <v>241</v>
      </c>
      <c r="D208" s="82"/>
      <c r="E208" s="136"/>
      <c r="F208" s="135"/>
      <c r="G208" s="122"/>
      <c r="H208" s="116">
        <f>SUM(E41:H41)</f>
        <v>67.75</v>
      </c>
      <c r="I208" s="82">
        <f>I41</f>
        <v>67.75</v>
      </c>
      <c r="J208" s="136">
        <f>SUM(J41,F41:H41)</f>
        <v>66.266999999999982</v>
      </c>
      <c r="K208" s="135">
        <f>SUM(J41:K41,G41:H41)</f>
        <v>73.855000000000032</v>
      </c>
      <c r="L208" s="135">
        <f>SUM(J41:L41,H41)</f>
        <v>75.628999999999962</v>
      </c>
      <c r="M208" s="116">
        <f>SUM(J41:M41)</f>
        <v>78.067000000000135</v>
      </c>
      <c r="N208" s="82">
        <f>N41</f>
        <v>78.067000000000135</v>
      </c>
      <c r="O208" s="136">
        <f>SUM(O41,K41:M41)</f>
        <v>80.60600000000008</v>
      </c>
      <c r="P208" s="135">
        <f>SUM(O41:P41,L41:M41)</f>
        <v>80.882000000000005</v>
      </c>
      <c r="Q208" s="135">
        <f>SUM(O41:Q41,M41)</f>
        <v>90.274000000000115</v>
      </c>
      <c r="R208" s="116">
        <f>SUM(O41:R41)</f>
        <v>89.900999999999954</v>
      </c>
      <c r="S208" s="82">
        <f>S41</f>
        <v>89.900999999999954</v>
      </c>
      <c r="T208" s="136">
        <f>SUM(T41,P41:R41)</f>
        <v>91.022999999999954</v>
      </c>
      <c r="U208" s="135">
        <f>SUM(T41:U41,Q41:R41)</f>
        <v>96.644999999999982</v>
      </c>
      <c r="V208" s="135">
        <f>SUM(T41:V41,R41)</f>
        <v>106.31099999999995</v>
      </c>
      <c r="W208" s="116">
        <f>SUM(T41:W41)</f>
        <v>106.36900000000013</v>
      </c>
      <c r="X208" s="82">
        <f>X41</f>
        <v>106.36900000000013</v>
      </c>
      <c r="Y208" s="136">
        <f>SUM(Y41,U41:W41)</f>
        <v>107.59300000000017</v>
      </c>
      <c r="Z208" s="135">
        <f>SUM(Y41:Z41,V41:W41)</f>
        <v>105.50500000000021</v>
      </c>
      <c r="AA208" s="135">
        <f>SUM(Y41:AA41,W41)</f>
        <v>82.295000000000144</v>
      </c>
      <c r="AB208" s="116">
        <f>SUM(Y41:AB41)</f>
        <v>95.177000000000049</v>
      </c>
      <c r="AC208" s="82">
        <f>AC41</f>
        <v>95.177000000000049</v>
      </c>
      <c r="AD208" s="136">
        <f>SUM(AD41,Z41:AB41)</f>
        <v>101.328</v>
      </c>
      <c r="AE208" s="135">
        <f>SUM(AD41:AE41,AA41:AB41)</f>
        <v>101.15699999999995</v>
      </c>
      <c r="AF208" s="135">
        <f>SUM(AD41:AF41,AB41)</f>
        <v>133.05699999999999</v>
      </c>
      <c r="AG208" s="116">
        <f>SUM(AD41:AG41)</f>
        <v>129.85200000000003</v>
      </c>
      <c r="AH208" s="82">
        <f>AH41</f>
        <v>129.85200000000003</v>
      </c>
      <c r="AI208" s="136">
        <f>SUM(AI41,AE41:AG41)</f>
        <v>131.36400000000009</v>
      </c>
      <c r="AJ208" s="135">
        <f>SUM(AI41:AJ41,AF41:AG41)</f>
        <v>125.9050000000001</v>
      </c>
      <c r="AK208" s="135">
        <f>SUM(AI41:AK41,AG41)</f>
        <v>120.78300000000004</v>
      </c>
      <c r="AL208" s="116">
        <f>SUM(AI41:AL41)</f>
        <v>127.26300000000015</v>
      </c>
      <c r="AM208" s="82">
        <f>AM41</f>
        <v>127.26300000000015</v>
      </c>
      <c r="AN208" s="136">
        <f>SUM(AN41,AJ41:AL41)</f>
        <v>129.53900000000016</v>
      </c>
      <c r="AO208" s="135">
        <f>SUM(AN41:AO41,AK41:AL41)</f>
        <v>139.17400000000018</v>
      </c>
      <c r="AP208" s="135">
        <f>SUM(AN41:AP41,AL41)</f>
        <v>145.70500000000033</v>
      </c>
      <c r="AQ208" s="116">
        <f>SUM(AN41:AQ41)</f>
        <v>152.15699999999995</v>
      </c>
      <c r="AR208" s="82">
        <f>AR41</f>
        <v>152.15699999999995</v>
      </c>
      <c r="AS208" s="136">
        <f>SUM(AS41,AO41:AQ41)</f>
        <v>154.68899999999996</v>
      </c>
      <c r="AT208" s="135">
        <f>SUM(AS41:AT41,AP41:AQ41)</f>
        <v>157.83999999999992</v>
      </c>
      <c r="AU208" s="135">
        <f>SUM(AS41:AU41,AQ41)</f>
        <v>157.27499999999986</v>
      </c>
      <c r="AV208" s="116">
        <f>SUM(AS41:AV41)</f>
        <v>159.21299999999974</v>
      </c>
      <c r="AW208" s="82">
        <f>AW41</f>
        <v>159.21299999999974</v>
      </c>
      <c r="AX208" s="136">
        <f>SUM(AX41,AT41:AV41)</f>
        <v>177.66889826829421</v>
      </c>
      <c r="AY208" s="135">
        <f>SUM(AX41:AY41,AU41:AV41)</f>
        <v>193.1479101626706</v>
      </c>
      <c r="AZ208" s="135">
        <f>SUM(AX41:AZ41,AV41)</f>
        <v>202.22682572894573</v>
      </c>
      <c r="BA208" s="116">
        <f>SUM(AX41:BA41)</f>
        <v>197.22388325627193</v>
      </c>
      <c r="BB208" s="82">
        <f>BB41</f>
        <v>197.22388325627193</v>
      </c>
      <c r="BC208" s="136">
        <f>SUM(BC41,AY41:BA41)</f>
        <v>207.78160909481943</v>
      </c>
      <c r="BD208" s="135">
        <f>SUM(BC41:BD41,AZ41:BA41)</f>
        <v>216.77728044695579</v>
      </c>
      <c r="BE208" s="135">
        <f>SUM(BC41:BE41,BA41)</f>
        <v>227.21763197234122</v>
      </c>
      <c r="BF208" s="116">
        <f>SUM(BC41:BF41)</f>
        <v>234.80650847754723</v>
      </c>
      <c r="BG208" s="82">
        <f>BG41</f>
        <v>234.80650847754723</v>
      </c>
      <c r="BH208" s="136">
        <f>SUM(BH41,BD41:BF41)</f>
        <v>238.72448478170401</v>
      </c>
      <c r="BI208" s="135">
        <f>SUM(BH41:BI41,BE41:BF41)</f>
        <v>241.63741101758634</v>
      </c>
      <c r="BJ208" s="135">
        <f>SUM(BH41:BJ41,BF41)</f>
        <v>250.64902906597038</v>
      </c>
      <c r="BK208" s="116">
        <f>SUM(BH41:BK41)</f>
        <v>256.66601163090786</v>
      </c>
      <c r="BL208" s="82">
        <f>BL41</f>
        <v>256.66601163090786</v>
      </c>
      <c r="BM208" s="136">
        <f>SUM(BM41,BI41:BK41)</f>
        <v>262.20030100836357</v>
      </c>
      <c r="BN208" s="135">
        <f>SUM(BM41:BN41,BJ41:BK41)</f>
        <v>269.84926093690211</v>
      </c>
      <c r="BO208" s="135">
        <f>SUM(BM41:BO41,BK41)</f>
        <v>280.91019814304218</v>
      </c>
      <c r="BP208" s="116">
        <f>SUM(BM41:BP41)</f>
        <v>289.44569302823879</v>
      </c>
      <c r="BQ208" s="82">
        <f>BQ41</f>
        <v>289.44569302823879</v>
      </c>
      <c r="BR208" s="220"/>
      <c r="BS208" s="220"/>
      <c r="BT208" s="220"/>
      <c r="BU208" s="220"/>
      <c r="BV208" s="220"/>
      <c r="BW208" s="220"/>
      <c r="BX208" s="220"/>
      <c r="BY208" s="220"/>
      <c r="BZ208" s="220"/>
      <c r="CA208" s="220"/>
      <c r="CB208" s="220"/>
      <c r="CC208" s="220"/>
      <c r="CD208" s="220"/>
      <c r="CE208" s="220"/>
      <c r="CF208" s="220"/>
      <c r="CG208" s="220"/>
      <c r="CH208" s="220"/>
      <c r="CI208" s="220"/>
      <c r="CJ208" s="220"/>
      <c r="CK208" s="220"/>
      <c r="CL208" s="220"/>
      <c r="CM208" s="220"/>
      <c r="CN208" s="220"/>
      <c r="CO208" s="220"/>
      <c r="CP208" s="220"/>
      <c r="CQ208" s="220"/>
      <c r="CR208" s="220"/>
      <c r="CS208" s="220"/>
      <c r="CT208" s="220"/>
      <c r="CU208" s="220"/>
      <c r="CV208" s="220"/>
      <c r="CW208" s="220"/>
      <c r="CX208" s="220"/>
      <c r="CY208" s="220"/>
      <c r="CZ208" s="220"/>
    </row>
    <row r="209" spans="1:104" x14ac:dyDescent="0.2">
      <c r="A209" s="289"/>
      <c r="B209" s="289"/>
      <c r="C209" s="289"/>
      <c r="D209" s="289"/>
      <c r="E209" s="291"/>
      <c r="F209" s="292"/>
      <c r="G209" s="292"/>
      <c r="H209" s="293"/>
      <c r="I209" s="289"/>
      <c r="J209" s="291"/>
      <c r="K209" s="292"/>
      <c r="L209" s="292"/>
      <c r="M209" s="293"/>
      <c r="N209" s="289"/>
      <c r="O209" s="291"/>
      <c r="P209" s="292"/>
      <c r="Q209" s="292"/>
      <c r="R209" s="293"/>
      <c r="S209" s="289"/>
      <c r="T209" s="291"/>
      <c r="U209" s="292"/>
      <c r="V209" s="292"/>
      <c r="W209" s="293"/>
      <c r="X209" s="289"/>
      <c r="Y209" s="291"/>
      <c r="Z209" s="292"/>
      <c r="AA209" s="292"/>
      <c r="AB209" s="293"/>
      <c r="AC209" s="289"/>
      <c r="AD209" s="291"/>
      <c r="AE209" s="292"/>
      <c r="AF209" s="292"/>
      <c r="AG209" s="293"/>
      <c r="AH209" s="289"/>
      <c r="AI209" s="291"/>
      <c r="AJ209" s="292"/>
      <c r="AK209" s="292"/>
      <c r="AL209" s="293"/>
      <c r="AM209" s="289"/>
      <c r="AN209" s="291"/>
      <c r="AO209" s="292"/>
      <c r="AP209" s="292"/>
      <c r="AQ209" s="293"/>
      <c r="AR209" s="289"/>
      <c r="AS209" s="291"/>
      <c r="AT209" s="292"/>
      <c r="AU209" s="292"/>
      <c r="AV209" s="293"/>
      <c r="AW209" s="289"/>
      <c r="AX209" s="291"/>
      <c r="AY209" s="292"/>
      <c r="AZ209" s="292"/>
      <c r="BA209" s="293"/>
      <c r="BB209" s="289"/>
      <c r="BC209" s="291"/>
      <c r="BD209" s="292"/>
      <c r="BE209" s="292"/>
      <c r="BF209" s="293"/>
      <c r="BG209" s="289"/>
      <c r="BH209" s="291"/>
      <c r="BI209" s="292"/>
      <c r="BJ209" s="292"/>
      <c r="BK209" s="293"/>
      <c r="BL209" s="289"/>
      <c r="BM209" s="291"/>
      <c r="BN209" s="292"/>
      <c r="BO209" s="292"/>
      <c r="BP209" s="293"/>
      <c r="BQ209" s="289"/>
      <c r="BR209" s="289"/>
      <c r="BS209" s="289"/>
      <c r="BT209" s="289"/>
      <c r="BU209" s="289"/>
      <c r="BV209" s="289"/>
      <c r="BW209" s="289"/>
      <c r="BX209" s="289"/>
      <c r="BY209" s="289"/>
      <c r="BZ209" s="289"/>
      <c r="CA209" s="289"/>
      <c r="CB209" s="289"/>
      <c r="CC209" s="289"/>
      <c r="CD209" s="289"/>
      <c r="CE209" s="289"/>
      <c r="CF209" s="289"/>
      <c r="CG209" s="289"/>
      <c r="CH209" s="289"/>
      <c r="CI209" s="289"/>
      <c r="CJ209" s="289"/>
      <c r="CK209" s="289"/>
      <c r="CL209" s="289"/>
      <c r="CM209" s="289"/>
      <c r="CN209" s="289"/>
      <c r="CO209" s="289"/>
      <c r="CP209" s="289"/>
      <c r="CQ209" s="289"/>
      <c r="CR209" s="289"/>
      <c r="CS209" s="289"/>
      <c r="CT209" s="289"/>
      <c r="CU209" s="289"/>
      <c r="CV209" s="289"/>
      <c r="CW209" s="289"/>
      <c r="CX209" s="289"/>
      <c r="CY209" s="289"/>
      <c r="CZ209" s="289"/>
    </row>
    <row r="210" spans="1:104" x14ac:dyDescent="0.2">
      <c r="A210" s="289"/>
      <c r="B210" s="289"/>
      <c r="C210" s="141" t="s">
        <v>57</v>
      </c>
      <c r="D210" s="289"/>
      <c r="E210" s="291"/>
      <c r="F210" s="292"/>
      <c r="G210" s="292"/>
      <c r="H210" s="293"/>
      <c r="I210" s="289"/>
      <c r="J210" s="291"/>
      <c r="K210" s="292"/>
      <c r="L210" s="292"/>
      <c r="M210" s="293"/>
      <c r="N210" s="289"/>
      <c r="O210" s="291"/>
      <c r="P210" s="292"/>
      <c r="Q210" s="292"/>
      <c r="R210" s="293"/>
      <c r="S210" s="289"/>
      <c r="T210" s="291"/>
      <c r="U210" s="292"/>
      <c r="V210" s="292"/>
      <c r="W210" s="293"/>
      <c r="X210" s="289"/>
      <c r="Y210" s="291"/>
      <c r="Z210" s="292"/>
      <c r="AA210" s="292"/>
      <c r="AB210" s="293"/>
      <c r="AC210" s="289"/>
      <c r="AD210" s="291"/>
      <c r="AE210" s="292"/>
      <c r="AF210" s="292"/>
      <c r="AG210" s="293"/>
      <c r="AH210" s="289"/>
      <c r="AI210" s="291"/>
      <c r="AJ210" s="292"/>
      <c r="AK210" s="292"/>
      <c r="AL210" s="293"/>
      <c r="AM210" s="289"/>
      <c r="AN210" s="291"/>
      <c r="AO210" s="292"/>
      <c r="AP210" s="292"/>
      <c r="AQ210" s="293"/>
      <c r="AR210" s="289"/>
      <c r="AS210" s="291"/>
      <c r="AT210" s="292"/>
      <c r="AU210" s="292"/>
      <c r="AV210" s="293"/>
      <c r="AW210" s="289"/>
      <c r="AX210" s="291"/>
      <c r="AY210" s="292"/>
      <c r="AZ210" s="292"/>
      <c r="BA210" s="293"/>
      <c r="BB210" s="289"/>
      <c r="BC210" s="291"/>
      <c r="BD210" s="292"/>
      <c r="BE210" s="292"/>
      <c r="BF210" s="293"/>
      <c r="BG210" s="289"/>
      <c r="BH210" s="291"/>
      <c r="BI210" s="292"/>
      <c r="BJ210" s="292"/>
      <c r="BK210" s="293"/>
      <c r="BL210" s="289"/>
      <c r="BM210" s="291"/>
      <c r="BN210" s="292"/>
      <c r="BO210" s="292"/>
      <c r="BP210" s="293"/>
      <c r="BQ210" s="289"/>
      <c r="BR210" s="289"/>
      <c r="BS210" s="289"/>
      <c r="BT210" s="289"/>
      <c r="BU210" s="289"/>
      <c r="BV210" s="289"/>
      <c r="BW210" s="289"/>
      <c r="BX210" s="289"/>
      <c r="BY210" s="289"/>
      <c r="BZ210" s="289"/>
      <c r="CA210" s="289"/>
      <c r="CB210" s="289"/>
      <c r="CC210" s="289"/>
      <c r="CD210" s="289"/>
      <c r="CE210" s="289"/>
      <c r="CF210" s="289"/>
      <c r="CG210" s="289"/>
      <c r="CH210" s="289"/>
      <c r="CI210" s="289"/>
      <c r="CJ210" s="289"/>
      <c r="CK210" s="289"/>
      <c r="CL210" s="289"/>
      <c r="CM210" s="289"/>
      <c r="CN210" s="289"/>
      <c r="CO210" s="289"/>
      <c r="CP210" s="289"/>
      <c r="CQ210" s="289"/>
      <c r="CR210" s="289"/>
      <c r="CS210" s="289"/>
      <c r="CT210" s="289"/>
      <c r="CU210" s="289"/>
      <c r="CV210" s="289"/>
      <c r="CW210" s="289"/>
      <c r="CX210" s="289"/>
      <c r="CY210" s="289"/>
      <c r="CZ210" s="289"/>
    </row>
    <row r="211" spans="1:104" x14ac:dyDescent="0.2">
      <c r="A211" s="20"/>
      <c r="B211" s="20"/>
      <c r="C211" s="20" t="s">
        <v>242</v>
      </c>
      <c r="D211" s="20"/>
      <c r="E211" s="254">
        <f t="shared" ref="E211:AM211" si="465">E189/E199</f>
        <v>0.49998156660041487</v>
      </c>
      <c r="F211" s="255">
        <f t="shared" si="465"/>
        <v>0.49646151701254815</v>
      </c>
      <c r="G211" s="255">
        <f t="shared" si="465"/>
        <v>0.49105380282589944</v>
      </c>
      <c r="H211" s="256">
        <f t="shared" si="465"/>
        <v>0.4927714685754</v>
      </c>
      <c r="I211" s="79">
        <f t="shared" si="465"/>
        <v>0.4927714685754</v>
      </c>
      <c r="J211" s="254">
        <f t="shared" si="465"/>
        <v>0.48834773486669175</v>
      </c>
      <c r="K211" s="255">
        <f t="shared" si="465"/>
        <v>0.47782412612428454</v>
      </c>
      <c r="L211" s="255">
        <f t="shared" si="465"/>
        <v>0.4781134057187536</v>
      </c>
      <c r="M211" s="256">
        <f t="shared" si="465"/>
        <v>0.47031086291437912</v>
      </c>
      <c r="N211" s="79">
        <f t="shared" si="465"/>
        <v>0.47031086291437912</v>
      </c>
      <c r="O211" s="254">
        <f t="shared" si="465"/>
        <v>0.45360011720841875</v>
      </c>
      <c r="P211" s="255">
        <f t="shared" si="465"/>
        <v>0.43927012612676075</v>
      </c>
      <c r="Q211" s="255">
        <f t="shared" si="465"/>
        <v>0.44858945227090935</v>
      </c>
      <c r="R211" s="256">
        <f t="shared" si="465"/>
        <v>0.47866563414231011</v>
      </c>
      <c r="S211" s="79">
        <f t="shared" si="465"/>
        <v>0.47866563414231011</v>
      </c>
      <c r="T211" s="254">
        <f t="shared" si="465"/>
        <v>0.46817339521486373</v>
      </c>
      <c r="U211" s="255">
        <f>U189/U199</f>
        <v>0.50326796789492878</v>
      </c>
      <c r="V211" s="255">
        <f>V189/V199</f>
        <v>0.4938739271709085</v>
      </c>
      <c r="W211" s="256">
        <f>W189/W199</f>
        <v>0.4820340673791807</v>
      </c>
      <c r="X211" s="79">
        <f>X189/X199</f>
        <v>0.4820340673791807</v>
      </c>
      <c r="Y211" s="254">
        <f t="shared" si="465"/>
        <v>0.46430097829049877</v>
      </c>
      <c r="Z211" s="255">
        <f t="shared" si="465"/>
        <v>0.43679477712642234</v>
      </c>
      <c r="AA211" s="255">
        <f t="shared" si="465"/>
        <v>0.46060058591313113</v>
      </c>
      <c r="AB211" s="256">
        <f t="shared" si="465"/>
        <v>0.44678457645269731</v>
      </c>
      <c r="AC211" s="79">
        <f t="shared" si="465"/>
        <v>0.44678457645269731</v>
      </c>
      <c r="AD211" s="254">
        <f t="shared" si="465"/>
        <v>0.43268649316229296</v>
      </c>
      <c r="AE211" s="255">
        <f t="shared" si="465"/>
        <v>0.46271626425117945</v>
      </c>
      <c r="AF211" s="255">
        <f t="shared" si="465"/>
        <v>0.46192169259435206</v>
      </c>
      <c r="AG211" s="256">
        <f>AG189/AG199</f>
        <v>0.45548996123399221</v>
      </c>
      <c r="AH211" s="79">
        <f>AH189/AH199</f>
        <v>0.45548996123399221</v>
      </c>
      <c r="AI211" s="254">
        <f>AI189/AI199</f>
        <v>0.44573947020112492</v>
      </c>
      <c r="AJ211" s="255">
        <f>AJ189/AJ199</f>
        <v>0.4287430345749344</v>
      </c>
      <c r="AK211" s="255">
        <f t="shared" si="465"/>
        <v>0.48521073540295312</v>
      </c>
      <c r="AL211" s="256">
        <f t="shared" si="465"/>
        <v>0.45963544677215779</v>
      </c>
      <c r="AM211" s="79">
        <f t="shared" si="465"/>
        <v>0.45963544677215779</v>
      </c>
      <c r="AN211" s="254">
        <f>AN189/AN199</f>
        <v>0.44620619104341203</v>
      </c>
      <c r="AO211" s="255">
        <f t="shared" ref="AO211:AR211" si="466">AO189/AO199</f>
        <v>0.43889509246818309</v>
      </c>
      <c r="AP211" s="255">
        <f t="shared" si="466"/>
        <v>0.4935506186700952</v>
      </c>
      <c r="AQ211" s="256">
        <f t="shared" si="466"/>
        <v>0.4522000224461058</v>
      </c>
      <c r="AR211" s="79">
        <f t="shared" si="466"/>
        <v>0.4522000224461058</v>
      </c>
      <c r="AS211" s="254">
        <f>AS189/AS199</f>
        <v>0.43956533443231965</v>
      </c>
      <c r="AT211" s="255">
        <f t="shared" ref="AT211:AW211" si="467">AT189/AT199</f>
        <v>0.43191249411770294</v>
      </c>
      <c r="AU211" s="255">
        <f t="shared" si="467"/>
        <v>0.4746131569433083</v>
      </c>
      <c r="AV211" s="256">
        <f t="shared" si="467"/>
        <v>0.46207084102634544</v>
      </c>
      <c r="AW211" s="79">
        <f t="shared" si="467"/>
        <v>0.46207084102634544</v>
      </c>
      <c r="AX211" s="254">
        <f t="shared" ref="AX211:BG211" si="468">AX189/AX199</f>
        <v>0.4422053916829381</v>
      </c>
      <c r="AY211" s="255">
        <f t="shared" si="468"/>
        <v>0.42305436096326676</v>
      </c>
      <c r="AZ211" s="255">
        <f t="shared" si="468"/>
        <v>0.4745175207693374</v>
      </c>
      <c r="BA211" s="256">
        <f t="shared" si="468"/>
        <v>0.46452668831427213</v>
      </c>
      <c r="BB211" s="79">
        <f t="shared" si="468"/>
        <v>0.46452668831427213</v>
      </c>
      <c r="BC211" s="254">
        <f t="shared" si="468"/>
        <v>0.4444759764979721</v>
      </c>
      <c r="BD211" s="255">
        <f t="shared" si="468"/>
        <v>0.42638227472703</v>
      </c>
      <c r="BE211" s="255">
        <f t="shared" si="468"/>
        <v>0.48032561241605964</v>
      </c>
      <c r="BF211" s="256">
        <f t="shared" si="468"/>
        <v>0.46729913347120811</v>
      </c>
      <c r="BG211" s="79">
        <f t="shared" si="468"/>
        <v>0.46729913347120811</v>
      </c>
      <c r="BH211" s="254">
        <f t="shared" ref="BH211:BQ211" si="469">BH189/BH199</f>
        <v>0.45953622098811864</v>
      </c>
      <c r="BI211" s="255">
        <f t="shared" si="469"/>
        <v>0.45248110087879201</v>
      </c>
      <c r="BJ211" s="255">
        <f t="shared" si="469"/>
        <v>0.47256136731342968</v>
      </c>
      <c r="BK211" s="256">
        <f t="shared" si="469"/>
        <v>0.46509013856823667</v>
      </c>
      <c r="BL211" s="79">
        <f t="shared" si="469"/>
        <v>0.46509013856823667</v>
      </c>
      <c r="BM211" s="254">
        <f t="shared" si="469"/>
        <v>0.46324045943674114</v>
      </c>
      <c r="BN211" s="255">
        <f t="shared" si="469"/>
        <v>0.46174887265470793</v>
      </c>
      <c r="BO211" s="255">
        <f t="shared" si="469"/>
        <v>0.47876988716184904</v>
      </c>
      <c r="BP211" s="256">
        <f t="shared" si="469"/>
        <v>0.47891690618586735</v>
      </c>
      <c r="BQ211" s="79">
        <f t="shared" si="469"/>
        <v>0.47891690618586735</v>
      </c>
      <c r="BR211" s="20"/>
      <c r="BS211" s="20"/>
      <c r="BT211" s="20"/>
      <c r="BU211" s="20"/>
      <c r="BV211" s="20"/>
      <c r="BW211" s="20"/>
      <c r="BX211" s="20"/>
      <c r="BY211" s="20"/>
      <c r="BZ211" s="20"/>
      <c r="CA211" s="20"/>
      <c r="CB211" s="20"/>
      <c r="CC211" s="20"/>
      <c r="CD211" s="20"/>
      <c r="CE211" s="20"/>
      <c r="CF211" s="20"/>
      <c r="CG211" s="20"/>
      <c r="CH211" s="20"/>
      <c r="CI211" s="20"/>
      <c r="CJ211" s="20"/>
      <c r="CK211" s="20"/>
      <c r="CL211" s="20"/>
      <c r="CM211" s="20"/>
      <c r="CN211" s="20"/>
      <c r="CO211" s="20"/>
      <c r="CP211" s="20"/>
      <c r="CQ211" s="20"/>
      <c r="CR211" s="20"/>
      <c r="CS211" s="20"/>
      <c r="CT211" s="20"/>
      <c r="CU211" s="20"/>
      <c r="CV211" s="20"/>
      <c r="CW211" s="20"/>
      <c r="CX211" s="20"/>
      <c r="CY211" s="20"/>
      <c r="CZ211" s="20"/>
    </row>
    <row r="212" spans="1:104" x14ac:dyDescent="0.2">
      <c r="A212" s="20"/>
      <c r="B212" s="20"/>
      <c r="C212" s="20" t="s">
        <v>243</v>
      </c>
      <c r="D212" s="20"/>
      <c r="E212" s="254">
        <f t="shared" ref="E212:AM212" si="470">+E190/E199</f>
        <v>0.49998156660041487</v>
      </c>
      <c r="F212" s="255">
        <f t="shared" si="470"/>
        <v>0.49646151701254815</v>
      </c>
      <c r="G212" s="255">
        <f t="shared" si="470"/>
        <v>0.49105380282589944</v>
      </c>
      <c r="H212" s="256">
        <f t="shared" si="470"/>
        <v>0.4927714685754</v>
      </c>
      <c r="I212" s="79">
        <f t="shared" si="470"/>
        <v>0.4927714685754</v>
      </c>
      <c r="J212" s="254">
        <f t="shared" si="470"/>
        <v>0.48834773486669175</v>
      </c>
      <c r="K212" s="255">
        <f t="shared" si="470"/>
        <v>0.49060008687653311</v>
      </c>
      <c r="L212" s="255">
        <f t="shared" si="470"/>
        <v>0.4781134057187536</v>
      </c>
      <c r="M212" s="256">
        <f t="shared" si="470"/>
        <v>0.49598036544989732</v>
      </c>
      <c r="N212" s="79">
        <f t="shared" si="470"/>
        <v>0.49598036544989732</v>
      </c>
      <c r="O212" s="254">
        <f t="shared" si="470"/>
        <v>0.49149076983701961</v>
      </c>
      <c r="P212" s="255">
        <f t="shared" si="470"/>
        <v>0.5033559443754666</v>
      </c>
      <c r="Q212" s="255">
        <f t="shared" si="470"/>
        <v>0.50873798422723049</v>
      </c>
      <c r="R212" s="256">
        <f t="shared" si="470"/>
        <v>0.48107507181328985</v>
      </c>
      <c r="S212" s="79">
        <f t="shared" si="470"/>
        <v>0.48107507181328985</v>
      </c>
      <c r="T212" s="254">
        <f t="shared" si="470"/>
        <v>0.49503606195190741</v>
      </c>
      <c r="U212" s="255">
        <f>+U190/U199</f>
        <v>0.50326796789492878</v>
      </c>
      <c r="V212" s="255">
        <f>+V190/V199</f>
        <v>0.4938739271709085</v>
      </c>
      <c r="W212" s="256">
        <f>+W190/W199</f>
        <v>0.48596481803463337</v>
      </c>
      <c r="X212" s="79">
        <f>+X190/X199</f>
        <v>0.48596481803463337</v>
      </c>
      <c r="Y212" s="254">
        <f t="shared" si="470"/>
        <v>0.47944479406093199</v>
      </c>
      <c r="Z212" s="255">
        <f t="shared" si="470"/>
        <v>0.48230260091063137</v>
      </c>
      <c r="AA212" s="255">
        <f t="shared" si="470"/>
        <v>0.49131284544093784</v>
      </c>
      <c r="AB212" s="256">
        <f t="shared" si="470"/>
        <v>0.49221278573226551</v>
      </c>
      <c r="AC212" s="79">
        <f t="shared" si="470"/>
        <v>0.49221278573226551</v>
      </c>
      <c r="AD212" s="254">
        <f t="shared" si="470"/>
        <v>0.49362637362637363</v>
      </c>
      <c r="AE212" s="255">
        <f t="shared" si="470"/>
        <v>0.49666090979193306</v>
      </c>
      <c r="AF212" s="255">
        <f t="shared" si="470"/>
        <v>0.46192169259435206</v>
      </c>
      <c r="AG212" s="256">
        <f>+AG190/AG199</f>
        <v>0.47337625368567304</v>
      </c>
      <c r="AH212" s="79">
        <f>+AH190/AH199</f>
        <v>0.47337625368567304</v>
      </c>
      <c r="AI212" s="254">
        <f>+AI190/AI199</f>
        <v>0.48635808845480172</v>
      </c>
      <c r="AJ212" s="255">
        <f>+AJ190/AJ199</f>
        <v>0.49512579055827582</v>
      </c>
      <c r="AK212" s="255">
        <f t="shared" si="470"/>
        <v>0.49084348924065779</v>
      </c>
      <c r="AL212" s="256">
        <f t="shared" si="470"/>
        <v>0.46408179623032564</v>
      </c>
      <c r="AM212" s="79">
        <f t="shared" si="470"/>
        <v>0.46408179623032564</v>
      </c>
      <c r="AN212" s="254">
        <f>+AN190/AN199</f>
        <v>0.46940317636319984</v>
      </c>
      <c r="AO212" s="255">
        <f t="shared" ref="AO212:AR212" si="471">+AO190/AO199</f>
        <v>0.47453874265170509</v>
      </c>
      <c r="AP212" s="255">
        <f t="shared" si="471"/>
        <v>0.4935506186700952</v>
      </c>
      <c r="AQ212" s="256">
        <f t="shared" si="471"/>
        <v>0.46602151619574994</v>
      </c>
      <c r="AR212" s="79">
        <f t="shared" si="471"/>
        <v>0.46602151619574994</v>
      </c>
      <c r="AS212" s="254">
        <f>+AS190/AS199</f>
        <v>0.46938626378143355</v>
      </c>
      <c r="AT212" s="255">
        <f t="shared" ref="AT212:AW212" si="472">+AT190/AT199</f>
        <v>0.47598848323436471</v>
      </c>
      <c r="AU212" s="255">
        <f t="shared" si="472"/>
        <v>0.4746131569433083</v>
      </c>
      <c r="AV212" s="256">
        <f t="shared" si="472"/>
        <v>0.46207084102634544</v>
      </c>
      <c r="AW212" s="79">
        <f t="shared" si="472"/>
        <v>0.46207084102634544</v>
      </c>
      <c r="AX212" s="254">
        <f t="shared" ref="AX212:BG212" si="473">+AX190/AX199</f>
        <v>0.4656213173861033</v>
      </c>
      <c r="AY212" s="255">
        <f t="shared" si="473"/>
        <v>0.46834109858374384</v>
      </c>
      <c r="AZ212" s="255">
        <f t="shared" si="473"/>
        <v>0.4745175207693374</v>
      </c>
      <c r="BA212" s="256">
        <f t="shared" si="473"/>
        <v>0.4720475325295892</v>
      </c>
      <c r="BB212" s="79">
        <f t="shared" si="473"/>
        <v>0.4720475325295892</v>
      </c>
      <c r="BC212" s="254">
        <f t="shared" si="473"/>
        <v>0.47616568388302122</v>
      </c>
      <c r="BD212" s="255">
        <f t="shared" si="473"/>
        <v>0.47845147837762869</v>
      </c>
      <c r="BE212" s="255">
        <f t="shared" si="473"/>
        <v>0.48032561241605964</v>
      </c>
      <c r="BF212" s="256">
        <f t="shared" si="473"/>
        <v>0.48154087569796133</v>
      </c>
      <c r="BG212" s="79">
        <f t="shared" si="473"/>
        <v>0.48154087569796133</v>
      </c>
      <c r="BH212" s="254">
        <f t="shared" ref="BH212:BQ212" si="474">+BH190/BH199</f>
        <v>0.48316489357856884</v>
      </c>
      <c r="BI212" s="255">
        <f t="shared" si="474"/>
        <v>0.48338286614870701</v>
      </c>
      <c r="BJ212" s="255">
        <f t="shared" si="474"/>
        <v>0.47667605173992572</v>
      </c>
      <c r="BK212" s="256">
        <f t="shared" si="474"/>
        <v>0.48139464929064596</v>
      </c>
      <c r="BL212" s="79">
        <f t="shared" si="474"/>
        <v>0.48139464929064596</v>
      </c>
      <c r="BM212" s="254">
        <f t="shared" si="474"/>
        <v>0.48116281642533487</v>
      </c>
      <c r="BN212" s="255">
        <f t="shared" si="474"/>
        <v>0.47938315522423375</v>
      </c>
      <c r="BO212" s="255">
        <f t="shared" si="474"/>
        <v>0.47876988716184904</v>
      </c>
      <c r="BP212" s="256">
        <f t="shared" si="474"/>
        <v>0.47891690618586735</v>
      </c>
      <c r="BQ212" s="79">
        <f t="shared" si="474"/>
        <v>0.47891690618586735</v>
      </c>
      <c r="BR212" s="20"/>
      <c r="BS212" s="20"/>
      <c r="BT212" s="20"/>
      <c r="BU212" s="20"/>
      <c r="BV212" s="20"/>
      <c r="BW212" s="20"/>
      <c r="BX212" s="20"/>
      <c r="BY212" s="20"/>
      <c r="BZ212" s="20"/>
      <c r="CA212" s="20"/>
      <c r="CB212" s="20"/>
      <c r="CC212" s="20"/>
      <c r="CD212" s="20"/>
      <c r="CE212" s="20"/>
      <c r="CF212" s="20"/>
      <c r="CG212" s="20"/>
      <c r="CH212" s="20"/>
      <c r="CI212" s="20"/>
      <c r="CJ212" s="20"/>
      <c r="CK212" s="20"/>
      <c r="CL212" s="20"/>
      <c r="CM212" s="20"/>
      <c r="CN212" s="20"/>
      <c r="CO212" s="20"/>
      <c r="CP212" s="20"/>
      <c r="CQ212" s="20"/>
      <c r="CR212" s="20"/>
      <c r="CS212" s="20"/>
      <c r="CT212" s="20"/>
      <c r="CU212" s="20"/>
      <c r="CV212" s="20"/>
      <c r="CW212" s="20"/>
      <c r="CX212" s="20"/>
      <c r="CY212" s="20"/>
      <c r="CZ212" s="20"/>
    </row>
    <row r="213" spans="1:104" x14ac:dyDescent="0.2">
      <c r="A213" s="20"/>
      <c r="B213" s="20"/>
      <c r="C213" s="20" t="s">
        <v>61</v>
      </c>
      <c r="D213" s="20"/>
      <c r="E213" s="203"/>
      <c r="F213" s="204"/>
      <c r="G213" s="204"/>
      <c r="H213" s="257">
        <f>(H190-H186)/H206</f>
        <v>3.2476851276773209</v>
      </c>
      <c r="I213" s="81">
        <f>(I190-I186)/I25</f>
        <v>3.2476851276773195</v>
      </c>
      <c r="J213" s="258">
        <f t="shared" ref="J213:AM213" si="475">(J190-J186)/J206</f>
        <v>3.1396023212696806</v>
      </c>
      <c r="K213" s="259">
        <f t="shared" si="475"/>
        <v>3.1131381188587191</v>
      </c>
      <c r="L213" s="259">
        <f t="shared" si="475"/>
        <v>3.0189540106807837</v>
      </c>
      <c r="M213" s="257">
        <f t="shared" si="475"/>
        <v>3.2408475000600165</v>
      </c>
      <c r="N213" s="81">
        <f t="shared" si="475"/>
        <v>3.2408475000600152</v>
      </c>
      <c r="O213" s="258">
        <f t="shared" si="475"/>
        <v>3.2949750789366568</v>
      </c>
      <c r="P213" s="259">
        <f t="shared" si="475"/>
        <v>3.4997899066365612</v>
      </c>
      <c r="Q213" s="259">
        <f t="shared" si="475"/>
        <v>3.5394757226403648</v>
      </c>
      <c r="R213" s="257">
        <f t="shared" si="475"/>
        <v>3.1841797018374232</v>
      </c>
      <c r="S213" s="81">
        <f t="shared" si="475"/>
        <v>3.1841797018374249</v>
      </c>
      <c r="T213" s="258">
        <f t="shared" si="475"/>
        <v>3.3109426913574782</v>
      </c>
      <c r="U213" s="259">
        <f>(U190-U186)/U206</f>
        <v>3.3642295180024275</v>
      </c>
      <c r="V213" s="259">
        <f>(V190-V186)/V206</f>
        <v>3.1556650074635089</v>
      </c>
      <c r="W213" s="257">
        <f>(W190-W186)/W206</f>
        <v>3.2068935689241558</v>
      </c>
      <c r="X213" s="81">
        <f>(X190-X186)/X206</f>
        <v>3.2068935689241544</v>
      </c>
      <c r="Y213" s="258">
        <f t="shared" si="475"/>
        <v>3.2368246560138871</v>
      </c>
      <c r="Z213" s="259">
        <f t="shared" si="475"/>
        <v>3.4673926659833723</v>
      </c>
      <c r="AA213" s="259">
        <f t="shared" si="475"/>
        <v>3.9903603403995032</v>
      </c>
      <c r="AB213" s="257">
        <f t="shared" si="475"/>
        <v>3.8593250547845117</v>
      </c>
      <c r="AC213" s="81">
        <f t="shared" si="475"/>
        <v>3.8593250547845139</v>
      </c>
      <c r="AD213" s="258">
        <f t="shared" si="475"/>
        <v>3.8703469325926347</v>
      </c>
      <c r="AE213" s="259">
        <f t="shared" si="475"/>
        <v>4.0358134951101228</v>
      </c>
      <c r="AF213" s="259">
        <f t="shared" si="475"/>
        <v>3.3104608775698057</v>
      </c>
      <c r="AG213" s="257">
        <f>(AG190-AG186)/AG206</f>
        <v>3.3882169568526996</v>
      </c>
      <c r="AH213" s="81">
        <f>(AH190-AH186)/AH206</f>
        <v>3.3882169568526996</v>
      </c>
      <c r="AI213" s="258">
        <f>(AI190-AI186)/AI206</f>
        <v>3.4706348289575724</v>
      </c>
      <c r="AJ213" s="259">
        <f>(AJ190-AJ186)/AJ206</f>
        <v>3.7126140912539172</v>
      </c>
      <c r="AK213" s="259">
        <f t="shared" si="475"/>
        <v>3.7536146179242906</v>
      </c>
      <c r="AL213" s="257">
        <f t="shared" si="475"/>
        <v>3.6158775274407846</v>
      </c>
      <c r="AM213" s="81">
        <f t="shared" si="475"/>
        <v>3.6158775274407842</v>
      </c>
      <c r="AN213" s="258">
        <f>(AN190-AN186)/AN206</f>
        <v>3.6624739179041979</v>
      </c>
      <c r="AO213" s="259">
        <f t="shared" ref="AO213:AR213" si="476">(AO190-AO186)/AO206</f>
        <v>3.6000155811104992</v>
      </c>
      <c r="AP213" s="259">
        <f t="shared" si="476"/>
        <v>3.4322490512443902</v>
      </c>
      <c r="AQ213" s="257">
        <f t="shared" si="476"/>
        <v>3.5120408852353764</v>
      </c>
      <c r="AR213" s="81">
        <f t="shared" si="476"/>
        <v>3.5120408852353782</v>
      </c>
      <c r="AS213" s="258">
        <f>(AS190-AS186)/AS206</f>
        <v>3.531087338982021</v>
      </c>
      <c r="AT213" s="259">
        <f t="shared" ref="AT213:AW213" si="477">(AT190-AT186)/AT206</f>
        <v>3.5646253526807685</v>
      </c>
      <c r="AU213" s="259">
        <f t="shared" si="477"/>
        <v>3.48827803365897</v>
      </c>
      <c r="AV213" s="257">
        <f t="shared" si="477"/>
        <v>3.6208107995135288</v>
      </c>
      <c r="AW213" s="81">
        <f t="shared" si="477"/>
        <v>3.6208107995135306</v>
      </c>
      <c r="AX213" s="258">
        <f t="shared" ref="AX213:BG213" si="478">(AX190-AX186)/AX206</f>
        <v>3.7150419532876824</v>
      </c>
      <c r="AY213" s="259">
        <f t="shared" si="478"/>
        <v>3.8162542565231958</v>
      </c>
      <c r="AZ213" s="259">
        <f t="shared" si="478"/>
        <v>3.8956859440276865</v>
      </c>
      <c r="BA213" s="257">
        <f t="shared" si="478"/>
        <v>4.023557750909557</v>
      </c>
      <c r="BB213" s="81">
        <f t="shared" si="478"/>
        <v>4.0235577509095553</v>
      </c>
      <c r="BC213" s="258">
        <f t="shared" si="478"/>
        <v>4.0899213393237872</v>
      </c>
      <c r="BD213" s="259">
        <f t="shared" si="478"/>
        <v>4.1312642025401827</v>
      </c>
      <c r="BE213" s="259">
        <f t="shared" si="478"/>
        <v>4.0736192403831204</v>
      </c>
      <c r="BF213" s="257">
        <f t="shared" si="478"/>
        <v>4.1635611762398357</v>
      </c>
      <c r="BG213" s="81">
        <f t="shared" si="478"/>
        <v>4.1635611762398339</v>
      </c>
      <c r="BH213" s="258">
        <f t="shared" ref="BH213:BQ213" si="479">(BH190-BH186)/BH206</f>
        <v>4.1167484361201048</v>
      </c>
      <c r="BI213" s="259">
        <f t="shared" si="479"/>
        <v>4.0521317954483527</v>
      </c>
      <c r="BJ213" s="259">
        <f t="shared" si="479"/>
        <v>3.8940873721890439</v>
      </c>
      <c r="BK213" s="257">
        <f t="shared" si="479"/>
        <v>3.8837647426010022</v>
      </c>
      <c r="BL213" s="81">
        <f t="shared" si="479"/>
        <v>3.8837647426010045</v>
      </c>
      <c r="BM213" s="258">
        <f t="shared" si="479"/>
        <v>3.8050499048413728</v>
      </c>
      <c r="BN213" s="259">
        <f t="shared" si="479"/>
        <v>3.7121805916218773</v>
      </c>
      <c r="BO213" s="259">
        <f t="shared" si="479"/>
        <v>3.5391630642874539</v>
      </c>
      <c r="BP213" s="257">
        <f t="shared" si="479"/>
        <v>3.4952829665217764</v>
      </c>
      <c r="BQ213" s="81">
        <f t="shared" si="479"/>
        <v>3.4952829665217773</v>
      </c>
      <c r="BR213" s="20"/>
      <c r="BS213" s="20"/>
      <c r="BT213" s="20"/>
      <c r="BU213" s="20"/>
      <c r="BV213" s="20"/>
      <c r="BW213" s="20"/>
      <c r="BX213" s="20"/>
      <c r="BY213" s="20"/>
      <c r="BZ213" s="20"/>
      <c r="CA213" s="20"/>
      <c r="CB213" s="20"/>
      <c r="CC213" s="20"/>
      <c r="CD213" s="20"/>
      <c r="CE213" s="20"/>
      <c r="CF213" s="20"/>
      <c r="CG213" s="20"/>
      <c r="CH213" s="20"/>
      <c r="CI213" s="20"/>
      <c r="CJ213" s="20"/>
      <c r="CK213" s="20"/>
      <c r="CL213" s="20"/>
      <c r="CM213" s="20"/>
      <c r="CN213" s="20"/>
      <c r="CO213" s="20"/>
      <c r="CP213" s="20"/>
      <c r="CQ213" s="20"/>
      <c r="CR213" s="20"/>
      <c r="CS213" s="20"/>
      <c r="CT213" s="20"/>
      <c r="CU213" s="20"/>
      <c r="CV213" s="20"/>
      <c r="CW213" s="20"/>
      <c r="CX213" s="20"/>
      <c r="CY213" s="20"/>
      <c r="CZ213" s="20"/>
    </row>
    <row r="214" spans="1:104" x14ac:dyDescent="0.2">
      <c r="A214" s="20"/>
      <c r="B214" s="20"/>
      <c r="C214" s="20" t="s">
        <v>62</v>
      </c>
      <c r="D214" s="20"/>
      <c r="E214" s="203"/>
      <c r="F214" s="204"/>
      <c r="G214" s="204"/>
      <c r="H214" s="256">
        <f t="shared" ref="H214:AM214" si="480">H204/H190</f>
        <v>0.18684217087811009</v>
      </c>
      <c r="I214" s="79">
        <f t="shared" si="480"/>
        <v>0.18684217087811009</v>
      </c>
      <c r="J214" s="254">
        <f t="shared" si="480"/>
        <v>0.19080004367561496</v>
      </c>
      <c r="K214" s="255">
        <f t="shared" si="480"/>
        <v>0.19445511422451678</v>
      </c>
      <c r="L214" s="255">
        <f t="shared" si="480"/>
        <v>0.20174049046540068</v>
      </c>
      <c r="M214" s="256">
        <f t="shared" si="480"/>
        <v>0.19223525957284116</v>
      </c>
      <c r="N214" s="79">
        <f t="shared" si="480"/>
        <v>0.19223525957284116</v>
      </c>
      <c r="O214" s="254">
        <f t="shared" si="480"/>
        <v>0.19020976576995158</v>
      </c>
      <c r="P214" s="255">
        <f t="shared" si="480"/>
        <v>0.18080097033122852</v>
      </c>
      <c r="Q214" s="255">
        <f t="shared" si="480"/>
        <v>0.17436995119768547</v>
      </c>
      <c r="R214" s="256">
        <f t="shared" si="480"/>
        <v>0.1972074918312274</v>
      </c>
      <c r="S214" s="79">
        <f t="shared" si="480"/>
        <v>0.1972074918312274</v>
      </c>
      <c r="T214" s="254">
        <f t="shared" si="480"/>
        <v>0.19010033139156848</v>
      </c>
      <c r="U214" s="255">
        <f>U204/U190</f>
        <v>0.18774771966515821</v>
      </c>
      <c r="V214" s="255">
        <f>V204/V190</f>
        <v>0.19796670064559968</v>
      </c>
      <c r="W214" s="256">
        <f>W204/W190</f>
        <v>0.19782076492517206</v>
      </c>
      <c r="X214" s="79">
        <f>X204/X190</f>
        <v>0.19782076492517206</v>
      </c>
      <c r="Y214" s="254">
        <f t="shared" si="480"/>
        <v>0.19626844718971007</v>
      </c>
      <c r="Z214" s="255">
        <f t="shared" si="480"/>
        <v>0.18412664291100175</v>
      </c>
      <c r="AA214" s="255">
        <f t="shared" si="480"/>
        <v>0.15848624337094661</v>
      </c>
      <c r="AB214" s="256">
        <f t="shared" si="480"/>
        <v>0.16422554496866174</v>
      </c>
      <c r="AC214" s="79">
        <f t="shared" si="480"/>
        <v>0.16422554496866174</v>
      </c>
      <c r="AD214" s="254">
        <f t="shared" si="480"/>
        <v>0.1632960464944698</v>
      </c>
      <c r="AE214" s="255">
        <f t="shared" si="480"/>
        <v>0.15697906411932744</v>
      </c>
      <c r="AF214" s="255">
        <f t="shared" si="480"/>
        <v>0.19500460875931011</v>
      </c>
      <c r="AG214" s="256">
        <f>AG204/AG190</f>
        <v>0.18926762914996961</v>
      </c>
      <c r="AH214" s="79">
        <f>AH204/AH190</f>
        <v>0.18926762914996961</v>
      </c>
      <c r="AI214" s="254">
        <f>AI204/AI190</f>
        <v>0.18483691319917386</v>
      </c>
      <c r="AJ214" s="255">
        <f>AJ204/AJ190</f>
        <v>0.17220490897823926</v>
      </c>
      <c r="AK214" s="255">
        <f t="shared" si="480"/>
        <v>0.16865142486278617</v>
      </c>
      <c r="AL214" s="256">
        <f t="shared" si="480"/>
        <v>0.17767955518793063</v>
      </c>
      <c r="AM214" s="79">
        <f t="shared" si="480"/>
        <v>0.17767955518793063</v>
      </c>
      <c r="AN214" s="254">
        <f>AN204/AN190</f>
        <v>0.17607895026197748</v>
      </c>
      <c r="AO214" s="255">
        <f t="shared" ref="AO214:AR214" si="481">AO204/AO190</f>
        <v>0.17956142886243484</v>
      </c>
      <c r="AP214" s="255">
        <f t="shared" si="481"/>
        <v>0.16994019132891411</v>
      </c>
      <c r="AQ214" s="256">
        <f t="shared" si="481"/>
        <v>0.18660290487099149</v>
      </c>
      <c r="AR214" s="79">
        <f t="shared" si="481"/>
        <v>0.18660290487099149</v>
      </c>
      <c r="AS214" s="254">
        <f>AS204/AS190</f>
        <v>0.18727842587791144</v>
      </c>
      <c r="AT214" s="255">
        <f t="shared" ref="AT214:AW214" si="482">AT204/AT190</f>
        <v>0.18646082735691807</v>
      </c>
      <c r="AU214" s="255">
        <f t="shared" si="482"/>
        <v>0.18647077949578267</v>
      </c>
      <c r="AV214" s="256">
        <f t="shared" si="482"/>
        <v>0.19297234173123598</v>
      </c>
      <c r="AW214" s="79">
        <f t="shared" si="482"/>
        <v>0.19297234173123598</v>
      </c>
      <c r="AX214" s="254">
        <f t="shared" ref="AX214:BG214" si="483">AX204/AX190</f>
        <v>0.19437663999034469</v>
      </c>
      <c r="AY214" s="255">
        <f t="shared" si="483"/>
        <v>0.19526746494951117</v>
      </c>
      <c r="AZ214" s="255">
        <f t="shared" si="483"/>
        <v>0.18889096654841361</v>
      </c>
      <c r="BA214" s="256">
        <f t="shared" si="483"/>
        <v>0.18713564202327812</v>
      </c>
      <c r="BB214" s="79">
        <f t="shared" si="483"/>
        <v>0.18713564202327812</v>
      </c>
      <c r="BC214" s="254">
        <f t="shared" si="483"/>
        <v>0.18363779934738558</v>
      </c>
      <c r="BD214" s="255">
        <f t="shared" si="483"/>
        <v>0.18161265996732684</v>
      </c>
      <c r="BE214" s="255">
        <f t="shared" si="483"/>
        <v>0.17878958775737228</v>
      </c>
      <c r="BF214" s="256">
        <f t="shared" si="483"/>
        <v>0.17889582536528789</v>
      </c>
      <c r="BG214" s="79">
        <f t="shared" si="483"/>
        <v>0.17889582536528789</v>
      </c>
      <c r="BH214" s="254">
        <f t="shared" ref="BH214:BQ214" si="484">BH204/BH190</f>
        <v>0.18007663080514999</v>
      </c>
      <c r="BI214" s="255">
        <f t="shared" si="484"/>
        <v>0.18244005680064843</v>
      </c>
      <c r="BJ214" s="255">
        <f t="shared" si="484"/>
        <v>0.18955872752350694</v>
      </c>
      <c r="BK214" s="256">
        <f t="shared" si="484"/>
        <v>0.19000184342075818</v>
      </c>
      <c r="BL214" s="79">
        <f t="shared" si="484"/>
        <v>0.19000184342075818</v>
      </c>
      <c r="BM214" s="254">
        <f t="shared" si="484"/>
        <v>0.19397154024771132</v>
      </c>
      <c r="BN214" s="255">
        <f t="shared" si="484"/>
        <v>0.19873029623389452</v>
      </c>
      <c r="BO214" s="255">
        <f t="shared" si="484"/>
        <v>0.20110258506774453</v>
      </c>
      <c r="BP214" s="256">
        <f t="shared" si="484"/>
        <v>0.20550975602309562</v>
      </c>
      <c r="BQ214" s="79">
        <f t="shared" si="484"/>
        <v>0.20550975602309562</v>
      </c>
      <c r="BR214" s="20"/>
      <c r="BS214" s="20"/>
      <c r="BT214" s="20"/>
      <c r="BU214" s="20"/>
      <c r="BV214" s="20"/>
      <c r="BW214" s="20"/>
      <c r="BX214" s="20"/>
      <c r="BY214" s="20"/>
      <c r="BZ214" s="20"/>
      <c r="CA214" s="20"/>
      <c r="CB214" s="20"/>
      <c r="CC214" s="20"/>
      <c r="CD214" s="20"/>
      <c r="CE214" s="20"/>
      <c r="CF214" s="20"/>
      <c r="CG214" s="20"/>
      <c r="CH214" s="20"/>
      <c r="CI214" s="20"/>
      <c r="CJ214" s="20"/>
      <c r="CK214" s="20"/>
      <c r="CL214" s="20"/>
      <c r="CM214" s="20"/>
      <c r="CN214" s="20"/>
      <c r="CO214" s="20"/>
      <c r="CP214" s="20"/>
      <c r="CQ214" s="20"/>
      <c r="CR214" s="20"/>
      <c r="CS214" s="20"/>
      <c r="CT214" s="20"/>
      <c r="CU214" s="20"/>
      <c r="CV214" s="20"/>
      <c r="CW214" s="20"/>
      <c r="CX214" s="20"/>
      <c r="CY214" s="20"/>
      <c r="CZ214" s="20"/>
    </row>
    <row r="215" spans="1:104" x14ac:dyDescent="0.2">
      <c r="A215" s="289"/>
      <c r="B215" s="289"/>
      <c r="C215" s="289"/>
      <c r="D215" s="289"/>
      <c r="E215" s="291"/>
      <c r="F215" s="292"/>
      <c r="G215" s="292"/>
      <c r="H215" s="293"/>
      <c r="I215" s="289"/>
      <c r="J215" s="291"/>
      <c r="K215" s="292"/>
      <c r="L215" s="292"/>
      <c r="M215" s="293"/>
      <c r="N215" s="289"/>
      <c r="O215" s="291"/>
      <c r="P215" s="292"/>
      <c r="Q215" s="292"/>
      <c r="R215" s="293"/>
      <c r="S215" s="289"/>
      <c r="T215" s="291"/>
      <c r="U215" s="292"/>
      <c r="V215" s="292"/>
      <c r="W215" s="293"/>
      <c r="X215" s="289"/>
      <c r="Y215" s="291"/>
      <c r="Z215" s="292"/>
      <c r="AA215" s="292"/>
      <c r="AB215" s="293"/>
      <c r="AC215" s="289"/>
      <c r="AD215" s="291"/>
      <c r="AE215" s="292"/>
      <c r="AF215" s="292"/>
      <c r="AG215" s="293"/>
      <c r="AH215" s="289"/>
      <c r="AI215" s="291"/>
      <c r="AJ215" s="292"/>
      <c r="AK215" s="292"/>
      <c r="AL215" s="293"/>
      <c r="AM215" s="289"/>
      <c r="AN215" s="291"/>
      <c r="AO215" s="292"/>
      <c r="AP215" s="292"/>
      <c r="AQ215" s="293"/>
      <c r="AR215" s="289"/>
      <c r="AS215" s="291"/>
      <c r="AT215" s="292"/>
      <c r="AU215" s="292"/>
      <c r="AV215" s="293"/>
      <c r="AW215" s="289"/>
      <c r="AX215" s="291"/>
      <c r="AY215" s="292"/>
      <c r="AZ215" s="292"/>
      <c r="BA215" s="293"/>
      <c r="BB215" s="289"/>
      <c r="BC215" s="291"/>
      <c r="BD215" s="292"/>
      <c r="BE215" s="292"/>
      <c r="BF215" s="293"/>
      <c r="BG215" s="289"/>
      <c r="BH215" s="291"/>
      <c r="BI215" s="292"/>
      <c r="BJ215" s="292"/>
      <c r="BK215" s="293"/>
      <c r="BL215" s="289"/>
      <c r="BM215" s="291"/>
      <c r="BN215" s="292"/>
      <c r="BO215" s="292"/>
      <c r="BP215" s="293"/>
      <c r="BQ215" s="289"/>
      <c r="BR215" s="289"/>
      <c r="BS215" s="289"/>
      <c r="BT215" s="289"/>
      <c r="BU215" s="289"/>
      <c r="BV215" s="289"/>
      <c r="BW215" s="289"/>
      <c r="BX215" s="289"/>
      <c r="BY215" s="289"/>
      <c r="BZ215" s="289"/>
      <c r="CA215" s="289"/>
      <c r="CB215" s="289"/>
      <c r="CC215" s="289"/>
      <c r="CD215" s="289"/>
      <c r="CE215" s="289"/>
      <c r="CF215" s="289"/>
      <c r="CG215" s="289"/>
      <c r="CH215" s="289"/>
      <c r="CI215" s="289"/>
      <c r="CJ215" s="289"/>
      <c r="CK215" s="289"/>
      <c r="CL215" s="289"/>
      <c r="CM215" s="289"/>
      <c r="CN215" s="289"/>
      <c r="CO215" s="289"/>
      <c r="CP215" s="289"/>
      <c r="CQ215" s="289"/>
      <c r="CR215" s="289"/>
      <c r="CS215" s="289"/>
      <c r="CT215" s="289"/>
      <c r="CU215" s="289"/>
      <c r="CV215" s="289"/>
      <c r="CW215" s="289"/>
      <c r="CX215" s="289"/>
      <c r="CY215" s="289"/>
      <c r="CZ215" s="289"/>
    </row>
    <row r="216" spans="1:104" x14ac:dyDescent="0.2">
      <c r="A216" s="289"/>
      <c r="B216" s="289"/>
      <c r="C216" s="141" t="s">
        <v>63</v>
      </c>
      <c r="D216" s="289"/>
      <c r="E216" s="291"/>
      <c r="F216" s="292"/>
      <c r="G216" s="292"/>
      <c r="H216" s="293"/>
      <c r="I216" s="289"/>
      <c r="J216" s="291"/>
      <c r="K216" s="292"/>
      <c r="L216" s="292"/>
      <c r="M216" s="293"/>
      <c r="N216" s="289"/>
      <c r="O216" s="291"/>
      <c r="P216" s="292"/>
      <c r="Q216" s="292"/>
      <c r="R216" s="293"/>
      <c r="S216" s="289"/>
      <c r="T216" s="291"/>
      <c r="U216" s="292"/>
      <c r="V216" s="292"/>
      <c r="W216" s="293"/>
      <c r="X216" s="289"/>
      <c r="Y216" s="291"/>
      <c r="Z216" s="292"/>
      <c r="AA216" s="292"/>
      <c r="AB216" s="293"/>
      <c r="AC216" s="289"/>
      <c r="AD216" s="291"/>
      <c r="AE216" s="292"/>
      <c r="AF216" s="292"/>
      <c r="AG216" s="293"/>
      <c r="AH216" s="289"/>
      <c r="AI216" s="291"/>
      <c r="AJ216" s="292"/>
      <c r="AK216" s="292"/>
      <c r="AL216" s="293"/>
      <c r="AM216" s="289"/>
      <c r="AN216" s="291"/>
      <c r="AO216" s="292"/>
      <c r="AP216" s="292"/>
      <c r="AQ216" s="293"/>
      <c r="AR216" s="289"/>
      <c r="AS216" s="291"/>
      <c r="AT216" s="292"/>
      <c r="AU216" s="292"/>
      <c r="AV216" s="293"/>
      <c r="AW216" s="289"/>
      <c r="AX216" s="291"/>
      <c r="AY216" s="292"/>
      <c r="AZ216" s="292"/>
      <c r="BA216" s="293"/>
      <c r="BB216" s="289"/>
      <c r="BC216" s="291"/>
      <c r="BD216" s="292"/>
      <c r="BE216" s="292"/>
      <c r="BF216" s="293"/>
      <c r="BG216" s="289"/>
      <c r="BH216" s="291"/>
      <c r="BI216" s="292"/>
      <c r="BJ216" s="292"/>
      <c r="BK216" s="293"/>
      <c r="BL216" s="289"/>
      <c r="BM216" s="291"/>
      <c r="BN216" s="292"/>
      <c r="BO216" s="292"/>
      <c r="BP216" s="293"/>
      <c r="BQ216" s="289"/>
      <c r="BR216" s="289"/>
      <c r="BS216" s="289"/>
      <c r="BT216" s="289"/>
      <c r="BU216" s="289"/>
      <c r="BV216" s="289"/>
      <c r="BW216" s="289"/>
      <c r="BX216" s="289"/>
      <c r="BY216" s="289"/>
      <c r="BZ216" s="289"/>
      <c r="CA216" s="289"/>
      <c r="CB216" s="289"/>
      <c r="CC216" s="289"/>
      <c r="CD216" s="289"/>
      <c r="CE216" s="289"/>
      <c r="CF216" s="289"/>
      <c r="CG216" s="289"/>
      <c r="CH216" s="289"/>
      <c r="CI216" s="289"/>
      <c r="CJ216" s="289"/>
      <c r="CK216" s="289"/>
      <c r="CL216" s="289"/>
      <c r="CM216" s="289"/>
      <c r="CN216" s="289"/>
      <c r="CO216" s="289"/>
      <c r="CP216" s="289"/>
      <c r="CQ216" s="289"/>
      <c r="CR216" s="289"/>
      <c r="CS216" s="289"/>
      <c r="CT216" s="289"/>
      <c r="CU216" s="289"/>
      <c r="CV216" s="289"/>
      <c r="CW216" s="289"/>
      <c r="CX216" s="289"/>
      <c r="CY216" s="289"/>
      <c r="CZ216" s="289"/>
    </row>
    <row r="217" spans="1:104" x14ac:dyDescent="0.2">
      <c r="A217" s="289"/>
      <c r="B217" s="289"/>
      <c r="C217" s="289" t="s">
        <v>65</v>
      </c>
      <c r="D217" s="289"/>
      <c r="E217" s="291"/>
      <c r="F217" s="292"/>
      <c r="G217" s="292"/>
      <c r="H217" s="257">
        <f t="shared" ref="H217:AM217" si="485">(H204+H207)/H207</f>
        <v>3.4041959602722911</v>
      </c>
      <c r="I217" s="81">
        <f t="shared" si="485"/>
        <v>3.4041959602722911</v>
      </c>
      <c r="J217" s="258">
        <f t="shared" si="485"/>
        <v>3.4557317807669139</v>
      </c>
      <c r="K217" s="259">
        <f t="shared" si="485"/>
        <v>3.5642599587912089</v>
      </c>
      <c r="L217" s="259">
        <f t="shared" si="485"/>
        <v>3.6273883964193994</v>
      </c>
      <c r="M217" s="257">
        <f t="shared" si="485"/>
        <v>3.8476968331455774</v>
      </c>
      <c r="N217" s="81">
        <f t="shared" si="485"/>
        <v>3.8476968331455774</v>
      </c>
      <c r="O217" s="258">
        <f t="shared" si="485"/>
        <v>3.9111604052608411</v>
      </c>
      <c r="P217" s="259">
        <f t="shared" si="485"/>
        <v>3.9114655064479784</v>
      </c>
      <c r="Q217" s="259">
        <f t="shared" si="485"/>
        <v>4.0623996257893538</v>
      </c>
      <c r="R217" s="257">
        <f t="shared" si="485"/>
        <v>4.0244258391581518</v>
      </c>
      <c r="S217" s="81">
        <f t="shared" si="485"/>
        <v>4.0244258391581518</v>
      </c>
      <c r="T217" s="258">
        <f t="shared" si="485"/>
        <v>4.0253927851764306</v>
      </c>
      <c r="U217" s="259">
        <f>(U204+U207)/U207</f>
        <v>4.0984297891431138</v>
      </c>
      <c r="V217" s="259">
        <f>(V204+V207)/V207</f>
        <v>4.2099819285074123</v>
      </c>
      <c r="W217" s="257">
        <f>(W204+W207)/W207</f>
        <v>4.1866114601731503</v>
      </c>
      <c r="X217" s="81">
        <f>(X204+X207)/X207</f>
        <v>4.1866114601731503</v>
      </c>
      <c r="Y217" s="258">
        <f t="shared" si="485"/>
        <v>4.1892188591551331</v>
      </c>
      <c r="Z217" s="259">
        <f t="shared" si="485"/>
        <v>4.1585221674876864</v>
      </c>
      <c r="AA217" s="259">
        <f t="shared" si="485"/>
        <v>3.658540101975281</v>
      </c>
      <c r="AB217" s="257">
        <f t="shared" si="485"/>
        <v>3.7879177047748702</v>
      </c>
      <c r="AC217" s="81">
        <f t="shared" si="485"/>
        <v>3.7879177047748702</v>
      </c>
      <c r="AD217" s="258">
        <f t="shared" si="485"/>
        <v>3.8163126464585382</v>
      </c>
      <c r="AE217" s="259">
        <f t="shared" si="485"/>
        <v>3.8011949491838615</v>
      </c>
      <c r="AF217" s="259">
        <f t="shared" si="485"/>
        <v>4.3414463827734187</v>
      </c>
      <c r="AG217" s="257">
        <f>(AG204+AG207)/AG207</f>
        <v>4.3095315265900425</v>
      </c>
      <c r="AH217" s="81">
        <f>(AH204+AH207)/AH207</f>
        <v>4.3095315265900425</v>
      </c>
      <c r="AI217" s="258">
        <f>(AI204+AI207)/AI207</f>
        <v>4.3270554014250635</v>
      </c>
      <c r="AJ217" s="259">
        <f>(AJ204+AJ207)/AJ207</f>
        <v>4.2245405405405414</v>
      </c>
      <c r="AK217" s="259">
        <f t="shared" si="485"/>
        <v>4.1287522176227096</v>
      </c>
      <c r="AL217" s="257">
        <f t="shared" si="485"/>
        <v>4.310042836744409</v>
      </c>
      <c r="AM217" s="81">
        <f t="shared" si="485"/>
        <v>4.310042836744409</v>
      </c>
      <c r="AN217" s="258">
        <f>(AN204+AN207)/AN207</f>
        <v>4.3499905979691631</v>
      </c>
      <c r="AO217" s="259">
        <f t="shared" ref="AO217:AR217" si="486">(AO204+AO207)/AO207</f>
        <v>4.4710822520879576</v>
      </c>
      <c r="AP217" s="259">
        <f t="shared" si="486"/>
        <v>4.5589996919671929</v>
      </c>
      <c r="AQ217" s="257">
        <f t="shared" si="486"/>
        <v>4.5477890178299551</v>
      </c>
      <c r="AR217" s="81">
        <f t="shared" si="486"/>
        <v>4.5477890178299551</v>
      </c>
      <c r="AS217" s="258">
        <f>(AS204+AS207)/AS207</f>
        <v>4.6568615398370525</v>
      </c>
      <c r="AT217" s="259">
        <f t="shared" ref="AT217:AW217" si="487">(AT204+AT207)/AT207</f>
        <v>4.7636880512154702</v>
      </c>
      <c r="AU217" s="259">
        <f t="shared" si="487"/>
        <v>4.9021029399993123</v>
      </c>
      <c r="AV217" s="257">
        <f t="shared" si="487"/>
        <v>5.0950448204283703</v>
      </c>
      <c r="AW217" s="81">
        <f t="shared" si="487"/>
        <v>5.0950448204283703</v>
      </c>
      <c r="AX217" s="258">
        <f t="shared" ref="AX217:BG217" si="488">(AX204+AX207)/AX207</f>
        <v>5.4403782451168556</v>
      </c>
      <c r="AY217" s="259">
        <f t="shared" si="488"/>
        <v>5.7837721861406513</v>
      </c>
      <c r="AZ217" s="259">
        <f t="shared" si="488"/>
        <v>5.741076095260893</v>
      </c>
      <c r="BA217" s="257">
        <f t="shared" si="488"/>
        <v>5.5985086310507111</v>
      </c>
      <c r="BB217" s="81">
        <f t="shared" si="488"/>
        <v>5.5985086310507111</v>
      </c>
      <c r="BC217" s="258">
        <f t="shared" si="488"/>
        <v>5.59458051074441</v>
      </c>
      <c r="BD217" s="259">
        <f t="shared" si="488"/>
        <v>5.5970617220103929</v>
      </c>
      <c r="BE217" s="259">
        <f t="shared" si="488"/>
        <v>5.4914110829119949</v>
      </c>
      <c r="BF217" s="257">
        <f t="shared" si="488"/>
        <v>5.4504177841838493</v>
      </c>
      <c r="BG217" s="81">
        <f t="shared" si="488"/>
        <v>5.4504177841838493</v>
      </c>
      <c r="BH217" s="258">
        <f t="shared" ref="BH217:BQ217" si="489">(BH204+BH207)/BH207</f>
        <v>5.401316153746488</v>
      </c>
      <c r="BI217" s="259">
        <f t="shared" si="489"/>
        <v>5.3794310049987324</v>
      </c>
      <c r="BJ217" s="259">
        <f t="shared" si="489"/>
        <v>5.4409575658436928</v>
      </c>
      <c r="BK217" s="257">
        <f t="shared" si="489"/>
        <v>5.5133517347127325</v>
      </c>
      <c r="BL217" s="81">
        <f t="shared" si="489"/>
        <v>5.5133517347127325</v>
      </c>
      <c r="BM217" s="258">
        <f t="shared" si="489"/>
        <v>5.5661352625105849</v>
      </c>
      <c r="BN217" s="259">
        <f t="shared" si="489"/>
        <v>5.6246702814541711</v>
      </c>
      <c r="BO217" s="259">
        <f t="shared" si="489"/>
        <v>5.675181196098694</v>
      </c>
      <c r="BP217" s="257">
        <f t="shared" si="489"/>
        <v>5.7406433927648051</v>
      </c>
      <c r="BQ217" s="81">
        <f t="shared" si="489"/>
        <v>5.7406433927648051</v>
      </c>
      <c r="BR217" s="289"/>
      <c r="BS217" s="289"/>
      <c r="BT217" s="289"/>
      <c r="BU217" s="289"/>
      <c r="BV217" s="289"/>
      <c r="BW217" s="289"/>
      <c r="BX217" s="289"/>
      <c r="BY217" s="289"/>
      <c r="BZ217" s="289"/>
      <c r="CA217" s="289"/>
      <c r="CB217" s="289"/>
      <c r="CC217" s="289"/>
      <c r="CD217" s="289"/>
      <c r="CE217" s="289"/>
      <c r="CF217" s="289"/>
      <c r="CG217" s="289"/>
      <c r="CH217" s="289"/>
      <c r="CI217" s="289"/>
      <c r="CJ217" s="289"/>
      <c r="CK217" s="289"/>
      <c r="CL217" s="289"/>
      <c r="CM217" s="289"/>
      <c r="CN217" s="289"/>
      <c r="CO217" s="289"/>
      <c r="CP217" s="289"/>
      <c r="CQ217" s="289"/>
      <c r="CR217" s="289"/>
      <c r="CS217" s="289"/>
      <c r="CT217" s="289"/>
      <c r="CU217" s="289"/>
      <c r="CV217" s="289"/>
      <c r="CW217" s="289"/>
      <c r="CX217" s="289"/>
      <c r="CY217" s="289"/>
      <c r="CZ217" s="289"/>
    </row>
    <row r="218" spans="1:104" x14ac:dyDescent="0.2">
      <c r="A218" s="289"/>
      <c r="B218" s="289"/>
      <c r="C218" s="289" t="s">
        <v>66</v>
      </c>
      <c r="D218" s="289"/>
      <c r="E218" s="291"/>
      <c r="F218" s="292"/>
      <c r="G218" s="292"/>
      <c r="H218" s="257">
        <f t="shared" ref="H218:AM218" si="490">H205/H207</f>
        <v>2.4713062158241255</v>
      </c>
      <c r="I218" s="81">
        <f t="shared" si="490"/>
        <v>2.4713062158241268</v>
      </c>
      <c r="J218" s="258">
        <f t="shared" si="490"/>
        <v>2.539736713798145</v>
      </c>
      <c r="K218" s="259">
        <f t="shared" si="490"/>
        <v>2.7271062271062259</v>
      </c>
      <c r="L218" s="259">
        <f t="shared" si="490"/>
        <v>2.7784902868251895</v>
      </c>
      <c r="M218" s="257">
        <f t="shared" si="490"/>
        <v>2.9360996370008756</v>
      </c>
      <c r="N218" s="81">
        <f t="shared" si="490"/>
        <v>2.9360996370008783</v>
      </c>
      <c r="O218" s="258">
        <f t="shared" si="490"/>
        <v>2.9558240513498188</v>
      </c>
      <c r="P218" s="259">
        <f t="shared" si="490"/>
        <v>2.9356767246775988</v>
      </c>
      <c r="Q218" s="259">
        <f t="shared" si="490"/>
        <v>3.1761596632104152</v>
      </c>
      <c r="R218" s="257">
        <f t="shared" si="490"/>
        <v>3.1699055226975976</v>
      </c>
      <c r="S218" s="81">
        <f t="shared" si="490"/>
        <v>3.1699055226975954</v>
      </c>
      <c r="T218" s="258">
        <f t="shared" si="490"/>
        <v>3.155477781312972</v>
      </c>
      <c r="U218" s="259">
        <f>U205/U207</f>
        <v>3.247061462539258</v>
      </c>
      <c r="V218" s="259">
        <f>V205/V207</f>
        <v>3.4111338025065034</v>
      </c>
      <c r="W218" s="257">
        <f>W205/W207</f>
        <v>3.3742508034861167</v>
      </c>
      <c r="X218" s="81">
        <f>X205/X207</f>
        <v>3.3742508034861181</v>
      </c>
      <c r="Y218" s="258">
        <f t="shared" si="490"/>
        <v>3.354571505966554</v>
      </c>
      <c r="Z218" s="259">
        <f t="shared" si="490"/>
        <v>3.2699788881069676</v>
      </c>
      <c r="AA218" s="259">
        <f t="shared" si="490"/>
        <v>2.6203452479257598</v>
      </c>
      <c r="AB218" s="257">
        <f t="shared" si="490"/>
        <v>2.8297716590039319</v>
      </c>
      <c r="AC218" s="81">
        <f t="shared" si="490"/>
        <v>2.8297716590039306</v>
      </c>
      <c r="AD218" s="258">
        <f t="shared" si="490"/>
        <v>2.9098571320583582</v>
      </c>
      <c r="AE218" s="259">
        <f t="shared" si="490"/>
        <v>2.857517708654143</v>
      </c>
      <c r="AF218" s="259">
        <f t="shared" si="490"/>
        <v>3.5201366141032491</v>
      </c>
      <c r="AG218" s="257">
        <f>AG205/AG207</f>
        <v>3.4678376424243931</v>
      </c>
      <c r="AH218" s="81">
        <f>AH205/AH207</f>
        <v>3.467837642424394</v>
      </c>
      <c r="AI218" s="258">
        <f>AI205/AI207</f>
        <v>3.4628518351034585</v>
      </c>
      <c r="AJ218" s="259">
        <f>AJ205/AJ207</f>
        <v>3.3230510510510518</v>
      </c>
      <c r="AK218" s="259">
        <f t="shared" si="490"/>
        <v>3.2398107628622124</v>
      </c>
      <c r="AL218" s="257">
        <f t="shared" si="490"/>
        <v>3.353605425987626</v>
      </c>
      <c r="AM218" s="81">
        <f t="shared" si="490"/>
        <v>3.3536054259876265</v>
      </c>
      <c r="AN218" s="258">
        <f>AN205/AN207</f>
        <v>3.3655627115456945</v>
      </c>
      <c r="AO218" s="259">
        <f t="shared" ref="AO218:AR218" si="491">AO205/AO207</f>
        <v>3.5132246860806844</v>
      </c>
      <c r="AP218" s="259">
        <f t="shared" si="491"/>
        <v>3.5174723055685511</v>
      </c>
      <c r="AQ218" s="257">
        <f t="shared" si="491"/>
        <v>3.5789942596790398</v>
      </c>
      <c r="AR218" s="81">
        <f t="shared" si="491"/>
        <v>3.5789942596790376</v>
      </c>
      <c r="AS218" s="258">
        <f>AS205/AS207</f>
        <v>3.5986231098494601</v>
      </c>
      <c r="AT218" s="259">
        <f t="shared" ref="AT218:AW218" si="492">AT205/AT207</f>
        <v>3.663551506469088</v>
      </c>
      <c r="AU218" s="259">
        <f t="shared" si="492"/>
        <v>3.7432675044883306</v>
      </c>
      <c r="AV218" s="257">
        <f t="shared" si="492"/>
        <v>3.5772616051859485</v>
      </c>
      <c r="AW218" s="81">
        <f t="shared" si="492"/>
        <v>3.5772616051859463</v>
      </c>
      <c r="AX218" s="258">
        <f t="shared" ref="AX218:BG218" si="493">AX205/AX207</f>
        <v>3.8151331592167881</v>
      </c>
      <c r="AY218" s="259">
        <f t="shared" si="493"/>
        <v>3.9715145865099069</v>
      </c>
      <c r="AZ218" s="259">
        <f t="shared" si="493"/>
        <v>3.7579217074391664</v>
      </c>
      <c r="BA218" s="257">
        <f t="shared" si="493"/>
        <v>3.6965680795314597</v>
      </c>
      <c r="BB218" s="81">
        <f t="shared" si="493"/>
        <v>3.6965680795314615</v>
      </c>
      <c r="BC218" s="258">
        <f t="shared" si="493"/>
        <v>3.7489043493879564</v>
      </c>
      <c r="BD218" s="259">
        <f t="shared" si="493"/>
        <v>3.773167597877733</v>
      </c>
      <c r="BE218" s="259">
        <f t="shared" si="493"/>
        <v>3.739347404246228</v>
      </c>
      <c r="BF218" s="257">
        <f t="shared" si="493"/>
        <v>3.7217161918270603</v>
      </c>
      <c r="BG218" s="81">
        <f t="shared" si="493"/>
        <v>3.721716191827062</v>
      </c>
      <c r="BH218" s="258">
        <f t="shared" ref="BH218:BQ218" si="494">BH205/BH207</f>
        <v>3.686718223837679</v>
      </c>
      <c r="BI218" s="259">
        <f t="shared" si="494"/>
        <v>3.6491125709158969</v>
      </c>
      <c r="BJ218" s="259">
        <f t="shared" si="494"/>
        <v>3.7077680563241251</v>
      </c>
      <c r="BK218" s="257">
        <f t="shared" si="494"/>
        <v>3.7606499907980186</v>
      </c>
      <c r="BL218" s="81">
        <f t="shared" si="494"/>
        <v>3.760649990798016</v>
      </c>
      <c r="BM218" s="258">
        <f t="shared" si="494"/>
        <v>3.7971741626125919</v>
      </c>
      <c r="BN218" s="259">
        <f t="shared" si="494"/>
        <v>3.8598592803477536</v>
      </c>
      <c r="BO218" s="259">
        <f t="shared" si="494"/>
        <v>3.9400979876714008</v>
      </c>
      <c r="BP218" s="257">
        <f t="shared" si="494"/>
        <v>4.0178522350863766</v>
      </c>
      <c r="BQ218" s="81">
        <f t="shared" si="494"/>
        <v>4.0178522350863748</v>
      </c>
      <c r="BR218" s="289"/>
      <c r="BS218" s="289"/>
      <c r="BT218" s="289"/>
      <c r="BU218" s="289"/>
      <c r="BV218" s="289"/>
      <c r="BW218" s="289"/>
      <c r="BX218" s="289"/>
      <c r="BY218" s="289"/>
      <c r="BZ218" s="289"/>
      <c r="CA218" s="289"/>
      <c r="CB218" s="289"/>
      <c r="CC218" s="289"/>
      <c r="CD218" s="289"/>
      <c r="CE218" s="289"/>
      <c r="CF218" s="289"/>
      <c r="CG218" s="289"/>
      <c r="CH218" s="289"/>
      <c r="CI218" s="289"/>
      <c r="CJ218" s="289"/>
      <c r="CK218" s="289"/>
      <c r="CL218" s="289"/>
      <c r="CM218" s="289"/>
      <c r="CN218" s="289"/>
      <c r="CO218" s="289"/>
      <c r="CP218" s="289"/>
      <c r="CQ218" s="289"/>
      <c r="CR218" s="289"/>
      <c r="CS218" s="289"/>
      <c r="CT218" s="289"/>
      <c r="CU218" s="289"/>
      <c r="CV218" s="289"/>
      <c r="CW218" s="289"/>
      <c r="CX218" s="289"/>
      <c r="CY218" s="289"/>
      <c r="CZ218" s="289"/>
    </row>
    <row r="219" spans="1:104" x14ac:dyDescent="0.2">
      <c r="A219" s="289"/>
      <c r="B219" s="289"/>
      <c r="C219" s="289"/>
      <c r="D219" s="289"/>
      <c r="E219" s="291"/>
      <c r="F219" s="292"/>
      <c r="G219" s="292"/>
      <c r="H219" s="293"/>
      <c r="I219" s="289"/>
      <c r="J219" s="291"/>
      <c r="K219" s="292"/>
      <c r="L219" s="292"/>
      <c r="M219" s="293"/>
      <c r="N219" s="289"/>
      <c r="O219" s="291"/>
      <c r="P219" s="292"/>
      <c r="Q219" s="292"/>
      <c r="R219" s="293"/>
      <c r="S219" s="289"/>
      <c r="T219" s="291"/>
      <c r="U219" s="292"/>
      <c r="V219" s="292"/>
      <c r="W219" s="293"/>
      <c r="X219" s="289"/>
      <c r="Y219" s="291"/>
      <c r="Z219" s="292"/>
      <c r="AA219" s="292"/>
      <c r="AB219" s="293"/>
      <c r="AC219" s="289"/>
      <c r="AD219" s="291"/>
      <c r="AE219" s="292"/>
      <c r="AF219" s="292"/>
      <c r="AG219" s="293"/>
      <c r="AH219" s="289"/>
      <c r="AI219" s="291"/>
      <c r="AJ219" s="292"/>
      <c r="AK219" s="292"/>
      <c r="AL219" s="293"/>
      <c r="AM219" s="289"/>
      <c r="AN219" s="291"/>
      <c r="AO219" s="292"/>
      <c r="AP219" s="292"/>
      <c r="AQ219" s="293"/>
      <c r="AR219" s="289"/>
      <c r="AS219" s="291"/>
      <c r="AT219" s="292"/>
      <c r="AU219" s="292"/>
      <c r="AV219" s="293"/>
      <c r="AW219" s="289"/>
      <c r="AX219" s="291"/>
      <c r="AY219" s="292"/>
      <c r="AZ219" s="292"/>
      <c r="BA219" s="293"/>
      <c r="BB219" s="289"/>
      <c r="BC219" s="291"/>
      <c r="BD219" s="292"/>
      <c r="BE219" s="292"/>
      <c r="BF219" s="293"/>
      <c r="BG219" s="289"/>
      <c r="BH219" s="291"/>
      <c r="BI219" s="292"/>
      <c r="BJ219" s="292"/>
      <c r="BK219" s="293"/>
      <c r="BL219" s="289"/>
      <c r="BM219" s="291"/>
      <c r="BN219" s="292"/>
      <c r="BO219" s="292"/>
      <c r="BP219" s="293"/>
      <c r="BQ219" s="289"/>
      <c r="BR219" s="289"/>
      <c r="BS219" s="289"/>
      <c r="BT219" s="289"/>
      <c r="BU219" s="289"/>
      <c r="BV219" s="289"/>
      <c r="BW219" s="289"/>
      <c r="BX219" s="289"/>
      <c r="BY219" s="289"/>
      <c r="BZ219" s="289"/>
      <c r="CA219" s="289"/>
      <c r="CB219" s="289"/>
      <c r="CC219" s="289"/>
      <c r="CD219" s="289"/>
      <c r="CE219" s="289"/>
      <c r="CF219" s="289"/>
      <c r="CG219" s="289"/>
      <c r="CH219" s="289"/>
      <c r="CI219" s="289"/>
      <c r="CJ219" s="289"/>
      <c r="CK219" s="289"/>
      <c r="CL219" s="289"/>
      <c r="CM219" s="289"/>
      <c r="CN219" s="289"/>
      <c r="CO219" s="289"/>
      <c r="CP219" s="289"/>
      <c r="CQ219" s="289"/>
      <c r="CR219" s="289"/>
      <c r="CS219" s="289"/>
      <c r="CT219" s="289"/>
      <c r="CU219" s="289"/>
      <c r="CV219" s="289"/>
      <c r="CW219" s="289"/>
      <c r="CX219" s="289"/>
      <c r="CY219" s="289"/>
      <c r="CZ219" s="289"/>
    </row>
    <row r="220" spans="1:104" x14ac:dyDescent="0.2">
      <c r="A220" s="289"/>
      <c r="B220" s="289"/>
      <c r="C220" s="289"/>
      <c r="D220" s="289"/>
      <c r="E220" s="291"/>
      <c r="F220" s="292"/>
      <c r="G220" s="292"/>
      <c r="H220" s="293"/>
      <c r="I220" s="289"/>
      <c r="J220" s="291"/>
      <c r="K220" s="292"/>
      <c r="L220" s="292"/>
      <c r="M220" s="293"/>
      <c r="N220" s="289"/>
      <c r="O220" s="291"/>
      <c r="P220" s="292"/>
      <c r="Q220" s="292"/>
      <c r="R220" s="293"/>
      <c r="S220" s="289"/>
      <c r="T220" s="291"/>
      <c r="U220" s="292"/>
      <c r="V220" s="292"/>
      <c r="W220" s="293"/>
      <c r="X220" s="289"/>
      <c r="Y220" s="291"/>
      <c r="Z220" s="292"/>
      <c r="AA220" s="292"/>
      <c r="AB220" s="293"/>
      <c r="AC220" s="289"/>
      <c r="AD220" s="291"/>
      <c r="AE220" s="292"/>
      <c r="AF220" s="292"/>
      <c r="AG220" s="293"/>
      <c r="AH220" s="289"/>
      <c r="AI220" s="291"/>
      <c r="AJ220" s="292"/>
      <c r="AK220" s="292"/>
      <c r="AL220" s="293"/>
      <c r="AM220" s="289"/>
      <c r="AN220" s="291"/>
      <c r="AO220" s="292"/>
      <c r="AP220" s="292"/>
      <c r="AQ220" s="293"/>
      <c r="AR220" s="289"/>
      <c r="AS220" s="291"/>
      <c r="AT220" s="292"/>
      <c r="AU220" s="292"/>
      <c r="AV220" s="293"/>
      <c r="AW220" s="289"/>
      <c r="AX220" s="291"/>
      <c r="AY220" s="292"/>
      <c r="AZ220" s="292"/>
      <c r="BA220" s="293"/>
      <c r="BB220" s="289"/>
      <c r="BC220" s="291"/>
      <c r="BD220" s="292"/>
      <c r="BE220" s="292"/>
      <c r="BF220" s="293"/>
      <c r="BG220" s="289"/>
      <c r="BH220" s="291"/>
      <c r="BI220" s="292"/>
      <c r="BJ220" s="292"/>
      <c r="BK220" s="293"/>
      <c r="BL220" s="289"/>
      <c r="BM220" s="291"/>
      <c r="BN220" s="292"/>
      <c r="BO220" s="292"/>
      <c r="BP220" s="293"/>
      <c r="BQ220" s="289"/>
      <c r="BR220" s="289"/>
      <c r="BS220" s="289"/>
      <c r="BT220" s="289"/>
      <c r="BU220" s="289"/>
      <c r="BV220" s="289"/>
      <c r="BW220" s="289"/>
      <c r="BX220" s="289"/>
      <c r="BY220" s="289"/>
      <c r="BZ220" s="289"/>
      <c r="CA220" s="289"/>
      <c r="CB220" s="289"/>
      <c r="CC220" s="289"/>
      <c r="CD220" s="289"/>
      <c r="CE220" s="289"/>
      <c r="CF220" s="289"/>
      <c r="CG220" s="289"/>
      <c r="CH220" s="289"/>
      <c r="CI220" s="289"/>
      <c r="CJ220" s="289"/>
      <c r="CK220" s="289"/>
      <c r="CL220" s="289"/>
      <c r="CM220" s="289"/>
      <c r="CN220" s="289"/>
      <c r="CO220" s="289"/>
      <c r="CP220" s="289"/>
      <c r="CQ220" s="289"/>
      <c r="CR220" s="289"/>
      <c r="CS220" s="289"/>
      <c r="CT220" s="289"/>
      <c r="CU220" s="289"/>
      <c r="CV220" s="289"/>
      <c r="CW220" s="289"/>
      <c r="CX220" s="289"/>
      <c r="CY220" s="289"/>
      <c r="CZ220" s="289"/>
    </row>
    <row r="221" spans="1:104" x14ac:dyDescent="0.2">
      <c r="A221" s="289"/>
      <c r="B221" s="347" t="s">
        <v>300</v>
      </c>
      <c r="C221" s="347"/>
      <c r="D221" s="348"/>
      <c r="E221" s="291"/>
      <c r="F221" s="292"/>
      <c r="G221" s="292"/>
      <c r="H221" s="293"/>
      <c r="I221" s="289"/>
      <c r="J221" s="291"/>
      <c r="K221" s="292"/>
      <c r="L221" s="292"/>
      <c r="M221" s="293"/>
      <c r="N221" s="289"/>
      <c r="O221" s="291"/>
      <c r="P221" s="292"/>
      <c r="Q221" s="292"/>
      <c r="R221" s="293"/>
      <c r="S221" s="289"/>
      <c r="T221" s="291"/>
      <c r="U221" s="292"/>
      <c r="V221" s="292"/>
      <c r="W221" s="293"/>
      <c r="X221" s="289"/>
      <c r="Y221" s="291"/>
      <c r="Z221" s="292"/>
      <c r="AA221" s="292"/>
      <c r="AB221" s="293"/>
      <c r="AC221" s="289"/>
      <c r="AD221" s="291"/>
      <c r="AE221" s="292"/>
      <c r="AF221" s="292"/>
      <c r="AG221" s="293"/>
      <c r="AH221" s="289"/>
      <c r="AI221" s="291"/>
      <c r="AJ221" s="292"/>
      <c r="AK221" s="292"/>
      <c r="AL221" s="293"/>
      <c r="AM221" s="289"/>
      <c r="AN221" s="291"/>
      <c r="AO221" s="292"/>
      <c r="AP221" s="292"/>
      <c r="AQ221" s="293"/>
      <c r="AR221" s="289"/>
      <c r="AS221" s="291"/>
      <c r="AT221" s="292"/>
      <c r="AU221" s="292"/>
      <c r="AV221" s="293"/>
      <c r="AW221" s="289"/>
      <c r="AX221" s="291"/>
      <c r="AY221" s="292"/>
      <c r="AZ221" s="292"/>
      <c r="BA221" s="293"/>
      <c r="BB221" s="289"/>
      <c r="BC221" s="291"/>
      <c r="BD221" s="292"/>
      <c r="BE221" s="292"/>
      <c r="BF221" s="293"/>
      <c r="BG221" s="289"/>
      <c r="BH221" s="291"/>
      <c r="BI221" s="292"/>
      <c r="BJ221" s="292"/>
      <c r="BK221" s="293"/>
      <c r="BL221" s="289"/>
      <c r="BM221" s="291"/>
      <c r="BN221" s="292"/>
      <c r="BO221" s="292"/>
      <c r="BP221" s="293"/>
      <c r="BQ221" s="289"/>
      <c r="BR221" s="289"/>
      <c r="BS221" s="289"/>
      <c r="BT221" s="289"/>
      <c r="BU221" s="289"/>
      <c r="BV221" s="289"/>
      <c r="BW221" s="289"/>
      <c r="BX221" s="289"/>
      <c r="BY221" s="289"/>
      <c r="BZ221" s="289"/>
      <c r="CA221" s="289"/>
      <c r="CB221" s="289"/>
      <c r="CC221" s="289"/>
      <c r="CD221" s="289"/>
      <c r="CE221" s="289"/>
      <c r="CF221" s="289"/>
      <c r="CG221" s="289"/>
      <c r="CH221" s="289"/>
      <c r="CI221" s="289"/>
      <c r="CJ221" s="289"/>
      <c r="CK221" s="289"/>
      <c r="CL221" s="289"/>
      <c r="CM221" s="289"/>
      <c r="CN221" s="289"/>
      <c r="CO221" s="289"/>
      <c r="CP221" s="289"/>
      <c r="CQ221" s="289"/>
      <c r="CR221" s="289"/>
      <c r="CS221" s="289"/>
      <c r="CT221" s="289"/>
      <c r="CU221" s="289"/>
      <c r="CV221" s="289"/>
      <c r="CW221" s="289"/>
      <c r="CX221" s="289"/>
      <c r="CY221" s="289"/>
      <c r="CZ221" s="289"/>
    </row>
    <row r="222" spans="1:104" x14ac:dyDescent="0.2">
      <c r="A222" s="220"/>
      <c r="B222" s="220"/>
      <c r="C222" s="141" t="s">
        <v>301</v>
      </c>
      <c r="D222" s="82"/>
      <c r="E222" s="121"/>
      <c r="F222" s="122"/>
      <c r="G222" s="122"/>
      <c r="H222" s="123"/>
      <c r="I222" s="237">
        <f>909+288+0.37*1005</f>
        <v>1568.85</v>
      </c>
      <c r="J222" s="121">
        <f>+I227</f>
        <v>1626.15</v>
      </c>
      <c r="K222" s="122">
        <f>+J227</f>
        <v>1608.3267499999999</v>
      </c>
      <c r="L222" s="122">
        <f>+K227</f>
        <v>1611.1294999999998</v>
      </c>
      <c r="M222" s="123">
        <f>+L227</f>
        <v>1632.6082499999998</v>
      </c>
      <c r="N222" s="86">
        <f>I227</f>
        <v>1626.15</v>
      </c>
      <c r="O222" s="121">
        <f>+N227</f>
        <v>1692.09</v>
      </c>
      <c r="P222" s="122">
        <f>+O227</f>
        <v>1751.511</v>
      </c>
      <c r="Q222" s="122">
        <f>+P227</f>
        <v>1782.8489999999999</v>
      </c>
      <c r="R222" s="123">
        <f>+Q227</f>
        <v>1780.8889999999999</v>
      </c>
      <c r="S222" s="86">
        <f>+N227</f>
        <v>1692.09</v>
      </c>
      <c r="T222" s="121">
        <f>+S227</f>
        <v>1837.8309999999999</v>
      </c>
      <c r="U222" s="122">
        <f>+T227</f>
        <v>1883.4309999999998</v>
      </c>
      <c r="V222" s="122">
        <f>+U227</f>
        <v>1940.4829999999997</v>
      </c>
      <c r="W222" s="123">
        <f>+V227</f>
        <v>1991.6989999999996</v>
      </c>
      <c r="X222" s="86">
        <f>+S227</f>
        <v>1837.8309999999999</v>
      </c>
      <c r="Y222" s="121">
        <f>+X227</f>
        <v>2145.5949999999998</v>
      </c>
      <c r="Z222" s="122">
        <f>+Y227</f>
        <v>2211.3330000000001</v>
      </c>
      <c r="AA222" s="122">
        <f>+Z227</f>
        <v>2312.143</v>
      </c>
      <c r="AB222" s="123">
        <f>+AA227</f>
        <v>2440.6240000000003</v>
      </c>
      <c r="AC222" s="86">
        <f>+X227</f>
        <v>2145.5949999999998</v>
      </c>
      <c r="AD222" s="121">
        <f>+AC227</f>
        <v>2201.9489999999996</v>
      </c>
      <c r="AE222" s="122">
        <f>+AD227</f>
        <v>2286.9079999999994</v>
      </c>
      <c r="AF222" s="122">
        <f>+AE227</f>
        <v>2366.0859999999993</v>
      </c>
      <c r="AG222" s="123">
        <f>+AF227</f>
        <v>2427.1269999999995</v>
      </c>
      <c r="AH222" s="86">
        <f>+AC227</f>
        <v>2201.9489999999996</v>
      </c>
      <c r="AI222" s="121">
        <f>+AH227</f>
        <v>2677.7359999999999</v>
      </c>
      <c r="AJ222" s="122">
        <f>+AI227</f>
        <v>2765.0019999999995</v>
      </c>
      <c r="AK222" s="122">
        <f>+AJ227</f>
        <v>2873.9959999999996</v>
      </c>
      <c r="AL222" s="123">
        <f>+AK227</f>
        <v>2963.2749999999992</v>
      </c>
      <c r="AM222" s="86">
        <f>+AH227</f>
        <v>2677.7359999999999</v>
      </c>
      <c r="AN222" s="121">
        <f>+AM227</f>
        <v>3230.498</v>
      </c>
      <c r="AO222" s="122">
        <f>+AN227</f>
        <v>3289.8859999999995</v>
      </c>
      <c r="AP222" s="122">
        <f>+AO227</f>
        <v>3339.2099999999996</v>
      </c>
      <c r="AQ222" s="123">
        <f>+AP227</f>
        <v>3348.6099999999997</v>
      </c>
      <c r="AR222" s="86">
        <f>+AM227</f>
        <v>3230.498</v>
      </c>
      <c r="AS222" s="121">
        <f>+AR227</f>
        <v>3416.6079999999997</v>
      </c>
      <c r="AT222" s="122">
        <f>+AS227</f>
        <v>3519.9199999999996</v>
      </c>
      <c r="AU222" s="122">
        <f>+AT227</f>
        <v>3639.6939999999995</v>
      </c>
      <c r="AV222" s="123">
        <f>+AU227</f>
        <v>3704.1459999999993</v>
      </c>
      <c r="AW222" s="86">
        <f>+AR227</f>
        <v>3416.6079999999997</v>
      </c>
      <c r="AX222" s="121">
        <f>+AW227</f>
        <v>3833.0929999999998</v>
      </c>
      <c r="AY222" s="122">
        <f>+AX227</f>
        <v>3952.3250340493146</v>
      </c>
      <c r="AZ222" s="122">
        <f>+AY227</f>
        <v>4070.0987663486676</v>
      </c>
      <c r="BA222" s="123">
        <f>+AZ227</f>
        <v>4176.9200775603531</v>
      </c>
      <c r="BB222" s="86">
        <f>+AW227</f>
        <v>3833.0929999999998</v>
      </c>
      <c r="BC222" s="121">
        <f>+BB227</f>
        <v>4298.4368654364525</v>
      </c>
      <c r="BD222" s="122">
        <f>+BC227</f>
        <v>4435.3342884793537</v>
      </c>
      <c r="BE222" s="122">
        <f>+BD227</f>
        <v>4568.6525192769768</v>
      </c>
      <c r="BF222" s="123">
        <f>+BE227</f>
        <v>4690.3582580234079</v>
      </c>
      <c r="BG222" s="86">
        <f>+BB227</f>
        <v>4298.4368654364525</v>
      </c>
      <c r="BH222" s="121">
        <f>+BG227</f>
        <v>4827.5325167408082</v>
      </c>
      <c r="BI222" s="122">
        <f>+BH227</f>
        <v>4981.4977412920298</v>
      </c>
      <c r="BJ222" s="122">
        <f>+BI227</f>
        <v>5129.728211827266</v>
      </c>
      <c r="BK222" s="123">
        <f>+BJ227</f>
        <v>5265.6056180029382</v>
      </c>
      <c r="BL222" s="86">
        <f>+BG227</f>
        <v>4827.5325167408082</v>
      </c>
      <c r="BM222" s="121">
        <f>+BL227</f>
        <v>5419.2280395097723</v>
      </c>
      <c r="BN222" s="122">
        <f>+BM227</f>
        <v>5590.8652566161081</v>
      </c>
      <c r="BO222" s="122">
        <f>+BN227</f>
        <v>5758.0948599128296</v>
      </c>
      <c r="BP222" s="123">
        <f>+BO227</f>
        <v>5912.5465520453954</v>
      </c>
      <c r="BQ222" s="86">
        <f>+BL227</f>
        <v>5419.2280395097723</v>
      </c>
      <c r="BR222" s="220"/>
      <c r="BS222" s="220"/>
      <c r="BT222" s="220"/>
      <c r="BU222" s="220"/>
      <c r="BV222" s="220"/>
      <c r="BW222" s="220"/>
      <c r="BX222" s="220"/>
      <c r="BY222" s="220"/>
      <c r="BZ222" s="220"/>
      <c r="CA222" s="220"/>
      <c r="CB222" s="220"/>
      <c r="CC222" s="220"/>
      <c r="CD222" s="220"/>
      <c r="CE222" s="220"/>
      <c r="CF222" s="220"/>
      <c r="CG222" s="220"/>
      <c r="CH222" s="220"/>
      <c r="CI222" s="220"/>
      <c r="CJ222" s="220"/>
      <c r="CK222" s="220"/>
      <c r="CL222" s="220"/>
      <c r="CM222" s="220"/>
      <c r="CN222" s="220"/>
      <c r="CO222" s="220"/>
      <c r="CP222" s="220"/>
      <c r="CQ222" s="220"/>
      <c r="CR222" s="220"/>
      <c r="CS222" s="220"/>
      <c r="CT222" s="220"/>
      <c r="CU222" s="220"/>
      <c r="CV222" s="220"/>
      <c r="CW222" s="220"/>
      <c r="CX222" s="220"/>
      <c r="CY222" s="220"/>
      <c r="CZ222" s="220"/>
    </row>
    <row r="223" spans="1:104" x14ac:dyDescent="0.2">
      <c r="A223" s="220"/>
      <c r="B223" s="220"/>
      <c r="C223" s="70" t="s">
        <v>302</v>
      </c>
      <c r="D223" s="82"/>
      <c r="E223" s="136"/>
      <c r="F223" s="135"/>
      <c r="G223" s="135"/>
      <c r="H223" s="116"/>
      <c r="I223" s="82">
        <f>I133</f>
        <v>211.86600000000001</v>
      </c>
      <c r="J223" s="136">
        <f>J133</f>
        <v>47.280999999999999</v>
      </c>
      <c r="K223" s="135">
        <f>K133</f>
        <v>64.045999999999992</v>
      </c>
      <c r="L223" s="135">
        <f>L133</f>
        <v>84.707999999999998</v>
      </c>
      <c r="M223" s="116">
        <f>M133</f>
        <v>113.37300000000002</v>
      </c>
      <c r="N223" s="82">
        <f>SUM(J223:M223)</f>
        <v>309.40800000000002</v>
      </c>
      <c r="O223" s="136">
        <f t="shared" ref="O223:AL223" si="495">O133</f>
        <v>91.01</v>
      </c>
      <c r="P223" s="135">
        <f t="shared" si="495"/>
        <v>71.98</v>
      </c>
      <c r="Q223" s="135">
        <f t="shared" si="495"/>
        <v>61.873999999999995</v>
      </c>
      <c r="R223" s="116">
        <f t="shared" si="495"/>
        <v>83.359000000000009</v>
      </c>
      <c r="S223" s="82">
        <f>SUM(O223:R223)</f>
        <v>308.22300000000001</v>
      </c>
      <c r="T223" s="136">
        <f t="shared" si="495"/>
        <v>86.03</v>
      </c>
      <c r="U223" s="135">
        <f>U133</f>
        <v>98.878999999999991</v>
      </c>
      <c r="V223" s="135">
        <f>V133</f>
        <v>90.343999999999994</v>
      </c>
      <c r="W223" s="116">
        <f t="shared" si="495"/>
        <v>109.37299999999999</v>
      </c>
      <c r="X223" s="82">
        <f>SUM(T223:W223)</f>
        <v>384.62599999999998</v>
      </c>
      <c r="Y223" s="136">
        <f t="shared" si="495"/>
        <v>106.376</v>
      </c>
      <c r="Z223" s="135">
        <f t="shared" si="495"/>
        <v>147.93299999999999</v>
      </c>
      <c r="AA223" s="135">
        <f t="shared" si="495"/>
        <v>169.126</v>
      </c>
      <c r="AB223" s="116">
        <f t="shared" si="495"/>
        <v>161.30099999999999</v>
      </c>
      <c r="AC223" s="82">
        <f>SUM(Y223:AB223)</f>
        <v>584.73599999999999</v>
      </c>
      <c r="AD223" s="136">
        <f t="shared" si="495"/>
        <v>137.637</v>
      </c>
      <c r="AE223" s="135">
        <f t="shared" si="495"/>
        <v>143.76100000000002</v>
      </c>
      <c r="AF223" s="135">
        <f t="shared" si="495"/>
        <v>131.57799999999997</v>
      </c>
      <c r="AG223" s="116">
        <f>AG133</f>
        <v>141.96000000000004</v>
      </c>
      <c r="AH223" s="82">
        <f>SUM(AD223:AG223)</f>
        <v>554.93600000000004</v>
      </c>
      <c r="AI223" s="136">
        <f>AI133</f>
        <v>126.622</v>
      </c>
      <c r="AJ223" s="135">
        <f>AJ133</f>
        <v>153.99299999999999</v>
      </c>
      <c r="AK223" s="135">
        <f t="shared" si="495"/>
        <v>148.37599999999998</v>
      </c>
      <c r="AL223" s="116">
        <f t="shared" si="495"/>
        <v>170.51999999999998</v>
      </c>
      <c r="AM223" s="82">
        <f>SUM(AI223:AL223)</f>
        <v>599.51099999999997</v>
      </c>
      <c r="AN223" s="136">
        <f>AN133</f>
        <v>135.72</v>
      </c>
      <c r="AO223" s="135">
        <f>AO133</f>
        <v>127.93300000000002</v>
      </c>
      <c r="AP223" s="135">
        <f>AP133</f>
        <v>108.34100000000001</v>
      </c>
      <c r="AQ223" s="116">
        <f>AQ133</f>
        <v>140.52800000000002</v>
      </c>
      <c r="AR223" s="82">
        <f>SUM(AN223:AQ223)</f>
        <v>512.52200000000005</v>
      </c>
      <c r="AS223" s="136">
        <f>AS133</f>
        <v>142.559</v>
      </c>
      <c r="AT223" s="135">
        <f>AT133</f>
        <v>137.35900000000001</v>
      </c>
      <c r="AU223" s="135">
        <f>AU133</f>
        <v>121.03899999999999</v>
      </c>
      <c r="AV223" s="116">
        <f>AV133</f>
        <v>158.90800000000002</v>
      </c>
      <c r="AW223" s="82">
        <f>SUM(AS223:AV223)</f>
        <v>559.86500000000001</v>
      </c>
      <c r="AX223" s="136">
        <f>AX133</f>
        <v>255</v>
      </c>
      <c r="AY223" s="135">
        <f>AY133</f>
        <v>255</v>
      </c>
      <c r="AZ223" s="135">
        <f>AZ133</f>
        <v>255</v>
      </c>
      <c r="BA223" s="116">
        <f>BA133</f>
        <v>255</v>
      </c>
      <c r="BB223" s="82">
        <f>SUM(AX223:BA223)</f>
        <v>1020</v>
      </c>
      <c r="BC223" s="136">
        <f>BC133</f>
        <v>285</v>
      </c>
      <c r="BD223" s="135">
        <f>BD133</f>
        <v>285</v>
      </c>
      <c r="BE223" s="135">
        <f>BE133</f>
        <v>285</v>
      </c>
      <c r="BF223" s="116">
        <f>BF133</f>
        <v>285</v>
      </c>
      <c r="BG223" s="82">
        <f>SUM(BC223:BF223)</f>
        <v>1140</v>
      </c>
      <c r="BH223" s="136">
        <f>BH133</f>
        <v>177.5</v>
      </c>
      <c r="BI223" s="135">
        <f>BI133</f>
        <v>177.5</v>
      </c>
      <c r="BJ223" s="135">
        <f>BJ133</f>
        <v>177.5</v>
      </c>
      <c r="BK223" s="116">
        <f>BK133</f>
        <v>177.5</v>
      </c>
      <c r="BL223" s="82">
        <f>SUM(BH223:BK223)</f>
        <v>710</v>
      </c>
      <c r="BM223" s="136">
        <f>BM133</f>
        <v>117.5</v>
      </c>
      <c r="BN223" s="135">
        <f>BN133</f>
        <v>117.5</v>
      </c>
      <c r="BO223" s="135">
        <f>BO133</f>
        <v>117.5</v>
      </c>
      <c r="BP223" s="116">
        <f>BP133</f>
        <v>117.5</v>
      </c>
      <c r="BQ223" s="82">
        <f>SUM(BM223:BP223)</f>
        <v>470</v>
      </c>
      <c r="BR223" s="220"/>
      <c r="BS223" s="220"/>
      <c r="BT223" s="220"/>
      <c r="BU223" s="220"/>
      <c r="BV223" s="220"/>
      <c r="BW223" s="220"/>
      <c r="BX223" s="220"/>
      <c r="BY223" s="220"/>
      <c r="BZ223" s="220"/>
      <c r="CA223" s="220"/>
      <c r="CB223" s="220"/>
      <c r="CC223" s="220"/>
      <c r="CD223" s="220"/>
      <c r="CE223" s="220"/>
      <c r="CF223" s="220"/>
      <c r="CG223" s="220"/>
      <c r="CH223" s="220"/>
      <c r="CI223" s="220"/>
      <c r="CJ223" s="220"/>
      <c r="CK223" s="220"/>
      <c r="CL223" s="220"/>
      <c r="CM223" s="220"/>
      <c r="CN223" s="220"/>
      <c r="CO223" s="220"/>
      <c r="CP223" s="220"/>
      <c r="CQ223" s="220"/>
      <c r="CR223" s="220"/>
      <c r="CS223" s="220"/>
      <c r="CT223" s="220"/>
      <c r="CU223" s="220"/>
      <c r="CV223" s="220"/>
      <c r="CW223" s="220"/>
      <c r="CX223" s="220"/>
      <c r="CY223" s="220"/>
      <c r="CZ223" s="220"/>
    </row>
    <row r="224" spans="1:104" x14ac:dyDescent="0.2">
      <c r="A224" s="220"/>
      <c r="B224" s="220"/>
      <c r="C224" s="70" t="s">
        <v>178</v>
      </c>
      <c r="D224" s="82"/>
      <c r="E224" s="136"/>
      <c r="F224" s="135"/>
      <c r="G224" s="135"/>
      <c r="H224" s="116"/>
      <c r="I224" s="82">
        <f>+-I13</f>
        <v>-104.602</v>
      </c>
      <c r="J224" s="136">
        <f>+-J13</f>
        <v>-25.654</v>
      </c>
      <c r="K224" s="135">
        <f>+-K13</f>
        <v>-25.654</v>
      </c>
      <c r="L224" s="135">
        <f>+-L13</f>
        <v>-26.082999999999998</v>
      </c>
      <c r="M224" s="116">
        <f>+-M13</f>
        <v>-26.544000000000011</v>
      </c>
      <c r="N224" s="82">
        <f>SUM(J224:M224)</f>
        <v>-103.935</v>
      </c>
      <c r="O224" s="136">
        <f t="shared" ref="O224:AL224" si="496">+-O13</f>
        <v>-26.158000000000001</v>
      </c>
      <c r="P224" s="135">
        <f t="shared" si="496"/>
        <v>-26.364000000000001</v>
      </c>
      <c r="Q224" s="135">
        <f t="shared" si="496"/>
        <v>-27.067</v>
      </c>
      <c r="R224" s="116">
        <f t="shared" si="496"/>
        <v>-27.385000000000005</v>
      </c>
      <c r="S224" s="82">
        <f>SUM(O224:R224)</f>
        <v>-106.974</v>
      </c>
      <c r="T224" s="136">
        <f t="shared" si="496"/>
        <v>-27.846</v>
      </c>
      <c r="U224" s="135">
        <f>+-U13</f>
        <v>-28.248999999999999</v>
      </c>
      <c r="V224" s="135">
        <f>+-V13</f>
        <v>-28.69</v>
      </c>
      <c r="W224" s="116">
        <f t="shared" si="496"/>
        <v>-28.957999999999998</v>
      </c>
      <c r="X224" s="82">
        <f>SUM(T224:W224)</f>
        <v>-113.74299999999999</v>
      </c>
      <c r="Y224" s="136">
        <f t="shared" si="496"/>
        <v>-30.204999999999998</v>
      </c>
      <c r="Z224" s="135">
        <f t="shared" si="496"/>
        <v>-31.055</v>
      </c>
      <c r="AA224" s="135">
        <f t="shared" si="496"/>
        <v>-30.315000000000001</v>
      </c>
      <c r="AB224" s="116">
        <f t="shared" si="496"/>
        <v>-30.331999999999994</v>
      </c>
      <c r="AC224" s="82">
        <f>SUM(Y224:AB224)</f>
        <v>-121.907</v>
      </c>
      <c r="AD224" s="136">
        <f t="shared" si="496"/>
        <v>-30.512</v>
      </c>
      <c r="AE224" s="135">
        <f t="shared" si="496"/>
        <v>-35.070999999999998</v>
      </c>
      <c r="AF224" s="135">
        <f t="shared" si="496"/>
        <v>-34.207000000000001</v>
      </c>
      <c r="AG224" s="116">
        <f>+-AG13</f>
        <v>-35.842000000000013</v>
      </c>
      <c r="AH224" s="82">
        <f>SUM(AD224:AG224)</f>
        <v>-135.63200000000001</v>
      </c>
      <c r="AI224" s="136">
        <f>+-AI13</f>
        <v>-35.738999999999997</v>
      </c>
      <c r="AJ224" s="135">
        <f>+-AJ13</f>
        <v>-36.75</v>
      </c>
      <c r="AK224" s="135">
        <f t="shared" si="496"/>
        <v>-35.421999999999997</v>
      </c>
      <c r="AL224" s="116">
        <f t="shared" si="496"/>
        <v>-43.00200000000001</v>
      </c>
      <c r="AM224" s="82">
        <f>SUM(AI224:AL224)</f>
        <v>-150.91300000000001</v>
      </c>
      <c r="AN224" s="136">
        <f>+-AN13</f>
        <v>-40.331000000000003</v>
      </c>
      <c r="AO224" s="135">
        <f>+-AO13</f>
        <v>-40.893000000000001</v>
      </c>
      <c r="AP224" s="135">
        <f>+-AP13</f>
        <v>-42.026000000000003</v>
      </c>
      <c r="AQ224" s="116">
        <f>+-AQ13</f>
        <v>-39.179000000000002</v>
      </c>
      <c r="AR224" s="82">
        <f>SUM(AN224:AQ224)</f>
        <v>-162.429</v>
      </c>
      <c r="AS224" s="136">
        <f>+-AS13</f>
        <v>-50.417999999999999</v>
      </c>
      <c r="AT224" s="135">
        <f>+-AT13</f>
        <v>-46.814999999999998</v>
      </c>
      <c r="AU224" s="135">
        <f>+-AU13</f>
        <v>-47.548000000000002</v>
      </c>
      <c r="AV224" s="116">
        <f>+-AV13</f>
        <v>-49.133999999999986</v>
      </c>
      <c r="AW224" s="82">
        <f>SUM(AS224:AV224)</f>
        <v>-193.91499999999999</v>
      </c>
      <c r="AX224" s="136">
        <f>+-AX13</f>
        <v>-53.3670075</v>
      </c>
      <c r="AY224" s="135">
        <f>+-AY13</f>
        <v>-52.381938041266899</v>
      </c>
      <c r="AZ224" s="135">
        <f>+-AZ13</f>
        <v>-54.661391238302649</v>
      </c>
      <c r="BA224" s="116">
        <f>+-BA13</f>
        <v>-56.915200586871741</v>
      </c>
      <c r="BB224" s="82">
        <f>SUM(AX224:BA224)</f>
        <v>-217.3255373664413</v>
      </c>
      <c r="BC224" s="136">
        <f>+-BC13</f>
        <v>-57.120926478515045</v>
      </c>
      <c r="BD224" s="135">
        <f>+-BD13</f>
        <v>-58.777432343902923</v>
      </c>
      <c r="BE224" s="135">
        <f>+-BE13</f>
        <v>-61.235396446711775</v>
      </c>
      <c r="BF224" s="116">
        <f>+-BF13</f>
        <v>-63.666654162119528</v>
      </c>
      <c r="BG224" s="82">
        <f>SUM(BC224:BF224)</f>
        <v>-240.80040943124928</v>
      </c>
      <c r="BH224" s="136">
        <f>+-BH13</f>
        <v>-66.071495661625093</v>
      </c>
      <c r="BI224" s="135">
        <f>+-BI13</f>
        <v>-70.218579987144736</v>
      </c>
      <c r="BJ224" s="135">
        <f>+-BJ13</f>
        <v>-71.384219127492671</v>
      </c>
      <c r="BK224" s="116">
        <f>+-BK13</f>
        <v>-72.537193310522312</v>
      </c>
      <c r="BL224" s="82">
        <f>SUM(BH224:BK224)</f>
        <v>-280.21148808678481</v>
      </c>
      <c r="BM224" s="136">
        <f>+-BM13</f>
        <v>-73.677640144124709</v>
      </c>
      <c r="BN224" s="135">
        <f>+-BN13</f>
        <v>-75.792694079578794</v>
      </c>
      <c r="BO224" s="135">
        <f>+-BO13</f>
        <v>-76.245854265317234</v>
      </c>
      <c r="BP224" s="116">
        <f>+-BP13</f>
        <v>-76.694090753650457</v>
      </c>
      <c r="BQ224" s="82">
        <f>SUM(BM224:BP224)</f>
        <v>-302.41027924267121</v>
      </c>
      <c r="BR224" s="220"/>
      <c r="BS224" s="220"/>
      <c r="BT224" s="220"/>
      <c r="BU224" s="220"/>
      <c r="BV224" s="220"/>
      <c r="BW224" s="220"/>
      <c r="BX224" s="220"/>
      <c r="BY224" s="220"/>
      <c r="BZ224" s="220"/>
      <c r="CA224" s="220"/>
      <c r="CB224" s="220"/>
      <c r="CC224" s="220"/>
      <c r="CD224" s="220"/>
      <c r="CE224" s="220"/>
      <c r="CF224" s="220"/>
      <c r="CG224" s="220"/>
      <c r="CH224" s="220"/>
      <c r="CI224" s="220"/>
      <c r="CJ224" s="220"/>
      <c r="CK224" s="220"/>
      <c r="CL224" s="220"/>
      <c r="CM224" s="220"/>
      <c r="CN224" s="220"/>
      <c r="CO224" s="220"/>
      <c r="CP224" s="220"/>
      <c r="CQ224" s="220"/>
      <c r="CR224" s="220"/>
      <c r="CS224" s="220"/>
      <c r="CT224" s="220"/>
      <c r="CU224" s="220"/>
      <c r="CV224" s="220"/>
      <c r="CW224" s="220"/>
      <c r="CX224" s="220"/>
      <c r="CY224" s="220"/>
      <c r="CZ224" s="220"/>
    </row>
    <row r="225" spans="1:104" x14ac:dyDescent="0.2">
      <c r="A225" s="220"/>
      <c r="B225" s="220"/>
      <c r="C225" s="70" t="s">
        <v>303</v>
      </c>
      <c r="D225" s="82"/>
      <c r="E225" s="136"/>
      <c r="F225" s="135"/>
      <c r="G225" s="135"/>
      <c r="H225" s="116"/>
      <c r="I225" s="82">
        <f>+-I162</f>
        <v>-30.373000000000001</v>
      </c>
      <c r="J225" s="136">
        <f>+-J162</f>
        <v>-10.895</v>
      </c>
      <c r="K225" s="135">
        <f>+-K162</f>
        <v>-7.0339999999999989</v>
      </c>
      <c r="L225" s="135">
        <f>+-L162</f>
        <v>-8.5910000000000011</v>
      </c>
      <c r="M225" s="116">
        <f>+-M162</f>
        <v>1.2079999999999984</v>
      </c>
      <c r="N225" s="82">
        <f>SUM(J225:M225)</f>
        <v>-25.312000000000001</v>
      </c>
      <c r="O225" s="136">
        <f>+-O162</f>
        <v>-5.431</v>
      </c>
      <c r="P225" s="135">
        <f>+-P162</f>
        <v>-14.277999999999999</v>
      </c>
      <c r="Q225" s="135">
        <f>+-Q162</f>
        <v>-36.766999999999996</v>
      </c>
      <c r="R225" s="116">
        <f>+-R162</f>
        <v>0.96799999999999642</v>
      </c>
      <c r="S225" s="82">
        <f>SUM(O225:R225)</f>
        <v>-55.508000000000003</v>
      </c>
      <c r="T225" s="136">
        <f t="shared" ref="T225:AL225" si="497">+-T162</f>
        <v>-12.584</v>
      </c>
      <c r="U225" s="135">
        <f>+-U162</f>
        <v>-13.577999999999999</v>
      </c>
      <c r="V225" s="135">
        <f>+-V162</f>
        <v>-10.438000000000002</v>
      </c>
      <c r="W225" s="116">
        <f t="shared" si="497"/>
        <v>-17.518999999999998</v>
      </c>
      <c r="X225" s="82">
        <f>SUM(T225:W225)</f>
        <v>-54.119</v>
      </c>
      <c r="Y225" s="136">
        <f t="shared" si="497"/>
        <v>-10.433</v>
      </c>
      <c r="Z225" s="135">
        <f t="shared" si="497"/>
        <v>-16.068000000000001</v>
      </c>
      <c r="AA225" s="135">
        <f t="shared" si="497"/>
        <v>-10.330000000000002</v>
      </c>
      <c r="AB225" s="116">
        <f t="shared" si="497"/>
        <v>0.35600000000000165</v>
      </c>
      <c r="AC225" s="82">
        <f>SUM(Y225:AB225)</f>
        <v>-36.475000000000001</v>
      </c>
      <c r="AD225" s="136">
        <f t="shared" si="497"/>
        <v>-22.166</v>
      </c>
      <c r="AE225" s="135">
        <f t="shared" si="497"/>
        <v>-29.511999999999997</v>
      </c>
      <c r="AF225" s="135">
        <f t="shared" si="497"/>
        <v>-36.33</v>
      </c>
      <c r="AG225" s="116">
        <f>+-AG162</f>
        <v>-35.509</v>
      </c>
      <c r="AH225" s="82">
        <f>SUM(AD225:AG225)</f>
        <v>-123.517</v>
      </c>
      <c r="AI225" s="136">
        <f>+-AI162</f>
        <v>-3.617</v>
      </c>
      <c r="AJ225" s="135">
        <f>+-AJ162</f>
        <v>-8.2489999999999988</v>
      </c>
      <c r="AK225" s="135">
        <f t="shared" si="497"/>
        <v>-23.674999999999997</v>
      </c>
      <c r="AL225" s="116">
        <f t="shared" si="497"/>
        <v>-27.295000000000002</v>
      </c>
      <c r="AM225" s="82">
        <f>SUM(AI225:AL225)</f>
        <v>-62.835999999999999</v>
      </c>
      <c r="AN225" s="136">
        <f>+-AN162</f>
        <v>-25.751000000000001</v>
      </c>
      <c r="AO225" s="135">
        <f>+-AO162</f>
        <v>-27.465999999999998</v>
      </c>
      <c r="AP225" s="135">
        <f>+-AP162</f>
        <v>-46.665000000000006</v>
      </c>
      <c r="AQ225" s="116">
        <f>+-AQ162</f>
        <v>-23.100999999999999</v>
      </c>
      <c r="AR225" s="82">
        <f>SUM(AN225:AQ225)</f>
        <v>-122.983</v>
      </c>
      <c r="AS225" s="136">
        <f>+-AS162</f>
        <v>-33.079000000000001</v>
      </c>
      <c r="AT225" s="135">
        <f>+-AT162</f>
        <v>-15.019999999999996</v>
      </c>
      <c r="AU225" s="135">
        <f>+-AU162</f>
        <v>-53.289000000000009</v>
      </c>
      <c r="AV225" s="116">
        <f>+-AV162</f>
        <v>-25.076999999999998</v>
      </c>
      <c r="AW225" s="82">
        <f>SUM(AS225:AV225)</f>
        <v>-126.465</v>
      </c>
      <c r="AX225" s="136">
        <f>+-AX162</f>
        <v>-12.900958450685257</v>
      </c>
      <c r="AY225" s="135">
        <f>+-AY162</f>
        <v>-15.344329659379211</v>
      </c>
      <c r="AZ225" s="135">
        <f>+-AZ162</f>
        <v>-24.017297550012138</v>
      </c>
      <c r="BA225" s="116">
        <f>+-BA162</f>
        <v>-7.0680115370289993</v>
      </c>
      <c r="BB225" s="82">
        <f>SUM(AX225:BA225)</f>
        <v>-59.330597197105611</v>
      </c>
      <c r="BC225" s="136">
        <f>+-BC162</f>
        <v>-16.231650478583877</v>
      </c>
      <c r="BD225" s="135">
        <f>+-BD162</f>
        <v>-18.154336858474128</v>
      </c>
      <c r="BE225" s="135">
        <f>+-BE162</f>
        <v>-27.308864806856754</v>
      </c>
      <c r="BF225" s="116">
        <f>+-BF162</f>
        <v>-9.4090871204804696</v>
      </c>
      <c r="BG225" s="82">
        <f>SUM(BC225:BF225)</f>
        <v>-71.103939264395223</v>
      </c>
      <c r="BH225" s="136">
        <f>+-BH162</f>
        <v>-18.213279787153343</v>
      </c>
      <c r="BI225" s="135">
        <f>+-BI162</f>
        <v>-19.800949477618779</v>
      </c>
      <c r="BJ225" s="135">
        <f>+-BJ162</f>
        <v>-30.988374696835297</v>
      </c>
      <c r="BK225" s="116">
        <f>+-BK162</f>
        <v>-12.090385182643686</v>
      </c>
      <c r="BL225" s="82">
        <f>SUM(BH225:BK225)</f>
        <v>-81.092989144251106</v>
      </c>
      <c r="BM225" s="136">
        <f>+-BM162</f>
        <v>-20.435142749539654</v>
      </c>
      <c r="BN225" s="135">
        <f>+-BN162</f>
        <v>-22.727702623699372</v>
      </c>
      <c r="BO225" s="135">
        <f>+-BO162</f>
        <v>-35.052453602116408</v>
      </c>
      <c r="BP225" s="116">
        <f>+-BP162</f>
        <v>-15.312649980943574</v>
      </c>
      <c r="BQ225" s="82">
        <f>SUM(BM225:BP225)</f>
        <v>-93.527948956299014</v>
      </c>
      <c r="BR225" s="220"/>
      <c r="BS225" s="220"/>
      <c r="BT225" s="220"/>
      <c r="BU225" s="220"/>
      <c r="BV225" s="220"/>
      <c r="BW225" s="220"/>
      <c r="BX225" s="220"/>
      <c r="BY225" s="220"/>
      <c r="BZ225" s="220"/>
      <c r="CA225" s="220"/>
      <c r="CB225" s="220"/>
      <c r="CC225" s="220"/>
      <c r="CD225" s="220"/>
      <c r="CE225" s="220"/>
      <c r="CF225" s="220"/>
      <c r="CG225" s="220"/>
      <c r="CH225" s="220"/>
      <c r="CI225" s="220"/>
      <c r="CJ225" s="220"/>
      <c r="CK225" s="220"/>
      <c r="CL225" s="220"/>
      <c r="CM225" s="220"/>
      <c r="CN225" s="220"/>
      <c r="CO225" s="220"/>
      <c r="CP225" s="220"/>
      <c r="CQ225" s="220"/>
      <c r="CR225" s="220"/>
      <c r="CS225" s="220"/>
      <c r="CT225" s="220"/>
      <c r="CU225" s="220"/>
      <c r="CV225" s="220"/>
      <c r="CW225" s="220"/>
      <c r="CX225" s="220"/>
      <c r="CY225" s="220"/>
      <c r="CZ225" s="220"/>
    </row>
    <row r="226" spans="1:104" x14ac:dyDescent="0.2">
      <c r="A226" s="220"/>
      <c r="B226" s="220"/>
      <c r="C226" s="70" t="s">
        <v>304</v>
      </c>
      <c r="D226" s="82"/>
      <c r="E226" s="136"/>
      <c r="F226" s="135"/>
      <c r="G226" s="135"/>
      <c r="H226" s="116"/>
      <c r="I226" s="34">
        <f>I227-SUM(I222:I225)</f>
        <v>-19.590999999999667</v>
      </c>
      <c r="J226" s="136">
        <f>+N226/4</f>
        <v>-28.555250000000058</v>
      </c>
      <c r="K226" s="135">
        <f>+N226/4</f>
        <v>-28.555250000000058</v>
      </c>
      <c r="L226" s="135">
        <f>+N226/4</f>
        <v>-28.555250000000058</v>
      </c>
      <c r="M226" s="116">
        <f>+N226/4</f>
        <v>-28.555250000000058</v>
      </c>
      <c r="N226" s="34">
        <f>N227-SUM(N222:N225)</f>
        <v>-114.22100000000023</v>
      </c>
      <c r="O226" s="148">
        <v>0</v>
      </c>
      <c r="P226" s="221">
        <v>0</v>
      </c>
      <c r="Q226" s="221">
        <v>0</v>
      </c>
      <c r="R226" s="150">
        <v>0</v>
      </c>
      <c r="S226" s="82">
        <f>SUM(O226:R226)</f>
        <v>0</v>
      </c>
      <c r="T226" s="148">
        <v>0</v>
      </c>
      <c r="U226" s="221">
        <v>0</v>
      </c>
      <c r="V226" s="221">
        <v>0</v>
      </c>
      <c r="W226" s="150">
        <v>0</v>
      </c>
      <c r="X226" s="860">
        <v>91</v>
      </c>
      <c r="Y226" s="148">
        <v>0</v>
      </c>
      <c r="Z226" s="221">
        <v>0</v>
      </c>
      <c r="AA226" s="221">
        <v>0</v>
      </c>
      <c r="AB226" s="150">
        <v>0</v>
      </c>
      <c r="AC226" s="798">
        <v>-370</v>
      </c>
      <c r="AD226" s="148">
        <v>0</v>
      </c>
      <c r="AE226" s="221">
        <v>0</v>
      </c>
      <c r="AF226" s="221">
        <v>0</v>
      </c>
      <c r="AG226" s="150">
        <v>0</v>
      </c>
      <c r="AH226" s="860">
        <v>180</v>
      </c>
      <c r="AI226" s="148">
        <v>0</v>
      </c>
      <c r="AJ226" s="221">
        <v>0</v>
      </c>
      <c r="AK226" s="221">
        <v>0</v>
      </c>
      <c r="AL226" s="150">
        <v>0</v>
      </c>
      <c r="AM226" s="910">
        <v>167</v>
      </c>
      <c r="AN226" s="148">
        <f>AR226/4</f>
        <v>-10.25</v>
      </c>
      <c r="AO226" s="883">
        <f>AR226/4</f>
        <v>-10.25</v>
      </c>
      <c r="AP226" s="883">
        <f>AR226/4</f>
        <v>-10.25</v>
      </c>
      <c r="AQ226" s="849">
        <f>AR226/4</f>
        <v>-10.25</v>
      </c>
      <c r="AR226" s="910">
        <v>-41</v>
      </c>
      <c r="AS226" s="867">
        <f>AW226/4</f>
        <v>44.25</v>
      </c>
      <c r="AT226" s="883">
        <f>AW226/4</f>
        <v>44.25</v>
      </c>
      <c r="AU226" s="883">
        <f>AW226/4</f>
        <v>44.25</v>
      </c>
      <c r="AV226" s="849">
        <f>AW226/4</f>
        <v>44.25</v>
      </c>
      <c r="AW226" s="860">
        <v>177</v>
      </c>
      <c r="AX226" s="867">
        <f>BB226/4</f>
        <v>-69.5</v>
      </c>
      <c r="AY226" s="883">
        <f>BB226/4</f>
        <v>-69.5</v>
      </c>
      <c r="AZ226" s="883">
        <f>BB226/4</f>
        <v>-69.5</v>
      </c>
      <c r="BA226" s="849">
        <f>BB226/4</f>
        <v>-69.5</v>
      </c>
      <c r="BB226" s="860">
        <v>-278</v>
      </c>
      <c r="BC226" s="867">
        <f>BG226/4</f>
        <v>-74.75</v>
      </c>
      <c r="BD226" s="883">
        <f>BG226/4</f>
        <v>-74.75</v>
      </c>
      <c r="BE226" s="883">
        <f>BG226/4</f>
        <v>-74.75</v>
      </c>
      <c r="BF226" s="849">
        <f>BG226/4</f>
        <v>-74.75</v>
      </c>
      <c r="BG226" s="860">
        <v>-299</v>
      </c>
      <c r="BH226" s="867">
        <f>BL226/4</f>
        <v>60.75</v>
      </c>
      <c r="BI226" s="883">
        <f>BL226/4</f>
        <v>60.75</v>
      </c>
      <c r="BJ226" s="883">
        <f>BL226/4</f>
        <v>60.75</v>
      </c>
      <c r="BK226" s="849">
        <f>BL226/4</f>
        <v>60.75</v>
      </c>
      <c r="BL226" s="860">
        <v>243</v>
      </c>
      <c r="BM226" s="867">
        <f>BQ226/4</f>
        <v>148.25</v>
      </c>
      <c r="BN226" s="883">
        <f>BQ226/4</f>
        <v>148.25</v>
      </c>
      <c r="BO226" s="883">
        <f>BQ226/4</f>
        <v>148.25</v>
      </c>
      <c r="BP226" s="849">
        <f>BQ226/4</f>
        <v>148.25</v>
      </c>
      <c r="BQ226" s="860">
        <v>593</v>
      </c>
      <c r="BR226" s="34"/>
      <c r="BS226" s="220"/>
      <c r="BT226" s="220"/>
      <c r="BU226" s="220"/>
      <c r="BV226" s="220"/>
      <c r="BW226" s="220"/>
      <c r="BX226" s="220"/>
      <c r="BY226" s="220"/>
      <c r="BZ226" s="220"/>
      <c r="CA226" s="220"/>
      <c r="CB226" s="220"/>
      <c r="CC226" s="220"/>
      <c r="CD226" s="220"/>
      <c r="CE226" s="220"/>
      <c r="CF226" s="220"/>
      <c r="CG226" s="220"/>
      <c r="CH226" s="220"/>
      <c r="CI226" s="220"/>
      <c r="CJ226" s="220"/>
      <c r="CK226" s="220"/>
      <c r="CL226" s="220"/>
      <c r="CM226" s="220"/>
      <c r="CN226" s="220"/>
      <c r="CO226" s="220"/>
      <c r="CP226" s="220"/>
      <c r="CQ226" s="220"/>
      <c r="CR226" s="220"/>
      <c r="CS226" s="220"/>
      <c r="CT226" s="220"/>
      <c r="CU226" s="220"/>
      <c r="CV226" s="220"/>
      <c r="CW226" s="220"/>
      <c r="CX226" s="220"/>
      <c r="CY226" s="220"/>
      <c r="CZ226" s="220"/>
    </row>
    <row r="227" spans="1:104" x14ac:dyDescent="0.2">
      <c r="A227" s="220"/>
      <c r="B227" s="220"/>
      <c r="C227" s="141" t="s">
        <v>305</v>
      </c>
      <c r="D227" s="82"/>
      <c r="E227" s="121"/>
      <c r="F227" s="122"/>
      <c r="G227" s="122"/>
      <c r="H227" s="123"/>
      <c r="I227" s="237">
        <f>918+303+0.37*1095</f>
        <v>1626.15</v>
      </c>
      <c r="J227" s="121">
        <f>SUM(J222:J226)</f>
        <v>1608.3267499999999</v>
      </c>
      <c r="K227" s="122">
        <f>SUM(K222:K226)</f>
        <v>1611.1294999999998</v>
      </c>
      <c r="L227" s="122">
        <f>SUM(L222:L226)</f>
        <v>1632.6082499999998</v>
      </c>
      <c r="M227" s="123">
        <f>SUM(M222:M226)</f>
        <v>1692.0899999999997</v>
      </c>
      <c r="N227" s="237">
        <f>983+318+0.37*1057</f>
        <v>1692.09</v>
      </c>
      <c r="O227" s="121">
        <f>SUM(O222:O226)</f>
        <v>1751.511</v>
      </c>
      <c r="P227" s="122">
        <f>SUM(P222:P226)</f>
        <v>1782.8489999999999</v>
      </c>
      <c r="Q227" s="122">
        <f>SUM(Q222:Q226)</f>
        <v>1780.8889999999999</v>
      </c>
      <c r="R227" s="123">
        <f t="shared" ref="R227:AL227" si="498">SUM(R222:R226)</f>
        <v>1837.8309999999999</v>
      </c>
      <c r="S227" s="86">
        <f t="shared" si="498"/>
        <v>1837.8309999999999</v>
      </c>
      <c r="T227" s="121">
        <f>SUM(T222:T226)</f>
        <v>1883.4309999999998</v>
      </c>
      <c r="U227" s="122">
        <f>SUM(U222:U226)</f>
        <v>1940.4829999999997</v>
      </c>
      <c r="V227" s="122">
        <f>SUM(V222:V226)</f>
        <v>1991.6989999999996</v>
      </c>
      <c r="W227" s="123">
        <f t="shared" si="498"/>
        <v>2054.5949999999998</v>
      </c>
      <c r="X227" s="86">
        <f t="shared" si="498"/>
        <v>2145.5949999999998</v>
      </c>
      <c r="Y227" s="121">
        <f t="shared" si="498"/>
        <v>2211.3330000000001</v>
      </c>
      <c r="Z227" s="122">
        <f t="shared" si="498"/>
        <v>2312.143</v>
      </c>
      <c r="AA227" s="122">
        <f t="shared" si="498"/>
        <v>2440.6240000000003</v>
      </c>
      <c r="AB227" s="123">
        <f t="shared" si="498"/>
        <v>2571.9490000000005</v>
      </c>
      <c r="AC227" s="86">
        <f t="shared" si="498"/>
        <v>2201.9489999999996</v>
      </c>
      <c r="AD227" s="121">
        <f t="shared" si="498"/>
        <v>2286.9079999999994</v>
      </c>
      <c r="AE227" s="122">
        <f t="shared" si="498"/>
        <v>2366.0859999999993</v>
      </c>
      <c r="AF227" s="122">
        <f t="shared" si="498"/>
        <v>2427.1269999999995</v>
      </c>
      <c r="AG227" s="123">
        <f>SUM(AG222:AG226)</f>
        <v>2497.7359999999994</v>
      </c>
      <c r="AH227" s="86">
        <f t="shared" si="498"/>
        <v>2677.7359999999999</v>
      </c>
      <c r="AI227" s="121">
        <f>SUM(AI222:AI226)</f>
        <v>2765.0019999999995</v>
      </c>
      <c r="AJ227" s="122">
        <f>SUM(AJ222:AJ226)</f>
        <v>2873.9959999999996</v>
      </c>
      <c r="AK227" s="122">
        <f t="shared" si="498"/>
        <v>2963.2749999999992</v>
      </c>
      <c r="AL227" s="123">
        <f t="shared" si="498"/>
        <v>3063.4979999999991</v>
      </c>
      <c r="AM227" s="86">
        <f t="shared" ref="AM227:AR227" si="499">SUM(AM222:AM226)</f>
        <v>3230.498</v>
      </c>
      <c r="AN227" s="121">
        <f>SUM(AN222:AN226)</f>
        <v>3289.8859999999995</v>
      </c>
      <c r="AO227" s="122">
        <f t="shared" si="499"/>
        <v>3339.2099999999996</v>
      </c>
      <c r="AP227" s="122">
        <f t="shared" si="499"/>
        <v>3348.6099999999997</v>
      </c>
      <c r="AQ227" s="123">
        <f t="shared" si="499"/>
        <v>3416.6079999999997</v>
      </c>
      <c r="AR227" s="86">
        <f t="shared" si="499"/>
        <v>3416.6079999999997</v>
      </c>
      <c r="AS227" s="121">
        <f t="shared" ref="AS227:BB227" si="500">SUM(AS222:AS226)</f>
        <v>3519.9199999999996</v>
      </c>
      <c r="AT227" s="122">
        <f t="shared" si="500"/>
        <v>3639.6939999999995</v>
      </c>
      <c r="AU227" s="122">
        <f t="shared" si="500"/>
        <v>3704.1459999999993</v>
      </c>
      <c r="AV227" s="123">
        <f t="shared" si="500"/>
        <v>3833.0929999999989</v>
      </c>
      <c r="AW227" s="86">
        <f t="shared" si="500"/>
        <v>3833.0929999999998</v>
      </c>
      <c r="AX227" s="121">
        <f t="shared" si="500"/>
        <v>3952.3250340493146</v>
      </c>
      <c r="AY227" s="122">
        <f t="shared" si="500"/>
        <v>4070.0987663486676</v>
      </c>
      <c r="AZ227" s="122">
        <f t="shared" si="500"/>
        <v>4176.9200775603531</v>
      </c>
      <c r="BA227" s="123">
        <f t="shared" si="500"/>
        <v>4298.4368654364525</v>
      </c>
      <c r="BB227" s="86">
        <f t="shared" si="500"/>
        <v>4298.4368654364525</v>
      </c>
      <c r="BC227" s="121">
        <f t="shared" ref="BC227:BL227" si="501">SUM(BC222:BC226)</f>
        <v>4435.3342884793537</v>
      </c>
      <c r="BD227" s="122">
        <f t="shared" si="501"/>
        <v>4568.6525192769768</v>
      </c>
      <c r="BE227" s="122">
        <f t="shared" si="501"/>
        <v>4690.3582580234079</v>
      </c>
      <c r="BF227" s="123">
        <f t="shared" si="501"/>
        <v>4827.5325167408073</v>
      </c>
      <c r="BG227" s="86">
        <f t="shared" si="501"/>
        <v>4827.5325167408082</v>
      </c>
      <c r="BH227" s="121">
        <f t="shared" si="501"/>
        <v>4981.4977412920298</v>
      </c>
      <c r="BI227" s="122">
        <f t="shared" si="501"/>
        <v>5129.728211827266</v>
      </c>
      <c r="BJ227" s="122">
        <f t="shared" si="501"/>
        <v>5265.6056180029382</v>
      </c>
      <c r="BK227" s="123">
        <f t="shared" si="501"/>
        <v>5419.2280395097723</v>
      </c>
      <c r="BL227" s="86">
        <f t="shared" si="501"/>
        <v>5419.2280395097723</v>
      </c>
      <c r="BM227" s="121">
        <f t="shared" ref="BM227:BQ227" si="502">SUM(BM222:BM226)</f>
        <v>5590.8652566161081</v>
      </c>
      <c r="BN227" s="122">
        <f t="shared" si="502"/>
        <v>5758.0948599128296</v>
      </c>
      <c r="BO227" s="122">
        <f t="shared" si="502"/>
        <v>5912.5465520453954</v>
      </c>
      <c r="BP227" s="123">
        <f t="shared" si="502"/>
        <v>6086.2898113108022</v>
      </c>
      <c r="BQ227" s="86">
        <f t="shared" si="502"/>
        <v>6086.2898113108022</v>
      </c>
      <c r="BR227" s="220"/>
      <c r="BS227" s="220"/>
      <c r="BT227" s="220"/>
      <c r="BU227" s="220"/>
      <c r="BV227" s="220"/>
      <c r="BW227" s="220"/>
      <c r="BX227" s="220"/>
      <c r="BY227" s="220"/>
      <c r="BZ227" s="220"/>
      <c r="CA227" s="220"/>
      <c r="CB227" s="220"/>
      <c r="CC227" s="220"/>
      <c r="CD227" s="220"/>
      <c r="CE227" s="220"/>
      <c r="CF227" s="220"/>
      <c r="CG227" s="220"/>
      <c r="CH227" s="220"/>
      <c r="CI227" s="220"/>
      <c r="CJ227" s="220"/>
      <c r="CK227" s="220"/>
      <c r="CL227" s="220"/>
      <c r="CM227" s="220"/>
      <c r="CN227" s="220"/>
      <c r="CO227" s="220"/>
      <c r="CP227" s="220"/>
      <c r="CQ227" s="220"/>
      <c r="CR227" s="220"/>
      <c r="CS227" s="220"/>
      <c r="CT227" s="220"/>
      <c r="CU227" s="220"/>
      <c r="CV227" s="220"/>
      <c r="CW227" s="220"/>
      <c r="CX227" s="220"/>
      <c r="CY227" s="220"/>
      <c r="CZ227" s="220"/>
    </row>
    <row r="228" spans="1:104" x14ac:dyDescent="0.2">
      <c r="A228" s="220"/>
      <c r="B228" s="220"/>
      <c r="C228" s="220"/>
      <c r="D228" s="220"/>
      <c r="E228" s="136"/>
      <c r="F228" s="137"/>
      <c r="G228" s="137"/>
      <c r="H228" s="116"/>
      <c r="I228" s="82"/>
      <c r="J228" s="136"/>
      <c r="K228" s="137"/>
      <c r="L228" s="137"/>
      <c r="M228" s="116"/>
      <c r="N228" s="82"/>
      <c r="O228" s="136"/>
      <c r="P228" s="137"/>
      <c r="Q228" s="137"/>
      <c r="R228" s="116"/>
      <c r="S228" s="82"/>
      <c r="T228" s="136"/>
      <c r="U228" s="137"/>
      <c r="V228" s="137"/>
      <c r="W228" s="116"/>
      <c r="X228" s="82"/>
      <c r="Y228" s="136"/>
      <c r="Z228" s="137"/>
      <c r="AA228" s="137"/>
      <c r="AB228" s="116"/>
      <c r="AC228" s="82"/>
      <c r="AD228" s="136"/>
      <c r="AE228" s="137"/>
      <c r="AF228" s="137"/>
      <c r="AG228" s="116"/>
      <c r="AH228" s="82"/>
      <c r="AI228" s="136"/>
      <c r="AJ228" s="137"/>
      <c r="AK228" s="137"/>
      <c r="AL228" s="116"/>
      <c r="AM228" s="220"/>
      <c r="AN228" s="136"/>
      <c r="AO228" s="137"/>
      <c r="AP228" s="137"/>
      <c r="AQ228" s="116"/>
      <c r="AR228" s="220"/>
      <c r="AS228" s="136"/>
      <c r="AT228" s="137"/>
      <c r="AU228" s="137"/>
      <c r="AV228" s="116"/>
      <c r="AW228" s="220"/>
      <c r="AX228" s="136"/>
      <c r="AY228" s="137"/>
      <c r="AZ228" s="137"/>
      <c r="BA228" s="116"/>
      <c r="BB228" s="220"/>
      <c r="BC228" s="136"/>
      <c r="BD228" s="137"/>
      <c r="BE228" s="137"/>
      <c r="BF228" s="116"/>
      <c r="BG228" s="220"/>
      <c r="BH228" s="136"/>
      <c r="BI228" s="137"/>
      <c r="BJ228" s="137"/>
      <c r="BK228" s="116"/>
      <c r="BL228" s="220"/>
      <c r="BM228" s="136"/>
      <c r="BN228" s="137"/>
      <c r="BO228" s="137"/>
      <c r="BP228" s="116"/>
      <c r="BQ228" s="220"/>
      <c r="BR228" s="220"/>
      <c r="BS228" s="220"/>
      <c r="BT228" s="220"/>
      <c r="BU228" s="220"/>
      <c r="BV228" s="220"/>
      <c r="BW228" s="220"/>
      <c r="BX228" s="220"/>
      <c r="BY228" s="220"/>
      <c r="BZ228" s="220"/>
      <c r="CA228" s="220"/>
      <c r="CB228" s="220"/>
      <c r="CC228" s="220"/>
      <c r="CD228" s="220"/>
      <c r="CE228" s="220"/>
      <c r="CF228" s="220"/>
      <c r="CG228" s="220"/>
      <c r="CH228" s="220"/>
      <c r="CI228" s="220"/>
      <c r="CJ228" s="220"/>
      <c r="CK228" s="220"/>
      <c r="CL228" s="220"/>
      <c r="CM228" s="220"/>
      <c r="CN228" s="220"/>
      <c r="CO228" s="220"/>
      <c r="CP228" s="220"/>
      <c r="CQ228" s="220"/>
      <c r="CR228" s="220"/>
      <c r="CS228" s="220"/>
      <c r="CT228" s="220"/>
      <c r="CU228" s="220"/>
      <c r="CV228" s="220"/>
      <c r="CW228" s="220"/>
      <c r="CX228" s="220"/>
      <c r="CY228" s="220"/>
      <c r="CZ228" s="220"/>
    </row>
    <row r="229" spans="1:104" x14ac:dyDescent="0.2">
      <c r="A229" s="220"/>
      <c r="B229" s="220"/>
      <c r="C229" s="141" t="s">
        <v>517</v>
      </c>
      <c r="D229" s="220"/>
      <c r="E229" s="136"/>
      <c r="F229" s="137"/>
      <c r="G229" s="137"/>
      <c r="H229" s="116"/>
      <c r="I229" s="86">
        <f>AVERAGE(I227,I222)</f>
        <v>1597.5</v>
      </c>
      <c r="J229" s="136"/>
      <c r="K229" s="137"/>
      <c r="L229" s="137"/>
      <c r="M229" s="116"/>
      <c r="N229" s="86">
        <f>AVERAGE(N227,N222)</f>
        <v>1659.12</v>
      </c>
      <c r="O229" s="136"/>
      <c r="P229" s="137"/>
      <c r="Q229" s="137"/>
      <c r="R229" s="116"/>
      <c r="S229" s="86">
        <f>AVERAGE(S227,S222)</f>
        <v>1764.9604999999999</v>
      </c>
      <c r="T229" s="136"/>
      <c r="U229" s="137"/>
      <c r="V229" s="137"/>
      <c r="W229" s="116"/>
      <c r="X229" s="86">
        <f>AVERAGE(X227,X222)</f>
        <v>1991.7129999999997</v>
      </c>
      <c r="Y229" s="136"/>
      <c r="Z229" s="137"/>
      <c r="AA229" s="137"/>
      <c r="AB229" s="116"/>
      <c r="AC229" s="86">
        <f>AVERAGE(AC227,AC222)</f>
        <v>2173.7719999999999</v>
      </c>
      <c r="AD229" s="136"/>
      <c r="AE229" s="137"/>
      <c r="AF229" s="137"/>
      <c r="AG229" s="116"/>
      <c r="AH229" s="86">
        <f>AVERAGE(AH227,AH222)</f>
        <v>2439.8424999999997</v>
      </c>
      <c r="AI229" s="136"/>
      <c r="AJ229" s="137"/>
      <c r="AK229" s="137"/>
      <c r="AL229" s="116"/>
      <c r="AM229" s="86">
        <f>AVERAGE(AM227,AM222)</f>
        <v>2954.1170000000002</v>
      </c>
      <c r="AN229" s="136"/>
      <c r="AO229" s="137"/>
      <c r="AP229" s="137"/>
      <c r="AQ229" s="116"/>
      <c r="AR229" s="86">
        <f>AVERAGE(AR227,AR222)</f>
        <v>3323.5529999999999</v>
      </c>
      <c r="AS229" s="136"/>
      <c r="AT229" s="137"/>
      <c r="AU229" s="137"/>
      <c r="AV229" s="116"/>
      <c r="AW229" s="86">
        <f>AVERAGE(AW227,AW222)</f>
        <v>3624.8504999999996</v>
      </c>
      <c r="AX229" s="136"/>
      <c r="AY229" s="137"/>
      <c r="AZ229" s="137"/>
      <c r="BA229" s="116"/>
      <c r="BB229" s="86">
        <f>AVERAGE(BB227,BB222)</f>
        <v>4065.7649327182262</v>
      </c>
      <c r="BC229" s="136"/>
      <c r="BD229" s="137"/>
      <c r="BE229" s="137"/>
      <c r="BF229" s="116"/>
      <c r="BG229" s="86">
        <f>AVERAGE(BG227,BG222)</f>
        <v>4562.9846910886299</v>
      </c>
      <c r="BH229" s="136"/>
      <c r="BI229" s="137"/>
      <c r="BJ229" s="137"/>
      <c r="BK229" s="116"/>
      <c r="BL229" s="86">
        <f>AVERAGE(BL227,BL222)</f>
        <v>5123.3802781252907</v>
      </c>
      <c r="BM229" s="136"/>
      <c r="BN229" s="137"/>
      <c r="BO229" s="137"/>
      <c r="BP229" s="116"/>
      <c r="BQ229" s="86">
        <f>AVERAGE(BQ227,BQ222)</f>
        <v>5752.7589254102877</v>
      </c>
      <c r="BR229" s="220"/>
      <c r="BS229" s="220"/>
      <c r="BT229" s="220"/>
      <c r="BU229" s="220"/>
      <c r="BV229" s="220"/>
      <c r="BW229" s="220"/>
      <c r="BX229" s="220"/>
      <c r="BY229" s="220"/>
      <c r="BZ229" s="220"/>
      <c r="CA229" s="220"/>
      <c r="CB229" s="220"/>
      <c r="CC229" s="220"/>
      <c r="CD229" s="220"/>
      <c r="CE229" s="220"/>
      <c r="CF229" s="220"/>
      <c r="CG229" s="220"/>
      <c r="CH229" s="220"/>
      <c r="CI229" s="220"/>
      <c r="CJ229" s="220"/>
      <c r="CK229" s="220"/>
      <c r="CL229" s="220"/>
      <c r="CM229" s="220"/>
      <c r="CN229" s="220"/>
      <c r="CO229" s="220"/>
      <c r="CP229" s="220"/>
      <c r="CQ229" s="220"/>
      <c r="CR229" s="220"/>
      <c r="CS229" s="220"/>
      <c r="CT229" s="220"/>
      <c r="CU229" s="220"/>
      <c r="CV229" s="220"/>
      <c r="CW229" s="220"/>
      <c r="CX229" s="220"/>
      <c r="CY229" s="220"/>
      <c r="CZ229" s="220"/>
    </row>
    <row r="230" spans="1:104" x14ac:dyDescent="0.2">
      <c r="A230" s="220"/>
      <c r="B230" s="220"/>
      <c r="C230" s="1001" t="s">
        <v>679</v>
      </c>
      <c r="D230" s="220"/>
      <c r="E230" s="136"/>
      <c r="F230" s="137"/>
      <c r="G230" s="137"/>
      <c r="H230" s="116"/>
      <c r="I230" s="86"/>
      <c r="J230" s="136"/>
      <c r="K230" s="137"/>
      <c r="L230" s="137"/>
      <c r="M230" s="116"/>
      <c r="N230" s="86"/>
      <c r="O230" s="136"/>
      <c r="P230" s="137"/>
      <c r="Q230" s="137"/>
      <c r="R230" s="116"/>
      <c r="S230" s="86"/>
      <c r="T230" s="136"/>
      <c r="U230" s="137"/>
      <c r="V230" s="137"/>
      <c r="W230" s="116"/>
      <c r="X230" s="86"/>
      <c r="Y230" s="136"/>
      <c r="Z230" s="137"/>
      <c r="AA230" s="137"/>
      <c r="AB230" s="116"/>
      <c r="AC230" s="86"/>
      <c r="AD230" s="136"/>
      <c r="AE230" s="137"/>
      <c r="AF230" s="137"/>
      <c r="AG230" s="116"/>
      <c r="AH230" s="86"/>
      <c r="AI230" s="136"/>
      <c r="AJ230" s="137"/>
      <c r="AK230" s="137"/>
      <c r="AL230" s="116"/>
      <c r="AM230" s="86"/>
      <c r="AN230" s="136"/>
      <c r="AO230" s="137"/>
      <c r="AP230" s="137"/>
      <c r="AQ230" s="116"/>
      <c r="AR230" s="86"/>
      <c r="AS230" s="136"/>
      <c r="AT230" s="137"/>
      <c r="AU230" s="137"/>
      <c r="AV230" s="116"/>
      <c r="AW230" s="859">
        <f>AR227*1.122</f>
        <v>3833.4341760000002</v>
      </c>
      <c r="AX230" s="136"/>
      <c r="AY230" s="137"/>
      <c r="AZ230" s="137"/>
      <c r="BA230" s="116"/>
      <c r="BB230" s="859">
        <f>AW230*1.122</f>
        <v>4301.1131454720007</v>
      </c>
      <c r="BC230" s="136"/>
      <c r="BD230" s="137"/>
      <c r="BE230" s="137"/>
      <c r="BF230" s="116"/>
      <c r="BG230" s="859">
        <f>BB230*1.122</f>
        <v>4825.8489492195849</v>
      </c>
      <c r="BH230" s="136"/>
      <c r="BI230" s="137"/>
      <c r="BJ230" s="137"/>
      <c r="BK230" s="116"/>
      <c r="BL230" s="859">
        <f>BG230*1.122</f>
        <v>5414.6025210243752</v>
      </c>
      <c r="BM230" s="136"/>
      <c r="BN230" s="137"/>
      <c r="BO230" s="137"/>
      <c r="BP230" s="116"/>
      <c r="BQ230" s="859">
        <f>BL230*1.122</f>
        <v>6075.1840285893495</v>
      </c>
      <c r="BR230" s="220"/>
      <c r="BS230" s="220"/>
      <c r="BT230" s="220"/>
      <c r="BU230" s="220"/>
      <c r="BV230" s="220"/>
      <c r="BW230" s="220"/>
      <c r="BX230" s="220"/>
      <c r="BY230" s="220"/>
      <c r="BZ230" s="220"/>
      <c r="CA230" s="220"/>
      <c r="CB230" s="220"/>
      <c r="CC230" s="220"/>
      <c r="CD230" s="220"/>
      <c r="CE230" s="220"/>
      <c r="CF230" s="220"/>
      <c r="CG230" s="220"/>
      <c r="CH230" s="220"/>
      <c r="CI230" s="220"/>
      <c r="CJ230" s="220"/>
      <c r="CK230" s="220"/>
      <c r="CL230" s="220"/>
      <c r="CM230" s="220"/>
      <c r="CN230" s="220"/>
      <c r="CO230" s="220"/>
      <c r="CP230" s="220"/>
      <c r="CQ230" s="220"/>
      <c r="CR230" s="220"/>
      <c r="CS230" s="220"/>
      <c r="CT230" s="220"/>
      <c r="CU230" s="220"/>
      <c r="CV230" s="220"/>
      <c r="CW230" s="220"/>
      <c r="CX230" s="220"/>
      <c r="CY230" s="220"/>
      <c r="CZ230" s="220"/>
    </row>
    <row r="231" spans="1:104" x14ac:dyDescent="0.2">
      <c r="A231" s="220"/>
      <c r="B231" s="220"/>
      <c r="C231" s="220"/>
      <c r="D231" s="220"/>
      <c r="E231" s="136"/>
      <c r="F231" s="137"/>
      <c r="G231" s="137"/>
      <c r="H231" s="116"/>
      <c r="I231" s="82"/>
      <c r="J231" s="136"/>
      <c r="K231" s="137"/>
      <c r="L231" s="137"/>
      <c r="M231" s="116"/>
      <c r="N231" s="82"/>
      <c r="O231" s="136"/>
      <c r="P231" s="137"/>
      <c r="Q231" s="137"/>
      <c r="R231" s="116"/>
      <c r="S231" s="82"/>
      <c r="T231" s="136"/>
      <c r="U231" s="137"/>
      <c r="V231" s="137"/>
      <c r="W231" s="116"/>
      <c r="X231" s="82"/>
      <c r="Y231" s="136"/>
      <c r="Z231" s="137"/>
      <c r="AA231" s="137"/>
      <c r="AB231" s="116"/>
      <c r="AC231" s="82"/>
      <c r="AD231" s="136"/>
      <c r="AE231" s="137"/>
      <c r="AF231" s="137"/>
      <c r="AG231" s="116"/>
      <c r="AH231" s="82"/>
      <c r="AI231" s="136"/>
      <c r="AJ231" s="137"/>
      <c r="AK231" s="137"/>
      <c r="AL231" s="116"/>
      <c r="AM231" s="220"/>
      <c r="AN231" s="136"/>
      <c r="AO231" s="137"/>
      <c r="AP231" s="137"/>
      <c r="AQ231" s="116"/>
      <c r="AR231" s="220"/>
      <c r="AS231" s="136"/>
      <c r="AT231" s="137"/>
      <c r="AU231" s="137"/>
      <c r="AV231" s="116"/>
      <c r="AW231" s="220"/>
      <c r="AX231" s="136"/>
      <c r="AY231" s="137"/>
      <c r="AZ231" s="137"/>
      <c r="BA231" s="116"/>
      <c r="BB231" s="220"/>
      <c r="BC231" s="136"/>
      <c r="BD231" s="137"/>
      <c r="BE231" s="137"/>
      <c r="BF231" s="116"/>
      <c r="BG231" s="220"/>
      <c r="BH231" s="136"/>
      <c r="BI231" s="137"/>
      <c r="BJ231" s="137"/>
      <c r="BK231" s="116"/>
      <c r="BL231" s="220"/>
      <c r="BM231" s="136"/>
      <c r="BN231" s="137"/>
      <c r="BO231" s="137"/>
      <c r="BP231" s="116"/>
      <c r="BQ231" s="220"/>
      <c r="BR231" s="220"/>
      <c r="BS231" s="220"/>
      <c r="BT231" s="220"/>
      <c r="BU231" s="220"/>
      <c r="BV231" s="220"/>
      <c r="BW231" s="220"/>
      <c r="BX231" s="220"/>
      <c r="BY231" s="220"/>
      <c r="BZ231" s="220"/>
      <c r="CA231" s="220"/>
      <c r="CB231" s="220"/>
      <c r="CC231" s="220"/>
      <c r="CD231" s="220"/>
      <c r="CE231" s="220"/>
      <c r="CF231" s="220"/>
      <c r="CG231" s="220"/>
      <c r="CH231" s="220"/>
      <c r="CI231" s="220"/>
      <c r="CJ231" s="220"/>
      <c r="CK231" s="220"/>
      <c r="CL231" s="220"/>
      <c r="CM231" s="220"/>
      <c r="CN231" s="220"/>
      <c r="CO231" s="220"/>
      <c r="CP231" s="220"/>
      <c r="CQ231" s="220"/>
      <c r="CR231" s="220"/>
      <c r="CS231" s="220"/>
      <c r="CT231" s="220"/>
      <c r="CU231" s="220"/>
      <c r="CV231" s="220"/>
      <c r="CW231" s="220"/>
      <c r="CX231" s="220"/>
      <c r="CY231" s="220"/>
      <c r="CZ231" s="220"/>
    </row>
    <row r="232" spans="1:104" x14ac:dyDescent="0.2">
      <c r="A232" s="220"/>
      <c r="B232" s="220"/>
      <c r="C232" s="141" t="s">
        <v>306</v>
      </c>
      <c r="D232" s="82"/>
      <c r="E232" s="136"/>
      <c r="F232" s="137"/>
      <c r="G232" s="137"/>
      <c r="H232" s="116"/>
      <c r="I232" s="82"/>
      <c r="J232" s="136"/>
      <c r="K232" s="137"/>
      <c r="L232" s="137"/>
      <c r="M232" s="116"/>
      <c r="N232" s="82"/>
      <c r="O232" s="136"/>
      <c r="P232" s="137"/>
      <c r="Q232" s="137"/>
      <c r="R232" s="116"/>
      <c r="S232" s="82"/>
      <c r="T232" s="136"/>
      <c r="U232" s="137"/>
      <c r="V232" s="137"/>
      <c r="W232" s="116"/>
      <c r="X232" s="82"/>
      <c r="Y232" s="136"/>
      <c r="Z232" s="137"/>
      <c r="AA232" s="137"/>
      <c r="AB232" s="116"/>
      <c r="AC232" s="82"/>
      <c r="AD232" s="136"/>
      <c r="AE232" s="137"/>
      <c r="AF232" s="137"/>
      <c r="AG232" s="116"/>
      <c r="AH232" s="82"/>
      <c r="AI232" s="136"/>
      <c r="AJ232" s="137"/>
      <c r="AK232" s="137"/>
      <c r="AL232" s="116"/>
      <c r="AM232" s="220"/>
      <c r="AN232" s="136"/>
      <c r="AO232" s="137"/>
      <c r="AP232" s="137"/>
      <c r="AQ232" s="116"/>
      <c r="AR232" s="220"/>
      <c r="AS232" s="136"/>
      <c r="AT232" s="137"/>
      <c r="AU232" s="137"/>
      <c r="AV232" s="116"/>
      <c r="AW232" s="220"/>
      <c r="AX232" s="136"/>
      <c r="AY232" s="137"/>
      <c r="AZ232" s="137"/>
      <c r="BA232" s="116"/>
      <c r="BB232" s="220"/>
      <c r="BC232" s="136"/>
      <c r="BD232" s="137"/>
      <c r="BE232" s="137"/>
      <c r="BF232" s="116"/>
      <c r="BG232" s="220"/>
      <c r="BH232" s="136"/>
      <c r="BI232" s="137"/>
      <c r="BJ232" s="137"/>
      <c r="BK232" s="116"/>
      <c r="BL232" s="220"/>
      <c r="BM232" s="136"/>
      <c r="BN232" s="137"/>
      <c r="BO232" s="137"/>
      <c r="BP232" s="116"/>
      <c r="BQ232" s="220"/>
      <c r="BR232" s="220"/>
      <c r="BS232" s="220"/>
      <c r="BT232" s="220"/>
      <c r="BU232" s="220"/>
      <c r="BV232" s="220"/>
      <c r="BW232" s="220"/>
      <c r="BX232" s="220"/>
      <c r="BY232" s="220"/>
      <c r="BZ232" s="220"/>
      <c r="CA232" s="220"/>
      <c r="CB232" s="220"/>
      <c r="CC232" s="220"/>
      <c r="CD232" s="220"/>
      <c r="CE232" s="220"/>
      <c r="CF232" s="220"/>
      <c r="CG232" s="220"/>
      <c r="CH232" s="220"/>
      <c r="CI232" s="220"/>
      <c r="CJ232" s="220"/>
      <c r="CK232" s="220"/>
      <c r="CL232" s="220"/>
      <c r="CM232" s="220"/>
      <c r="CN232" s="220"/>
      <c r="CO232" s="220"/>
      <c r="CP232" s="220"/>
      <c r="CQ232" s="220"/>
      <c r="CR232" s="220"/>
      <c r="CS232" s="220"/>
      <c r="CT232" s="220"/>
      <c r="CU232" s="220"/>
      <c r="CV232" s="220"/>
      <c r="CW232" s="220"/>
      <c r="CX232" s="220"/>
      <c r="CY232" s="220"/>
      <c r="CZ232" s="220"/>
    </row>
    <row r="233" spans="1:104" x14ac:dyDescent="0.2">
      <c r="A233" s="289"/>
      <c r="B233" s="289"/>
      <c r="C233" s="609" t="s">
        <v>307</v>
      </c>
      <c r="D233" s="289"/>
      <c r="E233" s="357">
        <v>0.51</v>
      </c>
      <c r="F233" s="210">
        <v>0.51</v>
      </c>
      <c r="G233" s="210">
        <v>0.51</v>
      </c>
      <c r="H233" s="211">
        <v>0.51</v>
      </c>
      <c r="I233" s="36">
        <v>0.51</v>
      </c>
      <c r="J233" s="357">
        <v>0.51</v>
      </c>
      <c r="K233" s="210">
        <v>0.51</v>
      </c>
      <c r="L233" s="210">
        <v>0.51</v>
      </c>
      <c r="M233" s="211">
        <v>0.51</v>
      </c>
      <c r="N233" s="36">
        <v>0.51</v>
      </c>
      <c r="O233" s="357">
        <v>0.51</v>
      </c>
      <c r="P233" s="210">
        <v>0.51</v>
      </c>
      <c r="Q233" s="210">
        <v>0.51</v>
      </c>
      <c r="R233" s="211">
        <v>0.51</v>
      </c>
      <c r="S233" s="36">
        <v>0.51</v>
      </c>
      <c r="T233" s="357">
        <v>0.51</v>
      </c>
      <c r="U233" s="210">
        <v>0.51</v>
      </c>
      <c r="V233" s="210">
        <v>0.51</v>
      </c>
      <c r="W233" s="211">
        <v>0.51</v>
      </c>
      <c r="X233" s="36">
        <v>0.51</v>
      </c>
      <c r="Y233" s="357">
        <v>0.51</v>
      </c>
      <c r="Z233" s="210">
        <v>0.51</v>
      </c>
      <c r="AA233" s="210">
        <v>0.51</v>
      </c>
      <c r="AB233" s="211">
        <v>0.51</v>
      </c>
      <c r="AC233" s="36">
        <v>0.51</v>
      </c>
      <c r="AD233" s="357">
        <v>0.51</v>
      </c>
      <c r="AE233" s="210">
        <v>0.51</v>
      </c>
      <c r="AF233" s="210">
        <v>0.51</v>
      </c>
      <c r="AG233" s="211">
        <v>0.51</v>
      </c>
      <c r="AH233" s="36">
        <v>0.51</v>
      </c>
      <c r="AI233" s="357">
        <v>0.51</v>
      </c>
      <c r="AJ233" s="210">
        <v>0.51</v>
      </c>
      <c r="AK233" s="210">
        <v>0.51</v>
      </c>
      <c r="AL233" s="211">
        <v>0.51</v>
      </c>
      <c r="AM233" s="36">
        <v>0.51</v>
      </c>
      <c r="AN233" s="357">
        <f>$AR$233</f>
        <v>0.51865903919089762</v>
      </c>
      <c r="AO233" s="210">
        <f>$AR$233</f>
        <v>0.51865903919089762</v>
      </c>
      <c r="AP233" s="210">
        <f>$AR$233</f>
        <v>0.51865903919089762</v>
      </c>
      <c r="AQ233" s="211">
        <f>$AR$233</f>
        <v>0.51865903919089762</v>
      </c>
      <c r="AR233" s="36">
        <f>(AM243/(AM243+AM244)*0.51)+(AM244/(AM243+AM244)*0.5389)</f>
        <v>0.51865903919089762</v>
      </c>
      <c r="AS233" s="357">
        <f>$AW$233</f>
        <v>0.51865903919089762</v>
      </c>
      <c r="AT233" s="210">
        <f>$AW$233</f>
        <v>0.51865903919089762</v>
      </c>
      <c r="AU233" s="210">
        <f>$AW$233</f>
        <v>0.51865903919089762</v>
      </c>
      <c r="AV233" s="211">
        <f>$AW$233</f>
        <v>0.51865903919089762</v>
      </c>
      <c r="AW233" s="36">
        <f>AR233</f>
        <v>0.51865903919089762</v>
      </c>
      <c r="AX233" s="357">
        <f>$BB$233</f>
        <v>0.51865903919089762</v>
      </c>
      <c r="AY233" s="210">
        <f>$BB$233</f>
        <v>0.51865903919089762</v>
      </c>
      <c r="AZ233" s="210">
        <f>$BB$233</f>
        <v>0.51865903919089762</v>
      </c>
      <c r="BA233" s="211">
        <f>$BB$233</f>
        <v>0.51865903919089762</v>
      </c>
      <c r="BB233" s="36">
        <f>AW233</f>
        <v>0.51865903919089762</v>
      </c>
      <c r="BC233" s="357">
        <f>$BG$233</f>
        <v>0.51865903919089762</v>
      </c>
      <c r="BD233" s="210">
        <f>$BG$233</f>
        <v>0.51865903919089762</v>
      </c>
      <c r="BE233" s="210">
        <f>$BG$233</f>
        <v>0.51865903919089762</v>
      </c>
      <c r="BF233" s="211">
        <f>$BG$233</f>
        <v>0.51865903919089762</v>
      </c>
      <c r="BG233" s="36">
        <f>BB233</f>
        <v>0.51865903919089762</v>
      </c>
      <c r="BH233" s="357">
        <f>$BG$233</f>
        <v>0.51865903919089762</v>
      </c>
      <c r="BI233" s="210">
        <f>$BG$233</f>
        <v>0.51865903919089762</v>
      </c>
      <c r="BJ233" s="210">
        <f>$BG$233</f>
        <v>0.51865903919089762</v>
      </c>
      <c r="BK233" s="211">
        <f>$BG$233</f>
        <v>0.51865903919089762</v>
      </c>
      <c r="BL233" s="36">
        <f>BG233</f>
        <v>0.51865903919089762</v>
      </c>
      <c r="BM233" s="357">
        <f>$BG$233</f>
        <v>0.51865903919089762</v>
      </c>
      <c r="BN233" s="210">
        <f>$BG$233</f>
        <v>0.51865903919089762</v>
      </c>
      <c r="BO233" s="210">
        <f>$BG$233</f>
        <v>0.51865903919089762</v>
      </c>
      <c r="BP233" s="211">
        <f>$BG$233</f>
        <v>0.51865903919089762</v>
      </c>
      <c r="BQ233" s="36">
        <f>BL233</f>
        <v>0.51865903919089762</v>
      </c>
      <c r="BR233" s="289"/>
      <c r="BS233" s="289"/>
      <c r="BT233" s="289"/>
      <c r="BU233" s="289"/>
      <c r="BV233" s="289"/>
      <c r="BW233" s="289"/>
      <c r="BX233" s="289"/>
      <c r="BY233" s="289"/>
      <c r="BZ233" s="289"/>
      <c r="CA233" s="289"/>
      <c r="CB233" s="289"/>
      <c r="CC233" s="289"/>
      <c r="CD233" s="289"/>
      <c r="CE233" s="289"/>
      <c r="CF233" s="289"/>
      <c r="CG233" s="289"/>
      <c r="CH233" s="289"/>
      <c r="CI233" s="289"/>
      <c r="CJ233" s="289"/>
      <c r="CK233" s="289"/>
      <c r="CL233" s="289"/>
      <c r="CM233" s="289"/>
      <c r="CN233" s="289"/>
      <c r="CO233" s="289"/>
      <c r="CP233" s="289"/>
      <c r="CQ233" s="289"/>
      <c r="CR233" s="289"/>
      <c r="CS233" s="289"/>
      <c r="CT233" s="289"/>
      <c r="CU233" s="289"/>
      <c r="CV233" s="289"/>
      <c r="CW233" s="289"/>
      <c r="CX233" s="289"/>
      <c r="CY233" s="289"/>
      <c r="CZ233" s="289"/>
    </row>
    <row r="234" spans="1:104" x14ac:dyDescent="0.2">
      <c r="A234" s="289"/>
      <c r="B234" s="289"/>
      <c r="C234" s="609" t="s">
        <v>308</v>
      </c>
      <c r="D234" s="289"/>
      <c r="E234" s="344">
        <f t="shared" ref="E234:AM234" si="503">+E197</f>
        <v>0.50001843339958518</v>
      </c>
      <c r="F234" s="342">
        <f t="shared" si="503"/>
        <v>0.50353848298745174</v>
      </c>
      <c r="G234" s="342">
        <f t="shared" si="503"/>
        <v>0.5089461971741005</v>
      </c>
      <c r="H234" s="343">
        <f t="shared" si="503"/>
        <v>0.5072285314246</v>
      </c>
      <c r="I234" s="358">
        <f t="shared" si="503"/>
        <v>0.5072285314246</v>
      </c>
      <c r="J234" s="344">
        <f t="shared" si="503"/>
        <v>0.5116522651333083</v>
      </c>
      <c r="K234" s="342">
        <f t="shared" si="503"/>
        <v>0.50939991312346689</v>
      </c>
      <c r="L234" s="342">
        <f t="shared" si="503"/>
        <v>0.52188659428124651</v>
      </c>
      <c r="M234" s="343">
        <f t="shared" si="503"/>
        <v>0.50401963455010268</v>
      </c>
      <c r="N234" s="358">
        <f t="shared" si="503"/>
        <v>0.50401963455010268</v>
      </c>
      <c r="O234" s="344">
        <f t="shared" si="503"/>
        <v>0.50850923016298033</v>
      </c>
      <c r="P234" s="342">
        <f t="shared" si="503"/>
        <v>0.4966440556245334</v>
      </c>
      <c r="Q234" s="342">
        <f t="shared" si="503"/>
        <v>0.49126201577276957</v>
      </c>
      <c r="R234" s="343">
        <f t="shared" si="503"/>
        <v>0.51892492818671021</v>
      </c>
      <c r="S234" s="358">
        <f t="shared" si="503"/>
        <v>0.51892492818671021</v>
      </c>
      <c r="T234" s="344">
        <f t="shared" si="503"/>
        <v>0.5049639380480927</v>
      </c>
      <c r="U234" s="342">
        <f t="shared" si="503"/>
        <v>0.49673203210507105</v>
      </c>
      <c r="V234" s="342">
        <f t="shared" si="503"/>
        <v>0.5061260728290915</v>
      </c>
      <c r="W234" s="343">
        <f t="shared" si="503"/>
        <v>0.51403518196536657</v>
      </c>
      <c r="X234" s="358">
        <f t="shared" si="503"/>
        <v>0.51403518196536657</v>
      </c>
      <c r="Y234" s="344">
        <f t="shared" si="503"/>
        <v>0.52055520593906801</v>
      </c>
      <c r="Z234" s="342">
        <f t="shared" si="503"/>
        <v>0.51769739908936863</v>
      </c>
      <c r="AA234" s="342">
        <f t="shared" si="503"/>
        <v>0.50868715455906222</v>
      </c>
      <c r="AB234" s="343">
        <f t="shared" si="503"/>
        <v>0.50778721426773454</v>
      </c>
      <c r="AC234" s="358">
        <f t="shared" si="503"/>
        <v>0.50778721426773454</v>
      </c>
      <c r="AD234" s="344">
        <f t="shared" si="503"/>
        <v>0.50637362637362637</v>
      </c>
      <c r="AE234" s="342">
        <f t="shared" si="503"/>
        <v>0.50333909020806689</v>
      </c>
      <c r="AF234" s="342">
        <f t="shared" si="503"/>
        <v>0.53807830740564788</v>
      </c>
      <c r="AG234" s="343">
        <f t="shared" si="503"/>
        <v>0.52662374631432696</v>
      </c>
      <c r="AH234" s="358">
        <f t="shared" si="503"/>
        <v>0.52662374631432696</v>
      </c>
      <c r="AI234" s="344">
        <f t="shared" si="503"/>
        <v>0.51364191154519834</v>
      </c>
      <c r="AJ234" s="342">
        <f t="shared" si="503"/>
        <v>0.50487420944172423</v>
      </c>
      <c r="AK234" s="342">
        <f t="shared" si="503"/>
        <v>0.5091565107593421</v>
      </c>
      <c r="AL234" s="343">
        <f t="shared" si="503"/>
        <v>0.53591820376967436</v>
      </c>
      <c r="AM234" s="358">
        <f t="shared" si="503"/>
        <v>0.53591820376967436</v>
      </c>
      <c r="AN234" s="344">
        <f>+AN197</f>
        <v>0.53059682363680016</v>
      </c>
      <c r="AO234" s="342">
        <f t="shared" ref="AO234:AW234" si="504">+AO197</f>
        <v>0.52546125734829496</v>
      </c>
      <c r="AP234" s="342">
        <f t="shared" si="504"/>
        <v>0.5064493813299048</v>
      </c>
      <c r="AQ234" s="343">
        <f t="shared" si="504"/>
        <v>0.53397848380425006</v>
      </c>
      <c r="AR234" s="358">
        <f t="shared" si="504"/>
        <v>0.53397848380425006</v>
      </c>
      <c r="AS234" s="344">
        <f t="shared" si="504"/>
        <v>0.53061373621856645</v>
      </c>
      <c r="AT234" s="342">
        <f t="shared" si="504"/>
        <v>0.52401151676563529</v>
      </c>
      <c r="AU234" s="342">
        <f t="shared" si="504"/>
        <v>0.5253868430566917</v>
      </c>
      <c r="AV234" s="343">
        <f t="shared" si="504"/>
        <v>0.53792915897365445</v>
      </c>
      <c r="AW234" s="358">
        <f t="shared" si="504"/>
        <v>0.53792915897365445</v>
      </c>
      <c r="AX234" s="344">
        <f t="shared" ref="AX234:BG234" si="505">+AX197</f>
        <v>0.53437868261389676</v>
      </c>
      <c r="AY234" s="342">
        <f t="shared" si="505"/>
        <v>0.53165890141625605</v>
      </c>
      <c r="AZ234" s="342">
        <f t="shared" si="505"/>
        <v>0.52548247923066249</v>
      </c>
      <c r="BA234" s="343">
        <f t="shared" si="505"/>
        <v>0.52795246747041091</v>
      </c>
      <c r="BB234" s="358">
        <f t="shared" si="505"/>
        <v>0.52795246747041091</v>
      </c>
      <c r="BC234" s="344">
        <f t="shared" si="505"/>
        <v>0.52383431611697884</v>
      </c>
      <c r="BD234" s="342">
        <f t="shared" si="505"/>
        <v>0.52154852162237131</v>
      </c>
      <c r="BE234" s="342">
        <f t="shared" si="505"/>
        <v>0.51967438758394047</v>
      </c>
      <c r="BF234" s="343">
        <f t="shared" si="505"/>
        <v>0.51845912430203867</v>
      </c>
      <c r="BG234" s="358">
        <f t="shared" si="505"/>
        <v>0.51845912430203867</v>
      </c>
      <c r="BH234" s="344">
        <f t="shared" ref="BH234:BQ234" si="506">+BH197</f>
        <v>0.51683510642143127</v>
      </c>
      <c r="BI234" s="342">
        <f t="shared" si="506"/>
        <v>0.51661713385129293</v>
      </c>
      <c r="BJ234" s="342">
        <f t="shared" si="506"/>
        <v>0.52332394826007422</v>
      </c>
      <c r="BK234" s="343">
        <f t="shared" si="506"/>
        <v>0.51860535070935398</v>
      </c>
      <c r="BL234" s="358">
        <f t="shared" si="506"/>
        <v>0.51860535070935398</v>
      </c>
      <c r="BM234" s="344">
        <f t="shared" si="506"/>
        <v>0.51883718357466524</v>
      </c>
      <c r="BN234" s="342">
        <f t="shared" si="506"/>
        <v>0.52061684477576631</v>
      </c>
      <c r="BO234" s="342">
        <f t="shared" si="506"/>
        <v>0.52123011283815102</v>
      </c>
      <c r="BP234" s="343">
        <f t="shared" si="506"/>
        <v>0.52108309381413265</v>
      </c>
      <c r="BQ234" s="358">
        <f t="shared" si="506"/>
        <v>0.52108309381413265</v>
      </c>
      <c r="BR234" s="289"/>
      <c r="BS234" s="289"/>
      <c r="BT234" s="289"/>
      <c r="BU234" s="289"/>
      <c r="BV234" s="289"/>
      <c r="BW234" s="289"/>
      <c r="BX234" s="289"/>
      <c r="BY234" s="289"/>
      <c r="BZ234" s="289"/>
      <c r="CA234" s="289"/>
      <c r="CB234" s="289"/>
      <c r="CC234" s="289"/>
      <c r="CD234" s="289"/>
      <c r="CE234" s="289"/>
      <c r="CF234" s="289"/>
      <c r="CG234" s="289"/>
      <c r="CH234" s="289"/>
      <c r="CI234" s="289"/>
      <c r="CJ234" s="289"/>
      <c r="CK234" s="289"/>
      <c r="CL234" s="289"/>
      <c r="CM234" s="289"/>
      <c r="CN234" s="289"/>
      <c r="CO234" s="289"/>
      <c r="CP234" s="289"/>
      <c r="CQ234" s="289"/>
      <c r="CR234" s="289"/>
      <c r="CS234" s="289"/>
      <c r="CT234" s="289"/>
      <c r="CU234" s="289"/>
      <c r="CV234" s="289"/>
      <c r="CW234" s="289"/>
      <c r="CX234" s="289"/>
      <c r="CY234" s="289"/>
      <c r="CZ234" s="289"/>
    </row>
    <row r="235" spans="1:104" x14ac:dyDescent="0.2">
      <c r="A235" s="289"/>
      <c r="B235" s="289"/>
      <c r="C235" s="289"/>
      <c r="D235" s="289"/>
      <c r="E235" s="291"/>
      <c r="F235" s="292"/>
      <c r="G235" s="292"/>
      <c r="H235" s="293"/>
      <c r="I235" s="88"/>
      <c r="J235" s="207"/>
      <c r="K235" s="208"/>
      <c r="L235" s="208"/>
      <c r="M235" s="209"/>
      <c r="N235" s="88"/>
      <c r="O235" s="207"/>
      <c r="P235" s="208"/>
      <c r="Q235" s="208"/>
      <c r="R235" s="209"/>
      <c r="S235" s="88"/>
      <c r="T235" s="207"/>
      <c r="U235" s="208"/>
      <c r="V235" s="208"/>
      <c r="W235" s="209"/>
      <c r="X235" s="88"/>
      <c r="Y235" s="207"/>
      <c r="Z235" s="208"/>
      <c r="AA235" s="208"/>
      <c r="AB235" s="209"/>
      <c r="AC235" s="88"/>
      <c r="AD235" s="207"/>
      <c r="AE235" s="208"/>
      <c r="AF235" s="208"/>
      <c r="AG235" s="209"/>
      <c r="AH235" s="88"/>
      <c r="AI235" s="207"/>
      <c r="AJ235" s="208"/>
      <c r="AK235" s="208"/>
      <c r="AL235" s="209"/>
      <c r="AM235" s="88"/>
      <c r="AN235" s="207"/>
      <c r="AO235" s="208"/>
      <c r="AP235" s="208"/>
      <c r="AQ235" s="209"/>
      <c r="AR235" s="88"/>
      <c r="AS235" s="207"/>
      <c r="AT235" s="208"/>
      <c r="AU235" s="208"/>
      <c r="AV235" s="209"/>
      <c r="AW235" s="88"/>
      <c r="AX235" s="207"/>
      <c r="AY235" s="208"/>
      <c r="AZ235" s="208"/>
      <c r="BA235" s="209"/>
      <c r="BB235" s="88"/>
      <c r="BC235" s="207"/>
      <c r="BD235" s="208"/>
      <c r="BE235" s="208"/>
      <c r="BF235" s="209"/>
      <c r="BG235" s="88"/>
      <c r="BH235" s="207"/>
      <c r="BI235" s="208"/>
      <c r="BJ235" s="208"/>
      <c r="BK235" s="209"/>
      <c r="BL235" s="88"/>
      <c r="BM235" s="207"/>
      <c r="BN235" s="208"/>
      <c r="BO235" s="208"/>
      <c r="BP235" s="209"/>
      <c r="BQ235" s="88"/>
      <c r="BR235" s="289"/>
      <c r="BS235" s="289"/>
      <c r="BT235" s="289"/>
      <c r="BU235" s="289"/>
      <c r="BV235" s="289"/>
      <c r="BW235" s="289"/>
      <c r="BX235" s="289"/>
      <c r="BY235" s="289"/>
      <c r="BZ235" s="289"/>
      <c r="CA235" s="289"/>
      <c r="CB235" s="289"/>
      <c r="CC235" s="289"/>
      <c r="CD235" s="289"/>
      <c r="CE235" s="289"/>
      <c r="CF235" s="289"/>
      <c r="CG235" s="289"/>
      <c r="CH235" s="289"/>
      <c r="CI235" s="289"/>
      <c r="CJ235" s="289"/>
      <c r="CK235" s="289"/>
      <c r="CL235" s="289"/>
      <c r="CM235" s="289"/>
      <c r="CN235" s="289"/>
      <c r="CO235" s="289"/>
      <c r="CP235" s="289"/>
      <c r="CQ235" s="289"/>
      <c r="CR235" s="289"/>
      <c r="CS235" s="289"/>
      <c r="CT235" s="289"/>
      <c r="CU235" s="289"/>
      <c r="CV235" s="289"/>
      <c r="CW235" s="289"/>
      <c r="CX235" s="289"/>
      <c r="CY235" s="289"/>
      <c r="CZ235" s="289"/>
    </row>
    <row r="236" spans="1:104" x14ac:dyDescent="0.2">
      <c r="A236" s="289"/>
      <c r="B236" s="289"/>
      <c r="C236" s="141" t="s">
        <v>309</v>
      </c>
      <c r="D236" s="289"/>
      <c r="E236" s="291"/>
      <c r="F236" s="292"/>
      <c r="G236" s="292"/>
      <c r="H236" s="293"/>
      <c r="I236" s="36"/>
      <c r="J236" s="357"/>
      <c r="K236" s="210"/>
      <c r="L236" s="210"/>
      <c r="M236" s="211"/>
      <c r="N236" s="36"/>
      <c r="O236" s="357"/>
      <c r="P236" s="210"/>
      <c r="Q236" s="210"/>
      <c r="R236" s="211"/>
      <c r="S236" s="36"/>
      <c r="T236" s="357"/>
      <c r="U236" s="210"/>
      <c r="V236" s="210"/>
      <c r="W236" s="211"/>
      <c r="X236" s="36"/>
      <c r="Y236" s="357"/>
      <c r="Z236" s="210"/>
      <c r="AA236" s="210"/>
      <c r="AB236" s="211"/>
      <c r="AC236" s="36"/>
      <c r="AD236" s="357"/>
      <c r="AE236" s="210"/>
      <c r="AF236" s="210"/>
      <c r="AG236" s="211"/>
      <c r="AH236" s="36"/>
      <c r="AI236" s="357"/>
      <c r="AJ236" s="210"/>
      <c r="AK236" s="210"/>
      <c r="AL236" s="211"/>
      <c r="AM236" s="36"/>
      <c r="AN236" s="357"/>
      <c r="AO236" s="210"/>
      <c r="AP236" s="210"/>
      <c r="AQ236" s="211"/>
      <c r="AR236" s="36"/>
      <c r="AS236" s="357"/>
      <c r="AT236" s="210"/>
      <c r="AU236" s="210"/>
      <c r="AV236" s="211"/>
      <c r="AW236" s="36"/>
      <c r="AX236" s="357"/>
      <c r="AY236" s="210"/>
      <c r="AZ236" s="210"/>
      <c r="BA236" s="211"/>
      <c r="BB236" s="36"/>
      <c r="BC236" s="357"/>
      <c r="BD236" s="210"/>
      <c r="BE236" s="210"/>
      <c r="BF236" s="211"/>
      <c r="BG236" s="36"/>
      <c r="BH236" s="357"/>
      <c r="BI236" s="210"/>
      <c r="BJ236" s="210"/>
      <c r="BK236" s="211"/>
      <c r="BL236" s="36"/>
      <c r="BM236" s="357"/>
      <c r="BN236" s="210"/>
      <c r="BO236" s="210"/>
      <c r="BP236" s="211"/>
      <c r="BQ236" s="36"/>
      <c r="BR236" s="289"/>
      <c r="BS236" s="289"/>
      <c r="BT236" s="289"/>
      <c r="BU236" s="289"/>
      <c r="BV236" s="289"/>
      <c r="BW236" s="289"/>
      <c r="BX236" s="289"/>
      <c r="BY236" s="289"/>
      <c r="BZ236" s="289"/>
      <c r="CA236" s="289"/>
      <c r="CB236" s="289"/>
      <c r="CC236" s="289"/>
      <c r="CD236" s="289"/>
      <c r="CE236" s="289"/>
      <c r="CF236" s="289"/>
      <c r="CG236" s="289"/>
      <c r="CH236" s="289"/>
      <c r="CI236" s="289"/>
      <c r="CJ236" s="289"/>
      <c r="CK236" s="289"/>
      <c r="CL236" s="289"/>
      <c r="CM236" s="289"/>
      <c r="CN236" s="289"/>
      <c r="CO236" s="289"/>
      <c r="CP236" s="289"/>
      <c r="CQ236" s="289"/>
      <c r="CR236" s="289"/>
      <c r="CS236" s="289"/>
      <c r="CT236" s="289"/>
      <c r="CU236" s="289"/>
      <c r="CV236" s="289"/>
      <c r="CW236" s="289"/>
      <c r="CX236" s="289"/>
      <c r="CY236" s="289"/>
      <c r="CZ236" s="289"/>
    </row>
    <row r="237" spans="1:104" x14ac:dyDescent="0.2">
      <c r="A237" s="289"/>
      <c r="B237" s="289"/>
      <c r="C237" s="605" t="s">
        <v>310</v>
      </c>
      <c r="D237" s="289"/>
      <c r="E237" s="291"/>
      <c r="F237" s="292"/>
      <c r="G237" s="292"/>
      <c r="H237" s="293"/>
      <c r="I237" s="36">
        <v>0.1</v>
      </c>
      <c r="J237" s="357">
        <v>0.1</v>
      </c>
      <c r="K237" s="210">
        <v>0.1</v>
      </c>
      <c r="L237" s="210">
        <v>0.1</v>
      </c>
      <c r="M237" s="211">
        <v>0.1</v>
      </c>
      <c r="N237" s="36">
        <v>0.1</v>
      </c>
      <c r="O237" s="357">
        <v>0.1</v>
      </c>
      <c r="P237" s="210">
        <v>0.1</v>
      </c>
      <c r="Q237" s="210">
        <v>0.1</v>
      </c>
      <c r="R237" s="211">
        <v>0.1</v>
      </c>
      <c r="S237" s="36">
        <v>0.1</v>
      </c>
      <c r="T237" s="357">
        <v>0.1</v>
      </c>
      <c r="U237" s="210">
        <v>0.1</v>
      </c>
      <c r="V237" s="210">
        <v>0.1</v>
      </c>
      <c r="W237" s="211">
        <v>0.1</v>
      </c>
      <c r="X237" s="36">
        <v>0.1</v>
      </c>
      <c r="Y237" s="357">
        <v>0.1</v>
      </c>
      <c r="Z237" s="210">
        <v>0.1</v>
      </c>
      <c r="AA237" s="210">
        <v>0.1</v>
      </c>
      <c r="AB237" s="211">
        <v>0.1</v>
      </c>
      <c r="AC237" s="36">
        <v>0.1</v>
      </c>
      <c r="AD237" s="357">
        <v>0.1</v>
      </c>
      <c r="AE237" s="210">
        <v>0.1</v>
      </c>
      <c r="AF237" s="210">
        <v>0.1</v>
      </c>
      <c r="AG237" s="211">
        <v>0.1</v>
      </c>
      <c r="AH237" s="36">
        <v>0.1</v>
      </c>
      <c r="AI237" s="357">
        <v>0.1</v>
      </c>
      <c r="AJ237" s="210">
        <v>0.1</v>
      </c>
      <c r="AK237" s="210">
        <v>0.1</v>
      </c>
      <c r="AL237" s="211">
        <v>0.1</v>
      </c>
      <c r="AM237" s="36">
        <v>0.1</v>
      </c>
      <c r="AN237" s="357">
        <f>$AR$237</f>
        <v>9.7779013906447526E-2</v>
      </c>
      <c r="AO237" s="210">
        <f>$AR$237</f>
        <v>9.7779013906447526E-2</v>
      </c>
      <c r="AP237" s="210">
        <f>$AR$237</f>
        <v>9.7779013906447526E-2</v>
      </c>
      <c r="AQ237" s="211">
        <f>$AR$237</f>
        <v>9.7779013906447526E-2</v>
      </c>
      <c r="AR237" s="36">
        <f>(AM243/(AM243+AM244)*0.097)+(AM244/(AM243+AM244)*0.0996)</f>
        <v>9.7779013906447526E-2</v>
      </c>
      <c r="AS237" s="357">
        <f>$AW$237</f>
        <v>9.7779013906447526E-2</v>
      </c>
      <c r="AT237" s="210">
        <f>$AW$237</f>
        <v>9.7779013906447526E-2</v>
      </c>
      <c r="AU237" s="210">
        <f>$AW$237</f>
        <v>9.7779013906447526E-2</v>
      </c>
      <c r="AV237" s="211">
        <f>$AW$237</f>
        <v>9.7779013906447526E-2</v>
      </c>
      <c r="AW237" s="36">
        <f>AR237</f>
        <v>9.7779013906447526E-2</v>
      </c>
      <c r="AX237" s="357">
        <f>$BB$237</f>
        <v>9.7779013906447526E-2</v>
      </c>
      <c r="AY237" s="210">
        <f>$BB$237</f>
        <v>9.7779013906447526E-2</v>
      </c>
      <c r="AZ237" s="210">
        <f>$BB$237</f>
        <v>9.7779013906447526E-2</v>
      </c>
      <c r="BA237" s="211">
        <f>$BB$237</f>
        <v>9.7779013906447526E-2</v>
      </c>
      <c r="BB237" s="36">
        <f>AW237</f>
        <v>9.7779013906447526E-2</v>
      </c>
      <c r="BC237" s="357">
        <f>BG237</f>
        <v>9.7779013906447526E-2</v>
      </c>
      <c r="BD237" s="210">
        <f>BR237</f>
        <v>0</v>
      </c>
      <c r="BE237" s="210">
        <f>BS237</f>
        <v>0</v>
      </c>
      <c r="BF237" s="211">
        <f>BT237</f>
        <v>0</v>
      </c>
      <c r="BG237" s="36">
        <f>BB237</f>
        <v>9.7779013906447526E-2</v>
      </c>
      <c r="BH237" s="357">
        <f>BL237</f>
        <v>9.7779013906447526E-2</v>
      </c>
      <c r="BI237" s="210">
        <f>BW237</f>
        <v>0</v>
      </c>
      <c r="BJ237" s="210">
        <f>BX237</f>
        <v>0</v>
      </c>
      <c r="BK237" s="211">
        <f>BY237</f>
        <v>0</v>
      </c>
      <c r="BL237" s="36">
        <f>BG237</f>
        <v>9.7779013906447526E-2</v>
      </c>
      <c r="BM237" s="357">
        <f>BQ237</f>
        <v>9.7779013906447526E-2</v>
      </c>
      <c r="BN237" s="210">
        <f>CB237</f>
        <v>0</v>
      </c>
      <c r="BO237" s="210">
        <f>CC237</f>
        <v>0</v>
      </c>
      <c r="BP237" s="211">
        <f>CD237</f>
        <v>0</v>
      </c>
      <c r="BQ237" s="36">
        <f>BL237</f>
        <v>9.7779013906447526E-2</v>
      </c>
      <c r="BR237" s="289"/>
      <c r="BS237" s="289"/>
      <c r="BT237" s="289"/>
      <c r="BU237" s="289"/>
      <c r="BV237" s="289"/>
      <c r="BW237" s="289"/>
      <c r="BX237" s="289"/>
      <c r="BY237" s="289"/>
      <c r="BZ237" s="289"/>
      <c r="CA237" s="289"/>
      <c r="CB237" s="289"/>
      <c r="CC237" s="289"/>
      <c r="CD237" s="289"/>
      <c r="CE237" s="289"/>
      <c r="CF237" s="289"/>
      <c r="CG237" s="289"/>
      <c r="CH237" s="289"/>
      <c r="CI237" s="289"/>
      <c r="CJ237" s="289"/>
      <c r="CK237" s="289"/>
      <c r="CL237" s="289"/>
      <c r="CM237" s="289"/>
      <c r="CN237" s="289"/>
      <c r="CO237" s="289"/>
      <c r="CP237" s="289"/>
      <c r="CQ237" s="289"/>
      <c r="CR237" s="289"/>
      <c r="CS237" s="289"/>
      <c r="CT237" s="289"/>
      <c r="CU237" s="289"/>
      <c r="CV237" s="289"/>
      <c r="CW237" s="289"/>
      <c r="CX237" s="289"/>
      <c r="CY237" s="289"/>
      <c r="CZ237" s="289"/>
    </row>
    <row r="238" spans="1:104" x14ac:dyDescent="0.2">
      <c r="A238" s="289"/>
      <c r="B238" s="289"/>
      <c r="C238" s="605" t="s">
        <v>311</v>
      </c>
      <c r="D238" s="289"/>
      <c r="E238" s="291"/>
      <c r="F238" s="292"/>
      <c r="G238" s="292"/>
      <c r="H238" s="293"/>
      <c r="I238" s="358">
        <f t="shared" ref="I238:N238" si="507">I208/(I234*(AVERAGE(I227,I222)))</f>
        <v>8.3611258085856621E-2</v>
      </c>
      <c r="J238" s="344">
        <f t="shared" si="507"/>
        <v>8.0084481984565803E-2</v>
      </c>
      <c r="K238" s="342">
        <f t="shared" si="507"/>
        <v>9.0067582049560627E-2</v>
      </c>
      <c r="L238" s="342">
        <f t="shared" si="507"/>
        <v>8.935039511318929E-2</v>
      </c>
      <c r="M238" s="343">
        <f t="shared" si="507"/>
        <v>9.3174655593675701E-2</v>
      </c>
      <c r="N238" s="358">
        <f t="shared" si="507"/>
        <v>9.335600028829931E-2</v>
      </c>
      <c r="O238" s="344">
        <f t="shared" ref="O238:AM238" si="508">O208/(O234*(AVERAGE(O227,O222)))</f>
        <v>9.206312238906772E-2</v>
      </c>
      <c r="P238" s="342">
        <f t="shared" si="508"/>
        <v>9.2156474492594842E-2</v>
      </c>
      <c r="Q238" s="342">
        <f t="shared" si="508"/>
        <v>0.10312731912719857</v>
      </c>
      <c r="R238" s="343">
        <f t="shared" si="508"/>
        <v>9.574916684015039E-2</v>
      </c>
      <c r="S238" s="358">
        <f t="shared" si="508"/>
        <v>9.8157841217349912E-2</v>
      </c>
      <c r="T238" s="344">
        <f t="shared" si="508"/>
        <v>9.68791965916658E-2</v>
      </c>
      <c r="U238" s="342">
        <f t="shared" si="508"/>
        <v>0.10176046971867471</v>
      </c>
      <c r="V238" s="342">
        <f t="shared" si="508"/>
        <v>0.10683557156061374</v>
      </c>
      <c r="W238" s="343">
        <f t="shared" si="508"/>
        <v>0.10228095931008392</v>
      </c>
      <c r="X238" s="358">
        <f t="shared" si="508"/>
        <v>0.10389519774451356</v>
      </c>
      <c r="Y238" s="344">
        <f t="shared" si="508"/>
        <v>9.4878287105173126E-2</v>
      </c>
      <c r="Z238" s="342">
        <f t="shared" si="508"/>
        <v>9.0106218494897056E-2</v>
      </c>
      <c r="AA238" s="342">
        <f t="shared" si="508"/>
        <v>6.8077899969244862E-2</v>
      </c>
      <c r="AB238" s="343">
        <f t="shared" si="508"/>
        <v>7.4785867436709577E-2</v>
      </c>
      <c r="AC238" s="358">
        <f>AC208/(AC234*(AVERAGE(AC227,AC222)))</f>
        <v>8.6225606893186063E-2</v>
      </c>
      <c r="AD238" s="344">
        <f t="shared" si="508"/>
        <v>8.9156419254760561E-2</v>
      </c>
      <c r="AE238" s="342">
        <f t="shared" si="508"/>
        <v>8.6383895431514784E-2</v>
      </c>
      <c r="AF238" s="342">
        <f t="shared" si="508"/>
        <v>0.10317999692509837</v>
      </c>
      <c r="AG238" s="343">
        <f>AG208/(AG234*(AVERAGE(AG227,AG222)))</f>
        <v>0.10013457219332952</v>
      </c>
      <c r="AH238" s="358">
        <f>AH208/(AH234*(AVERAGE(AH227,AH222)))</f>
        <v>0.10106165656507693</v>
      </c>
      <c r="AI238" s="344">
        <f>AI208/(AI234*(AVERAGE(AI227,AI222)))</f>
        <v>9.3978493153830209E-2</v>
      </c>
      <c r="AJ238" s="342">
        <f>AJ208/(AJ234*(AVERAGE(AJ227,AJ222)))</f>
        <v>8.8447965237504228E-2</v>
      </c>
      <c r="AK238" s="342">
        <f t="shared" si="508"/>
        <v>8.1278307254819257E-2</v>
      </c>
      <c r="AL238" s="343">
        <f t="shared" si="508"/>
        <v>7.8804099245366341E-2</v>
      </c>
      <c r="AM238" s="358">
        <f t="shared" si="508"/>
        <v>8.0385173915131669E-2</v>
      </c>
      <c r="AN238" s="344">
        <f>AN208/(AN234*(AVERAGE(AN227,AN222)))</f>
        <v>7.4884634933893662E-2</v>
      </c>
      <c r="AO238" s="342">
        <f t="shared" ref="AO238:AW238" si="509">AO208/(AO234*(AVERAGE(AO227,AO222)))</f>
        <v>7.9908521657706649E-2</v>
      </c>
      <c r="AP238" s="342">
        <f t="shared" si="509"/>
        <v>8.6036717012837979E-2</v>
      </c>
      <c r="AQ238" s="343">
        <f t="shared" si="509"/>
        <v>8.4239616101866019E-2</v>
      </c>
      <c r="AR238" s="358">
        <f>AR208/(AR234*(AVERAGE(AR227,AR222)))</f>
        <v>8.5736464435114124E-2</v>
      </c>
      <c r="AS238" s="344">
        <f t="shared" si="509"/>
        <v>8.4056014729815831E-2</v>
      </c>
      <c r="AT238" s="342">
        <f t="shared" si="509"/>
        <v>8.4142735566233126E-2</v>
      </c>
      <c r="AU238" s="342">
        <f t="shared" si="509"/>
        <v>8.1524339777464427E-2</v>
      </c>
      <c r="AV238" s="343">
        <f t="shared" si="509"/>
        <v>7.8536428667142083E-2</v>
      </c>
      <c r="AW238" s="358">
        <f t="shared" si="509"/>
        <v>8.1651344389334302E-2</v>
      </c>
      <c r="AX238" s="344">
        <f t="shared" ref="AX238:BG238" si="510">AX208/(AX234*(AVERAGE(AX227,AX222)))</f>
        <v>8.5410318860599396E-2</v>
      </c>
      <c r="AY238" s="342">
        <f t="shared" si="510"/>
        <v>9.0569364179785186E-2</v>
      </c>
      <c r="AZ238" s="342">
        <f t="shared" si="510"/>
        <v>9.3328338332313118E-2</v>
      </c>
      <c r="BA238" s="343">
        <f t="shared" si="510"/>
        <v>8.8152915337033191E-2</v>
      </c>
      <c r="BB238" s="358">
        <f t="shared" si="510"/>
        <v>9.1880302404451955E-2</v>
      </c>
      <c r="BC238" s="344">
        <f t="shared" si="510"/>
        <v>9.0832516678771069E-2</v>
      </c>
      <c r="BD238" s="342">
        <f t="shared" si="510"/>
        <v>9.2323910337678131E-2</v>
      </c>
      <c r="BE238" s="342">
        <f t="shared" si="510"/>
        <v>9.4444380559830968E-2</v>
      </c>
      <c r="BF238" s="343">
        <f t="shared" si="510"/>
        <v>9.5166673223408466E-2</v>
      </c>
      <c r="BG238" s="358">
        <f t="shared" si="510"/>
        <v>9.9253675221292401E-2</v>
      </c>
      <c r="BH238" s="344">
        <f t="shared" ref="BH238:BQ238" si="511">BH208/(BH234*(AVERAGE(BH227,BH222)))</f>
        <v>9.4177873581825999E-2</v>
      </c>
      <c r="BI238" s="342">
        <f t="shared" si="511"/>
        <v>9.251700141784476E-2</v>
      </c>
      <c r="BJ238" s="342">
        <f t="shared" si="511"/>
        <v>9.2148224651067687E-2</v>
      </c>
      <c r="BK238" s="343">
        <f t="shared" si="511"/>
        <v>9.2638944683760063E-2</v>
      </c>
      <c r="BL238" s="358">
        <f t="shared" si="511"/>
        <v>9.6599477339176704E-2</v>
      </c>
      <c r="BM238" s="344">
        <f t="shared" si="511"/>
        <v>9.1799663521303226E-2</v>
      </c>
      <c r="BN238" s="342">
        <f t="shared" si="511"/>
        <v>9.1343351646757137E-2</v>
      </c>
      <c r="BO238" s="342">
        <f t="shared" si="511"/>
        <v>9.2357736001704493E-2</v>
      </c>
      <c r="BP238" s="343">
        <f t="shared" si="511"/>
        <v>9.2587204950128607E-2</v>
      </c>
      <c r="BQ238" s="358">
        <f t="shared" si="511"/>
        <v>9.6557037757138725E-2</v>
      </c>
      <c r="BR238" s="289"/>
      <c r="BS238" s="289"/>
      <c r="BT238" s="289"/>
      <c r="BU238" s="289"/>
      <c r="BV238" s="289"/>
      <c r="BW238" s="289"/>
      <c r="BX238" s="289"/>
      <c r="BY238" s="289"/>
      <c r="BZ238" s="289"/>
      <c r="CA238" s="289"/>
      <c r="CB238" s="289"/>
      <c r="CC238" s="289"/>
      <c r="CD238" s="289"/>
      <c r="CE238" s="289"/>
      <c r="CF238" s="289"/>
      <c r="CG238" s="289"/>
      <c r="CH238" s="289"/>
      <c r="CI238" s="289"/>
      <c r="CJ238" s="289"/>
      <c r="CK238" s="289"/>
      <c r="CL238" s="289"/>
      <c r="CM238" s="289"/>
      <c r="CN238" s="289"/>
      <c r="CO238" s="289"/>
      <c r="CP238" s="289"/>
      <c r="CQ238" s="289"/>
      <c r="CR238" s="289"/>
      <c r="CS238" s="289"/>
      <c r="CT238" s="289"/>
      <c r="CU238" s="289"/>
      <c r="CV238" s="289"/>
      <c r="CW238" s="289"/>
      <c r="CX238" s="289"/>
      <c r="CY238" s="289"/>
      <c r="CZ238" s="289"/>
    </row>
    <row r="239" spans="1:104" x14ac:dyDescent="0.2">
      <c r="A239" s="289"/>
      <c r="B239" s="289"/>
      <c r="C239" s="605" t="s">
        <v>312</v>
      </c>
      <c r="D239" s="289"/>
      <c r="E239" s="291"/>
      <c r="F239" s="292"/>
      <c r="G239" s="292"/>
      <c r="H239" s="293"/>
      <c r="I239" s="358">
        <f t="shared" ref="I239:BB239" si="512">(I208-I20+0.65*I28)/(I234*(AVERAGE(I227,I222)))</f>
        <v>7.6351579477885387E-2</v>
      </c>
      <c r="J239" s="344">
        <f t="shared" si="512"/>
        <v>7.9132295174303674E-2</v>
      </c>
      <c r="K239" s="342">
        <f t="shared" si="512"/>
        <v>8.8268669446740153E-2</v>
      </c>
      <c r="L239" s="342">
        <f t="shared" si="512"/>
        <v>8.7460342856752221E-2</v>
      </c>
      <c r="M239" s="343">
        <f t="shared" si="512"/>
        <v>9.0309427815600987E-2</v>
      </c>
      <c r="N239" s="358">
        <f t="shared" si="512"/>
        <v>8.5865887436444521E-2</v>
      </c>
      <c r="O239" s="344">
        <f t="shared" si="512"/>
        <v>8.8861882747003865E-2</v>
      </c>
      <c r="P239" s="342">
        <f t="shared" si="512"/>
        <v>8.985524020644102E-2</v>
      </c>
      <c r="Q239" s="342">
        <f t="shared" si="512"/>
        <v>0.10161966155781957</v>
      </c>
      <c r="R239" s="343">
        <f t="shared" si="512"/>
        <v>9.3981927404127863E-2</v>
      </c>
      <c r="S239" s="358">
        <f t="shared" si="512"/>
        <v>8.9639713342896041E-2</v>
      </c>
      <c r="T239" s="344">
        <f t="shared" si="512"/>
        <v>9.4331225719681597E-2</v>
      </c>
      <c r="U239" s="342">
        <f t="shared" si="512"/>
        <v>9.9234015592062116E-2</v>
      </c>
      <c r="V239" s="342">
        <f t="shared" si="512"/>
        <v>0.10447015717885293</v>
      </c>
      <c r="W239" s="343">
        <f t="shared" si="512"/>
        <v>9.9286494292686961E-2</v>
      </c>
      <c r="X239" s="358">
        <f t="shared" si="512"/>
        <v>9.3872493879894506E-2</v>
      </c>
      <c r="Y239" s="344">
        <f t="shared" si="512"/>
        <v>9.164388221490416E-2</v>
      </c>
      <c r="Z239" s="342">
        <f t="shared" si="512"/>
        <v>8.7444581321878281E-2</v>
      </c>
      <c r="AA239" s="342">
        <f t="shared" si="512"/>
        <v>6.5553528918134235E-2</v>
      </c>
      <c r="AB239" s="343">
        <f t="shared" si="512"/>
        <v>7.1210875575543869E-2</v>
      </c>
      <c r="AC239" s="358">
        <f t="shared" si="512"/>
        <v>7.319292670991738E-2</v>
      </c>
      <c r="AD239" s="344">
        <f t="shared" si="512"/>
        <v>8.4737181003457895E-2</v>
      </c>
      <c r="AE239" s="342">
        <f t="shared" si="512"/>
        <v>8.2956404285091906E-2</v>
      </c>
      <c r="AF239" s="342">
        <f t="shared" si="512"/>
        <v>9.98091624058043E-2</v>
      </c>
      <c r="AG239" s="343">
        <f>(AG208-AG20+0.65*AG28)/(AG234*(AVERAGE(AG227,AG222)))</f>
        <v>9.7556831063433547E-2</v>
      </c>
      <c r="AH239" s="358">
        <f>(AH208-AH20+0.65*AH28)/(AH234*(AVERAGE(AH227,AH222)))</f>
        <v>8.8044205093717298E-2</v>
      </c>
      <c r="AI239" s="344">
        <f>(AI208-AI20+0.65*AI28)/(AI234*(AVERAGE(AI227,AI222)))</f>
        <v>9.2265348010329554E-2</v>
      </c>
      <c r="AJ239" s="342">
        <f>(AJ208-AJ20+0.65*AJ28)/(AJ234*(AVERAGE(AJ227,AJ222)))</f>
        <v>8.6672718578885158E-2</v>
      </c>
      <c r="AK239" s="342">
        <f t="shared" si="512"/>
        <v>7.9348617862405435E-2</v>
      </c>
      <c r="AL239" s="343">
        <f t="shared" si="512"/>
        <v>7.725118237013559E-2</v>
      </c>
      <c r="AM239" s="358">
        <f t="shared" si="512"/>
        <v>7.3881019576634246E-2</v>
      </c>
      <c r="AN239" s="344">
        <f>(AN208-AN20+0.65*AN28)/(AN234*(AVERAGE(AN227,AN222)))</f>
        <v>7.3035021043847126E-2</v>
      </c>
      <c r="AO239" s="342">
        <f t="shared" si="512"/>
        <v>7.8021220106303621E-2</v>
      </c>
      <c r="AP239" s="342">
        <f t="shared" si="512"/>
        <v>8.3936772764440504E-2</v>
      </c>
      <c r="AQ239" s="343">
        <f t="shared" si="512"/>
        <v>8.2262609082018365E-2</v>
      </c>
      <c r="AR239" s="358">
        <f t="shared" si="512"/>
        <v>7.8065418302829856E-2</v>
      </c>
      <c r="AS239" s="344">
        <f t="shared" si="512"/>
        <v>8.2422946160827404E-2</v>
      </c>
      <c r="AT239" s="342">
        <f t="shared" si="512"/>
        <v>8.2755531901189713E-2</v>
      </c>
      <c r="AU239" s="342">
        <f t="shared" si="512"/>
        <v>7.9798294170673828E-2</v>
      </c>
      <c r="AV239" s="343">
        <f t="shared" si="512"/>
        <v>7.6626353741822487E-2</v>
      </c>
      <c r="AW239" s="358">
        <f t="shared" si="512"/>
        <v>7.5082024917371468E-2</v>
      </c>
      <c r="AX239" s="344">
        <f t="shared" si="512"/>
        <v>8.2047306556786784E-2</v>
      </c>
      <c r="AY239" s="342">
        <f t="shared" si="512"/>
        <v>8.7289009315148533E-2</v>
      </c>
      <c r="AZ239" s="342">
        <f t="shared" si="512"/>
        <v>9.0099812313194153E-2</v>
      </c>
      <c r="BA239" s="343">
        <f t="shared" si="512"/>
        <v>8.502606786927025E-2</v>
      </c>
      <c r="BB239" s="358">
        <f t="shared" si="512"/>
        <v>7.8844060106066635E-2</v>
      </c>
      <c r="BC239" s="344">
        <f t="shared" ref="BC239:BL239" si="513">(BC208-BC20+0.65*BC28)/(BC234*(AVERAGE(BC227,BC222)))</f>
        <v>8.7414545125297435E-2</v>
      </c>
      <c r="BD239" s="342">
        <f t="shared" si="513"/>
        <v>8.899398398196319E-2</v>
      </c>
      <c r="BE239" s="342">
        <f t="shared" si="513"/>
        <v>9.1194493302777513E-2</v>
      </c>
      <c r="BF239" s="343">
        <f t="shared" si="513"/>
        <v>9.1997770126667822E-2</v>
      </c>
      <c r="BG239" s="358">
        <f t="shared" si="513"/>
        <v>8.6033699441187911E-2</v>
      </c>
      <c r="BH239" s="344">
        <f t="shared" si="513"/>
        <v>9.2256819395821699E-2</v>
      </c>
      <c r="BI239" s="342">
        <f t="shared" si="513"/>
        <v>9.0652575748423836E-2</v>
      </c>
      <c r="BJ239" s="342">
        <f t="shared" si="513"/>
        <v>9.0357995416051107E-2</v>
      </c>
      <c r="BK239" s="343">
        <f t="shared" si="513"/>
        <v>9.0881373448627206E-2</v>
      </c>
      <c r="BL239" s="358">
        <f t="shared" si="513"/>
        <v>8.9268631191056894E-2</v>
      </c>
      <c r="BM239" s="344">
        <f t="shared" ref="BM239:BQ239" si="514">(BM208-BM20+0.65*BM28)/(BM234*(AVERAGE(BM227,BM222)))</f>
        <v>9.0671076343339096E-2</v>
      </c>
      <c r="BN239" s="342">
        <f t="shared" si="514"/>
        <v>9.0252205512040648E-2</v>
      </c>
      <c r="BO239" s="342">
        <f t="shared" si="514"/>
        <v>9.1297913878996537E-2</v>
      </c>
      <c r="BP239" s="343">
        <f t="shared" si="514"/>
        <v>9.1556080486934255E-2</v>
      </c>
      <c r="BQ239" s="358">
        <f t="shared" si="514"/>
        <v>9.225569509197909E-2</v>
      </c>
      <c r="BR239" s="289"/>
      <c r="BS239" s="289"/>
      <c r="BT239" s="289"/>
      <c r="BU239" s="289"/>
      <c r="BV239" s="289"/>
      <c r="BW239" s="289"/>
      <c r="BX239" s="289"/>
      <c r="BY239" s="289"/>
      <c r="BZ239" s="289"/>
      <c r="CA239" s="289"/>
      <c r="CB239" s="289"/>
      <c r="CC239" s="289"/>
      <c r="CD239" s="289"/>
      <c r="CE239" s="289"/>
      <c r="CF239" s="289"/>
      <c r="CG239" s="289"/>
      <c r="CH239" s="289"/>
      <c r="CI239" s="289"/>
      <c r="CJ239" s="289"/>
      <c r="CK239" s="289"/>
      <c r="CL239" s="289"/>
      <c r="CM239" s="289"/>
      <c r="CN239" s="289"/>
      <c r="CO239" s="289"/>
      <c r="CP239" s="289"/>
      <c r="CQ239" s="289"/>
      <c r="CR239" s="289"/>
      <c r="CS239" s="289"/>
      <c r="CT239" s="289"/>
      <c r="CU239" s="289"/>
      <c r="CV239" s="289"/>
      <c r="CW239" s="289"/>
      <c r="CX239" s="289"/>
      <c r="CY239" s="289"/>
      <c r="CZ239" s="289"/>
    </row>
    <row r="240" spans="1:104" x14ac:dyDescent="0.2">
      <c r="A240" s="289"/>
      <c r="B240" s="289"/>
      <c r="C240" s="289"/>
      <c r="D240" s="289"/>
      <c r="E240" s="556"/>
      <c r="F240" s="557"/>
      <c r="G240" s="557"/>
      <c r="H240" s="558"/>
      <c r="I240" s="127"/>
      <c r="J240" s="559"/>
      <c r="K240" s="560"/>
      <c r="L240" s="560"/>
      <c r="M240" s="561"/>
      <c r="N240" s="127"/>
      <c r="O240" s="559"/>
      <c r="P240" s="560"/>
      <c r="Q240" s="560"/>
      <c r="R240" s="561"/>
      <c r="S240" s="127"/>
      <c r="T240" s="559"/>
      <c r="U240" s="560"/>
      <c r="V240" s="560"/>
      <c r="W240" s="561"/>
      <c r="X240" s="127"/>
      <c r="Y240" s="559"/>
      <c r="Z240" s="560"/>
      <c r="AA240" s="560"/>
      <c r="AB240" s="561"/>
      <c r="AC240" s="358"/>
      <c r="AD240" s="559"/>
      <c r="AE240" s="560"/>
      <c r="AF240" s="560"/>
      <c r="AG240" s="561"/>
      <c r="AH240" s="358"/>
      <c r="AI240" s="559"/>
      <c r="AJ240" s="560"/>
      <c r="AK240" s="560"/>
      <c r="AL240" s="561"/>
      <c r="AM240" s="358"/>
      <c r="AN240" s="559"/>
      <c r="AO240" s="560"/>
      <c r="AP240" s="560"/>
      <c r="AQ240" s="561"/>
      <c r="AR240" s="358"/>
      <c r="AS240" s="559"/>
      <c r="AT240" s="560"/>
      <c r="AU240" s="560"/>
      <c r="AV240" s="561"/>
      <c r="AW240" s="358"/>
      <c r="AX240" s="559"/>
      <c r="AY240" s="560"/>
      <c r="AZ240" s="560"/>
      <c r="BA240" s="561"/>
      <c r="BB240" s="358"/>
      <c r="BC240" s="559"/>
      <c r="BD240" s="560"/>
      <c r="BE240" s="560"/>
      <c r="BF240" s="561"/>
      <c r="BG240" s="358"/>
      <c r="BH240" s="559"/>
      <c r="BI240" s="560"/>
      <c r="BJ240" s="560"/>
      <c r="BK240" s="561"/>
      <c r="BL240" s="358"/>
      <c r="BM240" s="559"/>
      <c r="BN240" s="560"/>
      <c r="BO240" s="560"/>
      <c r="BP240" s="561"/>
      <c r="BQ240" s="358"/>
      <c r="BR240" s="289"/>
      <c r="BS240" s="289"/>
      <c r="BT240" s="289"/>
      <c r="BU240" s="289"/>
      <c r="BV240" s="289"/>
      <c r="BW240" s="289"/>
      <c r="BX240" s="289"/>
      <c r="BY240" s="289"/>
      <c r="BZ240" s="289"/>
      <c r="CA240" s="289"/>
      <c r="CB240" s="289"/>
      <c r="CC240" s="289"/>
      <c r="CD240" s="289"/>
      <c r="CE240" s="289"/>
      <c r="CF240" s="289"/>
      <c r="CG240" s="289"/>
      <c r="CH240" s="289"/>
      <c r="CI240" s="289"/>
      <c r="CJ240" s="289"/>
      <c r="CK240" s="289"/>
      <c r="CL240" s="289"/>
      <c r="CM240" s="289"/>
      <c r="CN240" s="289"/>
      <c r="CO240" s="289"/>
      <c r="CP240" s="289"/>
      <c r="CQ240" s="289"/>
      <c r="CR240" s="289"/>
      <c r="CS240" s="289"/>
      <c r="CT240" s="289"/>
      <c r="CU240" s="289"/>
      <c r="CV240" s="289"/>
      <c r="CW240" s="289"/>
      <c r="CX240" s="289"/>
      <c r="CY240" s="289"/>
      <c r="CZ240" s="289"/>
    </row>
    <row r="242" spans="3:69" x14ac:dyDescent="0.2">
      <c r="X242" s="53"/>
      <c r="AC242" s="53"/>
      <c r="AH242" s="53"/>
      <c r="AM242" s="53"/>
      <c r="AR242" s="53"/>
      <c r="AW242" s="53"/>
      <c r="BB242" s="53"/>
      <c r="BG242" s="53"/>
      <c r="BL242" s="53"/>
      <c r="BQ242" s="53"/>
    </row>
    <row r="243" spans="3:69" x14ac:dyDescent="0.2">
      <c r="C243" s="846" t="s">
        <v>583</v>
      </c>
      <c r="X243">
        <v>1138</v>
      </c>
      <c r="AC243">
        <v>1256</v>
      </c>
      <c r="AH243">
        <v>1507</v>
      </c>
      <c r="AK243">
        <v>1700</v>
      </c>
      <c r="AM243">
        <v>1662</v>
      </c>
      <c r="AR243">
        <v>1763</v>
      </c>
    </row>
    <row r="244" spans="3:69" x14ac:dyDescent="0.2">
      <c r="C244" s="846" t="s">
        <v>584</v>
      </c>
      <c r="X244" s="795">
        <v>400</v>
      </c>
      <c r="AC244" s="795">
        <v>456</v>
      </c>
      <c r="AH244">
        <v>587</v>
      </c>
      <c r="AJ244">
        <v>734</v>
      </c>
      <c r="AM244">
        <v>711</v>
      </c>
      <c r="AR244">
        <v>786</v>
      </c>
    </row>
    <row r="245" spans="3:69" x14ac:dyDescent="0.2">
      <c r="C245" s="846" t="s">
        <v>585</v>
      </c>
      <c r="X245">
        <f>PSCO!X288-PSCO!X285</f>
        <v>608</v>
      </c>
      <c r="AC245">
        <f>PSCO!AC288-PSCO!AC285</f>
        <v>490</v>
      </c>
      <c r="AH245">
        <v>584</v>
      </c>
      <c r="AM245">
        <v>857</v>
      </c>
      <c r="AR245">
        <v>868</v>
      </c>
    </row>
    <row r="246" spans="3:69" x14ac:dyDescent="0.2">
      <c r="X246">
        <f>SUM(X243:X245)</f>
        <v>2146</v>
      </c>
      <c r="AC246">
        <f>SUM(AC243:AC245)</f>
        <v>2202</v>
      </c>
      <c r="AH246">
        <f t="shared" ref="AH246:AM246" si="515">SUM(AH243:AH245)</f>
        <v>2678</v>
      </c>
      <c r="AI246">
        <f t="shared" si="515"/>
        <v>0</v>
      </c>
      <c r="AJ246">
        <f t="shared" si="515"/>
        <v>734</v>
      </c>
      <c r="AK246">
        <f t="shared" si="515"/>
        <v>1700</v>
      </c>
      <c r="AL246">
        <f t="shared" si="515"/>
        <v>0</v>
      </c>
      <c r="AM246">
        <f t="shared" si="515"/>
        <v>3230</v>
      </c>
      <c r="AR246">
        <f>SUM(AR243:AR245)</f>
        <v>3417</v>
      </c>
    </row>
    <row r="252" spans="3:69" x14ac:dyDescent="0.2">
      <c r="AP252" s="846" t="s">
        <v>471</v>
      </c>
    </row>
  </sheetData>
  <phoneticPr fontId="45" type="noConversion"/>
  <pageMargins left="0.5" right="0.5" top="0.5" bottom="0.5" header="0" footer="0"/>
  <pageSetup scale="55" fitToHeight="4" orientation="landscape" r:id="rId1"/>
  <headerFooter alignWithMargins="0"/>
  <rowBreaks count="4" manualBreakCount="4">
    <brk id="69" max="69" man="1"/>
    <brk id="102" max="69" man="1"/>
    <brk id="157" max="69" man="1"/>
    <brk id="202" max="69" man="1"/>
  </row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ED283"/>
  <sheetViews>
    <sheetView zoomScale="80" zoomScaleNormal="80" workbookViewId="0">
      <pane xSplit="4" ySplit="5" topLeftCell="I6" activePane="bottomRight" state="frozen"/>
      <selection activeCell="G45" sqref="G45"/>
      <selection pane="topRight" activeCell="G45" sqref="G45"/>
      <selection pane="bottomLeft" activeCell="G45" sqref="G45"/>
      <selection pane="bottomRight" activeCell="I6" sqref="I6"/>
    </sheetView>
  </sheetViews>
  <sheetFormatPr defaultRowHeight="12.75" outlineLevelCol="1" x14ac:dyDescent="0.2"/>
  <cols>
    <col min="1" max="2" width="2.7109375" customWidth="1"/>
    <col min="3" max="3" width="41.42578125" customWidth="1"/>
    <col min="4" max="4" width="3.5703125" customWidth="1"/>
    <col min="5" max="8" width="9" hidden="1" customWidth="1" outlineLevel="1"/>
    <col min="9" max="9" width="9" customWidth="1" collapsed="1"/>
    <col min="10" max="13" width="9" hidden="1" customWidth="1" outlineLevel="1"/>
    <col min="14" max="14" width="9" customWidth="1" collapsed="1"/>
    <col min="15" max="18" width="9" hidden="1" customWidth="1" outlineLevel="1"/>
    <col min="19" max="19" width="9" customWidth="1" collapsed="1"/>
    <col min="20" max="23" width="9" hidden="1" customWidth="1" outlineLevel="1"/>
    <col min="24" max="24" width="9" customWidth="1" collapsed="1"/>
    <col min="25" max="28" width="9" hidden="1" customWidth="1" outlineLevel="1"/>
    <col min="29" max="29" width="9" customWidth="1" collapsed="1"/>
    <col min="30" max="33" width="9" hidden="1" customWidth="1" outlineLevel="1"/>
    <col min="34" max="34" width="9" customWidth="1" collapsed="1"/>
    <col min="35" max="38" width="9" hidden="1" customWidth="1" outlineLevel="1"/>
    <col min="39" max="39" width="9" customWidth="1" collapsed="1"/>
    <col min="40" max="43" width="9" hidden="1" customWidth="1" outlineLevel="1"/>
    <col min="44" max="44" width="9" customWidth="1" collapsed="1"/>
    <col min="45" max="48" width="9" hidden="1" customWidth="1" outlineLevel="1"/>
    <col min="49" max="49" width="9" customWidth="1" collapsed="1"/>
    <col min="50" max="53" width="9" hidden="1" customWidth="1" outlineLevel="1"/>
    <col min="54" max="54" width="9" customWidth="1" collapsed="1"/>
    <col min="55" max="58" width="9" hidden="1" customWidth="1" outlineLevel="1"/>
    <col min="59" max="59" width="9" customWidth="1" collapsed="1"/>
    <col min="60" max="63" width="9" hidden="1" customWidth="1" outlineLevel="1"/>
    <col min="64" max="64" width="9" customWidth="1" collapsed="1"/>
    <col min="65" max="68" width="9" hidden="1" customWidth="1" outlineLevel="1"/>
    <col min="69" max="69" width="9" customWidth="1" collapsed="1"/>
    <col min="70" max="70" width="5.140625" bestFit="1" customWidth="1"/>
    <col min="90" max="92" width="11.42578125" customWidth="1"/>
    <col min="93" max="93" width="9.7109375" customWidth="1"/>
    <col min="94" max="97" width="11.42578125" customWidth="1"/>
    <col min="98" max="98" width="10.7109375" customWidth="1"/>
    <col min="99" max="101" width="11.42578125" customWidth="1"/>
    <col min="102" max="104" width="9.7109375" customWidth="1"/>
    <col min="105" max="105" width="11.140625" customWidth="1"/>
    <col min="128" max="128" width="9.42578125" bestFit="1" customWidth="1"/>
    <col min="129" max="129" width="9.28515625" bestFit="1" customWidth="1"/>
    <col min="130" max="131" width="9.42578125" bestFit="1" customWidth="1"/>
  </cols>
  <sheetData>
    <row r="1" spans="1:104" ht="15" customHeight="1" x14ac:dyDescent="0.25">
      <c r="A1" s="2"/>
      <c r="B1" s="2"/>
      <c r="C1" s="2"/>
      <c r="D1" s="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</row>
    <row r="2" spans="1:104" ht="15" customHeight="1" x14ac:dyDescent="0.25">
      <c r="A2" s="2"/>
      <c r="B2" s="2" t="str">
        <f>Cover!$B$2</f>
        <v>Xcel Energy</v>
      </c>
      <c r="C2" s="2"/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  <c r="CJ2" s="94"/>
      <c r="CK2" s="94"/>
      <c r="CL2" s="94"/>
      <c r="CM2" s="94"/>
      <c r="CN2" s="94"/>
      <c r="CO2" s="94"/>
      <c r="CP2" s="94"/>
      <c r="CQ2" s="94"/>
      <c r="CR2" s="94"/>
      <c r="CS2" s="94"/>
      <c r="CT2" s="94"/>
      <c r="CU2" s="94"/>
      <c r="CV2" s="94"/>
      <c r="CW2" s="94"/>
      <c r="CX2" s="94"/>
      <c r="CY2" s="94"/>
      <c r="CZ2" s="94"/>
    </row>
    <row r="3" spans="1:104" ht="15" customHeight="1" x14ac:dyDescent="0.25">
      <c r="A3" s="5"/>
      <c r="B3" s="2" t="s">
        <v>335</v>
      </c>
      <c r="C3" s="6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94"/>
      <c r="BS3" s="94"/>
      <c r="BT3" s="94"/>
      <c r="BU3" s="94"/>
      <c r="BV3" s="94"/>
      <c r="BW3" s="94"/>
      <c r="BX3" s="94"/>
      <c r="BY3" s="94"/>
      <c r="BZ3" s="94"/>
      <c r="CA3" s="94"/>
      <c r="CB3" s="94"/>
      <c r="CC3" s="94"/>
      <c r="CD3" s="94"/>
      <c r="CE3" s="94"/>
      <c r="CF3" s="94"/>
      <c r="CG3" s="94"/>
      <c r="CH3" s="94"/>
      <c r="CI3" s="94"/>
      <c r="CJ3" s="94"/>
      <c r="CK3" s="94"/>
      <c r="CL3" s="94"/>
      <c r="CM3" s="94"/>
      <c r="CN3" s="94"/>
      <c r="CO3" s="94"/>
      <c r="CP3" s="94"/>
      <c r="CQ3" s="94"/>
      <c r="CR3" s="94"/>
      <c r="CS3" s="94"/>
      <c r="CT3" s="94"/>
      <c r="CU3" s="94"/>
      <c r="CV3" s="94"/>
      <c r="CW3" s="94"/>
      <c r="CX3" s="94"/>
      <c r="CY3" s="94"/>
      <c r="CZ3" s="94"/>
    </row>
    <row r="4" spans="1:104" x14ac:dyDescent="0.2">
      <c r="A4" s="8"/>
      <c r="B4" s="9" t="s">
        <v>1</v>
      </c>
      <c r="C4" s="9"/>
      <c r="D4" s="263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95"/>
      <c r="BS4" s="95"/>
      <c r="BT4" s="95"/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H4" s="95"/>
      <c r="CI4" s="95"/>
      <c r="CJ4" s="95"/>
      <c r="CK4" s="95"/>
      <c r="CL4" s="95"/>
      <c r="CM4" s="95"/>
      <c r="CN4" s="95"/>
      <c r="CO4" s="95"/>
      <c r="CP4" s="95"/>
      <c r="CQ4" s="95"/>
      <c r="CR4" s="95"/>
      <c r="CS4" s="95"/>
      <c r="CT4" s="95"/>
      <c r="CU4" s="95"/>
      <c r="CV4" s="95"/>
      <c r="CW4" s="95"/>
      <c r="CX4" s="95"/>
      <c r="CY4" s="95"/>
      <c r="CZ4" s="95"/>
    </row>
    <row r="5" spans="1:104" x14ac:dyDescent="0.2">
      <c r="B5" s="264" t="s">
        <v>41</v>
      </c>
      <c r="C5" s="264"/>
      <c r="D5" s="265"/>
      <c r="E5" s="104" t="s">
        <v>101</v>
      </c>
      <c r="F5" s="105" t="s">
        <v>102</v>
      </c>
      <c r="G5" s="105" t="s">
        <v>103</v>
      </c>
      <c r="H5" s="106" t="s">
        <v>104</v>
      </c>
      <c r="I5" s="266">
        <v>2009</v>
      </c>
      <c r="J5" s="104" t="s">
        <v>105</v>
      </c>
      <c r="K5" s="105" t="s">
        <v>106</v>
      </c>
      <c r="L5" s="105" t="s">
        <v>107</v>
      </c>
      <c r="M5" s="106" t="s">
        <v>108</v>
      </c>
      <c r="N5" s="266" t="s">
        <v>3</v>
      </c>
      <c r="O5" s="104" t="s">
        <v>109</v>
      </c>
      <c r="P5" s="105" t="s">
        <v>110</v>
      </c>
      <c r="Q5" s="105" t="s">
        <v>479</v>
      </c>
      <c r="R5" s="106" t="s">
        <v>175</v>
      </c>
      <c r="S5" s="266">
        <v>2011</v>
      </c>
      <c r="T5" s="104" t="s">
        <v>508</v>
      </c>
      <c r="U5" s="105" t="s">
        <v>509</v>
      </c>
      <c r="V5" s="105" t="s">
        <v>510</v>
      </c>
      <c r="W5" s="106" t="s">
        <v>522</v>
      </c>
      <c r="X5" s="267" t="s">
        <v>523</v>
      </c>
      <c r="Y5" s="104" t="s">
        <v>524</v>
      </c>
      <c r="Z5" s="100" t="s">
        <v>527</v>
      </c>
      <c r="AA5" s="100" t="s">
        <v>528</v>
      </c>
      <c r="AB5" s="101" t="s">
        <v>537</v>
      </c>
      <c r="AC5" s="103" t="s">
        <v>538</v>
      </c>
      <c r="AD5" s="99" t="s">
        <v>539</v>
      </c>
      <c r="AE5" s="100" t="s">
        <v>543</v>
      </c>
      <c r="AF5" s="100" t="s">
        <v>544</v>
      </c>
      <c r="AG5" s="106" t="s">
        <v>550</v>
      </c>
      <c r="AH5" s="267" t="s">
        <v>551</v>
      </c>
      <c r="AI5" s="104" t="s">
        <v>553</v>
      </c>
      <c r="AJ5" s="105" t="s">
        <v>554</v>
      </c>
      <c r="AK5" s="105" t="s">
        <v>569</v>
      </c>
      <c r="AL5" s="106" t="s">
        <v>570</v>
      </c>
      <c r="AM5" s="267" t="s">
        <v>571</v>
      </c>
      <c r="AN5" s="372" t="s">
        <v>574</v>
      </c>
      <c r="AO5" s="373" t="s">
        <v>589</v>
      </c>
      <c r="AP5" s="105" t="s">
        <v>597</v>
      </c>
      <c r="AQ5" s="374" t="s">
        <v>605</v>
      </c>
      <c r="AR5" s="103" t="s">
        <v>604</v>
      </c>
      <c r="AS5" s="372" t="s">
        <v>631</v>
      </c>
      <c r="AT5" s="373" t="s">
        <v>638</v>
      </c>
      <c r="AU5" s="373" t="s">
        <v>640</v>
      </c>
      <c r="AV5" s="374" t="s">
        <v>664</v>
      </c>
      <c r="AW5" s="375" t="s">
        <v>665</v>
      </c>
      <c r="AX5" s="372" t="s">
        <v>529</v>
      </c>
      <c r="AY5" s="373" t="s">
        <v>530</v>
      </c>
      <c r="AZ5" s="373" t="s">
        <v>531</v>
      </c>
      <c r="BA5" s="374" t="s">
        <v>532</v>
      </c>
      <c r="BB5" s="375">
        <v>2018</v>
      </c>
      <c r="BC5" s="372" t="s">
        <v>555</v>
      </c>
      <c r="BD5" s="373" t="s">
        <v>556</v>
      </c>
      <c r="BE5" s="373" t="s">
        <v>557</v>
      </c>
      <c r="BF5" s="374" t="s">
        <v>558</v>
      </c>
      <c r="BG5" s="375">
        <v>2019</v>
      </c>
      <c r="BH5" s="372" t="s">
        <v>599</v>
      </c>
      <c r="BI5" s="373" t="s">
        <v>600</v>
      </c>
      <c r="BJ5" s="373" t="s">
        <v>601</v>
      </c>
      <c r="BK5" s="374" t="s">
        <v>602</v>
      </c>
      <c r="BL5" s="375">
        <v>2020</v>
      </c>
      <c r="BM5" s="372" t="s">
        <v>670</v>
      </c>
      <c r="BN5" s="373" t="s">
        <v>671</v>
      </c>
      <c r="BO5" s="373" t="s">
        <v>672</v>
      </c>
      <c r="BP5" s="374" t="s">
        <v>673</v>
      </c>
      <c r="BQ5" s="375">
        <v>2021</v>
      </c>
      <c r="BR5" s="268"/>
      <c r="BS5" s="268"/>
      <c r="BT5" s="268"/>
      <c r="BU5" s="268"/>
      <c r="BV5" s="268"/>
      <c r="BW5" s="268"/>
      <c r="BX5" s="268"/>
      <c r="BY5" s="268"/>
      <c r="BZ5" s="268"/>
      <c r="CA5" s="268"/>
      <c r="CB5" s="268"/>
      <c r="CC5" s="268"/>
      <c r="CD5" s="268"/>
      <c r="CE5" s="268"/>
      <c r="CF5" s="268"/>
      <c r="CG5" s="268"/>
      <c r="CH5" s="268"/>
      <c r="CI5" s="268"/>
      <c r="CJ5" s="268"/>
      <c r="CK5" s="268"/>
      <c r="CL5" s="268"/>
      <c r="CM5" s="268"/>
      <c r="CN5" s="268"/>
      <c r="CO5" s="268"/>
      <c r="CP5" s="268"/>
      <c r="CQ5" s="268"/>
      <c r="CR5" s="268"/>
      <c r="CS5" s="268"/>
      <c r="CT5" s="268"/>
      <c r="CU5" s="268"/>
      <c r="CV5" s="268"/>
      <c r="CW5" s="268"/>
      <c r="CX5" s="268"/>
      <c r="CY5" s="268"/>
      <c r="CZ5" s="268"/>
    </row>
    <row r="6" spans="1:104" x14ac:dyDescent="0.2">
      <c r="E6" s="120"/>
      <c r="F6" s="139"/>
      <c r="G6" s="139"/>
      <c r="H6" s="119"/>
      <c r="I6" s="42"/>
      <c r="J6" s="120"/>
      <c r="K6" s="139"/>
      <c r="L6" s="139"/>
      <c r="M6" s="119"/>
      <c r="N6" s="42"/>
      <c r="O6" s="120"/>
      <c r="P6" s="139"/>
      <c r="Q6" s="139"/>
      <c r="R6" s="119"/>
      <c r="S6" s="42"/>
      <c r="T6" s="120"/>
      <c r="U6" s="139"/>
      <c r="V6" s="139"/>
      <c r="W6" s="119"/>
      <c r="X6" s="42"/>
      <c r="Y6" s="120"/>
      <c r="Z6" s="139"/>
      <c r="AA6" s="139"/>
      <c r="AB6" s="119"/>
      <c r="AC6" s="42"/>
      <c r="AD6" s="120"/>
      <c r="AE6" s="139"/>
      <c r="AF6" s="139"/>
      <c r="AG6" s="119"/>
      <c r="AH6" s="42"/>
      <c r="AI6" s="120"/>
      <c r="AJ6" s="139"/>
      <c r="AK6" s="139"/>
      <c r="AL6" s="119"/>
      <c r="AM6" s="42"/>
      <c r="AN6" s="120"/>
      <c r="AO6" s="139"/>
      <c r="AP6" s="139"/>
      <c r="AQ6" s="119"/>
      <c r="AR6" s="42"/>
      <c r="AS6" s="120"/>
      <c r="AT6" s="139"/>
      <c r="AU6" s="139"/>
      <c r="AV6" s="119"/>
      <c r="AW6" s="42"/>
      <c r="AX6" s="120"/>
      <c r="AY6" s="139"/>
      <c r="AZ6" s="139"/>
      <c r="BA6" s="119"/>
      <c r="BB6" s="42"/>
      <c r="BC6" s="120"/>
      <c r="BD6" s="139"/>
      <c r="BE6" s="139"/>
      <c r="BF6" s="119"/>
      <c r="BG6" s="42"/>
      <c r="BH6" s="120"/>
      <c r="BI6" s="139"/>
      <c r="BJ6" s="139"/>
      <c r="BK6" s="119"/>
      <c r="BL6" s="42"/>
      <c r="BM6" s="120"/>
      <c r="BN6" s="139"/>
      <c r="BO6" s="139"/>
      <c r="BP6" s="119"/>
      <c r="BQ6" s="42"/>
    </row>
    <row r="7" spans="1:104" x14ac:dyDescent="0.2">
      <c r="B7" s="16" t="s">
        <v>111</v>
      </c>
      <c r="C7" s="16"/>
      <c r="D7" s="17"/>
      <c r="E7" s="120"/>
      <c r="F7" s="139"/>
      <c r="G7" s="139"/>
      <c r="H7" s="119"/>
      <c r="I7" s="42"/>
      <c r="J7" s="120"/>
      <c r="K7" s="139"/>
      <c r="L7" s="139"/>
      <c r="M7" s="119"/>
      <c r="N7" s="42"/>
      <c r="O7" s="120"/>
      <c r="P7" s="139"/>
      <c r="Q7" s="139"/>
      <c r="R7" s="119"/>
      <c r="S7" s="42"/>
      <c r="T7" s="120"/>
      <c r="U7" s="139"/>
      <c r="V7" s="139"/>
      <c r="W7" s="119"/>
      <c r="X7" s="42"/>
      <c r="Y7" s="120"/>
      <c r="Z7" s="139"/>
      <c r="AA7" s="139"/>
      <c r="AB7" s="119"/>
      <c r="AC7" s="42"/>
      <c r="AD7" s="120"/>
      <c r="AE7" s="139"/>
      <c r="AF7" s="139"/>
      <c r="AG7" s="119"/>
      <c r="AH7" s="42"/>
      <c r="AI7" s="120"/>
      <c r="AJ7" s="139"/>
      <c r="AK7" s="139"/>
      <c r="AL7" s="119"/>
      <c r="AM7" s="42"/>
      <c r="AN7" s="120"/>
      <c r="AO7" s="139"/>
      <c r="AP7" s="139"/>
      <c r="AQ7" s="119"/>
      <c r="AR7" s="42"/>
      <c r="AS7" s="120"/>
      <c r="AT7" s="139"/>
      <c r="AU7" s="139"/>
      <c r="AV7" s="119"/>
      <c r="AW7" s="42"/>
      <c r="AX7" s="120"/>
      <c r="AY7" s="139"/>
      <c r="AZ7" s="139"/>
      <c r="BA7" s="119"/>
      <c r="BB7" s="42"/>
      <c r="BC7" s="120"/>
      <c r="BD7" s="139"/>
      <c r="BE7" s="139"/>
      <c r="BF7" s="119"/>
      <c r="BG7" s="42"/>
      <c r="BH7" s="120"/>
      <c r="BI7" s="139"/>
      <c r="BJ7" s="139"/>
      <c r="BK7" s="119"/>
      <c r="BL7" s="42"/>
      <c r="BM7" s="120"/>
      <c r="BN7" s="139"/>
      <c r="BO7" s="139"/>
      <c r="BP7" s="119"/>
      <c r="BQ7" s="42"/>
    </row>
    <row r="8" spans="1:104" x14ac:dyDescent="0.2">
      <c r="A8" s="220"/>
      <c r="B8" s="220"/>
      <c r="C8" s="20" t="s">
        <v>112</v>
      </c>
      <c r="D8" s="42"/>
      <c r="E8" s="114">
        <v>184.328</v>
      </c>
      <c r="F8" s="115">
        <v>153.059</v>
      </c>
      <c r="G8" s="115">
        <v>170.06299999999999</v>
      </c>
      <c r="H8" s="131">
        <f>I8-SUM(E8:G8)</f>
        <v>164.25299999999999</v>
      </c>
      <c r="I8" s="117">
        <v>671.70299999999997</v>
      </c>
      <c r="J8" s="114">
        <v>173.06200000000001</v>
      </c>
      <c r="K8" s="115">
        <v>164.08199999999999</v>
      </c>
      <c r="L8" s="115">
        <v>198.61699999999999</v>
      </c>
      <c r="M8" s="131">
        <f>N8-SUM(J8:L8)</f>
        <v>172.41800000000001</v>
      </c>
      <c r="N8" s="117">
        <v>708.17899999999997</v>
      </c>
      <c r="O8" s="114">
        <v>184.36799999999999</v>
      </c>
      <c r="P8" s="115">
        <v>178.69200000000001</v>
      </c>
      <c r="Q8" s="115">
        <v>210.81</v>
      </c>
      <c r="R8" s="131">
        <f>S8-SUM(O8:Q8)</f>
        <v>181.26599999999996</v>
      </c>
      <c r="S8" s="117">
        <v>755.13599999999997</v>
      </c>
      <c r="T8" s="114">
        <v>182.001</v>
      </c>
      <c r="U8" s="115">
        <v>179.10499999999999</v>
      </c>
      <c r="V8" s="115">
        <v>214.42599999999999</v>
      </c>
      <c r="W8" s="131">
        <f>X8-SUM(T8:V8)</f>
        <v>182.03300000000013</v>
      </c>
      <c r="X8" s="117">
        <v>757.56500000000005</v>
      </c>
      <c r="Y8" s="114">
        <v>190.81100000000001</v>
      </c>
      <c r="Z8" s="115">
        <v>185.374</v>
      </c>
      <c r="AA8" s="115">
        <v>216.54499999999999</v>
      </c>
      <c r="AB8" s="131">
        <f>AC8-SUM(Y8:AA8)</f>
        <v>196.43799999999999</v>
      </c>
      <c r="AC8" s="117">
        <v>789.16800000000001</v>
      </c>
      <c r="AD8" s="114">
        <v>211.09700000000001</v>
      </c>
      <c r="AE8" s="115">
        <v>198.27699999999999</v>
      </c>
      <c r="AF8" s="115">
        <v>216.28899999999999</v>
      </c>
      <c r="AG8" s="131">
        <f>AH8-SUM(AD8:AF8)</f>
        <v>204.08500000000004</v>
      </c>
      <c r="AH8" s="117">
        <v>829.74800000000005</v>
      </c>
      <c r="AI8" s="114">
        <v>210.28399999999999</v>
      </c>
      <c r="AJ8" s="115">
        <v>199.62100000000001</v>
      </c>
      <c r="AK8" s="115">
        <v>224.666</v>
      </c>
      <c r="AL8" s="131">
        <f>AM8-SUM(AI8:AK8)</f>
        <v>200.42700000000013</v>
      </c>
      <c r="AM8" s="117">
        <v>834.99800000000005</v>
      </c>
      <c r="AN8" s="114">
        <v>211.524</v>
      </c>
      <c r="AO8" s="115">
        <v>202.87899999999999</v>
      </c>
      <c r="AP8" s="934">
        <v>232.21600000000001</v>
      </c>
      <c r="AQ8" s="131">
        <f>AR8-SUM(AN8:AP8)</f>
        <v>203.327</v>
      </c>
      <c r="AR8" s="117">
        <v>849.94600000000003</v>
      </c>
      <c r="AS8" s="114">
        <v>216.309</v>
      </c>
      <c r="AT8" s="115">
        <v>210.74199999999999</v>
      </c>
      <c r="AU8" s="934">
        <v>232.80199999999999</v>
      </c>
      <c r="AV8" s="131">
        <f>AW8-SUM(AS8:AU8)</f>
        <v>222.03800000000001</v>
      </c>
      <c r="AW8" s="117">
        <v>881.89099999999996</v>
      </c>
      <c r="AX8" s="136">
        <f>+AX87</f>
        <v>213.96697132</v>
      </c>
      <c r="AY8" s="135">
        <f>+AY87</f>
        <v>208.43029202</v>
      </c>
      <c r="AZ8" s="135">
        <f>+AZ87</f>
        <v>231.56706669785999</v>
      </c>
      <c r="BA8" s="116">
        <f>+BA87</f>
        <v>218.79191418313997</v>
      </c>
      <c r="BB8" s="82">
        <f>SUM(AX8:BA8)</f>
        <v>872.75624422099997</v>
      </c>
      <c r="BC8" s="136">
        <f>+BC87</f>
        <v>216.92175124829998</v>
      </c>
      <c r="BD8" s="135">
        <f>+BD87</f>
        <v>211.48966025004998</v>
      </c>
      <c r="BE8" s="135">
        <f>+BE87</f>
        <v>235.34718078210463</v>
      </c>
      <c r="BF8" s="116">
        <f>+BF87</f>
        <v>221.75152505109781</v>
      </c>
      <c r="BG8" s="82">
        <f>SUM(BC8:BF8)</f>
        <v>885.51011733155235</v>
      </c>
      <c r="BH8" s="136">
        <f>+BH87</f>
        <v>220.80391812642074</v>
      </c>
      <c r="BI8" s="135">
        <f>+BI87</f>
        <v>215.51667690067507</v>
      </c>
      <c r="BJ8" s="135">
        <f>+BJ87</f>
        <v>240.33674515155985</v>
      </c>
      <c r="BK8" s="116">
        <f>+BK87</f>
        <v>225.63853494622558</v>
      </c>
      <c r="BL8" s="82">
        <f>SUM(BH8:BK8)</f>
        <v>902.29587512488126</v>
      </c>
      <c r="BM8" s="136">
        <f>+BM87</f>
        <v>224.46579042173676</v>
      </c>
      <c r="BN8" s="135">
        <f>+BN87</f>
        <v>219.31376109292674</v>
      </c>
      <c r="BO8" s="135">
        <f>+BO87</f>
        <v>245.03878343193875</v>
      </c>
      <c r="BP8" s="116">
        <f>+BP87</f>
        <v>229.30526236609111</v>
      </c>
      <c r="BQ8" s="82">
        <f>SUM(BM8:BP8)</f>
        <v>918.12359731269339</v>
      </c>
      <c r="BR8" s="220"/>
      <c r="BS8" s="220"/>
      <c r="BT8" s="220"/>
      <c r="BU8" s="220"/>
      <c r="BV8" s="220"/>
      <c r="BW8" s="220"/>
      <c r="BX8" s="220"/>
      <c r="BY8" s="220"/>
      <c r="BZ8" s="220"/>
      <c r="CA8" s="220"/>
      <c r="CB8" s="220"/>
      <c r="CC8" s="220"/>
      <c r="CD8" s="220"/>
      <c r="CE8" s="220"/>
      <c r="CF8" s="220"/>
      <c r="CG8" s="220"/>
      <c r="CH8" s="220"/>
      <c r="CI8" s="220"/>
      <c r="CJ8" s="220"/>
      <c r="CK8" s="220"/>
      <c r="CL8" s="220"/>
      <c r="CM8" s="220"/>
      <c r="CN8" s="220"/>
      <c r="CO8" s="220"/>
      <c r="CP8" s="220"/>
      <c r="CQ8" s="220"/>
      <c r="CR8" s="220"/>
      <c r="CS8" s="220"/>
      <c r="CT8" s="220"/>
      <c r="CU8" s="220"/>
      <c r="CV8" s="220"/>
      <c r="CW8" s="220"/>
      <c r="CX8" s="220"/>
      <c r="CY8" s="220"/>
      <c r="CZ8" s="220"/>
    </row>
    <row r="9" spans="1:104" x14ac:dyDescent="0.2">
      <c r="A9" s="220"/>
      <c r="B9" s="220"/>
      <c r="C9" s="20" t="s">
        <v>113</v>
      </c>
      <c r="D9" s="42"/>
      <c r="E9" s="114">
        <v>64.31</v>
      </c>
      <c r="F9" s="115">
        <v>17.907</v>
      </c>
      <c r="G9" s="115">
        <v>11.983000000000001</v>
      </c>
      <c r="H9" s="131">
        <f>I9-SUM(E9:G9)</f>
        <v>37.355000000000004</v>
      </c>
      <c r="I9" s="117">
        <v>131.55500000000001</v>
      </c>
      <c r="J9" s="114">
        <v>51.481000000000002</v>
      </c>
      <c r="K9" s="115">
        <v>15.281000000000001</v>
      </c>
      <c r="L9" s="115">
        <v>12.186</v>
      </c>
      <c r="M9" s="131">
        <f>N9-SUM(J9:L9)</f>
        <v>39.127999999999986</v>
      </c>
      <c r="N9" s="117">
        <v>118.07599999999999</v>
      </c>
      <c r="O9" s="114">
        <v>53.482999999999997</v>
      </c>
      <c r="P9" s="115">
        <v>19.88</v>
      </c>
      <c r="Q9" s="115">
        <v>13.311999999999999</v>
      </c>
      <c r="R9" s="131">
        <f>S9-SUM(O9:Q9)</f>
        <v>32.772000000000006</v>
      </c>
      <c r="S9" s="117">
        <v>119.447</v>
      </c>
      <c r="T9" s="114">
        <v>41.491999999999997</v>
      </c>
      <c r="U9" s="115">
        <v>14.83</v>
      </c>
      <c r="V9" s="115">
        <v>11.742000000000001</v>
      </c>
      <c r="W9" s="131">
        <f>X9-SUM(T9:V9)</f>
        <v>35.036000000000001</v>
      </c>
      <c r="X9" s="117">
        <v>103.1</v>
      </c>
      <c r="Y9" s="114">
        <v>50.356999999999999</v>
      </c>
      <c r="Z9" s="115">
        <v>24.555</v>
      </c>
      <c r="AA9" s="115">
        <v>14.266</v>
      </c>
      <c r="AB9" s="131">
        <f>AC9-SUM(Y9:AA9)</f>
        <v>43.688999999999979</v>
      </c>
      <c r="AC9" s="117">
        <v>132.86699999999999</v>
      </c>
      <c r="AD9" s="114">
        <v>73.790999999999997</v>
      </c>
      <c r="AE9" s="115">
        <v>29.539000000000001</v>
      </c>
      <c r="AF9" s="115">
        <v>14.484</v>
      </c>
      <c r="AG9" s="131">
        <f>AH9-SUM(AD9:AF9)</f>
        <v>51.814999999999998</v>
      </c>
      <c r="AH9" s="117">
        <v>169.62899999999999</v>
      </c>
      <c r="AI9" s="114">
        <v>63.295999999999999</v>
      </c>
      <c r="AJ9" s="115">
        <v>16.888999999999999</v>
      </c>
      <c r="AK9" s="115">
        <v>11.087999999999999</v>
      </c>
      <c r="AL9" s="131">
        <f>AM9-SUM(AI9:AK9)</f>
        <v>28.874000000000009</v>
      </c>
      <c r="AM9" s="117">
        <v>120.14700000000001</v>
      </c>
      <c r="AN9" s="114">
        <v>43.02</v>
      </c>
      <c r="AO9" s="115">
        <v>16.004999999999999</v>
      </c>
      <c r="AP9" s="934">
        <v>13.646000000000001</v>
      </c>
      <c r="AQ9" s="131">
        <f>AR9-SUM(AN9:AP9)</f>
        <v>33.48599999999999</v>
      </c>
      <c r="AR9" s="117">
        <v>106.157</v>
      </c>
      <c r="AS9" s="114">
        <v>48.347000000000001</v>
      </c>
      <c r="AT9" s="115">
        <v>19.027000000000001</v>
      </c>
      <c r="AU9" s="934">
        <v>14.394</v>
      </c>
      <c r="AV9" s="131">
        <f>AW9-SUM(AS9:AU9)</f>
        <v>40.584999999999994</v>
      </c>
      <c r="AW9" s="117">
        <v>122.35299999999999</v>
      </c>
      <c r="AX9" s="136">
        <f>+AX114</f>
        <v>54.656054098081988</v>
      </c>
      <c r="AY9" s="137">
        <f>+AY114</f>
        <v>20.549611569758277</v>
      </c>
      <c r="AZ9" s="137">
        <f>+AZ114</f>
        <v>14.860546700210191</v>
      </c>
      <c r="BA9" s="116">
        <f>+BA114</f>
        <v>44.260450031793212</v>
      </c>
      <c r="BB9" s="82">
        <f>SUM(AX9:BA9)</f>
        <v>134.32666239984366</v>
      </c>
      <c r="BC9" s="136">
        <f>+BC114</f>
        <v>56.796956661816886</v>
      </c>
      <c r="BD9" s="137">
        <f>+BD114</f>
        <v>21.258968968460106</v>
      </c>
      <c r="BE9" s="137">
        <f>+BE114</f>
        <v>15.081186556797098</v>
      </c>
      <c r="BF9" s="116">
        <f>+BF114</f>
        <v>45.933770951916806</v>
      </c>
      <c r="BG9" s="82">
        <f>SUM(BC9:BF9)</f>
        <v>139.07088313899089</v>
      </c>
      <c r="BH9" s="136">
        <f>+BH114</f>
        <v>58.933643074188396</v>
      </c>
      <c r="BI9" s="137">
        <f>+BI114</f>
        <v>21.966945415173683</v>
      </c>
      <c r="BJ9" s="137">
        <f>+BJ114</f>
        <v>15.301406145502597</v>
      </c>
      <c r="BK9" s="116">
        <f>+BK114</f>
        <v>47.604254110825082</v>
      </c>
      <c r="BL9" s="82">
        <f>SUM(BH9:BK9)</f>
        <v>143.80624874568974</v>
      </c>
      <c r="BM9" s="136">
        <f>+BM114</f>
        <v>61.066126146708775</v>
      </c>
      <c r="BN9" s="137">
        <f>+BN114</f>
        <v>22.673545139572131</v>
      </c>
      <c r="BO9" s="137">
        <f>+BO114</f>
        <v>15.521206776846791</v>
      </c>
      <c r="BP9" s="116">
        <f>+BP114</f>
        <v>49.271908936252586</v>
      </c>
      <c r="BQ9" s="82">
        <f>SUM(BM9:BP9)</f>
        <v>148.53278699938028</v>
      </c>
      <c r="BR9" s="220"/>
      <c r="BS9" s="220"/>
      <c r="BT9" s="220"/>
      <c r="BU9" s="220"/>
      <c r="BV9" s="220"/>
      <c r="BW9" s="220"/>
      <c r="BX9" s="220"/>
      <c r="BY9" s="220"/>
      <c r="BZ9" s="220"/>
      <c r="CA9" s="220"/>
      <c r="CB9" s="220"/>
      <c r="CC9" s="220"/>
      <c r="CD9" s="220"/>
      <c r="CE9" s="220"/>
      <c r="CF9" s="220"/>
      <c r="CG9" s="220"/>
      <c r="CH9" s="220"/>
      <c r="CI9" s="220"/>
      <c r="CJ9" s="220"/>
      <c r="CK9" s="220"/>
      <c r="CL9" s="220"/>
      <c r="CM9" s="220"/>
      <c r="CN9" s="220"/>
      <c r="CO9" s="220"/>
      <c r="CP9" s="220"/>
      <c r="CQ9" s="220"/>
      <c r="CR9" s="220"/>
      <c r="CS9" s="220"/>
      <c r="CT9" s="220"/>
      <c r="CU9" s="220"/>
      <c r="CV9" s="220"/>
      <c r="CW9" s="220"/>
      <c r="CX9" s="220"/>
      <c r="CY9" s="220"/>
      <c r="CZ9" s="220"/>
    </row>
    <row r="10" spans="1:104" x14ac:dyDescent="0.2">
      <c r="A10" s="220"/>
      <c r="B10" s="220"/>
      <c r="C10" s="20" t="s">
        <v>97</v>
      </c>
      <c r="D10" s="42"/>
      <c r="E10" s="114">
        <v>0.216</v>
      </c>
      <c r="F10" s="115">
        <v>0.22</v>
      </c>
      <c r="G10" s="115">
        <v>0.219</v>
      </c>
      <c r="H10" s="131">
        <f>I10-SUM(E10:G10)</f>
        <v>0.23799999999999999</v>
      </c>
      <c r="I10" s="117">
        <v>0.89300000000000002</v>
      </c>
      <c r="J10" s="114">
        <v>0.22600000000000001</v>
      </c>
      <c r="K10" s="115">
        <v>0.23400000000000001</v>
      </c>
      <c r="L10" s="115">
        <v>0.26500000000000001</v>
      </c>
      <c r="M10" s="131">
        <f>N10-SUM(J10:L10)</f>
        <v>0.31099999999999994</v>
      </c>
      <c r="N10" s="117">
        <v>1.036</v>
      </c>
      <c r="O10" s="114">
        <v>0.25700000000000001</v>
      </c>
      <c r="P10" s="115">
        <v>0.27800000000000002</v>
      </c>
      <c r="Q10" s="115">
        <v>0.34599999999999997</v>
      </c>
      <c r="R10" s="131">
        <f>S10-SUM(O10:Q10)</f>
        <v>0.32600000000000007</v>
      </c>
      <c r="S10" s="117">
        <v>1.2070000000000001</v>
      </c>
      <c r="T10" s="114">
        <v>0.30599999999999999</v>
      </c>
      <c r="U10" s="115">
        <v>0.23799999999999999</v>
      </c>
      <c r="V10" s="115">
        <v>0.307</v>
      </c>
      <c r="W10" s="131">
        <f>X10-SUM(T10:V10)</f>
        <v>0.32600000000000007</v>
      </c>
      <c r="X10" s="117">
        <v>1.177</v>
      </c>
      <c r="Y10" s="114">
        <v>0.247</v>
      </c>
      <c r="Z10" s="115">
        <v>0.246</v>
      </c>
      <c r="AA10" s="115">
        <v>0.249</v>
      </c>
      <c r="AB10" s="131">
        <f>AC10-SUM(Y10:AA10)</f>
        <v>0.2609999999999999</v>
      </c>
      <c r="AC10" s="117">
        <v>1.0029999999999999</v>
      </c>
      <c r="AD10" s="114">
        <v>0.254</v>
      </c>
      <c r="AE10" s="115">
        <v>0.29799999999999999</v>
      </c>
      <c r="AF10" s="115">
        <v>0.27300000000000002</v>
      </c>
      <c r="AG10" s="131">
        <f>AH10-SUM(AD10:AF10)</f>
        <v>0.2599999999999999</v>
      </c>
      <c r="AH10" s="117">
        <v>1.085</v>
      </c>
      <c r="AI10" s="114">
        <v>0.38</v>
      </c>
      <c r="AJ10" s="115">
        <v>0.30299999999999999</v>
      </c>
      <c r="AK10" s="115">
        <v>0.40699999999999997</v>
      </c>
      <c r="AL10" s="131">
        <f>AM10-SUM(AI10:AK10)</f>
        <v>0.30599999999999983</v>
      </c>
      <c r="AM10" s="117">
        <v>1.3959999999999999</v>
      </c>
      <c r="AN10" s="114">
        <v>0.30599999999999999</v>
      </c>
      <c r="AO10" s="115">
        <v>0.28899999999999998</v>
      </c>
      <c r="AP10" s="934">
        <v>0.28199999999999997</v>
      </c>
      <c r="AQ10" s="131">
        <f>AR10-SUM(AN10:AP10)</f>
        <v>0.25299999999999989</v>
      </c>
      <c r="AR10" s="117">
        <v>1.1299999999999999</v>
      </c>
      <c r="AS10" s="114">
        <v>0.27500000000000002</v>
      </c>
      <c r="AT10" s="115">
        <v>0.25700000000000001</v>
      </c>
      <c r="AU10" s="934">
        <v>0.315</v>
      </c>
      <c r="AV10" s="131">
        <f>AW10-SUM(AS10:AU10)</f>
        <v>0.3600000000000001</v>
      </c>
      <c r="AW10" s="117">
        <v>1.2070000000000001</v>
      </c>
      <c r="AX10" s="136">
        <f>+AS10</f>
        <v>0.27500000000000002</v>
      </c>
      <c r="AY10" s="135">
        <f>+AT10</f>
        <v>0.25700000000000001</v>
      </c>
      <c r="AZ10" s="135">
        <f>+AU10</f>
        <v>0.315</v>
      </c>
      <c r="BA10" s="116">
        <f>+AV10</f>
        <v>0.3600000000000001</v>
      </c>
      <c r="BB10" s="82">
        <f>SUM(AX10:BA10)</f>
        <v>1.2070000000000001</v>
      </c>
      <c r="BC10" s="136">
        <f>+AX10</f>
        <v>0.27500000000000002</v>
      </c>
      <c r="BD10" s="135">
        <f>+AY10</f>
        <v>0.25700000000000001</v>
      </c>
      <c r="BE10" s="135">
        <f>+AZ10</f>
        <v>0.315</v>
      </c>
      <c r="BF10" s="116">
        <f>+BA10</f>
        <v>0.3600000000000001</v>
      </c>
      <c r="BG10" s="82">
        <f>SUM(BC10:BF10)</f>
        <v>1.2070000000000001</v>
      </c>
      <c r="BH10" s="136">
        <f>+BC10</f>
        <v>0.27500000000000002</v>
      </c>
      <c r="BI10" s="135">
        <f>+BD10</f>
        <v>0.25700000000000001</v>
      </c>
      <c r="BJ10" s="135">
        <f>+BE10</f>
        <v>0.315</v>
      </c>
      <c r="BK10" s="116">
        <f>+BF10</f>
        <v>0.3600000000000001</v>
      </c>
      <c r="BL10" s="82">
        <f>SUM(BH10:BK10)</f>
        <v>1.2070000000000001</v>
      </c>
      <c r="BM10" s="136">
        <f>+BH10</f>
        <v>0.27500000000000002</v>
      </c>
      <c r="BN10" s="135">
        <f>+BI10</f>
        <v>0.25700000000000001</v>
      </c>
      <c r="BO10" s="135">
        <f>+BJ10</f>
        <v>0.315</v>
      </c>
      <c r="BP10" s="116">
        <f>+BK10</f>
        <v>0.3600000000000001</v>
      </c>
      <c r="BQ10" s="82">
        <f>SUM(BM10:BP10)</f>
        <v>1.2070000000000001</v>
      </c>
      <c r="BR10" s="220"/>
      <c r="BS10" s="220"/>
      <c r="BT10" s="220"/>
      <c r="BU10" s="220"/>
      <c r="BV10" s="220"/>
      <c r="BW10" s="220"/>
      <c r="BX10" s="220"/>
      <c r="BY10" s="220"/>
      <c r="BZ10" s="220"/>
      <c r="CA10" s="220"/>
      <c r="CB10" s="220"/>
      <c r="CC10" s="220"/>
      <c r="CD10" s="220"/>
      <c r="CE10" s="220"/>
      <c r="CF10" s="220"/>
      <c r="CG10" s="220"/>
      <c r="CH10" s="220"/>
      <c r="CI10" s="220"/>
      <c r="CJ10" s="220"/>
      <c r="CK10" s="220"/>
      <c r="CL10" s="220"/>
      <c r="CM10" s="220"/>
      <c r="CN10" s="220"/>
      <c r="CO10" s="220"/>
      <c r="CP10" s="220"/>
      <c r="CQ10" s="220"/>
      <c r="CR10" s="220"/>
      <c r="CS10" s="220"/>
      <c r="CT10" s="220"/>
      <c r="CU10" s="220"/>
      <c r="CV10" s="220"/>
      <c r="CW10" s="220"/>
      <c r="CX10" s="220"/>
      <c r="CY10" s="220"/>
      <c r="CZ10" s="220"/>
    </row>
    <row r="11" spans="1:104" x14ac:dyDescent="0.2">
      <c r="A11" s="85"/>
      <c r="B11" s="85"/>
      <c r="C11" s="26" t="s">
        <v>114</v>
      </c>
      <c r="D11" s="86"/>
      <c r="E11" s="121">
        <f t="shared" ref="E11:P11" si="0">SUM(E8:E10)</f>
        <v>248.85400000000001</v>
      </c>
      <c r="F11" s="122">
        <f t="shared" si="0"/>
        <v>171.18600000000001</v>
      </c>
      <c r="G11" s="122">
        <f t="shared" si="0"/>
        <v>182.26499999999999</v>
      </c>
      <c r="H11" s="123">
        <f t="shared" si="0"/>
        <v>201.846</v>
      </c>
      <c r="I11" s="86">
        <f t="shared" si="0"/>
        <v>804.15100000000007</v>
      </c>
      <c r="J11" s="121">
        <f t="shared" si="0"/>
        <v>224.76900000000001</v>
      </c>
      <c r="K11" s="122">
        <f t="shared" si="0"/>
        <v>179.59700000000001</v>
      </c>
      <c r="L11" s="122">
        <f t="shared" si="0"/>
        <v>211.06799999999998</v>
      </c>
      <c r="M11" s="123">
        <f t="shared" si="0"/>
        <v>211.857</v>
      </c>
      <c r="N11" s="86">
        <f t="shared" si="0"/>
        <v>827.29099999999994</v>
      </c>
      <c r="O11" s="121">
        <f>SUM(O8:O10)</f>
        <v>238.108</v>
      </c>
      <c r="P11" s="122">
        <f t="shared" si="0"/>
        <v>198.85</v>
      </c>
      <c r="Q11" s="122">
        <f t="shared" ref="Q11:V11" si="1">SUM(Q8:Q10)</f>
        <v>224.46800000000002</v>
      </c>
      <c r="R11" s="123">
        <f t="shared" si="1"/>
        <v>214.36399999999995</v>
      </c>
      <c r="S11" s="86">
        <f t="shared" si="1"/>
        <v>875.79</v>
      </c>
      <c r="T11" s="121">
        <f t="shared" si="1"/>
        <v>223.79900000000001</v>
      </c>
      <c r="U11" s="122">
        <f t="shared" si="1"/>
        <v>194.173</v>
      </c>
      <c r="V11" s="122">
        <f t="shared" si="1"/>
        <v>226.47499999999997</v>
      </c>
      <c r="W11" s="123">
        <f t="shared" ref="W11:AD11" si="2">SUM(W8:W10)</f>
        <v>217.39500000000012</v>
      </c>
      <c r="X11" s="86">
        <f t="shared" si="2"/>
        <v>861.8420000000001</v>
      </c>
      <c r="Y11" s="121">
        <f t="shared" si="2"/>
        <v>241.41500000000002</v>
      </c>
      <c r="Z11" s="122">
        <f t="shared" si="2"/>
        <v>210.17500000000001</v>
      </c>
      <c r="AA11" s="122">
        <f t="shared" si="2"/>
        <v>231.05999999999997</v>
      </c>
      <c r="AB11" s="123">
        <f t="shared" si="2"/>
        <v>240.38799999999995</v>
      </c>
      <c r="AC11" s="86">
        <f t="shared" si="2"/>
        <v>923.03800000000001</v>
      </c>
      <c r="AD11" s="121">
        <f t="shared" si="2"/>
        <v>285.14200000000005</v>
      </c>
      <c r="AE11" s="122">
        <f t="shared" ref="AE11:AM11" si="3">SUM(AE8:AE10)</f>
        <v>228.11399999999998</v>
      </c>
      <c r="AF11" s="122">
        <f t="shared" si="3"/>
        <v>231.04599999999999</v>
      </c>
      <c r="AG11" s="123">
        <f t="shared" si="3"/>
        <v>256.16000000000003</v>
      </c>
      <c r="AH11" s="86">
        <f t="shared" si="3"/>
        <v>1000.4620000000001</v>
      </c>
      <c r="AI11" s="121">
        <f t="shared" si="3"/>
        <v>273.95999999999998</v>
      </c>
      <c r="AJ11" s="122">
        <f t="shared" si="3"/>
        <v>216.81300000000002</v>
      </c>
      <c r="AK11" s="122">
        <f t="shared" si="3"/>
        <v>236.161</v>
      </c>
      <c r="AL11" s="123">
        <f t="shared" si="3"/>
        <v>229.60700000000017</v>
      </c>
      <c r="AM11" s="86">
        <f t="shared" si="3"/>
        <v>956.54100000000005</v>
      </c>
      <c r="AN11" s="121">
        <f t="shared" ref="AN11:AU11" si="4">SUM(AN8:AN10)</f>
        <v>254.85000000000002</v>
      </c>
      <c r="AO11" s="122">
        <f t="shared" si="4"/>
        <v>219.17299999999997</v>
      </c>
      <c r="AP11" s="935">
        <f t="shared" si="4"/>
        <v>246.14400000000003</v>
      </c>
      <c r="AQ11" s="123">
        <f t="shared" si="4"/>
        <v>237.06599999999997</v>
      </c>
      <c r="AR11" s="86">
        <f t="shared" si="4"/>
        <v>957.23300000000006</v>
      </c>
      <c r="AS11" s="121">
        <f>SUM(AS8:AS10)</f>
        <v>264.93099999999998</v>
      </c>
      <c r="AT11" s="122">
        <f>SUM(AT8:AT10)</f>
        <v>230.02600000000001</v>
      </c>
      <c r="AU11" s="935">
        <f t="shared" si="4"/>
        <v>247.511</v>
      </c>
      <c r="AV11" s="123">
        <f t="shared" ref="AV11:AW11" si="5">SUM(AV8:AV10)</f>
        <v>262.983</v>
      </c>
      <c r="AW11" s="86">
        <f t="shared" si="5"/>
        <v>1005.4509999999999</v>
      </c>
      <c r="AX11" s="121">
        <f t="shared" ref="AX11:BG11" si="6">SUM(AX8:AX10)</f>
        <v>268.89802541808194</v>
      </c>
      <c r="AY11" s="122">
        <f t="shared" si="6"/>
        <v>229.23690358975827</v>
      </c>
      <c r="AZ11" s="122">
        <f t="shared" si="6"/>
        <v>246.74261339807018</v>
      </c>
      <c r="BA11" s="123">
        <f t="shared" si="6"/>
        <v>263.41236421493318</v>
      </c>
      <c r="BB11" s="86">
        <f t="shared" si="6"/>
        <v>1008.2899066208437</v>
      </c>
      <c r="BC11" s="121">
        <f t="shared" si="6"/>
        <v>273.99370791011683</v>
      </c>
      <c r="BD11" s="122">
        <f t="shared" si="6"/>
        <v>233.00562921851008</v>
      </c>
      <c r="BE11" s="122">
        <f t="shared" si="6"/>
        <v>250.74336733890172</v>
      </c>
      <c r="BF11" s="123">
        <f t="shared" si="6"/>
        <v>268.04529600301464</v>
      </c>
      <c r="BG11" s="86">
        <f t="shared" si="6"/>
        <v>1025.7880004705432</v>
      </c>
      <c r="BH11" s="121">
        <f t="shared" ref="BH11:BQ11" si="7">SUM(BH8:BH10)</f>
        <v>280.01256120060913</v>
      </c>
      <c r="BI11" s="122">
        <f t="shared" si="7"/>
        <v>237.74062231584875</v>
      </c>
      <c r="BJ11" s="122">
        <f t="shared" si="7"/>
        <v>255.95315129706245</v>
      </c>
      <c r="BK11" s="123">
        <f t="shared" si="7"/>
        <v>273.6027890570507</v>
      </c>
      <c r="BL11" s="86">
        <f t="shared" si="7"/>
        <v>1047.3091238705711</v>
      </c>
      <c r="BM11" s="121">
        <f t="shared" si="7"/>
        <v>285.8069165684455</v>
      </c>
      <c r="BN11" s="122">
        <f t="shared" si="7"/>
        <v>242.24430623249887</v>
      </c>
      <c r="BO11" s="122">
        <f t="shared" si="7"/>
        <v>260.87499020878556</v>
      </c>
      <c r="BP11" s="123">
        <f t="shared" si="7"/>
        <v>278.9371713023437</v>
      </c>
      <c r="BQ11" s="86">
        <f t="shared" si="7"/>
        <v>1067.8633843120738</v>
      </c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</row>
    <row r="12" spans="1:104" x14ac:dyDescent="0.2">
      <c r="A12" s="220"/>
      <c r="B12" s="220"/>
      <c r="C12" s="20"/>
      <c r="D12" s="82"/>
      <c r="E12" s="114"/>
      <c r="F12" s="133"/>
      <c r="G12" s="133"/>
      <c r="H12" s="131"/>
      <c r="I12" s="117"/>
      <c r="J12" s="114"/>
      <c r="K12" s="133"/>
      <c r="L12" s="133"/>
      <c r="M12" s="131"/>
      <c r="N12" s="117"/>
      <c r="O12" s="114"/>
      <c r="P12" s="115"/>
      <c r="Q12" s="115"/>
      <c r="R12" s="131"/>
      <c r="S12" s="117"/>
      <c r="T12" s="114"/>
      <c r="U12" s="115"/>
      <c r="V12" s="115"/>
      <c r="W12" s="131"/>
      <c r="X12" s="117"/>
      <c r="Y12" s="114"/>
      <c r="Z12" s="115"/>
      <c r="AA12" s="115"/>
      <c r="AB12" s="131"/>
      <c r="AC12" s="117"/>
      <c r="AD12" s="114"/>
      <c r="AE12" s="115"/>
      <c r="AF12" s="115"/>
      <c r="AG12" s="131"/>
      <c r="AH12" s="117"/>
      <c r="AI12" s="114"/>
      <c r="AJ12" s="115"/>
      <c r="AK12" s="115"/>
      <c r="AL12" s="131"/>
      <c r="AM12" s="117"/>
      <c r="AN12" s="114"/>
      <c r="AO12" s="115"/>
      <c r="AP12" s="936"/>
      <c r="AQ12" s="131"/>
      <c r="AR12" s="117"/>
      <c r="AS12" s="114"/>
      <c r="AT12" s="115"/>
      <c r="AU12" s="137"/>
      <c r="AV12" s="131"/>
      <c r="AW12" s="117"/>
      <c r="AX12" s="136"/>
      <c r="AY12" s="137"/>
      <c r="AZ12" s="137"/>
      <c r="BA12" s="116"/>
      <c r="BB12" s="82"/>
      <c r="BC12" s="136"/>
      <c r="BD12" s="137"/>
      <c r="BE12" s="137"/>
      <c r="BF12" s="116"/>
      <c r="BG12" s="82"/>
      <c r="BH12" s="136"/>
      <c r="BI12" s="137"/>
      <c r="BJ12" s="137"/>
      <c r="BK12" s="116"/>
      <c r="BL12" s="82"/>
      <c r="BM12" s="136"/>
      <c r="BN12" s="137"/>
      <c r="BO12" s="137"/>
      <c r="BP12" s="116"/>
      <c r="BQ12" s="82"/>
      <c r="BR12" s="220"/>
      <c r="BS12" s="220"/>
      <c r="BT12" s="220"/>
      <c r="BU12" s="220"/>
      <c r="BV12" s="220"/>
      <c r="BW12" s="220"/>
      <c r="BX12" s="220"/>
      <c r="BY12" s="220"/>
      <c r="BZ12" s="220"/>
      <c r="CA12" s="220"/>
      <c r="CB12" s="220"/>
      <c r="CC12" s="220"/>
      <c r="CD12" s="220"/>
      <c r="CE12" s="220"/>
      <c r="CF12" s="220"/>
      <c r="CG12" s="220"/>
      <c r="CH12" s="220"/>
      <c r="CI12" s="220"/>
      <c r="CJ12" s="220"/>
      <c r="CK12" s="220"/>
      <c r="CL12" s="220"/>
      <c r="CM12" s="220"/>
      <c r="CN12" s="220"/>
      <c r="CO12" s="220"/>
      <c r="CP12" s="220"/>
      <c r="CQ12" s="220"/>
      <c r="CR12" s="220"/>
      <c r="CS12" s="220"/>
      <c r="CT12" s="220"/>
      <c r="CU12" s="220"/>
      <c r="CV12" s="220"/>
      <c r="CW12" s="220"/>
      <c r="CX12" s="220"/>
      <c r="CY12" s="220"/>
      <c r="CZ12" s="220"/>
    </row>
    <row r="13" spans="1:104" x14ac:dyDescent="0.2">
      <c r="A13" s="220"/>
      <c r="B13" s="220"/>
      <c r="C13" s="20" t="s">
        <v>115</v>
      </c>
      <c r="D13" s="82"/>
      <c r="E13" s="114">
        <v>101.15</v>
      </c>
      <c r="F13" s="115">
        <v>89.876999999999995</v>
      </c>
      <c r="G13" s="115">
        <v>91.581999999999994</v>
      </c>
      <c r="H13" s="131">
        <f>I13-SUM(E13:G13)</f>
        <v>95.175000000000011</v>
      </c>
      <c r="I13" s="117">
        <v>377.78399999999999</v>
      </c>
      <c r="J13" s="114">
        <v>97.35</v>
      </c>
      <c r="K13" s="115">
        <v>99.534999999999997</v>
      </c>
      <c r="L13" s="115">
        <v>105.624</v>
      </c>
      <c r="M13" s="131">
        <f>N13-SUM(J13:L13)</f>
        <v>97.230999999999995</v>
      </c>
      <c r="N13" s="117">
        <v>399.74</v>
      </c>
      <c r="O13" s="114">
        <v>105.482</v>
      </c>
      <c r="P13" s="115">
        <v>100.18300000000001</v>
      </c>
      <c r="Q13" s="115">
        <v>109.877</v>
      </c>
      <c r="R13" s="131">
        <f>S13-SUM(O13:Q13)</f>
        <v>105.06399999999996</v>
      </c>
      <c r="S13" s="117">
        <v>420.60599999999999</v>
      </c>
      <c r="T13" s="114">
        <v>102.614</v>
      </c>
      <c r="U13" s="115">
        <v>103.28</v>
      </c>
      <c r="V13" s="115">
        <v>111.08799999999999</v>
      </c>
      <c r="W13" s="131">
        <f>X13-SUM(T13:V13)</f>
        <v>107.47400000000005</v>
      </c>
      <c r="X13" s="117">
        <f>19.44+405.016</f>
        <v>424.45600000000002</v>
      </c>
      <c r="Y13" s="114">
        <f>4.17+98.942</f>
        <v>103.11199999999999</v>
      </c>
      <c r="Z13" s="115">
        <f>1.862+100.043</f>
        <v>101.905</v>
      </c>
      <c r="AA13" s="115">
        <f>4.968+106.554</f>
        <v>111.52200000000001</v>
      </c>
      <c r="AB13" s="131">
        <f>AC13-SUM(Y13:AA13)</f>
        <v>117.76300000000003</v>
      </c>
      <c r="AC13" s="117">
        <f>18.129+416.173</f>
        <v>434.30200000000002</v>
      </c>
      <c r="AD13" s="114">
        <f>8.851+109.571</f>
        <v>118.422</v>
      </c>
      <c r="AE13" s="115">
        <f>2.684+104.532</f>
        <v>107.21599999999999</v>
      </c>
      <c r="AF13" s="115">
        <f>2.707+105.092</f>
        <v>107.79899999999999</v>
      </c>
      <c r="AG13" s="131">
        <f>AH13-SUM(AD13:AF13)</f>
        <v>111.62900000000008</v>
      </c>
      <c r="AH13" s="117">
        <f>19.595+425.471</f>
        <v>445.06600000000003</v>
      </c>
      <c r="AI13" s="114">
        <f>1.283+111.832</f>
        <v>113.11499999999999</v>
      </c>
      <c r="AJ13" s="115">
        <f>1.159+104.413</f>
        <v>105.572</v>
      </c>
      <c r="AK13" s="115">
        <f>2.624+102.297</f>
        <v>104.92099999999999</v>
      </c>
      <c r="AL13" s="131">
        <f>AM13-SUM(AI13:AK13)</f>
        <v>106.21500000000003</v>
      </c>
      <c r="AM13" s="117">
        <f>10.795+419.028</f>
        <v>429.82300000000004</v>
      </c>
      <c r="AN13" s="114">
        <f>3.981+108.714</f>
        <v>112.69499999999999</v>
      </c>
      <c r="AO13" s="115">
        <f>3.651+96.853</f>
        <v>100.50399999999999</v>
      </c>
      <c r="AP13" s="934">
        <f>4.238+105.734</f>
        <v>109.97199999999999</v>
      </c>
      <c r="AQ13" s="131">
        <f>AR13-SUM(AN13:AP13)</f>
        <v>106.01800000000003</v>
      </c>
      <c r="AR13" s="117">
        <f>15.574+413.615</f>
        <v>429.18900000000002</v>
      </c>
      <c r="AS13" s="114">
        <f>2.873+106.458</f>
        <v>109.331</v>
      </c>
      <c r="AT13" s="115">
        <f>3.583+101.793</f>
        <v>105.376</v>
      </c>
      <c r="AU13" s="934">
        <f>6.181+106.697</f>
        <v>112.878</v>
      </c>
      <c r="AV13" s="131">
        <f>AW13-SUM(AS13:AU13)</f>
        <v>110.221</v>
      </c>
      <c r="AW13" s="117">
        <f>16.197+421.609</f>
        <v>437.80599999999998</v>
      </c>
      <c r="AX13" s="136">
        <f>+AX105</f>
        <v>111.14370797999999</v>
      </c>
      <c r="AY13" s="137">
        <f>+AY105</f>
        <v>104.82593728000002</v>
      </c>
      <c r="AZ13" s="137">
        <f>+AZ105</f>
        <v>113.73361523999998</v>
      </c>
      <c r="BA13" s="116">
        <f>+BA105</f>
        <v>110.72581218000001</v>
      </c>
      <c r="BB13" s="82">
        <f>SUM(AX13:BA13)</f>
        <v>440.42907267999993</v>
      </c>
      <c r="BC13" s="136">
        <f>+BC105</f>
        <v>111.42156724994999</v>
      </c>
      <c r="BD13" s="137">
        <f>+BD105</f>
        <v>105.0880021232</v>
      </c>
      <c r="BE13" s="137">
        <f>+BE105</f>
        <v>114.01794927809998</v>
      </c>
      <c r="BF13" s="116">
        <f>+BF105</f>
        <v>111.00262671045</v>
      </c>
      <c r="BG13" s="82">
        <f>SUM(BC13:BF13)</f>
        <v>441.53014536169997</v>
      </c>
      <c r="BH13" s="136">
        <f>+BH105</f>
        <v>111.70012116807487</v>
      </c>
      <c r="BI13" s="137">
        <f>+BI105</f>
        <v>105.35072212850798</v>
      </c>
      <c r="BJ13" s="137">
        <f>+BJ105</f>
        <v>114.30299415129522</v>
      </c>
      <c r="BK13" s="116">
        <f>+BK105</f>
        <v>111.28013327722613</v>
      </c>
      <c r="BL13" s="82">
        <f>SUM(BH13:BK13)</f>
        <v>442.63397072510418</v>
      </c>
      <c r="BM13" s="136">
        <f>+BM105</f>
        <v>111.97937147099505</v>
      </c>
      <c r="BN13" s="137">
        <f>+BN105</f>
        <v>105.61409893382925</v>
      </c>
      <c r="BO13" s="137">
        <f>+BO105</f>
        <v>114.58875163667345</v>
      </c>
      <c r="BP13" s="116">
        <f>+BP105</f>
        <v>111.5583336104192</v>
      </c>
      <c r="BQ13" s="82">
        <f>SUM(BM13:BP13)</f>
        <v>443.74055565191696</v>
      </c>
      <c r="BR13" s="220"/>
      <c r="BS13" s="220"/>
      <c r="BT13" s="220"/>
      <c r="BU13" s="220"/>
      <c r="BV13" s="220"/>
      <c r="BW13" s="220"/>
      <c r="BX13" s="220"/>
      <c r="BY13" s="220"/>
      <c r="BZ13" s="220"/>
      <c r="CA13" s="220"/>
      <c r="CB13" s="220"/>
      <c r="CC13" s="220"/>
      <c r="CD13" s="220"/>
      <c r="CE13" s="220"/>
      <c r="CF13" s="220"/>
      <c r="CG13" s="220"/>
      <c r="CH13" s="220"/>
      <c r="CI13" s="220"/>
      <c r="CJ13" s="220"/>
      <c r="CK13" s="220"/>
      <c r="CL13" s="220"/>
      <c r="CM13" s="220"/>
      <c r="CN13" s="220"/>
      <c r="CO13" s="220"/>
      <c r="CP13" s="220"/>
      <c r="CQ13" s="220"/>
      <c r="CR13" s="220"/>
      <c r="CS13" s="220"/>
      <c r="CT13" s="220"/>
      <c r="CU13" s="220"/>
      <c r="CV13" s="220"/>
      <c r="CW13" s="220"/>
      <c r="CX13" s="220"/>
      <c r="CY13" s="220"/>
      <c r="CZ13" s="220"/>
    </row>
    <row r="14" spans="1:104" x14ac:dyDescent="0.2">
      <c r="A14" s="220"/>
      <c r="B14" s="220"/>
      <c r="C14" s="20" t="s">
        <v>116</v>
      </c>
      <c r="D14" s="42"/>
      <c r="E14" s="114">
        <v>48.131999999999998</v>
      </c>
      <c r="F14" s="115">
        <v>10.492000000000001</v>
      </c>
      <c r="G14" s="115">
        <v>6.1740000000000004</v>
      </c>
      <c r="H14" s="131">
        <f>I14-SUM(E14:G14)</f>
        <v>25.519999999999996</v>
      </c>
      <c r="I14" s="117">
        <v>90.317999999999998</v>
      </c>
      <c r="J14" s="114">
        <v>36.078000000000003</v>
      </c>
      <c r="K14" s="115">
        <v>8.6229999999999993</v>
      </c>
      <c r="L14" s="115">
        <v>6.4939999999999998</v>
      </c>
      <c r="M14" s="131">
        <f>N14-SUM(J14:L14)</f>
        <v>26.981000000000002</v>
      </c>
      <c r="N14" s="117">
        <v>78.176000000000002</v>
      </c>
      <c r="O14" s="114">
        <v>37.264000000000003</v>
      </c>
      <c r="P14" s="115">
        <v>12.081</v>
      </c>
      <c r="Q14" s="115">
        <v>7.4720000000000004</v>
      </c>
      <c r="R14" s="131">
        <f>S14-SUM(O14:Q14)</f>
        <v>21.390999999999998</v>
      </c>
      <c r="S14" s="117">
        <v>78.207999999999998</v>
      </c>
      <c r="T14" s="114">
        <v>26.879000000000001</v>
      </c>
      <c r="U14" s="115">
        <v>7.1230000000000002</v>
      </c>
      <c r="V14" s="115">
        <v>5.6559999999999997</v>
      </c>
      <c r="W14" s="131">
        <f>X14-SUM(T14:V14)</f>
        <v>21.711999999999996</v>
      </c>
      <c r="X14" s="117">
        <v>61.37</v>
      </c>
      <c r="Y14" s="114">
        <v>30.984999999999999</v>
      </c>
      <c r="Z14" s="115">
        <v>14.302</v>
      </c>
      <c r="AA14" s="115">
        <v>7.4829999999999997</v>
      </c>
      <c r="AB14" s="131">
        <f>AC14-SUM(Y14:AA14)</f>
        <v>28.802000000000007</v>
      </c>
      <c r="AC14" s="117">
        <v>81.572000000000003</v>
      </c>
      <c r="AD14" s="114">
        <v>51.142000000000003</v>
      </c>
      <c r="AE14" s="115">
        <v>19.193999999999999</v>
      </c>
      <c r="AF14" s="115">
        <v>7.8540000000000001</v>
      </c>
      <c r="AG14" s="131">
        <f>AH14-SUM(AD14:AF14)</f>
        <v>36.06</v>
      </c>
      <c r="AH14" s="117">
        <v>114.25</v>
      </c>
      <c r="AI14" s="114">
        <v>42.438000000000002</v>
      </c>
      <c r="AJ14" s="115">
        <v>8.1199999999999992</v>
      </c>
      <c r="AK14" s="115">
        <v>4.375</v>
      </c>
      <c r="AL14" s="131">
        <f>AM14-SUM(AI14:AK14)</f>
        <v>16.055</v>
      </c>
      <c r="AM14" s="117">
        <v>70.988</v>
      </c>
      <c r="AN14" s="114">
        <v>23.417999999999999</v>
      </c>
      <c r="AO14" s="115">
        <v>6.4649999999999999</v>
      </c>
      <c r="AP14" s="934">
        <v>6.0810000000000004</v>
      </c>
      <c r="AQ14" s="131">
        <f>AR14-SUM(AN14:AP14)</f>
        <v>18.472000000000001</v>
      </c>
      <c r="AR14" s="117">
        <v>54.436</v>
      </c>
      <c r="AS14" s="114">
        <v>25.986999999999998</v>
      </c>
      <c r="AT14" s="115">
        <v>8.5630000000000006</v>
      </c>
      <c r="AU14" s="934">
        <v>6.032</v>
      </c>
      <c r="AV14" s="131">
        <f>AW14-SUM(AS14:AU14)</f>
        <v>21.677000000000007</v>
      </c>
      <c r="AW14" s="117">
        <v>62.259</v>
      </c>
      <c r="AX14" s="136">
        <f>+AX132</f>
        <v>27.247369499999994</v>
      </c>
      <c r="AY14" s="137">
        <f>+AY132</f>
        <v>8.5844074999999993</v>
      </c>
      <c r="AZ14" s="137">
        <f>+AZ132</f>
        <v>6.0169199999999998</v>
      </c>
      <c r="BA14" s="116">
        <f>+BA132</f>
        <v>21.839577500000008</v>
      </c>
      <c r="BB14" s="82">
        <f>SUM(AX14:BA14)</f>
        <v>63.688274500000006</v>
      </c>
      <c r="BC14" s="136">
        <f>+BC132</f>
        <v>27.179251076249994</v>
      </c>
      <c r="BD14" s="137">
        <f>+BD132</f>
        <v>8.5629464812499982</v>
      </c>
      <c r="BE14" s="137">
        <f>+BE132</f>
        <v>6.0018777000000005</v>
      </c>
      <c r="BF14" s="116">
        <f>+BF132</f>
        <v>21.784978556250007</v>
      </c>
      <c r="BG14" s="82">
        <f>SUM(BC14:BF14)</f>
        <v>63.529053813749996</v>
      </c>
      <c r="BH14" s="136">
        <f>+BH132</f>
        <v>27.11130294855937</v>
      </c>
      <c r="BI14" s="137">
        <f>+BI132</f>
        <v>8.5415391150468754</v>
      </c>
      <c r="BJ14" s="137">
        <f>+BJ132</f>
        <v>5.9868730057500006</v>
      </c>
      <c r="BK14" s="116">
        <f>+BK132</f>
        <v>21.73051610985938</v>
      </c>
      <c r="BL14" s="82">
        <f>SUM(BH14:BK14)</f>
        <v>63.370231179215622</v>
      </c>
      <c r="BM14" s="136">
        <f>+BM132</f>
        <v>27.043524691187972</v>
      </c>
      <c r="BN14" s="137">
        <f>+BN132</f>
        <v>8.5201852672592597</v>
      </c>
      <c r="BO14" s="137">
        <f>+BO132</f>
        <v>5.9719058232356268</v>
      </c>
      <c r="BP14" s="116">
        <f>+BP132</f>
        <v>21.676189819584735</v>
      </c>
      <c r="BQ14" s="82">
        <f>SUM(BM14:BP14)</f>
        <v>63.211805601267599</v>
      </c>
      <c r="BR14" s="220"/>
      <c r="BS14" s="220"/>
      <c r="BT14" s="220"/>
      <c r="BU14" s="220"/>
      <c r="BV14" s="220"/>
      <c r="BW14" s="220"/>
      <c r="BX14" s="220"/>
      <c r="BY14" s="220"/>
      <c r="BZ14" s="220"/>
      <c r="CA14" s="220"/>
      <c r="CB14" s="220"/>
      <c r="CC14" s="220"/>
      <c r="CD14" s="220"/>
      <c r="CE14" s="220"/>
      <c r="CF14" s="220"/>
      <c r="CG14" s="220"/>
      <c r="CH14" s="220"/>
      <c r="CI14" s="220"/>
      <c r="CJ14" s="220"/>
      <c r="CK14" s="220"/>
      <c r="CL14" s="220"/>
      <c r="CM14" s="220"/>
      <c r="CN14" s="220"/>
      <c r="CO14" s="220"/>
      <c r="CP14" s="220"/>
      <c r="CQ14" s="220"/>
      <c r="CR14" s="220"/>
      <c r="CS14" s="220"/>
      <c r="CT14" s="220"/>
      <c r="CU14" s="220"/>
      <c r="CV14" s="220"/>
      <c r="CW14" s="220"/>
      <c r="CX14" s="220"/>
      <c r="CY14" s="220"/>
      <c r="CZ14" s="220"/>
    </row>
    <row r="15" spans="1:104" x14ac:dyDescent="0.2">
      <c r="A15" s="85"/>
      <c r="B15" s="85"/>
      <c r="C15" s="26" t="s">
        <v>118</v>
      </c>
      <c r="D15" s="86"/>
      <c r="E15" s="121">
        <f t="shared" ref="E15:AD15" si="8">SUM(E13:E14)</f>
        <v>149.28200000000001</v>
      </c>
      <c r="F15" s="122">
        <f t="shared" si="8"/>
        <v>100.369</v>
      </c>
      <c r="G15" s="122">
        <f t="shared" si="8"/>
        <v>97.756</v>
      </c>
      <c r="H15" s="123">
        <f t="shared" si="8"/>
        <v>120.69500000000001</v>
      </c>
      <c r="I15" s="86">
        <f t="shared" si="8"/>
        <v>468.10199999999998</v>
      </c>
      <c r="J15" s="121">
        <f t="shared" si="8"/>
        <v>133.428</v>
      </c>
      <c r="K15" s="122">
        <f t="shared" si="8"/>
        <v>108.158</v>
      </c>
      <c r="L15" s="122">
        <f t="shared" si="8"/>
        <v>112.11799999999999</v>
      </c>
      <c r="M15" s="123">
        <f t="shared" si="8"/>
        <v>124.21199999999999</v>
      </c>
      <c r="N15" s="86">
        <f t="shared" si="8"/>
        <v>477.916</v>
      </c>
      <c r="O15" s="121">
        <f t="shared" si="8"/>
        <v>142.74600000000001</v>
      </c>
      <c r="P15" s="122">
        <f t="shared" si="8"/>
        <v>112.26400000000001</v>
      </c>
      <c r="Q15" s="122">
        <f t="shared" si="8"/>
        <v>117.34899999999999</v>
      </c>
      <c r="R15" s="123">
        <f>SUM(R13:R14)</f>
        <v>126.45499999999996</v>
      </c>
      <c r="S15" s="86">
        <f>SUM(S13:S14)</f>
        <v>498.81399999999996</v>
      </c>
      <c r="T15" s="121">
        <f t="shared" si="8"/>
        <v>129.49299999999999</v>
      </c>
      <c r="U15" s="122">
        <f t="shared" si="8"/>
        <v>110.40300000000001</v>
      </c>
      <c r="V15" s="122">
        <f t="shared" si="8"/>
        <v>116.744</v>
      </c>
      <c r="W15" s="123">
        <f>SUM(W13:W14)</f>
        <v>129.18600000000004</v>
      </c>
      <c r="X15" s="86">
        <f>SUM(X13:X14)</f>
        <v>485.82600000000002</v>
      </c>
      <c r="Y15" s="121">
        <f t="shared" si="8"/>
        <v>134.09699999999998</v>
      </c>
      <c r="Z15" s="122">
        <f>SUM(Z13:Z14)</f>
        <v>116.20699999999999</v>
      </c>
      <c r="AA15" s="122">
        <f>SUM(AA13:AA14)</f>
        <v>119.00500000000001</v>
      </c>
      <c r="AB15" s="123">
        <f>SUM(AB13:AB14)</f>
        <v>146.56500000000005</v>
      </c>
      <c r="AC15" s="86">
        <f>SUM(AC13:AC14)</f>
        <v>515.87400000000002</v>
      </c>
      <c r="AD15" s="121">
        <f t="shared" si="8"/>
        <v>169.56399999999999</v>
      </c>
      <c r="AE15" s="122">
        <f t="shared" ref="AE15:AJ15" si="9">SUM(AE13:AE14)</f>
        <v>126.41</v>
      </c>
      <c r="AF15" s="122">
        <f t="shared" si="9"/>
        <v>115.65299999999999</v>
      </c>
      <c r="AG15" s="123">
        <f t="shared" si="9"/>
        <v>147.68900000000008</v>
      </c>
      <c r="AH15" s="86">
        <f t="shared" si="9"/>
        <v>559.31600000000003</v>
      </c>
      <c r="AI15" s="121">
        <f t="shared" si="9"/>
        <v>155.553</v>
      </c>
      <c r="AJ15" s="122">
        <f t="shared" si="9"/>
        <v>113.69200000000001</v>
      </c>
      <c r="AK15" s="122">
        <f t="shared" ref="AK15:AP15" si="10">SUM(AK13:AK14)</f>
        <v>109.29599999999999</v>
      </c>
      <c r="AL15" s="123">
        <f t="shared" si="10"/>
        <v>122.27000000000004</v>
      </c>
      <c r="AM15" s="86">
        <f t="shared" si="10"/>
        <v>500.81100000000004</v>
      </c>
      <c r="AN15" s="121">
        <f t="shared" si="10"/>
        <v>136.113</v>
      </c>
      <c r="AO15" s="122">
        <f t="shared" si="10"/>
        <v>106.96899999999999</v>
      </c>
      <c r="AP15" s="935">
        <f t="shared" si="10"/>
        <v>116.053</v>
      </c>
      <c r="AQ15" s="123">
        <f t="shared" ref="AQ15:AU15" si="11">SUM(AQ13:AQ14)</f>
        <v>124.49000000000004</v>
      </c>
      <c r="AR15" s="86">
        <f t="shared" si="11"/>
        <v>483.625</v>
      </c>
      <c r="AS15" s="121">
        <f t="shared" si="11"/>
        <v>135.31800000000001</v>
      </c>
      <c r="AT15" s="122">
        <f t="shared" si="11"/>
        <v>113.93900000000001</v>
      </c>
      <c r="AU15" s="935">
        <f t="shared" si="11"/>
        <v>118.91</v>
      </c>
      <c r="AV15" s="123">
        <f t="shared" ref="AV15:AW15" si="12">SUM(AV13:AV14)</f>
        <v>131.89800000000002</v>
      </c>
      <c r="AW15" s="86">
        <f t="shared" si="12"/>
        <v>500.065</v>
      </c>
      <c r="AX15" s="121">
        <f t="shared" ref="AX15:BG15" si="13">SUM(AX13:AX14)</f>
        <v>138.39107747999998</v>
      </c>
      <c r="AY15" s="122">
        <f t="shared" si="13"/>
        <v>113.41034478000002</v>
      </c>
      <c r="AZ15" s="122">
        <f t="shared" si="13"/>
        <v>119.75053523999998</v>
      </c>
      <c r="BA15" s="123">
        <f t="shared" si="13"/>
        <v>132.56538968000001</v>
      </c>
      <c r="BB15" s="86">
        <f t="shared" si="13"/>
        <v>504.11734717999991</v>
      </c>
      <c r="BC15" s="121">
        <f t="shared" si="13"/>
        <v>138.60081832619997</v>
      </c>
      <c r="BD15" s="122">
        <f t="shared" si="13"/>
        <v>113.65094860444999</v>
      </c>
      <c r="BE15" s="122">
        <f t="shared" si="13"/>
        <v>120.01982697809997</v>
      </c>
      <c r="BF15" s="123">
        <f t="shared" si="13"/>
        <v>132.78760526670001</v>
      </c>
      <c r="BG15" s="86">
        <f t="shared" si="13"/>
        <v>505.05919917544998</v>
      </c>
      <c r="BH15" s="121">
        <f t="shared" ref="BH15:BQ15" si="14">SUM(BH13:BH14)</f>
        <v>138.81142411663424</v>
      </c>
      <c r="BI15" s="122">
        <f t="shared" si="14"/>
        <v>113.89226124355486</v>
      </c>
      <c r="BJ15" s="122">
        <f t="shared" si="14"/>
        <v>120.28986715704522</v>
      </c>
      <c r="BK15" s="123">
        <f t="shared" si="14"/>
        <v>133.01064938708549</v>
      </c>
      <c r="BL15" s="86">
        <f t="shared" si="14"/>
        <v>506.00420190431981</v>
      </c>
      <c r="BM15" s="121">
        <f t="shared" si="14"/>
        <v>139.02289616218303</v>
      </c>
      <c r="BN15" s="122">
        <f t="shared" si="14"/>
        <v>114.13428420108852</v>
      </c>
      <c r="BO15" s="122">
        <f t="shared" si="14"/>
        <v>120.56065745990908</v>
      </c>
      <c r="BP15" s="123">
        <f t="shared" si="14"/>
        <v>133.23452343000395</v>
      </c>
      <c r="BQ15" s="86">
        <f t="shared" si="14"/>
        <v>506.95236125318456</v>
      </c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</row>
    <row r="16" spans="1:104" x14ac:dyDescent="0.2">
      <c r="A16" s="220"/>
      <c r="B16" s="220"/>
      <c r="C16" s="20"/>
      <c r="D16" s="82"/>
      <c r="E16" s="114"/>
      <c r="F16" s="133"/>
      <c r="G16" s="133"/>
      <c r="H16" s="131"/>
      <c r="I16" s="117"/>
      <c r="J16" s="114"/>
      <c r="K16" s="133"/>
      <c r="L16" s="133"/>
      <c r="M16" s="131"/>
      <c r="N16" s="117"/>
      <c r="O16" s="114"/>
      <c r="P16" s="115"/>
      <c r="Q16" s="115"/>
      <c r="R16" s="131"/>
      <c r="S16" s="117"/>
      <c r="T16" s="114"/>
      <c r="U16" s="115"/>
      <c r="V16" s="115"/>
      <c r="W16" s="131"/>
      <c r="X16" s="117"/>
      <c r="Y16" s="114"/>
      <c r="Z16" s="115"/>
      <c r="AA16" s="115"/>
      <c r="AB16" s="131"/>
      <c r="AC16" s="117"/>
      <c r="AD16" s="114"/>
      <c r="AE16" s="115"/>
      <c r="AF16" s="115"/>
      <c r="AG16" s="131"/>
      <c r="AH16" s="117"/>
      <c r="AI16" s="114"/>
      <c r="AJ16" s="115"/>
      <c r="AK16" s="115"/>
      <c r="AL16" s="131"/>
      <c r="AM16" s="117"/>
      <c r="AN16" s="114"/>
      <c r="AO16" s="115"/>
      <c r="AP16" s="936"/>
      <c r="AQ16" s="131"/>
      <c r="AR16" s="117"/>
      <c r="AS16" s="114"/>
      <c r="AT16" s="115"/>
      <c r="AU16" s="137"/>
      <c r="AV16" s="131"/>
      <c r="AW16" s="117"/>
      <c r="AX16" s="136"/>
      <c r="AY16" s="137"/>
      <c r="AZ16" s="137"/>
      <c r="BA16" s="116"/>
      <c r="BB16" s="82"/>
      <c r="BC16" s="136"/>
      <c r="BD16" s="137"/>
      <c r="BE16" s="137"/>
      <c r="BF16" s="116"/>
      <c r="BG16" s="82"/>
      <c r="BH16" s="136"/>
      <c r="BI16" s="137"/>
      <c r="BJ16" s="137"/>
      <c r="BK16" s="116"/>
      <c r="BL16" s="82"/>
      <c r="BM16" s="136"/>
      <c r="BN16" s="137"/>
      <c r="BO16" s="137"/>
      <c r="BP16" s="116"/>
      <c r="BQ16" s="82"/>
      <c r="BR16" s="220"/>
      <c r="BS16" s="220"/>
      <c r="BT16" s="220"/>
      <c r="BU16" s="220"/>
      <c r="BV16" s="220"/>
      <c r="BW16" s="220"/>
      <c r="BX16" s="220"/>
      <c r="BY16" s="220"/>
      <c r="BZ16" s="220"/>
      <c r="CA16" s="220"/>
      <c r="CB16" s="220"/>
      <c r="CC16" s="220"/>
      <c r="CD16" s="220"/>
      <c r="CE16" s="220"/>
      <c r="CF16" s="220"/>
      <c r="CG16" s="220"/>
      <c r="CH16" s="220"/>
      <c r="CI16" s="220"/>
      <c r="CJ16" s="220"/>
      <c r="CK16" s="220"/>
      <c r="CL16" s="220"/>
      <c r="CM16" s="220"/>
      <c r="CN16" s="220"/>
      <c r="CO16" s="220"/>
      <c r="CP16" s="220"/>
      <c r="CQ16" s="220"/>
      <c r="CR16" s="220"/>
      <c r="CS16" s="220"/>
      <c r="CT16" s="220"/>
      <c r="CU16" s="220"/>
      <c r="CV16" s="220"/>
      <c r="CW16" s="220"/>
      <c r="CX16" s="220"/>
      <c r="CY16" s="220"/>
      <c r="CZ16" s="220"/>
    </row>
    <row r="17" spans="1:104" x14ac:dyDescent="0.2">
      <c r="A17" s="85"/>
      <c r="B17" s="85"/>
      <c r="C17" s="26" t="s">
        <v>119</v>
      </c>
      <c r="D17" s="86"/>
      <c r="E17" s="121">
        <f t="shared" ref="E17:Q17" si="15">+E11-E15</f>
        <v>99.572000000000003</v>
      </c>
      <c r="F17" s="122">
        <f t="shared" si="15"/>
        <v>70.817000000000007</v>
      </c>
      <c r="G17" s="122">
        <f t="shared" si="15"/>
        <v>84.508999999999986</v>
      </c>
      <c r="H17" s="123">
        <f t="shared" si="15"/>
        <v>81.150999999999996</v>
      </c>
      <c r="I17" s="86">
        <f t="shared" si="15"/>
        <v>336.04900000000009</v>
      </c>
      <c r="J17" s="121">
        <f t="shared" si="15"/>
        <v>91.341000000000008</v>
      </c>
      <c r="K17" s="122">
        <f t="shared" si="15"/>
        <v>71.439000000000007</v>
      </c>
      <c r="L17" s="122">
        <f t="shared" si="15"/>
        <v>98.949999999999989</v>
      </c>
      <c r="M17" s="123">
        <f t="shared" si="15"/>
        <v>87.64500000000001</v>
      </c>
      <c r="N17" s="86">
        <f t="shared" si="15"/>
        <v>349.37499999999994</v>
      </c>
      <c r="O17" s="121">
        <f t="shared" si="15"/>
        <v>95.361999999999995</v>
      </c>
      <c r="P17" s="122">
        <f t="shared" si="15"/>
        <v>86.585999999999984</v>
      </c>
      <c r="Q17" s="122">
        <f t="shared" si="15"/>
        <v>107.11900000000003</v>
      </c>
      <c r="R17" s="123">
        <f t="shared" ref="R17:Y17" si="16">+R11-R15</f>
        <v>87.908999999999992</v>
      </c>
      <c r="S17" s="86">
        <f t="shared" si="16"/>
        <v>376.976</v>
      </c>
      <c r="T17" s="121">
        <f t="shared" si="16"/>
        <v>94.306000000000012</v>
      </c>
      <c r="U17" s="122">
        <f t="shared" si="16"/>
        <v>83.77</v>
      </c>
      <c r="V17" s="122">
        <f t="shared" si="16"/>
        <v>109.73099999999997</v>
      </c>
      <c r="W17" s="123">
        <f t="shared" si="16"/>
        <v>88.209000000000088</v>
      </c>
      <c r="X17" s="86">
        <f t="shared" si="16"/>
        <v>376.01600000000008</v>
      </c>
      <c r="Y17" s="121">
        <f t="shared" si="16"/>
        <v>107.31800000000004</v>
      </c>
      <c r="Z17" s="122">
        <f t="shared" ref="Z17:AE17" si="17">+Z11-Z15</f>
        <v>93.968000000000018</v>
      </c>
      <c r="AA17" s="122">
        <f t="shared" si="17"/>
        <v>112.05499999999996</v>
      </c>
      <c r="AB17" s="123">
        <f t="shared" si="17"/>
        <v>93.822999999999894</v>
      </c>
      <c r="AC17" s="86">
        <f t="shared" si="17"/>
        <v>407.16399999999999</v>
      </c>
      <c r="AD17" s="121">
        <f t="shared" si="17"/>
        <v>115.57800000000006</v>
      </c>
      <c r="AE17" s="122">
        <f t="shared" si="17"/>
        <v>101.70399999999998</v>
      </c>
      <c r="AF17" s="122">
        <f t="shared" ref="AF17:AM17" si="18">+AF11-AF15</f>
        <v>115.393</v>
      </c>
      <c r="AG17" s="123">
        <f t="shared" si="18"/>
        <v>108.47099999999995</v>
      </c>
      <c r="AH17" s="86">
        <f t="shared" si="18"/>
        <v>441.14600000000007</v>
      </c>
      <c r="AI17" s="121">
        <f t="shared" si="18"/>
        <v>118.40699999999998</v>
      </c>
      <c r="AJ17" s="122">
        <f t="shared" si="18"/>
        <v>103.12100000000001</v>
      </c>
      <c r="AK17" s="122">
        <f t="shared" si="18"/>
        <v>126.86500000000001</v>
      </c>
      <c r="AL17" s="123">
        <f t="shared" si="18"/>
        <v>107.33700000000013</v>
      </c>
      <c r="AM17" s="86">
        <f t="shared" si="18"/>
        <v>455.73</v>
      </c>
      <c r="AN17" s="121">
        <f t="shared" ref="AN17:AU17" si="19">+AN11-AN15</f>
        <v>118.73700000000002</v>
      </c>
      <c r="AO17" s="122">
        <f t="shared" si="19"/>
        <v>112.20399999999998</v>
      </c>
      <c r="AP17" s="935">
        <f t="shared" si="19"/>
        <v>130.09100000000004</v>
      </c>
      <c r="AQ17" s="123">
        <f t="shared" si="19"/>
        <v>112.57599999999994</v>
      </c>
      <c r="AR17" s="86">
        <f t="shared" si="19"/>
        <v>473.60800000000006</v>
      </c>
      <c r="AS17" s="121">
        <f>+AS11-AS15</f>
        <v>129.61299999999997</v>
      </c>
      <c r="AT17" s="122">
        <f>+AT11-AT15</f>
        <v>116.087</v>
      </c>
      <c r="AU17" s="935">
        <f t="shared" si="19"/>
        <v>128.601</v>
      </c>
      <c r="AV17" s="123">
        <f t="shared" ref="AV17:AW17" si="20">+AV11-AV15</f>
        <v>131.08499999999998</v>
      </c>
      <c r="AW17" s="86">
        <f t="shared" si="20"/>
        <v>505.38599999999991</v>
      </c>
      <c r="AX17" s="121">
        <f t="shared" ref="AX17:BG17" si="21">+AX11-AX15</f>
        <v>130.50694793808196</v>
      </c>
      <c r="AY17" s="122">
        <f t="shared" si="21"/>
        <v>115.82655880975825</v>
      </c>
      <c r="AZ17" s="122">
        <f t="shared" si="21"/>
        <v>126.9920781580702</v>
      </c>
      <c r="BA17" s="123">
        <f t="shared" si="21"/>
        <v>130.84697453493317</v>
      </c>
      <c r="BB17" s="86">
        <f t="shared" si="21"/>
        <v>504.17255944084377</v>
      </c>
      <c r="BC17" s="121">
        <f t="shared" si="21"/>
        <v>135.39288958391685</v>
      </c>
      <c r="BD17" s="122">
        <f t="shared" si="21"/>
        <v>119.35468061406009</v>
      </c>
      <c r="BE17" s="122">
        <f t="shared" si="21"/>
        <v>130.72354036080174</v>
      </c>
      <c r="BF17" s="123">
        <f t="shared" si="21"/>
        <v>135.25769073631463</v>
      </c>
      <c r="BG17" s="86">
        <f t="shared" si="21"/>
        <v>520.72880129509326</v>
      </c>
      <c r="BH17" s="121">
        <f t="shared" ref="BH17:BQ17" si="22">+BH11-BH15</f>
        <v>141.20113708397488</v>
      </c>
      <c r="BI17" s="122">
        <f t="shared" si="22"/>
        <v>123.8483610722939</v>
      </c>
      <c r="BJ17" s="122">
        <f t="shared" si="22"/>
        <v>135.66328414001723</v>
      </c>
      <c r="BK17" s="123">
        <f t="shared" si="22"/>
        <v>140.59213966996521</v>
      </c>
      <c r="BL17" s="86">
        <f t="shared" si="22"/>
        <v>541.30492196625119</v>
      </c>
      <c r="BM17" s="121">
        <f t="shared" si="22"/>
        <v>146.78402040626247</v>
      </c>
      <c r="BN17" s="122">
        <f t="shared" si="22"/>
        <v>128.11002203141035</v>
      </c>
      <c r="BO17" s="122">
        <f t="shared" si="22"/>
        <v>140.3143327488765</v>
      </c>
      <c r="BP17" s="123">
        <f t="shared" si="22"/>
        <v>145.70264787233975</v>
      </c>
      <c r="BQ17" s="86">
        <f t="shared" si="22"/>
        <v>560.91102305888921</v>
      </c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</row>
    <row r="18" spans="1:104" x14ac:dyDescent="0.2">
      <c r="A18" s="44"/>
      <c r="B18" s="44"/>
      <c r="C18" s="20"/>
      <c r="D18" s="42"/>
      <c r="E18" s="120"/>
      <c r="F18" s="139"/>
      <c r="G18" s="139"/>
      <c r="H18" s="119"/>
      <c r="I18" s="42"/>
      <c r="J18" s="120"/>
      <c r="K18" s="139"/>
      <c r="L18" s="139"/>
      <c r="M18" s="119"/>
      <c r="N18" s="42"/>
      <c r="O18" s="120"/>
      <c r="P18" s="139"/>
      <c r="Q18" s="139"/>
      <c r="R18" s="119"/>
      <c r="S18" s="42"/>
      <c r="T18" s="120"/>
      <c r="U18" s="139"/>
      <c r="V18" s="139"/>
      <c r="W18" s="119"/>
      <c r="X18" s="42"/>
      <c r="Y18" s="120"/>
      <c r="Z18" s="139"/>
      <c r="AA18" s="139"/>
      <c r="AB18" s="119"/>
      <c r="AC18" s="42"/>
      <c r="AD18" s="120"/>
      <c r="AE18" s="139"/>
      <c r="AF18" s="139"/>
      <c r="AG18" s="119"/>
      <c r="AH18" s="42"/>
      <c r="AI18" s="120"/>
      <c r="AJ18" s="139"/>
      <c r="AK18" s="139"/>
      <c r="AL18" s="119"/>
      <c r="AM18" s="42"/>
      <c r="AN18" s="120"/>
      <c r="AO18" s="139"/>
      <c r="AP18" s="937"/>
      <c r="AQ18" s="119"/>
      <c r="AR18" s="42"/>
      <c r="AS18" s="120"/>
      <c r="AT18" s="139"/>
      <c r="AU18" s="139"/>
      <c r="AV18" s="119"/>
      <c r="AW18" s="42"/>
      <c r="AX18" s="120"/>
      <c r="AY18" s="139"/>
      <c r="AZ18" s="139"/>
      <c r="BA18" s="119"/>
      <c r="BB18" s="44"/>
      <c r="BC18" s="120"/>
      <c r="BD18" s="139"/>
      <c r="BE18" s="139"/>
      <c r="BF18" s="119"/>
      <c r="BG18" s="44"/>
      <c r="BH18" s="120"/>
      <c r="BI18" s="139"/>
      <c r="BJ18" s="139"/>
      <c r="BK18" s="119"/>
      <c r="BL18" s="44"/>
      <c r="BM18" s="120"/>
      <c r="BN18" s="139"/>
      <c r="BO18" s="139"/>
      <c r="BP18" s="119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  <c r="CX18" s="44"/>
      <c r="CY18" s="44"/>
      <c r="CZ18" s="44"/>
    </row>
    <row r="19" spans="1:104" x14ac:dyDescent="0.2">
      <c r="A19" s="44"/>
      <c r="B19" s="44"/>
      <c r="C19" s="20" t="s">
        <v>120</v>
      </c>
      <c r="D19" s="42"/>
      <c r="E19" s="114">
        <v>34.14</v>
      </c>
      <c r="F19" s="115">
        <v>36.567</v>
      </c>
      <c r="G19" s="115">
        <v>34.874000000000002</v>
      </c>
      <c r="H19" s="131">
        <f>I19-SUM(E19:G19)</f>
        <v>40.167000000000002</v>
      </c>
      <c r="I19" s="117">
        <v>145.74799999999999</v>
      </c>
      <c r="J19" s="114">
        <v>37.886000000000003</v>
      </c>
      <c r="K19" s="115">
        <v>37.933999999999997</v>
      </c>
      <c r="L19" s="115">
        <v>40.588999999999999</v>
      </c>
      <c r="M19" s="131">
        <f>N19-SUM(J19:L19)</f>
        <v>44.41500000000002</v>
      </c>
      <c r="N19" s="117">
        <v>160.82400000000001</v>
      </c>
      <c r="O19" s="114">
        <v>39.588000000000001</v>
      </c>
      <c r="P19" s="115">
        <v>40.308999999999997</v>
      </c>
      <c r="Q19" s="115">
        <v>41.619</v>
      </c>
      <c r="R19" s="131">
        <f>S19-SUM(O19:Q19)</f>
        <v>42.807000000000016</v>
      </c>
      <c r="S19" s="117">
        <v>164.32300000000001</v>
      </c>
      <c r="T19" s="114">
        <v>38.5</v>
      </c>
      <c r="U19" s="115">
        <v>42.491999999999997</v>
      </c>
      <c r="V19" s="115">
        <v>41.725999999999999</v>
      </c>
      <c r="W19" s="131">
        <f>X19-SUM(T19:V19)</f>
        <v>44.784999999999997</v>
      </c>
      <c r="X19" s="117">
        <v>167.50299999999999</v>
      </c>
      <c r="Y19" s="114">
        <v>41.676000000000002</v>
      </c>
      <c r="Z19" s="115">
        <v>42.991999999999997</v>
      </c>
      <c r="AA19" s="115">
        <v>42.521000000000001</v>
      </c>
      <c r="AB19" s="131">
        <f>AC19-SUM(Y19:AA19)</f>
        <v>48.332999999999984</v>
      </c>
      <c r="AC19" s="117">
        <v>175.52199999999999</v>
      </c>
      <c r="AD19" s="114">
        <v>44.231000000000002</v>
      </c>
      <c r="AE19" s="115">
        <v>48.433</v>
      </c>
      <c r="AF19" s="115">
        <v>47.899000000000001</v>
      </c>
      <c r="AG19" s="131">
        <f>AH19-SUM(AD19:AF19)</f>
        <v>50.650000000000006</v>
      </c>
      <c r="AH19" s="117">
        <v>191.21299999999999</v>
      </c>
      <c r="AI19" s="114">
        <v>42.173000000000002</v>
      </c>
      <c r="AJ19" s="115">
        <v>45.661000000000001</v>
      </c>
      <c r="AK19" s="115">
        <v>46.292000000000002</v>
      </c>
      <c r="AL19" s="131">
        <f>AM19-SUM(AI19:AK19)</f>
        <v>45.287000000000006</v>
      </c>
      <c r="AM19" s="117">
        <v>179.41300000000001</v>
      </c>
      <c r="AN19" s="114">
        <v>48.619</v>
      </c>
      <c r="AO19" s="115">
        <v>50.515999999999998</v>
      </c>
      <c r="AP19" s="934">
        <v>49.234999999999999</v>
      </c>
      <c r="AQ19" s="131">
        <f>AR19-SUM(AN19:AP19)</f>
        <v>46.556999999999988</v>
      </c>
      <c r="AR19" s="117">
        <v>194.92699999999999</v>
      </c>
      <c r="AS19" s="114">
        <v>49.862000000000002</v>
      </c>
      <c r="AT19" s="115">
        <v>49.21</v>
      </c>
      <c r="AU19" s="934">
        <v>51.808</v>
      </c>
      <c r="AV19" s="131">
        <f>AW19-SUM(AS19:AU19)</f>
        <v>54.658999999999992</v>
      </c>
      <c r="AW19" s="117">
        <v>205.53899999999999</v>
      </c>
      <c r="AX19" s="120">
        <f>+AX140</f>
        <v>49.862000000000002</v>
      </c>
      <c r="AY19" s="118">
        <f>+AY140</f>
        <v>49.21</v>
      </c>
      <c r="AZ19" s="118">
        <f>+AZ140</f>
        <v>51.808</v>
      </c>
      <c r="BA19" s="119">
        <f>+BA140</f>
        <v>54.658999999999992</v>
      </c>
      <c r="BB19" s="42">
        <f>SUM(AX19:BA19)</f>
        <v>205.53899999999999</v>
      </c>
      <c r="BC19" s="120">
        <f>+BC140</f>
        <v>50.360620000000004</v>
      </c>
      <c r="BD19" s="118">
        <f>+BD140</f>
        <v>49.702100000000002</v>
      </c>
      <c r="BE19" s="118">
        <f>+BE140</f>
        <v>52.326079999999997</v>
      </c>
      <c r="BF19" s="119">
        <f>+BF140</f>
        <v>55.205589999999994</v>
      </c>
      <c r="BG19" s="42">
        <f>SUM(BC19:BF19)</f>
        <v>207.59439</v>
      </c>
      <c r="BH19" s="120">
        <f>+BH140</f>
        <v>50.864226200000004</v>
      </c>
      <c r="BI19" s="118">
        <f>+BI140</f>
        <v>50.199121000000005</v>
      </c>
      <c r="BJ19" s="118">
        <f>+BJ140</f>
        <v>52.8493408</v>
      </c>
      <c r="BK19" s="119">
        <f>+BK140</f>
        <v>55.757645899999993</v>
      </c>
      <c r="BL19" s="42">
        <f>SUM(BH19:BK19)</f>
        <v>209.6703339</v>
      </c>
      <c r="BM19" s="120">
        <f>+BM140</f>
        <v>51.372868462000007</v>
      </c>
      <c r="BN19" s="118">
        <f>+BN140</f>
        <v>50.701112210000005</v>
      </c>
      <c r="BO19" s="118">
        <f>+BO140</f>
        <v>53.377834208000003</v>
      </c>
      <c r="BP19" s="119">
        <f>+BP140</f>
        <v>56.315222358999996</v>
      </c>
      <c r="BQ19" s="42">
        <f>SUM(BM19:BP19)</f>
        <v>211.76703723899999</v>
      </c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  <c r="CX19" s="44"/>
      <c r="CY19" s="44"/>
      <c r="CZ19" s="44"/>
    </row>
    <row r="20" spans="1:104" x14ac:dyDescent="0.2">
      <c r="A20" s="44"/>
      <c r="B20" s="44"/>
      <c r="C20" s="20" t="s">
        <v>121</v>
      </c>
      <c r="D20" s="42"/>
      <c r="E20" s="114">
        <v>15.243</v>
      </c>
      <c r="F20" s="115">
        <v>15.393000000000001</v>
      </c>
      <c r="G20" s="115">
        <v>15.426</v>
      </c>
      <c r="H20" s="131">
        <f>I20-SUM(E20:G20)</f>
        <v>15.694999999999993</v>
      </c>
      <c r="I20" s="117">
        <v>61.756999999999998</v>
      </c>
      <c r="J20" s="114">
        <v>15.73</v>
      </c>
      <c r="K20" s="115">
        <v>15.882999999999999</v>
      </c>
      <c r="L20" s="115">
        <v>15.766999999999999</v>
      </c>
      <c r="M20" s="131">
        <f>N20-SUM(J20:L20)</f>
        <v>16.289000000000001</v>
      </c>
      <c r="N20" s="117">
        <v>63.668999999999997</v>
      </c>
      <c r="O20" s="114">
        <v>16.739000000000001</v>
      </c>
      <c r="P20" s="115">
        <v>16.905999999999999</v>
      </c>
      <c r="Q20" s="115">
        <v>17.311</v>
      </c>
      <c r="R20" s="131">
        <f>S20-SUM(O20:Q20)</f>
        <v>17.618000000000002</v>
      </c>
      <c r="S20" s="117">
        <v>68.573999999999998</v>
      </c>
      <c r="T20" s="114">
        <v>17.009</v>
      </c>
      <c r="U20" s="115">
        <v>17.093</v>
      </c>
      <c r="V20" s="115">
        <v>17.338000000000001</v>
      </c>
      <c r="W20" s="131">
        <f>X20-SUM(T20:V20)</f>
        <v>17.79399999999999</v>
      </c>
      <c r="X20" s="117">
        <v>69.233999999999995</v>
      </c>
      <c r="Y20" s="114">
        <v>18.855</v>
      </c>
      <c r="Z20" s="115">
        <v>19.050999999999998</v>
      </c>
      <c r="AA20" s="115">
        <v>19.359000000000002</v>
      </c>
      <c r="AB20" s="131">
        <f>AC20-SUM(Y20:AA20)</f>
        <v>19.632000000000005</v>
      </c>
      <c r="AC20" s="117">
        <v>76.897000000000006</v>
      </c>
      <c r="AD20" s="114">
        <v>19.306999999999999</v>
      </c>
      <c r="AE20" s="115">
        <v>19.873999999999999</v>
      </c>
      <c r="AF20" s="115">
        <v>19.940000000000001</v>
      </c>
      <c r="AG20" s="131">
        <f>AH20-SUM(AD20:AF20)</f>
        <v>20.533000000000001</v>
      </c>
      <c r="AH20" s="117">
        <v>79.653999999999996</v>
      </c>
      <c r="AI20" s="114">
        <v>21.361000000000001</v>
      </c>
      <c r="AJ20" s="115">
        <v>22.527999999999999</v>
      </c>
      <c r="AK20" s="115">
        <v>23.018999999999998</v>
      </c>
      <c r="AL20" s="131">
        <f>AM20-SUM(AI20:AK20)</f>
        <v>24.337000000000018</v>
      </c>
      <c r="AM20" s="117">
        <v>91.245000000000005</v>
      </c>
      <c r="AN20" s="114">
        <v>24.449000000000002</v>
      </c>
      <c r="AO20" s="115">
        <v>23.72</v>
      </c>
      <c r="AP20" s="934">
        <v>24.7</v>
      </c>
      <c r="AQ20" s="131">
        <f>AR20-SUM(AN20:AP20)</f>
        <v>25.424999999999997</v>
      </c>
      <c r="AR20" s="117">
        <v>98.293999999999997</v>
      </c>
      <c r="AS20" s="114">
        <v>27.048999999999999</v>
      </c>
      <c r="AT20" s="115">
        <v>27.628</v>
      </c>
      <c r="AU20" s="934">
        <v>27.978999999999999</v>
      </c>
      <c r="AV20" s="131">
        <f>AW20-SUM(AS20:AU20)</f>
        <v>28.559999999999988</v>
      </c>
      <c r="AW20" s="117">
        <v>111.21599999999999</v>
      </c>
      <c r="AX20" s="120">
        <f>AX158</f>
        <v>29.018763467579504</v>
      </c>
      <c r="AY20" s="118">
        <f>AY158</f>
        <v>29.202273870165705</v>
      </c>
      <c r="AZ20" s="118">
        <f>AZ158</f>
        <v>29.700356219664972</v>
      </c>
      <c r="BA20" s="119">
        <f>BA158</f>
        <v>30.190988029571376</v>
      </c>
      <c r="BB20" s="42">
        <f>SUM(AX20:BA20)</f>
        <v>118.11238158698156</v>
      </c>
      <c r="BC20" s="120">
        <f>BC158</f>
        <v>30.67428074840398</v>
      </c>
      <c r="BD20" s="118">
        <f>BD158</f>
        <v>31.150344157584829</v>
      </c>
      <c r="BE20" s="118">
        <f>BE158</f>
        <v>31.619286396376111</v>
      </c>
      <c r="BF20" s="119">
        <f>BF158</f>
        <v>32.081213986444368</v>
      </c>
      <c r="BG20" s="42">
        <f>SUM(BC20:BF20)</f>
        <v>125.52512528880929</v>
      </c>
      <c r="BH20" s="120">
        <f>BH158</f>
        <v>32.536231856057157</v>
      </c>
      <c r="BI20" s="118">
        <f>BI158</f>
        <v>33.048754660024379</v>
      </c>
      <c r="BJ20" s="118">
        <f>BJ158</f>
        <v>33.451903498131934</v>
      </c>
      <c r="BK20" s="119">
        <f>BK158</f>
        <v>33.849021854767585</v>
      </c>
      <c r="BL20" s="42">
        <f>SUM(BH20:BK20)</f>
        <v>132.88591186898105</v>
      </c>
      <c r="BM20" s="120">
        <f>BM158</f>
        <v>34.240199936582933</v>
      </c>
      <c r="BN20" s="118">
        <f>BN158</f>
        <v>34.368281416451971</v>
      </c>
      <c r="BO20" s="118">
        <f>BO158</f>
        <v>34.901276673833493</v>
      </c>
      <c r="BP20" s="119">
        <f>BP158</f>
        <v>35.426299148658224</v>
      </c>
      <c r="BQ20" s="42">
        <f>SUM(BM20:BP20)</f>
        <v>138.93605717552663</v>
      </c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</row>
    <row r="21" spans="1:104" x14ac:dyDescent="0.2">
      <c r="A21" s="44"/>
      <c r="B21" s="44"/>
      <c r="C21" t="s">
        <v>122</v>
      </c>
      <c r="D21" s="42"/>
      <c r="E21" s="114">
        <v>6.0209999999999999</v>
      </c>
      <c r="F21" s="115">
        <v>5.6580000000000004</v>
      </c>
      <c r="G21" s="115">
        <v>5.7140000000000004</v>
      </c>
      <c r="H21" s="131">
        <f>I21-SUM(E21:G21)</f>
        <v>5.8909999999999982</v>
      </c>
      <c r="I21" s="117">
        <v>23.283999999999999</v>
      </c>
      <c r="J21" s="114">
        <v>5.9619999999999997</v>
      </c>
      <c r="K21" s="115">
        <v>5.6390000000000002</v>
      </c>
      <c r="L21" s="115">
        <v>5.7350000000000003</v>
      </c>
      <c r="M21" s="131">
        <f>N21-SUM(J21:L21)</f>
        <v>5.7600000000000016</v>
      </c>
      <c r="N21" s="117">
        <v>23.096</v>
      </c>
      <c r="O21" s="114">
        <v>6.077</v>
      </c>
      <c r="P21" s="115">
        <v>5.8339999999999996</v>
      </c>
      <c r="Q21" s="115">
        <v>5.9249999999999998</v>
      </c>
      <c r="R21" s="131">
        <f>S21-SUM(O21:Q21)</f>
        <v>5.8520000000000003</v>
      </c>
      <c r="S21" s="117">
        <v>23.687999999999999</v>
      </c>
      <c r="T21" s="114">
        <v>6.3810000000000002</v>
      </c>
      <c r="U21" s="115">
        <v>6.2169999999999996</v>
      </c>
      <c r="V21" s="115">
        <v>6.218</v>
      </c>
      <c r="W21" s="131">
        <f>X21-SUM(T21:V21)</f>
        <v>6.1550000000000011</v>
      </c>
      <c r="X21" s="117">
        <v>24.971</v>
      </c>
      <c r="Y21" s="114">
        <v>6.3940000000000001</v>
      </c>
      <c r="Z21" s="115">
        <v>6.3410000000000002</v>
      </c>
      <c r="AA21" s="115">
        <v>6.2729999999999997</v>
      </c>
      <c r="AB21" s="131">
        <f>AC21-SUM(Y21:AA21)</f>
        <v>6.2230000000000025</v>
      </c>
      <c r="AC21" s="117">
        <v>25.231000000000002</v>
      </c>
      <c r="AD21" s="114">
        <v>6.7969999999999997</v>
      </c>
      <c r="AE21" s="115">
        <v>6.6520000000000001</v>
      </c>
      <c r="AF21" s="115">
        <v>7.0090000000000003</v>
      </c>
      <c r="AG21" s="131">
        <f>AH21-SUM(AD21:AF21)</f>
        <v>6.6560000000000024</v>
      </c>
      <c r="AH21" s="117">
        <v>27.114000000000001</v>
      </c>
      <c r="AI21" s="114">
        <v>7.2320000000000002</v>
      </c>
      <c r="AJ21" s="115">
        <v>6.8739999999999997</v>
      </c>
      <c r="AK21" s="115">
        <v>7.0449999999999999</v>
      </c>
      <c r="AL21" s="131">
        <f>AM21-SUM(AI21:AK21)</f>
        <v>7.0300000000000011</v>
      </c>
      <c r="AM21" s="117">
        <v>28.181000000000001</v>
      </c>
      <c r="AN21" s="114">
        <v>7.1550000000000002</v>
      </c>
      <c r="AO21" s="115">
        <v>7.0960000000000001</v>
      </c>
      <c r="AP21" s="934">
        <v>6.5060000000000002</v>
      </c>
      <c r="AQ21" s="131">
        <f>AR21-SUM(AN21:AP21)</f>
        <v>7.0569999999999986</v>
      </c>
      <c r="AR21" s="117">
        <v>27.814</v>
      </c>
      <c r="AS21" s="114">
        <v>6.8730000000000002</v>
      </c>
      <c r="AT21" s="115">
        <v>7.0049999999999999</v>
      </c>
      <c r="AU21" s="934">
        <v>7.1239999999999997</v>
      </c>
      <c r="AV21" s="131">
        <f>AW21-SUM(AS21:AU21)</f>
        <v>6.8290000000000006</v>
      </c>
      <c r="AW21" s="117">
        <v>27.831</v>
      </c>
      <c r="AX21" s="120">
        <f>AX143</f>
        <v>7.3197450000000002</v>
      </c>
      <c r="AY21" s="118">
        <f>AY143</f>
        <v>7.4603249999999992</v>
      </c>
      <c r="AZ21" s="118">
        <f>AZ143</f>
        <v>7.5870599999999992</v>
      </c>
      <c r="BA21" s="119">
        <f>BA143</f>
        <v>7.2728850000000005</v>
      </c>
      <c r="BB21" s="42">
        <f>SUM(AX21:BA21)</f>
        <v>29.640014999999998</v>
      </c>
      <c r="BC21" s="120">
        <f>BC143</f>
        <v>7.4661398999999999</v>
      </c>
      <c r="BD21" s="118">
        <f>BD143</f>
        <v>7.6095314999999992</v>
      </c>
      <c r="BE21" s="118">
        <f>BE143</f>
        <v>7.7388011999999993</v>
      </c>
      <c r="BF21" s="119">
        <f>BF143</f>
        <v>7.4183427000000011</v>
      </c>
      <c r="BG21" s="42">
        <f>SUM(BC21:BF21)</f>
        <v>30.232815299999999</v>
      </c>
      <c r="BH21" s="120">
        <f>BH143</f>
        <v>7.615462698</v>
      </c>
      <c r="BI21" s="118">
        <f>BI143</f>
        <v>7.761722129999999</v>
      </c>
      <c r="BJ21" s="118">
        <f>BJ143</f>
        <v>7.8935772239999995</v>
      </c>
      <c r="BK21" s="119">
        <f>BK143</f>
        <v>7.5667095540000009</v>
      </c>
      <c r="BL21" s="42">
        <f>SUM(BH21:BK21)</f>
        <v>30.837471606000001</v>
      </c>
      <c r="BM21" s="120">
        <f>BM143</f>
        <v>7.7677719519600004</v>
      </c>
      <c r="BN21" s="118">
        <f>BN143</f>
        <v>7.9169565725999993</v>
      </c>
      <c r="BO21" s="118">
        <f>BO143</f>
        <v>8.0514487684800002</v>
      </c>
      <c r="BP21" s="119">
        <f>BP143</f>
        <v>7.718043745080001</v>
      </c>
      <c r="BQ21" s="42">
        <f>SUM(BM21:BP21)</f>
        <v>31.454221038120004</v>
      </c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  <c r="CX21" s="44"/>
      <c r="CY21" s="44"/>
      <c r="CZ21" s="44"/>
    </row>
    <row r="22" spans="1:104" x14ac:dyDescent="0.2">
      <c r="A22" s="44"/>
      <c r="B22" s="44"/>
      <c r="C22" t="s">
        <v>442</v>
      </c>
      <c r="D22" s="42"/>
      <c r="E22" s="114">
        <v>3.052</v>
      </c>
      <c r="F22" s="115">
        <v>2.5430000000000001</v>
      </c>
      <c r="G22" s="115">
        <v>2.5409999999999999</v>
      </c>
      <c r="H22" s="131">
        <f>I22-SUM(E22:G22)</f>
        <v>2.5429999999999993</v>
      </c>
      <c r="I22" s="117">
        <v>10.679</v>
      </c>
      <c r="J22" s="114">
        <v>2.8959999999999999</v>
      </c>
      <c r="K22" s="115">
        <v>2.9889999999999999</v>
      </c>
      <c r="L22" s="115">
        <v>3.7280000000000002</v>
      </c>
      <c r="M22" s="131">
        <f>N22-SUM(J22:L22)</f>
        <v>3.3520000000000003</v>
      </c>
      <c r="N22" s="117">
        <v>12.965</v>
      </c>
      <c r="O22" s="114">
        <v>3.0609999999999999</v>
      </c>
      <c r="P22" s="115">
        <v>3.4220000000000002</v>
      </c>
      <c r="Q22" s="115">
        <v>3.2320000000000002</v>
      </c>
      <c r="R22" s="131">
        <f>S22-SUM(O22:Q22)</f>
        <v>3.1679999999999993</v>
      </c>
      <c r="S22" s="117">
        <v>12.882999999999999</v>
      </c>
      <c r="T22" s="114">
        <v>3.5019999999999998</v>
      </c>
      <c r="U22" s="115">
        <v>3.62</v>
      </c>
      <c r="V22" s="115">
        <v>3.714</v>
      </c>
      <c r="W22" s="131">
        <f>X22-SUM(T22:V22)</f>
        <v>3.6059999999999999</v>
      </c>
      <c r="X22" s="117">
        <v>14.442</v>
      </c>
      <c r="Y22" s="114">
        <v>2.992</v>
      </c>
      <c r="Z22" s="115">
        <v>3.1179999999999999</v>
      </c>
      <c r="AA22" s="115">
        <v>3.133</v>
      </c>
      <c r="AB22" s="131">
        <f>AC22-SUM(Y22:AA22)</f>
        <v>3.0900000000000016</v>
      </c>
      <c r="AC22" s="117">
        <v>12.333</v>
      </c>
      <c r="AD22" s="114">
        <v>2.6720000000000002</v>
      </c>
      <c r="AE22" s="115">
        <v>3.0150000000000001</v>
      </c>
      <c r="AF22" s="115">
        <v>3.0049999999999999</v>
      </c>
      <c r="AG22" s="131">
        <f>AH22-SUM(AD22:AF22)</f>
        <v>2.8450000000000006</v>
      </c>
      <c r="AH22" s="117">
        <v>11.537000000000001</v>
      </c>
      <c r="AI22" s="114">
        <f>2.855</f>
        <v>2.855</v>
      </c>
      <c r="AJ22" s="115">
        <v>2.9889999999999999</v>
      </c>
      <c r="AK22" s="115">
        <v>2.9769999999999999</v>
      </c>
      <c r="AL22" s="131">
        <f>AM22-SUM(AI22:AK22)</f>
        <v>2.8740000000000006</v>
      </c>
      <c r="AM22" s="117">
        <v>11.695</v>
      </c>
      <c r="AN22" s="114">
        <v>3.0659999999999998</v>
      </c>
      <c r="AO22" s="115">
        <v>3.0939999999999999</v>
      </c>
      <c r="AP22" s="934">
        <v>3.3079999999999998</v>
      </c>
      <c r="AQ22" s="131">
        <f>AR22-SUM(AN22:AP22)</f>
        <v>3.1769999999999996</v>
      </c>
      <c r="AR22" s="117">
        <v>12.645</v>
      </c>
      <c r="AS22" s="114">
        <v>3.0539999999999998</v>
      </c>
      <c r="AT22" s="115">
        <v>3.177</v>
      </c>
      <c r="AU22" s="934">
        <v>3.298</v>
      </c>
      <c r="AV22" s="131">
        <f>AW22-SUM(AS22:AU22)</f>
        <v>3.0429999999999993</v>
      </c>
      <c r="AW22" s="117">
        <v>12.571999999999999</v>
      </c>
      <c r="AX22" s="120">
        <f>AX146</f>
        <v>3.0998099999999997</v>
      </c>
      <c r="AY22" s="118">
        <f>AY146</f>
        <v>3.2246549999999998</v>
      </c>
      <c r="AZ22" s="118">
        <f>AZ146</f>
        <v>3.3474699999999995</v>
      </c>
      <c r="BA22" s="119">
        <f>BA146</f>
        <v>3.0886449999999988</v>
      </c>
      <c r="BB22" s="42">
        <f>SUM(AX22:BA22)</f>
        <v>12.760579999999997</v>
      </c>
      <c r="BC22" s="120">
        <f>BC146</f>
        <v>3.1463071499999993</v>
      </c>
      <c r="BD22" s="118">
        <f>BD146</f>
        <v>3.2730248249999994</v>
      </c>
      <c r="BE22" s="118">
        <f>BE146</f>
        <v>3.3976820499999993</v>
      </c>
      <c r="BF22" s="119">
        <f>BF146</f>
        <v>3.1349746749999983</v>
      </c>
      <c r="BG22" s="42">
        <f>SUM(BC22:BF22)</f>
        <v>12.951988699999998</v>
      </c>
      <c r="BH22" s="120">
        <f>BH146</f>
        <v>3.1935017572499991</v>
      </c>
      <c r="BI22" s="118">
        <f>BI146</f>
        <v>3.322120197374999</v>
      </c>
      <c r="BJ22" s="118">
        <f>BJ146</f>
        <v>3.448647280749999</v>
      </c>
      <c r="BK22" s="119">
        <f>BK146</f>
        <v>3.181999295124998</v>
      </c>
      <c r="BL22" s="42">
        <f>SUM(BH22:BK22)</f>
        <v>13.146268530499995</v>
      </c>
      <c r="BM22" s="120">
        <f>BM146</f>
        <v>3.2414042836087487</v>
      </c>
      <c r="BN22" s="118">
        <f>BN146</f>
        <v>3.3719520003356238</v>
      </c>
      <c r="BO22" s="118">
        <f>BO146</f>
        <v>3.5003769899612487</v>
      </c>
      <c r="BP22" s="119">
        <f>BP146</f>
        <v>3.2297292845518726</v>
      </c>
      <c r="BQ22" s="42">
        <f>SUM(BM22:BP22)</f>
        <v>13.343462558457494</v>
      </c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</row>
    <row r="23" spans="1:104" x14ac:dyDescent="0.2">
      <c r="A23" s="44"/>
      <c r="B23" s="44"/>
      <c r="C23" s="26" t="s">
        <v>123</v>
      </c>
      <c r="D23" s="42"/>
      <c r="E23" s="121">
        <f t="shared" ref="E23:P23" si="23">SUM(E19:E22,E15)</f>
        <v>207.738</v>
      </c>
      <c r="F23" s="122">
        <f t="shared" si="23"/>
        <v>160.53</v>
      </c>
      <c r="G23" s="122">
        <f t="shared" si="23"/>
        <v>156.31100000000001</v>
      </c>
      <c r="H23" s="123">
        <f t="shared" si="23"/>
        <v>184.99099999999999</v>
      </c>
      <c r="I23" s="86">
        <f t="shared" si="23"/>
        <v>709.56999999999994</v>
      </c>
      <c r="J23" s="121">
        <f t="shared" si="23"/>
        <v>195.90199999999999</v>
      </c>
      <c r="K23" s="122">
        <f t="shared" si="23"/>
        <v>170.60300000000001</v>
      </c>
      <c r="L23" s="122">
        <f t="shared" si="23"/>
        <v>177.93699999999998</v>
      </c>
      <c r="M23" s="123">
        <f t="shared" si="23"/>
        <v>194.02800000000002</v>
      </c>
      <c r="N23" s="86">
        <f t="shared" si="23"/>
        <v>738.47</v>
      </c>
      <c r="O23" s="121">
        <f t="shared" si="23"/>
        <v>208.21100000000001</v>
      </c>
      <c r="P23" s="122">
        <f t="shared" si="23"/>
        <v>178.73500000000001</v>
      </c>
      <c r="Q23" s="122">
        <f t="shared" ref="Q23:V23" si="24">SUM(Q19:Q22,Q15)</f>
        <v>185.43599999999998</v>
      </c>
      <c r="R23" s="123">
        <f t="shared" si="24"/>
        <v>195.89999999999998</v>
      </c>
      <c r="S23" s="86">
        <f t="shared" si="24"/>
        <v>768.28199999999993</v>
      </c>
      <c r="T23" s="121">
        <f t="shared" si="24"/>
        <v>194.88499999999999</v>
      </c>
      <c r="U23" s="122">
        <f t="shared" si="24"/>
        <v>179.82499999999999</v>
      </c>
      <c r="V23" s="122">
        <f t="shared" si="24"/>
        <v>185.74</v>
      </c>
      <c r="W23" s="123">
        <f t="shared" ref="W23:AD23" si="25">SUM(W19:W22,W15)</f>
        <v>201.52600000000001</v>
      </c>
      <c r="X23" s="86">
        <f t="shared" si="25"/>
        <v>761.976</v>
      </c>
      <c r="Y23" s="121">
        <f t="shared" si="25"/>
        <v>204.01400000000001</v>
      </c>
      <c r="Z23" s="122">
        <f t="shared" si="25"/>
        <v>187.70899999999997</v>
      </c>
      <c r="AA23" s="122">
        <f t="shared" si="25"/>
        <v>190.291</v>
      </c>
      <c r="AB23" s="123">
        <f t="shared" si="25"/>
        <v>223.84300000000005</v>
      </c>
      <c r="AC23" s="86">
        <f t="shared" si="25"/>
        <v>805.85699999999997</v>
      </c>
      <c r="AD23" s="121">
        <f t="shared" si="25"/>
        <v>242.57099999999997</v>
      </c>
      <c r="AE23" s="122">
        <f t="shared" ref="AE23:AK23" si="26">SUM(AE19:AE22,AE15)</f>
        <v>204.38400000000001</v>
      </c>
      <c r="AF23" s="122">
        <f t="shared" si="26"/>
        <v>193.50599999999997</v>
      </c>
      <c r="AG23" s="123">
        <f t="shared" si="26"/>
        <v>228.3730000000001</v>
      </c>
      <c r="AH23" s="86">
        <f t="shared" si="26"/>
        <v>868.83399999999995</v>
      </c>
      <c r="AI23" s="121">
        <f t="shared" si="26"/>
        <v>229.17400000000001</v>
      </c>
      <c r="AJ23" s="122">
        <f t="shared" si="26"/>
        <v>191.744</v>
      </c>
      <c r="AK23" s="122">
        <f t="shared" si="26"/>
        <v>188.62900000000002</v>
      </c>
      <c r="AL23" s="123">
        <f t="shared" ref="AL23:AR23" si="27">SUM(AL19:AL22,AL15)</f>
        <v>201.79800000000006</v>
      </c>
      <c r="AM23" s="86">
        <f t="shared" si="27"/>
        <v>811.34500000000003</v>
      </c>
      <c r="AN23" s="121">
        <f t="shared" si="27"/>
        <v>219.40199999999999</v>
      </c>
      <c r="AO23" s="122">
        <f t="shared" si="27"/>
        <v>191.39499999999998</v>
      </c>
      <c r="AP23" s="935">
        <f t="shared" si="27"/>
        <v>199.80199999999999</v>
      </c>
      <c r="AQ23" s="123">
        <f t="shared" si="27"/>
        <v>206.70600000000002</v>
      </c>
      <c r="AR23" s="86">
        <f t="shared" si="27"/>
        <v>817.30500000000006</v>
      </c>
      <c r="AS23" s="121">
        <f>SUM(AS19:AS22,AS15)</f>
        <v>222.15600000000001</v>
      </c>
      <c r="AT23" s="122">
        <f>SUM(AT19:AT22,AT15)</f>
        <v>200.959</v>
      </c>
      <c r="AU23" s="935">
        <f t="shared" ref="AU23:BB23" si="28">SUM(AU19:AU22,AU15)</f>
        <v>209.119</v>
      </c>
      <c r="AV23" s="123">
        <f t="shared" si="28"/>
        <v>224.989</v>
      </c>
      <c r="AW23" s="86">
        <f t="shared" si="28"/>
        <v>857.22299999999996</v>
      </c>
      <c r="AX23" s="121">
        <f t="shared" si="28"/>
        <v>227.69139594757948</v>
      </c>
      <c r="AY23" s="122">
        <f t="shared" si="28"/>
        <v>202.50759865016573</v>
      </c>
      <c r="AZ23" s="122">
        <f t="shared" si="28"/>
        <v>212.19342145966493</v>
      </c>
      <c r="BA23" s="123">
        <f t="shared" si="28"/>
        <v>227.77690770957139</v>
      </c>
      <c r="BB23" s="86">
        <f t="shared" si="28"/>
        <v>870.16932376698151</v>
      </c>
      <c r="BC23" s="121">
        <f t="shared" ref="BC23:BL23" si="29">SUM(BC19:BC22,BC15)</f>
        <v>230.24816612460396</v>
      </c>
      <c r="BD23" s="122">
        <f t="shared" si="29"/>
        <v>205.38594908703482</v>
      </c>
      <c r="BE23" s="122">
        <f t="shared" si="29"/>
        <v>215.10167662447606</v>
      </c>
      <c r="BF23" s="123">
        <f t="shared" si="29"/>
        <v>230.62772662814439</v>
      </c>
      <c r="BG23" s="86">
        <f t="shared" si="29"/>
        <v>881.3635184642593</v>
      </c>
      <c r="BH23" s="121">
        <f t="shared" si="29"/>
        <v>233.02084662794141</v>
      </c>
      <c r="BI23" s="122">
        <f t="shared" si="29"/>
        <v>208.22397923095423</v>
      </c>
      <c r="BJ23" s="122">
        <f t="shared" si="29"/>
        <v>217.93333595992715</v>
      </c>
      <c r="BK23" s="123">
        <f t="shared" si="29"/>
        <v>233.36602599097807</v>
      </c>
      <c r="BL23" s="86">
        <f t="shared" si="29"/>
        <v>892.54418780980086</v>
      </c>
      <c r="BM23" s="121">
        <f t="shared" ref="BM23:BQ23" si="30">SUM(BM19:BM22,BM15)</f>
        <v>235.64514079633472</v>
      </c>
      <c r="BN23" s="122">
        <f t="shared" si="30"/>
        <v>210.49258640047611</v>
      </c>
      <c r="BO23" s="122">
        <f t="shared" si="30"/>
        <v>220.39159410018385</v>
      </c>
      <c r="BP23" s="123">
        <f t="shared" si="30"/>
        <v>235.92381796729404</v>
      </c>
      <c r="BQ23" s="86">
        <f t="shared" si="30"/>
        <v>902.45313926428867</v>
      </c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</row>
    <row r="24" spans="1:104" x14ac:dyDescent="0.2">
      <c r="A24" s="44"/>
      <c r="B24" s="44"/>
      <c r="C24" s="20"/>
      <c r="D24" s="42"/>
      <c r="E24" s="114"/>
      <c r="F24" s="133"/>
      <c r="G24" s="133"/>
      <c r="H24" s="116"/>
      <c r="I24" s="117"/>
      <c r="J24" s="114"/>
      <c r="K24" s="133"/>
      <c r="L24" s="133"/>
      <c r="M24" s="116"/>
      <c r="N24" s="117"/>
      <c r="O24" s="120"/>
      <c r="P24" s="139"/>
      <c r="Q24" s="139"/>
      <c r="R24" s="116"/>
      <c r="S24" s="117"/>
      <c r="T24" s="120"/>
      <c r="U24" s="139"/>
      <c r="V24" s="139"/>
      <c r="W24" s="116"/>
      <c r="X24" s="117"/>
      <c r="Y24" s="120"/>
      <c r="Z24" s="139"/>
      <c r="AA24" s="139"/>
      <c r="AB24" s="116"/>
      <c r="AC24" s="117"/>
      <c r="AD24" s="120"/>
      <c r="AE24" s="139"/>
      <c r="AF24" s="139"/>
      <c r="AG24" s="116"/>
      <c r="AH24" s="117"/>
      <c r="AI24" s="120"/>
      <c r="AJ24" s="139"/>
      <c r="AK24" s="139"/>
      <c r="AL24" s="116"/>
      <c r="AM24" s="117"/>
      <c r="AN24" s="120"/>
      <c r="AO24" s="139"/>
      <c r="AP24" s="937"/>
      <c r="AQ24" s="116"/>
      <c r="AR24" s="117"/>
      <c r="AS24" s="120"/>
      <c r="AT24" s="139"/>
      <c r="AU24" s="139"/>
      <c r="AV24" s="116"/>
      <c r="AW24" s="117"/>
      <c r="AX24" s="120"/>
      <c r="AY24" s="139"/>
      <c r="AZ24" s="139"/>
      <c r="BA24" s="119"/>
      <c r="BB24" s="44"/>
      <c r="BC24" s="120"/>
      <c r="BD24" s="139"/>
      <c r="BE24" s="139"/>
      <c r="BF24" s="119"/>
      <c r="BG24" s="44"/>
      <c r="BH24" s="120"/>
      <c r="BI24" s="139"/>
      <c r="BJ24" s="139"/>
      <c r="BK24" s="119"/>
      <c r="BL24" s="44"/>
      <c r="BM24" s="120"/>
      <c r="BN24" s="139"/>
      <c r="BO24" s="139"/>
      <c r="BP24" s="119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</row>
    <row r="25" spans="1:104" x14ac:dyDescent="0.2">
      <c r="A25" s="44"/>
      <c r="B25" s="44"/>
      <c r="C25" s="26" t="s">
        <v>245</v>
      </c>
      <c r="D25" s="42"/>
      <c r="E25" s="121">
        <f t="shared" ref="E25:N25" si="31">+E11-E23</f>
        <v>41.116000000000014</v>
      </c>
      <c r="F25" s="122">
        <f t="shared" si="31"/>
        <v>10.656000000000006</v>
      </c>
      <c r="G25" s="122">
        <f t="shared" si="31"/>
        <v>25.953999999999979</v>
      </c>
      <c r="H25" s="123">
        <f t="shared" si="31"/>
        <v>16.855000000000018</v>
      </c>
      <c r="I25" s="86">
        <f t="shared" si="31"/>
        <v>94.581000000000131</v>
      </c>
      <c r="J25" s="121">
        <f t="shared" si="31"/>
        <v>28.867000000000019</v>
      </c>
      <c r="K25" s="122">
        <f t="shared" si="31"/>
        <v>8.9939999999999998</v>
      </c>
      <c r="L25" s="122">
        <f t="shared" si="31"/>
        <v>33.131</v>
      </c>
      <c r="M25" s="123">
        <f t="shared" si="31"/>
        <v>17.828999999999979</v>
      </c>
      <c r="N25" s="86">
        <f t="shared" si="31"/>
        <v>88.820999999999913</v>
      </c>
      <c r="O25" s="121">
        <f>O11-O23</f>
        <v>29.896999999999991</v>
      </c>
      <c r="P25" s="122">
        <f>+P11-P23</f>
        <v>20.114999999999981</v>
      </c>
      <c r="Q25" s="122">
        <f>+Q11-Q23</f>
        <v>39.032000000000039</v>
      </c>
      <c r="R25" s="123">
        <f>+R11-R23</f>
        <v>18.46399999999997</v>
      </c>
      <c r="S25" s="86">
        <f>+S11-S23</f>
        <v>107.50800000000004</v>
      </c>
      <c r="T25" s="121">
        <f>T11-T23</f>
        <v>28.914000000000016</v>
      </c>
      <c r="U25" s="122">
        <f>+U11-U23</f>
        <v>14.348000000000013</v>
      </c>
      <c r="V25" s="122">
        <f>+V11-V23</f>
        <v>40.734999999999957</v>
      </c>
      <c r="W25" s="123">
        <f>+W11-W23</f>
        <v>15.869000000000113</v>
      </c>
      <c r="X25" s="86">
        <f>+X11-X23</f>
        <v>99.866000000000099</v>
      </c>
      <c r="Y25" s="121">
        <f>Y11-Y23</f>
        <v>37.40100000000001</v>
      </c>
      <c r="Z25" s="122">
        <f>+Z11-Z23</f>
        <v>22.466000000000037</v>
      </c>
      <c r="AA25" s="122">
        <f>+AA11-AA23</f>
        <v>40.768999999999977</v>
      </c>
      <c r="AB25" s="123">
        <f>+AB11-AB23</f>
        <v>16.544999999999902</v>
      </c>
      <c r="AC25" s="86">
        <f>+AC11-AC23</f>
        <v>117.18100000000004</v>
      </c>
      <c r="AD25" s="121">
        <f>AD11-AD23</f>
        <v>42.571000000000083</v>
      </c>
      <c r="AE25" s="122">
        <f>+AE11-AE23</f>
        <v>23.729999999999961</v>
      </c>
      <c r="AF25" s="122">
        <f>+AF11-AF23</f>
        <v>37.54000000000002</v>
      </c>
      <c r="AG25" s="123">
        <f>+AG11-AG23</f>
        <v>27.786999999999921</v>
      </c>
      <c r="AH25" s="86">
        <f>+AH11-AH23</f>
        <v>131.62800000000016</v>
      </c>
      <c r="AI25" s="121">
        <f>AI11-AI23</f>
        <v>44.785999999999973</v>
      </c>
      <c r="AJ25" s="122">
        <f>+AJ11-AJ23</f>
        <v>25.069000000000017</v>
      </c>
      <c r="AK25" s="122">
        <f>+AK11-AK23</f>
        <v>47.531999999999982</v>
      </c>
      <c r="AL25" s="123">
        <f>+AL11-AL23</f>
        <v>27.809000000000111</v>
      </c>
      <c r="AM25" s="86">
        <f>+AM11-AM23</f>
        <v>145.19600000000003</v>
      </c>
      <c r="AN25" s="121">
        <f>AN11-AN23</f>
        <v>35.448000000000036</v>
      </c>
      <c r="AO25" s="122">
        <f t="shared" ref="AO25:AU25" si="32">+AO11-AO23</f>
        <v>27.777999999999992</v>
      </c>
      <c r="AP25" s="935">
        <f t="shared" si="32"/>
        <v>46.342000000000041</v>
      </c>
      <c r="AQ25" s="123">
        <f t="shared" si="32"/>
        <v>30.359999999999957</v>
      </c>
      <c r="AR25" s="86">
        <f t="shared" si="32"/>
        <v>139.928</v>
      </c>
      <c r="AS25" s="121">
        <f>AS11-AS23</f>
        <v>42.774999999999977</v>
      </c>
      <c r="AT25" s="122">
        <f>+AT11-AT23</f>
        <v>29.067000000000007</v>
      </c>
      <c r="AU25" s="122">
        <f t="shared" si="32"/>
        <v>38.391999999999996</v>
      </c>
      <c r="AV25" s="123">
        <f t="shared" ref="AV25:AW25" si="33">+AV11-AV23</f>
        <v>37.994</v>
      </c>
      <c r="AW25" s="86">
        <f t="shared" si="33"/>
        <v>148.22799999999995</v>
      </c>
      <c r="AX25" s="121">
        <f t="shared" ref="AX25:BG25" si="34">+AX11-AX23</f>
        <v>41.206629470502463</v>
      </c>
      <c r="AY25" s="122">
        <f t="shared" si="34"/>
        <v>26.729304939592538</v>
      </c>
      <c r="AZ25" s="122">
        <f t="shared" si="34"/>
        <v>34.549191938405244</v>
      </c>
      <c r="BA25" s="123">
        <f t="shared" si="34"/>
        <v>35.635456505361788</v>
      </c>
      <c r="BB25" s="86">
        <f t="shared" si="34"/>
        <v>138.12058285386217</v>
      </c>
      <c r="BC25" s="121">
        <f t="shared" si="34"/>
        <v>43.74554178551287</v>
      </c>
      <c r="BD25" s="122">
        <f t="shared" si="34"/>
        <v>27.619680131475263</v>
      </c>
      <c r="BE25" s="122">
        <f t="shared" si="34"/>
        <v>35.641690714425664</v>
      </c>
      <c r="BF25" s="123">
        <f t="shared" si="34"/>
        <v>37.417569374870254</v>
      </c>
      <c r="BG25" s="86">
        <f t="shared" si="34"/>
        <v>144.42448200628394</v>
      </c>
      <c r="BH25" s="121">
        <f t="shared" ref="BH25:BQ25" si="35">+BH11-BH23</f>
        <v>46.991714572667718</v>
      </c>
      <c r="BI25" s="122">
        <f t="shared" si="35"/>
        <v>29.516643084894525</v>
      </c>
      <c r="BJ25" s="122">
        <f t="shared" si="35"/>
        <v>38.019815337135299</v>
      </c>
      <c r="BK25" s="123">
        <f t="shared" si="35"/>
        <v>40.236763066072626</v>
      </c>
      <c r="BL25" s="86">
        <f t="shared" si="35"/>
        <v>154.7649360607702</v>
      </c>
      <c r="BM25" s="121">
        <f t="shared" si="35"/>
        <v>50.161775772110786</v>
      </c>
      <c r="BN25" s="122">
        <f t="shared" si="35"/>
        <v>31.751719832022758</v>
      </c>
      <c r="BO25" s="122">
        <f t="shared" si="35"/>
        <v>40.48339610860171</v>
      </c>
      <c r="BP25" s="123">
        <f t="shared" si="35"/>
        <v>43.013353335049658</v>
      </c>
      <c r="BQ25" s="86">
        <f t="shared" si="35"/>
        <v>165.41024504778511</v>
      </c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  <c r="CX25" s="44"/>
      <c r="CY25" s="44"/>
      <c r="CZ25" s="44"/>
    </row>
    <row r="26" spans="1:104" x14ac:dyDescent="0.2">
      <c r="A26" s="44"/>
      <c r="B26" s="44"/>
      <c r="C26" s="20"/>
      <c r="D26" s="42"/>
      <c r="E26" s="120"/>
      <c r="F26" s="139"/>
      <c r="G26" s="139"/>
      <c r="H26" s="119"/>
      <c r="I26" s="42"/>
      <c r="J26" s="120"/>
      <c r="K26" s="139"/>
      <c r="L26" s="139"/>
      <c r="M26" s="119"/>
      <c r="N26" s="42"/>
      <c r="O26" s="120"/>
      <c r="P26" s="118"/>
      <c r="Q26" s="118"/>
      <c r="R26" s="119"/>
      <c r="S26" s="42"/>
      <c r="T26" s="120"/>
      <c r="U26" s="118"/>
      <c r="V26" s="118"/>
      <c r="W26" s="119"/>
      <c r="X26" s="42"/>
      <c r="Y26" s="120"/>
      <c r="Z26" s="118"/>
      <c r="AA26" s="115"/>
      <c r="AB26" s="119"/>
      <c r="AC26" s="42"/>
      <c r="AD26" s="120"/>
      <c r="AE26" s="118"/>
      <c r="AF26" s="115"/>
      <c r="AG26" s="119"/>
      <c r="AH26" s="42"/>
      <c r="AI26" s="120"/>
      <c r="AJ26" s="118"/>
      <c r="AK26" s="115"/>
      <c r="AL26" s="119"/>
      <c r="AM26" s="42"/>
      <c r="AN26" s="120"/>
      <c r="AO26" s="118"/>
      <c r="AP26" s="937"/>
      <c r="AQ26" s="119"/>
      <c r="AR26" s="42"/>
      <c r="AS26" s="120"/>
      <c r="AT26" s="118"/>
      <c r="AU26" s="139"/>
      <c r="AV26" s="119"/>
      <c r="AW26" s="42"/>
      <c r="AX26" s="120"/>
      <c r="AY26" s="139"/>
      <c r="AZ26" s="139"/>
      <c r="BA26" s="119"/>
      <c r="BB26" s="44"/>
      <c r="BC26" s="120"/>
      <c r="BD26" s="139"/>
      <c r="BE26" s="139"/>
      <c r="BF26" s="119"/>
      <c r="BG26" s="44"/>
      <c r="BH26" s="120"/>
      <c r="BI26" s="139"/>
      <c r="BJ26" s="139"/>
      <c r="BK26" s="119"/>
      <c r="BL26" s="44"/>
      <c r="BM26" s="120"/>
      <c r="BN26" s="139"/>
      <c r="BO26" s="139"/>
      <c r="BP26" s="119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</row>
    <row r="27" spans="1:104" x14ac:dyDescent="0.2">
      <c r="A27" s="44"/>
      <c r="B27" s="44"/>
      <c r="C27" s="20" t="s">
        <v>126</v>
      </c>
      <c r="D27" s="42"/>
      <c r="E27" s="114">
        <v>0.27100000000000002</v>
      </c>
      <c r="F27" s="115">
        <v>0.39200000000000002</v>
      </c>
      <c r="G27" s="115">
        <v>0.45900000000000002</v>
      </c>
      <c r="H27" s="119">
        <f>+I27-SUM(E27:G27)</f>
        <v>0.5149999999999999</v>
      </c>
      <c r="I27" s="117">
        <v>1.637</v>
      </c>
      <c r="J27" s="114">
        <v>0.434</v>
      </c>
      <c r="K27" s="115">
        <v>0.64900000000000002</v>
      </c>
      <c r="L27" s="115">
        <v>0.63900000000000001</v>
      </c>
      <c r="M27" s="119">
        <f>+N27-SUM(J27:L27)</f>
        <v>0.53100000000000014</v>
      </c>
      <c r="N27" s="117">
        <v>2.2530000000000001</v>
      </c>
      <c r="O27" s="114">
        <v>0.106</v>
      </c>
      <c r="P27" s="115">
        <v>0.30499999999999999</v>
      </c>
      <c r="Q27" s="115">
        <v>0.13300000000000001</v>
      </c>
      <c r="R27" s="119">
        <f>+S27-SUM(O27:Q27)</f>
        <v>0.46299999999999986</v>
      </c>
      <c r="S27" s="117">
        <v>1.0069999999999999</v>
      </c>
      <c r="T27" s="114">
        <v>0.999</v>
      </c>
      <c r="U27" s="115">
        <v>0.76500000000000001</v>
      </c>
      <c r="V27" s="115">
        <v>-8.5000000000000006E-2</v>
      </c>
      <c r="W27" s="119">
        <f>+X27-SUM(T27:V27)</f>
        <v>0.42500000000000004</v>
      </c>
      <c r="X27" s="117">
        <v>2.1040000000000001</v>
      </c>
      <c r="Y27" s="114">
        <v>0.94599999999999995</v>
      </c>
      <c r="Z27" s="115">
        <v>0.78</v>
      </c>
      <c r="AA27" s="115">
        <v>1.0289999999999999</v>
      </c>
      <c r="AB27" s="119">
        <f>+AC27-SUM(Y27:AA27)</f>
        <v>1.5040000000000004</v>
      </c>
      <c r="AC27" s="117">
        <v>4.2590000000000003</v>
      </c>
      <c r="AD27" s="114">
        <v>1.5720000000000001</v>
      </c>
      <c r="AE27" s="115">
        <v>1.7669999999999999</v>
      </c>
      <c r="AF27" s="115">
        <v>1.5760000000000001</v>
      </c>
      <c r="AG27" s="119">
        <f>+AH27-SUM(AD27:AF27)</f>
        <v>2.1449999999999996</v>
      </c>
      <c r="AH27" s="117">
        <v>7.06</v>
      </c>
      <c r="AI27" s="114">
        <v>2.2189999999999999</v>
      </c>
      <c r="AJ27" s="115">
        <v>1.778</v>
      </c>
      <c r="AK27" s="115">
        <v>1.929</v>
      </c>
      <c r="AL27" s="119">
        <f>+AM27-SUM(AI27:AK27)</f>
        <v>1.327</v>
      </c>
      <c r="AM27" s="117">
        <v>7.2530000000000001</v>
      </c>
      <c r="AN27" s="114">
        <v>0.81</v>
      </c>
      <c r="AO27" s="115">
        <v>0.91800000000000004</v>
      </c>
      <c r="AP27" s="934">
        <v>1.2410000000000001</v>
      </c>
      <c r="AQ27" s="119">
        <f>+AR27-SUM(AN27:AP27)</f>
        <v>1.3079999999999998</v>
      </c>
      <c r="AR27" s="117">
        <v>4.2770000000000001</v>
      </c>
      <c r="AS27" s="114">
        <v>1.2869999999999999</v>
      </c>
      <c r="AT27" s="115">
        <v>1.7509999999999999</v>
      </c>
      <c r="AU27" s="934">
        <v>1.7050000000000001</v>
      </c>
      <c r="AV27" s="119">
        <f>+AW27-SUM(AS27:AU27)</f>
        <v>1.9639999999999995</v>
      </c>
      <c r="AW27" s="117">
        <v>6.7069999999999999</v>
      </c>
      <c r="AX27" s="120">
        <f>+AX173</f>
        <v>1.9123113011366495</v>
      </c>
      <c r="AY27" s="118">
        <f>+AY173</f>
        <v>1.9123113011366495</v>
      </c>
      <c r="AZ27" s="118">
        <f>+AZ173</f>
        <v>1.9123113011366495</v>
      </c>
      <c r="BA27" s="119">
        <f>+BA173</f>
        <v>1.9123113011366495</v>
      </c>
      <c r="BB27" s="42">
        <f>SUM(AX27:BA27)</f>
        <v>7.649245204546598</v>
      </c>
      <c r="BC27" s="120">
        <f>+BC173</f>
        <v>1.9123113011366495</v>
      </c>
      <c r="BD27" s="118">
        <f>+BD173</f>
        <v>1.9123113011366495</v>
      </c>
      <c r="BE27" s="118">
        <f>+BE173</f>
        <v>1.9123113011366495</v>
      </c>
      <c r="BF27" s="119">
        <f>+BF173</f>
        <v>1.9123113011366495</v>
      </c>
      <c r="BG27" s="42">
        <f>SUM(BC27:BF27)</f>
        <v>7.649245204546598</v>
      </c>
      <c r="BH27" s="120">
        <f>+BH173</f>
        <v>1.8358188490911833</v>
      </c>
      <c r="BI27" s="118">
        <f>+BI173</f>
        <v>1.8358188490911833</v>
      </c>
      <c r="BJ27" s="118">
        <f>+BJ173</f>
        <v>1.8358188490911833</v>
      </c>
      <c r="BK27" s="119">
        <f>+BK173</f>
        <v>1.8358188490911833</v>
      </c>
      <c r="BL27" s="42">
        <f>SUM(BH27:BK27)</f>
        <v>7.3432753963647333</v>
      </c>
      <c r="BM27" s="120">
        <f>+BM173</f>
        <v>2.1417886572730476</v>
      </c>
      <c r="BN27" s="118">
        <f>+BN173</f>
        <v>2.1417886572730476</v>
      </c>
      <c r="BO27" s="118">
        <f>+BO173</f>
        <v>2.1417886572730476</v>
      </c>
      <c r="BP27" s="119">
        <f>+BP173</f>
        <v>2.1417886572730476</v>
      </c>
      <c r="BQ27" s="42">
        <f>SUM(BM27:BP27)</f>
        <v>8.5671546290921903</v>
      </c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</row>
    <row r="28" spans="1:104" x14ac:dyDescent="0.2">
      <c r="A28" s="44"/>
      <c r="B28" s="44"/>
      <c r="C28" s="20" t="s">
        <v>128</v>
      </c>
      <c r="D28" s="42"/>
      <c r="E28" s="114">
        <v>0.249</v>
      </c>
      <c r="F28" s="115">
        <v>0.09</v>
      </c>
      <c r="G28" s="115">
        <v>6.7000000000000004E-2</v>
      </c>
      <c r="H28" s="116">
        <f>+I28-SUM(E28:G28)</f>
        <v>0.32100000000000001</v>
      </c>
      <c r="I28" s="117">
        <v>0.72699999999999998</v>
      </c>
      <c r="J28" s="114">
        <v>0.66300000000000003</v>
      </c>
      <c r="K28" s="115">
        <v>8.5999999999999993E-2</v>
      </c>
      <c r="L28" s="115">
        <v>0.20399999999999999</v>
      </c>
      <c r="M28" s="116">
        <f>+N28-SUM(J28:L28)</f>
        <v>0.31199999999999994</v>
      </c>
      <c r="N28" s="117">
        <v>1.2649999999999999</v>
      </c>
      <c r="O28" s="114">
        <v>7.3999999999999996E-2</v>
      </c>
      <c r="P28" s="115">
        <v>-0.06</v>
      </c>
      <c r="Q28" s="115">
        <v>0.28899999999999998</v>
      </c>
      <c r="R28" s="116">
        <f>+S28-SUM(O28:Q28)</f>
        <v>-0.20499999999999999</v>
      </c>
      <c r="S28" s="117">
        <v>9.8000000000000004E-2</v>
      </c>
      <c r="T28" s="114">
        <v>0.5</v>
      </c>
      <c r="U28" s="115">
        <v>-0.04</v>
      </c>
      <c r="V28" s="115">
        <v>-0.38500000000000001</v>
      </c>
      <c r="W28" s="116">
        <f>+X28-SUM(T28:V28)</f>
        <v>0.40099999999999997</v>
      </c>
      <c r="X28" s="117">
        <v>0.47599999999999998</v>
      </c>
      <c r="Y28" s="114">
        <v>0.115</v>
      </c>
      <c r="Z28" s="115">
        <v>0.155</v>
      </c>
      <c r="AA28" s="115">
        <v>-6.0999999999999999E-2</v>
      </c>
      <c r="AB28" s="116">
        <f>+AC28-SUM(Y28:AA28)</f>
        <v>4.3999999999999984E-2</v>
      </c>
      <c r="AC28" s="117">
        <v>0.253</v>
      </c>
      <c r="AD28" s="114">
        <v>0.124</v>
      </c>
      <c r="AE28" s="115">
        <v>-7.0000000000000007E-2</v>
      </c>
      <c r="AF28" s="115">
        <v>-8.9999999999999993E-3</v>
      </c>
      <c r="AG28" s="116">
        <f>+AH28-SUM(AD28:AF28)</f>
        <v>0.22500000000000003</v>
      </c>
      <c r="AH28" s="117">
        <v>0.27</v>
      </c>
      <c r="AI28" s="114">
        <f>0.249-5.237</f>
        <v>-4.9880000000000004</v>
      </c>
      <c r="AJ28" s="115">
        <v>3.5000000000000003E-2</v>
      </c>
      <c r="AK28" s="115">
        <v>0.1</v>
      </c>
      <c r="AL28" s="116">
        <f>+AM28-SUM(AI28:AK28)</f>
        <v>0.49900000000000055</v>
      </c>
      <c r="AM28" s="117">
        <f>0.883-5.237</f>
        <v>-4.3540000000000001</v>
      </c>
      <c r="AN28" s="114">
        <v>0.44900000000000001</v>
      </c>
      <c r="AO28" s="115">
        <v>7.6999999999999999E-2</v>
      </c>
      <c r="AP28" s="934">
        <v>-0.10199999999999999</v>
      </c>
      <c r="AQ28" s="116">
        <f>+AR28-SUM(AN28:AP28)</f>
        <v>3.6999999999999977E-2</v>
      </c>
      <c r="AR28" s="117">
        <v>0.46100000000000002</v>
      </c>
      <c r="AS28" s="114">
        <v>0.246</v>
      </c>
      <c r="AT28" s="115">
        <v>8.3000000000000004E-2</v>
      </c>
      <c r="AU28" s="934">
        <v>9.5000000000000001E-2</v>
      </c>
      <c r="AV28" s="116">
        <f>+AW28-SUM(AS28:AU28)</f>
        <v>0.40899999999999992</v>
      </c>
      <c r="AW28" s="117">
        <v>0.83299999999999996</v>
      </c>
      <c r="AX28" s="120">
        <f>+AS28</f>
        <v>0.246</v>
      </c>
      <c r="AY28" s="118">
        <f>+AT28</f>
        <v>8.3000000000000004E-2</v>
      </c>
      <c r="AZ28" s="118">
        <f>+AU28</f>
        <v>9.5000000000000001E-2</v>
      </c>
      <c r="BA28" s="116">
        <f>+AV28</f>
        <v>0.40899999999999992</v>
      </c>
      <c r="BB28" s="42">
        <f>SUM(AX28:BA28)</f>
        <v>0.83299999999999996</v>
      </c>
      <c r="BC28" s="120">
        <f>+AX28</f>
        <v>0.246</v>
      </c>
      <c r="BD28" s="118">
        <f>+AY28</f>
        <v>8.3000000000000004E-2</v>
      </c>
      <c r="BE28" s="118">
        <f>+AZ28</f>
        <v>9.5000000000000001E-2</v>
      </c>
      <c r="BF28" s="116">
        <f>+BA28</f>
        <v>0.40899999999999992</v>
      </c>
      <c r="BG28" s="42">
        <f>SUM(BC28:BF28)</f>
        <v>0.83299999999999996</v>
      </c>
      <c r="BH28" s="120">
        <f>+BC28</f>
        <v>0.246</v>
      </c>
      <c r="BI28" s="118">
        <f>+BD28</f>
        <v>8.3000000000000004E-2</v>
      </c>
      <c r="BJ28" s="118">
        <f>+BE28</f>
        <v>9.5000000000000001E-2</v>
      </c>
      <c r="BK28" s="116">
        <f>+BF28</f>
        <v>0.40899999999999992</v>
      </c>
      <c r="BL28" s="42">
        <f>SUM(BH28:BK28)</f>
        <v>0.83299999999999996</v>
      </c>
      <c r="BM28" s="120">
        <f>+BH28</f>
        <v>0.246</v>
      </c>
      <c r="BN28" s="118">
        <f>+BI28</f>
        <v>8.3000000000000004E-2</v>
      </c>
      <c r="BO28" s="118">
        <f>+BJ28</f>
        <v>9.5000000000000001E-2</v>
      </c>
      <c r="BP28" s="116">
        <f>+BK28</f>
        <v>0.40899999999999992</v>
      </c>
      <c r="BQ28" s="42">
        <f>SUM(BM28:BP28)</f>
        <v>0.83299999999999996</v>
      </c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</row>
    <row r="29" spans="1:104" x14ac:dyDescent="0.2">
      <c r="A29" s="44"/>
      <c r="B29" s="44"/>
      <c r="C29" s="26" t="s">
        <v>129</v>
      </c>
      <c r="D29" s="82"/>
      <c r="E29" s="124">
        <f t="shared" ref="E29:P29" si="36">SUM(E27:E28)</f>
        <v>0.52</v>
      </c>
      <c r="F29" s="129">
        <f t="shared" si="36"/>
        <v>0.48199999999999998</v>
      </c>
      <c r="G29" s="129">
        <f t="shared" si="36"/>
        <v>0.52600000000000002</v>
      </c>
      <c r="H29" s="126">
        <f t="shared" si="36"/>
        <v>0.83599999999999985</v>
      </c>
      <c r="I29" s="127">
        <f t="shared" si="36"/>
        <v>2.3639999999999999</v>
      </c>
      <c r="J29" s="124">
        <f t="shared" si="36"/>
        <v>1.097</v>
      </c>
      <c r="K29" s="129">
        <f t="shared" si="36"/>
        <v>0.73499999999999999</v>
      </c>
      <c r="L29" s="129">
        <f t="shared" si="36"/>
        <v>0.84299999999999997</v>
      </c>
      <c r="M29" s="126">
        <f t="shared" si="36"/>
        <v>0.84300000000000008</v>
      </c>
      <c r="N29" s="127">
        <f t="shared" si="36"/>
        <v>3.5179999999999998</v>
      </c>
      <c r="O29" s="124">
        <f t="shared" si="36"/>
        <v>0.18</v>
      </c>
      <c r="P29" s="129">
        <f t="shared" si="36"/>
        <v>0.245</v>
      </c>
      <c r="Q29" s="129">
        <f t="shared" ref="Q29:V29" si="37">SUM(Q27:Q28)</f>
        <v>0.42199999999999999</v>
      </c>
      <c r="R29" s="126">
        <f t="shared" si="37"/>
        <v>0.2579999999999999</v>
      </c>
      <c r="S29" s="127">
        <f t="shared" si="37"/>
        <v>1.105</v>
      </c>
      <c r="T29" s="124">
        <f t="shared" si="37"/>
        <v>1.4990000000000001</v>
      </c>
      <c r="U29" s="129">
        <f t="shared" si="37"/>
        <v>0.72499999999999998</v>
      </c>
      <c r="V29" s="129">
        <f t="shared" si="37"/>
        <v>-0.47000000000000003</v>
      </c>
      <c r="W29" s="126">
        <f t="shared" ref="W29:AD29" si="38">SUM(W27:W28)</f>
        <v>0.82600000000000007</v>
      </c>
      <c r="X29" s="127">
        <f t="shared" si="38"/>
        <v>2.58</v>
      </c>
      <c r="Y29" s="124">
        <f t="shared" si="38"/>
        <v>1.0609999999999999</v>
      </c>
      <c r="Z29" s="129">
        <f t="shared" si="38"/>
        <v>0.93500000000000005</v>
      </c>
      <c r="AA29" s="129">
        <f t="shared" si="38"/>
        <v>0.96799999999999997</v>
      </c>
      <c r="AB29" s="126">
        <f t="shared" si="38"/>
        <v>1.5480000000000005</v>
      </c>
      <c r="AC29" s="127">
        <f t="shared" si="38"/>
        <v>4.5120000000000005</v>
      </c>
      <c r="AD29" s="124">
        <f t="shared" si="38"/>
        <v>1.6960000000000002</v>
      </c>
      <c r="AE29" s="129">
        <f t="shared" ref="AE29:AM29" si="39">SUM(AE27:AE28)</f>
        <v>1.6969999999999998</v>
      </c>
      <c r="AF29" s="129">
        <f t="shared" si="39"/>
        <v>1.5670000000000002</v>
      </c>
      <c r="AG29" s="126">
        <f t="shared" si="39"/>
        <v>2.3699999999999997</v>
      </c>
      <c r="AH29" s="127">
        <f t="shared" si="39"/>
        <v>7.33</v>
      </c>
      <c r="AI29" s="124">
        <f t="shared" si="39"/>
        <v>-2.7690000000000006</v>
      </c>
      <c r="AJ29" s="129">
        <f t="shared" si="39"/>
        <v>1.8129999999999999</v>
      </c>
      <c r="AK29" s="129">
        <f t="shared" si="39"/>
        <v>2.0289999999999999</v>
      </c>
      <c r="AL29" s="126">
        <f t="shared" si="39"/>
        <v>1.8260000000000005</v>
      </c>
      <c r="AM29" s="127">
        <f t="shared" si="39"/>
        <v>2.899</v>
      </c>
      <c r="AN29" s="124">
        <f t="shared" ref="AN29:AU29" si="40">SUM(AN27:AN28)</f>
        <v>1.2590000000000001</v>
      </c>
      <c r="AO29" s="129">
        <f t="shared" si="40"/>
        <v>0.995</v>
      </c>
      <c r="AP29" s="935">
        <f t="shared" si="40"/>
        <v>1.139</v>
      </c>
      <c r="AQ29" s="126">
        <f t="shared" si="40"/>
        <v>1.3449999999999998</v>
      </c>
      <c r="AR29" s="127">
        <f t="shared" si="40"/>
        <v>4.7380000000000004</v>
      </c>
      <c r="AS29" s="124">
        <f>SUM(AS27:AS28)</f>
        <v>1.5329999999999999</v>
      </c>
      <c r="AT29" s="129">
        <f>SUM(AT27:AT28)</f>
        <v>1.8339999999999999</v>
      </c>
      <c r="AU29" s="122">
        <f t="shared" si="40"/>
        <v>1.8</v>
      </c>
      <c r="AV29" s="126">
        <f t="shared" ref="AV29:AW29" si="41">SUM(AV27:AV28)</f>
        <v>2.3729999999999993</v>
      </c>
      <c r="AW29" s="127">
        <f t="shared" si="41"/>
        <v>7.54</v>
      </c>
      <c r="AX29" s="121">
        <f t="shared" ref="AX29:BG29" si="42">SUM(AX27:AX28)</f>
        <v>2.1583113011366493</v>
      </c>
      <c r="AY29" s="122">
        <f t="shared" si="42"/>
        <v>1.9953113011366495</v>
      </c>
      <c r="AZ29" s="122">
        <f t="shared" si="42"/>
        <v>2.0073113011366495</v>
      </c>
      <c r="BA29" s="123">
        <f t="shared" si="42"/>
        <v>2.3213113011366495</v>
      </c>
      <c r="BB29" s="86">
        <f t="shared" si="42"/>
        <v>8.4822452045465973</v>
      </c>
      <c r="BC29" s="121">
        <f t="shared" si="42"/>
        <v>2.1583113011366493</v>
      </c>
      <c r="BD29" s="122">
        <f t="shared" si="42"/>
        <v>1.9953113011366495</v>
      </c>
      <c r="BE29" s="122">
        <f t="shared" si="42"/>
        <v>2.0073113011366495</v>
      </c>
      <c r="BF29" s="123">
        <f t="shared" si="42"/>
        <v>2.3213113011366495</v>
      </c>
      <c r="BG29" s="86">
        <f t="shared" si="42"/>
        <v>8.4822452045465973</v>
      </c>
      <c r="BH29" s="121">
        <f t="shared" ref="BH29:BQ29" si="43">SUM(BH27:BH28)</f>
        <v>2.0818188490911833</v>
      </c>
      <c r="BI29" s="122">
        <f t="shared" si="43"/>
        <v>1.9188188490911833</v>
      </c>
      <c r="BJ29" s="122">
        <f t="shared" si="43"/>
        <v>1.9308188490911833</v>
      </c>
      <c r="BK29" s="123">
        <f t="shared" si="43"/>
        <v>2.2448188490911831</v>
      </c>
      <c r="BL29" s="86">
        <f t="shared" si="43"/>
        <v>8.1762753963647334</v>
      </c>
      <c r="BM29" s="121">
        <f t="shared" si="43"/>
        <v>2.3877886572730476</v>
      </c>
      <c r="BN29" s="122">
        <f t="shared" si="43"/>
        <v>2.2247886572730478</v>
      </c>
      <c r="BO29" s="122">
        <f t="shared" si="43"/>
        <v>2.2367886572730478</v>
      </c>
      <c r="BP29" s="123">
        <f t="shared" si="43"/>
        <v>2.5507886572730474</v>
      </c>
      <c r="BQ29" s="86">
        <f t="shared" si="43"/>
        <v>9.4001546290921905</v>
      </c>
      <c r="BR29" s="220"/>
      <c r="BS29" s="220"/>
      <c r="BT29" s="220"/>
      <c r="BU29" s="220"/>
      <c r="BV29" s="220"/>
      <c r="BW29" s="220"/>
      <c r="BX29" s="220"/>
      <c r="BY29" s="220"/>
      <c r="BZ29" s="220"/>
      <c r="CA29" s="220"/>
      <c r="CB29" s="220"/>
      <c r="CC29" s="220"/>
      <c r="CD29" s="220"/>
      <c r="CE29" s="220"/>
      <c r="CF29" s="220"/>
      <c r="CG29" s="220"/>
      <c r="CH29" s="220"/>
      <c r="CI29" s="220"/>
      <c r="CJ29" s="220"/>
      <c r="CK29" s="220"/>
      <c r="CL29" s="220"/>
      <c r="CM29" s="220"/>
      <c r="CN29" s="220"/>
      <c r="CO29" s="220"/>
      <c r="CP29" s="220"/>
      <c r="CQ29" s="220"/>
      <c r="CR29" s="220"/>
      <c r="CS29" s="220"/>
      <c r="CT29" s="220"/>
      <c r="CU29" s="220"/>
      <c r="CV29" s="220"/>
      <c r="CW29" s="220"/>
      <c r="CX29" s="220"/>
      <c r="CY29" s="220"/>
      <c r="CZ29" s="220"/>
    </row>
    <row r="30" spans="1:104" x14ac:dyDescent="0.2">
      <c r="A30" s="44"/>
      <c r="B30" s="44"/>
      <c r="C30" s="20"/>
      <c r="D30" s="42"/>
      <c r="E30" s="148"/>
      <c r="F30" s="149"/>
      <c r="G30" s="149"/>
      <c r="H30" s="150"/>
      <c r="I30" s="34"/>
      <c r="J30" s="148"/>
      <c r="K30" s="149"/>
      <c r="L30" s="149"/>
      <c r="M30" s="150"/>
      <c r="N30" s="34"/>
      <c r="O30" s="148"/>
      <c r="P30" s="139"/>
      <c r="Q30" s="139"/>
      <c r="R30" s="150"/>
      <c r="S30" s="34"/>
      <c r="T30" s="148"/>
      <c r="U30" s="139"/>
      <c r="V30" s="139"/>
      <c r="W30" s="150"/>
      <c r="X30" s="34"/>
      <c r="Y30" s="148"/>
      <c r="Z30" s="139"/>
      <c r="AA30" s="139"/>
      <c r="AB30" s="150"/>
      <c r="AC30" s="34"/>
      <c r="AD30" s="148"/>
      <c r="AE30" s="139"/>
      <c r="AF30" s="139"/>
      <c r="AG30" s="150"/>
      <c r="AH30" s="34"/>
      <c r="AI30" s="148"/>
      <c r="AJ30" s="139"/>
      <c r="AK30" s="139"/>
      <c r="AL30" s="150"/>
      <c r="AM30" s="34"/>
      <c r="AN30" s="148"/>
      <c r="AO30" s="139"/>
      <c r="AP30" s="937"/>
      <c r="AQ30" s="150"/>
      <c r="AR30" s="34"/>
      <c r="AS30" s="148"/>
      <c r="AT30" s="139"/>
      <c r="AU30" s="139"/>
      <c r="AV30" s="150"/>
      <c r="AW30" s="34"/>
      <c r="AX30" s="120"/>
      <c r="AY30" s="139"/>
      <c r="AZ30" s="139"/>
      <c r="BA30" s="119"/>
      <c r="BB30" s="44"/>
      <c r="BC30" s="120"/>
      <c r="BD30" s="139"/>
      <c r="BE30" s="139"/>
      <c r="BF30" s="119"/>
      <c r="BG30" s="44"/>
      <c r="BH30" s="120"/>
      <c r="BI30" s="139"/>
      <c r="BJ30" s="139"/>
      <c r="BK30" s="119"/>
      <c r="BL30" s="44"/>
      <c r="BM30" s="120"/>
      <c r="BN30" s="139"/>
      <c r="BO30" s="139"/>
      <c r="BP30" s="119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  <c r="CX30" s="44"/>
      <c r="CY30" s="44"/>
      <c r="CZ30" s="44"/>
    </row>
    <row r="31" spans="1:104" x14ac:dyDescent="0.2">
      <c r="A31" s="44"/>
      <c r="B31" s="44"/>
      <c r="C31" s="26" t="s">
        <v>130</v>
      </c>
      <c r="D31" s="42"/>
      <c r="E31" s="121">
        <f t="shared" ref="E31:P31" si="44">E25+E29</f>
        <v>41.636000000000017</v>
      </c>
      <c r="F31" s="122">
        <f t="shared" si="44"/>
        <v>11.138000000000005</v>
      </c>
      <c r="G31" s="122">
        <f t="shared" si="44"/>
        <v>26.479999999999979</v>
      </c>
      <c r="H31" s="123">
        <f t="shared" si="44"/>
        <v>17.691000000000017</v>
      </c>
      <c r="I31" s="86">
        <f t="shared" si="44"/>
        <v>96.945000000000135</v>
      </c>
      <c r="J31" s="121">
        <f t="shared" si="44"/>
        <v>29.96400000000002</v>
      </c>
      <c r="K31" s="122">
        <f t="shared" si="44"/>
        <v>9.7289999999999992</v>
      </c>
      <c r="L31" s="122">
        <f t="shared" si="44"/>
        <v>33.974000000000004</v>
      </c>
      <c r="M31" s="123">
        <f>M25+M29</f>
        <v>18.671999999999979</v>
      </c>
      <c r="N31" s="86">
        <f t="shared" si="44"/>
        <v>92.338999999999913</v>
      </c>
      <c r="O31" s="121">
        <f t="shared" si="44"/>
        <v>30.076999999999991</v>
      </c>
      <c r="P31" s="122">
        <f t="shared" si="44"/>
        <v>20.359999999999982</v>
      </c>
      <c r="Q31" s="122">
        <f>Q25+Q29</f>
        <v>39.454000000000036</v>
      </c>
      <c r="R31" s="123">
        <f t="shared" ref="R31:Y31" si="45">R25+R29</f>
        <v>18.721999999999969</v>
      </c>
      <c r="S31" s="86">
        <f t="shared" si="45"/>
        <v>108.61300000000004</v>
      </c>
      <c r="T31" s="121">
        <f t="shared" si="45"/>
        <v>30.413000000000014</v>
      </c>
      <c r="U31" s="122">
        <f t="shared" si="45"/>
        <v>15.073000000000013</v>
      </c>
      <c r="V31" s="122">
        <f t="shared" si="45"/>
        <v>40.264999999999958</v>
      </c>
      <c r="W31" s="123">
        <f t="shared" si="45"/>
        <v>16.695000000000114</v>
      </c>
      <c r="X31" s="86">
        <f t="shared" si="45"/>
        <v>102.4460000000001</v>
      </c>
      <c r="Y31" s="121">
        <f t="shared" si="45"/>
        <v>38.46200000000001</v>
      </c>
      <c r="Z31" s="122">
        <f>Z25+Z29</f>
        <v>23.401000000000035</v>
      </c>
      <c r="AA31" s="122">
        <f>AA25+AA29</f>
        <v>41.736999999999981</v>
      </c>
      <c r="AB31" s="123">
        <f>AB25+AB29</f>
        <v>18.092999999999904</v>
      </c>
      <c r="AC31" s="86">
        <f>AC25+AC29</f>
        <v>121.69300000000004</v>
      </c>
      <c r="AD31" s="121">
        <f>AD25+AD29</f>
        <v>44.267000000000081</v>
      </c>
      <c r="AE31" s="122">
        <f t="shared" ref="AE31:AJ31" si="46">AE25+AE29</f>
        <v>25.426999999999961</v>
      </c>
      <c r="AF31" s="122">
        <f t="shared" si="46"/>
        <v>39.107000000000021</v>
      </c>
      <c r="AG31" s="123">
        <f t="shared" si="46"/>
        <v>30.156999999999922</v>
      </c>
      <c r="AH31" s="86">
        <f t="shared" si="46"/>
        <v>138.95800000000017</v>
      </c>
      <c r="AI31" s="121">
        <f t="shared" si="46"/>
        <v>42.016999999999975</v>
      </c>
      <c r="AJ31" s="122">
        <f t="shared" si="46"/>
        <v>26.882000000000016</v>
      </c>
      <c r="AK31" s="122">
        <f t="shared" ref="AK31:AP31" si="47">AK25+AK29</f>
        <v>49.560999999999979</v>
      </c>
      <c r="AL31" s="123">
        <f t="shared" si="47"/>
        <v>29.635000000000112</v>
      </c>
      <c r="AM31" s="86">
        <f t="shared" si="47"/>
        <v>148.09500000000003</v>
      </c>
      <c r="AN31" s="121">
        <f t="shared" si="47"/>
        <v>36.707000000000036</v>
      </c>
      <c r="AO31" s="122">
        <f t="shared" si="47"/>
        <v>28.772999999999993</v>
      </c>
      <c r="AP31" s="935">
        <f t="shared" si="47"/>
        <v>47.481000000000044</v>
      </c>
      <c r="AQ31" s="123">
        <f t="shared" ref="AQ31:AU31" si="48">AQ25+AQ29</f>
        <v>31.704999999999956</v>
      </c>
      <c r="AR31" s="86">
        <f t="shared" si="48"/>
        <v>144.666</v>
      </c>
      <c r="AS31" s="121">
        <f t="shared" si="48"/>
        <v>44.307999999999979</v>
      </c>
      <c r="AT31" s="122">
        <f t="shared" si="48"/>
        <v>30.901000000000007</v>
      </c>
      <c r="AU31" s="935">
        <f t="shared" si="48"/>
        <v>40.191999999999993</v>
      </c>
      <c r="AV31" s="123">
        <f t="shared" ref="AV31:AW31" si="49">AV25+AV29</f>
        <v>40.366999999999997</v>
      </c>
      <c r="AW31" s="86">
        <f t="shared" si="49"/>
        <v>155.76799999999994</v>
      </c>
      <c r="AX31" s="121">
        <f t="shared" ref="AX31:BG31" si="50">AX25+AX29</f>
        <v>43.364940771639112</v>
      </c>
      <c r="AY31" s="122">
        <f t="shared" si="50"/>
        <v>28.724616240729187</v>
      </c>
      <c r="AZ31" s="122">
        <f t="shared" si="50"/>
        <v>36.556503239541897</v>
      </c>
      <c r="BA31" s="123">
        <f t="shared" si="50"/>
        <v>37.956767806498434</v>
      </c>
      <c r="BB31" s="86">
        <f t="shared" si="50"/>
        <v>146.60282805840876</v>
      </c>
      <c r="BC31" s="121">
        <f t="shared" si="50"/>
        <v>45.903853086649519</v>
      </c>
      <c r="BD31" s="122">
        <f t="shared" si="50"/>
        <v>29.614991432611912</v>
      </c>
      <c r="BE31" s="122">
        <f t="shared" si="50"/>
        <v>37.649002015562317</v>
      </c>
      <c r="BF31" s="123">
        <f t="shared" si="50"/>
        <v>39.7388806760069</v>
      </c>
      <c r="BG31" s="86">
        <f t="shared" si="50"/>
        <v>152.90672721083052</v>
      </c>
      <c r="BH31" s="121">
        <f t="shared" ref="BH31:BQ31" si="51">BH25+BH29</f>
        <v>49.073533421758903</v>
      </c>
      <c r="BI31" s="122">
        <f t="shared" si="51"/>
        <v>31.43546193398571</v>
      </c>
      <c r="BJ31" s="122">
        <f t="shared" si="51"/>
        <v>39.95063418622648</v>
      </c>
      <c r="BK31" s="123">
        <f t="shared" si="51"/>
        <v>42.481581915163808</v>
      </c>
      <c r="BL31" s="86">
        <f t="shared" si="51"/>
        <v>162.94121145713493</v>
      </c>
      <c r="BM31" s="121">
        <f t="shared" si="51"/>
        <v>52.549564429383835</v>
      </c>
      <c r="BN31" s="122">
        <f t="shared" si="51"/>
        <v>33.976508489295803</v>
      </c>
      <c r="BO31" s="122">
        <f t="shared" si="51"/>
        <v>42.720184765874755</v>
      </c>
      <c r="BP31" s="123">
        <f t="shared" si="51"/>
        <v>45.564141992322703</v>
      </c>
      <c r="BQ31" s="86">
        <f t="shared" si="51"/>
        <v>174.8103996768773</v>
      </c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44"/>
      <c r="CY31" s="44"/>
      <c r="CZ31" s="44"/>
    </row>
    <row r="32" spans="1:104" x14ac:dyDescent="0.2">
      <c r="A32" s="44"/>
      <c r="B32" s="44"/>
      <c r="C32" s="26" t="s">
        <v>131</v>
      </c>
      <c r="D32" s="42"/>
      <c r="E32" s="121">
        <f t="shared" ref="E32:P32" si="52">+E31+E20</f>
        <v>56.879000000000019</v>
      </c>
      <c r="F32" s="122">
        <f t="shared" si="52"/>
        <v>26.531000000000006</v>
      </c>
      <c r="G32" s="122">
        <f t="shared" si="52"/>
        <v>41.905999999999977</v>
      </c>
      <c r="H32" s="123">
        <f t="shared" si="52"/>
        <v>33.38600000000001</v>
      </c>
      <c r="I32" s="86">
        <f t="shared" si="52"/>
        <v>158.70200000000014</v>
      </c>
      <c r="J32" s="121">
        <f t="shared" si="52"/>
        <v>45.694000000000017</v>
      </c>
      <c r="K32" s="122">
        <f t="shared" si="52"/>
        <v>25.611999999999998</v>
      </c>
      <c r="L32" s="122">
        <f t="shared" si="52"/>
        <v>49.741</v>
      </c>
      <c r="M32" s="123">
        <f t="shared" si="52"/>
        <v>34.960999999999984</v>
      </c>
      <c r="N32" s="86">
        <f t="shared" si="52"/>
        <v>156.00799999999992</v>
      </c>
      <c r="O32" s="121">
        <f t="shared" si="52"/>
        <v>46.815999999999988</v>
      </c>
      <c r="P32" s="122">
        <f t="shared" si="52"/>
        <v>37.265999999999977</v>
      </c>
      <c r="Q32" s="122">
        <f t="shared" ref="Q32:V32" si="53">+Q31+Q20</f>
        <v>56.765000000000036</v>
      </c>
      <c r="R32" s="123">
        <f t="shared" si="53"/>
        <v>36.339999999999975</v>
      </c>
      <c r="S32" s="86">
        <f t="shared" si="53"/>
        <v>177.18700000000004</v>
      </c>
      <c r="T32" s="121">
        <f t="shared" si="53"/>
        <v>47.422000000000011</v>
      </c>
      <c r="U32" s="122">
        <f t="shared" si="53"/>
        <v>32.166000000000011</v>
      </c>
      <c r="V32" s="122">
        <f t="shared" si="53"/>
        <v>57.602999999999959</v>
      </c>
      <c r="W32" s="123">
        <f t="shared" ref="W32:AD32" si="54">+W31+W20</f>
        <v>34.489000000000104</v>
      </c>
      <c r="X32" s="86">
        <f t="shared" si="54"/>
        <v>171.68000000000009</v>
      </c>
      <c r="Y32" s="121">
        <f t="shared" si="54"/>
        <v>57.317000000000007</v>
      </c>
      <c r="Z32" s="122">
        <f t="shared" si="54"/>
        <v>42.452000000000034</v>
      </c>
      <c r="AA32" s="122">
        <f t="shared" si="54"/>
        <v>61.095999999999982</v>
      </c>
      <c r="AB32" s="123">
        <f t="shared" si="54"/>
        <v>37.724999999999909</v>
      </c>
      <c r="AC32" s="86">
        <f t="shared" si="54"/>
        <v>198.59000000000003</v>
      </c>
      <c r="AD32" s="121">
        <f t="shared" si="54"/>
        <v>63.574000000000083</v>
      </c>
      <c r="AE32" s="122">
        <f t="shared" ref="AE32:AM32" si="55">+AE31+AE20</f>
        <v>45.300999999999959</v>
      </c>
      <c r="AF32" s="122">
        <f t="shared" si="55"/>
        <v>59.047000000000025</v>
      </c>
      <c r="AG32" s="123">
        <f t="shared" si="55"/>
        <v>50.689999999999927</v>
      </c>
      <c r="AH32" s="86">
        <f t="shared" si="55"/>
        <v>218.61200000000017</v>
      </c>
      <c r="AI32" s="121">
        <f t="shared" si="55"/>
        <v>63.377999999999972</v>
      </c>
      <c r="AJ32" s="122">
        <f t="shared" si="55"/>
        <v>49.410000000000011</v>
      </c>
      <c r="AK32" s="122">
        <f t="shared" si="55"/>
        <v>72.579999999999984</v>
      </c>
      <c r="AL32" s="123">
        <f t="shared" si="55"/>
        <v>53.972000000000129</v>
      </c>
      <c r="AM32" s="86">
        <f t="shared" si="55"/>
        <v>239.34000000000003</v>
      </c>
      <c r="AN32" s="121">
        <f t="shared" ref="AN32:AR32" si="56">+AN31+AN20</f>
        <v>61.156000000000034</v>
      </c>
      <c r="AO32" s="122">
        <f t="shared" si="56"/>
        <v>52.492999999999995</v>
      </c>
      <c r="AP32" s="935">
        <f t="shared" si="56"/>
        <v>72.18100000000004</v>
      </c>
      <c r="AQ32" s="123">
        <f t="shared" si="56"/>
        <v>57.129999999999953</v>
      </c>
      <c r="AR32" s="86">
        <f t="shared" si="56"/>
        <v>242.95999999999998</v>
      </c>
      <c r="AS32" s="121">
        <f>+AS31+AS20</f>
        <v>71.356999999999971</v>
      </c>
      <c r="AT32" s="122">
        <f>+AT31+AT20</f>
        <v>58.529000000000011</v>
      </c>
      <c r="AU32" s="935">
        <f>+AU31+AU20</f>
        <v>68.170999999999992</v>
      </c>
      <c r="AV32" s="123">
        <f t="shared" ref="AV32:AW32" si="57">+AV31+AV20</f>
        <v>68.926999999999992</v>
      </c>
      <c r="AW32" s="86">
        <f t="shared" si="57"/>
        <v>266.98399999999992</v>
      </c>
      <c r="AX32" s="121">
        <f t="shared" ref="AX32:BG32" si="58">+AX31+AX20</f>
        <v>72.383704239218616</v>
      </c>
      <c r="AY32" s="122">
        <f t="shared" si="58"/>
        <v>57.926890110894888</v>
      </c>
      <c r="AZ32" s="122">
        <f t="shared" si="58"/>
        <v>66.256859459206865</v>
      </c>
      <c r="BA32" s="123">
        <f t="shared" si="58"/>
        <v>68.147755836069805</v>
      </c>
      <c r="BB32" s="86">
        <f t="shared" si="58"/>
        <v>264.7152096453903</v>
      </c>
      <c r="BC32" s="121">
        <f t="shared" si="58"/>
        <v>76.578133835053507</v>
      </c>
      <c r="BD32" s="122">
        <f t="shared" si="58"/>
        <v>60.765335590196742</v>
      </c>
      <c r="BE32" s="122">
        <f t="shared" si="58"/>
        <v>69.268288411938428</v>
      </c>
      <c r="BF32" s="123">
        <f t="shared" si="58"/>
        <v>71.820094662451268</v>
      </c>
      <c r="BG32" s="86">
        <f t="shared" si="58"/>
        <v>278.43185249963983</v>
      </c>
      <c r="BH32" s="121">
        <f t="shared" ref="BH32:BQ32" si="59">+BH31+BH20</f>
        <v>81.609765277816052</v>
      </c>
      <c r="BI32" s="122">
        <f t="shared" si="59"/>
        <v>64.484216594010093</v>
      </c>
      <c r="BJ32" s="122">
        <f t="shared" si="59"/>
        <v>73.402537684358407</v>
      </c>
      <c r="BK32" s="123">
        <f t="shared" si="59"/>
        <v>76.3306037699314</v>
      </c>
      <c r="BL32" s="86">
        <f t="shared" si="59"/>
        <v>295.82712332611595</v>
      </c>
      <c r="BM32" s="121">
        <f t="shared" si="59"/>
        <v>86.789764365966761</v>
      </c>
      <c r="BN32" s="122">
        <f t="shared" si="59"/>
        <v>68.344789905747774</v>
      </c>
      <c r="BO32" s="122">
        <f t="shared" si="59"/>
        <v>77.621461439708241</v>
      </c>
      <c r="BP32" s="123">
        <f t="shared" si="59"/>
        <v>80.99044114098092</v>
      </c>
      <c r="BQ32" s="86">
        <f t="shared" si="59"/>
        <v>313.74645685240392</v>
      </c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</row>
    <row r="33" spans="1:104" x14ac:dyDescent="0.2">
      <c r="A33" s="44"/>
      <c r="B33" s="44"/>
      <c r="C33" s="20"/>
      <c r="D33" s="42"/>
      <c r="E33" s="148"/>
      <c r="F33" s="149"/>
      <c r="G33" s="149"/>
      <c r="H33" s="150"/>
      <c r="I33" s="42"/>
      <c r="J33" s="148"/>
      <c r="K33" s="149"/>
      <c r="L33" s="149"/>
      <c r="M33" s="150"/>
      <c r="N33" s="34"/>
      <c r="O33" s="148"/>
      <c r="P33" s="139"/>
      <c r="Q33" s="139"/>
      <c r="R33" s="150"/>
      <c r="S33" s="34"/>
      <c r="T33" s="148"/>
      <c r="U33" s="139"/>
      <c r="V33" s="139"/>
      <c r="W33" s="150"/>
      <c r="X33" s="34"/>
      <c r="Y33" s="148"/>
      <c r="Z33" s="139"/>
      <c r="AA33" s="139"/>
      <c r="AB33" s="150"/>
      <c r="AC33" s="34"/>
      <c r="AD33" s="148"/>
      <c r="AE33" s="139"/>
      <c r="AF33" s="139"/>
      <c r="AG33" s="150"/>
      <c r="AH33" s="34"/>
      <c r="AI33" s="148"/>
      <c r="AJ33" s="139"/>
      <c r="AK33" s="139"/>
      <c r="AL33" s="150"/>
      <c r="AM33" s="34"/>
      <c r="AN33" s="148"/>
      <c r="AO33" s="139"/>
      <c r="AP33" s="937"/>
      <c r="AQ33" s="150"/>
      <c r="AR33" s="34"/>
      <c r="AS33" s="148"/>
      <c r="AT33" s="139"/>
      <c r="AU33" s="139"/>
      <c r="AV33" s="150"/>
      <c r="AW33" s="34"/>
      <c r="AX33" s="120"/>
      <c r="AY33" s="139"/>
      <c r="AZ33" s="139"/>
      <c r="BA33" s="119"/>
      <c r="BB33" s="44"/>
      <c r="BC33" s="120"/>
      <c r="BD33" s="139"/>
      <c r="BE33" s="139"/>
      <c r="BF33" s="119"/>
      <c r="BG33" s="44"/>
      <c r="BH33" s="120"/>
      <c r="BI33" s="139"/>
      <c r="BJ33" s="139"/>
      <c r="BK33" s="119"/>
      <c r="BL33" s="44"/>
      <c r="BM33" s="120"/>
      <c r="BN33" s="139"/>
      <c r="BO33" s="139"/>
      <c r="BP33" s="119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</row>
    <row r="34" spans="1:104" x14ac:dyDescent="0.2">
      <c r="A34" s="44"/>
      <c r="B34" s="44"/>
      <c r="C34" s="20" t="s">
        <v>132</v>
      </c>
      <c r="D34" s="42"/>
      <c r="E34" s="114">
        <v>6.6520000000000001</v>
      </c>
      <c r="F34" s="115">
        <v>5.9820000000000002</v>
      </c>
      <c r="G34" s="115">
        <v>6.2240000000000002</v>
      </c>
      <c r="H34" s="131">
        <f>I34-SUM(E34:G34)</f>
        <v>5.9239999999999995</v>
      </c>
      <c r="I34" s="117">
        <v>24.782</v>
      </c>
      <c r="J34" s="114">
        <v>6.3559999999999999</v>
      </c>
      <c r="K34" s="115">
        <v>6.0430000000000001</v>
      </c>
      <c r="L34" s="115">
        <v>6.0049999999999999</v>
      </c>
      <c r="M34" s="131">
        <f>N34-SUM(J34:L34)</f>
        <v>6.1129999999999995</v>
      </c>
      <c r="N34" s="117">
        <v>24.516999999999999</v>
      </c>
      <c r="O34" s="114">
        <v>6.0030000000000001</v>
      </c>
      <c r="P34" s="115">
        <v>6.0819999999999999</v>
      </c>
      <c r="Q34" s="115">
        <v>6.0170000000000003</v>
      </c>
      <c r="R34" s="131">
        <f>S34-SUM(O34:Q34)</f>
        <v>6.0659999999999989</v>
      </c>
      <c r="S34" s="117">
        <v>24.167999999999999</v>
      </c>
      <c r="T34" s="114">
        <v>6.0149999999999997</v>
      </c>
      <c r="U34" s="115">
        <v>6.0439999999999996</v>
      </c>
      <c r="V34" s="115">
        <v>5.944</v>
      </c>
      <c r="W34" s="131">
        <f>X34-SUM(T34:V34)</f>
        <v>6.7959999999999994</v>
      </c>
      <c r="X34" s="117">
        <v>24.798999999999999</v>
      </c>
      <c r="Y34" s="114">
        <v>6.8550000000000004</v>
      </c>
      <c r="Z34" s="115">
        <v>6.8140000000000001</v>
      </c>
      <c r="AA34" s="115">
        <v>7.1909999999999998</v>
      </c>
      <c r="AB34" s="131">
        <f>AC34-SUM(Y34:AA34)</f>
        <v>6.9370000000000012</v>
      </c>
      <c r="AC34" s="117">
        <v>27.797000000000001</v>
      </c>
      <c r="AD34" s="114">
        <v>6.867</v>
      </c>
      <c r="AE34" s="115">
        <v>6.968</v>
      </c>
      <c r="AF34" s="115">
        <v>7.7009999999999996</v>
      </c>
      <c r="AG34" s="131">
        <f>AH34-SUM(AD34:AF34)</f>
        <v>7.7369999999999983</v>
      </c>
      <c r="AH34" s="117">
        <v>29.273</v>
      </c>
      <c r="AI34" s="114">
        <v>7.7560000000000002</v>
      </c>
      <c r="AJ34" s="115">
        <v>7.7709999999999999</v>
      </c>
      <c r="AK34" s="115">
        <v>8.625</v>
      </c>
      <c r="AL34" s="131">
        <f>AM34-SUM(AI34:AK34)</f>
        <v>8.5790000000000006</v>
      </c>
      <c r="AM34" s="117">
        <v>32.731000000000002</v>
      </c>
      <c r="AN34" s="114">
        <v>8.6039999999999992</v>
      </c>
      <c r="AO34" s="115">
        <v>8.5830000000000002</v>
      </c>
      <c r="AP34" s="934">
        <v>8.6129999999999995</v>
      </c>
      <c r="AQ34" s="131">
        <f>AR34-SUM(AN34:AP34)</f>
        <v>8.652000000000001</v>
      </c>
      <c r="AR34" s="117">
        <v>34.451999999999998</v>
      </c>
      <c r="AS34" s="114">
        <v>8.6820000000000004</v>
      </c>
      <c r="AT34" s="115">
        <v>8.6560000000000006</v>
      </c>
      <c r="AU34" s="934">
        <v>8.6470000000000002</v>
      </c>
      <c r="AV34" s="131">
        <f>AW34-SUM(AS34:AU34)</f>
        <v>9.0549999999999997</v>
      </c>
      <c r="AW34" s="117">
        <v>35.04</v>
      </c>
      <c r="AX34" s="120">
        <f>+AS34+AX186+AX188+AX189</f>
        <v>9.4896825000000007</v>
      </c>
      <c r="AY34" s="118">
        <f>+AT34+AY186+AY188+AY189</f>
        <v>9.4414945748976749</v>
      </c>
      <c r="AZ34" s="118">
        <f>+AU34+AZ186+AZ188+AZ189</f>
        <v>9.3223597808114569</v>
      </c>
      <c r="BA34" s="119">
        <f>+AV34+BA186+BA188+BA189</f>
        <v>9.3274069660132461</v>
      </c>
      <c r="BB34" s="42">
        <f>SUM(AX34:BA34)</f>
        <v>37.580943821722379</v>
      </c>
      <c r="BC34" s="120">
        <f>+AX34+BC186+BC188+BC189</f>
        <v>9.535880330359058</v>
      </c>
      <c r="BD34" s="118">
        <f>+AY34+BD186+BD188+BD189</f>
        <v>9.3886831154132455</v>
      </c>
      <c r="BE34" s="118">
        <f>+AZ34+BE186+BE188+BE189</f>
        <v>9.8536025573450878</v>
      </c>
      <c r="BF34" s="119">
        <f>+BA34+BF186+BF188+BF189</f>
        <v>9.8182230576241931</v>
      </c>
      <c r="BG34" s="42">
        <f>SUM(BC34:BF34)</f>
        <v>38.596389060741586</v>
      </c>
      <c r="BH34" s="120">
        <f>+BC34+BH186+BH188+BH189</f>
        <v>10.051813331469342</v>
      </c>
      <c r="BI34" s="118">
        <f>+BD34+BI186+BI188+BI189</f>
        <v>9.8101754318219623</v>
      </c>
      <c r="BJ34" s="118">
        <f>+BE34+BJ186+BJ188+BJ189</f>
        <v>10.55525390987208</v>
      </c>
      <c r="BK34" s="119">
        <f>+BF34+BK186+BK188+BK189</f>
        <v>10.282861198573011</v>
      </c>
      <c r="BL34" s="42">
        <f>SUM(BH34:BK34)</f>
        <v>40.700103871736395</v>
      </c>
      <c r="BM34" s="120">
        <f>+BH34+BM186+BM188+BM189</f>
        <v>10.533189482679228</v>
      </c>
      <c r="BN34" s="118">
        <f>+BI34+BN186+BN188+BN189</f>
        <v>10.220400663801355</v>
      </c>
      <c r="BO34" s="118">
        <f>+BJ34+BO186+BO188+BO189</f>
        <v>11.265117327275304</v>
      </c>
      <c r="BP34" s="119">
        <f>+BK34+BP186+BP188+BP189</f>
        <v>10.625770941333633</v>
      </c>
      <c r="BQ34" s="42">
        <f>SUM(BM34:BP34)</f>
        <v>42.644478415089523</v>
      </c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</row>
    <row r="35" spans="1:104" x14ac:dyDescent="0.2">
      <c r="A35" s="44"/>
      <c r="B35" s="44"/>
      <c r="C35" s="20" t="s">
        <v>133</v>
      </c>
      <c r="D35" s="42"/>
      <c r="E35" s="114">
        <v>-0.155</v>
      </c>
      <c r="F35" s="115">
        <v>-0.192</v>
      </c>
      <c r="G35" s="115">
        <v>-0.20899999999999999</v>
      </c>
      <c r="H35" s="116">
        <f>I35-SUM(E35:G35)</f>
        <v>-0.26200000000000001</v>
      </c>
      <c r="I35" s="117">
        <v>-0.81799999999999995</v>
      </c>
      <c r="J35" s="114">
        <v>-0.185</v>
      </c>
      <c r="K35" s="115">
        <v>-0.29799999999999999</v>
      </c>
      <c r="L35" s="115">
        <v>-0.30599999999999999</v>
      </c>
      <c r="M35" s="116">
        <f>N35-SUM(J35:L35)</f>
        <v>-0.25</v>
      </c>
      <c r="N35" s="117">
        <v>-1.0389999999999999</v>
      </c>
      <c r="O35" s="114">
        <v>-3.7999999999999999E-2</v>
      </c>
      <c r="P35" s="115">
        <v>-3.9E-2</v>
      </c>
      <c r="Q35" s="115">
        <v>-0.04</v>
      </c>
      <c r="R35" s="116">
        <f>S35-SUM(O35:Q35)</f>
        <v>-5.7999999999999996E-2</v>
      </c>
      <c r="S35" s="117">
        <v>-0.17499999999999999</v>
      </c>
      <c r="T35" s="114">
        <v>-8.5999999999999993E-2</v>
      </c>
      <c r="U35" s="115">
        <v>-0.13900000000000001</v>
      </c>
      <c r="V35" s="115">
        <v>-0.995</v>
      </c>
      <c r="W35" s="116">
        <f>X35-SUM(T35:V35)</f>
        <v>-0.64200000000000013</v>
      </c>
      <c r="X35" s="117">
        <v>-1.8620000000000001</v>
      </c>
      <c r="Y35" s="114">
        <v>-0.40899999999999997</v>
      </c>
      <c r="Z35" s="115">
        <v>-0.4</v>
      </c>
      <c r="AA35" s="115">
        <v>-0.47099999999999997</v>
      </c>
      <c r="AB35" s="116">
        <f>AC35-SUM(Y35:AA35)</f>
        <v>-0.70100000000000029</v>
      </c>
      <c r="AC35" s="117">
        <v>-1.9810000000000001</v>
      </c>
      <c r="AD35" s="114">
        <v>-0.75800000000000001</v>
      </c>
      <c r="AE35" s="115">
        <v>-0.85</v>
      </c>
      <c r="AF35" s="115">
        <v>-0.73299999999999998</v>
      </c>
      <c r="AG35" s="116">
        <f>AH35-SUM(AD35:AF35)</f>
        <v>-1.0189999999999997</v>
      </c>
      <c r="AH35" s="117">
        <v>-3.36</v>
      </c>
      <c r="AI35" s="114">
        <v>-1.07</v>
      </c>
      <c r="AJ35" s="115">
        <v>-0.86399999999999999</v>
      </c>
      <c r="AK35" s="115">
        <v>-0.93100000000000005</v>
      </c>
      <c r="AL35" s="116">
        <f>AM35-SUM(AI35:AK35)</f>
        <v>-0.64499999999999957</v>
      </c>
      <c r="AM35" s="117">
        <v>-3.51</v>
      </c>
      <c r="AN35" s="114">
        <v>-0.34699999999999998</v>
      </c>
      <c r="AO35" s="115">
        <v>-0.39200000000000002</v>
      </c>
      <c r="AP35" s="934">
        <v>-0.52500000000000002</v>
      </c>
      <c r="AQ35" s="116">
        <f>AR35-SUM(AN35:AP35)</f>
        <v>-0.55899999999999994</v>
      </c>
      <c r="AR35" s="117">
        <v>-1.823</v>
      </c>
      <c r="AS35" s="114">
        <v>-0.55000000000000004</v>
      </c>
      <c r="AT35" s="115">
        <v>-0.749</v>
      </c>
      <c r="AU35" s="934">
        <v>-0.72599999999999998</v>
      </c>
      <c r="AV35" s="116">
        <f>AW35-SUM(AS35:AU35)</f>
        <v>-0.83499999999999996</v>
      </c>
      <c r="AW35" s="117">
        <v>-2.86</v>
      </c>
      <c r="AX35" s="120">
        <f>-AX176</f>
        <v>-0.95406328124642936</v>
      </c>
      <c r="AY35" s="118">
        <f>-AY176</f>
        <v>-0.95406328124642936</v>
      </c>
      <c r="AZ35" s="118">
        <f>-AZ176</f>
        <v>-0.95406328124642936</v>
      </c>
      <c r="BA35" s="119">
        <f>-BA176</f>
        <v>-0.95406328124642936</v>
      </c>
      <c r="BB35" s="42">
        <f>SUM(AX35:BA35)</f>
        <v>-3.8162531249857174</v>
      </c>
      <c r="BC35" s="120">
        <f>-BC176</f>
        <v>-0.95406328124642936</v>
      </c>
      <c r="BD35" s="118">
        <f>-BD176</f>
        <v>-0.95406328124642936</v>
      </c>
      <c r="BE35" s="118">
        <f>-BE176</f>
        <v>-0.95406328124642936</v>
      </c>
      <c r="BF35" s="119">
        <f>-BF176</f>
        <v>-0.95406328124642936</v>
      </c>
      <c r="BG35" s="42">
        <f>SUM(BC35:BF35)</f>
        <v>-3.8162531249857174</v>
      </c>
      <c r="BH35" s="120">
        <f>-BH176</f>
        <v>-0.91590074999657212</v>
      </c>
      <c r="BI35" s="118">
        <f>-BI176</f>
        <v>-0.91590074999657212</v>
      </c>
      <c r="BJ35" s="118">
        <f>-BJ176</f>
        <v>-0.91590074999657212</v>
      </c>
      <c r="BK35" s="119">
        <f>-BK176</f>
        <v>-0.91590074999657212</v>
      </c>
      <c r="BL35" s="42">
        <f>SUM(BH35:BK35)</f>
        <v>-3.6636029999862885</v>
      </c>
      <c r="BM35" s="120">
        <f>-BM176</f>
        <v>-1.0685508749960009</v>
      </c>
      <c r="BN35" s="118">
        <f>-BN176</f>
        <v>-1.0685508749960009</v>
      </c>
      <c r="BO35" s="118">
        <f>-BO176</f>
        <v>-1.0685508749960009</v>
      </c>
      <c r="BP35" s="119">
        <f>-BP176</f>
        <v>-1.0685508749960009</v>
      </c>
      <c r="BQ35" s="42">
        <f>SUM(BM35:BP35)</f>
        <v>-4.2742034999840035</v>
      </c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</row>
    <row r="36" spans="1:104" x14ac:dyDescent="0.2">
      <c r="A36" s="44"/>
      <c r="B36" s="44"/>
      <c r="C36" s="26" t="s">
        <v>134</v>
      </c>
      <c r="D36" s="42"/>
      <c r="E36" s="121">
        <f t="shared" ref="E36:P36" si="60">SUM(E34:E35)</f>
        <v>6.4969999999999999</v>
      </c>
      <c r="F36" s="122">
        <f t="shared" si="60"/>
        <v>5.79</v>
      </c>
      <c r="G36" s="122">
        <f t="shared" si="60"/>
        <v>6.0150000000000006</v>
      </c>
      <c r="H36" s="123">
        <f t="shared" si="60"/>
        <v>5.661999999999999</v>
      </c>
      <c r="I36" s="86">
        <f t="shared" si="60"/>
        <v>23.963999999999999</v>
      </c>
      <c r="J36" s="121">
        <f t="shared" si="60"/>
        <v>6.1710000000000003</v>
      </c>
      <c r="K36" s="122">
        <f t="shared" si="60"/>
        <v>5.7450000000000001</v>
      </c>
      <c r="L36" s="122">
        <f t="shared" si="60"/>
        <v>5.6989999999999998</v>
      </c>
      <c r="M36" s="123">
        <f t="shared" si="60"/>
        <v>5.8629999999999995</v>
      </c>
      <c r="N36" s="86">
        <f t="shared" si="60"/>
        <v>23.477999999999998</v>
      </c>
      <c r="O36" s="121">
        <f t="shared" si="60"/>
        <v>5.9649999999999999</v>
      </c>
      <c r="P36" s="122">
        <f t="shared" si="60"/>
        <v>6.0430000000000001</v>
      </c>
      <c r="Q36" s="122">
        <f t="shared" ref="Q36:V36" si="61">SUM(Q34:Q35)</f>
        <v>5.9770000000000003</v>
      </c>
      <c r="R36" s="123">
        <f t="shared" si="61"/>
        <v>6.0079999999999991</v>
      </c>
      <c r="S36" s="86">
        <f t="shared" si="61"/>
        <v>23.992999999999999</v>
      </c>
      <c r="T36" s="121">
        <f t="shared" si="61"/>
        <v>5.9289999999999994</v>
      </c>
      <c r="U36" s="122">
        <f t="shared" si="61"/>
        <v>5.9049999999999994</v>
      </c>
      <c r="V36" s="122">
        <f t="shared" si="61"/>
        <v>4.9489999999999998</v>
      </c>
      <c r="W36" s="123">
        <f t="shared" ref="W36:AD36" si="62">SUM(W34:W35)</f>
        <v>6.153999999999999</v>
      </c>
      <c r="X36" s="86">
        <f t="shared" si="62"/>
        <v>22.936999999999998</v>
      </c>
      <c r="Y36" s="121">
        <f t="shared" si="62"/>
        <v>6.4460000000000006</v>
      </c>
      <c r="Z36" s="122">
        <f t="shared" si="62"/>
        <v>6.4139999999999997</v>
      </c>
      <c r="AA36" s="122">
        <f t="shared" si="62"/>
        <v>6.72</v>
      </c>
      <c r="AB36" s="123">
        <f t="shared" si="62"/>
        <v>6.2360000000000007</v>
      </c>
      <c r="AC36" s="86">
        <f t="shared" si="62"/>
        <v>25.815999999999999</v>
      </c>
      <c r="AD36" s="121">
        <f t="shared" si="62"/>
        <v>6.109</v>
      </c>
      <c r="AE36" s="122">
        <f t="shared" ref="AE36:AM36" si="63">SUM(AE34:AE35)</f>
        <v>6.1180000000000003</v>
      </c>
      <c r="AF36" s="122">
        <f t="shared" si="63"/>
        <v>6.968</v>
      </c>
      <c r="AG36" s="123">
        <f t="shared" si="63"/>
        <v>6.7179999999999982</v>
      </c>
      <c r="AH36" s="86">
        <f t="shared" si="63"/>
        <v>25.913</v>
      </c>
      <c r="AI36" s="121">
        <f t="shared" si="63"/>
        <v>6.6859999999999999</v>
      </c>
      <c r="AJ36" s="122">
        <f t="shared" si="63"/>
        <v>6.907</v>
      </c>
      <c r="AK36" s="122">
        <f t="shared" si="63"/>
        <v>7.694</v>
      </c>
      <c r="AL36" s="123">
        <f t="shared" si="63"/>
        <v>7.9340000000000011</v>
      </c>
      <c r="AM36" s="86">
        <f t="shared" si="63"/>
        <v>29.221000000000004</v>
      </c>
      <c r="AN36" s="121">
        <f t="shared" ref="AN36:AR36" si="64">SUM(AN34:AN35)</f>
        <v>8.2569999999999997</v>
      </c>
      <c r="AO36" s="122">
        <f t="shared" si="64"/>
        <v>8.1910000000000007</v>
      </c>
      <c r="AP36" s="935">
        <f t="shared" si="64"/>
        <v>8.0879999999999992</v>
      </c>
      <c r="AQ36" s="123">
        <f t="shared" si="64"/>
        <v>8.0930000000000017</v>
      </c>
      <c r="AR36" s="86">
        <f t="shared" si="64"/>
        <v>32.628999999999998</v>
      </c>
      <c r="AS36" s="121">
        <f>SUM(AS34:AS35)</f>
        <v>8.1319999999999997</v>
      </c>
      <c r="AT36" s="122">
        <f>SUM(AT34:AT35)</f>
        <v>7.9070000000000009</v>
      </c>
      <c r="AU36" s="935">
        <f>SUM(AU34:AU35)</f>
        <v>7.9210000000000003</v>
      </c>
      <c r="AV36" s="123">
        <f t="shared" ref="AV36:AW36" si="65">SUM(AV34:AV35)</f>
        <v>8.2199999999999989</v>
      </c>
      <c r="AW36" s="86">
        <f t="shared" si="65"/>
        <v>32.18</v>
      </c>
      <c r="AX36" s="121">
        <f t="shared" ref="AX36:BG36" si="66">SUM(AX34:AX35)</f>
        <v>8.5356192187535704</v>
      </c>
      <c r="AY36" s="122">
        <f t="shared" si="66"/>
        <v>8.4874312936512446</v>
      </c>
      <c r="AZ36" s="122">
        <f t="shared" si="66"/>
        <v>8.3682964995650266</v>
      </c>
      <c r="BA36" s="123">
        <f t="shared" si="66"/>
        <v>8.3733436847668159</v>
      </c>
      <c r="BB36" s="86">
        <f t="shared" si="66"/>
        <v>33.764690696736665</v>
      </c>
      <c r="BC36" s="121">
        <f t="shared" si="66"/>
        <v>8.5818170491126295</v>
      </c>
      <c r="BD36" s="122">
        <f t="shared" si="66"/>
        <v>8.434619834166817</v>
      </c>
      <c r="BE36" s="122">
        <f t="shared" si="66"/>
        <v>8.8995392760986576</v>
      </c>
      <c r="BF36" s="123">
        <f t="shared" si="66"/>
        <v>8.8641597763777646</v>
      </c>
      <c r="BG36" s="86">
        <f t="shared" si="66"/>
        <v>34.780135935755865</v>
      </c>
      <c r="BH36" s="121">
        <f t="shared" ref="BH36:BQ36" si="67">SUM(BH34:BH35)</f>
        <v>9.1359125814727697</v>
      </c>
      <c r="BI36" s="122">
        <f t="shared" si="67"/>
        <v>8.8942746818253902</v>
      </c>
      <c r="BJ36" s="122">
        <f t="shared" si="67"/>
        <v>9.6393531598755082</v>
      </c>
      <c r="BK36" s="123">
        <f t="shared" si="67"/>
        <v>9.3669604485764388</v>
      </c>
      <c r="BL36" s="86">
        <f t="shared" si="67"/>
        <v>37.036500871750107</v>
      </c>
      <c r="BM36" s="121">
        <f t="shared" si="67"/>
        <v>9.4646386076832272</v>
      </c>
      <c r="BN36" s="122">
        <f t="shared" si="67"/>
        <v>9.1518497888053538</v>
      </c>
      <c r="BO36" s="122">
        <f t="shared" si="67"/>
        <v>10.196566452279303</v>
      </c>
      <c r="BP36" s="123">
        <f t="shared" si="67"/>
        <v>9.5572200663376314</v>
      </c>
      <c r="BQ36" s="86">
        <f t="shared" si="67"/>
        <v>38.370274915105519</v>
      </c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</row>
    <row r="37" spans="1:104" x14ac:dyDescent="0.2">
      <c r="A37" s="44"/>
      <c r="B37" s="44"/>
      <c r="C37" s="20"/>
      <c r="D37" s="42"/>
      <c r="E37" s="148"/>
      <c r="F37" s="149"/>
      <c r="G37" s="149"/>
      <c r="H37" s="150"/>
      <c r="I37" s="34"/>
      <c r="J37" s="148"/>
      <c r="K37" s="149"/>
      <c r="L37" s="149"/>
      <c r="M37" s="150"/>
      <c r="N37" s="34"/>
      <c r="O37" s="148"/>
      <c r="P37" s="139"/>
      <c r="Q37" s="139"/>
      <c r="R37" s="150"/>
      <c r="S37" s="34"/>
      <c r="T37" s="148"/>
      <c r="U37" s="139"/>
      <c r="V37" s="139"/>
      <c r="W37" s="150"/>
      <c r="X37" s="34"/>
      <c r="Y37" s="148"/>
      <c r="Z37" s="139"/>
      <c r="AA37" s="139"/>
      <c r="AB37" s="150"/>
      <c r="AC37" s="34"/>
      <c r="AD37" s="148"/>
      <c r="AE37" s="139"/>
      <c r="AF37" s="139"/>
      <c r="AG37" s="150"/>
      <c r="AH37" s="34"/>
      <c r="AI37" s="148"/>
      <c r="AJ37" s="139"/>
      <c r="AK37" s="139"/>
      <c r="AL37" s="150"/>
      <c r="AM37" s="34"/>
      <c r="AN37" s="148"/>
      <c r="AO37" s="139"/>
      <c r="AP37" s="937"/>
      <c r="AQ37" s="150"/>
      <c r="AR37" s="34"/>
      <c r="AS37" s="148"/>
      <c r="AT37" s="139"/>
      <c r="AU37" s="139"/>
      <c r="AV37" s="150"/>
      <c r="AW37" s="34"/>
      <c r="AX37" s="120"/>
      <c r="AY37" s="139"/>
      <c r="AZ37" s="139"/>
      <c r="BA37" s="119"/>
      <c r="BB37" s="44"/>
      <c r="BC37" s="120"/>
      <c r="BD37" s="139"/>
      <c r="BE37" s="139"/>
      <c r="BF37" s="119"/>
      <c r="BG37" s="44"/>
      <c r="BH37" s="120"/>
      <c r="BI37" s="139"/>
      <c r="BJ37" s="139"/>
      <c r="BK37" s="119"/>
      <c r="BL37" s="44"/>
      <c r="BM37" s="120"/>
      <c r="BN37" s="139"/>
      <c r="BO37" s="139"/>
      <c r="BP37" s="119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  <c r="CX37" s="44"/>
      <c r="CY37" s="44"/>
      <c r="CZ37" s="44"/>
    </row>
    <row r="38" spans="1:104" x14ac:dyDescent="0.2">
      <c r="A38" s="44"/>
      <c r="B38" s="44"/>
      <c r="C38" s="26" t="s">
        <v>135</v>
      </c>
      <c r="D38" s="82"/>
      <c r="E38" s="121">
        <f t="shared" ref="E38:P38" si="68">+E31-E36</f>
        <v>35.139000000000017</v>
      </c>
      <c r="F38" s="122">
        <f t="shared" si="68"/>
        <v>5.3480000000000052</v>
      </c>
      <c r="G38" s="122">
        <f t="shared" si="68"/>
        <v>20.464999999999979</v>
      </c>
      <c r="H38" s="123">
        <f t="shared" si="68"/>
        <v>12.029000000000018</v>
      </c>
      <c r="I38" s="86">
        <f t="shared" si="68"/>
        <v>72.981000000000137</v>
      </c>
      <c r="J38" s="121">
        <f t="shared" si="68"/>
        <v>23.793000000000021</v>
      </c>
      <c r="K38" s="122">
        <f t="shared" si="68"/>
        <v>3.9839999999999991</v>
      </c>
      <c r="L38" s="122">
        <f t="shared" si="68"/>
        <v>28.275000000000006</v>
      </c>
      <c r="M38" s="123">
        <f>+M31-M36</f>
        <v>12.80899999999998</v>
      </c>
      <c r="N38" s="86">
        <f t="shared" si="68"/>
        <v>68.860999999999919</v>
      </c>
      <c r="O38" s="121">
        <f t="shared" si="68"/>
        <v>24.111999999999991</v>
      </c>
      <c r="P38" s="122">
        <f t="shared" si="68"/>
        <v>14.316999999999982</v>
      </c>
      <c r="Q38" s="122">
        <f>+Q31-Q36</f>
        <v>33.477000000000032</v>
      </c>
      <c r="R38" s="123">
        <f t="shared" ref="R38:Y38" si="69">+R31-R36</f>
        <v>12.71399999999997</v>
      </c>
      <c r="S38" s="86">
        <f t="shared" si="69"/>
        <v>84.620000000000047</v>
      </c>
      <c r="T38" s="121">
        <f t="shared" si="69"/>
        <v>24.484000000000016</v>
      </c>
      <c r="U38" s="122">
        <f t="shared" si="69"/>
        <v>9.1680000000000135</v>
      </c>
      <c r="V38" s="122">
        <f t="shared" si="69"/>
        <v>35.31599999999996</v>
      </c>
      <c r="W38" s="123">
        <f t="shared" si="69"/>
        <v>10.541000000000114</v>
      </c>
      <c r="X38" s="86">
        <f t="shared" si="69"/>
        <v>79.5090000000001</v>
      </c>
      <c r="Y38" s="121">
        <f t="shared" si="69"/>
        <v>32.016000000000012</v>
      </c>
      <c r="Z38" s="122">
        <f>+Z31-Z36</f>
        <v>16.987000000000037</v>
      </c>
      <c r="AA38" s="122">
        <f>+AA31-AA36</f>
        <v>35.016999999999982</v>
      </c>
      <c r="AB38" s="123">
        <f>+AB31-AB36</f>
        <v>11.856999999999903</v>
      </c>
      <c r="AC38" s="86">
        <f>+AC31-AC36</f>
        <v>95.877000000000038</v>
      </c>
      <c r="AD38" s="121">
        <f>+AD31-AD36</f>
        <v>38.158000000000079</v>
      </c>
      <c r="AE38" s="122">
        <f t="shared" ref="AE38:AJ38" si="70">+AE31-AE36</f>
        <v>19.308999999999962</v>
      </c>
      <c r="AF38" s="122">
        <f t="shared" si="70"/>
        <v>32.139000000000024</v>
      </c>
      <c r="AG38" s="123">
        <f t="shared" si="70"/>
        <v>23.438999999999922</v>
      </c>
      <c r="AH38" s="86">
        <f t="shared" si="70"/>
        <v>113.04500000000017</v>
      </c>
      <c r="AI38" s="121">
        <f t="shared" si="70"/>
        <v>35.330999999999975</v>
      </c>
      <c r="AJ38" s="122">
        <f t="shared" si="70"/>
        <v>19.975000000000016</v>
      </c>
      <c r="AK38" s="122">
        <f t="shared" ref="AK38:AP38" si="71">+AK31-AK36</f>
        <v>41.866999999999976</v>
      </c>
      <c r="AL38" s="123">
        <f t="shared" si="71"/>
        <v>21.701000000000111</v>
      </c>
      <c r="AM38" s="86">
        <f t="shared" si="71"/>
        <v>118.87400000000002</v>
      </c>
      <c r="AN38" s="121">
        <f t="shared" si="71"/>
        <v>28.450000000000038</v>
      </c>
      <c r="AO38" s="122">
        <f t="shared" si="71"/>
        <v>20.581999999999994</v>
      </c>
      <c r="AP38" s="935">
        <f t="shared" si="71"/>
        <v>39.393000000000043</v>
      </c>
      <c r="AQ38" s="123">
        <f t="shared" ref="AQ38:AU38" si="72">+AQ31-AQ36</f>
        <v>23.611999999999952</v>
      </c>
      <c r="AR38" s="86">
        <f t="shared" si="72"/>
        <v>112.03700000000001</v>
      </c>
      <c r="AS38" s="121">
        <f t="shared" si="72"/>
        <v>36.175999999999981</v>
      </c>
      <c r="AT38" s="122">
        <f t="shared" si="72"/>
        <v>22.994000000000007</v>
      </c>
      <c r="AU38" s="122">
        <f t="shared" si="72"/>
        <v>32.270999999999994</v>
      </c>
      <c r="AV38" s="123">
        <f t="shared" ref="AV38:AW38" si="73">+AV31-AV36</f>
        <v>32.146999999999998</v>
      </c>
      <c r="AW38" s="86">
        <f t="shared" si="73"/>
        <v>123.58799999999994</v>
      </c>
      <c r="AX38" s="121">
        <f t="shared" ref="AX38:BG38" si="74">+AX31-AX36</f>
        <v>34.829321552885546</v>
      </c>
      <c r="AY38" s="122">
        <f t="shared" si="74"/>
        <v>20.237184947077942</v>
      </c>
      <c r="AZ38" s="122">
        <f t="shared" si="74"/>
        <v>28.18820673997687</v>
      </c>
      <c r="BA38" s="123">
        <f t="shared" si="74"/>
        <v>29.583424121731618</v>
      </c>
      <c r="BB38" s="86">
        <f t="shared" si="74"/>
        <v>112.8381373616721</v>
      </c>
      <c r="BC38" s="121">
        <f t="shared" si="74"/>
        <v>37.32203603753689</v>
      </c>
      <c r="BD38" s="122">
        <f t="shared" si="74"/>
        <v>21.180371598445095</v>
      </c>
      <c r="BE38" s="122">
        <f t="shared" si="74"/>
        <v>28.749462739463659</v>
      </c>
      <c r="BF38" s="123">
        <f t="shared" si="74"/>
        <v>30.874720899629136</v>
      </c>
      <c r="BG38" s="86">
        <f t="shared" si="74"/>
        <v>118.12659127507466</v>
      </c>
      <c r="BH38" s="121">
        <f t="shared" ref="BH38:BQ38" si="75">+BH31-BH36</f>
        <v>39.937620840286129</v>
      </c>
      <c r="BI38" s="122">
        <f t="shared" si="75"/>
        <v>22.54118725216032</v>
      </c>
      <c r="BJ38" s="122">
        <f t="shared" si="75"/>
        <v>30.311281026350972</v>
      </c>
      <c r="BK38" s="123">
        <f t="shared" si="75"/>
        <v>33.114621466587366</v>
      </c>
      <c r="BL38" s="86">
        <f t="shared" si="75"/>
        <v>125.90471058538482</v>
      </c>
      <c r="BM38" s="121">
        <f t="shared" si="75"/>
        <v>43.084925821700608</v>
      </c>
      <c r="BN38" s="122">
        <f t="shared" si="75"/>
        <v>24.824658700490449</v>
      </c>
      <c r="BO38" s="122">
        <f t="shared" si="75"/>
        <v>32.523618313595449</v>
      </c>
      <c r="BP38" s="123">
        <f t="shared" si="75"/>
        <v>36.006921925985068</v>
      </c>
      <c r="BQ38" s="86">
        <f t="shared" si="75"/>
        <v>136.44012476177178</v>
      </c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</row>
    <row r="39" spans="1:104" x14ac:dyDescent="0.2">
      <c r="A39" s="44"/>
      <c r="B39" s="44"/>
      <c r="C39" s="20"/>
      <c r="D39" s="42"/>
      <c r="E39" s="120"/>
      <c r="F39" s="139"/>
      <c r="G39" s="139"/>
      <c r="H39" s="119"/>
      <c r="I39" s="42"/>
      <c r="J39" s="120"/>
      <c r="K39" s="139"/>
      <c r="L39" s="139"/>
      <c r="M39" s="119"/>
      <c r="N39" s="42"/>
      <c r="O39" s="120"/>
      <c r="P39" s="139"/>
      <c r="Q39" s="139"/>
      <c r="R39" s="119"/>
      <c r="S39" s="42"/>
      <c r="T39" s="120"/>
      <c r="U39" s="139"/>
      <c r="V39" s="139"/>
      <c r="W39" s="119"/>
      <c r="X39" s="42"/>
      <c r="Y39" s="120"/>
      <c r="Z39" s="139"/>
      <c r="AA39" s="139"/>
      <c r="AB39" s="119"/>
      <c r="AC39" s="42"/>
      <c r="AD39" s="120"/>
      <c r="AE39" s="139"/>
      <c r="AF39" s="139"/>
      <c r="AG39" s="119"/>
      <c r="AH39" s="42"/>
      <c r="AI39" s="120"/>
      <c r="AJ39" s="139"/>
      <c r="AK39" s="139"/>
      <c r="AL39" s="119"/>
      <c r="AM39" s="42"/>
      <c r="AN39" s="120"/>
      <c r="AO39" s="139"/>
      <c r="AP39" s="937"/>
      <c r="AQ39" s="119"/>
      <c r="AR39" s="42"/>
      <c r="AS39" s="120"/>
      <c r="AT39" s="139"/>
      <c r="AU39" s="139"/>
      <c r="AV39" s="119"/>
      <c r="AW39" s="42"/>
      <c r="AX39" s="120"/>
      <c r="AY39" s="139"/>
      <c r="AZ39" s="139"/>
      <c r="BA39" s="119"/>
      <c r="BB39" s="44"/>
      <c r="BC39" s="120"/>
      <c r="BD39" s="139"/>
      <c r="BE39" s="139"/>
      <c r="BF39" s="119"/>
      <c r="BG39" s="44"/>
      <c r="BH39" s="120"/>
      <c r="BI39" s="139"/>
      <c r="BJ39" s="139"/>
      <c r="BK39" s="119"/>
      <c r="BL39" s="44"/>
      <c r="BM39" s="120"/>
      <c r="BN39" s="139"/>
      <c r="BO39" s="139"/>
      <c r="BP39" s="119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  <c r="CY39" s="44"/>
      <c r="CZ39" s="44"/>
    </row>
    <row r="40" spans="1:104" x14ac:dyDescent="0.2">
      <c r="A40" s="44"/>
      <c r="B40" s="44"/>
      <c r="C40" s="20" t="s">
        <v>136</v>
      </c>
      <c r="D40" s="42"/>
      <c r="E40" s="114">
        <v>13.417999999999999</v>
      </c>
      <c r="F40" s="115">
        <v>1.8720000000000001</v>
      </c>
      <c r="G40" s="115">
        <v>6.8419999999999996</v>
      </c>
      <c r="H40" s="131">
        <f>I40-SUM(E40:G40)</f>
        <v>3.4860000000000007</v>
      </c>
      <c r="I40" s="117">
        <v>25.617999999999999</v>
      </c>
      <c r="J40" s="114">
        <v>10.249000000000001</v>
      </c>
      <c r="K40" s="115">
        <v>1.3049999999999999</v>
      </c>
      <c r="L40" s="115">
        <v>10.651</v>
      </c>
      <c r="M40" s="131">
        <f>N40-SUM(J40:L40)</f>
        <v>3.907</v>
      </c>
      <c r="N40" s="117">
        <v>26.111999999999998</v>
      </c>
      <c r="O40" s="114">
        <v>9.4689999999999994</v>
      </c>
      <c r="P40" s="115">
        <v>5.8390000000000004</v>
      </c>
      <c r="Q40" s="115">
        <v>13.504</v>
      </c>
      <c r="R40" s="131">
        <f>S40-SUM(O40:Q40)</f>
        <v>4.8019999999999996</v>
      </c>
      <c r="S40" s="117">
        <v>33.613999999999997</v>
      </c>
      <c r="T40" s="114">
        <v>9.6059999999999999</v>
      </c>
      <c r="U40" s="115">
        <v>3.4260000000000002</v>
      </c>
      <c r="V40" s="115">
        <v>13.116</v>
      </c>
      <c r="W40" s="131">
        <f>X40-SUM(T40:V40)</f>
        <v>3.41</v>
      </c>
      <c r="X40" s="117">
        <v>29.558</v>
      </c>
      <c r="Y40" s="114">
        <v>12.331</v>
      </c>
      <c r="Z40" s="115">
        <v>6.4429999999999996</v>
      </c>
      <c r="AA40" s="115">
        <v>13.004</v>
      </c>
      <c r="AB40" s="131">
        <f>AC40-SUM(Y40:AA40)</f>
        <v>4.6310000000000002</v>
      </c>
      <c r="AC40" s="117">
        <v>36.408999999999999</v>
      </c>
      <c r="AD40" s="114">
        <v>13.923</v>
      </c>
      <c r="AE40" s="115">
        <v>7.2869999999999999</v>
      </c>
      <c r="AF40" s="115">
        <v>12.109</v>
      </c>
      <c r="AG40" s="131">
        <f>AH40-SUM(AD40:AF40)</f>
        <v>9.0839999999999961</v>
      </c>
      <c r="AH40" s="117">
        <v>42.402999999999999</v>
      </c>
      <c r="AI40" s="114">
        <v>13.064</v>
      </c>
      <c r="AJ40" s="115">
        <v>7.4630000000000001</v>
      </c>
      <c r="AK40" s="115">
        <v>15.635</v>
      </c>
      <c r="AL40" s="131">
        <f>AM40-SUM(AI40:AK40)</f>
        <v>8.0760000000000005</v>
      </c>
      <c r="AM40" s="117">
        <v>44.238</v>
      </c>
      <c r="AN40" s="114">
        <v>10.819000000000001</v>
      </c>
      <c r="AO40" s="115">
        <v>7.9569999999999999</v>
      </c>
      <c r="AP40" s="934">
        <v>15.172000000000001</v>
      </c>
      <c r="AQ40" s="131">
        <f>AR40-SUM(AN40:AP40)</f>
        <v>8.9540000000000006</v>
      </c>
      <c r="AR40" s="117">
        <v>42.902000000000001</v>
      </c>
      <c r="AS40" s="114">
        <v>13.757</v>
      </c>
      <c r="AT40" s="115">
        <v>8.7530000000000001</v>
      </c>
      <c r="AU40" s="934">
        <v>9.9459999999999997</v>
      </c>
      <c r="AV40" s="131">
        <f>AW40-SUM(AS40:AU40)</f>
        <v>11.716000000000001</v>
      </c>
      <c r="AW40" s="117">
        <v>44.171999999999997</v>
      </c>
      <c r="AX40" s="120">
        <f>AX70*(AX38-AX27)</f>
        <v>8.5584226654547138</v>
      </c>
      <c r="AY40" s="118">
        <f>AY70*(AY38-AY27)</f>
        <v>4.7644671479447362</v>
      </c>
      <c r="AZ40" s="118">
        <f>AZ70*(AZ38-AZ27)</f>
        <v>6.8317328140984577</v>
      </c>
      <c r="BA40" s="119">
        <f>BA70*(BA38-BA27)</f>
        <v>7.1944893333546913</v>
      </c>
      <c r="BB40" s="42">
        <f>SUM(AX40:BA40)</f>
        <v>27.3491119608526</v>
      </c>
      <c r="BC40" s="120">
        <f>BC70*(BC38-BC27)</f>
        <v>9.2065284314640632</v>
      </c>
      <c r="BD40" s="118">
        <f>BD70*(BD38-BD27)</f>
        <v>5.0096956773001962</v>
      </c>
      <c r="BE40" s="118">
        <f>BE70*(BE38-BE27)</f>
        <v>6.9776593739650226</v>
      </c>
      <c r="BF40" s="119">
        <f>BF70*(BF38-BF27)</f>
        <v>7.530226495608046</v>
      </c>
      <c r="BG40" s="42">
        <f>SUM(BC40:BF40)</f>
        <v>28.724109978337324</v>
      </c>
      <c r="BH40" s="120">
        <f>BH70*(BH38-BH27)</f>
        <v>9.906468517710687</v>
      </c>
      <c r="BI40" s="118">
        <f>BI70*(BI38-BI27)</f>
        <v>5.3833957847979761</v>
      </c>
      <c r="BJ40" s="118">
        <f>BJ70*(BJ38-BJ27)</f>
        <v>7.4036201660875456</v>
      </c>
      <c r="BK40" s="119">
        <f>BK70*(BK38-BK27)</f>
        <v>8.1324886805490078</v>
      </c>
      <c r="BL40" s="42">
        <f>SUM(BH40:BK40)</f>
        <v>30.82597314914522</v>
      </c>
      <c r="BM40" s="120">
        <f>BM70*(BM38-BM27)</f>
        <v>10.645215662751166</v>
      </c>
      <c r="BN40" s="118">
        <f>BN70*(BN38-BN27)</f>
        <v>5.8975462112365244</v>
      </c>
      <c r="BO40" s="118">
        <f>BO70*(BO38-BO27)</f>
        <v>7.8992757106438249</v>
      </c>
      <c r="BP40" s="119">
        <f>BP70*(BP38-BP27)</f>
        <v>8.8049346498651264</v>
      </c>
      <c r="BQ40" s="42">
        <f>SUM(BM40:BP40)</f>
        <v>33.246972234496639</v>
      </c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</row>
    <row r="41" spans="1:104" x14ac:dyDescent="0.2">
      <c r="A41" s="44"/>
      <c r="B41" s="44"/>
      <c r="C41" s="20"/>
      <c r="D41" s="42"/>
      <c r="E41" s="114"/>
      <c r="F41" s="133"/>
      <c r="G41" s="133"/>
      <c r="H41" s="132"/>
      <c r="I41" s="117"/>
      <c r="J41" s="114"/>
      <c r="K41" s="133"/>
      <c r="L41" s="133"/>
      <c r="M41" s="132"/>
      <c r="N41" s="117"/>
      <c r="O41" s="114"/>
      <c r="P41" s="115"/>
      <c r="Q41" s="115"/>
      <c r="R41" s="132"/>
      <c r="S41" s="117"/>
      <c r="T41" s="114"/>
      <c r="U41" s="115"/>
      <c r="V41" s="115"/>
      <c r="W41" s="132"/>
      <c r="X41" s="117"/>
      <c r="Y41" s="114"/>
      <c r="Z41" s="115"/>
      <c r="AA41" s="115"/>
      <c r="AB41" s="132"/>
      <c r="AC41" s="117"/>
      <c r="AD41" s="114"/>
      <c r="AE41" s="115"/>
      <c r="AF41" s="115"/>
      <c r="AG41" s="132"/>
      <c r="AH41" s="117"/>
      <c r="AI41" s="114"/>
      <c r="AJ41" s="115"/>
      <c r="AK41" s="115"/>
      <c r="AL41" s="132"/>
      <c r="AM41" s="117"/>
      <c r="AN41" s="114"/>
      <c r="AO41" s="115"/>
      <c r="AP41" s="937"/>
      <c r="AQ41" s="132"/>
      <c r="AR41" s="117"/>
      <c r="AS41" s="114"/>
      <c r="AT41" s="115"/>
      <c r="AU41" s="139"/>
      <c r="AV41" s="132"/>
      <c r="AW41" s="117"/>
      <c r="AX41" s="120"/>
      <c r="AY41" s="139"/>
      <c r="AZ41" s="139"/>
      <c r="BA41" s="119"/>
      <c r="BB41" s="44"/>
      <c r="BC41" s="120"/>
      <c r="BD41" s="139"/>
      <c r="BE41" s="139"/>
      <c r="BF41" s="119"/>
      <c r="BG41" s="44"/>
      <c r="BH41" s="120"/>
      <c r="BI41" s="139"/>
      <c r="BJ41" s="139"/>
      <c r="BK41" s="119"/>
      <c r="BL41" s="44"/>
      <c r="BM41" s="120"/>
      <c r="BN41" s="139"/>
      <c r="BO41" s="139"/>
      <c r="BP41" s="119"/>
      <c r="BQ41" s="44"/>
      <c r="BR41" s="44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</row>
    <row r="42" spans="1:104" x14ac:dyDescent="0.2">
      <c r="A42" s="44"/>
      <c r="B42" s="44"/>
      <c r="C42" s="26" t="s">
        <v>137</v>
      </c>
      <c r="D42" s="82"/>
      <c r="E42" s="121">
        <f>+E38-E40</f>
        <v>21.721000000000018</v>
      </c>
      <c r="F42" s="122">
        <f>+F38-F40</f>
        <v>3.4760000000000053</v>
      </c>
      <c r="G42" s="122">
        <f>+G38-G40</f>
        <v>13.62299999999998</v>
      </c>
      <c r="H42" s="123">
        <f>+I42-SUM(E42:G42)</f>
        <v>8.5430000000001343</v>
      </c>
      <c r="I42" s="86">
        <f>+I38-I40</f>
        <v>47.363000000000142</v>
      </c>
      <c r="J42" s="121">
        <f>+J38-J40</f>
        <v>13.54400000000002</v>
      </c>
      <c r="K42" s="122">
        <f>+K38-K40</f>
        <v>2.6789999999999994</v>
      </c>
      <c r="L42" s="122">
        <f>+L38-L40</f>
        <v>17.624000000000006</v>
      </c>
      <c r="M42" s="123">
        <f>+N42-SUM(J42:L42)</f>
        <v>8.9019999999999015</v>
      </c>
      <c r="N42" s="86">
        <f>+N38-N40</f>
        <v>42.748999999999924</v>
      </c>
      <c r="O42" s="121">
        <f>+O38-O40</f>
        <v>14.642999999999992</v>
      </c>
      <c r="P42" s="122">
        <f>+P38-P40</f>
        <v>8.477999999999982</v>
      </c>
      <c r="Q42" s="122">
        <v>19.972999999999999</v>
      </c>
      <c r="R42" s="123">
        <f>+S42-SUM(O42:Q42)</f>
        <v>7.9120000000000772</v>
      </c>
      <c r="S42" s="86">
        <f>+S38-S40</f>
        <v>51.00600000000005</v>
      </c>
      <c r="T42" s="121">
        <f>+T38-T40</f>
        <v>14.878000000000016</v>
      </c>
      <c r="U42" s="122">
        <f>+U38-U40</f>
        <v>5.7420000000000133</v>
      </c>
      <c r="V42" s="122">
        <f>+V38-V40</f>
        <v>22.19999999999996</v>
      </c>
      <c r="W42" s="123">
        <f>+X42-SUM(T42:V42)</f>
        <v>7.1310000000001068</v>
      </c>
      <c r="X42" s="86">
        <f>+X38-X40</f>
        <v>49.9510000000001</v>
      </c>
      <c r="Y42" s="121">
        <f>+Y38-Y40</f>
        <v>19.685000000000013</v>
      </c>
      <c r="Z42" s="122">
        <f>+Z38-Z40</f>
        <v>10.544000000000038</v>
      </c>
      <c r="AA42" s="122">
        <f>+AA38-AA40</f>
        <v>22.012999999999984</v>
      </c>
      <c r="AB42" s="123">
        <f>+AC42-SUM(Y42:AA42)</f>
        <v>7.2260000000000062</v>
      </c>
      <c r="AC42" s="86">
        <f>+AC38-AC40</f>
        <v>59.468000000000039</v>
      </c>
      <c r="AD42" s="121">
        <f>+AD38-AD40</f>
        <v>24.235000000000078</v>
      </c>
      <c r="AE42" s="122">
        <f>+AE38-AE40</f>
        <v>12.021999999999963</v>
      </c>
      <c r="AF42" s="122">
        <f>+AF38-AF40</f>
        <v>20.030000000000022</v>
      </c>
      <c r="AG42" s="123">
        <f>+AH42-SUM(AD42:AF42)</f>
        <v>14.355000000000103</v>
      </c>
      <c r="AH42" s="86">
        <f>+AH38-AH40</f>
        <v>70.642000000000166</v>
      </c>
      <c r="AI42" s="121">
        <f>+AI38-AI40</f>
        <v>22.266999999999975</v>
      </c>
      <c r="AJ42" s="122">
        <f>+AJ38-AJ40</f>
        <v>12.512000000000015</v>
      </c>
      <c r="AK42" s="122">
        <f>+AK38-AK40</f>
        <v>26.231999999999978</v>
      </c>
      <c r="AL42" s="123">
        <f>+AM42-SUM(AI42:AK42)</f>
        <v>13.625000000000057</v>
      </c>
      <c r="AM42" s="86">
        <f>+AM38-AM40</f>
        <v>74.636000000000024</v>
      </c>
      <c r="AN42" s="121">
        <f>+AN38-AN40</f>
        <v>17.631000000000036</v>
      </c>
      <c r="AO42" s="122">
        <f>+AO38-AO40</f>
        <v>12.624999999999993</v>
      </c>
      <c r="AP42" s="935">
        <f>+AP38-AP40</f>
        <v>24.221000000000043</v>
      </c>
      <c r="AQ42" s="123">
        <f>+AR42-SUM(AN42:AP42)</f>
        <v>14.65799999999993</v>
      </c>
      <c r="AR42" s="86">
        <f>+AR38-AR40</f>
        <v>69.135000000000005</v>
      </c>
      <c r="AS42" s="121">
        <f>+AS38-AS40</f>
        <v>22.418999999999983</v>
      </c>
      <c r="AT42" s="122">
        <f>+AT38-AT40</f>
        <v>14.241000000000007</v>
      </c>
      <c r="AU42" s="935">
        <f>+AU38-AU40</f>
        <v>22.324999999999996</v>
      </c>
      <c r="AV42" s="123">
        <f>+AW42-SUM(AS42:AU42)</f>
        <v>20.430999999999955</v>
      </c>
      <c r="AW42" s="86">
        <f>+AW38-AW40</f>
        <v>79.41599999999994</v>
      </c>
      <c r="AX42" s="121">
        <f>+AX38-AX40</f>
        <v>26.270898887430832</v>
      </c>
      <c r="AY42" s="122">
        <f>+AY38-AY40</f>
        <v>15.472717799133207</v>
      </c>
      <c r="AZ42" s="122">
        <f>+AZ38-AZ40</f>
        <v>21.356473925878412</v>
      </c>
      <c r="BA42" s="123">
        <f>+BB42-SUM(AX42:AZ42)</f>
        <v>22.38893478837705</v>
      </c>
      <c r="BB42" s="86">
        <f>+BB38-BB40</f>
        <v>85.4890254008195</v>
      </c>
      <c r="BC42" s="121">
        <f>+BC38-BC40</f>
        <v>28.115507606072825</v>
      </c>
      <c r="BD42" s="122">
        <f>+BD38-BD40</f>
        <v>16.170675921144898</v>
      </c>
      <c r="BE42" s="122">
        <f>+BE38-BE40</f>
        <v>21.771803365498638</v>
      </c>
      <c r="BF42" s="123">
        <f>+BG42-SUM(BC42:BE42)</f>
        <v>23.344494404020978</v>
      </c>
      <c r="BG42" s="86">
        <f>+BG38-BG40</f>
        <v>89.402481296737335</v>
      </c>
      <c r="BH42" s="121">
        <f>+BH38-BH40</f>
        <v>30.031152322575444</v>
      </c>
      <c r="BI42" s="122">
        <f>+BI38-BI40</f>
        <v>17.157791467362344</v>
      </c>
      <c r="BJ42" s="122">
        <f>+BJ38-BJ40</f>
        <v>22.907660860263427</v>
      </c>
      <c r="BK42" s="123">
        <f>+BL42-SUM(BH42:BJ42)</f>
        <v>24.982132786038392</v>
      </c>
      <c r="BL42" s="86">
        <f>+BL38-BL40</f>
        <v>95.078737436239606</v>
      </c>
      <c r="BM42" s="121">
        <f>+BM38-BM40</f>
        <v>32.439710158949438</v>
      </c>
      <c r="BN42" s="122">
        <f>+BN38-BN40</f>
        <v>18.927112489253926</v>
      </c>
      <c r="BO42" s="122">
        <f>+BO38-BO40</f>
        <v>24.624342602951625</v>
      </c>
      <c r="BP42" s="123">
        <f>+BQ42-SUM(BM42:BO42)</f>
        <v>27.20198727612015</v>
      </c>
      <c r="BQ42" s="86">
        <f>+BQ38-BQ40</f>
        <v>103.19315252727515</v>
      </c>
      <c r="BR42" s="44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</row>
    <row r="43" spans="1:104" x14ac:dyDescent="0.2">
      <c r="A43" s="44"/>
      <c r="B43" s="44"/>
      <c r="C43" s="525" t="s">
        <v>435</v>
      </c>
      <c r="D43" s="82"/>
      <c r="E43" s="114">
        <v>0</v>
      </c>
      <c r="F43" s="115">
        <v>0</v>
      </c>
      <c r="G43" s="115">
        <v>0</v>
      </c>
      <c r="H43" s="131">
        <f>I43-SUM(E43:G43)</f>
        <v>0</v>
      </c>
      <c r="I43" s="117">
        <v>0</v>
      </c>
      <c r="J43" s="114">
        <v>0</v>
      </c>
      <c r="K43" s="115">
        <v>0</v>
      </c>
      <c r="L43" s="115">
        <v>0</v>
      </c>
      <c r="M43" s="131">
        <f>N43-SUM(J43:L43)</f>
        <v>0</v>
      </c>
      <c r="N43" s="117">
        <v>0</v>
      </c>
      <c r="O43" s="114">
        <v>0</v>
      </c>
      <c r="P43" s="115">
        <v>0</v>
      </c>
      <c r="Q43" s="115">
        <v>0</v>
      </c>
      <c r="R43" s="131">
        <f>S43-SUM(O43:Q43)</f>
        <v>0</v>
      </c>
      <c r="S43" s="117">
        <v>0</v>
      </c>
      <c r="T43" s="114">
        <v>0</v>
      </c>
      <c r="U43" s="115">
        <v>0</v>
      </c>
      <c r="V43" s="115">
        <v>0</v>
      </c>
      <c r="W43" s="131">
        <f>X43-SUM(T43:V43)</f>
        <v>0</v>
      </c>
      <c r="X43" s="117">
        <v>0</v>
      </c>
      <c r="Y43" s="114">
        <v>0</v>
      </c>
      <c r="Z43" s="115">
        <v>0</v>
      </c>
      <c r="AA43" s="115">
        <v>0</v>
      </c>
      <c r="AB43" s="131">
        <f>AC43-SUM(Y43:AA43)</f>
        <v>0</v>
      </c>
      <c r="AC43" s="117">
        <v>0</v>
      </c>
      <c r="AD43" s="114">
        <v>0</v>
      </c>
      <c r="AE43" s="115">
        <v>0</v>
      </c>
      <c r="AF43" s="115">
        <v>0</v>
      </c>
      <c r="AG43" s="131">
        <f>AH43-SUM(AD43:AF43)</f>
        <v>0</v>
      </c>
      <c r="AH43" s="117">
        <v>0</v>
      </c>
      <c r="AI43" s="114">
        <v>0</v>
      </c>
      <c r="AJ43" s="115">
        <v>0</v>
      </c>
      <c r="AK43" s="115">
        <v>0</v>
      </c>
      <c r="AL43" s="131">
        <f>AM43-SUM(AI43:AK43)</f>
        <v>0</v>
      </c>
      <c r="AM43" s="117">
        <v>0</v>
      </c>
      <c r="AN43" s="114">
        <v>0</v>
      </c>
      <c r="AO43" s="115">
        <v>0</v>
      </c>
      <c r="AP43" s="938">
        <f>AK43</f>
        <v>0</v>
      </c>
      <c r="AQ43" s="131">
        <f>AR43-SUM(AN43:AP43)</f>
        <v>0</v>
      </c>
      <c r="AR43" s="117">
        <v>0</v>
      </c>
      <c r="AS43" s="114">
        <v>0</v>
      </c>
      <c r="AT43" s="115">
        <v>0</v>
      </c>
      <c r="AU43" s="115">
        <v>0</v>
      </c>
      <c r="AV43" s="131">
        <f>AW43-SUM(AS43:AU43)</f>
        <v>0</v>
      </c>
      <c r="AW43" s="117">
        <v>0</v>
      </c>
      <c r="AX43" s="120">
        <f t="shared" ref="AX43:BA44" si="76">AS43</f>
        <v>0</v>
      </c>
      <c r="AY43" s="118">
        <f t="shared" si="76"/>
        <v>0</v>
      </c>
      <c r="AZ43" s="118">
        <f t="shared" si="76"/>
        <v>0</v>
      </c>
      <c r="BA43" s="119">
        <f t="shared" si="76"/>
        <v>0</v>
      </c>
      <c r="BB43" s="42">
        <f>SUM(AX43:BA43)</f>
        <v>0</v>
      </c>
      <c r="BC43" s="120">
        <f t="shared" ref="BC43:BF44" si="77">AX43</f>
        <v>0</v>
      </c>
      <c r="BD43" s="118">
        <f t="shared" si="77"/>
        <v>0</v>
      </c>
      <c r="BE43" s="118">
        <f t="shared" si="77"/>
        <v>0</v>
      </c>
      <c r="BF43" s="119">
        <f t="shared" si="77"/>
        <v>0</v>
      </c>
      <c r="BG43" s="42">
        <f>SUM(BC43:BF43)</f>
        <v>0</v>
      </c>
      <c r="BH43" s="120">
        <f t="shared" ref="BH43:BK44" si="78">BC43</f>
        <v>0</v>
      </c>
      <c r="BI43" s="118">
        <f t="shared" si="78"/>
        <v>0</v>
      </c>
      <c r="BJ43" s="118">
        <f t="shared" si="78"/>
        <v>0</v>
      </c>
      <c r="BK43" s="119">
        <f t="shared" si="78"/>
        <v>0</v>
      </c>
      <c r="BL43" s="42">
        <f>SUM(BH43:BK43)</f>
        <v>0</v>
      </c>
      <c r="BM43" s="120">
        <f t="shared" ref="BM43:BM44" si="79">BH43</f>
        <v>0</v>
      </c>
      <c r="BN43" s="118">
        <f t="shared" ref="BN43:BN44" si="80">BI43</f>
        <v>0</v>
      </c>
      <c r="BO43" s="118">
        <f t="shared" ref="BO43:BO44" si="81">BJ43</f>
        <v>0</v>
      </c>
      <c r="BP43" s="119">
        <f t="shared" ref="BP43:BP44" si="82">BK43</f>
        <v>0</v>
      </c>
      <c r="BQ43" s="42">
        <f>SUM(BM43:BP43)</f>
        <v>0</v>
      </c>
      <c r="BR43" s="269"/>
      <c r="BS43" s="269"/>
      <c r="BT43" s="529"/>
      <c r="BU43" s="529"/>
      <c r="BV43" s="529"/>
      <c r="BW43" s="529"/>
      <c r="BX43" s="529"/>
      <c r="BY43" s="529"/>
      <c r="BZ43" s="529"/>
      <c r="CA43" s="529"/>
      <c r="CB43" s="269"/>
      <c r="CC43" s="269"/>
      <c r="CD43" s="269"/>
      <c r="CE43" s="269"/>
      <c r="CF43" s="269"/>
      <c r="CG43" s="269"/>
      <c r="CH43" s="269"/>
      <c r="CI43" s="269"/>
      <c r="CJ43" s="269"/>
      <c r="CK43" s="269"/>
      <c r="CL43" s="269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  <c r="CX43" s="44"/>
      <c r="CY43" s="44"/>
      <c r="CZ43" s="44"/>
    </row>
    <row r="44" spans="1:104" x14ac:dyDescent="0.2">
      <c r="C44" s="20" t="s">
        <v>138</v>
      </c>
      <c r="D44" s="42"/>
      <c r="E44" s="114">
        <v>0</v>
      </c>
      <c r="F44" s="115">
        <v>0</v>
      </c>
      <c r="G44" s="115">
        <v>0</v>
      </c>
      <c r="H44" s="131">
        <f>I44-SUM(E44:G44)</f>
        <v>0</v>
      </c>
      <c r="I44" s="117">
        <v>0</v>
      </c>
      <c r="J44" s="114">
        <v>0</v>
      </c>
      <c r="K44" s="115">
        <v>0</v>
      </c>
      <c r="L44" s="115">
        <v>0</v>
      </c>
      <c r="M44" s="131">
        <f>N44-SUM(J44:L44)</f>
        <v>0</v>
      </c>
      <c r="N44" s="117">
        <v>0</v>
      </c>
      <c r="O44" s="114">
        <v>0</v>
      </c>
      <c r="P44" s="115">
        <v>0</v>
      </c>
      <c r="Q44" s="115">
        <v>0</v>
      </c>
      <c r="R44" s="131">
        <f>S44-SUM(O44:Q44)</f>
        <v>0</v>
      </c>
      <c r="S44" s="117">
        <v>0</v>
      </c>
      <c r="T44" s="114">
        <v>0</v>
      </c>
      <c r="U44" s="115">
        <v>0</v>
      </c>
      <c r="V44" s="115">
        <v>0</v>
      </c>
      <c r="W44" s="131">
        <f>X44-SUM(T44:V44)</f>
        <v>0</v>
      </c>
      <c r="X44" s="117">
        <v>0</v>
      </c>
      <c r="Y44" s="114">
        <v>0</v>
      </c>
      <c r="Z44" s="115">
        <v>0</v>
      </c>
      <c r="AA44" s="115">
        <v>0</v>
      </c>
      <c r="AB44" s="131">
        <f>AC44-SUM(Y44:AA44)</f>
        <v>0</v>
      </c>
      <c r="AC44" s="117">
        <v>0</v>
      </c>
      <c r="AD44" s="114">
        <v>0</v>
      </c>
      <c r="AE44" s="115">
        <v>0</v>
      </c>
      <c r="AF44" s="115">
        <v>0</v>
      </c>
      <c r="AG44" s="131">
        <f>AH44-SUM(AD44:AF44)</f>
        <v>0</v>
      </c>
      <c r="AH44" s="117">
        <v>0</v>
      </c>
      <c r="AI44" s="114">
        <v>0</v>
      </c>
      <c r="AJ44" s="115">
        <v>0</v>
      </c>
      <c r="AK44" s="115">
        <v>0</v>
      </c>
      <c r="AL44" s="131">
        <f>AM44-SUM(AI44:AK44)</f>
        <v>0</v>
      </c>
      <c r="AM44" s="117">
        <v>0</v>
      </c>
      <c r="AN44" s="114">
        <v>0</v>
      </c>
      <c r="AO44" s="115">
        <v>0</v>
      </c>
      <c r="AP44" s="938">
        <f>AK44</f>
        <v>0</v>
      </c>
      <c r="AQ44" s="131">
        <f>AR44-SUM(AN44:AP44)</f>
        <v>0</v>
      </c>
      <c r="AR44" s="117">
        <v>0</v>
      </c>
      <c r="AS44" s="114">
        <v>0</v>
      </c>
      <c r="AT44" s="115">
        <v>0</v>
      </c>
      <c r="AU44" s="115">
        <v>0</v>
      </c>
      <c r="AV44" s="131">
        <f>AW44-SUM(AS44:AU44)</f>
        <v>0</v>
      </c>
      <c r="AW44" s="117">
        <v>0</v>
      </c>
      <c r="AX44" s="120">
        <f t="shared" si="76"/>
        <v>0</v>
      </c>
      <c r="AY44" s="118">
        <f t="shared" si="76"/>
        <v>0</v>
      </c>
      <c r="AZ44" s="118">
        <f t="shared" si="76"/>
        <v>0</v>
      </c>
      <c r="BA44" s="119">
        <f t="shared" si="76"/>
        <v>0</v>
      </c>
      <c r="BB44" s="42">
        <f>AW44</f>
        <v>0</v>
      </c>
      <c r="BC44" s="120">
        <f t="shared" si="77"/>
        <v>0</v>
      </c>
      <c r="BD44" s="118">
        <f t="shared" si="77"/>
        <v>0</v>
      </c>
      <c r="BE44" s="118">
        <f t="shared" si="77"/>
        <v>0</v>
      </c>
      <c r="BF44" s="119">
        <f t="shared" si="77"/>
        <v>0</v>
      </c>
      <c r="BG44" s="42">
        <f>BB44</f>
        <v>0</v>
      </c>
      <c r="BH44" s="120">
        <f t="shared" si="78"/>
        <v>0</v>
      </c>
      <c r="BI44" s="118">
        <f t="shared" si="78"/>
        <v>0</v>
      </c>
      <c r="BJ44" s="118">
        <f t="shared" si="78"/>
        <v>0</v>
      </c>
      <c r="BK44" s="119">
        <f t="shared" si="78"/>
        <v>0</v>
      </c>
      <c r="BL44" s="42">
        <f>BG44</f>
        <v>0</v>
      </c>
      <c r="BM44" s="120">
        <f t="shared" si="79"/>
        <v>0</v>
      </c>
      <c r="BN44" s="118">
        <f t="shared" si="80"/>
        <v>0</v>
      </c>
      <c r="BO44" s="118">
        <f t="shared" si="81"/>
        <v>0</v>
      </c>
      <c r="BP44" s="119">
        <f t="shared" si="82"/>
        <v>0</v>
      </c>
      <c r="BQ44" s="42">
        <f>BL44</f>
        <v>0</v>
      </c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</row>
    <row r="45" spans="1:104" x14ac:dyDescent="0.2">
      <c r="A45" s="44"/>
      <c r="B45" s="44"/>
      <c r="C45" s="20"/>
      <c r="D45" s="42"/>
      <c r="E45" s="114"/>
      <c r="F45" s="133"/>
      <c r="G45" s="133"/>
      <c r="H45" s="132"/>
      <c r="I45" s="117"/>
      <c r="J45" s="114"/>
      <c r="K45" s="133"/>
      <c r="L45" s="133"/>
      <c r="M45" s="132"/>
      <c r="N45" s="117"/>
      <c r="O45" s="114"/>
      <c r="P45" s="115"/>
      <c r="Q45" s="115"/>
      <c r="R45" s="132"/>
      <c r="S45" s="117"/>
      <c r="T45" s="114"/>
      <c r="U45" s="115"/>
      <c r="V45" s="115"/>
      <c r="W45" s="132"/>
      <c r="X45" s="117"/>
      <c r="Y45" s="114"/>
      <c r="Z45" s="115"/>
      <c r="AA45" s="115"/>
      <c r="AB45" s="132"/>
      <c r="AC45" s="117"/>
      <c r="AD45" s="114"/>
      <c r="AE45" s="115"/>
      <c r="AF45" s="115"/>
      <c r="AG45" s="132"/>
      <c r="AH45" s="117"/>
      <c r="AI45" s="114"/>
      <c r="AJ45" s="115"/>
      <c r="AK45" s="115"/>
      <c r="AL45" s="132"/>
      <c r="AM45" s="117"/>
      <c r="AN45" s="114"/>
      <c r="AO45" s="115"/>
      <c r="AP45" s="937"/>
      <c r="AQ45" s="132"/>
      <c r="AR45" s="117"/>
      <c r="AS45" s="114"/>
      <c r="AT45" s="115"/>
      <c r="AU45" s="139"/>
      <c r="AV45" s="132"/>
      <c r="AW45" s="117"/>
      <c r="AX45" s="120"/>
      <c r="AY45" s="139"/>
      <c r="AZ45" s="139"/>
      <c r="BA45" s="119"/>
      <c r="BB45" s="44"/>
      <c r="BC45" s="120"/>
      <c r="BD45" s="139"/>
      <c r="BE45" s="139"/>
      <c r="BF45" s="119"/>
      <c r="BG45" s="44"/>
      <c r="BH45" s="120"/>
      <c r="BI45" s="139"/>
      <c r="BJ45" s="139"/>
      <c r="BK45" s="119"/>
      <c r="BL45" s="44"/>
      <c r="BM45" s="120"/>
      <c r="BN45" s="139"/>
      <c r="BO45" s="139"/>
      <c r="BP45" s="119"/>
      <c r="BQ45" s="44"/>
      <c r="BR45" s="44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  <c r="CX45" s="44"/>
      <c r="CY45" s="44"/>
      <c r="CZ45" s="44"/>
    </row>
    <row r="46" spans="1:104" x14ac:dyDescent="0.2">
      <c r="A46" s="85"/>
      <c r="B46" s="85"/>
      <c r="C46" s="26" t="s">
        <v>139</v>
      </c>
      <c r="D46" s="86"/>
      <c r="E46" s="121">
        <f t="shared" ref="E46:Q46" si="83">E42+E43-E44</f>
        <v>21.721000000000018</v>
      </c>
      <c r="F46" s="122">
        <f t="shared" si="83"/>
        <v>3.4760000000000053</v>
      </c>
      <c r="G46" s="122">
        <f t="shared" si="83"/>
        <v>13.62299999999998</v>
      </c>
      <c r="H46" s="123">
        <f t="shared" si="83"/>
        <v>8.5430000000001343</v>
      </c>
      <c r="I46" s="86">
        <f t="shared" si="83"/>
        <v>47.363000000000142</v>
      </c>
      <c r="J46" s="121">
        <f t="shared" si="83"/>
        <v>13.54400000000002</v>
      </c>
      <c r="K46" s="122">
        <f t="shared" si="83"/>
        <v>2.6789999999999994</v>
      </c>
      <c r="L46" s="122">
        <f t="shared" si="83"/>
        <v>17.624000000000006</v>
      </c>
      <c r="M46" s="123">
        <f t="shared" si="83"/>
        <v>8.9019999999999015</v>
      </c>
      <c r="N46" s="86">
        <f t="shared" si="83"/>
        <v>42.748999999999924</v>
      </c>
      <c r="O46" s="121">
        <f t="shared" si="83"/>
        <v>14.642999999999992</v>
      </c>
      <c r="P46" s="122">
        <f t="shared" si="83"/>
        <v>8.477999999999982</v>
      </c>
      <c r="Q46" s="122">
        <f t="shared" si="83"/>
        <v>19.972999999999999</v>
      </c>
      <c r="R46" s="123">
        <f t="shared" ref="R46:Y46" si="84">R42+R43-R44</f>
        <v>7.9120000000000772</v>
      </c>
      <c r="S46" s="86">
        <f t="shared" si="84"/>
        <v>51.00600000000005</v>
      </c>
      <c r="T46" s="121">
        <f t="shared" si="84"/>
        <v>14.878000000000016</v>
      </c>
      <c r="U46" s="122">
        <f t="shared" si="84"/>
        <v>5.7420000000000133</v>
      </c>
      <c r="V46" s="122">
        <f t="shared" si="84"/>
        <v>22.19999999999996</v>
      </c>
      <c r="W46" s="123">
        <f t="shared" si="84"/>
        <v>7.1310000000001068</v>
      </c>
      <c r="X46" s="86">
        <f t="shared" si="84"/>
        <v>49.9510000000001</v>
      </c>
      <c r="Y46" s="121">
        <f t="shared" si="84"/>
        <v>19.685000000000013</v>
      </c>
      <c r="Z46" s="122">
        <f t="shared" ref="Z46:AE46" si="85">Z42+Z43-Z44</f>
        <v>10.544000000000038</v>
      </c>
      <c r="AA46" s="122">
        <f t="shared" si="85"/>
        <v>22.012999999999984</v>
      </c>
      <c r="AB46" s="123">
        <f t="shared" si="85"/>
        <v>7.2260000000000062</v>
      </c>
      <c r="AC46" s="86">
        <f t="shared" si="85"/>
        <v>59.468000000000039</v>
      </c>
      <c r="AD46" s="121">
        <f t="shared" si="85"/>
        <v>24.235000000000078</v>
      </c>
      <c r="AE46" s="122">
        <f t="shared" si="85"/>
        <v>12.021999999999963</v>
      </c>
      <c r="AF46" s="122">
        <f t="shared" ref="AF46:AM46" si="86">AF42+AF43-AF44</f>
        <v>20.030000000000022</v>
      </c>
      <c r="AG46" s="123">
        <f t="shared" si="86"/>
        <v>14.355000000000103</v>
      </c>
      <c r="AH46" s="86">
        <f t="shared" si="86"/>
        <v>70.642000000000166</v>
      </c>
      <c r="AI46" s="121">
        <f t="shared" si="86"/>
        <v>22.266999999999975</v>
      </c>
      <c r="AJ46" s="122">
        <f t="shared" si="86"/>
        <v>12.512000000000015</v>
      </c>
      <c r="AK46" s="122">
        <f t="shared" si="86"/>
        <v>26.231999999999978</v>
      </c>
      <c r="AL46" s="123">
        <f t="shared" si="86"/>
        <v>13.625000000000057</v>
      </c>
      <c r="AM46" s="86">
        <f t="shared" si="86"/>
        <v>74.636000000000024</v>
      </c>
      <c r="AN46" s="121">
        <f t="shared" ref="AN46:AR46" si="87">AN42+AN43-AN44</f>
        <v>17.631000000000036</v>
      </c>
      <c r="AO46" s="122">
        <f t="shared" si="87"/>
        <v>12.624999999999993</v>
      </c>
      <c r="AP46" s="935">
        <f t="shared" si="87"/>
        <v>24.221000000000043</v>
      </c>
      <c r="AQ46" s="123">
        <f t="shared" si="87"/>
        <v>14.65799999999993</v>
      </c>
      <c r="AR46" s="86">
        <f t="shared" si="87"/>
        <v>69.135000000000005</v>
      </c>
      <c r="AS46" s="121">
        <f>AS42+AS43-AS44</f>
        <v>22.418999999999983</v>
      </c>
      <c r="AT46" s="122">
        <f>AT42+AT43-AT44</f>
        <v>14.241000000000007</v>
      </c>
      <c r="AU46" s="935">
        <f>AU42+AU43-AU44</f>
        <v>22.324999999999996</v>
      </c>
      <c r="AV46" s="123">
        <f t="shared" ref="AV46:AW46" si="88">AV42+AV43-AV44</f>
        <v>20.430999999999955</v>
      </c>
      <c r="AW46" s="86">
        <f t="shared" si="88"/>
        <v>79.41599999999994</v>
      </c>
      <c r="AX46" s="121">
        <f t="shared" ref="AX46:BG46" si="89">AX42+AX43-AX44</f>
        <v>26.270898887430832</v>
      </c>
      <c r="AY46" s="122">
        <f t="shared" si="89"/>
        <v>15.472717799133207</v>
      </c>
      <c r="AZ46" s="122">
        <f t="shared" si="89"/>
        <v>21.356473925878412</v>
      </c>
      <c r="BA46" s="123">
        <f t="shared" si="89"/>
        <v>22.38893478837705</v>
      </c>
      <c r="BB46" s="86">
        <f t="shared" si="89"/>
        <v>85.4890254008195</v>
      </c>
      <c r="BC46" s="121">
        <f t="shared" si="89"/>
        <v>28.115507606072825</v>
      </c>
      <c r="BD46" s="122">
        <f t="shared" si="89"/>
        <v>16.170675921144898</v>
      </c>
      <c r="BE46" s="122">
        <f t="shared" si="89"/>
        <v>21.771803365498638</v>
      </c>
      <c r="BF46" s="123">
        <f t="shared" si="89"/>
        <v>23.344494404020978</v>
      </c>
      <c r="BG46" s="86">
        <f t="shared" si="89"/>
        <v>89.402481296737335</v>
      </c>
      <c r="BH46" s="121">
        <f t="shared" ref="BH46:BQ46" si="90">BH42+BH43-BH44</f>
        <v>30.031152322575444</v>
      </c>
      <c r="BI46" s="122">
        <f t="shared" si="90"/>
        <v>17.157791467362344</v>
      </c>
      <c r="BJ46" s="122">
        <f t="shared" si="90"/>
        <v>22.907660860263427</v>
      </c>
      <c r="BK46" s="123">
        <f t="shared" si="90"/>
        <v>24.982132786038392</v>
      </c>
      <c r="BL46" s="86">
        <f t="shared" si="90"/>
        <v>95.078737436239606</v>
      </c>
      <c r="BM46" s="121">
        <f t="shared" si="90"/>
        <v>32.439710158949438</v>
      </c>
      <c r="BN46" s="122">
        <f t="shared" si="90"/>
        <v>18.927112489253926</v>
      </c>
      <c r="BO46" s="122">
        <f t="shared" si="90"/>
        <v>24.624342602951625</v>
      </c>
      <c r="BP46" s="123">
        <f t="shared" si="90"/>
        <v>27.20198727612015</v>
      </c>
      <c r="BQ46" s="86">
        <f t="shared" si="90"/>
        <v>103.19315252727515</v>
      </c>
      <c r="BR46" s="85"/>
      <c r="BS46" s="521"/>
      <c r="BT46" s="527"/>
      <c r="BU46" s="521"/>
      <c r="BV46" s="521"/>
      <c r="BW46" s="521"/>
      <c r="BX46" s="521"/>
      <c r="BY46" s="521"/>
      <c r="BZ46" s="521"/>
      <c r="CA46" s="521"/>
      <c r="CB46" s="521"/>
      <c r="CC46" s="521"/>
      <c r="CD46" s="521"/>
      <c r="CE46" s="521"/>
      <c r="CF46" s="521"/>
      <c r="CG46" s="85"/>
      <c r="CH46" s="85"/>
      <c r="CI46" s="85"/>
      <c r="CJ46" s="85"/>
      <c r="CK46" s="85"/>
      <c r="CL46" s="85"/>
      <c r="CM46" s="85"/>
      <c r="CN46" s="85"/>
      <c r="CO46" s="85"/>
      <c r="CP46" s="85"/>
      <c r="CQ46" s="85"/>
      <c r="CR46" s="85"/>
      <c r="CS46" s="85"/>
      <c r="CT46" s="85"/>
      <c r="CU46" s="85"/>
      <c r="CV46" s="85"/>
      <c r="CW46" s="85"/>
      <c r="CX46" s="85"/>
      <c r="CY46" s="85"/>
      <c r="CZ46" s="85"/>
    </row>
    <row r="47" spans="1:104" x14ac:dyDescent="0.2">
      <c r="A47" s="44"/>
      <c r="B47" s="44"/>
      <c r="C47" s="20" t="s">
        <v>140</v>
      </c>
      <c r="D47" s="42"/>
      <c r="E47" s="114">
        <v>0</v>
      </c>
      <c r="F47" s="115">
        <v>0</v>
      </c>
      <c r="G47" s="115">
        <v>0</v>
      </c>
      <c r="H47" s="131">
        <f>I47-SUM(E47:G47)</f>
        <v>0</v>
      </c>
      <c r="I47" s="117">
        <v>0</v>
      </c>
      <c r="J47" s="114">
        <v>0</v>
      </c>
      <c r="K47" s="115">
        <v>0</v>
      </c>
      <c r="L47" s="115">
        <v>0</v>
      </c>
      <c r="M47" s="131">
        <f>N47-SUM(J47:L47)</f>
        <v>0</v>
      </c>
      <c r="N47" s="117">
        <v>0</v>
      </c>
      <c r="O47" s="114">
        <v>0</v>
      </c>
      <c r="P47" s="115">
        <v>0</v>
      </c>
      <c r="Q47" s="115">
        <v>0</v>
      </c>
      <c r="R47" s="131">
        <f>S47-SUM(O47:Q47)</f>
        <v>0</v>
      </c>
      <c r="S47" s="117">
        <v>0</v>
      </c>
      <c r="T47" s="114">
        <v>0</v>
      </c>
      <c r="U47" s="115">
        <v>0</v>
      </c>
      <c r="V47" s="115">
        <v>0</v>
      </c>
      <c r="W47" s="131">
        <f>X47-SUM(T47:V47)</f>
        <v>0</v>
      </c>
      <c r="X47" s="117">
        <v>0</v>
      </c>
      <c r="Y47" s="114">
        <v>0</v>
      </c>
      <c r="Z47" s="115">
        <v>0</v>
      </c>
      <c r="AA47" s="115">
        <v>0</v>
      </c>
      <c r="AB47" s="131">
        <f>AC47-SUM(Y47:AA47)</f>
        <v>0</v>
      </c>
      <c r="AC47" s="117">
        <v>0</v>
      </c>
      <c r="AD47" s="114">
        <v>0</v>
      </c>
      <c r="AE47" s="115">
        <v>0</v>
      </c>
      <c r="AF47" s="115">
        <v>0</v>
      </c>
      <c r="AG47" s="131">
        <f>AH47-SUM(AD47:AF47)</f>
        <v>0</v>
      </c>
      <c r="AH47" s="117">
        <v>0</v>
      </c>
      <c r="AI47" s="114">
        <v>0</v>
      </c>
      <c r="AJ47" s="115">
        <v>0</v>
      </c>
      <c r="AK47" s="115">
        <v>0</v>
      </c>
      <c r="AL47" s="131">
        <f>AM47-SUM(AI47:AK47)</f>
        <v>0</v>
      </c>
      <c r="AM47" s="117">
        <v>0</v>
      </c>
      <c r="AN47" s="114">
        <v>0</v>
      </c>
      <c r="AO47" s="115">
        <v>0</v>
      </c>
      <c r="AP47" s="115">
        <v>0</v>
      </c>
      <c r="AQ47" s="131">
        <f>AR47-SUM(AN47:AP47)</f>
        <v>0</v>
      </c>
      <c r="AR47" s="117">
        <v>0</v>
      </c>
      <c r="AS47" s="114">
        <v>0</v>
      </c>
      <c r="AT47" s="115">
        <v>0</v>
      </c>
      <c r="AU47" s="115">
        <v>0</v>
      </c>
      <c r="AV47" s="131">
        <f>AW47-SUM(AS47:AU47)</f>
        <v>0</v>
      </c>
      <c r="AW47" s="117">
        <v>0</v>
      </c>
      <c r="AX47" s="136"/>
      <c r="AY47" s="137"/>
      <c r="AZ47" s="137"/>
      <c r="BA47" s="116"/>
      <c r="BB47" s="42">
        <f>SUM(AX47:BA47)</f>
        <v>0</v>
      </c>
      <c r="BC47" s="136"/>
      <c r="BD47" s="137"/>
      <c r="BE47" s="137"/>
      <c r="BF47" s="116"/>
      <c r="BG47" s="42">
        <f>SUM(BC47:BF47)</f>
        <v>0</v>
      </c>
      <c r="BH47" s="136"/>
      <c r="BI47" s="137"/>
      <c r="BJ47" s="137"/>
      <c r="BK47" s="116"/>
      <c r="BL47" s="42">
        <f>SUM(BH47:BK47)</f>
        <v>0</v>
      </c>
      <c r="BM47" s="136"/>
      <c r="BN47" s="137"/>
      <c r="BO47" s="137"/>
      <c r="BP47" s="116"/>
      <c r="BQ47" s="42">
        <f>SUM(BM47:BP47)</f>
        <v>0</v>
      </c>
      <c r="BR47" s="44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  <c r="CX47" s="44"/>
      <c r="CY47" s="44"/>
      <c r="CZ47" s="44"/>
    </row>
    <row r="48" spans="1:104" x14ac:dyDescent="0.2">
      <c r="A48" s="44"/>
      <c r="B48" s="44"/>
      <c r="C48" s="26" t="s">
        <v>141</v>
      </c>
      <c r="D48" s="42"/>
      <c r="E48" s="121">
        <f t="shared" ref="E48:P48" si="91">E46+E47</f>
        <v>21.721000000000018</v>
      </c>
      <c r="F48" s="122">
        <f t="shared" si="91"/>
        <v>3.4760000000000053</v>
      </c>
      <c r="G48" s="122">
        <f t="shared" si="91"/>
        <v>13.62299999999998</v>
      </c>
      <c r="H48" s="123">
        <f t="shared" si="91"/>
        <v>8.5430000000001343</v>
      </c>
      <c r="I48" s="86">
        <f t="shared" si="91"/>
        <v>47.363000000000142</v>
      </c>
      <c r="J48" s="121">
        <f t="shared" si="91"/>
        <v>13.54400000000002</v>
      </c>
      <c r="K48" s="122">
        <f t="shared" si="91"/>
        <v>2.6789999999999994</v>
      </c>
      <c r="L48" s="122">
        <f t="shared" si="91"/>
        <v>17.624000000000006</v>
      </c>
      <c r="M48" s="123">
        <f t="shared" si="91"/>
        <v>8.9019999999999015</v>
      </c>
      <c r="N48" s="86">
        <f t="shared" si="91"/>
        <v>42.748999999999924</v>
      </c>
      <c r="O48" s="121">
        <f t="shared" si="91"/>
        <v>14.642999999999992</v>
      </c>
      <c r="P48" s="122">
        <f t="shared" si="91"/>
        <v>8.477999999999982</v>
      </c>
      <c r="Q48" s="122">
        <f t="shared" ref="Q48:V48" si="92">Q46+Q47</f>
        <v>19.972999999999999</v>
      </c>
      <c r="R48" s="123">
        <f t="shared" si="92"/>
        <v>7.9120000000000772</v>
      </c>
      <c r="S48" s="86">
        <f t="shared" si="92"/>
        <v>51.00600000000005</v>
      </c>
      <c r="T48" s="121">
        <f t="shared" si="92"/>
        <v>14.878000000000016</v>
      </c>
      <c r="U48" s="122">
        <f t="shared" si="92"/>
        <v>5.7420000000000133</v>
      </c>
      <c r="V48" s="122">
        <f t="shared" si="92"/>
        <v>22.19999999999996</v>
      </c>
      <c r="W48" s="123">
        <f t="shared" ref="W48:AD48" si="93">W46+W47</f>
        <v>7.1310000000001068</v>
      </c>
      <c r="X48" s="86">
        <f t="shared" si="93"/>
        <v>49.9510000000001</v>
      </c>
      <c r="Y48" s="121">
        <f t="shared" si="93"/>
        <v>19.685000000000013</v>
      </c>
      <c r="Z48" s="122">
        <f t="shared" si="93"/>
        <v>10.544000000000038</v>
      </c>
      <c r="AA48" s="122">
        <f t="shared" si="93"/>
        <v>22.012999999999984</v>
      </c>
      <c r="AB48" s="123">
        <f t="shared" si="93"/>
        <v>7.2260000000000062</v>
      </c>
      <c r="AC48" s="86">
        <f t="shared" si="93"/>
        <v>59.468000000000039</v>
      </c>
      <c r="AD48" s="121">
        <f t="shared" si="93"/>
        <v>24.235000000000078</v>
      </c>
      <c r="AE48" s="122">
        <f t="shared" ref="AE48:AM48" si="94">AE46+AE47</f>
        <v>12.021999999999963</v>
      </c>
      <c r="AF48" s="122">
        <f t="shared" si="94"/>
        <v>20.030000000000022</v>
      </c>
      <c r="AG48" s="123">
        <f t="shared" si="94"/>
        <v>14.355000000000103</v>
      </c>
      <c r="AH48" s="86">
        <f t="shared" si="94"/>
        <v>70.642000000000166</v>
      </c>
      <c r="AI48" s="121">
        <f t="shared" si="94"/>
        <v>22.266999999999975</v>
      </c>
      <c r="AJ48" s="122">
        <f t="shared" si="94"/>
        <v>12.512000000000015</v>
      </c>
      <c r="AK48" s="122">
        <f t="shared" si="94"/>
        <v>26.231999999999978</v>
      </c>
      <c r="AL48" s="123">
        <f t="shared" si="94"/>
        <v>13.625000000000057</v>
      </c>
      <c r="AM48" s="86">
        <f t="shared" si="94"/>
        <v>74.636000000000024</v>
      </c>
      <c r="AN48" s="121">
        <f t="shared" ref="AN48:AR48" si="95">AN46+AN47</f>
        <v>17.631000000000036</v>
      </c>
      <c r="AO48" s="122">
        <f t="shared" si="95"/>
        <v>12.624999999999993</v>
      </c>
      <c r="AP48" s="935">
        <f t="shared" si="95"/>
        <v>24.221000000000043</v>
      </c>
      <c r="AQ48" s="123">
        <f t="shared" si="95"/>
        <v>14.65799999999993</v>
      </c>
      <c r="AR48" s="86">
        <f t="shared" si="95"/>
        <v>69.135000000000005</v>
      </c>
      <c r="AS48" s="121">
        <f>AS46+AS47</f>
        <v>22.418999999999983</v>
      </c>
      <c r="AT48" s="122">
        <f>AT46+AT47</f>
        <v>14.241000000000007</v>
      </c>
      <c r="AU48" s="935">
        <f>AU46+AU47</f>
        <v>22.324999999999996</v>
      </c>
      <c r="AV48" s="123">
        <f t="shared" ref="AV48:AW48" si="96">AV46+AV47</f>
        <v>20.430999999999955</v>
      </c>
      <c r="AW48" s="86">
        <f t="shared" si="96"/>
        <v>79.41599999999994</v>
      </c>
      <c r="AX48" s="121">
        <f t="shared" ref="AX48:BG48" si="97">AX46+AX47</f>
        <v>26.270898887430832</v>
      </c>
      <c r="AY48" s="122">
        <f t="shared" si="97"/>
        <v>15.472717799133207</v>
      </c>
      <c r="AZ48" s="122">
        <f t="shared" si="97"/>
        <v>21.356473925878412</v>
      </c>
      <c r="BA48" s="123">
        <f t="shared" si="97"/>
        <v>22.38893478837705</v>
      </c>
      <c r="BB48" s="86">
        <f t="shared" si="97"/>
        <v>85.4890254008195</v>
      </c>
      <c r="BC48" s="121">
        <f t="shared" si="97"/>
        <v>28.115507606072825</v>
      </c>
      <c r="BD48" s="122">
        <f t="shared" si="97"/>
        <v>16.170675921144898</v>
      </c>
      <c r="BE48" s="122">
        <f t="shared" si="97"/>
        <v>21.771803365498638</v>
      </c>
      <c r="BF48" s="123">
        <f t="shared" si="97"/>
        <v>23.344494404020978</v>
      </c>
      <c r="BG48" s="86">
        <f t="shared" si="97"/>
        <v>89.402481296737335</v>
      </c>
      <c r="BH48" s="121">
        <f t="shared" ref="BH48:BQ48" si="98">BH46+BH47</f>
        <v>30.031152322575444</v>
      </c>
      <c r="BI48" s="122">
        <f t="shared" si="98"/>
        <v>17.157791467362344</v>
      </c>
      <c r="BJ48" s="122">
        <f t="shared" si="98"/>
        <v>22.907660860263427</v>
      </c>
      <c r="BK48" s="123">
        <f t="shared" si="98"/>
        <v>24.982132786038392</v>
      </c>
      <c r="BL48" s="86">
        <f t="shared" si="98"/>
        <v>95.078737436239606</v>
      </c>
      <c r="BM48" s="121">
        <f t="shared" si="98"/>
        <v>32.439710158949438</v>
      </c>
      <c r="BN48" s="122">
        <f t="shared" si="98"/>
        <v>18.927112489253926</v>
      </c>
      <c r="BO48" s="122">
        <f t="shared" si="98"/>
        <v>24.624342602951625</v>
      </c>
      <c r="BP48" s="123">
        <f t="shared" si="98"/>
        <v>27.20198727612015</v>
      </c>
      <c r="BQ48" s="86">
        <f t="shared" si="98"/>
        <v>103.19315252727515</v>
      </c>
      <c r="BR48" s="44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44"/>
      <c r="CY48" s="44"/>
      <c r="CZ48" s="44"/>
    </row>
    <row r="49" spans="1:104" x14ac:dyDescent="0.2">
      <c r="A49" s="44"/>
      <c r="B49" s="44"/>
      <c r="C49" s="20"/>
      <c r="D49" s="42"/>
      <c r="E49" s="120"/>
      <c r="F49" s="139"/>
      <c r="G49" s="139"/>
      <c r="H49" s="119"/>
      <c r="I49" s="42"/>
      <c r="J49" s="120"/>
      <c r="K49" s="139"/>
      <c r="L49" s="139"/>
      <c r="M49" s="119"/>
      <c r="N49" s="42"/>
      <c r="O49" s="120"/>
      <c r="P49" s="139"/>
      <c r="Q49" s="139"/>
      <c r="R49" s="119"/>
      <c r="S49" s="42"/>
      <c r="T49" s="120"/>
      <c r="U49" s="139"/>
      <c r="V49" s="139"/>
      <c r="W49" s="119"/>
      <c r="X49" s="42"/>
      <c r="Y49" s="120"/>
      <c r="Z49" s="139"/>
      <c r="AA49" s="139"/>
      <c r="AB49" s="119"/>
      <c r="AC49" s="42"/>
      <c r="AD49" s="120"/>
      <c r="AE49" s="139"/>
      <c r="AF49" s="139"/>
      <c r="AG49" s="119"/>
      <c r="AH49" s="42"/>
      <c r="AI49" s="120"/>
      <c r="AJ49" s="139"/>
      <c r="AK49" s="139"/>
      <c r="AL49" s="119"/>
      <c r="AM49" s="42"/>
      <c r="AN49" s="120"/>
      <c r="AO49" s="139"/>
      <c r="AP49" s="937"/>
      <c r="AQ49" s="119"/>
      <c r="AR49" s="42"/>
      <c r="AS49" s="120"/>
      <c r="AT49" s="139"/>
      <c r="AU49" s="937"/>
      <c r="AV49" s="119"/>
      <c r="AW49" s="42"/>
      <c r="AX49" s="120"/>
      <c r="AY49" s="139"/>
      <c r="AZ49" s="139"/>
      <c r="BA49" s="119"/>
      <c r="BB49" s="44"/>
      <c r="BC49" s="120"/>
      <c r="BD49" s="139"/>
      <c r="BE49" s="139"/>
      <c r="BF49" s="119"/>
      <c r="BG49" s="44"/>
      <c r="BH49" s="120"/>
      <c r="BI49" s="139"/>
      <c r="BJ49" s="139"/>
      <c r="BK49" s="119"/>
      <c r="BL49" s="44"/>
      <c r="BM49" s="120"/>
      <c r="BN49" s="139"/>
      <c r="BO49" s="139"/>
      <c r="BP49" s="119"/>
      <c r="BQ49" s="44"/>
      <c r="BR49" s="44"/>
      <c r="BS49" s="526"/>
      <c r="BT49" s="526"/>
      <c r="BU49" s="528"/>
      <c r="BV49" s="526"/>
      <c r="BW49" s="526"/>
      <c r="BX49" s="526"/>
      <c r="BY49" s="526"/>
      <c r="BZ49" s="526"/>
      <c r="CA49" s="526"/>
      <c r="CB49" s="526"/>
      <c r="CC49" s="526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44"/>
      <c r="CY49" s="44"/>
      <c r="CZ49" s="44"/>
    </row>
    <row r="50" spans="1:104" x14ac:dyDescent="0.2">
      <c r="A50" s="44"/>
      <c r="B50" s="44"/>
      <c r="C50" s="20" t="s">
        <v>73</v>
      </c>
      <c r="D50" s="42"/>
      <c r="E50" s="136">
        <f>XEL!E59</f>
        <v>455.19200000000001</v>
      </c>
      <c r="F50" s="135">
        <f>XEL!F59</f>
        <v>456.30700000000002</v>
      </c>
      <c r="G50" s="135">
        <f>XEL!G59</f>
        <v>456.76900000000001</v>
      </c>
      <c r="H50" s="116">
        <f>XEL!H59</f>
        <v>457.43400000000003</v>
      </c>
      <c r="I50" s="82">
        <f>XEL!I59</f>
        <v>456.43299999999999</v>
      </c>
      <c r="J50" s="136">
        <f>XEL!J59</f>
        <v>458.91800000000001</v>
      </c>
      <c r="K50" s="135">
        <f>XEL!K59</f>
        <v>460.041</v>
      </c>
      <c r="L50" s="135">
        <f>XEL!L59</f>
        <v>460.47</v>
      </c>
      <c r="M50" s="116">
        <f>XEL!M59</f>
        <v>468.68599999999998</v>
      </c>
      <c r="N50" s="82">
        <f>XEL!N59</f>
        <v>462.05200000000002</v>
      </c>
      <c r="O50" s="136">
        <f>XEL!O59</f>
        <v>483.64100000000002</v>
      </c>
      <c r="P50" s="135">
        <f>XEL!P59</f>
        <v>484.91800000000001</v>
      </c>
      <c r="Q50" s="135">
        <f>XEL!Q59</f>
        <v>485.34399999999999</v>
      </c>
      <c r="R50" s="116">
        <f>XEL!R59</f>
        <v>486.22300000000001</v>
      </c>
      <c r="S50" s="82">
        <f>XEL!S59</f>
        <v>485.03899999999999</v>
      </c>
      <c r="T50" s="136">
        <f>XEL!T59</f>
        <v>487.36</v>
      </c>
      <c r="U50" s="135">
        <f>XEL!U59</f>
        <v>487.71699999999998</v>
      </c>
      <c r="V50" s="135">
        <f>XEL!V59</f>
        <v>488.084</v>
      </c>
      <c r="W50" s="116">
        <f>XEL!W59</f>
        <v>488.428</v>
      </c>
      <c r="X50" s="82">
        <f>XEL!X59</f>
        <v>487.899</v>
      </c>
      <c r="Y50" s="136">
        <f>XEL!Y59</f>
        <v>489.78100000000001</v>
      </c>
      <c r="Z50" s="135">
        <f>XEL!Z59</f>
        <v>497.74700000000001</v>
      </c>
      <c r="AA50" s="135">
        <f>XEL!AA59</f>
        <v>498.149</v>
      </c>
      <c r="AB50" s="116">
        <f>XEL!AB59</f>
        <v>488.428</v>
      </c>
      <c r="AC50" s="82">
        <f>XEL!AC59</f>
        <v>496.07299999999998</v>
      </c>
      <c r="AD50" s="136">
        <f>XEL!AD59</f>
        <v>499.52300000000002</v>
      </c>
      <c r="AE50" s="135">
        <f>XEL!AE59</f>
        <v>503.27199999999999</v>
      </c>
      <c r="AF50" s="135">
        <f>XEL!AF59</f>
        <v>506.08199999999999</v>
      </c>
      <c r="AG50" s="116">
        <f>XEL!AG59</f>
        <v>506.411</v>
      </c>
      <c r="AH50" s="82">
        <f>XEL!AH59</f>
        <v>503.84699999999998</v>
      </c>
      <c r="AI50" s="136">
        <f>XEL!AI59</f>
        <v>506.983</v>
      </c>
      <c r="AJ50" s="135">
        <f>XEL!AJ59</f>
        <v>507.70699999999999</v>
      </c>
      <c r="AK50" s="135">
        <f>XEL!AK59</f>
        <v>508.03100000000001</v>
      </c>
      <c r="AL50" s="116">
        <f>XEL!AL59</f>
        <v>508.31200000000001</v>
      </c>
      <c r="AM50" s="82">
        <f>XEL!AM59</f>
        <v>507.76799999999997</v>
      </c>
      <c r="AN50" s="136">
        <f>XEL!AN59</f>
        <v>508.66699999999997</v>
      </c>
      <c r="AO50" s="135">
        <f>XEL!AO59</f>
        <v>508.93</v>
      </c>
      <c r="AP50" s="135">
        <f>XEL!AP59</f>
        <v>508.94099999999997</v>
      </c>
      <c r="AQ50" s="116">
        <f>XEL!AQ59</f>
        <v>508.65600000000001</v>
      </c>
      <c r="AR50" s="82">
        <f>XEL!AR59</f>
        <v>508.79399999999998</v>
      </c>
      <c r="AS50" s="136">
        <f>XEL!AS59</f>
        <v>508.27800000000002</v>
      </c>
      <c r="AT50" s="135">
        <f>XEL!AT59</f>
        <v>508.54199999999997</v>
      </c>
      <c r="AU50" s="135">
        <f>XEL!AU59</f>
        <v>508.58100000000002</v>
      </c>
      <c r="AV50" s="116">
        <f>XEL!AV59</f>
        <v>509</v>
      </c>
      <c r="AW50" s="82">
        <f>XEL!AW59</f>
        <v>509</v>
      </c>
      <c r="AX50" s="136">
        <f>XEL!AX59</f>
        <v>508.28363361335755</v>
      </c>
      <c r="AY50" s="135">
        <f>XEL!AY59</f>
        <v>508.72093484007269</v>
      </c>
      <c r="AZ50" s="135">
        <f>XEL!AZ59</f>
        <v>509.15823606678782</v>
      </c>
      <c r="BA50" s="116">
        <f>XEL!BA59</f>
        <v>509.59553729350296</v>
      </c>
      <c r="BB50" s="82">
        <f>XEL!BB59</f>
        <v>508.93958545343025</v>
      </c>
      <c r="BC50" s="136">
        <f>XEL!BC59</f>
        <v>510.03283852021809</v>
      </c>
      <c r="BD50" s="135">
        <f>XEL!BD59</f>
        <v>510.47013974693323</v>
      </c>
      <c r="BE50" s="135">
        <f>XEL!BE59</f>
        <v>510.90744097364836</v>
      </c>
      <c r="BF50" s="116">
        <f>XEL!BF59</f>
        <v>511.3447422003635</v>
      </c>
      <c r="BG50" s="82">
        <f>XEL!BG59</f>
        <v>510.6887903602908</v>
      </c>
      <c r="BH50" s="136">
        <f>XEL!BH59</f>
        <v>511.78204342707863</v>
      </c>
      <c r="BI50" s="135">
        <f>XEL!BI59</f>
        <v>512.21934465379377</v>
      </c>
      <c r="BJ50" s="135">
        <f>XEL!BJ59</f>
        <v>512.6566458805089</v>
      </c>
      <c r="BK50" s="116">
        <f>XEL!BK59</f>
        <v>513.09394710722404</v>
      </c>
      <c r="BL50" s="82">
        <f>XEL!BL59</f>
        <v>512.43799526715134</v>
      </c>
      <c r="BM50" s="136">
        <f>XEL!BM59</f>
        <v>513.53124833393917</v>
      </c>
      <c r="BN50" s="135">
        <f>XEL!BN59</f>
        <v>513.96854956065431</v>
      </c>
      <c r="BO50" s="135">
        <f>XEL!BO59</f>
        <v>514.40585078736945</v>
      </c>
      <c r="BP50" s="116">
        <f>XEL!BP59</f>
        <v>514.84315201408458</v>
      </c>
      <c r="BQ50" s="82">
        <f>XEL!BQ59</f>
        <v>514.18720017401188</v>
      </c>
      <c r="BR50" s="44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</row>
    <row r="51" spans="1:104" x14ac:dyDescent="0.2">
      <c r="A51" s="44"/>
      <c r="B51" s="44"/>
      <c r="C51" s="20" t="s">
        <v>75</v>
      </c>
      <c r="D51" s="42"/>
      <c r="E51" s="136">
        <f>XEL!E60</f>
        <v>455.952</v>
      </c>
      <c r="F51" s="135">
        <f>XEL!F60</f>
        <v>456.76600000000002</v>
      </c>
      <c r="G51" s="135">
        <f>XEL!G60</f>
        <v>457.45299999999997</v>
      </c>
      <c r="H51" s="116">
        <f>XEL!H60</f>
        <v>458.35700000000003</v>
      </c>
      <c r="I51" s="82">
        <f>XEL!I60</f>
        <v>457.13900000000001</v>
      </c>
      <c r="J51" s="136">
        <f>XEL!J60</f>
        <v>459.697</v>
      </c>
      <c r="K51" s="135">
        <f>XEL!K60</f>
        <v>460.43200000000002</v>
      </c>
      <c r="L51" s="135">
        <f>XEL!L60</f>
        <v>462.01900000000001</v>
      </c>
      <c r="M51" s="116">
        <f>XEL!M60</f>
        <v>471.32499999999999</v>
      </c>
      <c r="N51" s="82">
        <f>XEL!N60</f>
        <v>463.39100000000002</v>
      </c>
      <c r="O51" s="136">
        <f>XEL!O60</f>
        <v>484.30099999999999</v>
      </c>
      <c r="P51" s="135">
        <f>XEL!P60</f>
        <v>485.24099999999999</v>
      </c>
      <c r="Q51" s="135">
        <f>XEL!Q60</f>
        <v>485.89400000000001</v>
      </c>
      <c r="R51" s="116">
        <f>XEL!R60</f>
        <v>486.99099999999999</v>
      </c>
      <c r="S51" s="82">
        <f>XEL!S60</f>
        <v>485.61500000000001</v>
      </c>
      <c r="T51" s="136">
        <f>XEL!T60</f>
        <v>487.995</v>
      </c>
      <c r="U51" s="135">
        <f>XEL!U60</f>
        <v>488.017</v>
      </c>
      <c r="V51" s="135">
        <f>XEL!V60</f>
        <v>488.57799999999997</v>
      </c>
      <c r="W51" s="116">
        <f>XEL!W60</f>
        <v>489.13600000000002</v>
      </c>
      <c r="X51" s="82">
        <f>XEL!X60</f>
        <v>488.43400000000003</v>
      </c>
      <c r="Y51" s="136">
        <f>XEL!Y60</f>
        <v>490.53100000000001</v>
      </c>
      <c r="Z51" s="135">
        <f>XEL!Z60</f>
        <v>498.036</v>
      </c>
      <c r="AA51" s="135">
        <f>XEL!AA60</f>
        <v>498.64100000000002</v>
      </c>
      <c r="AB51" s="116">
        <f>XEL!AB60</f>
        <v>489.13600000000002</v>
      </c>
      <c r="AC51" s="82">
        <f>XEL!AC60</f>
        <v>496.53199999999998</v>
      </c>
      <c r="AD51" s="136">
        <f>XEL!AD60</f>
        <v>499.74599999999998</v>
      </c>
      <c r="AE51" s="135">
        <f>XEL!AE60</f>
        <v>503.45600000000002</v>
      </c>
      <c r="AF51" s="135">
        <f>XEL!AF60</f>
        <v>506.36500000000001</v>
      </c>
      <c r="AG51" s="116">
        <f>XEL!AG60</f>
        <v>506.79899999999998</v>
      </c>
      <c r="AH51" s="82">
        <f>XEL!AH60</f>
        <v>504.11700000000002</v>
      </c>
      <c r="AI51" s="136">
        <f>XEL!AI60</f>
        <v>507.39299999999997</v>
      </c>
      <c r="AJ51" s="135">
        <f>XEL!AJ60</f>
        <v>508.07400000000001</v>
      </c>
      <c r="AK51" s="135">
        <f>XEL!AK60</f>
        <v>508.42700000000002</v>
      </c>
      <c r="AL51" s="116">
        <f>XEL!AL60</f>
        <v>508.738</v>
      </c>
      <c r="AM51" s="82">
        <f>XEL!AM60</f>
        <v>508.16800000000001</v>
      </c>
      <c r="AN51" s="136">
        <f>XEL!AN60</f>
        <v>509.15</v>
      </c>
      <c r="AO51" s="135">
        <f>XEL!AO60</f>
        <v>509.49</v>
      </c>
      <c r="AP51" s="135">
        <f>XEL!AP60</f>
        <v>509.56599999999997</v>
      </c>
      <c r="AQ51" s="116">
        <f>XEL!AQ60</f>
        <v>509.42099999999999</v>
      </c>
      <c r="AR51" s="82">
        <f>XEL!AR60</f>
        <v>509.46499999999997</v>
      </c>
      <c r="AS51" s="136">
        <f>XEL!AS60</f>
        <v>508.774</v>
      </c>
      <c r="AT51" s="135">
        <f>XEL!AT60</f>
        <v>509.13499999999999</v>
      </c>
      <c r="AU51" s="135">
        <f>XEL!AU60</f>
        <v>509.24200000000002</v>
      </c>
      <c r="AV51" s="116">
        <f>XEL!AV60</f>
        <v>509</v>
      </c>
      <c r="AW51" s="82">
        <f>XEL!AW60</f>
        <v>509</v>
      </c>
      <c r="AX51" s="136">
        <f>XEL!AX60</f>
        <v>508.28363361335755</v>
      </c>
      <c r="AY51" s="135">
        <f>XEL!AY60</f>
        <v>508.72093484007269</v>
      </c>
      <c r="AZ51" s="135">
        <f>XEL!AZ60</f>
        <v>509.15823606678782</v>
      </c>
      <c r="BA51" s="116">
        <f>XEL!BA60</f>
        <v>509.59553729350296</v>
      </c>
      <c r="BB51" s="82">
        <f>XEL!BB60</f>
        <v>508.93958545343025</v>
      </c>
      <c r="BC51" s="136">
        <f>XEL!BC60</f>
        <v>510.03283852021809</v>
      </c>
      <c r="BD51" s="135">
        <f>XEL!BD60</f>
        <v>510.47013974693323</v>
      </c>
      <c r="BE51" s="135">
        <f>XEL!BE60</f>
        <v>510.90744097364836</v>
      </c>
      <c r="BF51" s="116">
        <f>XEL!BF60</f>
        <v>511.3447422003635</v>
      </c>
      <c r="BG51" s="82">
        <f>XEL!BG60</f>
        <v>510.6887903602908</v>
      </c>
      <c r="BH51" s="136">
        <f>XEL!BH60</f>
        <v>511.78204342707863</v>
      </c>
      <c r="BI51" s="135">
        <f>XEL!BI60</f>
        <v>512.21934465379377</v>
      </c>
      <c r="BJ51" s="135">
        <f>XEL!BJ60</f>
        <v>512.6566458805089</v>
      </c>
      <c r="BK51" s="116">
        <f>XEL!BK60</f>
        <v>513.09394710722404</v>
      </c>
      <c r="BL51" s="82">
        <f>XEL!BL60</f>
        <v>512.43799526715134</v>
      </c>
      <c r="BM51" s="136">
        <f>XEL!BM60</f>
        <v>513.53124833393917</v>
      </c>
      <c r="BN51" s="135">
        <f>XEL!BN60</f>
        <v>513.96854956065431</v>
      </c>
      <c r="BO51" s="135">
        <f>XEL!BO60</f>
        <v>514.40585078736945</v>
      </c>
      <c r="BP51" s="116">
        <f>XEL!BP60</f>
        <v>514.84315201408458</v>
      </c>
      <c r="BQ51" s="82">
        <f>XEL!BQ60</f>
        <v>514.18720017401188</v>
      </c>
      <c r="BR51" s="44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  <c r="CX51" s="44"/>
      <c r="CY51" s="44"/>
      <c r="CZ51" s="44"/>
    </row>
    <row r="52" spans="1:104" x14ac:dyDescent="0.2">
      <c r="A52" s="44"/>
      <c r="B52" s="44"/>
      <c r="C52" s="86"/>
      <c r="D52" s="42"/>
      <c r="E52" s="120"/>
      <c r="F52" s="139"/>
      <c r="G52" s="139"/>
      <c r="H52" s="119"/>
      <c r="I52" s="42"/>
      <c r="J52" s="120"/>
      <c r="K52" s="139"/>
      <c r="L52" s="139"/>
      <c r="M52" s="119"/>
      <c r="N52" s="42"/>
      <c r="O52" s="120"/>
      <c r="P52" s="139"/>
      <c r="Q52" s="139"/>
      <c r="R52" s="119"/>
      <c r="S52" s="42"/>
      <c r="T52" s="120"/>
      <c r="U52" s="139"/>
      <c r="V52" s="139"/>
      <c r="W52" s="119"/>
      <c r="X52" s="42"/>
      <c r="Y52" s="120"/>
      <c r="Z52" s="139"/>
      <c r="AA52" s="139"/>
      <c r="AB52" s="119"/>
      <c r="AC52" s="42"/>
      <c r="AD52" s="120"/>
      <c r="AE52" s="139"/>
      <c r="AF52" s="139"/>
      <c r="AG52" s="119"/>
      <c r="AH52" s="42"/>
      <c r="AI52" s="120"/>
      <c r="AJ52" s="139"/>
      <c r="AK52" s="139"/>
      <c r="AL52" s="119"/>
      <c r="AM52" s="42"/>
      <c r="AN52" s="120"/>
      <c r="AO52" s="139"/>
      <c r="AP52" s="937"/>
      <c r="AQ52" s="119"/>
      <c r="AR52" s="42"/>
      <c r="AS52" s="120"/>
      <c r="AT52" s="139"/>
      <c r="AU52" s="139"/>
      <c r="AV52" s="119"/>
      <c r="AW52" s="42"/>
      <c r="AX52" s="120"/>
      <c r="AY52" s="139"/>
      <c r="AZ52" s="139"/>
      <c r="BA52" s="119"/>
      <c r="BB52" s="44"/>
      <c r="BC52" s="120"/>
      <c r="BD52" s="139"/>
      <c r="BE52" s="139"/>
      <c r="BF52" s="119"/>
      <c r="BG52" s="44"/>
      <c r="BH52" s="120"/>
      <c r="BI52" s="139"/>
      <c r="BJ52" s="139"/>
      <c r="BK52" s="119"/>
      <c r="BL52" s="44"/>
      <c r="BM52" s="120"/>
      <c r="BN52" s="139"/>
      <c r="BO52" s="139"/>
      <c r="BP52" s="119"/>
      <c r="BQ52" s="44"/>
      <c r="BR52" s="44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  <c r="CX52" s="44"/>
      <c r="CY52" s="44"/>
      <c r="CZ52" s="44"/>
    </row>
    <row r="53" spans="1:104" x14ac:dyDescent="0.2">
      <c r="A53" s="20"/>
      <c r="B53" s="20"/>
      <c r="C53" s="20" t="s">
        <v>246</v>
      </c>
      <c r="D53" s="20"/>
      <c r="E53" s="151">
        <f t="shared" ref="E53:P53" si="99">+E46/E51</f>
        <v>4.7638786538933962E-2</v>
      </c>
      <c r="F53" s="152">
        <f t="shared" si="99"/>
        <v>7.6100235131336506E-3</v>
      </c>
      <c r="G53" s="152">
        <f t="shared" si="99"/>
        <v>2.978010855760041E-2</v>
      </c>
      <c r="H53" s="153">
        <f t="shared" si="99"/>
        <v>1.8638310312704146E-2</v>
      </c>
      <c r="I53" s="154">
        <f t="shared" si="99"/>
        <v>0.10360743668774736</v>
      </c>
      <c r="J53" s="151">
        <f t="shared" si="99"/>
        <v>2.9462885335340496E-2</v>
      </c>
      <c r="K53" s="152">
        <f t="shared" si="99"/>
        <v>5.8184487611634278E-3</v>
      </c>
      <c r="L53" s="152">
        <f t="shared" si="99"/>
        <v>3.8145617388029511E-2</v>
      </c>
      <c r="M53" s="153">
        <f t="shared" si="99"/>
        <v>1.8887179759189309E-2</v>
      </c>
      <c r="N53" s="154">
        <f t="shared" si="99"/>
        <v>9.2252546985159237E-2</v>
      </c>
      <c r="O53" s="151">
        <f t="shared" si="99"/>
        <v>3.0235328855401894E-2</v>
      </c>
      <c r="P53" s="152">
        <f t="shared" si="99"/>
        <v>1.7471730542142939E-2</v>
      </c>
      <c r="Q53" s="152">
        <f>+Q46/Q51</f>
        <v>4.1105673253837252E-2</v>
      </c>
      <c r="R53" s="153">
        <f>+R46/R51</f>
        <v>1.6246706817990637E-2</v>
      </c>
      <c r="S53" s="154">
        <f>+S46/S51</f>
        <v>0.10503382309030827</v>
      </c>
      <c r="T53" s="151">
        <f>+T46/T51</f>
        <v>3.0488017295259205E-2</v>
      </c>
      <c r="U53" s="152">
        <f>+U46/U51</f>
        <v>1.176598356204807E-2</v>
      </c>
      <c r="V53" s="152">
        <f t="shared" ref="V53:AA53" si="100">+V46/V51</f>
        <v>4.5437985337039244E-2</v>
      </c>
      <c r="W53" s="153">
        <f t="shared" si="100"/>
        <v>1.4578767459357125E-2</v>
      </c>
      <c r="X53" s="154">
        <f t="shared" si="100"/>
        <v>0.1022676554048246</v>
      </c>
      <c r="Y53" s="151">
        <f t="shared" si="100"/>
        <v>4.0129981591377532E-2</v>
      </c>
      <c r="Z53" s="152">
        <f t="shared" si="100"/>
        <v>2.1171160317728113E-2</v>
      </c>
      <c r="AA53" s="152">
        <f t="shared" si="100"/>
        <v>4.4145988797551709E-2</v>
      </c>
      <c r="AB53" s="153">
        <f t="shared" ref="AB53:AJ53" si="101">+AB46/AB51</f>
        <v>1.4772987471787E-2</v>
      </c>
      <c r="AC53" s="154">
        <f t="shared" si="101"/>
        <v>0.11976670184398999</v>
      </c>
      <c r="AD53" s="151">
        <f t="shared" si="101"/>
        <v>4.8494635274719713E-2</v>
      </c>
      <c r="AE53" s="152">
        <f t="shared" si="101"/>
        <v>2.387894870654032E-2</v>
      </c>
      <c r="AF53" s="152">
        <f t="shared" si="101"/>
        <v>3.9556446436858829E-2</v>
      </c>
      <c r="AG53" s="153">
        <f t="shared" si="101"/>
        <v>2.8324838841434382E-2</v>
      </c>
      <c r="AH53" s="154">
        <f t="shared" si="101"/>
        <v>0.14013016819508203</v>
      </c>
      <c r="AI53" s="151">
        <f t="shared" si="101"/>
        <v>4.3885114694132511E-2</v>
      </c>
      <c r="AJ53" s="152">
        <f t="shared" si="101"/>
        <v>2.4626333959226442E-2</v>
      </c>
      <c r="AK53" s="152">
        <f t="shared" ref="AK53:AP53" si="102">+AK46/AK51</f>
        <v>5.1594427518601445E-2</v>
      </c>
      <c r="AL53" s="153">
        <f t="shared" si="102"/>
        <v>2.6781958493369978E-2</v>
      </c>
      <c r="AM53" s="154">
        <f t="shared" si="102"/>
        <v>0.14687268777254769</v>
      </c>
      <c r="AN53" s="151">
        <f t="shared" si="102"/>
        <v>3.4628302072080994E-2</v>
      </c>
      <c r="AO53" s="152">
        <f t="shared" si="102"/>
        <v>2.4779681642426728E-2</v>
      </c>
      <c r="AP53" s="939">
        <f t="shared" si="102"/>
        <v>4.7532606178591279E-2</v>
      </c>
      <c r="AQ53" s="153">
        <f t="shared" ref="AQ53:AU53" si="103">+AQ46/AQ51</f>
        <v>2.877384324556689E-2</v>
      </c>
      <c r="AR53" s="154">
        <f t="shared" si="103"/>
        <v>0.13570117672460327</v>
      </c>
      <c r="AS53" s="151">
        <f t="shared" si="103"/>
        <v>4.406475173652738E-2</v>
      </c>
      <c r="AT53" s="152">
        <f t="shared" si="103"/>
        <v>2.7970970371316069E-2</v>
      </c>
      <c r="AU53" s="939">
        <f t="shared" si="103"/>
        <v>4.3839667584370488E-2</v>
      </c>
      <c r="AV53" s="153">
        <f t="shared" ref="AV53:AW53" si="104">+AV46/AV51</f>
        <v>4.0139489194498931E-2</v>
      </c>
      <c r="AW53" s="154">
        <f t="shared" si="104"/>
        <v>0.15602357563850675</v>
      </c>
      <c r="AX53" s="151">
        <f t="shared" ref="AX53:BG53" si="105">+AX46/AX51</f>
        <v>5.1685510117004167E-2</v>
      </c>
      <c r="AY53" s="152">
        <f t="shared" si="105"/>
        <v>3.0414942141111977E-2</v>
      </c>
      <c r="AZ53" s="152">
        <f t="shared" si="105"/>
        <v>4.1944669482037053E-2</v>
      </c>
      <c r="BA53" s="153">
        <f t="shared" si="105"/>
        <v>4.3934715180761252E-2</v>
      </c>
      <c r="BB53" s="154">
        <f t="shared" si="105"/>
        <v>0.16797480063307443</v>
      </c>
      <c r="BC53" s="151">
        <f t="shared" si="105"/>
        <v>5.5124896835359954E-2</v>
      </c>
      <c r="BD53" s="152">
        <f t="shared" si="105"/>
        <v>3.1678005552218093E-2</v>
      </c>
      <c r="BE53" s="152">
        <f t="shared" si="105"/>
        <v>4.2613987621725767E-2</v>
      </c>
      <c r="BF53" s="153">
        <f t="shared" si="105"/>
        <v>4.5653142542480186E-2</v>
      </c>
      <c r="BG53" s="154">
        <f t="shared" si="105"/>
        <v>0.17506254882482131</v>
      </c>
      <c r="BH53" s="151">
        <f t="shared" ref="BH53:BQ53" si="106">+BH46/BH51</f>
        <v>5.8679574065310949E-2</v>
      </c>
      <c r="BI53" s="152">
        <f t="shared" si="106"/>
        <v>3.349696110942315E-2</v>
      </c>
      <c r="BJ53" s="152">
        <f t="shared" si="106"/>
        <v>4.4684217096061588E-2</v>
      </c>
      <c r="BK53" s="153">
        <f t="shared" si="106"/>
        <v>4.8689198005326964E-2</v>
      </c>
      <c r="BL53" s="154">
        <f t="shared" si="106"/>
        <v>0.18554193544269065</v>
      </c>
      <c r="BM53" s="151">
        <f t="shared" si="106"/>
        <v>6.3169885501990986E-2</v>
      </c>
      <c r="BN53" s="152">
        <f t="shared" si="106"/>
        <v>3.6825429309698073E-2</v>
      </c>
      <c r="BO53" s="152">
        <f t="shared" si="106"/>
        <v>4.786948392064487E-2</v>
      </c>
      <c r="BP53" s="153">
        <f t="shared" si="106"/>
        <v>5.2835484301782039E-2</v>
      </c>
      <c r="BQ53" s="154">
        <f t="shared" si="106"/>
        <v>0.20069179569688314</v>
      </c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0"/>
      <c r="CR53" s="20"/>
      <c r="CS53" s="20"/>
      <c r="CT53" s="20"/>
      <c r="CU53" s="20"/>
      <c r="CV53" s="20"/>
      <c r="CW53" s="20"/>
      <c r="CX53" s="20"/>
      <c r="CY53" s="20"/>
      <c r="CZ53" s="20"/>
    </row>
    <row r="54" spans="1:104" x14ac:dyDescent="0.2">
      <c r="A54" s="20"/>
      <c r="C54" s="155" t="s">
        <v>247</v>
      </c>
      <c r="D54" s="156"/>
      <c r="E54" s="157">
        <f t="shared" ref="E54:P54" si="107">+E48/E51</f>
        <v>4.7638786538933962E-2</v>
      </c>
      <c r="F54" s="76">
        <f t="shared" si="107"/>
        <v>7.6100235131336506E-3</v>
      </c>
      <c r="G54" s="76">
        <f t="shared" si="107"/>
        <v>2.978010855760041E-2</v>
      </c>
      <c r="H54" s="77">
        <f t="shared" si="107"/>
        <v>1.8638310312704146E-2</v>
      </c>
      <c r="I54" s="158">
        <f t="shared" si="107"/>
        <v>0.10360743668774736</v>
      </c>
      <c r="J54" s="157">
        <f t="shared" si="107"/>
        <v>2.9462885335340496E-2</v>
      </c>
      <c r="K54" s="76">
        <f t="shared" si="107"/>
        <v>5.8184487611634278E-3</v>
      </c>
      <c r="L54" s="76">
        <f t="shared" si="107"/>
        <v>3.8145617388029511E-2</v>
      </c>
      <c r="M54" s="77">
        <f t="shared" si="107"/>
        <v>1.8887179759189309E-2</v>
      </c>
      <c r="N54" s="158">
        <f t="shared" si="107"/>
        <v>9.2252546985159237E-2</v>
      </c>
      <c r="O54" s="157">
        <f t="shared" si="107"/>
        <v>3.0235328855401894E-2</v>
      </c>
      <c r="P54" s="76">
        <f t="shared" si="107"/>
        <v>1.7471730542142939E-2</v>
      </c>
      <c r="Q54" s="76">
        <f>+Q48/Q51</f>
        <v>4.1105673253837252E-2</v>
      </c>
      <c r="R54" s="77">
        <f>+R48/R51</f>
        <v>1.6246706817990637E-2</v>
      </c>
      <c r="S54" s="158">
        <f>+S48/S51</f>
        <v>0.10503382309030827</v>
      </c>
      <c r="T54" s="157">
        <f>+T48/T51</f>
        <v>3.0488017295259205E-2</v>
      </c>
      <c r="U54" s="76">
        <f>+U48/U51</f>
        <v>1.176598356204807E-2</v>
      </c>
      <c r="V54" s="76">
        <f t="shared" ref="V54:AA54" si="108">+V48/V51</f>
        <v>4.5437985337039244E-2</v>
      </c>
      <c r="W54" s="77">
        <f t="shared" si="108"/>
        <v>1.4578767459357125E-2</v>
      </c>
      <c r="X54" s="158">
        <f t="shared" si="108"/>
        <v>0.1022676554048246</v>
      </c>
      <c r="Y54" s="157">
        <f t="shared" si="108"/>
        <v>4.0129981591377532E-2</v>
      </c>
      <c r="Z54" s="76">
        <f t="shared" si="108"/>
        <v>2.1171160317728113E-2</v>
      </c>
      <c r="AA54" s="76">
        <f t="shared" si="108"/>
        <v>4.4145988797551709E-2</v>
      </c>
      <c r="AB54" s="77">
        <f t="shared" ref="AB54:AJ54" si="109">+AB48/AB51</f>
        <v>1.4772987471787E-2</v>
      </c>
      <c r="AC54" s="158">
        <f t="shared" si="109"/>
        <v>0.11976670184398999</v>
      </c>
      <c r="AD54" s="157">
        <f t="shared" si="109"/>
        <v>4.8494635274719713E-2</v>
      </c>
      <c r="AE54" s="76">
        <f t="shared" si="109"/>
        <v>2.387894870654032E-2</v>
      </c>
      <c r="AF54" s="76">
        <f t="shared" si="109"/>
        <v>3.9556446436858829E-2</v>
      </c>
      <c r="AG54" s="77">
        <f t="shared" si="109"/>
        <v>2.8324838841434382E-2</v>
      </c>
      <c r="AH54" s="158">
        <f t="shared" si="109"/>
        <v>0.14013016819508203</v>
      </c>
      <c r="AI54" s="157">
        <f t="shared" si="109"/>
        <v>4.3885114694132511E-2</v>
      </c>
      <c r="AJ54" s="76">
        <f t="shared" si="109"/>
        <v>2.4626333959226442E-2</v>
      </c>
      <c r="AK54" s="76">
        <f t="shared" ref="AK54:AP54" si="110">+AK48/AK51</f>
        <v>5.1594427518601445E-2</v>
      </c>
      <c r="AL54" s="77">
        <f t="shared" si="110"/>
        <v>2.6781958493369978E-2</v>
      </c>
      <c r="AM54" s="158">
        <f t="shared" si="110"/>
        <v>0.14687268777254769</v>
      </c>
      <c r="AN54" s="157">
        <f t="shared" si="110"/>
        <v>3.4628302072080994E-2</v>
      </c>
      <c r="AO54" s="76">
        <f t="shared" si="110"/>
        <v>2.4779681642426728E-2</v>
      </c>
      <c r="AP54" s="940">
        <f t="shared" si="110"/>
        <v>4.7532606178591279E-2</v>
      </c>
      <c r="AQ54" s="77">
        <f t="shared" ref="AQ54:AU54" si="111">+AQ48/AQ51</f>
        <v>2.877384324556689E-2</v>
      </c>
      <c r="AR54" s="158">
        <f t="shared" si="111"/>
        <v>0.13570117672460327</v>
      </c>
      <c r="AS54" s="157">
        <f t="shared" si="111"/>
        <v>4.406475173652738E-2</v>
      </c>
      <c r="AT54" s="76">
        <f t="shared" si="111"/>
        <v>2.7970970371316069E-2</v>
      </c>
      <c r="AU54" s="940">
        <f t="shared" si="111"/>
        <v>4.3839667584370488E-2</v>
      </c>
      <c r="AV54" s="77">
        <f t="shared" ref="AV54:AW54" si="112">+AV48/AV51</f>
        <v>4.0139489194498931E-2</v>
      </c>
      <c r="AW54" s="158">
        <f t="shared" si="112"/>
        <v>0.15602357563850675</v>
      </c>
      <c r="AX54" s="157">
        <f t="shared" ref="AX54:BG54" si="113">+AX48/AX51</f>
        <v>5.1685510117004167E-2</v>
      </c>
      <c r="AY54" s="76">
        <f t="shared" si="113"/>
        <v>3.0414942141111977E-2</v>
      </c>
      <c r="AZ54" s="76">
        <f t="shared" si="113"/>
        <v>4.1944669482037053E-2</v>
      </c>
      <c r="BA54" s="77">
        <f t="shared" si="113"/>
        <v>4.3934715180761252E-2</v>
      </c>
      <c r="BB54" s="158">
        <f t="shared" si="113"/>
        <v>0.16797480063307443</v>
      </c>
      <c r="BC54" s="157">
        <f t="shared" si="113"/>
        <v>5.5124896835359954E-2</v>
      </c>
      <c r="BD54" s="76">
        <f t="shared" si="113"/>
        <v>3.1678005552218093E-2</v>
      </c>
      <c r="BE54" s="76">
        <f t="shared" si="113"/>
        <v>4.2613987621725767E-2</v>
      </c>
      <c r="BF54" s="77">
        <f t="shared" si="113"/>
        <v>4.5653142542480186E-2</v>
      </c>
      <c r="BG54" s="158">
        <f t="shared" si="113"/>
        <v>0.17506254882482131</v>
      </c>
      <c r="BH54" s="157">
        <f t="shared" ref="BH54:BQ54" si="114">+BH48/BH51</f>
        <v>5.8679574065310949E-2</v>
      </c>
      <c r="BI54" s="76">
        <f t="shared" si="114"/>
        <v>3.349696110942315E-2</v>
      </c>
      <c r="BJ54" s="76">
        <f t="shared" si="114"/>
        <v>4.4684217096061588E-2</v>
      </c>
      <c r="BK54" s="77">
        <f t="shared" si="114"/>
        <v>4.8689198005326964E-2</v>
      </c>
      <c r="BL54" s="158">
        <f t="shared" si="114"/>
        <v>0.18554193544269065</v>
      </c>
      <c r="BM54" s="157">
        <f t="shared" si="114"/>
        <v>6.3169885501990986E-2</v>
      </c>
      <c r="BN54" s="76">
        <f t="shared" si="114"/>
        <v>3.6825429309698073E-2</v>
      </c>
      <c r="BO54" s="76">
        <f t="shared" si="114"/>
        <v>4.786948392064487E-2</v>
      </c>
      <c r="BP54" s="77">
        <f t="shared" si="114"/>
        <v>5.2835484301782039E-2</v>
      </c>
      <c r="BQ54" s="158">
        <f t="shared" si="114"/>
        <v>0.20069179569688314</v>
      </c>
      <c r="BR54" s="271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</row>
    <row r="55" spans="1:104" x14ac:dyDescent="0.2">
      <c r="A55" s="20"/>
      <c r="B55" s="20"/>
      <c r="C55" s="45" t="s">
        <v>144</v>
      </c>
      <c r="D55" s="20"/>
      <c r="E55" s="254"/>
      <c r="F55" s="255"/>
      <c r="G55" s="255"/>
      <c r="H55" s="256"/>
      <c r="I55" s="79"/>
      <c r="J55" s="254">
        <f>J54/E54-1</f>
        <v>-0.38153577209064227</v>
      </c>
      <c r="K55" s="255">
        <f>K54/F54-1</f>
        <v>-0.2354230244989729</v>
      </c>
      <c r="L55" s="255">
        <f>L54/G54-1</f>
        <v>0.28090927923411058</v>
      </c>
      <c r="M55" s="256">
        <f>M54/H54-1</f>
        <v>1.3352575545194645E-2</v>
      </c>
      <c r="N55" s="272">
        <f>N54/I54-1</f>
        <v>-0.10959531540973788</v>
      </c>
      <c r="O55" s="254">
        <f t="shared" ref="O55:AJ55" si="115">O54/J54-1</f>
        <v>2.6217510989490878E-2</v>
      </c>
      <c r="P55" s="255">
        <f t="shared" si="115"/>
        <v>2.0028159152594101</v>
      </c>
      <c r="Q55" s="255">
        <f t="shared" si="115"/>
        <v>7.7598845384965198E-2</v>
      </c>
      <c r="R55" s="256">
        <f t="shared" si="115"/>
        <v>-0.13980239373292269</v>
      </c>
      <c r="S55" s="272">
        <f t="shared" si="115"/>
        <v>0.13854659326864094</v>
      </c>
      <c r="T55" s="254">
        <f t="shared" si="115"/>
        <v>8.3573901598945621E-3</v>
      </c>
      <c r="U55" s="255">
        <f t="shared" si="115"/>
        <v>-0.32657022533241575</v>
      </c>
      <c r="V55" s="255">
        <f t="shared" si="115"/>
        <v>0.10539450494944913</v>
      </c>
      <c r="W55" s="256">
        <f>W54/R54-1</f>
        <v>-0.10266322752784185</v>
      </c>
      <c r="X55" s="272">
        <f>X54/S54-1</f>
        <v>-2.6335970681609089E-2</v>
      </c>
      <c r="Y55" s="254">
        <f t="shared" si="115"/>
        <v>0.31625422547951731</v>
      </c>
      <c r="Z55" s="255">
        <f>Z54/U54-1</f>
        <v>0.79935321225647793</v>
      </c>
      <c r="AA55" s="255">
        <f>AA54/V54-1</f>
        <v>-2.8434283120258641E-2</v>
      </c>
      <c r="AB55" s="256">
        <f>AB54/W54-1</f>
        <v>1.3322114710405009E-2</v>
      </c>
      <c r="AC55" s="272">
        <f>AC54/X54-1</f>
        <v>0.17111027303692206</v>
      </c>
      <c r="AD55" s="254">
        <f t="shared" si="115"/>
        <v>0.20843901122395336</v>
      </c>
      <c r="AE55" s="255">
        <f t="shared" si="115"/>
        <v>0.1278998575503103</v>
      </c>
      <c r="AF55" s="255">
        <f>AF54/AA54-1</f>
        <v>-0.10396283978913645</v>
      </c>
      <c r="AG55" s="256">
        <f>AG54/AB54-1</f>
        <v>0.91733993517074963</v>
      </c>
      <c r="AH55" s="272">
        <f>AH54/AC54-1</f>
        <v>0.17002610940741958</v>
      </c>
      <c r="AI55" s="254">
        <f t="shared" si="115"/>
        <v>-9.5052175451459608E-2</v>
      </c>
      <c r="AJ55" s="255">
        <f t="shared" si="115"/>
        <v>3.1298917798731063E-2</v>
      </c>
      <c r="AK55" s="255">
        <f t="shared" ref="AK55:AP55" si="116">AK54/AF54-1</f>
        <v>0.30432412833033418</v>
      </c>
      <c r="AL55" s="256">
        <f t="shared" si="116"/>
        <v>-5.4470931209939843E-2</v>
      </c>
      <c r="AM55" s="272">
        <f t="shared" si="116"/>
        <v>4.8116117066805186E-2</v>
      </c>
      <c r="AN55" s="254">
        <f t="shared" si="116"/>
        <v>-0.21093285699647868</v>
      </c>
      <c r="AO55" s="255">
        <f t="shared" si="116"/>
        <v>6.2269797629717072E-3</v>
      </c>
      <c r="AP55" s="941">
        <f t="shared" si="116"/>
        <v>-7.872596974829793E-2</v>
      </c>
      <c r="AQ55" s="256">
        <f t="shared" ref="AQ55:AU55" si="117">AQ54/AL54-1</f>
        <v>7.4374125876194297E-2</v>
      </c>
      <c r="AR55" s="272">
        <f t="shared" si="117"/>
        <v>-7.6062549255209499E-2</v>
      </c>
      <c r="AS55" s="254">
        <f t="shared" si="117"/>
        <v>0.27250685421433096</v>
      </c>
      <c r="AT55" s="255">
        <f t="shared" si="117"/>
        <v>0.12878651045400646</v>
      </c>
      <c r="AU55" s="941">
        <f t="shared" si="117"/>
        <v>-7.7692743805074405E-2</v>
      </c>
      <c r="AV55" s="256">
        <f t="shared" ref="AV55" si="118">AV54/AQ54-1</f>
        <v>0.39499923079212285</v>
      </c>
      <c r="AW55" s="272">
        <f t="shared" ref="AW55" si="119">AW54/AR54-1</f>
        <v>0.14975845754931405</v>
      </c>
      <c r="AX55" s="254">
        <f t="shared" ref="AX55:BG55" si="120">AX54/AS54-1</f>
        <v>0.17294454365799994</v>
      </c>
      <c r="AY55" s="255">
        <f t="shared" si="120"/>
        <v>8.7375294362407097E-2</v>
      </c>
      <c r="AZ55" s="255">
        <f t="shared" si="120"/>
        <v>-4.3225649434646463E-2</v>
      </c>
      <c r="BA55" s="256">
        <f t="shared" si="120"/>
        <v>9.45509288340034E-2</v>
      </c>
      <c r="BB55" s="272">
        <f t="shared" si="120"/>
        <v>7.6598840564054527E-2</v>
      </c>
      <c r="BC55" s="254">
        <f t="shared" si="120"/>
        <v>6.6544505618108429E-2</v>
      </c>
      <c r="BD55" s="255">
        <f t="shared" si="120"/>
        <v>4.1527726906270601E-2</v>
      </c>
      <c r="BE55" s="255">
        <f t="shared" si="120"/>
        <v>1.5957168049097525E-2</v>
      </c>
      <c r="BF55" s="256">
        <f t="shared" si="120"/>
        <v>3.9113201363631944E-2</v>
      </c>
      <c r="BG55" s="272">
        <f t="shared" si="120"/>
        <v>4.2195306468792326E-2</v>
      </c>
      <c r="BH55" s="254">
        <f t="shared" ref="BH55:BQ55" si="121">BH54/BC54-1</f>
        <v>6.4484061359201261E-2</v>
      </c>
      <c r="BI55" s="255">
        <f t="shared" si="121"/>
        <v>5.7420141372432232E-2</v>
      </c>
      <c r="BJ55" s="255">
        <f t="shared" si="121"/>
        <v>4.8580984551663153E-2</v>
      </c>
      <c r="BK55" s="256">
        <f t="shared" si="121"/>
        <v>6.6502661016637266E-2</v>
      </c>
      <c r="BL55" s="272">
        <f t="shared" si="121"/>
        <v>5.9860813681832603E-2</v>
      </c>
      <c r="BM55" s="254">
        <f t="shared" si="121"/>
        <v>7.6522563570115221E-2</v>
      </c>
      <c r="BN55" s="255">
        <f t="shared" si="121"/>
        <v>9.9366273537529359E-2</v>
      </c>
      <c r="BO55" s="255">
        <f t="shared" si="121"/>
        <v>7.1283934945881144E-2</v>
      </c>
      <c r="BP55" s="256">
        <f t="shared" si="121"/>
        <v>8.5158237685521998E-2</v>
      </c>
      <c r="BQ55" s="272">
        <f t="shared" si="121"/>
        <v>8.1651946866059921E-2</v>
      </c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</row>
    <row r="56" spans="1:104" x14ac:dyDescent="0.2">
      <c r="C56" s="26"/>
      <c r="E56" s="273"/>
      <c r="F56" s="274"/>
      <c r="G56" s="274"/>
      <c r="H56" s="275"/>
      <c r="I56" s="169"/>
      <c r="J56" s="273"/>
      <c r="K56" s="274"/>
      <c r="L56" s="274"/>
      <c r="M56" s="275"/>
      <c r="N56" s="169"/>
      <c r="O56" s="273"/>
      <c r="P56" s="274"/>
      <c r="Q56" s="680"/>
      <c r="R56" s="684"/>
      <c r="S56" s="55"/>
      <c r="T56" s="335"/>
      <c r="U56" s="680"/>
      <c r="V56" s="680"/>
      <c r="W56" s="684"/>
      <c r="X56" s="55"/>
      <c r="Y56" s="335"/>
      <c r="Z56" s="137"/>
      <c r="AA56" s="137"/>
      <c r="AB56" s="275"/>
      <c r="AC56" s="169"/>
      <c r="AD56" s="273"/>
      <c r="AE56" s="274"/>
      <c r="AF56" s="274"/>
      <c r="AG56" s="275"/>
      <c r="AH56" s="169"/>
      <c r="AI56" s="273"/>
      <c r="AJ56" s="274"/>
      <c r="AK56" s="274"/>
      <c r="AL56" s="275"/>
      <c r="AM56" s="169"/>
      <c r="AN56" s="273"/>
      <c r="AO56" s="274"/>
      <c r="AP56" s="274"/>
      <c r="AQ56" s="275"/>
      <c r="AR56" s="169"/>
      <c r="AS56" s="273"/>
      <c r="AT56" s="274"/>
      <c r="AU56" s="274"/>
      <c r="AV56" s="275"/>
      <c r="AW56" s="169"/>
      <c r="AX56" s="273"/>
      <c r="AY56" s="274"/>
      <c r="AZ56" s="274"/>
      <c r="BA56" s="275"/>
      <c r="BB56" s="169"/>
      <c r="BC56" s="273"/>
      <c r="BD56" s="274"/>
      <c r="BE56" s="274"/>
      <c r="BF56" s="275"/>
      <c r="BG56" s="169"/>
      <c r="BH56" s="273"/>
      <c r="BI56" s="274"/>
      <c r="BJ56" s="274"/>
      <c r="BK56" s="275"/>
      <c r="BL56" s="169"/>
      <c r="BM56" s="273"/>
      <c r="BN56" s="274"/>
      <c r="BO56" s="274"/>
      <c r="BP56" s="275"/>
      <c r="BQ56" s="169"/>
    </row>
    <row r="57" spans="1:104" x14ac:dyDescent="0.2">
      <c r="C57" s="26"/>
      <c r="E57" s="273"/>
      <c r="F57" s="274"/>
      <c r="G57" s="274"/>
      <c r="H57" s="275"/>
      <c r="I57" s="169"/>
      <c r="J57" s="273"/>
      <c r="K57" s="274"/>
      <c r="L57" s="274"/>
      <c r="M57" s="275"/>
      <c r="N57" s="169"/>
      <c r="O57" s="273"/>
      <c r="P57" s="274"/>
      <c r="Q57" s="274"/>
      <c r="R57" s="275"/>
      <c r="S57" s="276"/>
      <c r="T57" s="273"/>
      <c r="U57" s="274"/>
      <c r="V57" s="274"/>
      <c r="W57" s="275"/>
      <c r="X57" s="82"/>
      <c r="Y57" s="136"/>
      <c r="Z57" s="137"/>
      <c r="AA57" s="137"/>
      <c r="AB57" s="116"/>
      <c r="AC57" s="82"/>
      <c r="AD57" s="136"/>
      <c r="AE57" s="137"/>
      <c r="AF57" s="137"/>
      <c r="AG57" s="116"/>
      <c r="AH57" s="82"/>
      <c r="AI57" s="136"/>
      <c r="AJ57" s="137"/>
      <c r="AK57" s="137"/>
      <c r="AL57" s="116"/>
      <c r="AM57" s="82"/>
      <c r="AN57" s="136"/>
      <c r="AO57" s="137"/>
      <c r="AP57" s="137"/>
      <c r="AQ57" s="116"/>
      <c r="AR57" s="82"/>
      <c r="AS57" s="136"/>
      <c r="AT57" s="137"/>
      <c r="AU57" s="137"/>
      <c r="AV57" s="116"/>
      <c r="AW57" s="82"/>
      <c r="AX57" s="760"/>
      <c r="AY57" s="998"/>
      <c r="AZ57" s="998"/>
      <c r="BA57" s="999"/>
      <c r="BB57" s="82"/>
      <c r="BC57" s="136"/>
      <c r="BD57" s="137"/>
      <c r="BE57" s="137"/>
      <c r="BF57" s="116"/>
      <c r="BG57" s="82"/>
      <c r="BH57" s="136"/>
      <c r="BI57" s="137"/>
      <c r="BJ57" s="137"/>
      <c r="BK57" s="116"/>
      <c r="BL57" s="82"/>
      <c r="BM57" s="136"/>
      <c r="BN57" s="137"/>
      <c r="BO57" s="137"/>
      <c r="BP57" s="116"/>
      <c r="BQ57" s="82"/>
    </row>
    <row r="58" spans="1:104" x14ac:dyDescent="0.2">
      <c r="B58" s="16" t="s">
        <v>248</v>
      </c>
      <c r="C58" s="16"/>
      <c r="D58" s="17"/>
      <c r="E58" s="273"/>
      <c r="F58" s="274"/>
      <c r="G58" s="274"/>
      <c r="H58" s="275"/>
      <c r="I58" s="169"/>
      <c r="J58" s="273"/>
      <c r="K58" s="274"/>
      <c r="L58" s="274"/>
      <c r="M58" s="275"/>
      <c r="N58" s="169"/>
      <c r="O58" s="273"/>
      <c r="P58" s="274"/>
      <c r="Q58" s="274"/>
      <c r="R58" s="275"/>
      <c r="S58" s="169"/>
      <c r="T58" s="273"/>
      <c r="U58" s="274"/>
      <c r="V58" s="274"/>
      <c r="W58" s="275"/>
      <c r="X58" s="169"/>
      <c r="Y58" s="273"/>
      <c r="Z58" s="274"/>
      <c r="AA58" s="274"/>
      <c r="AB58" s="275"/>
      <c r="AC58" s="169"/>
      <c r="AD58" s="273"/>
      <c r="AE58" s="274"/>
      <c r="AF58" s="274"/>
      <c r="AG58" s="275"/>
      <c r="AH58" s="169"/>
      <c r="AI58" s="273"/>
      <c r="AJ58" s="274"/>
      <c r="AK58" s="274"/>
      <c r="AL58" s="275"/>
      <c r="AM58" s="169"/>
      <c r="AN58" s="273"/>
      <c r="AO58" s="274"/>
      <c r="AP58" s="274"/>
      <c r="AQ58" s="275"/>
      <c r="AR58" s="169"/>
      <c r="AS58" s="273"/>
      <c r="AT58" s="274"/>
      <c r="AU58" s="274"/>
      <c r="AV58" s="275"/>
      <c r="AW58" s="169"/>
      <c r="AX58" s="273"/>
      <c r="AY58" s="274"/>
      <c r="AZ58" s="274"/>
      <c r="BA58" s="275"/>
      <c r="BB58" s="169"/>
      <c r="BC58" s="273"/>
      <c r="BD58" s="274"/>
      <c r="BE58" s="274"/>
      <c r="BF58" s="275"/>
      <c r="BG58" s="169"/>
      <c r="BH58" s="273"/>
      <c r="BI58" s="274"/>
      <c r="BJ58" s="274"/>
      <c r="BK58" s="275"/>
      <c r="BL58" s="169"/>
      <c r="BM58" s="273"/>
      <c r="BN58" s="274"/>
      <c r="BO58" s="274"/>
      <c r="BP58" s="275"/>
      <c r="BQ58" s="169"/>
    </row>
    <row r="59" spans="1:104" x14ac:dyDescent="0.2">
      <c r="C59" s="277" t="s">
        <v>427</v>
      </c>
      <c r="D59" s="278"/>
      <c r="E59" s="279"/>
      <c r="F59" s="280"/>
      <c r="G59" s="280"/>
      <c r="H59" s="281"/>
      <c r="I59" s="282"/>
      <c r="J59" s="283">
        <f t="shared" ref="J59:P59" si="122">+J98</f>
        <v>-0.11387337962513089</v>
      </c>
      <c r="K59" s="284">
        <f t="shared" si="122"/>
        <v>1.8118743643836366E-2</v>
      </c>
      <c r="L59" s="284">
        <f t="shared" si="122"/>
        <v>0.11107730820145267</v>
      </c>
      <c r="M59" s="285">
        <f t="shared" si="122"/>
        <v>1.4807209144336309E-2</v>
      </c>
      <c r="N59" s="286">
        <f t="shared" si="122"/>
        <v>2.0904642413410723E-3</v>
      </c>
      <c r="O59" s="283">
        <f t="shared" si="122"/>
        <v>2.5765421059128712E-2</v>
      </c>
      <c r="P59" s="284">
        <f t="shared" si="122"/>
        <v>2.6184338790754547E-2</v>
      </c>
      <c r="Q59" s="284">
        <f t="shared" ref="Q59:Y59" si="123">+Q98</f>
        <v>7.1822513239161445E-3</v>
      </c>
      <c r="R59" s="285">
        <f t="shared" si="123"/>
        <v>7.4375320350572593E-4</v>
      </c>
      <c r="S59" s="286">
        <f t="shared" si="123"/>
        <v>1.4642922766697541E-2</v>
      </c>
      <c r="T59" s="283">
        <f t="shared" si="123"/>
        <v>-2.2757123360811482E-2</v>
      </c>
      <c r="U59" s="284">
        <f t="shared" si="123"/>
        <v>2.3708183865295496E-2</v>
      </c>
      <c r="V59" s="284">
        <f t="shared" si="123"/>
        <v>2.3157259493837845E-2</v>
      </c>
      <c r="W59" s="285">
        <f t="shared" si="123"/>
        <v>5.9424302083372904E-3</v>
      </c>
      <c r="X59" s="286">
        <f t="shared" si="123"/>
        <v>7.3311495866479337E-3</v>
      </c>
      <c r="Y59" s="283">
        <f t="shared" si="123"/>
        <v>2.9085708070208716E-2</v>
      </c>
      <c r="Z59" s="284">
        <f t="shared" ref="Z59:AE59" si="124">+Z98</f>
        <v>5.5139210134087513E-3</v>
      </c>
      <c r="AA59" s="284">
        <f t="shared" si="124"/>
        <v>-1.4804536935181023E-2</v>
      </c>
      <c r="AB59" s="285">
        <f t="shared" si="124"/>
        <v>4.6628319203826374E-2</v>
      </c>
      <c r="AC59" s="286">
        <f t="shared" si="124"/>
        <v>1.5949210281821058E-2</v>
      </c>
      <c r="AD59" s="283">
        <f t="shared" si="124"/>
        <v>7.0335934453236382E-2</v>
      </c>
      <c r="AE59" s="284">
        <f t="shared" si="124"/>
        <v>3.6859216497423741E-2</v>
      </c>
      <c r="AF59" s="284">
        <f t="shared" ref="AF59:AK59" si="125">+AF98</f>
        <v>-1.2203301953690793E-2</v>
      </c>
      <c r="AG59" s="285">
        <f t="shared" si="125"/>
        <v>2.3275258215453176E-2</v>
      </c>
      <c r="AH59" s="286">
        <f t="shared" si="125"/>
        <v>2.8959000152415815E-2</v>
      </c>
      <c r="AI59" s="283">
        <f t="shared" si="125"/>
        <v>-1.5965362127852267E-2</v>
      </c>
      <c r="AJ59" s="284">
        <f t="shared" si="125"/>
        <v>-2.8321168800170771E-2</v>
      </c>
      <c r="AK59" s="284">
        <f t="shared" si="125"/>
        <v>2.9953378787495266E-2</v>
      </c>
      <c r="AL59" s="285">
        <f t="shared" ref="AL59:AR59" si="126">+AL98</f>
        <v>-4.8120261773658357E-2</v>
      </c>
      <c r="AM59" s="286">
        <f t="shared" si="126"/>
        <v>-1.5405125166641942E-2</v>
      </c>
      <c r="AN59" s="283">
        <f t="shared" si="126"/>
        <v>-2.9642920378736504E-2</v>
      </c>
      <c r="AO59" s="284">
        <f t="shared" si="126"/>
        <v>1.0199286218035342E-2</v>
      </c>
      <c r="AP59" s="284">
        <f t="shared" si="126"/>
        <v>6.5827022672673152E-3</v>
      </c>
      <c r="AQ59" s="285">
        <f t="shared" si="126"/>
        <v>1.1199934645903076E-2</v>
      </c>
      <c r="AR59" s="286">
        <f t="shared" si="126"/>
        <v>-9.0266285542350833E-4</v>
      </c>
      <c r="AS59" s="283">
        <f t="shared" ref="AS59:AW59" si="127">+AS98</f>
        <v>-9.4765208853151428E-3</v>
      </c>
      <c r="AT59" s="284">
        <f t="shared" si="127"/>
        <v>2.7590483180599978E-2</v>
      </c>
      <c r="AU59" s="284">
        <f t="shared" si="127"/>
        <v>-7.9438459316167886E-3</v>
      </c>
      <c r="AV59" s="285">
        <f t="shared" si="127"/>
        <v>4.3345716716342686E-2</v>
      </c>
      <c r="AW59" s="286">
        <f t="shared" si="127"/>
        <v>1.2648697485318383E-2</v>
      </c>
      <c r="AX59" s="283">
        <f>+$BB$59-'NSP-MN'!AS113</f>
        <v>1.6580000000000001E-2</v>
      </c>
      <c r="AY59" s="284">
        <f>+$BB$59-'NSP-MN'!AT113</f>
        <v>-5.2199999999999998E-3</v>
      </c>
      <c r="AZ59" s="284">
        <f>+$BB$59-'NSP-MN'!AU113</f>
        <v>7.5799999999999999E-3</v>
      </c>
      <c r="BA59" s="285">
        <f>+$BB$59-'NSP-MN'!AV113</f>
        <v>4.5799999999999999E-3</v>
      </c>
      <c r="BB59" s="287">
        <v>2.5799999999999998E-3</v>
      </c>
      <c r="BC59" s="283">
        <f t="shared" ref="BC59:BF60" si="128">+BD59</f>
        <v>2.5000000000000001E-3</v>
      </c>
      <c r="BD59" s="284">
        <f t="shared" si="128"/>
        <v>2.5000000000000001E-3</v>
      </c>
      <c r="BE59" s="284">
        <f t="shared" si="128"/>
        <v>2.5000000000000001E-3</v>
      </c>
      <c r="BF59" s="285">
        <f t="shared" si="128"/>
        <v>2.5000000000000001E-3</v>
      </c>
      <c r="BG59" s="287">
        <v>2.5000000000000001E-3</v>
      </c>
      <c r="BH59" s="283">
        <f t="shared" ref="BH59:BK60" si="129">+BI59</f>
        <v>2.5000000000000001E-3</v>
      </c>
      <c r="BI59" s="284">
        <f t="shared" si="129"/>
        <v>2.5000000000000001E-3</v>
      </c>
      <c r="BJ59" s="284">
        <f t="shared" si="129"/>
        <v>2.5000000000000001E-3</v>
      </c>
      <c r="BK59" s="285">
        <f t="shared" si="129"/>
        <v>2.5000000000000001E-3</v>
      </c>
      <c r="BL59" s="287">
        <v>2.5000000000000001E-3</v>
      </c>
      <c r="BM59" s="283">
        <f t="shared" ref="BM59:BM60" si="130">+BN59</f>
        <v>2.5000000000000001E-3</v>
      </c>
      <c r="BN59" s="284">
        <f t="shared" ref="BN59:BN60" si="131">+BO59</f>
        <v>2.5000000000000001E-3</v>
      </c>
      <c r="BO59" s="284">
        <f t="shared" ref="BO59:BO60" si="132">+BP59</f>
        <v>2.5000000000000001E-3</v>
      </c>
      <c r="BP59" s="285">
        <f t="shared" ref="BP59:BP60" si="133">+BQ59</f>
        <v>2.5000000000000001E-3</v>
      </c>
      <c r="BQ59" s="287">
        <v>2.5000000000000001E-3</v>
      </c>
      <c r="BR59" s="288"/>
    </row>
    <row r="60" spans="1:104" x14ac:dyDescent="0.2">
      <c r="C60" s="271" t="s">
        <v>428</v>
      </c>
      <c r="E60" s="273"/>
      <c r="F60" s="274"/>
      <c r="G60" s="274"/>
      <c r="H60" s="275"/>
      <c r="I60" s="169"/>
      <c r="J60" s="207">
        <f t="shared" ref="J60:T60" si="134">+J125</f>
        <v>-0.14413428478054913</v>
      </c>
      <c r="K60" s="208">
        <f t="shared" si="134"/>
        <v>-8.7640272412210174E-2</v>
      </c>
      <c r="L60" s="208">
        <f t="shared" si="134"/>
        <v>8.7258418966224216E-2</v>
      </c>
      <c r="M60" s="209">
        <f t="shared" si="134"/>
        <v>0.11989182352875116</v>
      </c>
      <c r="N60" s="88">
        <f t="shared" si="134"/>
        <v>-4.039735099337749E-2</v>
      </c>
      <c r="O60" s="207">
        <f t="shared" si="134"/>
        <v>3.7485944893727474E-2</v>
      </c>
      <c r="P60" s="208">
        <f t="shared" si="134"/>
        <v>0.29920606894391821</v>
      </c>
      <c r="Q60" s="208">
        <f t="shared" si="134"/>
        <v>9.0926700903972035E-2</v>
      </c>
      <c r="R60" s="209">
        <f t="shared" si="134"/>
        <v>-0.16357167268286721</v>
      </c>
      <c r="S60" s="88">
        <f t="shared" si="134"/>
        <v>1.0245792854488567E-2</v>
      </c>
      <c r="T60" s="207">
        <f t="shared" si="134"/>
        <v>-0.14700000000000002</v>
      </c>
      <c r="U60" s="208">
        <f t="shared" ref="U60:AA60" si="135">+U125</f>
        <v>-0.25900000000000001</v>
      </c>
      <c r="V60" s="208">
        <f t="shared" si="135"/>
        <v>-1.2999999999999901E-2</v>
      </c>
      <c r="W60" s="209">
        <f t="shared" si="135"/>
        <v>0.22627920600676843</v>
      </c>
      <c r="X60" s="88">
        <f t="shared" si="135"/>
        <v>-4.8292170257488221E-2</v>
      </c>
      <c r="Y60" s="207">
        <f t="shared" si="135"/>
        <v>0.21700000000000008</v>
      </c>
      <c r="Z60" s="208">
        <f t="shared" si="135"/>
        <v>0.66000000000000036</v>
      </c>
      <c r="AA60" s="208">
        <f t="shared" si="135"/>
        <v>4.8999999999999932E-2</v>
      </c>
      <c r="AB60" s="209">
        <f t="shared" ref="AB60:AI60" si="136">+AB125</f>
        <v>9.9999917351448087E-2</v>
      </c>
      <c r="AC60" s="88">
        <f t="shared" si="136"/>
        <v>0.21362707746673282</v>
      </c>
      <c r="AD60" s="207">
        <f t="shared" si="136"/>
        <v>0.19799999999999995</v>
      </c>
      <c r="AE60" s="208">
        <f t="shared" si="136"/>
        <v>-8.0000000000000071E-3</v>
      </c>
      <c r="AF60" s="208">
        <f t="shared" si="136"/>
        <v>-1.6000000000000125E-2</v>
      </c>
      <c r="AG60" s="209">
        <f t="shared" si="136"/>
        <v>-3.0114871363214002E-2</v>
      </c>
      <c r="AH60" s="88">
        <f t="shared" si="136"/>
        <v>6.7015468607825257E-2</v>
      </c>
      <c r="AI60" s="207">
        <f t="shared" si="136"/>
        <v>-9.2999999999999861E-2</v>
      </c>
      <c r="AJ60" s="208">
        <f t="shared" ref="AJ60:AO60" si="137">+AJ125</f>
        <v>-0.26000000000000012</v>
      </c>
      <c r="AK60" s="208">
        <f t="shared" si="137"/>
        <v>-3.0999999999999917E-2</v>
      </c>
      <c r="AL60" s="209">
        <f t="shared" si="137"/>
        <v>-0.13756701260112947</v>
      </c>
      <c r="AM60" s="88">
        <f t="shared" si="137"/>
        <v>-0.12778748987336375</v>
      </c>
      <c r="AN60" s="207">
        <f t="shared" si="137"/>
        <v>-0.14100000000000001</v>
      </c>
      <c r="AO60" s="208">
        <f t="shared" si="137"/>
        <v>-6.3999999999999946E-2</v>
      </c>
      <c r="AP60" s="208">
        <f t="shared" ref="AP60:AT60" si="138">+AP125</f>
        <v>-0.12799999999999989</v>
      </c>
      <c r="AQ60" s="209">
        <f t="shared" si="138"/>
        <v>0.11580666643381887</v>
      </c>
      <c r="AR60" s="88">
        <f t="shared" si="138"/>
        <v>-5.4947203754399654E-2</v>
      </c>
      <c r="AS60" s="207">
        <f t="shared" si="138"/>
        <v>3.4999999999999698E-2</v>
      </c>
      <c r="AT60" s="208">
        <f t="shared" si="138"/>
        <v>4.2000000000000037E-2</v>
      </c>
      <c r="AU60" s="208">
        <f t="shared" ref="AU60:AW60" si="139">+AU125</f>
        <v>0.1140000000000001</v>
      </c>
      <c r="AV60" s="209">
        <f t="shared" si="139"/>
        <v>0.17274064575959747</v>
      </c>
      <c r="AW60" s="88">
        <f t="shared" si="139"/>
        <v>9.0264845851438125E-2</v>
      </c>
      <c r="AX60" s="207">
        <f>+$BB$60-'NSP-MN'!AS144</f>
        <v>4.8499999999999995E-2</v>
      </c>
      <c r="AY60" s="628">
        <f>+$BB$60-'NSP-MN'!AT144</f>
        <v>2.5000000000000001E-3</v>
      </c>
      <c r="AZ60" s="628">
        <f>+$BB$60-'NSP-MN'!AU144</f>
        <v>-2.5000000000000001E-3</v>
      </c>
      <c r="BA60" s="209">
        <f>+$BB$60-'NSP-MN'!AV144</f>
        <v>7.4999999999999997E-3</v>
      </c>
      <c r="BB60" s="797">
        <v>-2.5000000000000001E-3</v>
      </c>
      <c r="BC60" s="207">
        <f t="shared" si="128"/>
        <v>-2.5000000000000001E-3</v>
      </c>
      <c r="BD60" s="208">
        <f t="shared" si="128"/>
        <v>-2.5000000000000001E-3</v>
      </c>
      <c r="BE60" s="208">
        <f t="shared" si="128"/>
        <v>-2.5000000000000001E-3</v>
      </c>
      <c r="BF60" s="209">
        <f t="shared" si="128"/>
        <v>-2.5000000000000001E-3</v>
      </c>
      <c r="BG60" s="797">
        <v>-2.5000000000000001E-3</v>
      </c>
      <c r="BH60" s="207">
        <f t="shared" si="129"/>
        <v>-2.5000000000000001E-3</v>
      </c>
      <c r="BI60" s="208">
        <f t="shared" si="129"/>
        <v>-2.5000000000000001E-3</v>
      </c>
      <c r="BJ60" s="208">
        <f t="shared" si="129"/>
        <v>-2.5000000000000001E-3</v>
      </c>
      <c r="BK60" s="209">
        <f t="shared" si="129"/>
        <v>-2.5000000000000001E-3</v>
      </c>
      <c r="BL60" s="797">
        <v>-2.5000000000000001E-3</v>
      </c>
      <c r="BM60" s="207">
        <f t="shared" si="130"/>
        <v>-2.5000000000000001E-3</v>
      </c>
      <c r="BN60" s="208">
        <f t="shared" si="131"/>
        <v>-2.5000000000000001E-3</v>
      </c>
      <c r="BO60" s="208">
        <f t="shared" si="132"/>
        <v>-2.5000000000000001E-3</v>
      </c>
      <c r="BP60" s="209">
        <f t="shared" si="133"/>
        <v>-2.5000000000000001E-3</v>
      </c>
      <c r="BQ60" s="797">
        <v>-2.5000000000000001E-3</v>
      </c>
      <c r="BR60" s="288"/>
    </row>
    <row r="61" spans="1:104" x14ac:dyDescent="0.2">
      <c r="C61" s="271"/>
      <c r="E61" s="273"/>
      <c r="F61" s="274"/>
      <c r="G61" s="274"/>
      <c r="H61" s="275"/>
      <c r="I61" s="169"/>
      <c r="J61" s="207"/>
      <c r="K61" s="208"/>
      <c r="L61" s="208"/>
      <c r="M61" s="209"/>
      <c r="N61" s="88"/>
      <c r="O61" s="207"/>
      <c r="P61" s="208"/>
      <c r="Q61" s="208"/>
      <c r="R61" s="209"/>
      <c r="S61" s="36"/>
      <c r="T61" s="207"/>
      <c r="U61" s="208"/>
      <c r="V61" s="208"/>
      <c r="W61" s="209"/>
      <c r="X61" s="36"/>
      <c r="Y61" s="207"/>
      <c r="Z61" s="208"/>
      <c r="AA61" s="208"/>
      <c r="AB61" s="209"/>
      <c r="AC61" s="36"/>
      <c r="AD61" s="207"/>
      <c r="AE61" s="208"/>
      <c r="AF61" s="208"/>
      <c r="AG61" s="209"/>
      <c r="AH61" s="36"/>
      <c r="AI61" s="207"/>
      <c r="AJ61" s="208"/>
      <c r="AK61" s="208"/>
      <c r="AL61" s="209"/>
      <c r="AM61" s="36"/>
      <c r="AN61" s="207"/>
      <c r="AO61" s="208"/>
      <c r="AP61" s="208"/>
      <c r="AQ61" s="209"/>
      <c r="AR61" s="36"/>
      <c r="AS61" s="207"/>
      <c r="AT61" s="208"/>
      <c r="AU61" s="208"/>
      <c r="AV61" s="209"/>
      <c r="AW61" s="36"/>
      <c r="AX61" s="207"/>
      <c r="AY61" s="208"/>
      <c r="AZ61" s="208"/>
      <c r="BA61" s="209"/>
      <c r="BB61" s="36"/>
      <c r="BC61" s="207"/>
      <c r="BD61" s="208"/>
      <c r="BE61" s="208"/>
      <c r="BF61" s="209"/>
      <c r="BG61" s="36"/>
      <c r="BH61" s="207"/>
      <c r="BI61" s="208"/>
      <c r="BJ61" s="208"/>
      <c r="BK61" s="209"/>
      <c r="BL61" s="36"/>
      <c r="BM61" s="207"/>
      <c r="BN61" s="208"/>
      <c r="BO61" s="208"/>
      <c r="BP61" s="209"/>
      <c r="BQ61" s="995"/>
      <c r="BR61" s="288"/>
    </row>
    <row r="62" spans="1:104" x14ac:dyDescent="0.2">
      <c r="A62" s="289"/>
      <c r="B62" s="289"/>
      <c r="C62" s="290" t="s">
        <v>249</v>
      </c>
      <c r="D62" s="289"/>
      <c r="E62" s="291"/>
      <c r="F62" s="292"/>
      <c r="G62" s="292"/>
      <c r="H62" s="293"/>
      <c r="I62" s="289"/>
      <c r="J62" s="291"/>
      <c r="K62" s="292"/>
      <c r="L62" s="292"/>
      <c r="M62" s="293"/>
      <c r="N62" s="289"/>
      <c r="O62" s="294"/>
      <c r="P62" s="295"/>
      <c r="Q62" s="295"/>
      <c r="R62" s="296"/>
      <c r="S62" s="297"/>
      <c r="T62" s="294"/>
      <c r="U62" s="295"/>
      <c r="V62" s="295"/>
      <c r="W62" s="296"/>
      <c r="X62" s="297"/>
      <c r="Y62" s="294"/>
      <c r="Z62" s="295"/>
      <c r="AA62" s="295"/>
      <c r="AB62" s="296"/>
      <c r="AC62" s="297"/>
      <c r="AD62" s="294"/>
      <c r="AE62" s="295"/>
      <c r="AF62" s="295"/>
      <c r="AG62" s="296"/>
      <c r="AH62" s="297"/>
      <c r="AI62" s="294"/>
      <c r="AJ62" s="295"/>
      <c r="AK62" s="295"/>
      <c r="AL62" s="296"/>
      <c r="AM62" s="297"/>
      <c r="AN62" s="294"/>
      <c r="AO62" s="295"/>
      <c r="AP62" s="295"/>
      <c r="AQ62" s="296"/>
      <c r="AR62" s="297"/>
      <c r="AS62" s="294"/>
      <c r="AT62" s="295"/>
      <c r="AU62" s="295"/>
      <c r="AV62" s="296"/>
      <c r="AW62" s="297"/>
      <c r="AX62" s="294">
        <f>BB62*0.23</f>
        <v>2.1620000000000004</v>
      </c>
      <c r="AY62" s="295">
        <f>BB62*0.24</f>
        <v>2.2559999999999998</v>
      </c>
      <c r="AZ62" s="295">
        <f>BB62*0.3</f>
        <v>2.82</v>
      </c>
      <c r="BA62" s="296">
        <f>BB62*0.23</f>
        <v>2.1620000000000004</v>
      </c>
      <c r="BB62" s="803">
        <v>9.4</v>
      </c>
      <c r="BC62" s="294">
        <f>BG62*0.23</f>
        <v>2.5300000000000002</v>
      </c>
      <c r="BD62" s="295">
        <f>BG62*0.24</f>
        <v>2.6399999999999997</v>
      </c>
      <c r="BE62" s="295">
        <f>BG62*0.3</f>
        <v>3.3</v>
      </c>
      <c r="BF62" s="296">
        <f>BG62*0.23</f>
        <v>2.5300000000000002</v>
      </c>
      <c r="BG62" s="297">
        <v>11</v>
      </c>
      <c r="BH62" s="294">
        <f>BL62*0.23</f>
        <v>3.45</v>
      </c>
      <c r="BI62" s="295">
        <f>BL62*0.24</f>
        <v>3.5999999999999996</v>
      </c>
      <c r="BJ62" s="295">
        <f>BL62*0.3</f>
        <v>4.5</v>
      </c>
      <c r="BK62" s="296">
        <f>BL62*0.23</f>
        <v>3.45</v>
      </c>
      <c r="BL62" s="297">
        <v>15</v>
      </c>
      <c r="BM62" s="294">
        <f>BQ62*0.23</f>
        <v>3.22</v>
      </c>
      <c r="BN62" s="295">
        <f>BQ62*0.24</f>
        <v>3.36</v>
      </c>
      <c r="BO62" s="295">
        <f>BQ62*0.3</f>
        <v>4.2</v>
      </c>
      <c r="BP62" s="296">
        <f>BQ62*0.23</f>
        <v>3.22</v>
      </c>
      <c r="BQ62" s="297">
        <v>14</v>
      </c>
      <c r="BR62" s="298"/>
      <c r="BU62" s="289"/>
      <c r="BV62" s="289"/>
      <c r="BW62" s="289"/>
      <c r="BX62" s="289"/>
      <c r="BY62" s="289"/>
      <c r="BZ62" s="289"/>
      <c r="CA62" s="289"/>
      <c r="CB62" s="289"/>
      <c r="CC62" s="289"/>
      <c r="CD62" s="289"/>
      <c r="CE62" s="289"/>
      <c r="CF62" s="289"/>
      <c r="CG62" s="289"/>
      <c r="CH62" s="289"/>
      <c r="CI62" s="289"/>
      <c r="CJ62" s="289"/>
      <c r="CK62" s="289"/>
      <c r="CL62" s="289"/>
      <c r="CM62" s="289"/>
      <c r="CN62" s="289"/>
      <c r="CO62" s="289"/>
      <c r="CP62" s="289"/>
      <c r="CQ62" s="289"/>
      <c r="CR62" s="289"/>
      <c r="CS62" s="289"/>
      <c r="CT62" s="289"/>
      <c r="CU62" s="289"/>
      <c r="CV62" s="289"/>
      <c r="CW62" s="289"/>
      <c r="CX62" s="289"/>
      <c r="CY62" s="289"/>
      <c r="CZ62" s="289"/>
    </row>
    <row r="63" spans="1:104" x14ac:dyDescent="0.2">
      <c r="A63" s="289"/>
      <c r="B63" s="289"/>
      <c r="C63" s="1000" t="s">
        <v>675</v>
      </c>
      <c r="D63" s="289"/>
      <c r="E63" s="291"/>
      <c r="F63" s="292"/>
      <c r="G63" s="292"/>
      <c r="H63" s="293"/>
      <c r="I63" s="289"/>
      <c r="J63" s="291"/>
      <c r="K63" s="292"/>
      <c r="L63" s="292"/>
      <c r="M63" s="293"/>
      <c r="N63" s="289"/>
      <c r="O63" s="294"/>
      <c r="P63" s="295"/>
      <c r="Q63" s="295"/>
      <c r="R63" s="296"/>
      <c r="S63" s="297"/>
      <c r="T63" s="294"/>
      <c r="U63" s="295"/>
      <c r="V63" s="295"/>
      <c r="W63" s="296"/>
      <c r="X63" s="297"/>
      <c r="Y63" s="294"/>
      <c r="Z63" s="295"/>
      <c r="AA63" s="295"/>
      <c r="AB63" s="296"/>
      <c r="AC63" s="297"/>
      <c r="AD63" s="294"/>
      <c r="AE63" s="295"/>
      <c r="AF63" s="295"/>
      <c r="AG63" s="296"/>
      <c r="AH63" s="297"/>
      <c r="AI63" s="294"/>
      <c r="AJ63" s="295"/>
      <c r="AK63" s="295"/>
      <c r="AL63" s="296"/>
      <c r="AM63" s="297"/>
      <c r="AN63" s="294"/>
      <c r="AO63" s="295"/>
      <c r="AP63" s="295"/>
      <c r="AQ63" s="296"/>
      <c r="AR63" s="297"/>
      <c r="AS63" s="294"/>
      <c r="AT63" s="295"/>
      <c r="AU63" s="295"/>
      <c r="AV63" s="296"/>
      <c r="AW63" s="297"/>
      <c r="AX63" s="294">
        <f>BB63*0.32</f>
        <v>-7.36</v>
      </c>
      <c r="AY63" s="295">
        <f>BB63*0.16</f>
        <v>-3.68</v>
      </c>
      <c r="AZ63" s="295">
        <f>BB63*0.24</f>
        <v>-5.52</v>
      </c>
      <c r="BA63" s="296">
        <f>BB63*0.27</f>
        <v>-6.2100000000000009</v>
      </c>
      <c r="BB63" s="297">
        <v>-23</v>
      </c>
      <c r="BC63" s="294">
        <f>BG63*0.23</f>
        <v>0</v>
      </c>
      <c r="BD63" s="295">
        <f>BG63*0.24</f>
        <v>0</v>
      </c>
      <c r="BE63" s="295">
        <f>BG63*0.3</f>
        <v>0</v>
      </c>
      <c r="BF63" s="296">
        <f>BG63*0.23</f>
        <v>0</v>
      </c>
      <c r="BG63" s="297">
        <v>0</v>
      </c>
      <c r="BH63" s="294">
        <f>BL63*0.23</f>
        <v>0</v>
      </c>
      <c r="BI63" s="295">
        <f>BL63*0.24</f>
        <v>0</v>
      </c>
      <c r="BJ63" s="295">
        <f>BL63*0.3</f>
        <v>0</v>
      </c>
      <c r="BK63" s="296">
        <f>BL63*0.23</f>
        <v>0</v>
      </c>
      <c r="BL63" s="297">
        <v>0</v>
      </c>
      <c r="BM63" s="294">
        <f>BQ63*0.23</f>
        <v>0</v>
      </c>
      <c r="BN63" s="295">
        <f>BQ63*0.24</f>
        <v>0</v>
      </c>
      <c r="BO63" s="295">
        <f>BQ63*0.3</f>
        <v>0</v>
      </c>
      <c r="BP63" s="296">
        <f>BQ63*0.23</f>
        <v>0</v>
      </c>
      <c r="BQ63" s="297">
        <v>0</v>
      </c>
      <c r="BR63" s="298"/>
      <c r="BU63" s="289"/>
      <c r="BV63" s="289"/>
      <c r="BW63" s="289"/>
      <c r="BX63" s="289"/>
      <c r="BY63" s="289"/>
      <c r="BZ63" s="289"/>
      <c r="CA63" s="289"/>
      <c r="CB63" s="289"/>
      <c r="CC63" s="289"/>
      <c r="CD63" s="289"/>
      <c r="CE63" s="289"/>
      <c r="CF63" s="289"/>
      <c r="CG63" s="289"/>
      <c r="CH63" s="289"/>
      <c r="CI63" s="289"/>
      <c r="CJ63" s="289"/>
      <c r="CK63" s="289"/>
      <c r="CL63" s="289"/>
      <c r="CM63" s="289"/>
      <c r="CN63" s="289"/>
      <c r="CO63" s="289"/>
      <c r="CP63" s="289"/>
      <c r="CQ63" s="289"/>
      <c r="CR63" s="289"/>
      <c r="CS63" s="289"/>
      <c r="CT63" s="289"/>
      <c r="CU63" s="289"/>
      <c r="CV63" s="289"/>
      <c r="CW63" s="289"/>
      <c r="CX63" s="289"/>
      <c r="CY63" s="289"/>
      <c r="CZ63" s="289"/>
    </row>
    <row r="64" spans="1:104" x14ac:dyDescent="0.2">
      <c r="A64" s="289"/>
      <c r="B64" s="289"/>
      <c r="C64" s="290" t="s">
        <v>250</v>
      </c>
      <c r="D64" s="289"/>
      <c r="E64" s="291"/>
      <c r="F64" s="292"/>
      <c r="G64" s="292"/>
      <c r="H64" s="293"/>
      <c r="I64" s="289"/>
      <c r="J64" s="291"/>
      <c r="K64" s="292"/>
      <c r="L64" s="292"/>
      <c r="M64" s="293"/>
      <c r="N64" s="289"/>
      <c r="O64" s="294"/>
      <c r="P64" s="295"/>
      <c r="Q64" s="295"/>
      <c r="R64" s="296"/>
      <c r="S64" s="297"/>
      <c r="T64" s="294"/>
      <c r="U64" s="295"/>
      <c r="V64" s="295"/>
      <c r="W64" s="296"/>
      <c r="X64" s="297"/>
      <c r="Y64" s="294"/>
      <c r="Z64" s="295"/>
      <c r="AA64" s="295"/>
      <c r="AB64" s="296"/>
      <c r="AC64" s="297"/>
      <c r="AD64" s="294"/>
      <c r="AE64" s="295"/>
      <c r="AF64" s="295"/>
      <c r="AG64" s="296"/>
      <c r="AH64" s="297"/>
      <c r="AI64" s="294"/>
      <c r="AJ64" s="295"/>
      <c r="AK64" s="295"/>
      <c r="AL64" s="296"/>
      <c r="AM64" s="297"/>
      <c r="AN64" s="294"/>
      <c r="AO64" s="295"/>
      <c r="AP64" s="295"/>
      <c r="AQ64" s="296"/>
      <c r="AR64" s="297"/>
      <c r="AS64" s="294"/>
      <c r="AT64" s="295"/>
      <c r="AU64" s="295"/>
      <c r="AV64" s="296"/>
      <c r="AW64" s="297"/>
      <c r="AX64" s="294">
        <f>BB64*0.45</f>
        <v>4.4550000000000001</v>
      </c>
      <c r="AY64" s="295">
        <f>BB64*0.15</f>
        <v>1.4850000000000001</v>
      </c>
      <c r="AZ64" s="295">
        <f>BB64*0.05</f>
        <v>0.49500000000000005</v>
      </c>
      <c r="BA64" s="296">
        <f>BB64*0.35</f>
        <v>3.4649999999999999</v>
      </c>
      <c r="BB64" s="803">
        <v>9.9</v>
      </c>
      <c r="BC64" s="294">
        <f>BG64*0.45</f>
        <v>2.25</v>
      </c>
      <c r="BD64" s="295">
        <f>BG64*0.15</f>
        <v>0.75</v>
      </c>
      <c r="BE64" s="295">
        <f>BG64*0.05</f>
        <v>0.25</v>
      </c>
      <c r="BF64" s="296">
        <f>BG64*0.35</f>
        <v>1.75</v>
      </c>
      <c r="BG64" s="297">
        <v>5</v>
      </c>
      <c r="BH64" s="294">
        <f>BL64*0.45</f>
        <v>2.25</v>
      </c>
      <c r="BI64" s="295">
        <f>BL64*0.15</f>
        <v>0.75</v>
      </c>
      <c r="BJ64" s="295">
        <f>BL64*0.05</f>
        <v>0.25</v>
      </c>
      <c r="BK64" s="296">
        <f>BL64*0.35</f>
        <v>1.75</v>
      </c>
      <c r="BL64" s="297">
        <v>5</v>
      </c>
      <c r="BM64" s="294">
        <f>BQ64*0.45</f>
        <v>2.25</v>
      </c>
      <c r="BN64" s="295">
        <f>BQ64*0.15</f>
        <v>0.75</v>
      </c>
      <c r="BO64" s="295">
        <f>BQ64*0.05</f>
        <v>0.25</v>
      </c>
      <c r="BP64" s="296">
        <f>BQ64*0.35</f>
        <v>1.75</v>
      </c>
      <c r="BQ64" s="297">
        <v>5</v>
      </c>
      <c r="BR64" s="298"/>
      <c r="BU64" s="289"/>
      <c r="BV64" s="289"/>
      <c r="BW64" s="289"/>
      <c r="BX64" s="289"/>
      <c r="BY64" s="289"/>
      <c r="BZ64" s="289"/>
      <c r="CA64" s="289"/>
      <c r="CB64" s="289"/>
      <c r="CC64" s="289"/>
      <c r="CD64" s="289"/>
      <c r="CE64" s="289"/>
      <c r="CF64" s="289"/>
      <c r="CG64" s="289"/>
      <c r="CH64" s="289"/>
      <c r="CI64" s="289"/>
      <c r="CJ64" s="289"/>
      <c r="CK64" s="289"/>
      <c r="CL64" s="289"/>
      <c r="CM64" s="289"/>
      <c r="CN64" s="289"/>
      <c r="CO64" s="289"/>
      <c r="CP64" s="289"/>
      <c r="CQ64" s="289"/>
      <c r="CR64" s="289"/>
      <c r="CS64" s="289"/>
      <c r="CT64" s="289"/>
      <c r="CU64" s="289"/>
      <c r="CV64" s="289"/>
      <c r="CW64" s="289"/>
      <c r="CX64" s="289"/>
      <c r="CY64" s="289"/>
      <c r="CZ64" s="289"/>
    </row>
    <row r="65" spans="1:102" x14ac:dyDescent="0.2">
      <c r="C65" s="299"/>
      <c r="E65" s="273"/>
      <c r="F65" s="274"/>
      <c r="G65" s="274"/>
      <c r="H65" s="275"/>
      <c r="I65" s="169"/>
      <c r="J65" s="273"/>
      <c r="K65" s="274"/>
      <c r="L65" s="274"/>
      <c r="M65" s="275"/>
      <c r="N65" s="169"/>
      <c r="O65" s="273"/>
      <c r="P65" s="274"/>
      <c r="Q65" s="274"/>
      <c r="R65" s="275"/>
      <c r="S65" s="169"/>
      <c r="T65" s="273"/>
      <c r="U65" s="274"/>
      <c r="V65" s="274"/>
      <c r="W65" s="275"/>
      <c r="X65" s="169"/>
      <c r="Y65" s="273"/>
      <c r="Z65" s="274"/>
      <c r="AA65" s="274"/>
      <c r="AB65" s="275"/>
      <c r="AC65" s="169"/>
      <c r="AD65" s="273"/>
      <c r="AE65" s="274"/>
      <c r="AF65" s="274"/>
      <c r="AG65" s="275"/>
      <c r="AH65" s="169"/>
      <c r="AI65" s="273"/>
      <c r="AJ65" s="274"/>
      <c r="AK65" s="274"/>
      <c r="AL65" s="275"/>
      <c r="AM65" s="169"/>
      <c r="AN65" s="273"/>
      <c r="AO65" s="274"/>
      <c r="AP65" s="274"/>
      <c r="AQ65" s="275"/>
      <c r="AR65" s="169"/>
      <c r="AS65" s="273"/>
      <c r="AT65" s="274"/>
      <c r="AU65" s="274"/>
      <c r="AV65" s="275"/>
      <c r="AW65" s="169"/>
      <c r="AX65" s="273"/>
      <c r="AY65" s="274"/>
      <c r="AZ65" s="274"/>
      <c r="BA65" s="275"/>
      <c r="BB65" s="169"/>
      <c r="BC65" s="273"/>
      <c r="BD65" s="274"/>
      <c r="BE65" s="274"/>
      <c r="BF65" s="275"/>
      <c r="BG65" s="169"/>
      <c r="BH65" s="273"/>
      <c r="BI65" s="274"/>
      <c r="BJ65" s="274"/>
      <c r="BK65" s="275"/>
      <c r="BL65" s="169"/>
      <c r="BM65" s="273"/>
      <c r="BN65" s="274"/>
      <c r="BO65" s="274"/>
      <c r="BP65" s="275"/>
      <c r="BQ65" s="169"/>
      <c r="BR65" s="288"/>
    </row>
    <row r="66" spans="1:102" x14ac:dyDescent="0.2">
      <c r="C66" s="300" t="s">
        <v>251</v>
      </c>
      <c r="E66" s="273"/>
      <c r="F66" s="274"/>
      <c r="G66" s="274"/>
      <c r="H66" s="275"/>
      <c r="I66" s="88"/>
      <c r="J66" s="207">
        <f>+J141</f>
        <v>0.10972466315172835</v>
      </c>
      <c r="K66" s="208">
        <f t="shared" ref="K66:P66" si="140">+K141</f>
        <v>3.7383433150107948E-2</v>
      </c>
      <c r="L66" s="208">
        <f t="shared" si="140"/>
        <v>0.16387566668578302</v>
      </c>
      <c r="M66" s="209">
        <f t="shared" si="140"/>
        <v>0.10575845843603005</v>
      </c>
      <c r="N66" s="88">
        <f t="shared" si="140"/>
        <v>0.10343881219639384</v>
      </c>
      <c r="O66" s="207">
        <f t="shared" si="140"/>
        <v>4.4924246423480918E-2</v>
      </c>
      <c r="P66" s="208">
        <f t="shared" si="140"/>
        <v>6.2608741498392018E-2</v>
      </c>
      <c r="Q66" s="208">
        <f t="shared" ref="Q66:Y66" si="141">+Q141</f>
        <v>2.5376333489369074E-2</v>
      </c>
      <c r="R66" s="209">
        <f t="shared" si="141"/>
        <v>-3.6203985140155437E-2</v>
      </c>
      <c r="S66" s="88">
        <f t="shared" si="141"/>
        <v>2.1756702979654818E-2</v>
      </c>
      <c r="T66" s="207">
        <f t="shared" si="141"/>
        <v>-2.7483075679498814E-2</v>
      </c>
      <c r="U66" s="208">
        <f t="shared" si="141"/>
        <v>5.4156639956337349E-2</v>
      </c>
      <c r="V66" s="208">
        <f t="shared" si="141"/>
        <v>2.5709411566832152E-3</v>
      </c>
      <c r="W66" s="209">
        <f t="shared" si="141"/>
        <v>4.6207395986637145E-2</v>
      </c>
      <c r="X66" s="88">
        <f t="shared" si="141"/>
        <v>1.9352129647097316E-2</v>
      </c>
      <c r="Y66" s="207">
        <f t="shared" si="141"/>
        <v>8.2493506493506619E-2</v>
      </c>
      <c r="Z66" s="208">
        <f t="shared" ref="Z66:AE66" si="142">+Z141</f>
        <v>1.1766920832156691E-2</v>
      </c>
      <c r="AA66" s="208">
        <f t="shared" si="142"/>
        <v>1.9052868714950044E-2</v>
      </c>
      <c r="AB66" s="209">
        <f t="shared" si="142"/>
        <v>7.9222954114100519E-2</v>
      </c>
      <c r="AC66" s="88">
        <f t="shared" si="142"/>
        <v>4.7873769425025303E-2</v>
      </c>
      <c r="AD66" s="207">
        <f t="shared" si="142"/>
        <v>6.1306267396103342E-2</v>
      </c>
      <c r="AE66" s="208">
        <f t="shared" si="142"/>
        <v>0.12655842947525131</v>
      </c>
      <c r="AF66" s="208">
        <f t="shared" ref="AF66:AK66" si="143">+AF141</f>
        <v>0.1264786811222689</v>
      </c>
      <c r="AG66" s="209">
        <f t="shared" si="143"/>
        <v>4.7938261643184266E-2</v>
      </c>
      <c r="AH66" s="88">
        <f t="shared" si="143"/>
        <v>8.939620104602275E-2</v>
      </c>
      <c r="AI66" s="207">
        <f t="shared" si="143"/>
        <v>-4.6528452895028383E-2</v>
      </c>
      <c r="AJ66" s="208">
        <f t="shared" si="143"/>
        <v>-5.7233704292527832E-2</v>
      </c>
      <c r="AK66" s="208">
        <f t="shared" si="143"/>
        <v>-3.3549760955343566E-2</v>
      </c>
      <c r="AL66" s="209">
        <f t="shared" ref="AL66:AR66" si="144">+AL141</f>
        <v>-0.10588351431391907</v>
      </c>
      <c r="AM66" s="88">
        <f t="shared" si="144"/>
        <v>-6.1711285320558695E-2</v>
      </c>
      <c r="AN66" s="207">
        <f t="shared" si="144"/>
        <v>0.15284660801934891</v>
      </c>
      <c r="AO66" s="208">
        <f t="shared" si="144"/>
        <v>0.10632706248220569</v>
      </c>
      <c r="AP66" s="208">
        <f t="shared" si="144"/>
        <v>6.3574699732135143E-2</v>
      </c>
      <c r="AQ66" s="209">
        <f t="shared" si="144"/>
        <v>2.8043367853909151E-2</v>
      </c>
      <c r="AR66" s="88">
        <f t="shared" si="144"/>
        <v>8.6470880036563669E-2</v>
      </c>
      <c r="AS66" s="207">
        <f t="shared" ref="AS66:AW66" si="145">+AS141</f>
        <v>2.556613669553065E-2</v>
      </c>
      <c r="AT66" s="208">
        <f t="shared" si="145"/>
        <v>-2.5853195027317977E-2</v>
      </c>
      <c r="AU66" s="208">
        <f t="shared" si="145"/>
        <v>5.2259571443079134E-2</v>
      </c>
      <c r="AV66" s="209">
        <f t="shared" si="145"/>
        <v>0.17402324032905914</v>
      </c>
      <c r="AW66" s="88">
        <f t="shared" si="145"/>
        <v>5.4440893257475809E-2</v>
      </c>
      <c r="AX66" s="207">
        <f t="shared" ref="AX66:BA68" si="146">+AY66</f>
        <v>0</v>
      </c>
      <c r="AY66" s="208">
        <f t="shared" si="146"/>
        <v>0</v>
      </c>
      <c r="AZ66" s="208">
        <f t="shared" si="146"/>
        <v>0</v>
      </c>
      <c r="BA66" s="209">
        <f t="shared" si="146"/>
        <v>0</v>
      </c>
      <c r="BB66" s="36">
        <v>0</v>
      </c>
      <c r="BC66" s="207">
        <f t="shared" ref="BC66:BF68" si="147">+BD66</f>
        <v>0.01</v>
      </c>
      <c r="BD66" s="208">
        <f t="shared" si="147"/>
        <v>0.01</v>
      </c>
      <c r="BE66" s="208">
        <f t="shared" si="147"/>
        <v>0.01</v>
      </c>
      <c r="BF66" s="209">
        <f t="shared" si="147"/>
        <v>0.01</v>
      </c>
      <c r="BG66" s="36">
        <v>0.01</v>
      </c>
      <c r="BH66" s="207">
        <f t="shared" ref="BH66:BK68" si="148">+BI66</f>
        <v>0.01</v>
      </c>
      <c r="BI66" s="208">
        <f t="shared" si="148"/>
        <v>0.01</v>
      </c>
      <c r="BJ66" s="208">
        <f t="shared" si="148"/>
        <v>0.01</v>
      </c>
      <c r="BK66" s="209">
        <f t="shared" si="148"/>
        <v>0.01</v>
      </c>
      <c r="BL66" s="36">
        <v>0.01</v>
      </c>
      <c r="BM66" s="207">
        <f t="shared" ref="BM66:BM68" si="149">+BN66</f>
        <v>0.01</v>
      </c>
      <c r="BN66" s="208">
        <f t="shared" ref="BN66:BN68" si="150">+BO66</f>
        <v>0.01</v>
      </c>
      <c r="BO66" s="208">
        <f t="shared" ref="BO66:BO68" si="151">+BP66</f>
        <v>0.01</v>
      </c>
      <c r="BP66" s="209">
        <f t="shared" ref="BP66:BP68" si="152">+BQ66</f>
        <v>0.01</v>
      </c>
      <c r="BQ66" s="36">
        <v>0.01</v>
      </c>
      <c r="BR66" s="288"/>
    </row>
    <row r="67" spans="1:102" x14ac:dyDescent="0.2">
      <c r="C67" s="300" t="s">
        <v>252</v>
      </c>
      <c r="E67" s="273"/>
      <c r="F67" s="274"/>
      <c r="G67" s="274"/>
      <c r="H67" s="275"/>
      <c r="I67" s="88"/>
      <c r="J67" s="207">
        <f>+J144</f>
        <v>-9.7990367048663707E-3</v>
      </c>
      <c r="K67" s="208">
        <f t="shared" ref="K67:P67" si="153">+K144</f>
        <v>-3.3580770590314613E-3</v>
      </c>
      <c r="L67" s="208">
        <f t="shared" si="153"/>
        <v>3.675183759187961E-3</v>
      </c>
      <c r="M67" s="209">
        <f t="shared" si="153"/>
        <v>-2.2237311152605077E-2</v>
      </c>
      <c r="N67" s="88">
        <f t="shared" si="153"/>
        <v>-8.0742140525682515E-3</v>
      </c>
      <c r="O67" s="207">
        <f t="shared" si="153"/>
        <v>1.9288829251928874E-2</v>
      </c>
      <c r="P67" s="208">
        <f t="shared" si="153"/>
        <v>3.4580599397056044E-2</v>
      </c>
      <c r="Q67" s="208">
        <f t="shared" ref="Q67:Y67" si="154">+Q144</f>
        <v>3.3129904097646046E-2</v>
      </c>
      <c r="R67" s="209">
        <f t="shared" si="154"/>
        <v>1.5972222222222054E-2</v>
      </c>
      <c r="S67" s="88">
        <f t="shared" si="154"/>
        <v>2.5632144094215326E-2</v>
      </c>
      <c r="T67" s="207">
        <f t="shared" si="154"/>
        <v>5.0024683231857825E-2</v>
      </c>
      <c r="U67" s="208">
        <f t="shared" si="154"/>
        <v>6.5649640041138158E-2</v>
      </c>
      <c r="V67" s="208">
        <f t="shared" si="154"/>
        <v>4.9451476793249016E-2</v>
      </c>
      <c r="W67" s="209">
        <f t="shared" si="154"/>
        <v>5.1777170198223033E-2</v>
      </c>
      <c r="X67" s="88">
        <f t="shared" si="154"/>
        <v>5.4162445119891878E-2</v>
      </c>
      <c r="Y67" s="207">
        <f t="shared" si="154"/>
        <v>2.03729822911769E-3</v>
      </c>
      <c r="Z67" s="208">
        <f t="shared" ref="Z67:AE67" si="155">+Z144</f>
        <v>1.994531124336496E-2</v>
      </c>
      <c r="AA67" s="208">
        <f t="shared" si="155"/>
        <v>8.8452878739144758E-3</v>
      </c>
      <c r="AB67" s="209">
        <f t="shared" si="155"/>
        <v>1.1047928513403971E-2</v>
      </c>
      <c r="AC67" s="88">
        <f t="shared" si="155"/>
        <v>1.0412078010492154E-2</v>
      </c>
      <c r="AD67" s="207">
        <f t="shared" si="155"/>
        <v>6.3027838598686214E-2</v>
      </c>
      <c r="AE67" s="208">
        <f t="shared" si="155"/>
        <v>4.904589181517105E-2</v>
      </c>
      <c r="AF67" s="208">
        <f t="shared" ref="AF67:AK67" si="156">+AF144</f>
        <v>0.11732823210585064</v>
      </c>
      <c r="AG67" s="209">
        <f t="shared" si="156"/>
        <v>6.9580588140768063E-2</v>
      </c>
      <c r="AH67" s="88">
        <f t="shared" si="156"/>
        <v>7.4630414965716652E-2</v>
      </c>
      <c r="AI67" s="207">
        <f t="shared" si="156"/>
        <v>6.3998823010151584E-2</v>
      </c>
      <c r="AJ67" s="208">
        <f t="shared" si="156"/>
        <v>3.3373421527360225E-2</v>
      </c>
      <c r="AK67" s="208">
        <f t="shared" si="156"/>
        <v>5.1362533885004336E-3</v>
      </c>
      <c r="AL67" s="209">
        <f t="shared" ref="AL67:AR67" si="157">+AL144</f>
        <v>5.6189903846153744E-2</v>
      </c>
      <c r="AM67" s="88">
        <f t="shared" si="157"/>
        <v>3.9352364092350767E-2</v>
      </c>
      <c r="AN67" s="207">
        <f t="shared" si="157"/>
        <v>-1.0647123893805288E-2</v>
      </c>
      <c r="AO67" s="208">
        <f t="shared" si="157"/>
        <v>3.2295606633692131E-2</v>
      </c>
      <c r="AP67" s="208">
        <f t="shared" si="157"/>
        <v>-7.6508161816891351E-2</v>
      </c>
      <c r="AQ67" s="209">
        <f t="shared" si="157"/>
        <v>3.840682788050831E-3</v>
      </c>
      <c r="AR67" s="88">
        <f t="shared" si="157"/>
        <v>-1.3022958731059964E-2</v>
      </c>
      <c r="AS67" s="207">
        <f t="shared" ref="AS67:AW67" si="158">+AS144</f>
        <v>-3.9412997903563896E-2</v>
      </c>
      <c r="AT67" s="208">
        <f t="shared" si="158"/>
        <v>-1.2824126268320191E-2</v>
      </c>
      <c r="AU67" s="208">
        <f t="shared" si="158"/>
        <v>9.4989240700891431E-2</v>
      </c>
      <c r="AV67" s="209">
        <f t="shared" si="158"/>
        <v>-3.2308346322799775E-2</v>
      </c>
      <c r="AW67" s="88">
        <f t="shared" si="158"/>
        <v>6.1120299129924227E-4</v>
      </c>
      <c r="AX67" s="207">
        <f t="shared" si="146"/>
        <v>6.5000000000000002E-2</v>
      </c>
      <c r="AY67" s="208">
        <f t="shared" si="146"/>
        <v>6.5000000000000002E-2</v>
      </c>
      <c r="AZ67" s="208">
        <f t="shared" si="146"/>
        <v>6.5000000000000002E-2</v>
      </c>
      <c r="BA67" s="209">
        <f t="shared" si="146"/>
        <v>6.5000000000000002E-2</v>
      </c>
      <c r="BB67" s="36">
        <v>6.5000000000000002E-2</v>
      </c>
      <c r="BC67" s="207">
        <f t="shared" si="147"/>
        <v>0.02</v>
      </c>
      <c r="BD67" s="208">
        <f t="shared" si="147"/>
        <v>0.02</v>
      </c>
      <c r="BE67" s="208">
        <f t="shared" si="147"/>
        <v>0.02</v>
      </c>
      <c r="BF67" s="209">
        <f t="shared" si="147"/>
        <v>0.02</v>
      </c>
      <c r="BG67" s="36">
        <v>0.02</v>
      </c>
      <c r="BH67" s="207">
        <f t="shared" si="148"/>
        <v>0.02</v>
      </c>
      <c r="BI67" s="208">
        <f t="shared" si="148"/>
        <v>0.02</v>
      </c>
      <c r="BJ67" s="208">
        <f t="shared" si="148"/>
        <v>0.02</v>
      </c>
      <c r="BK67" s="209">
        <f t="shared" si="148"/>
        <v>0.02</v>
      </c>
      <c r="BL67" s="36">
        <v>0.02</v>
      </c>
      <c r="BM67" s="207">
        <f t="shared" si="149"/>
        <v>0.02</v>
      </c>
      <c r="BN67" s="208">
        <f t="shared" si="150"/>
        <v>0.02</v>
      </c>
      <c r="BO67" s="208">
        <f t="shared" si="151"/>
        <v>0.02</v>
      </c>
      <c r="BP67" s="209">
        <f t="shared" si="152"/>
        <v>0.02</v>
      </c>
      <c r="BQ67" s="36">
        <v>0.02</v>
      </c>
      <c r="BR67" s="288"/>
    </row>
    <row r="68" spans="1:102" x14ac:dyDescent="0.2">
      <c r="C68" s="300" t="s">
        <v>443</v>
      </c>
      <c r="E68" s="273"/>
      <c r="F68" s="274"/>
      <c r="G68" s="274"/>
      <c r="H68" s="275"/>
      <c r="I68" s="88"/>
      <c r="J68" s="207">
        <f>+J147</f>
        <v>-5.1114023591087854E-2</v>
      </c>
      <c r="K68" s="208">
        <f t="shared" ref="K68:P68" si="159">+K147</f>
        <v>0.1753834054266612</v>
      </c>
      <c r="L68" s="208">
        <f t="shared" si="159"/>
        <v>0.46713892168437643</v>
      </c>
      <c r="M68" s="209">
        <f t="shared" si="159"/>
        <v>0.31812819504522261</v>
      </c>
      <c r="N68" s="88">
        <f t="shared" si="159"/>
        <v>0.21406498735836688</v>
      </c>
      <c r="O68" s="207">
        <f t="shared" si="159"/>
        <v>5.6975138121547086E-2</v>
      </c>
      <c r="P68" s="208">
        <f t="shared" si="159"/>
        <v>0.14486450317832067</v>
      </c>
      <c r="Q68" s="208">
        <f t="shared" ref="Q68:Y68" si="160">+Q147</f>
        <v>-0.13304721030042921</v>
      </c>
      <c r="R68" s="209">
        <f t="shared" si="160"/>
        <v>-5.4892601431981269E-2</v>
      </c>
      <c r="S68" s="88">
        <f t="shared" si="160"/>
        <v>-6.3247204010798974E-3</v>
      </c>
      <c r="T68" s="207">
        <f t="shared" si="160"/>
        <v>0.14407056517477934</v>
      </c>
      <c r="U68" s="208">
        <f t="shared" si="160"/>
        <v>5.7860900058445353E-2</v>
      </c>
      <c r="V68" s="208">
        <f t="shared" si="160"/>
        <v>0.14913366336633649</v>
      </c>
      <c r="W68" s="209">
        <f t="shared" si="160"/>
        <v>0.13825757575757591</v>
      </c>
      <c r="X68" s="88">
        <f t="shared" si="160"/>
        <v>0.12101218660249957</v>
      </c>
      <c r="Y68" s="207">
        <f t="shared" si="160"/>
        <v>-0.14563106796116498</v>
      </c>
      <c r="Z68" s="208">
        <f t="shared" ref="Z68:AE68" si="161">+Z147</f>
        <v>-0.13867403314917137</v>
      </c>
      <c r="AA68" s="208">
        <f t="shared" si="161"/>
        <v>-0.1564351103931072</v>
      </c>
      <c r="AB68" s="209">
        <f t="shared" si="161"/>
        <v>-0.14309484193011601</v>
      </c>
      <c r="AC68" s="88">
        <f t="shared" si="161"/>
        <v>-0.14603240548400498</v>
      </c>
      <c r="AD68" s="207">
        <f t="shared" si="161"/>
        <v>-0.10695187165775399</v>
      </c>
      <c r="AE68" s="208">
        <f t="shared" si="161"/>
        <v>-3.303399615137903E-2</v>
      </c>
      <c r="AF68" s="208">
        <f t="shared" ref="AF68:AK68" si="162">+AF147</f>
        <v>-4.0855410150016036E-2</v>
      </c>
      <c r="AG68" s="209">
        <f t="shared" si="162"/>
        <v>-7.9288025889967972E-2</v>
      </c>
      <c r="AH68" s="88">
        <f t="shared" si="162"/>
        <v>-6.454228492661962E-2</v>
      </c>
      <c r="AI68" s="207">
        <f t="shared" si="162"/>
        <v>6.8488023952095745E-2</v>
      </c>
      <c r="AJ68" s="208">
        <f t="shared" si="162"/>
        <v>-8.6235489220564121E-3</v>
      </c>
      <c r="AK68" s="208">
        <f t="shared" si="162"/>
        <v>-9.3178036605657821E-3</v>
      </c>
      <c r="AL68" s="209">
        <f t="shared" ref="AL68:AR68" si="163">+AL147</f>
        <v>1.0193321616871698E-2</v>
      </c>
      <c r="AM68" s="88">
        <f t="shared" si="163"/>
        <v>1.3695068041951863E-2</v>
      </c>
      <c r="AN68" s="207">
        <f t="shared" si="163"/>
        <v>7.3905429071803752E-2</v>
      </c>
      <c r="AO68" s="208">
        <f t="shared" si="163"/>
        <v>3.5128805620608938E-2</v>
      </c>
      <c r="AP68" s="208">
        <f t="shared" si="163"/>
        <v>0.11118575747396697</v>
      </c>
      <c r="AQ68" s="209">
        <f t="shared" si="163"/>
        <v>0.10542797494780753</v>
      </c>
      <c r="AR68" s="88">
        <f t="shared" si="163"/>
        <v>8.1231295425395311E-2</v>
      </c>
      <c r="AS68" s="207">
        <f t="shared" ref="AS68:AW68" si="164">+AS147</f>
        <v>-3.9138943248532287E-3</v>
      </c>
      <c r="AT68" s="208">
        <f t="shared" si="164"/>
        <v>2.6826115061409306E-2</v>
      </c>
      <c r="AU68" s="208">
        <f t="shared" si="164"/>
        <v>-3.0229746070132846E-3</v>
      </c>
      <c r="AV68" s="209">
        <f t="shared" si="164"/>
        <v>-4.2178155492603175E-2</v>
      </c>
      <c r="AW68" s="88">
        <f t="shared" si="164"/>
        <v>-5.7730328192961977E-3</v>
      </c>
      <c r="AX68" s="207">
        <f t="shared" si="146"/>
        <v>1.4999999999999999E-2</v>
      </c>
      <c r="AY68" s="208">
        <f t="shared" si="146"/>
        <v>1.4999999999999999E-2</v>
      </c>
      <c r="AZ68" s="208">
        <f t="shared" si="146"/>
        <v>1.4999999999999999E-2</v>
      </c>
      <c r="BA68" s="209">
        <f t="shared" si="146"/>
        <v>1.4999999999999999E-2</v>
      </c>
      <c r="BB68" s="36">
        <v>1.4999999999999999E-2</v>
      </c>
      <c r="BC68" s="207">
        <f t="shared" si="147"/>
        <v>1.4999999999999999E-2</v>
      </c>
      <c r="BD68" s="208">
        <f t="shared" si="147"/>
        <v>1.4999999999999999E-2</v>
      </c>
      <c r="BE68" s="208">
        <f t="shared" si="147"/>
        <v>1.4999999999999999E-2</v>
      </c>
      <c r="BF68" s="209">
        <f t="shared" si="147"/>
        <v>1.4999999999999999E-2</v>
      </c>
      <c r="BG68" s="36">
        <v>1.4999999999999999E-2</v>
      </c>
      <c r="BH68" s="207">
        <f t="shared" si="148"/>
        <v>1.4999999999999999E-2</v>
      </c>
      <c r="BI68" s="208">
        <f t="shared" si="148"/>
        <v>1.4999999999999999E-2</v>
      </c>
      <c r="BJ68" s="208">
        <f t="shared" si="148"/>
        <v>1.4999999999999999E-2</v>
      </c>
      <c r="BK68" s="209">
        <f t="shared" si="148"/>
        <v>1.4999999999999999E-2</v>
      </c>
      <c r="BL68" s="36">
        <v>1.4999999999999999E-2</v>
      </c>
      <c r="BM68" s="207">
        <f t="shared" si="149"/>
        <v>1.4999999999999999E-2</v>
      </c>
      <c r="BN68" s="208">
        <f t="shared" si="150"/>
        <v>1.4999999999999999E-2</v>
      </c>
      <c r="BO68" s="208">
        <f t="shared" si="151"/>
        <v>1.4999999999999999E-2</v>
      </c>
      <c r="BP68" s="209">
        <f t="shared" si="152"/>
        <v>1.4999999999999999E-2</v>
      </c>
      <c r="BQ68" s="36">
        <v>1.4999999999999999E-2</v>
      </c>
      <c r="BR68" s="288"/>
    </row>
    <row r="69" spans="1:102" x14ac:dyDescent="0.2">
      <c r="C69" s="299"/>
      <c r="E69" s="273"/>
      <c r="F69" s="274"/>
      <c r="G69" s="274"/>
      <c r="H69" s="275"/>
      <c r="I69" s="169"/>
      <c r="J69" s="273"/>
      <c r="K69" s="274"/>
      <c r="L69" s="274"/>
      <c r="M69" s="275"/>
      <c r="N69" s="169"/>
      <c r="O69" s="273"/>
      <c r="P69" s="274"/>
      <c r="Q69" s="274"/>
      <c r="R69" s="275"/>
      <c r="S69" s="169"/>
      <c r="T69" s="273"/>
      <c r="U69" s="274"/>
      <c r="V69" s="274"/>
      <c r="W69" s="275"/>
      <c r="X69" s="169"/>
      <c r="Y69" s="273"/>
      <c r="Z69" s="274"/>
      <c r="AA69" s="274"/>
      <c r="AB69" s="275"/>
      <c r="AC69" s="169"/>
      <c r="AD69" s="273"/>
      <c r="AE69" s="274"/>
      <c r="AF69" s="274"/>
      <c r="AG69" s="275"/>
      <c r="AH69" s="169"/>
      <c r="AI69" s="273"/>
      <c r="AJ69" s="274"/>
      <c r="AK69" s="274"/>
      <c r="AL69" s="275"/>
      <c r="AM69" s="169"/>
      <c r="AN69" s="273"/>
      <c r="AO69" s="274"/>
      <c r="AP69" s="274"/>
      <c r="AQ69" s="275"/>
      <c r="AR69" s="169"/>
      <c r="AS69" s="273"/>
      <c r="AT69" s="274"/>
      <c r="AU69" s="274"/>
      <c r="AV69" s="275"/>
      <c r="AW69" s="169"/>
      <c r="AX69" s="273"/>
      <c r="AY69" s="274"/>
      <c r="AZ69" s="274"/>
      <c r="BA69" s="275"/>
      <c r="BB69" s="169"/>
      <c r="BC69" s="273"/>
      <c r="BD69" s="274"/>
      <c r="BE69" s="274"/>
      <c r="BF69" s="275"/>
      <c r="BG69" s="169"/>
      <c r="BH69" s="273"/>
      <c r="BI69" s="274"/>
      <c r="BJ69" s="274"/>
      <c r="BK69" s="275"/>
      <c r="BL69" s="169"/>
      <c r="BM69" s="273"/>
      <c r="BN69" s="274"/>
      <c r="BO69" s="274"/>
      <c r="BP69" s="275"/>
      <c r="BQ69" s="169"/>
      <c r="BR69" s="288"/>
    </row>
    <row r="70" spans="1:102" x14ac:dyDescent="0.2">
      <c r="C70" s="300" t="s">
        <v>166</v>
      </c>
      <c r="E70" s="207">
        <f t="shared" ref="E70:P70" si="165">(E40)/(E38-E27)</f>
        <v>0.38482276012389566</v>
      </c>
      <c r="F70" s="208">
        <f t="shared" si="165"/>
        <v>0.37772397094430959</v>
      </c>
      <c r="G70" s="208">
        <f t="shared" si="165"/>
        <v>0.34199740077976643</v>
      </c>
      <c r="H70" s="209">
        <f t="shared" si="165"/>
        <v>0.30276185513288134</v>
      </c>
      <c r="I70" s="88">
        <f t="shared" si="165"/>
        <v>0.35907714734245277</v>
      </c>
      <c r="J70" s="207">
        <f t="shared" si="165"/>
        <v>0.43876022089986694</v>
      </c>
      <c r="K70" s="208">
        <f t="shared" si="165"/>
        <v>0.39130434782608703</v>
      </c>
      <c r="L70" s="208">
        <f t="shared" si="165"/>
        <v>0.38540309740917633</v>
      </c>
      <c r="M70" s="209">
        <f t="shared" si="165"/>
        <v>0.31821143508714828</v>
      </c>
      <c r="N70" s="88">
        <f t="shared" si="165"/>
        <v>0.39202498198414648</v>
      </c>
      <c r="O70" s="207">
        <f t="shared" si="165"/>
        <v>0.39444305590269113</v>
      </c>
      <c r="P70" s="208">
        <f t="shared" si="165"/>
        <v>0.4167142449329152</v>
      </c>
      <c r="Q70" s="208">
        <f t="shared" ref="Q70:Y70" si="166">(Q40)/(Q38-Q27)</f>
        <v>0.40499040307101691</v>
      </c>
      <c r="R70" s="209">
        <f t="shared" si="166"/>
        <v>0.39196800261203257</v>
      </c>
      <c r="S70" s="88">
        <f t="shared" si="166"/>
        <v>0.40201882482389079</v>
      </c>
      <c r="T70" s="207">
        <f t="shared" si="166"/>
        <v>0.40902703853523498</v>
      </c>
      <c r="U70" s="208">
        <f t="shared" si="166"/>
        <v>0.40771153159585799</v>
      </c>
      <c r="V70" s="208">
        <f t="shared" si="166"/>
        <v>0.37049800853083287</v>
      </c>
      <c r="W70" s="209">
        <f t="shared" si="166"/>
        <v>0.33708975879794006</v>
      </c>
      <c r="X70" s="88">
        <f t="shared" si="166"/>
        <v>0.38186163684516455</v>
      </c>
      <c r="Y70" s="207">
        <f t="shared" si="166"/>
        <v>0.39687801738010925</v>
      </c>
      <c r="Z70" s="208">
        <f t="shared" ref="Z70:AE70" si="167">(Z40)/(Z38-Z27)</f>
        <v>0.39754427099401402</v>
      </c>
      <c r="AA70" s="208">
        <f t="shared" si="167"/>
        <v>0.38260562551488775</v>
      </c>
      <c r="AB70" s="209">
        <f t="shared" si="167"/>
        <v>0.44730995846614935</v>
      </c>
      <c r="AC70" s="88">
        <f t="shared" si="167"/>
        <v>0.39740007422122275</v>
      </c>
      <c r="AD70" s="207">
        <f t="shared" si="167"/>
        <v>0.38055540370633495</v>
      </c>
      <c r="AE70" s="208">
        <f t="shared" si="167"/>
        <v>0.41540303272146933</v>
      </c>
      <c r="AF70" s="208">
        <f t="shared" ref="AF70:AK70" si="168">(AF40)/(AF38-AF27)</f>
        <v>0.39619801721035208</v>
      </c>
      <c r="AG70" s="209">
        <f t="shared" si="168"/>
        <v>0.42659904198365872</v>
      </c>
      <c r="AH70" s="88">
        <f t="shared" si="168"/>
        <v>0.40008491767702914</v>
      </c>
      <c r="AI70" s="207">
        <f t="shared" si="168"/>
        <v>0.39453974389949292</v>
      </c>
      <c r="AJ70" s="208">
        <f t="shared" si="168"/>
        <v>0.41012254767269291</v>
      </c>
      <c r="AK70" s="208">
        <f t="shared" si="168"/>
        <v>0.39148179678501704</v>
      </c>
      <c r="AL70" s="209">
        <f t="shared" ref="AL70:AR70" si="169">(AL40)/(AL38-AL27)</f>
        <v>0.39638755276332371</v>
      </c>
      <c r="AM70" s="88">
        <f t="shared" si="169"/>
        <v>0.396323272502486</v>
      </c>
      <c r="AN70" s="207">
        <f t="shared" si="169"/>
        <v>0.39142547033285041</v>
      </c>
      <c r="AO70" s="208">
        <f t="shared" si="169"/>
        <v>0.40464808787632234</v>
      </c>
      <c r="AP70" s="208">
        <f t="shared" si="169"/>
        <v>0.39767246802264583</v>
      </c>
      <c r="AQ70" s="209">
        <f t="shared" si="169"/>
        <v>0.40145265423242554</v>
      </c>
      <c r="AR70" s="88">
        <f t="shared" si="169"/>
        <v>0.39812546399406085</v>
      </c>
      <c r="AS70" s="207">
        <f t="shared" ref="AS70:AW70" si="170">(AS40)/(AS38-AS27)</f>
        <v>0.39430766144056884</v>
      </c>
      <c r="AT70" s="208">
        <f t="shared" si="170"/>
        <v>0.41204161370804487</v>
      </c>
      <c r="AU70" s="208">
        <f t="shared" si="170"/>
        <v>0.32539422888176411</v>
      </c>
      <c r="AV70" s="209">
        <f t="shared" si="170"/>
        <v>0.38816552363913465</v>
      </c>
      <c r="AW70" s="88">
        <f t="shared" si="170"/>
        <v>0.3779228446026302</v>
      </c>
      <c r="AX70" s="207">
        <f>+AY70</f>
        <v>0.26</v>
      </c>
      <c r="AY70" s="208">
        <f>+AZ70</f>
        <v>0.26</v>
      </c>
      <c r="AZ70" s="208">
        <f>+BA70</f>
        <v>0.26</v>
      </c>
      <c r="BA70" s="209">
        <f>+BB70</f>
        <v>0.26</v>
      </c>
      <c r="BB70" s="36">
        <v>0.26</v>
      </c>
      <c r="BC70" s="207">
        <f>+BD70</f>
        <v>0.26</v>
      </c>
      <c r="BD70" s="208">
        <f>+BE70</f>
        <v>0.26</v>
      </c>
      <c r="BE70" s="208">
        <f>+BF70</f>
        <v>0.26</v>
      </c>
      <c r="BF70" s="209">
        <f>+BG70</f>
        <v>0.26</v>
      </c>
      <c r="BG70" s="36">
        <v>0.26</v>
      </c>
      <c r="BH70" s="207">
        <f>+BI70</f>
        <v>0.26</v>
      </c>
      <c r="BI70" s="208">
        <f>+BJ70</f>
        <v>0.26</v>
      </c>
      <c r="BJ70" s="208">
        <f>+BK70</f>
        <v>0.26</v>
      </c>
      <c r="BK70" s="209">
        <f>+BL70</f>
        <v>0.26</v>
      </c>
      <c r="BL70" s="36">
        <v>0.26</v>
      </c>
      <c r="BM70" s="207">
        <f>+BN70</f>
        <v>0.26</v>
      </c>
      <c r="BN70" s="208">
        <f>+BO70</f>
        <v>0.26</v>
      </c>
      <c r="BO70" s="208">
        <f>+BP70</f>
        <v>0.26</v>
      </c>
      <c r="BP70" s="209">
        <f>+BQ70</f>
        <v>0.26</v>
      </c>
      <c r="BQ70" s="36">
        <v>0.26</v>
      </c>
      <c r="BR70" s="288"/>
    </row>
    <row r="71" spans="1:102" x14ac:dyDescent="0.2">
      <c r="C71" s="300" t="s">
        <v>167</v>
      </c>
      <c r="E71" s="207">
        <f t="shared" ref="E71:P71" si="171">E40/E38</f>
        <v>0.38185491903582891</v>
      </c>
      <c r="F71" s="208">
        <f t="shared" si="171"/>
        <v>0.35003739715781568</v>
      </c>
      <c r="G71" s="208">
        <f t="shared" si="171"/>
        <v>0.33432689958465706</v>
      </c>
      <c r="H71" s="209">
        <f t="shared" si="171"/>
        <v>0.28979965084379378</v>
      </c>
      <c r="I71" s="88">
        <f t="shared" si="171"/>
        <v>0.35102286896589457</v>
      </c>
      <c r="J71" s="207">
        <f t="shared" si="171"/>
        <v>0.43075694532005177</v>
      </c>
      <c r="K71" s="208">
        <f t="shared" si="171"/>
        <v>0.3275602409638555</v>
      </c>
      <c r="L71" s="208">
        <f t="shared" si="171"/>
        <v>0.37669319186560557</v>
      </c>
      <c r="M71" s="209">
        <f t="shared" si="171"/>
        <v>0.30501990787727429</v>
      </c>
      <c r="N71" s="88">
        <f t="shared" si="171"/>
        <v>0.37919867559286141</v>
      </c>
      <c r="O71" s="207">
        <f t="shared" si="171"/>
        <v>0.39270902455209039</v>
      </c>
      <c r="P71" s="208">
        <f t="shared" si="171"/>
        <v>0.40783683732625603</v>
      </c>
      <c r="Q71" s="208">
        <f t="shared" ref="Q71:Y71" si="172">Q40/Q38</f>
        <v>0.40338142605370814</v>
      </c>
      <c r="R71" s="209">
        <f t="shared" si="172"/>
        <v>0.37769388076136629</v>
      </c>
      <c r="S71" s="88">
        <f t="shared" si="172"/>
        <v>0.39723469628929303</v>
      </c>
      <c r="T71" s="207">
        <f t="shared" si="172"/>
        <v>0.39233785329194548</v>
      </c>
      <c r="U71" s="208">
        <f t="shared" si="172"/>
        <v>0.37369109947643925</v>
      </c>
      <c r="V71" s="208">
        <f t="shared" si="172"/>
        <v>0.37138973836221584</v>
      </c>
      <c r="W71" s="209">
        <f t="shared" si="172"/>
        <v>0.32349871928659174</v>
      </c>
      <c r="X71" s="88">
        <f t="shared" si="172"/>
        <v>0.37175665647914025</v>
      </c>
      <c r="Y71" s="207">
        <f t="shared" si="172"/>
        <v>0.38515117441279345</v>
      </c>
      <c r="Z71" s="208">
        <f t="shared" ref="Z71:AE71" si="173">Z40/Z38</f>
        <v>0.37929004532877997</v>
      </c>
      <c r="AA71" s="208">
        <f t="shared" si="173"/>
        <v>0.37136248108061815</v>
      </c>
      <c r="AB71" s="209">
        <f t="shared" si="173"/>
        <v>0.39057097073459035</v>
      </c>
      <c r="AC71" s="88">
        <f t="shared" si="173"/>
        <v>0.37974696746873582</v>
      </c>
      <c r="AD71" s="207">
        <f t="shared" si="173"/>
        <v>0.3648776141307189</v>
      </c>
      <c r="AE71" s="208">
        <f t="shared" si="173"/>
        <v>0.37738878243306306</v>
      </c>
      <c r="AF71" s="208">
        <f t="shared" ref="AF71:AM71" si="174">AF40/AF38</f>
        <v>0.37676965680326058</v>
      </c>
      <c r="AG71" s="209">
        <f t="shared" si="174"/>
        <v>0.38755919621144358</v>
      </c>
      <c r="AH71" s="88">
        <f t="shared" si="174"/>
        <v>0.3750984121367591</v>
      </c>
      <c r="AI71" s="207">
        <f t="shared" si="174"/>
        <v>0.36976026718745603</v>
      </c>
      <c r="AJ71" s="208">
        <f t="shared" si="174"/>
        <v>0.37361702127659546</v>
      </c>
      <c r="AK71" s="208">
        <f t="shared" si="174"/>
        <v>0.37344447894523153</v>
      </c>
      <c r="AL71" s="209">
        <f t="shared" si="174"/>
        <v>0.37214874890557853</v>
      </c>
      <c r="AM71" s="88">
        <f t="shared" si="174"/>
        <v>0.37214193179332733</v>
      </c>
      <c r="AN71" s="207">
        <f t="shared" ref="AN71:AR71" si="175">AN40/AN38</f>
        <v>0.38028119507908564</v>
      </c>
      <c r="AO71" s="208">
        <f t="shared" si="175"/>
        <v>0.38659994169662826</v>
      </c>
      <c r="AP71" s="208">
        <f t="shared" si="175"/>
        <v>0.38514456883202558</v>
      </c>
      <c r="AQ71" s="209">
        <f t="shared" si="175"/>
        <v>0.37921395900389709</v>
      </c>
      <c r="AR71" s="88">
        <f t="shared" si="175"/>
        <v>0.38292706873622107</v>
      </c>
      <c r="AS71" s="207">
        <f t="shared" ref="AS71:AW71" si="176">AS40/AS38</f>
        <v>0.38027974347633808</v>
      </c>
      <c r="AT71" s="208">
        <f t="shared" si="176"/>
        <v>0.380664521179438</v>
      </c>
      <c r="AU71" s="208">
        <f t="shared" si="176"/>
        <v>0.30820241083325589</v>
      </c>
      <c r="AV71" s="209">
        <f t="shared" si="176"/>
        <v>0.36445080411858033</v>
      </c>
      <c r="AW71" s="88">
        <f t="shared" si="176"/>
        <v>0.35741334110107792</v>
      </c>
      <c r="AX71" s="207">
        <f t="shared" ref="AX71:BG71" si="177">AX40/AX38</f>
        <v>0.24572464474966679</v>
      </c>
      <c r="AY71" s="208">
        <f t="shared" si="177"/>
        <v>0.23543131914859927</v>
      </c>
      <c r="AZ71" s="208">
        <f t="shared" si="177"/>
        <v>0.24236138457185388</v>
      </c>
      <c r="BA71" s="209">
        <f t="shared" si="177"/>
        <v>0.24319325929785485</v>
      </c>
      <c r="BB71" s="88">
        <f t="shared" si="177"/>
        <v>0.24237472011074082</v>
      </c>
      <c r="BC71" s="207">
        <f t="shared" si="177"/>
        <v>0.24667808643141909</v>
      </c>
      <c r="BD71" s="208">
        <f t="shared" si="177"/>
        <v>0.23652539116301297</v>
      </c>
      <c r="BE71" s="208">
        <f t="shared" si="177"/>
        <v>0.24270573113656715</v>
      </c>
      <c r="BF71" s="209">
        <f t="shared" si="177"/>
        <v>0.24389618031165744</v>
      </c>
      <c r="BG71" s="88">
        <f t="shared" si="177"/>
        <v>0.24316379291305484</v>
      </c>
      <c r="BH71" s="207">
        <f t="shared" ref="BH71:BQ71" si="178">BH40/BH38</f>
        <v>0.24804853942921334</v>
      </c>
      <c r="BI71" s="208">
        <f t="shared" si="178"/>
        <v>0.23882485534483272</v>
      </c>
      <c r="BJ71" s="208">
        <f t="shared" si="178"/>
        <v>0.24425296178182779</v>
      </c>
      <c r="BK71" s="209">
        <f t="shared" si="178"/>
        <v>0.24558603783995189</v>
      </c>
      <c r="BL71" s="88">
        <f t="shared" si="178"/>
        <v>0.24483574129849545</v>
      </c>
      <c r="BM71" s="207">
        <f t="shared" si="178"/>
        <v>0.24707517675217824</v>
      </c>
      <c r="BN71" s="208">
        <f t="shared" si="178"/>
        <v>0.2375680682014778</v>
      </c>
      <c r="BO71" s="208">
        <f t="shared" si="178"/>
        <v>0.24287813349911894</v>
      </c>
      <c r="BP71" s="209">
        <f t="shared" si="178"/>
        <v>0.24453450000431393</v>
      </c>
      <c r="BQ71" s="88">
        <f t="shared" si="178"/>
        <v>0.24367444908561003</v>
      </c>
      <c r="BR71" s="288"/>
    </row>
    <row r="72" spans="1:102" x14ac:dyDescent="0.2">
      <c r="C72" s="299"/>
      <c r="E72" s="273"/>
      <c r="F72" s="274"/>
      <c r="G72" s="274"/>
      <c r="H72" s="275"/>
      <c r="I72" s="169"/>
      <c r="J72" s="273"/>
      <c r="K72" s="274"/>
      <c r="L72" s="274"/>
      <c r="M72" s="275"/>
      <c r="N72" s="169"/>
      <c r="O72" s="273"/>
      <c r="P72" s="274"/>
      <c r="Q72" s="274"/>
      <c r="R72" s="275"/>
      <c r="S72" s="169"/>
      <c r="T72" s="273"/>
      <c r="U72" s="274"/>
      <c r="V72" s="274"/>
      <c r="W72" s="275"/>
      <c r="X72" s="169"/>
      <c r="Y72" s="273"/>
      <c r="Z72" s="274"/>
      <c r="AA72" s="274"/>
      <c r="AB72" s="275"/>
      <c r="AC72" s="169"/>
      <c r="AD72" s="273"/>
      <c r="AE72" s="274"/>
      <c r="AF72" s="274"/>
      <c r="AG72" s="275"/>
      <c r="AH72" s="169"/>
      <c r="AI72" s="273"/>
      <c r="AJ72" s="274"/>
      <c r="AK72" s="274"/>
      <c r="AL72" s="275"/>
      <c r="AM72" s="169"/>
      <c r="AN72" s="273"/>
      <c r="AO72" s="274"/>
      <c r="AP72" s="274"/>
      <c r="AQ72" s="275"/>
      <c r="AR72" s="169"/>
      <c r="AS72" s="273"/>
      <c r="AT72" s="274"/>
      <c r="AU72" s="274"/>
      <c r="AV72" s="275"/>
      <c r="AW72" s="169"/>
      <c r="AX72" s="273"/>
      <c r="AY72" s="274"/>
      <c r="AZ72" s="274"/>
      <c r="BA72" s="275"/>
      <c r="BB72" s="169"/>
      <c r="BC72" s="273"/>
      <c r="BD72" s="274"/>
      <c r="BE72" s="274"/>
      <c r="BF72" s="275"/>
      <c r="BG72" s="169"/>
      <c r="BH72" s="273"/>
      <c r="BI72" s="274"/>
      <c r="BJ72" s="274"/>
      <c r="BK72" s="275"/>
      <c r="BL72" s="169"/>
      <c r="BM72" s="273"/>
      <c r="BN72" s="274"/>
      <c r="BO72" s="274"/>
      <c r="BP72" s="275"/>
      <c r="BQ72" s="169"/>
      <c r="BR72" s="288"/>
    </row>
    <row r="73" spans="1:102" x14ac:dyDescent="0.2">
      <c r="C73" s="299" t="s">
        <v>253</v>
      </c>
      <c r="E73" s="273"/>
      <c r="F73" s="274"/>
      <c r="G73" s="274"/>
      <c r="H73" s="275"/>
      <c r="I73" s="88">
        <f t="shared" ref="I73:T73" si="179">+I273</f>
        <v>0.1075</v>
      </c>
      <c r="J73" s="207">
        <f t="shared" si="179"/>
        <v>0.1075</v>
      </c>
      <c r="K73" s="208">
        <f t="shared" si="179"/>
        <v>0.1075</v>
      </c>
      <c r="L73" s="208">
        <f t="shared" si="179"/>
        <v>0.1075</v>
      </c>
      <c r="M73" s="209">
        <f t="shared" si="179"/>
        <v>0.1075</v>
      </c>
      <c r="N73" s="88">
        <f t="shared" si="179"/>
        <v>0.1075</v>
      </c>
      <c r="O73" s="207">
        <f t="shared" si="179"/>
        <v>0.104</v>
      </c>
      <c r="P73" s="208">
        <f t="shared" si="179"/>
        <v>0.104</v>
      </c>
      <c r="Q73" s="208">
        <f t="shared" si="179"/>
        <v>0.104</v>
      </c>
      <c r="R73" s="209">
        <f t="shared" si="179"/>
        <v>0.104</v>
      </c>
      <c r="S73" s="88">
        <f t="shared" si="179"/>
        <v>0.104</v>
      </c>
      <c r="T73" s="207">
        <f t="shared" si="179"/>
        <v>0.104</v>
      </c>
      <c r="U73" s="208">
        <f t="shared" ref="U73:Y74" si="180">+U273</f>
        <v>0.104</v>
      </c>
      <c r="V73" s="208">
        <f t="shared" si="180"/>
        <v>0.104</v>
      </c>
      <c r="W73" s="209">
        <f t="shared" si="180"/>
        <v>0.104</v>
      </c>
      <c r="X73" s="88">
        <f t="shared" si="180"/>
        <v>0.104</v>
      </c>
      <c r="Y73" s="207">
        <f t="shared" si="180"/>
        <v>0.104</v>
      </c>
      <c r="Z73" s="208">
        <f t="shared" ref="Z73:AD74" si="181">+Z273</f>
        <v>0.104</v>
      </c>
      <c r="AA73" s="208">
        <f t="shared" si="181"/>
        <v>0.104</v>
      </c>
      <c r="AB73" s="209">
        <f t="shared" si="181"/>
        <v>0.104</v>
      </c>
      <c r="AC73" s="88">
        <f t="shared" si="181"/>
        <v>0.104</v>
      </c>
      <c r="AD73" s="207">
        <f t="shared" si="181"/>
        <v>0.104</v>
      </c>
      <c r="AE73" s="208">
        <f t="shared" ref="AE73:AI74" si="182">+AE273</f>
        <v>0.104</v>
      </c>
      <c r="AF73" s="208">
        <f t="shared" si="182"/>
        <v>0.104</v>
      </c>
      <c r="AG73" s="209">
        <f t="shared" si="182"/>
        <v>0.104</v>
      </c>
      <c r="AH73" s="88">
        <f t="shared" si="182"/>
        <v>0.10199999999999999</v>
      </c>
      <c r="AI73" s="207">
        <f t="shared" si="182"/>
        <v>0.10199999999999999</v>
      </c>
      <c r="AJ73" s="208">
        <f t="shared" ref="AJ73:AN74" si="183">+AJ273</f>
        <v>0.10199999999999999</v>
      </c>
      <c r="AK73" s="208">
        <f t="shared" si="183"/>
        <v>0.10199999999999999</v>
      </c>
      <c r="AL73" s="209">
        <f t="shared" si="183"/>
        <v>0.10199999999999999</v>
      </c>
      <c r="AM73" s="88">
        <f t="shared" si="183"/>
        <v>0.10199999999999999</v>
      </c>
      <c r="AN73" s="207">
        <f t="shared" si="183"/>
        <v>0.1</v>
      </c>
      <c r="AO73" s="208">
        <f t="shared" ref="AO73:AS74" si="184">+AO273</f>
        <v>0.1</v>
      </c>
      <c r="AP73" s="208">
        <f t="shared" si="184"/>
        <v>0.1</v>
      </c>
      <c r="AQ73" s="209">
        <f t="shared" si="184"/>
        <v>0.1</v>
      </c>
      <c r="AR73" s="88">
        <f t="shared" si="184"/>
        <v>0.1</v>
      </c>
      <c r="AS73" s="207">
        <f t="shared" si="184"/>
        <v>0.1</v>
      </c>
      <c r="AT73" s="208">
        <f t="shared" ref="AT73:AW73" si="185">+AT273</f>
        <v>0.1</v>
      </c>
      <c r="AU73" s="208">
        <f t="shared" si="185"/>
        <v>0.1</v>
      </c>
      <c r="AV73" s="209">
        <f t="shared" si="185"/>
        <v>0.1</v>
      </c>
      <c r="AW73" s="88">
        <f t="shared" si="185"/>
        <v>0.1</v>
      </c>
      <c r="AX73" s="207">
        <f t="shared" ref="AX73:BB74" si="186">+AX273</f>
        <v>0.1</v>
      </c>
      <c r="AY73" s="208">
        <f t="shared" si="186"/>
        <v>0.1</v>
      </c>
      <c r="AZ73" s="208">
        <f t="shared" si="186"/>
        <v>0.1</v>
      </c>
      <c r="BA73" s="209">
        <f t="shared" si="186"/>
        <v>0.1</v>
      </c>
      <c r="BB73" s="88">
        <f t="shared" si="186"/>
        <v>0.1</v>
      </c>
      <c r="BC73" s="207">
        <f t="shared" ref="BC73:BG74" si="187">+BC273</f>
        <v>0.1</v>
      </c>
      <c r="BD73" s="208">
        <f t="shared" si="187"/>
        <v>0.1</v>
      </c>
      <c r="BE73" s="208">
        <f t="shared" si="187"/>
        <v>0.1</v>
      </c>
      <c r="BF73" s="209">
        <f t="shared" si="187"/>
        <v>0.1</v>
      </c>
      <c r="BG73" s="88">
        <f t="shared" si="187"/>
        <v>0.1</v>
      </c>
      <c r="BH73" s="207">
        <f t="shared" ref="BH73:BL74" si="188">+BH273</f>
        <v>0.1</v>
      </c>
      <c r="BI73" s="208">
        <f t="shared" si="188"/>
        <v>0.1</v>
      </c>
      <c r="BJ73" s="208">
        <f t="shared" si="188"/>
        <v>0.1</v>
      </c>
      <c r="BK73" s="209">
        <f t="shared" si="188"/>
        <v>0.1</v>
      </c>
      <c r="BL73" s="88">
        <f t="shared" si="188"/>
        <v>0.1</v>
      </c>
      <c r="BM73" s="207">
        <f t="shared" ref="BM73:BQ73" si="189">+BM273</f>
        <v>0.1</v>
      </c>
      <c r="BN73" s="208">
        <f t="shared" si="189"/>
        <v>0.1</v>
      </c>
      <c r="BO73" s="208">
        <f t="shared" si="189"/>
        <v>0.1</v>
      </c>
      <c r="BP73" s="209">
        <f t="shared" si="189"/>
        <v>0.1</v>
      </c>
      <c r="BQ73" s="88">
        <f t="shared" si="189"/>
        <v>0.1</v>
      </c>
      <c r="BR73" s="288"/>
    </row>
    <row r="74" spans="1:102" x14ac:dyDescent="0.2">
      <c r="C74" s="299" t="s">
        <v>254</v>
      </c>
      <c r="E74" s="273"/>
      <c r="F74" s="274"/>
      <c r="G74" s="274"/>
      <c r="H74" s="275"/>
      <c r="I74" s="88">
        <f t="shared" ref="I74:T74" si="190">+I274</f>
        <v>0.12642998144061388</v>
      </c>
      <c r="J74" s="207">
        <f t="shared" si="190"/>
        <v>0.10511796957835767</v>
      </c>
      <c r="K74" s="208">
        <f t="shared" si="190"/>
        <v>9.6131362255288746E-2</v>
      </c>
      <c r="L74" s="208">
        <f t="shared" si="190"/>
        <v>0.10393562909237933</v>
      </c>
      <c r="M74" s="209">
        <f t="shared" si="190"/>
        <v>0.10697715476672676</v>
      </c>
      <c r="N74" s="88">
        <f t="shared" si="190"/>
        <v>0.10937952365962675</v>
      </c>
      <c r="O74" s="207">
        <f t="shared" si="190"/>
        <v>0.10737516781167288</v>
      </c>
      <c r="P74" s="208">
        <f t="shared" si="190"/>
        <v>0.12123374923094549</v>
      </c>
      <c r="Q74" s="208">
        <f t="shared" si="190"/>
        <v>0.12367827426783164</v>
      </c>
      <c r="R74" s="209">
        <f t="shared" si="190"/>
        <v>0.12418470132868895</v>
      </c>
      <c r="S74" s="88">
        <f t="shared" si="190"/>
        <v>0.12524169309376701</v>
      </c>
      <c r="T74" s="207">
        <f t="shared" si="190"/>
        <v>0.12157558307414369</v>
      </c>
      <c r="U74" s="208">
        <f t="shared" si="180"/>
        <v>0.11431570426445387</v>
      </c>
      <c r="V74" s="208">
        <f t="shared" si="180"/>
        <v>0.12158012229849745</v>
      </c>
      <c r="W74" s="209">
        <f t="shared" si="180"/>
        <v>0.12192653163158611</v>
      </c>
      <c r="X74" s="88">
        <f t="shared" si="180"/>
        <v>0.12488704201238923</v>
      </c>
      <c r="Y74" s="207">
        <f t="shared" si="180"/>
        <v>0.12538824693185827</v>
      </c>
      <c r="Z74" s="208">
        <f t="shared" si="181"/>
        <v>0.12869210765256903</v>
      </c>
      <c r="AA74" s="208">
        <f t="shared" si="181"/>
        <v>0.12494729078358606</v>
      </c>
      <c r="AB74" s="209">
        <f t="shared" si="181"/>
        <v>0.12508908448835934</v>
      </c>
      <c r="AC74" s="88">
        <f t="shared" si="181"/>
        <v>0.131989292656506</v>
      </c>
      <c r="AD74" s="207">
        <f t="shared" si="181"/>
        <v>0.13434401341020011</v>
      </c>
      <c r="AE74" s="208">
        <f t="shared" si="182"/>
        <v>0.13424497460621698</v>
      </c>
      <c r="AF74" s="208">
        <f t="shared" si="182"/>
        <v>0.11997456516887431</v>
      </c>
      <c r="AG74" s="209">
        <f t="shared" si="182"/>
        <v>0.13380227881590206</v>
      </c>
      <c r="AH74" s="88">
        <f t="shared" si="182"/>
        <v>0.14249079577400453</v>
      </c>
      <c r="AI74" s="207">
        <f t="shared" si="182"/>
        <v>0.12296391974347107</v>
      </c>
      <c r="AJ74" s="208">
        <f t="shared" si="183"/>
        <v>0.1202334893922873</v>
      </c>
      <c r="AK74" s="208">
        <f t="shared" si="183"/>
        <v>0.12911255485544307</v>
      </c>
      <c r="AL74" s="209">
        <f t="shared" si="183"/>
        <v>0.12393888185674623</v>
      </c>
      <c r="AM74" s="88">
        <f t="shared" si="183"/>
        <v>0.12677633698234311</v>
      </c>
      <c r="AN74" s="207">
        <f t="shared" si="183"/>
        <v>0.11005394164369699</v>
      </c>
      <c r="AO74" s="208">
        <f t="shared" si="184"/>
        <v>0.10836826406132292</v>
      </c>
      <c r="AP74" s="208">
        <f t="shared" si="184"/>
        <v>0.10275162847832567</v>
      </c>
      <c r="AQ74" s="209">
        <f t="shared" si="184"/>
        <v>0.10562349591846193</v>
      </c>
      <c r="AR74" s="88">
        <f t="shared" si="184"/>
        <v>0.10823460840819964</v>
      </c>
      <c r="AS74" s="207">
        <f t="shared" si="184"/>
        <v>0.10705479108996993</v>
      </c>
      <c r="AT74" s="208">
        <f t="shared" ref="AT74:AV74" si="191">+AT274</f>
        <v>0.10993137742584171</v>
      </c>
      <c r="AU74" s="208">
        <f t="shared" si="191"/>
        <v>0.10828956008171398</v>
      </c>
      <c r="AV74" s="209">
        <f t="shared" si="191"/>
        <v>0.11237872876714171</v>
      </c>
      <c r="AW74" s="88">
        <f>+AW274</f>
        <v>0.11454576778493454</v>
      </c>
      <c r="AX74" s="207">
        <f t="shared" si="186"/>
        <v>0.11449298031057303</v>
      </c>
      <c r="AY74" s="208">
        <f t="shared" si="186"/>
        <v>0.11536739853850389</v>
      </c>
      <c r="AZ74" s="208">
        <f t="shared" si="186"/>
        <v>0.11230863053883476</v>
      </c>
      <c r="BA74" s="209">
        <f t="shared" si="186"/>
        <v>0.11317141780131508</v>
      </c>
      <c r="BB74" s="88">
        <f t="shared" si="186"/>
        <v>0.11631374081519039</v>
      </c>
      <c r="BC74" s="207">
        <f t="shared" si="187"/>
        <v>0.11281031735966693</v>
      </c>
      <c r="BD74" s="208">
        <f t="shared" si="187"/>
        <v>0.11243872956560691</v>
      </c>
      <c r="BE74" s="208">
        <f t="shared" si="187"/>
        <v>0.1108746599866105</v>
      </c>
      <c r="BF74" s="209">
        <f t="shared" si="187"/>
        <v>0.10991522828898564</v>
      </c>
      <c r="BG74" s="88">
        <f t="shared" si="187"/>
        <v>0.11300309931452006</v>
      </c>
      <c r="BH74" s="207">
        <f t="shared" si="188"/>
        <v>0.10950123095283146</v>
      </c>
      <c r="BI74" s="208">
        <f t="shared" si="188"/>
        <v>0.10947470856594574</v>
      </c>
      <c r="BJ74" s="208">
        <f t="shared" si="188"/>
        <v>0.10905641893297524</v>
      </c>
      <c r="BK74" s="209">
        <f t="shared" si="188"/>
        <v>0.10857301956414511</v>
      </c>
      <c r="BL74" s="88">
        <f t="shared" si="188"/>
        <v>0.11157124439927835</v>
      </c>
      <c r="BM74" s="207">
        <f t="shared" ref="BM74:BQ74" si="192">+BM274</f>
        <v>0.10853620774139895</v>
      </c>
      <c r="BN74" s="208">
        <f t="shared" si="192"/>
        <v>0.10927364704849224</v>
      </c>
      <c r="BO74" s="208">
        <f t="shared" si="192"/>
        <v>0.10964687914753567</v>
      </c>
      <c r="BP74" s="209">
        <f t="shared" si="192"/>
        <v>0.10933023027619343</v>
      </c>
      <c r="BQ74" s="88">
        <f t="shared" si="192"/>
        <v>0.11234186099919763</v>
      </c>
      <c r="BR74" s="288"/>
    </row>
    <row r="75" spans="1:102" x14ac:dyDescent="0.2">
      <c r="C75" s="301" t="s">
        <v>255</v>
      </c>
      <c r="D75" s="302"/>
      <c r="E75" s="303"/>
      <c r="F75" s="304"/>
      <c r="G75" s="304"/>
      <c r="H75" s="305"/>
      <c r="I75" s="306">
        <f>+I275</f>
        <v>0.12064089078439999</v>
      </c>
      <c r="J75" s="307"/>
      <c r="K75" s="308"/>
      <c r="L75" s="308"/>
      <c r="M75" s="309"/>
      <c r="N75" s="306">
        <f>+N275</f>
        <v>0.1018869149878761</v>
      </c>
      <c r="O75" s="307"/>
      <c r="P75" s="308"/>
      <c r="Q75" s="308"/>
      <c r="R75" s="309"/>
      <c r="S75" s="306">
        <f>+S275</f>
        <v>0.1224897692507909</v>
      </c>
      <c r="T75" s="307"/>
      <c r="U75" s="308"/>
      <c r="V75" s="308"/>
      <c r="W75" s="309"/>
      <c r="X75" s="306">
        <f>+X275</f>
        <v>0.11660065889009619</v>
      </c>
      <c r="Y75" s="307"/>
      <c r="Z75" s="308"/>
      <c r="AA75" s="308"/>
      <c r="AB75" s="309"/>
      <c r="AC75" s="306">
        <f>+AC275</f>
        <v>0.11967849676437564</v>
      </c>
      <c r="AD75" s="307"/>
      <c r="AE75" s="308"/>
      <c r="AF75" s="308"/>
      <c r="AG75" s="309"/>
      <c r="AH75" s="306">
        <f>+AH275</f>
        <v>0.12384487810271982</v>
      </c>
      <c r="AI75" s="307"/>
      <c r="AJ75" s="308"/>
      <c r="AK75" s="308"/>
      <c r="AL75" s="309"/>
      <c r="AM75" s="306">
        <f>+AM275</f>
        <v>0.11058108288300567</v>
      </c>
      <c r="AN75" s="307"/>
      <c r="AO75" s="308"/>
      <c r="AP75" s="308"/>
      <c r="AQ75" s="309"/>
      <c r="AR75" s="306">
        <f>+AR275</f>
        <v>9.9683628160927393E-2</v>
      </c>
      <c r="AS75" s="307"/>
      <c r="AT75" s="308"/>
      <c r="AU75" s="308"/>
      <c r="AV75" s="309"/>
      <c r="AW75" s="306">
        <f>+AW275</f>
        <v>0.10219058687874752</v>
      </c>
      <c r="AX75" s="307"/>
      <c r="AY75" s="308"/>
      <c r="AZ75" s="308"/>
      <c r="BA75" s="309"/>
      <c r="BB75" s="306">
        <f>+BB275</f>
        <v>0.1025314329857194</v>
      </c>
      <c r="BC75" s="307"/>
      <c r="BD75" s="308"/>
      <c r="BE75" s="308"/>
      <c r="BF75" s="309"/>
      <c r="BG75" s="306">
        <f>+BG275</f>
        <v>0.10019920529494612</v>
      </c>
      <c r="BH75" s="307"/>
      <c r="BI75" s="308"/>
      <c r="BJ75" s="308"/>
      <c r="BK75" s="309"/>
      <c r="BL75" s="306">
        <f>+BL275</f>
        <v>0.10015977967124358</v>
      </c>
      <c r="BM75" s="307"/>
      <c r="BN75" s="308"/>
      <c r="BO75" s="308"/>
      <c r="BP75" s="309"/>
      <c r="BQ75" s="306">
        <f>+BQ275</f>
        <v>9.9990635677114442E-2</v>
      </c>
      <c r="BR75" s="288"/>
    </row>
    <row r="76" spans="1:102" x14ac:dyDescent="0.2">
      <c r="C76" s="26"/>
      <c r="E76" s="273"/>
      <c r="F76" s="274"/>
      <c r="G76" s="274"/>
      <c r="H76" s="275"/>
      <c r="I76" s="169"/>
      <c r="J76" s="273"/>
      <c r="K76" s="274"/>
      <c r="L76" s="274"/>
      <c r="M76" s="275"/>
      <c r="N76" s="169"/>
      <c r="O76" s="273"/>
      <c r="P76" s="274"/>
      <c r="Q76" s="274"/>
      <c r="R76" s="275"/>
      <c r="S76" s="169"/>
      <c r="T76" s="273"/>
      <c r="U76" s="274"/>
      <c r="V76" s="274"/>
      <c r="W76" s="275"/>
      <c r="X76" s="169"/>
      <c r="Y76" s="273"/>
      <c r="Z76" s="274"/>
      <c r="AA76" s="274"/>
      <c r="AB76" s="275"/>
      <c r="AC76" s="169"/>
      <c r="AD76" s="273"/>
      <c r="AE76" s="274"/>
      <c r="AF76" s="274"/>
      <c r="AG76" s="275"/>
      <c r="AH76" s="169"/>
      <c r="AI76" s="273"/>
      <c r="AJ76" s="274"/>
      <c r="AK76" s="274"/>
      <c r="AL76" s="275"/>
      <c r="AM76" s="169"/>
      <c r="AN76" s="273"/>
      <c r="AO76" s="274"/>
      <c r="AP76" s="274"/>
      <c r="AQ76" s="275"/>
      <c r="AR76" s="169"/>
      <c r="AS76" s="273"/>
      <c r="AT76" s="274"/>
      <c r="AU76" s="274"/>
      <c r="AV76" s="275"/>
      <c r="AW76" s="169"/>
      <c r="AX76" s="273"/>
      <c r="AY76" s="274"/>
      <c r="AZ76" s="274"/>
      <c r="BA76" s="275"/>
      <c r="BB76" s="169"/>
      <c r="BC76" s="273"/>
      <c r="BD76" s="274"/>
      <c r="BE76" s="274"/>
      <c r="BF76" s="275"/>
      <c r="BG76" s="169"/>
      <c r="BH76" s="273"/>
      <c r="BI76" s="274"/>
      <c r="BJ76" s="274"/>
      <c r="BK76" s="275"/>
      <c r="BL76" s="169"/>
      <c r="BM76" s="273"/>
      <c r="BN76" s="274"/>
      <c r="BO76" s="274"/>
      <c r="BP76" s="275"/>
      <c r="BQ76" s="169"/>
    </row>
    <row r="77" spans="1:102" x14ac:dyDescent="0.2">
      <c r="C77" s="26"/>
      <c r="E77" s="273"/>
      <c r="F77" s="274"/>
      <c r="G77" s="274"/>
      <c r="H77" s="275"/>
      <c r="I77" s="169"/>
      <c r="J77" s="273"/>
      <c r="K77" s="274"/>
      <c r="L77" s="274"/>
      <c r="M77" s="275"/>
      <c r="N77" s="169"/>
      <c r="O77" s="273"/>
      <c r="P77" s="274"/>
      <c r="Q77" s="274"/>
      <c r="R77" s="275"/>
      <c r="S77" s="169"/>
      <c r="T77" s="273"/>
      <c r="U77" s="274"/>
      <c r="V77" s="274"/>
      <c r="W77" s="275"/>
      <c r="X77" s="169"/>
      <c r="Y77" s="273"/>
      <c r="Z77" s="274"/>
      <c r="AA77" s="274"/>
      <c r="AB77" s="275"/>
      <c r="AC77" s="169"/>
      <c r="AD77" s="273"/>
      <c r="AE77" s="274"/>
      <c r="AF77" s="274"/>
      <c r="AG77" s="275"/>
      <c r="AH77" s="169"/>
      <c r="AI77" s="273"/>
      <c r="AJ77" s="274"/>
      <c r="AK77" s="274"/>
      <c r="AL77" s="275"/>
      <c r="AM77" s="169"/>
      <c r="AN77" s="273"/>
      <c r="AO77" s="274"/>
      <c r="AP77" s="274"/>
      <c r="AQ77" s="275"/>
      <c r="AR77" s="169"/>
      <c r="AS77" s="902"/>
      <c r="AT77" s="903"/>
      <c r="AU77" s="903"/>
      <c r="AV77" s="904"/>
      <c r="AW77" s="897"/>
      <c r="AX77" s="902"/>
      <c r="AY77" s="903"/>
      <c r="AZ77" s="903"/>
      <c r="BA77" s="904"/>
      <c r="BB77" s="897"/>
      <c r="BC77" s="902"/>
      <c r="BD77" s="903"/>
      <c r="BE77" s="903"/>
      <c r="BF77" s="904"/>
      <c r="BG77" s="897"/>
      <c r="BH77" s="902"/>
      <c r="BI77" s="903"/>
      <c r="BJ77" s="903"/>
      <c r="BK77" s="904"/>
      <c r="BL77" s="897"/>
      <c r="BM77" s="902"/>
      <c r="BN77" s="903"/>
      <c r="BO77" s="903"/>
      <c r="BP77" s="904"/>
      <c r="BQ77" s="897"/>
    </row>
    <row r="78" spans="1:102" x14ac:dyDescent="0.2">
      <c r="B78" s="16" t="s">
        <v>256</v>
      </c>
      <c r="C78" s="16"/>
      <c r="D78" s="17"/>
      <c r="E78" s="273"/>
      <c r="F78" s="274"/>
      <c r="G78" s="274"/>
      <c r="H78" s="275"/>
      <c r="I78" s="169"/>
      <c r="J78" s="273"/>
      <c r="K78" s="274"/>
      <c r="L78" s="274"/>
      <c r="M78" s="275"/>
      <c r="N78" s="169"/>
      <c r="O78" s="273"/>
      <c r="P78" s="274"/>
      <c r="Q78" s="274"/>
      <c r="R78" s="275"/>
      <c r="S78" s="169"/>
      <c r="T78" s="273"/>
      <c r="U78" s="274"/>
      <c r="V78" s="274"/>
      <c r="W78" s="275"/>
      <c r="X78" s="169"/>
      <c r="Y78" s="273"/>
      <c r="Z78" s="274"/>
      <c r="AA78" s="274"/>
      <c r="AB78" s="275"/>
      <c r="AC78" s="169"/>
      <c r="AD78" s="273"/>
      <c r="AE78" s="274"/>
      <c r="AF78" s="274"/>
      <c r="AG78" s="275"/>
      <c r="AH78" s="169"/>
      <c r="AI78" s="273"/>
      <c r="AJ78" s="274"/>
      <c r="AK78" s="274"/>
      <c r="AL78" s="275"/>
      <c r="AM78" s="169"/>
      <c r="AN78" s="273"/>
      <c r="AO78" s="274"/>
      <c r="AP78" s="274"/>
      <c r="AQ78" s="275"/>
      <c r="AR78" s="169"/>
      <c r="AS78" s="273"/>
      <c r="AT78" s="274"/>
      <c r="AU78" s="274"/>
      <c r="AV78" s="275"/>
      <c r="AW78" s="169"/>
      <c r="AX78" s="273"/>
      <c r="AY78" s="274"/>
      <c r="AZ78" s="274"/>
      <c r="BA78" s="275"/>
      <c r="BB78" s="169"/>
      <c r="BC78" s="273"/>
      <c r="BD78" s="274"/>
      <c r="BE78" s="274"/>
      <c r="BF78" s="275"/>
      <c r="BG78" s="169"/>
      <c r="BH78" s="273"/>
      <c r="BI78" s="274"/>
      <c r="BJ78" s="274"/>
      <c r="BK78" s="275"/>
      <c r="BL78" s="169"/>
      <c r="BM78" s="273"/>
      <c r="BN78" s="274"/>
      <c r="BO78" s="274"/>
      <c r="BP78" s="275"/>
      <c r="BQ78" s="169"/>
    </row>
    <row r="79" spans="1:102" x14ac:dyDescent="0.2">
      <c r="C79" s="26"/>
      <c r="E79" s="273"/>
      <c r="F79" s="274"/>
      <c r="G79" s="274"/>
      <c r="H79" s="275"/>
      <c r="I79" s="169"/>
      <c r="J79" s="273"/>
      <c r="K79" s="274"/>
      <c r="L79" s="274"/>
      <c r="M79" s="275"/>
      <c r="N79" s="169"/>
      <c r="O79" s="273"/>
      <c r="P79" s="274"/>
      <c r="Q79" s="274"/>
      <c r="R79" s="275"/>
      <c r="S79" s="169"/>
      <c r="T79" s="273"/>
      <c r="U79" s="274"/>
      <c r="V79" s="274"/>
      <c r="W79" s="275"/>
      <c r="X79" s="169"/>
      <c r="Y79" s="273"/>
      <c r="Z79" s="274"/>
      <c r="AA79" s="274"/>
      <c r="AB79" s="275"/>
      <c r="AC79" s="169"/>
      <c r="AD79" s="273"/>
      <c r="AE79" s="274"/>
      <c r="AF79" s="274"/>
      <c r="AG79" s="275"/>
      <c r="AH79" s="169"/>
      <c r="AI79" s="273"/>
      <c r="AJ79" s="274"/>
      <c r="AK79" s="274"/>
      <c r="AL79" s="275"/>
      <c r="AM79" s="169"/>
      <c r="AN79" s="273"/>
      <c r="AO79" s="274"/>
      <c r="AP79" s="274"/>
      <c r="AQ79" s="275"/>
      <c r="AR79" s="169"/>
      <c r="AS79" s="273"/>
      <c r="AT79" s="274"/>
      <c r="AU79" s="274"/>
      <c r="AV79" s="275"/>
      <c r="AW79" s="169"/>
      <c r="AX79" s="273"/>
      <c r="AY79" s="274"/>
      <c r="AZ79" s="274"/>
      <c r="BA79" s="275"/>
      <c r="BB79" s="169"/>
      <c r="BC79" s="273"/>
      <c r="BD79" s="274"/>
      <c r="BE79" s="274"/>
      <c r="BF79" s="275"/>
      <c r="BG79" s="169"/>
      <c r="BH79" s="273"/>
      <c r="BI79" s="274"/>
      <c r="BJ79" s="274"/>
      <c r="BK79" s="275"/>
      <c r="BL79" s="169"/>
      <c r="BM79" s="273"/>
      <c r="BN79" s="274"/>
      <c r="BO79" s="274"/>
      <c r="BP79" s="275"/>
      <c r="BQ79" s="169"/>
    </row>
    <row r="80" spans="1:102" x14ac:dyDescent="0.2">
      <c r="A80" s="610"/>
      <c r="B80" s="610"/>
      <c r="C80" s="562" t="s">
        <v>411</v>
      </c>
      <c r="D80" s="610"/>
      <c r="E80" s="273"/>
      <c r="F80" s="611"/>
      <c r="G80" s="616"/>
      <c r="H80" s="275"/>
      <c r="I80" s="612"/>
      <c r="J80" s="273"/>
      <c r="K80" s="611"/>
      <c r="L80" s="611"/>
      <c r="M80" s="275"/>
      <c r="N80" s="612"/>
      <c r="O80" s="273"/>
      <c r="P80" s="611"/>
      <c r="Q80" s="611"/>
      <c r="R80" s="275"/>
      <c r="S80" s="612"/>
      <c r="T80" s="273"/>
      <c r="U80" s="611"/>
      <c r="V80" s="611"/>
      <c r="W80" s="275"/>
      <c r="X80" s="612"/>
      <c r="Y80" s="273"/>
      <c r="Z80" s="611"/>
      <c r="AA80" s="611"/>
      <c r="AB80" s="275"/>
      <c r="AC80" s="612"/>
      <c r="AD80" s="273"/>
      <c r="AE80" s="611"/>
      <c r="AF80" s="611"/>
      <c r="AG80" s="275"/>
      <c r="AH80" s="612"/>
      <c r="AI80" s="273"/>
      <c r="AJ80" s="611"/>
      <c r="AK80" s="611"/>
      <c r="AL80" s="275"/>
      <c r="AM80" s="612"/>
      <c r="AN80" s="273"/>
      <c r="AO80" s="611"/>
      <c r="AP80" s="611"/>
      <c r="AQ80" s="275"/>
      <c r="AR80" s="612"/>
      <c r="AS80" s="273"/>
      <c r="AT80" s="611"/>
      <c r="AU80" s="611"/>
      <c r="AV80" s="275"/>
      <c r="AW80" s="612"/>
      <c r="AX80" s="273"/>
      <c r="AY80" s="611"/>
      <c r="AZ80" s="611"/>
      <c r="BA80" s="275"/>
      <c r="BB80" s="612"/>
      <c r="BC80" s="273"/>
      <c r="BD80" s="611"/>
      <c r="BE80" s="611"/>
      <c r="BF80" s="275"/>
      <c r="BG80" s="612"/>
      <c r="BH80" s="273"/>
      <c r="BI80" s="611"/>
      <c r="BJ80" s="611"/>
      <c r="BK80" s="275"/>
      <c r="BL80" s="612"/>
      <c r="BM80" s="273"/>
      <c r="BN80" s="611"/>
      <c r="BO80" s="611"/>
      <c r="BP80" s="275"/>
      <c r="BQ80" s="612"/>
      <c r="BR80" s="610"/>
      <c r="BS80" s="610"/>
      <c r="BT80" s="610"/>
      <c r="BU80" s="610"/>
      <c r="BV80" s="610"/>
      <c r="BW80" s="610"/>
      <c r="BX80" s="610"/>
      <c r="BY80" s="610"/>
      <c r="BZ80" s="610"/>
      <c r="CA80" s="610"/>
      <c r="CB80" s="610"/>
      <c r="CC80" s="610"/>
      <c r="CD80" s="610"/>
      <c r="CE80" s="610"/>
      <c r="CF80" s="610"/>
      <c r="CG80" s="610"/>
      <c r="CH80" s="610"/>
      <c r="CI80" s="610"/>
      <c r="CJ80" s="610"/>
      <c r="CK80" s="610"/>
      <c r="CL80" s="610"/>
      <c r="CM80" s="610"/>
      <c r="CN80" s="610"/>
      <c r="CO80" s="610"/>
      <c r="CP80" s="610"/>
      <c r="CQ80" s="610"/>
      <c r="CR80" s="610"/>
      <c r="CS80" s="610"/>
      <c r="CT80" s="610"/>
      <c r="CU80" s="610"/>
      <c r="CV80" s="610"/>
      <c r="CW80" s="610"/>
      <c r="CX80" s="610"/>
    </row>
    <row r="81" spans="1:104" x14ac:dyDescent="0.2">
      <c r="A81" s="610"/>
      <c r="B81" s="610"/>
      <c r="C81" s="610" t="s">
        <v>273</v>
      </c>
      <c r="D81" s="610"/>
      <c r="E81" s="114">
        <v>63.591000000000001</v>
      </c>
      <c r="F81" s="133">
        <v>44.069000000000003</v>
      </c>
      <c r="G81" s="133">
        <v>49.482999999999997</v>
      </c>
      <c r="H81" s="116">
        <f>I81-SUM(E81:G81)</f>
        <v>52.111999999999995</v>
      </c>
      <c r="I81" s="613">
        <v>209.255</v>
      </c>
      <c r="J81" s="114">
        <v>57.142000000000003</v>
      </c>
      <c r="K81" s="133">
        <v>44.847000000000001</v>
      </c>
      <c r="L81" s="133">
        <v>58.734000000000002</v>
      </c>
      <c r="M81" s="116">
        <f>N81-SUM(J81:L81)</f>
        <v>53.236999999999995</v>
      </c>
      <c r="N81" s="613">
        <v>213.96</v>
      </c>
      <c r="O81" s="114">
        <v>60.832999999999998</v>
      </c>
      <c r="P81" s="133">
        <v>49.673999999999999</v>
      </c>
      <c r="Q81" s="133">
        <v>61.831000000000003</v>
      </c>
      <c r="R81" s="116">
        <f>S81-SUM(O81:Q81)</f>
        <v>53.82099999999997</v>
      </c>
      <c r="S81" s="613">
        <v>226.15899999999999</v>
      </c>
      <c r="T81" s="114">
        <v>56.61</v>
      </c>
      <c r="U81" s="133">
        <v>50.069000000000003</v>
      </c>
      <c r="V81" s="133">
        <v>62.148000000000003</v>
      </c>
      <c r="W81" s="116">
        <f>X81-SUM(T81:V81)</f>
        <v>54.364000000000004</v>
      </c>
      <c r="X81" s="613">
        <v>223.191</v>
      </c>
      <c r="Y81" s="114">
        <v>66.203000000000003</v>
      </c>
      <c r="Z81" s="133">
        <v>53.985999999999997</v>
      </c>
      <c r="AA81" s="133">
        <v>66.013000000000005</v>
      </c>
      <c r="AB81" s="116">
        <f>AC81-SUM(Y81:AA81)</f>
        <v>60.878999999999991</v>
      </c>
      <c r="AC81" s="613">
        <v>247.08099999999999</v>
      </c>
      <c r="AD81" s="114">
        <v>73.674000000000007</v>
      </c>
      <c r="AE81" s="133">
        <v>56.73</v>
      </c>
      <c r="AF81" s="133">
        <v>61.585999999999999</v>
      </c>
      <c r="AG81" s="116">
        <f>AH81-SUM(AD81:AF81)</f>
        <v>62.286999999999978</v>
      </c>
      <c r="AH81" s="613">
        <v>254.27699999999999</v>
      </c>
      <c r="AI81" s="114">
        <v>69.498999999999995</v>
      </c>
      <c r="AJ81" s="133">
        <v>51.792000000000002</v>
      </c>
      <c r="AK81" s="133">
        <v>65.998999999999995</v>
      </c>
      <c r="AL81" s="116">
        <f>AM81-SUM(AI81:AK81)</f>
        <v>57.12700000000001</v>
      </c>
      <c r="AM81" s="613">
        <v>244.417</v>
      </c>
      <c r="AN81" s="114">
        <v>65.63</v>
      </c>
      <c r="AO81" s="133">
        <v>55.113999999999997</v>
      </c>
      <c r="AP81" s="133">
        <v>68.182000000000002</v>
      </c>
      <c r="AQ81" s="116">
        <f>AR81-SUM(AN81:AP81)</f>
        <v>59.550000000000011</v>
      </c>
      <c r="AR81" s="613">
        <v>248.476</v>
      </c>
      <c r="AS81" s="114">
        <v>67.194999999999993</v>
      </c>
      <c r="AT81" s="133">
        <v>57.070999999999998</v>
      </c>
      <c r="AU81" s="133">
        <f>190.150657-SUM(AS81:AT81)</f>
        <v>65.884657000000004</v>
      </c>
      <c r="AV81" s="116">
        <f>AW81-SUM(AS81:AU81)</f>
        <v>63.99334300000001</v>
      </c>
      <c r="AW81" s="613">
        <v>254.14400000000001</v>
      </c>
      <c r="AX81" s="121"/>
      <c r="AY81" s="130"/>
      <c r="AZ81" s="130"/>
      <c r="BA81" s="123"/>
      <c r="BB81" s="612"/>
      <c r="BC81" s="121"/>
      <c r="BD81" s="130"/>
      <c r="BE81" s="130"/>
      <c r="BF81" s="123"/>
      <c r="BG81" s="612"/>
      <c r="BH81" s="121"/>
      <c r="BI81" s="130"/>
      <c r="BJ81" s="130"/>
      <c r="BK81" s="123"/>
      <c r="BL81" s="612"/>
      <c r="BM81" s="121"/>
      <c r="BN81" s="130"/>
      <c r="BO81" s="130"/>
      <c r="BP81" s="123"/>
      <c r="BQ81" s="612"/>
      <c r="BR81" s="610"/>
      <c r="BS81" s="610"/>
      <c r="BT81" s="610"/>
      <c r="BU81" s="610"/>
      <c r="BV81" s="610"/>
      <c r="BW81" s="610"/>
      <c r="BX81" s="610"/>
      <c r="BY81" s="610"/>
      <c r="BZ81" s="610"/>
      <c r="CA81" s="610"/>
      <c r="CB81" s="610"/>
      <c r="CC81" s="610"/>
      <c r="CD81" s="610"/>
      <c r="CE81" s="610"/>
      <c r="CF81" s="610"/>
      <c r="CG81" s="610"/>
      <c r="CH81" s="610"/>
      <c r="CI81" s="610"/>
      <c r="CJ81" s="610"/>
      <c r="CK81" s="610"/>
      <c r="CL81" s="610"/>
      <c r="CM81" s="610"/>
      <c r="CN81" s="610"/>
      <c r="CO81" s="610"/>
      <c r="CP81" s="610"/>
      <c r="CQ81" s="610"/>
      <c r="CR81" s="610"/>
      <c r="CS81" s="610"/>
      <c r="CT81" s="610"/>
      <c r="CU81" s="610"/>
      <c r="CV81" s="610"/>
      <c r="CW81" s="610"/>
      <c r="CX81" s="610"/>
    </row>
    <row r="82" spans="1:104" x14ac:dyDescent="0.2">
      <c r="A82" s="610"/>
      <c r="B82" s="610"/>
      <c r="C82" s="610" t="s">
        <v>412</v>
      </c>
      <c r="D82" s="610"/>
      <c r="E82" s="114">
        <v>57.216999999999999</v>
      </c>
      <c r="F82" s="133">
        <v>54.094999999999999</v>
      </c>
      <c r="G82" s="133">
        <v>61.832999999999998</v>
      </c>
      <c r="H82" s="116">
        <f>I82-SUM(E82:G82)</f>
        <v>52.868000000000023</v>
      </c>
      <c r="I82" s="613">
        <v>226.01300000000001</v>
      </c>
      <c r="J82" s="114">
        <v>56.165999999999997</v>
      </c>
      <c r="K82" s="133">
        <v>57.454000000000001</v>
      </c>
      <c r="L82" s="133">
        <v>66.667000000000002</v>
      </c>
      <c r="M82" s="116">
        <f>N82-SUM(J82:L82)</f>
        <v>55.438999999999993</v>
      </c>
      <c r="N82" s="613">
        <v>235.726</v>
      </c>
      <c r="O82" s="114">
        <v>56.526000000000003</v>
      </c>
      <c r="P82" s="133">
        <v>57.709000000000003</v>
      </c>
      <c r="Q82" s="133">
        <v>69.463999999999999</v>
      </c>
      <c r="R82" s="116">
        <f>S82-SUM(O82:Q82)</f>
        <v>56.468999999999994</v>
      </c>
      <c r="S82" s="613">
        <v>240.16800000000001</v>
      </c>
      <c r="T82" s="114">
        <v>57.029000000000003</v>
      </c>
      <c r="U82" s="133">
        <v>59.095999999999997</v>
      </c>
      <c r="V82" s="133">
        <v>73.025999999999996</v>
      </c>
      <c r="W82" s="116">
        <f>X82-SUM(T82:V82)</f>
        <v>57.851999999999975</v>
      </c>
      <c r="X82" s="613">
        <v>247.00299999999999</v>
      </c>
      <c r="Y82" s="114">
        <v>61.436</v>
      </c>
      <c r="Z82" s="133">
        <v>65.305999999999997</v>
      </c>
      <c r="AA82" s="133">
        <v>76.692999999999998</v>
      </c>
      <c r="AB82" s="116">
        <f>AC82-SUM(Y82:AA82)</f>
        <v>64.36099999999999</v>
      </c>
      <c r="AC82" s="613">
        <v>267.79599999999999</v>
      </c>
      <c r="AD82" s="114">
        <v>67.613</v>
      </c>
      <c r="AE82" s="133">
        <v>69.397000000000006</v>
      </c>
      <c r="AF82" s="133">
        <v>77.337999999999994</v>
      </c>
      <c r="AG82" s="116">
        <f>AH82-SUM(AD82:AF82)</f>
        <v>67.668000000000035</v>
      </c>
      <c r="AH82" s="613">
        <v>282.01600000000002</v>
      </c>
      <c r="AI82" s="114">
        <v>67.293999999999997</v>
      </c>
      <c r="AJ82" s="133">
        <v>69.057000000000002</v>
      </c>
      <c r="AK82" s="133">
        <v>81.206999999999994</v>
      </c>
      <c r="AL82" s="116">
        <f>AM82-SUM(AI82:AK82)</f>
        <v>66.869000000000028</v>
      </c>
      <c r="AM82" s="613">
        <v>284.42700000000002</v>
      </c>
      <c r="AN82" s="114">
        <v>67.128</v>
      </c>
      <c r="AO82" s="133">
        <v>70.084999999999994</v>
      </c>
      <c r="AP82" s="133">
        <v>81.58</v>
      </c>
      <c r="AQ82" s="116">
        <f>AR82-SUM(AN82:AP82)</f>
        <v>68.266999999999996</v>
      </c>
      <c r="AR82" s="613">
        <v>287.06</v>
      </c>
      <c r="AS82" s="114">
        <v>69.834999999999994</v>
      </c>
      <c r="AT82" s="133">
        <v>74.192999999999998</v>
      </c>
      <c r="AU82" s="133">
        <f>227.255655-SUM(AS82:AT82)</f>
        <v>83.227654999999999</v>
      </c>
      <c r="AV82" s="116">
        <f>AW82-SUM(AS82:AU82)</f>
        <v>71.797345000000007</v>
      </c>
      <c r="AW82" s="613">
        <v>299.053</v>
      </c>
      <c r="AX82" s="121"/>
      <c r="AY82" s="130"/>
      <c r="AZ82" s="130"/>
      <c r="BA82" s="123"/>
      <c r="BB82" s="612"/>
      <c r="BC82" s="121"/>
      <c r="BD82" s="130"/>
      <c r="BE82" s="130"/>
      <c r="BF82" s="123"/>
      <c r="BG82" s="612"/>
      <c r="BH82" s="121"/>
      <c r="BI82" s="130"/>
      <c r="BJ82" s="130"/>
      <c r="BK82" s="123"/>
      <c r="BL82" s="612"/>
      <c r="BM82" s="121"/>
      <c r="BN82" s="130"/>
      <c r="BO82" s="130"/>
      <c r="BP82" s="123"/>
      <c r="BQ82" s="612"/>
      <c r="BR82" s="610"/>
      <c r="BS82" s="610"/>
      <c r="BT82" s="610"/>
      <c r="BU82" s="610"/>
      <c r="BV82" s="610"/>
      <c r="BW82" s="610"/>
      <c r="BX82" s="610"/>
      <c r="BY82" s="610"/>
      <c r="BZ82" s="610"/>
      <c r="CA82" s="610"/>
      <c r="CB82" s="610"/>
      <c r="CC82" s="610"/>
      <c r="CD82" s="610"/>
      <c r="CE82" s="610"/>
      <c r="CF82" s="610"/>
      <c r="CG82" s="610"/>
      <c r="CH82" s="610"/>
      <c r="CI82" s="610"/>
      <c r="CJ82" s="610"/>
      <c r="CK82" s="610"/>
      <c r="CL82" s="610"/>
      <c r="CM82" s="610"/>
      <c r="CN82" s="610"/>
      <c r="CO82" s="610"/>
      <c r="CP82" s="610"/>
      <c r="CQ82" s="610"/>
      <c r="CR82" s="610"/>
      <c r="CS82" s="610"/>
      <c r="CT82" s="610"/>
      <c r="CU82" s="610"/>
      <c r="CV82" s="610"/>
      <c r="CW82" s="610"/>
      <c r="CX82" s="610"/>
    </row>
    <row r="83" spans="1:104" x14ac:dyDescent="0.2">
      <c r="A83" s="610"/>
      <c r="B83" s="610"/>
      <c r="C83" s="610" t="s">
        <v>413</v>
      </c>
      <c r="D83" s="610"/>
      <c r="E83" s="114">
        <v>29.864999999999998</v>
      </c>
      <c r="F83" s="133">
        <v>25.632999999999999</v>
      </c>
      <c r="G83" s="133">
        <v>29.414999999999999</v>
      </c>
      <c r="H83" s="116">
        <f>I83-SUM(E83:G83)</f>
        <v>25.403000000000006</v>
      </c>
      <c r="I83" s="613">
        <v>110.316</v>
      </c>
      <c r="J83" s="114">
        <v>21.638000000000002</v>
      </c>
      <c r="K83" s="133">
        <v>24.744</v>
      </c>
      <c r="L83" s="133">
        <v>31.07</v>
      </c>
      <c r="M83" s="116">
        <f>N83-SUM(J83:L83)</f>
        <v>24.61</v>
      </c>
      <c r="N83" s="613">
        <v>102.062</v>
      </c>
      <c r="O83" s="114">
        <v>26.033999999999999</v>
      </c>
      <c r="P83" s="133">
        <v>28.614000000000001</v>
      </c>
      <c r="Q83" s="133">
        <v>33.439</v>
      </c>
      <c r="R83" s="116">
        <f>S83-SUM(O83:Q83)</f>
        <v>28.628000000000014</v>
      </c>
      <c r="S83" s="613">
        <v>116.715</v>
      </c>
      <c r="T83" s="114">
        <v>28.145</v>
      </c>
      <c r="U83" s="133">
        <v>30.442</v>
      </c>
      <c r="V83" s="133">
        <v>34.130000000000003</v>
      </c>
      <c r="W83" s="116">
        <f>X83-SUM(T83:V83)</f>
        <v>27.97699999999999</v>
      </c>
      <c r="X83" s="613">
        <v>120.694</v>
      </c>
      <c r="Y83" s="114">
        <v>28.417000000000002</v>
      </c>
      <c r="Z83" s="133">
        <v>30.637</v>
      </c>
      <c r="AA83" s="133">
        <v>35.369</v>
      </c>
      <c r="AB83" s="116">
        <f>AC83-SUM(Y83:AA83)</f>
        <v>30.727999999999994</v>
      </c>
      <c r="AC83" s="613">
        <v>125.151</v>
      </c>
      <c r="AD83" s="114">
        <v>30.471</v>
      </c>
      <c r="AE83" s="133">
        <v>33.607999999999997</v>
      </c>
      <c r="AF83" s="133">
        <v>38.588000000000001</v>
      </c>
      <c r="AG83" s="116">
        <f>AH83-SUM(AD83:AF83)</f>
        <v>33.768000000000001</v>
      </c>
      <c r="AH83" s="613">
        <v>136.435</v>
      </c>
      <c r="AI83" s="114">
        <v>32.834000000000003</v>
      </c>
      <c r="AJ83" s="133">
        <v>35.067999999999998</v>
      </c>
      <c r="AK83" s="133">
        <v>39.200000000000003</v>
      </c>
      <c r="AL83" s="116">
        <f>AM83-SUM(AI83:AK83)</f>
        <v>33.905000000000001</v>
      </c>
      <c r="AM83" s="613">
        <v>141.00700000000001</v>
      </c>
      <c r="AN83" s="114">
        <v>33.856999999999999</v>
      </c>
      <c r="AO83" s="133">
        <v>35.654000000000003</v>
      </c>
      <c r="AP83" s="133">
        <v>39.636000000000003</v>
      </c>
      <c r="AQ83" s="116">
        <f>AR83-SUM(AN83:AP83)</f>
        <v>33.795000000000016</v>
      </c>
      <c r="AR83" s="613">
        <v>142.94200000000001</v>
      </c>
      <c r="AS83" s="114">
        <v>33.706000000000003</v>
      </c>
      <c r="AT83" s="133">
        <v>37.085000000000001</v>
      </c>
      <c r="AU83" s="133">
        <f>113.344342-SUM(AS83:AT83)</f>
        <v>42.553342000000001</v>
      </c>
      <c r="AV83" s="116">
        <f>AW83-SUM(AS83:AU83)</f>
        <v>38.000658000000001</v>
      </c>
      <c r="AW83" s="613">
        <v>151.345</v>
      </c>
      <c r="AX83" s="121"/>
      <c r="AY83" s="130"/>
      <c r="AZ83" s="130"/>
      <c r="BA83" s="123"/>
      <c r="BB83" s="612"/>
      <c r="BC83" s="121"/>
      <c r="BD83" s="130"/>
      <c r="BE83" s="130"/>
      <c r="BF83" s="123"/>
      <c r="BG83" s="612"/>
      <c r="BH83" s="121"/>
      <c r="BI83" s="130"/>
      <c r="BJ83" s="130"/>
      <c r="BK83" s="123"/>
      <c r="BL83" s="612"/>
      <c r="BM83" s="121"/>
      <c r="BN83" s="130"/>
      <c r="BO83" s="130"/>
      <c r="BP83" s="123"/>
      <c r="BQ83" s="612"/>
      <c r="BR83" s="610"/>
      <c r="BS83" s="610"/>
      <c r="BT83" s="610"/>
      <c r="BU83" s="610"/>
      <c r="BV83" s="610"/>
      <c r="BW83" s="610"/>
      <c r="BX83" s="610"/>
      <c r="BY83" s="610"/>
      <c r="BZ83" s="610"/>
      <c r="CA83" s="610"/>
      <c r="CB83" s="610"/>
      <c r="CC83" s="610"/>
      <c r="CD83" s="610"/>
      <c r="CE83" s="610"/>
      <c r="CF83" s="610"/>
      <c r="CG83" s="610"/>
      <c r="CH83" s="610"/>
      <c r="CI83" s="610"/>
      <c r="CJ83" s="610"/>
      <c r="CK83" s="610"/>
      <c r="CL83" s="610"/>
      <c r="CM83" s="610"/>
      <c r="CN83" s="610"/>
      <c r="CO83" s="610"/>
      <c r="CP83" s="610"/>
      <c r="CQ83" s="610"/>
      <c r="CR83" s="610"/>
      <c r="CS83" s="610"/>
      <c r="CT83" s="610"/>
      <c r="CU83" s="610"/>
      <c r="CV83" s="610"/>
      <c r="CW83" s="610"/>
      <c r="CX83" s="610"/>
    </row>
    <row r="84" spans="1:104" x14ac:dyDescent="0.2">
      <c r="A84" s="610"/>
      <c r="B84" s="610"/>
      <c r="C84" s="610" t="s">
        <v>97</v>
      </c>
      <c r="D84" s="610"/>
      <c r="E84" s="114">
        <v>1.609</v>
      </c>
      <c r="F84" s="133">
        <v>1.351</v>
      </c>
      <c r="G84" s="133">
        <v>1.3640000000000001</v>
      </c>
      <c r="H84" s="116">
        <f>I84-SUM(E84:G84)</f>
        <v>1.4020000000000001</v>
      </c>
      <c r="I84" s="613">
        <v>5.726</v>
      </c>
      <c r="J84" s="114">
        <v>1.3959999999999999</v>
      </c>
      <c r="K84" s="133">
        <v>1.36</v>
      </c>
      <c r="L84" s="133">
        <v>1.343</v>
      </c>
      <c r="M84" s="116">
        <f>N84-SUM(J84:L84)</f>
        <v>1.1559999999999997</v>
      </c>
      <c r="N84" s="613">
        <v>5.2549999999999999</v>
      </c>
      <c r="O84" s="114">
        <v>1.357</v>
      </c>
      <c r="P84" s="133">
        <v>1.413</v>
      </c>
      <c r="Q84" s="133">
        <v>1.41</v>
      </c>
      <c r="R84" s="116">
        <f>S84-SUM(O84:Q84)</f>
        <v>1.4770000000000003</v>
      </c>
      <c r="S84" s="613">
        <v>5.657</v>
      </c>
      <c r="T84" s="114">
        <v>1.5629999999999999</v>
      </c>
      <c r="U84" s="133">
        <v>1.4259999999999999</v>
      </c>
      <c r="V84" s="133">
        <v>1.4239999999999999</v>
      </c>
      <c r="W84" s="116">
        <f>X84-SUM(T84:V84)</f>
        <v>1.3489999999999993</v>
      </c>
      <c r="X84" s="613">
        <v>5.7619999999999996</v>
      </c>
      <c r="Y84" s="114">
        <v>1.4990000000000001</v>
      </c>
      <c r="Z84" s="133">
        <v>1.466</v>
      </c>
      <c r="AA84" s="133">
        <v>1.718</v>
      </c>
      <c r="AB84" s="116">
        <f>AC84-SUM(Y84:AA84)</f>
        <v>1.5010000000000003</v>
      </c>
      <c r="AC84" s="613">
        <v>6.1840000000000002</v>
      </c>
      <c r="AD84" s="114">
        <v>1.81</v>
      </c>
      <c r="AE84" s="133">
        <v>1.659</v>
      </c>
      <c r="AF84" s="133">
        <v>1.5640000000000001</v>
      </c>
      <c r="AG84" s="116">
        <f>AH84-SUM(AD84:AF84)</f>
        <v>1.6029999999999998</v>
      </c>
      <c r="AH84" s="613">
        <v>6.6360000000000001</v>
      </c>
      <c r="AI84" s="114">
        <v>1.7190000000000001</v>
      </c>
      <c r="AJ84" s="133">
        <v>1.595</v>
      </c>
      <c r="AK84" s="133">
        <v>1.5820000000000001</v>
      </c>
      <c r="AL84" s="116">
        <f>AM84-SUM(AI84:AK84)</f>
        <v>1.6799999999999997</v>
      </c>
      <c r="AM84" s="613">
        <v>6.5759999999999996</v>
      </c>
      <c r="AN84" s="114">
        <v>1.6759999999999999</v>
      </c>
      <c r="AO84" s="133">
        <v>1.56</v>
      </c>
      <c r="AP84" s="133">
        <v>1.5720000000000001</v>
      </c>
      <c r="AQ84" s="116">
        <f>AR84-SUM(AN84:AP84)</f>
        <v>1.2970000000000006</v>
      </c>
      <c r="AR84" s="613">
        <v>6.1050000000000004</v>
      </c>
      <c r="AS84" s="114">
        <v>1.518</v>
      </c>
      <c r="AT84" s="133">
        <v>1.71</v>
      </c>
      <c r="AU84" s="133">
        <f>(3.600756+1.009778+0.232379)-SUM(AS84:AT84)</f>
        <v>1.6149130000000005</v>
      </c>
      <c r="AV84" s="116">
        <f>AW84-SUM(AS84:AU84)</f>
        <v>1.2990870000000001</v>
      </c>
      <c r="AW84" s="613">
        <v>6.1420000000000003</v>
      </c>
      <c r="AX84" s="121"/>
      <c r="AY84" s="130"/>
      <c r="AZ84" s="130"/>
      <c r="BA84" s="123"/>
      <c r="BB84" s="612"/>
      <c r="BC84" s="121"/>
      <c r="BD84" s="130"/>
      <c r="BE84" s="130"/>
      <c r="BF84" s="123"/>
      <c r="BG84" s="612"/>
      <c r="BH84" s="121"/>
      <c r="BI84" s="130"/>
      <c r="BJ84" s="130"/>
      <c r="BK84" s="123"/>
      <c r="BL84" s="612"/>
      <c r="BM84" s="121"/>
      <c r="BN84" s="130"/>
      <c r="BO84" s="130"/>
      <c r="BP84" s="123"/>
      <c r="BQ84" s="612"/>
      <c r="BR84" s="610"/>
      <c r="BS84" s="610"/>
      <c r="BT84" s="610"/>
      <c r="BU84" s="610"/>
      <c r="BV84" s="610"/>
      <c r="BW84" s="610"/>
      <c r="BX84" s="610"/>
      <c r="BY84" s="610"/>
      <c r="BZ84" s="610"/>
      <c r="CA84" s="610"/>
      <c r="CB84" s="610"/>
      <c r="CC84" s="610"/>
      <c r="CD84" s="610"/>
      <c r="CE84" s="610"/>
      <c r="CF84" s="610"/>
      <c r="CG84" s="610"/>
      <c r="CH84" s="610"/>
      <c r="CI84" s="610"/>
      <c r="CJ84" s="610"/>
      <c r="CK84" s="610"/>
      <c r="CL84" s="610"/>
      <c r="CM84" s="610"/>
      <c r="CN84" s="610"/>
      <c r="CO84" s="610"/>
      <c r="CP84" s="610"/>
      <c r="CQ84" s="610"/>
      <c r="CR84" s="610"/>
      <c r="CS84" s="610"/>
      <c r="CT84" s="610"/>
      <c r="CU84" s="610"/>
      <c r="CV84" s="610"/>
      <c r="CW84" s="610"/>
      <c r="CX84" s="610"/>
    </row>
    <row r="85" spans="1:104" s="26" customFormat="1" x14ac:dyDescent="0.2">
      <c r="A85" s="614"/>
      <c r="B85" s="614"/>
      <c r="C85" s="614" t="s">
        <v>414</v>
      </c>
      <c r="D85" s="614"/>
      <c r="E85" s="121">
        <f t="shared" ref="E85:V85" si="193">SUM(E81:E84)</f>
        <v>152.28200000000001</v>
      </c>
      <c r="F85" s="130">
        <f t="shared" si="193"/>
        <v>125.148</v>
      </c>
      <c r="G85" s="130">
        <f t="shared" si="193"/>
        <v>142.095</v>
      </c>
      <c r="H85" s="123">
        <f t="shared" si="193"/>
        <v>131.78500000000003</v>
      </c>
      <c r="I85" s="521">
        <f t="shared" si="193"/>
        <v>551.31000000000006</v>
      </c>
      <c r="J85" s="121">
        <f t="shared" si="193"/>
        <v>136.34199999999998</v>
      </c>
      <c r="K85" s="130">
        <f t="shared" si="193"/>
        <v>128.405</v>
      </c>
      <c r="L85" s="130">
        <f>SUM(L81:L84)</f>
        <v>157.81399999999999</v>
      </c>
      <c r="M85" s="123">
        <f t="shared" si="193"/>
        <v>134.44200000000001</v>
      </c>
      <c r="N85" s="521">
        <f t="shared" si="193"/>
        <v>557.00300000000004</v>
      </c>
      <c r="O85" s="121">
        <f t="shared" si="193"/>
        <v>144.75</v>
      </c>
      <c r="P85" s="130">
        <f t="shared" si="193"/>
        <v>137.41000000000003</v>
      </c>
      <c r="Q85" s="130">
        <f t="shared" si="193"/>
        <v>166.14400000000001</v>
      </c>
      <c r="R85" s="123">
        <f t="shared" si="193"/>
        <v>140.39499999999998</v>
      </c>
      <c r="S85" s="521">
        <f t="shared" si="193"/>
        <v>588.69900000000007</v>
      </c>
      <c r="T85" s="121">
        <f t="shared" si="193"/>
        <v>143.34700000000001</v>
      </c>
      <c r="U85" s="130">
        <f t="shared" si="193"/>
        <v>141.03299999999999</v>
      </c>
      <c r="V85" s="130">
        <f t="shared" si="193"/>
        <v>170.72800000000001</v>
      </c>
      <c r="W85" s="123">
        <f t="shared" ref="W85:AD85" si="194">SUM(W81:W84)</f>
        <v>141.54199999999997</v>
      </c>
      <c r="X85" s="521">
        <f t="shared" si="194"/>
        <v>596.64999999999986</v>
      </c>
      <c r="Y85" s="121">
        <f t="shared" si="194"/>
        <v>157.55500000000001</v>
      </c>
      <c r="Z85" s="130">
        <f t="shared" si="194"/>
        <v>151.39500000000001</v>
      </c>
      <c r="AA85" s="130">
        <f t="shared" si="194"/>
        <v>179.79300000000001</v>
      </c>
      <c r="AB85" s="123">
        <f t="shared" si="194"/>
        <v>157.46899999999997</v>
      </c>
      <c r="AC85" s="521">
        <f t="shared" si="194"/>
        <v>646.21199999999988</v>
      </c>
      <c r="AD85" s="121">
        <f t="shared" si="194"/>
        <v>173.56800000000001</v>
      </c>
      <c r="AE85" s="130">
        <f t="shared" ref="AE85:AJ85" si="195">SUM(AE81:AE84)</f>
        <v>161.39400000000001</v>
      </c>
      <c r="AF85" s="130">
        <f t="shared" si="195"/>
        <v>179.07599999999996</v>
      </c>
      <c r="AG85" s="123">
        <f t="shared" si="195"/>
        <v>165.32600000000002</v>
      </c>
      <c r="AH85" s="521">
        <f t="shared" si="195"/>
        <v>679.36400000000003</v>
      </c>
      <c r="AI85" s="121">
        <f t="shared" si="195"/>
        <v>171.346</v>
      </c>
      <c r="AJ85" s="130">
        <f t="shared" si="195"/>
        <v>157.512</v>
      </c>
      <c r="AK85" s="130">
        <f t="shared" ref="AK85:AP85" si="196">SUM(AK81:AK84)</f>
        <v>187.988</v>
      </c>
      <c r="AL85" s="123">
        <f t="shared" si="196"/>
        <v>159.58100000000005</v>
      </c>
      <c r="AM85" s="521">
        <f t="shared" si="196"/>
        <v>676.42700000000013</v>
      </c>
      <c r="AN85" s="121">
        <f t="shared" si="196"/>
        <v>168.29099999999997</v>
      </c>
      <c r="AO85" s="130">
        <f t="shared" si="196"/>
        <v>162.41299999999998</v>
      </c>
      <c r="AP85" s="130">
        <f t="shared" si="196"/>
        <v>190.97</v>
      </c>
      <c r="AQ85" s="123">
        <f t="shared" ref="AQ85:AW85" si="197">SUM(AQ81:AQ84)</f>
        <v>162.90900000000002</v>
      </c>
      <c r="AR85" s="521">
        <f t="shared" si="197"/>
        <v>684.58300000000008</v>
      </c>
      <c r="AS85" s="121">
        <f t="shared" si="197"/>
        <v>172.25399999999999</v>
      </c>
      <c r="AT85" s="130">
        <f t="shared" si="197"/>
        <v>170.05900000000003</v>
      </c>
      <c r="AU85" s="547">
        <f t="shared" si="197"/>
        <v>193.28056700000002</v>
      </c>
      <c r="AV85" s="123">
        <f t="shared" si="197"/>
        <v>175.09043300000002</v>
      </c>
      <c r="AW85" s="521">
        <f t="shared" si="197"/>
        <v>710.68400000000008</v>
      </c>
      <c r="AX85" s="121">
        <f>+AX94*AX100/1000</f>
        <v>169.91197131999999</v>
      </c>
      <c r="AY85" s="130">
        <f>+AY94*AY100/1000</f>
        <v>167.74729202000003</v>
      </c>
      <c r="AZ85" s="130">
        <f>+AZ94*AZ100/1000</f>
        <v>192.04563369786001</v>
      </c>
      <c r="BA85" s="123">
        <f>+BA94*BA100/1000</f>
        <v>171.84434718314003</v>
      </c>
      <c r="BB85" s="521">
        <f>SUM(AX85:BA85)</f>
        <v>701.54924422100009</v>
      </c>
      <c r="BC85" s="121">
        <f>+BC94*BC100/1000</f>
        <v>172.86675124829998</v>
      </c>
      <c r="BD85" s="130">
        <f>+BD94*BD100/1000</f>
        <v>170.80666025005002</v>
      </c>
      <c r="BE85" s="130">
        <f>+BE94*BE100/1000</f>
        <v>195.82574778210466</v>
      </c>
      <c r="BF85" s="123">
        <f>+BF94*BF100/1000</f>
        <v>174.80395805109788</v>
      </c>
      <c r="BG85" s="521">
        <f>SUM(BC85:BF85)</f>
        <v>714.30311733155258</v>
      </c>
      <c r="BH85" s="121">
        <f>+BH94*BH100/1000</f>
        <v>176.74891812642073</v>
      </c>
      <c r="BI85" s="130">
        <f>+BI94*BI100/1000</f>
        <v>174.8336769006751</v>
      </c>
      <c r="BJ85" s="130">
        <f>+BJ94*BJ100/1000</f>
        <v>200.81531215155988</v>
      </c>
      <c r="BK85" s="123">
        <f>+BK94*BK100/1000</f>
        <v>178.69096794622564</v>
      </c>
      <c r="BL85" s="521">
        <f>SUM(BH85:BK85)</f>
        <v>731.08887512488138</v>
      </c>
      <c r="BM85" s="121">
        <f>+BM94*BM100/1000</f>
        <v>180.41079042173675</v>
      </c>
      <c r="BN85" s="130">
        <f>+BN94*BN100/1000</f>
        <v>178.63076109292678</v>
      </c>
      <c r="BO85" s="130">
        <f>+BO94*BO100/1000</f>
        <v>205.51735043193878</v>
      </c>
      <c r="BP85" s="123">
        <f>+BP94*BP100/1000</f>
        <v>182.35769536609118</v>
      </c>
      <c r="BQ85" s="521">
        <f>SUM(BM85:BP85)</f>
        <v>746.91659731269351</v>
      </c>
      <c r="BR85" s="614"/>
      <c r="BS85" s="614"/>
      <c r="BT85" s="614"/>
      <c r="BU85" s="614"/>
      <c r="BV85" s="614"/>
      <c r="BW85" s="614"/>
      <c r="BX85" s="614"/>
      <c r="BY85" s="614"/>
      <c r="BZ85" s="614"/>
      <c r="CA85" s="614"/>
      <c r="CB85" s="614"/>
      <c r="CC85" s="614"/>
      <c r="CD85" s="614"/>
      <c r="CE85" s="614"/>
      <c r="CF85" s="614"/>
      <c r="CG85" s="614"/>
      <c r="CH85" s="614"/>
      <c r="CI85" s="614"/>
      <c r="CJ85" s="614"/>
      <c r="CK85" s="614"/>
      <c r="CL85" s="614"/>
      <c r="CM85" s="614"/>
      <c r="CN85" s="614"/>
      <c r="CO85" s="614"/>
      <c r="CP85" s="614"/>
      <c r="CQ85" s="614"/>
      <c r="CR85" s="614"/>
      <c r="CS85" s="614"/>
      <c r="CT85" s="614"/>
      <c r="CU85" s="614"/>
      <c r="CV85" s="614"/>
      <c r="CW85" s="614"/>
      <c r="CX85" s="614"/>
    </row>
    <row r="86" spans="1:104" x14ac:dyDescent="0.2">
      <c r="A86" s="610"/>
      <c r="B86" s="610"/>
      <c r="C86" s="610" t="s">
        <v>416</v>
      </c>
      <c r="D86" s="610"/>
      <c r="E86" s="136">
        <f>E8-E85</f>
        <v>32.045999999999992</v>
      </c>
      <c r="F86" s="137">
        <f>F8-F85</f>
        <v>27.911000000000001</v>
      </c>
      <c r="G86" s="137">
        <f>G8-G85</f>
        <v>27.967999999999989</v>
      </c>
      <c r="H86" s="116">
        <f>I86-SUM(E86:G86)</f>
        <v>32.467999999999932</v>
      </c>
      <c r="I86" s="615">
        <f>I8-I85</f>
        <v>120.39299999999992</v>
      </c>
      <c r="J86" s="136">
        <f>J8-J85</f>
        <v>36.720000000000027</v>
      </c>
      <c r="K86" s="137">
        <f>K8-K85</f>
        <v>35.676999999999992</v>
      </c>
      <c r="L86" s="137">
        <f>L8-L85</f>
        <v>40.802999999999997</v>
      </c>
      <c r="M86" s="116">
        <f>N86-SUM(J86:L86)</f>
        <v>37.975999999999914</v>
      </c>
      <c r="N86" s="615">
        <f>N8-N85</f>
        <v>151.17599999999993</v>
      </c>
      <c r="O86" s="136">
        <f>O8-O85</f>
        <v>39.617999999999995</v>
      </c>
      <c r="P86" s="137">
        <f>P8-P85</f>
        <v>41.281999999999982</v>
      </c>
      <c r="Q86" s="137">
        <f>Q8-Q85</f>
        <v>44.665999999999997</v>
      </c>
      <c r="R86" s="116">
        <f>S86-SUM(O86:Q86)</f>
        <v>40.870999999999924</v>
      </c>
      <c r="S86" s="615">
        <f>S8-S85</f>
        <v>166.4369999999999</v>
      </c>
      <c r="T86" s="136">
        <f>T8-T85</f>
        <v>38.653999999999996</v>
      </c>
      <c r="U86" s="137">
        <f>U8-U85</f>
        <v>38.072000000000003</v>
      </c>
      <c r="V86" s="137">
        <f>V8-V85</f>
        <v>43.697999999999979</v>
      </c>
      <c r="W86" s="116">
        <f>X86-SUM(T86:V86)</f>
        <v>40.491000000000213</v>
      </c>
      <c r="X86" s="615">
        <f>X8-X85</f>
        <v>160.91500000000019</v>
      </c>
      <c r="Y86" s="136">
        <f>Y8-Y85</f>
        <v>33.256</v>
      </c>
      <c r="Z86" s="137">
        <f>Z8-Z85</f>
        <v>33.978999999999985</v>
      </c>
      <c r="AA86" s="137">
        <f>AA8-AA85</f>
        <v>36.751999999999981</v>
      </c>
      <c r="AB86" s="116">
        <f>AC86-SUM(Y86:AA86)</f>
        <v>38.969000000000165</v>
      </c>
      <c r="AC86" s="615">
        <f>AC8-AC85</f>
        <v>142.95600000000013</v>
      </c>
      <c r="AD86" s="136">
        <f>AD8-AD85</f>
        <v>37.528999999999996</v>
      </c>
      <c r="AE86" s="137">
        <f>AE8-AE85</f>
        <v>36.882999999999981</v>
      </c>
      <c r="AF86" s="137">
        <f>AF8-AF85</f>
        <v>37.213000000000022</v>
      </c>
      <c r="AG86" s="116">
        <f>AH86-SUM(AD86:AF86)</f>
        <v>38.759000000000015</v>
      </c>
      <c r="AH86" s="615">
        <f>AH8-AH85</f>
        <v>150.38400000000001</v>
      </c>
      <c r="AI86" s="136">
        <f>AI8-AI85</f>
        <v>38.937999999999988</v>
      </c>
      <c r="AJ86" s="137">
        <f>AJ8-AJ85</f>
        <v>42.109000000000009</v>
      </c>
      <c r="AK86" s="137">
        <f>AK8-AK85</f>
        <v>36.677999999999997</v>
      </c>
      <c r="AL86" s="116">
        <f>AM86-SUM(AI86:AK86)</f>
        <v>40.845999999999918</v>
      </c>
      <c r="AM86" s="615">
        <f>AM8-AM85</f>
        <v>158.57099999999991</v>
      </c>
      <c r="AN86" s="136">
        <f>AN8-AN85</f>
        <v>43.233000000000033</v>
      </c>
      <c r="AO86" s="137">
        <f>AO8-AO85</f>
        <v>40.466000000000008</v>
      </c>
      <c r="AP86" s="137">
        <f>AP8-AP85</f>
        <v>41.246000000000009</v>
      </c>
      <c r="AQ86" s="116">
        <f>AR86-SUM(AN86:AP86)</f>
        <v>40.417999999999893</v>
      </c>
      <c r="AR86" s="615">
        <f>AR8-AR85</f>
        <v>165.36299999999994</v>
      </c>
      <c r="AS86" s="136">
        <f>AS8-AS85</f>
        <v>44.055000000000007</v>
      </c>
      <c r="AT86" s="137">
        <f>AT8-AT85</f>
        <v>40.682999999999964</v>
      </c>
      <c r="AU86" s="137">
        <f>AU8-AU85</f>
        <v>39.521432999999973</v>
      </c>
      <c r="AV86" s="116">
        <f>AW86-SUM(AS86:AU86)</f>
        <v>46.947566999999935</v>
      </c>
      <c r="AW86" s="615">
        <f>AW8-AW85</f>
        <v>171.20699999999988</v>
      </c>
      <c r="AX86" s="136">
        <f>+AS86</f>
        <v>44.055000000000007</v>
      </c>
      <c r="AY86" s="137">
        <f>+AT86</f>
        <v>40.682999999999964</v>
      </c>
      <c r="AZ86" s="137">
        <f>+AU86</f>
        <v>39.521432999999973</v>
      </c>
      <c r="BA86" s="116">
        <f>+AV86</f>
        <v>46.947566999999935</v>
      </c>
      <c r="BB86" s="615">
        <f>SUM(AX86:BA86)</f>
        <v>171.20699999999988</v>
      </c>
      <c r="BC86" s="136">
        <f>+AX86</f>
        <v>44.055000000000007</v>
      </c>
      <c r="BD86" s="137">
        <f>+AY86</f>
        <v>40.682999999999964</v>
      </c>
      <c r="BE86" s="137">
        <f>+AZ86</f>
        <v>39.521432999999973</v>
      </c>
      <c r="BF86" s="116">
        <f>+BA86</f>
        <v>46.947566999999935</v>
      </c>
      <c r="BG86" s="615">
        <f>SUM(BC86:BF86)</f>
        <v>171.20699999999988</v>
      </c>
      <c r="BH86" s="136">
        <f>+BC86</f>
        <v>44.055000000000007</v>
      </c>
      <c r="BI86" s="137">
        <f>+BD86</f>
        <v>40.682999999999964</v>
      </c>
      <c r="BJ86" s="137">
        <f>+BE86</f>
        <v>39.521432999999973</v>
      </c>
      <c r="BK86" s="116">
        <f>+BF86</f>
        <v>46.947566999999935</v>
      </c>
      <c r="BL86" s="615">
        <f>SUM(BH86:BK86)</f>
        <v>171.20699999999988</v>
      </c>
      <c r="BM86" s="136">
        <f>+BH86</f>
        <v>44.055000000000007</v>
      </c>
      <c r="BN86" s="137">
        <f>+BI86</f>
        <v>40.682999999999964</v>
      </c>
      <c r="BO86" s="137">
        <f>+BJ86</f>
        <v>39.521432999999973</v>
      </c>
      <c r="BP86" s="116">
        <f>+BK86</f>
        <v>46.947566999999935</v>
      </c>
      <c r="BQ86" s="615">
        <f>SUM(BM86:BP86)</f>
        <v>171.20699999999988</v>
      </c>
      <c r="BR86" s="610"/>
      <c r="BS86" s="610"/>
      <c r="BT86" s="610"/>
      <c r="BU86" s="610"/>
      <c r="BV86" s="610"/>
      <c r="BW86" s="610"/>
      <c r="BX86" s="610"/>
      <c r="BY86" s="610"/>
      <c r="BZ86" s="610"/>
      <c r="CA86" s="610"/>
      <c r="CB86" s="610"/>
      <c r="CC86" s="610"/>
      <c r="CD86" s="610"/>
      <c r="CE86" s="610"/>
      <c r="CF86" s="610"/>
      <c r="CG86" s="610"/>
      <c r="CH86" s="610"/>
      <c r="CI86" s="610"/>
      <c r="CJ86" s="610"/>
      <c r="CK86" s="610"/>
      <c r="CL86" s="610"/>
      <c r="CM86" s="610"/>
      <c r="CN86" s="610"/>
      <c r="CO86" s="610"/>
      <c r="CP86" s="610"/>
      <c r="CQ86" s="610"/>
      <c r="CR86" s="610"/>
      <c r="CS86" s="610"/>
      <c r="CT86" s="610"/>
      <c r="CU86" s="610"/>
      <c r="CV86" s="610"/>
      <c r="CW86" s="610"/>
      <c r="CX86" s="610"/>
    </row>
    <row r="87" spans="1:104" x14ac:dyDescent="0.2">
      <c r="A87" s="610"/>
      <c r="B87" s="610"/>
      <c r="C87" s="614" t="s">
        <v>257</v>
      </c>
      <c r="D87" s="610"/>
      <c r="E87" s="121">
        <f t="shared" ref="E87:V87" si="198">SUM(E85:E86)</f>
        <v>184.328</v>
      </c>
      <c r="F87" s="130">
        <f t="shared" si="198"/>
        <v>153.059</v>
      </c>
      <c r="G87" s="130">
        <f t="shared" si="198"/>
        <v>170.06299999999999</v>
      </c>
      <c r="H87" s="123">
        <f t="shared" si="198"/>
        <v>164.25299999999996</v>
      </c>
      <c r="I87" s="521">
        <f t="shared" si="198"/>
        <v>671.70299999999997</v>
      </c>
      <c r="J87" s="121">
        <f t="shared" si="198"/>
        <v>173.06200000000001</v>
      </c>
      <c r="K87" s="130">
        <f t="shared" si="198"/>
        <v>164.08199999999999</v>
      </c>
      <c r="L87" s="130">
        <f t="shared" si="198"/>
        <v>198.61699999999999</v>
      </c>
      <c r="M87" s="123">
        <f t="shared" si="198"/>
        <v>172.41799999999992</v>
      </c>
      <c r="N87" s="521">
        <f t="shared" si="198"/>
        <v>708.17899999999997</v>
      </c>
      <c r="O87" s="121">
        <f t="shared" si="198"/>
        <v>184.36799999999999</v>
      </c>
      <c r="P87" s="130">
        <f t="shared" si="198"/>
        <v>178.69200000000001</v>
      </c>
      <c r="Q87" s="130">
        <f t="shared" si="198"/>
        <v>210.81</v>
      </c>
      <c r="R87" s="123">
        <f t="shared" si="198"/>
        <v>181.26599999999991</v>
      </c>
      <c r="S87" s="521">
        <f t="shared" si="198"/>
        <v>755.13599999999997</v>
      </c>
      <c r="T87" s="121">
        <f t="shared" si="198"/>
        <v>182.001</v>
      </c>
      <c r="U87" s="130">
        <f t="shared" si="198"/>
        <v>179.10499999999999</v>
      </c>
      <c r="V87" s="130">
        <f t="shared" si="198"/>
        <v>214.42599999999999</v>
      </c>
      <c r="W87" s="123">
        <f t="shared" ref="W87:AD87" si="199">SUM(W85:W86)</f>
        <v>182.03300000000019</v>
      </c>
      <c r="X87" s="521">
        <f t="shared" si="199"/>
        <v>757.56500000000005</v>
      </c>
      <c r="Y87" s="121">
        <f t="shared" si="199"/>
        <v>190.81100000000001</v>
      </c>
      <c r="Z87" s="130">
        <f t="shared" si="199"/>
        <v>185.374</v>
      </c>
      <c r="AA87" s="130">
        <f t="shared" si="199"/>
        <v>216.54499999999999</v>
      </c>
      <c r="AB87" s="123">
        <f t="shared" si="199"/>
        <v>196.43800000000013</v>
      </c>
      <c r="AC87" s="521">
        <f t="shared" si="199"/>
        <v>789.16800000000001</v>
      </c>
      <c r="AD87" s="121">
        <f t="shared" si="199"/>
        <v>211.09700000000001</v>
      </c>
      <c r="AE87" s="130">
        <f t="shared" ref="AE87:AJ87" si="200">SUM(AE85:AE86)</f>
        <v>198.27699999999999</v>
      </c>
      <c r="AF87" s="130">
        <f t="shared" si="200"/>
        <v>216.28899999999999</v>
      </c>
      <c r="AG87" s="123">
        <f t="shared" si="200"/>
        <v>204.08500000000004</v>
      </c>
      <c r="AH87" s="521">
        <f t="shared" si="200"/>
        <v>829.74800000000005</v>
      </c>
      <c r="AI87" s="121">
        <f t="shared" si="200"/>
        <v>210.28399999999999</v>
      </c>
      <c r="AJ87" s="130">
        <f t="shared" si="200"/>
        <v>199.62100000000001</v>
      </c>
      <c r="AK87" s="130">
        <f t="shared" ref="AK87:AP87" si="201">SUM(AK85:AK86)</f>
        <v>224.666</v>
      </c>
      <c r="AL87" s="123">
        <f t="shared" si="201"/>
        <v>200.42699999999996</v>
      </c>
      <c r="AM87" s="521">
        <f t="shared" si="201"/>
        <v>834.99800000000005</v>
      </c>
      <c r="AN87" s="121">
        <f t="shared" si="201"/>
        <v>211.524</v>
      </c>
      <c r="AO87" s="130">
        <f t="shared" si="201"/>
        <v>202.87899999999999</v>
      </c>
      <c r="AP87" s="130">
        <f t="shared" si="201"/>
        <v>232.21600000000001</v>
      </c>
      <c r="AQ87" s="123">
        <f t="shared" ref="AQ87:AT87" si="202">SUM(AQ85:AQ86)</f>
        <v>203.32699999999991</v>
      </c>
      <c r="AR87" s="521">
        <f t="shared" si="202"/>
        <v>849.94600000000003</v>
      </c>
      <c r="AS87" s="121">
        <f t="shared" si="202"/>
        <v>216.309</v>
      </c>
      <c r="AT87" s="130">
        <f t="shared" si="202"/>
        <v>210.74199999999999</v>
      </c>
      <c r="AU87" s="130">
        <f>SUM(AU85:AU86)</f>
        <v>232.80199999999999</v>
      </c>
      <c r="AV87" s="123">
        <f t="shared" ref="AV87:AW87" si="203">SUM(AV85:AV86)</f>
        <v>222.03799999999995</v>
      </c>
      <c r="AW87" s="521">
        <f t="shared" si="203"/>
        <v>881.89099999999996</v>
      </c>
      <c r="AX87" s="121">
        <f t="shared" ref="AX87:BG87" si="204">SUM(AX85:AX86)</f>
        <v>213.96697132</v>
      </c>
      <c r="AY87" s="130">
        <f t="shared" si="204"/>
        <v>208.43029202</v>
      </c>
      <c r="AZ87" s="130">
        <f t="shared" si="204"/>
        <v>231.56706669785999</v>
      </c>
      <c r="BA87" s="123">
        <f t="shared" si="204"/>
        <v>218.79191418313997</v>
      </c>
      <c r="BB87" s="521">
        <f t="shared" si="204"/>
        <v>872.75624422099997</v>
      </c>
      <c r="BC87" s="121">
        <f t="shared" si="204"/>
        <v>216.92175124829998</v>
      </c>
      <c r="BD87" s="130">
        <f t="shared" si="204"/>
        <v>211.48966025004998</v>
      </c>
      <c r="BE87" s="130">
        <f t="shared" si="204"/>
        <v>235.34718078210463</v>
      </c>
      <c r="BF87" s="123">
        <f t="shared" si="204"/>
        <v>221.75152505109781</v>
      </c>
      <c r="BG87" s="521">
        <f t="shared" si="204"/>
        <v>885.51011733155246</v>
      </c>
      <c r="BH87" s="121">
        <f t="shared" ref="BH87:BQ87" si="205">SUM(BH85:BH86)</f>
        <v>220.80391812642074</v>
      </c>
      <c r="BI87" s="130">
        <f t="shared" si="205"/>
        <v>215.51667690067507</v>
      </c>
      <c r="BJ87" s="130">
        <f t="shared" si="205"/>
        <v>240.33674515155985</v>
      </c>
      <c r="BK87" s="123">
        <f t="shared" si="205"/>
        <v>225.63853494622558</v>
      </c>
      <c r="BL87" s="521">
        <f t="shared" si="205"/>
        <v>902.29587512488126</v>
      </c>
      <c r="BM87" s="121">
        <f t="shared" si="205"/>
        <v>224.46579042173676</v>
      </c>
      <c r="BN87" s="130">
        <f t="shared" si="205"/>
        <v>219.31376109292674</v>
      </c>
      <c r="BO87" s="130">
        <f t="shared" si="205"/>
        <v>245.03878343193875</v>
      </c>
      <c r="BP87" s="123">
        <f t="shared" si="205"/>
        <v>229.30526236609111</v>
      </c>
      <c r="BQ87" s="521">
        <f t="shared" si="205"/>
        <v>918.12359731269339</v>
      </c>
      <c r="BR87" s="610"/>
      <c r="BS87" s="610"/>
      <c r="BT87" s="610"/>
      <c r="BU87" s="610"/>
      <c r="BV87" s="610"/>
      <c r="BW87" s="610"/>
      <c r="BX87" s="610"/>
      <c r="BY87" s="610"/>
      <c r="BZ87" s="610"/>
      <c r="CA87" s="610"/>
      <c r="CB87" s="610"/>
      <c r="CC87" s="610"/>
      <c r="CD87" s="610"/>
      <c r="CE87" s="610"/>
      <c r="CF87" s="610"/>
      <c r="CG87" s="610"/>
      <c r="CH87" s="610"/>
      <c r="CI87" s="610"/>
      <c r="CJ87" s="610"/>
      <c r="CK87" s="610"/>
      <c r="CL87" s="610"/>
      <c r="CM87" s="610"/>
      <c r="CN87" s="610"/>
      <c r="CO87" s="610"/>
      <c r="CP87" s="610"/>
      <c r="CQ87" s="610"/>
      <c r="CR87" s="610"/>
      <c r="CS87" s="610"/>
      <c r="CT87" s="610"/>
      <c r="CU87" s="610"/>
      <c r="CV87" s="610"/>
      <c r="CW87" s="610"/>
      <c r="CX87" s="610"/>
    </row>
    <row r="88" spans="1:104" s="20" customFormat="1" x14ac:dyDescent="0.2">
      <c r="A88" s="220"/>
      <c r="B88" s="220"/>
      <c r="C88" s="82"/>
      <c r="D88" s="82"/>
      <c r="E88" s="136"/>
      <c r="F88" s="137"/>
      <c r="G88" s="137"/>
      <c r="H88" s="116"/>
      <c r="I88" s="82"/>
      <c r="J88" s="136"/>
      <c r="K88" s="137"/>
      <c r="L88" s="137"/>
      <c r="M88" s="116"/>
      <c r="N88" s="82"/>
      <c r="O88" s="136"/>
      <c r="P88" s="137"/>
      <c r="Q88" s="137"/>
      <c r="R88" s="116"/>
      <c r="S88" s="82"/>
      <c r="T88" s="136"/>
      <c r="U88" s="137"/>
      <c r="V88" s="137"/>
      <c r="W88" s="116"/>
      <c r="X88" s="82"/>
      <c r="Y88" s="136"/>
      <c r="Z88" s="137"/>
      <c r="AA88" s="137"/>
      <c r="AB88" s="116"/>
      <c r="AC88" s="82"/>
      <c r="AD88" s="136"/>
      <c r="AE88" s="137"/>
      <c r="AF88" s="137"/>
      <c r="AG88" s="116"/>
      <c r="AH88" s="82"/>
      <c r="AI88" s="136"/>
      <c r="AJ88" s="137"/>
      <c r="AK88" s="137"/>
      <c r="AL88" s="116"/>
      <c r="AM88" s="82"/>
      <c r="AN88" s="136"/>
      <c r="AO88" s="137"/>
      <c r="AP88" s="137"/>
      <c r="AQ88" s="116"/>
      <c r="AR88" s="82"/>
      <c r="AS88" s="136"/>
      <c r="AT88" s="137"/>
      <c r="AU88" s="137"/>
      <c r="AV88" s="116"/>
      <c r="AW88" s="82"/>
      <c r="AX88" s="136"/>
      <c r="AY88" s="137"/>
      <c r="AZ88" s="137"/>
      <c r="BA88" s="116"/>
      <c r="BB88" s="82"/>
      <c r="BC88" s="136"/>
      <c r="BD88" s="137"/>
      <c r="BE88" s="137"/>
      <c r="BF88" s="116"/>
      <c r="BG88" s="82"/>
      <c r="BH88" s="136"/>
      <c r="BI88" s="137"/>
      <c r="BJ88" s="137"/>
      <c r="BK88" s="116"/>
      <c r="BL88" s="82"/>
      <c r="BM88" s="136"/>
      <c r="BN88" s="137"/>
      <c r="BO88" s="137"/>
      <c r="BP88" s="116"/>
      <c r="BQ88" s="82"/>
      <c r="BR88" s="220"/>
      <c r="BS88" s="220"/>
      <c r="BT88" s="220"/>
      <c r="BU88" s="220"/>
      <c r="BV88" s="220"/>
      <c r="BW88" s="220"/>
      <c r="BX88" s="220"/>
      <c r="BY88" s="220"/>
      <c r="BZ88" s="220"/>
      <c r="CA88" s="220"/>
      <c r="CB88" s="220"/>
      <c r="CC88" s="220"/>
      <c r="CD88" s="220"/>
      <c r="CE88" s="220"/>
      <c r="CF88" s="220"/>
      <c r="CG88" s="220"/>
      <c r="CH88" s="220"/>
      <c r="CI88" s="220"/>
      <c r="CJ88" s="220"/>
      <c r="CK88" s="220"/>
      <c r="CL88" s="220"/>
      <c r="CM88" s="220"/>
      <c r="CN88" s="220"/>
      <c r="CO88" s="220"/>
      <c r="CP88" s="220"/>
      <c r="CQ88" s="220"/>
      <c r="CR88" s="220"/>
      <c r="CS88" s="220"/>
      <c r="CT88" s="220"/>
      <c r="CU88" s="220"/>
      <c r="CV88" s="220"/>
      <c r="CW88" s="220"/>
      <c r="CX88" s="220"/>
      <c r="CY88" s="220"/>
      <c r="CZ88" s="220"/>
    </row>
    <row r="89" spans="1:104" x14ac:dyDescent="0.2">
      <c r="A89" s="44"/>
      <c r="B89" s="44"/>
      <c r="C89" s="562" t="s">
        <v>258</v>
      </c>
      <c r="D89" s="42"/>
      <c r="E89" s="121"/>
      <c r="F89" s="130"/>
      <c r="G89" s="130"/>
      <c r="H89" s="123"/>
      <c r="I89" s="86"/>
      <c r="J89" s="121"/>
      <c r="K89" s="130"/>
      <c r="L89" s="130"/>
      <c r="M89" s="123"/>
      <c r="N89" s="86"/>
      <c r="O89" s="121"/>
      <c r="P89" s="130"/>
      <c r="Q89" s="130"/>
      <c r="R89" s="123"/>
      <c r="S89" s="86"/>
      <c r="T89" s="121"/>
      <c r="U89" s="130"/>
      <c r="V89" s="130"/>
      <c r="W89" s="123"/>
      <c r="X89" s="86"/>
      <c r="Y89" s="121"/>
      <c r="Z89" s="130"/>
      <c r="AA89" s="130"/>
      <c r="AB89" s="123"/>
      <c r="AC89" s="86"/>
      <c r="AD89" s="121"/>
      <c r="AE89" s="130"/>
      <c r="AF89" s="130"/>
      <c r="AG89" s="123"/>
      <c r="AH89" s="86"/>
      <c r="AI89" s="121"/>
      <c r="AJ89" s="130"/>
      <c r="AK89" s="130"/>
      <c r="AL89" s="123"/>
      <c r="AM89" s="86"/>
      <c r="AN89" s="121"/>
      <c r="AO89" s="130"/>
      <c r="AP89" s="130"/>
      <c r="AQ89" s="123"/>
      <c r="AR89" s="86"/>
      <c r="AS89" s="121"/>
      <c r="AT89" s="130"/>
      <c r="AU89" s="130"/>
      <c r="AV89" s="123"/>
      <c r="AW89" s="86"/>
      <c r="AX89" s="121"/>
      <c r="AY89" s="130"/>
      <c r="AZ89" s="130"/>
      <c r="BA89" s="123"/>
      <c r="BB89" s="86"/>
      <c r="BC89" s="121"/>
      <c r="BD89" s="130"/>
      <c r="BE89" s="130"/>
      <c r="BF89" s="123"/>
      <c r="BG89" s="86"/>
      <c r="BH89" s="121"/>
      <c r="BI89" s="130"/>
      <c r="BJ89" s="130"/>
      <c r="BK89" s="123"/>
      <c r="BL89" s="86"/>
      <c r="BM89" s="121"/>
      <c r="BN89" s="130"/>
      <c r="BO89" s="130"/>
      <c r="BP89" s="123"/>
      <c r="BQ89" s="86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  <c r="CX89" s="44"/>
      <c r="CY89" s="44"/>
      <c r="CZ89" s="44"/>
    </row>
    <row r="90" spans="1:104" x14ac:dyDescent="0.2">
      <c r="A90" s="44"/>
      <c r="B90" s="44"/>
      <c r="C90" s="20" t="s">
        <v>259</v>
      </c>
      <c r="D90" s="42"/>
      <c r="E90" s="310">
        <v>620.399</v>
      </c>
      <c r="F90" s="311">
        <v>398.774</v>
      </c>
      <c r="G90" s="311">
        <v>427.142</v>
      </c>
      <c r="H90" s="312">
        <f>I90-SUM(E90:G90)</f>
        <v>498.44200000000001</v>
      </c>
      <c r="I90" s="313">
        <v>1944.7570000000001</v>
      </c>
      <c r="J90" s="310">
        <v>547.77499999999998</v>
      </c>
      <c r="K90" s="311">
        <v>400.42399999999998</v>
      </c>
      <c r="L90" s="311">
        <v>508.97300000000001</v>
      </c>
      <c r="M90" s="312">
        <f>N90-SUM(J90:L90)</f>
        <v>504.65699999999993</v>
      </c>
      <c r="N90" s="313">
        <v>1961.829</v>
      </c>
      <c r="O90" s="310">
        <v>560.09500000000003</v>
      </c>
      <c r="P90" s="311">
        <v>427.53300000000002</v>
      </c>
      <c r="Q90" s="311">
        <v>510.62200000000001</v>
      </c>
      <c r="R90" s="312">
        <f>S90-SUM(O90:Q90)</f>
        <v>483.75</v>
      </c>
      <c r="S90" s="313">
        <v>1982</v>
      </c>
      <c r="T90" s="114">
        <v>505.75099999999998</v>
      </c>
      <c r="U90" s="311">
        <v>424.26400000000001</v>
      </c>
      <c r="V90" s="311">
        <v>507.024</v>
      </c>
      <c r="W90" s="312">
        <f>X90-SUM(T90:V90)</f>
        <v>483.96100000000001</v>
      </c>
      <c r="X90" s="313">
        <v>1921</v>
      </c>
      <c r="Y90" s="114">
        <v>556.04</v>
      </c>
      <c r="Z90" s="311">
        <v>428.01499999999999</v>
      </c>
      <c r="AA90" s="311">
        <v>499.9</v>
      </c>
      <c r="AB90" s="312">
        <f>AC90-SUM(Y90:AA90)</f>
        <v>506.04500000000007</v>
      </c>
      <c r="AC90" s="313">
        <v>1990</v>
      </c>
      <c r="AD90" s="114">
        <v>601.50900000000001</v>
      </c>
      <c r="AE90" s="311">
        <v>435.21699999999998</v>
      </c>
      <c r="AF90" s="311">
        <v>447.452</v>
      </c>
      <c r="AG90" s="312">
        <f>AH90-SUM(AD90:AF90)</f>
        <v>499.82199999999989</v>
      </c>
      <c r="AH90" s="313">
        <v>1984</v>
      </c>
      <c r="AI90" s="114">
        <v>555.26</v>
      </c>
      <c r="AJ90" s="311">
        <v>385.74</v>
      </c>
      <c r="AK90" s="311">
        <v>475.09399999999999</v>
      </c>
      <c r="AL90" s="312">
        <f>AM90-SUM(AI90:AK90)</f>
        <v>446.90599999999995</v>
      </c>
      <c r="AM90" s="313">
        <v>1863</v>
      </c>
      <c r="AN90" s="114">
        <v>516.57799999999997</v>
      </c>
      <c r="AO90" s="311">
        <v>403.34</v>
      </c>
      <c r="AP90" s="311">
        <v>488.56099999999998</v>
      </c>
      <c r="AQ90" s="312">
        <f>AR90-SUM(AN90:AP90)</f>
        <v>459.52100000000019</v>
      </c>
      <c r="AR90" s="313">
        <v>1868</v>
      </c>
      <c r="AS90" s="114">
        <v>508.971</v>
      </c>
      <c r="AT90" s="311">
        <v>406.25200000000001</v>
      </c>
      <c r="AU90" s="311">
        <f>1370.145-SUM(AS90:AT90)</f>
        <v>454.92200000000003</v>
      </c>
      <c r="AV90" s="312">
        <f>AW90-SUM(AS90:AU90)</f>
        <v>482.85500000000002</v>
      </c>
      <c r="AW90" s="313">
        <v>1853</v>
      </c>
      <c r="AX90" s="121"/>
      <c r="AY90" s="130"/>
      <c r="AZ90" s="130"/>
      <c r="BA90" s="123"/>
      <c r="BB90" s="86"/>
      <c r="BC90" s="121"/>
      <c r="BD90" s="130"/>
      <c r="BE90" s="130"/>
      <c r="BF90" s="123"/>
      <c r="BG90" s="86"/>
      <c r="BH90" s="121"/>
      <c r="BI90" s="130"/>
      <c r="BJ90" s="130"/>
      <c r="BK90" s="123"/>
      <c r="BL90" s="86"/>
      <c r="BM90" s="121"/>
      <c r="BN90" s="130"/>
      <c r="BO90" s="130"/>
      <c r="BP90" s="123"/>
      <c r="BQ90" s="86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  <c r="CX90" s="44"/>
      <c r="CY90" s="44"/>
      <c r="CZ90" s="44"/>
    </row>
    <row r="91" spans="1:104" x14ac:dyDescent="0.2">
      <c r="A91" s="44"/>
      <c r="B91" s="44"/>
      <c r="C91" s="20" t="s">
        <v>412</v>
      </c>
      <c r="D91" s="42"/>
      <c r="E91" s="310">
        <v>700.33100000000002</v>
      </c>
      <c r="F91" s="311">
        <v>625.34799999999996</v>
      </c>
      <c r="G91" s="311">
        <v>676.96900000000005</v>
      </c>
      <c r="H91" s="312">
        <f>I91-SUM(E91:G91)</f>
        <v>651.52399999999989</v>
      </c>
      <c r="I91" s="313">
        <v>2654.172</v>
      </c>
      <c r="J91" s="310">
        <v>667.33199999999999</v>
      </c>
      <c r="K91" s="311">
        <v>646.27800000000002</v>
      </c>
      <c r="L91" s="311">
        <v>736.51</v>
      </c>
      <c r="M91" s="312">
        <f>N91-SUM(J91:L91)</f>
        <v>670.30799999999999</v>
      </c>
      <c r="N91" s="313">
        <v>2720.4279999999999</v>
      </c>
      <c r="O91" s="310">
        <v>672.44500000000005</v>
      </c>
      <c r="P91" s="311">
        <v>645.38</v>
      </c>
      <c r="Q91" s="311">
        <v>736.54200000000003</v>
      </c>
      <c r="R91" s="312">
        <f>S91-SUM(O91:Q91)</f>
        <v>663.63299999999981</v>
      </c>
      <c r="S91" s="313">
        <v>2718</v>
      </c>
      <c r="T91" s="114">
        <v>664.98299999999995</v>
      </c>
      <c r="U91" s="311">
        <v>658.06399999999996</v>
      </c>
      <c r="V91" s="311">
        <v>771.28899999999999</v>
      </c>
      <c r="W91" s="312">
        <f>X91-SUM(T91:V91)</f>
        <v>668.66399999999976</v>
      </c>
      <c r="X91" s="313">
        <v>2763</v>
      </c>
      <c r="Y91" s="114">
        <v>679.19299999999998</v>
      </c>
      <c r="Z91" s="311">
        <v>688.27</v>
      </c>
      <c r="AA91" s="311">
        <v>761.80600000000004</v>
      </c>
      <c r="AB91" s="312">
        <f>AC91-SUM(Y91:AA91)</f>
        <v>707.73099999999977</v>
      </c>
      <c r="AC91" s="313">
        <v>2837</v>
      </c>
      <c r="AD91" s="114">
        <v>730.16200000000003</v>
      </c>
      <c r="AE91" s="311">
        <v>702.09299999999996</v>
      </c>
      <c r="AF91" s="311">
        <v>753.97400000000005</v>
      </c>
      <c r="AG91" s="312">
        <f>AH91-SUM(AD91:AF91)</f>
        <v>715.77099999999973</v>
      </c>
      <c r="AH91" s="313">
        <v>2902</v>
      </c>
      <c r="AI91" s="114">
        <v>711.83</v>
      </c>
      <c r="AJ91" s="311">
        <v>692.07</v>
      </c>
      <c r="AK91" s="311">
        <v>777.178</v>
      </c>
      <c r="AL91" s="312">
        <f>AM91-SUM(AI91:AK91)</f>
        <v>695.92200000000003</v>
      </c>
      <c r="AM91" s="313">
        <v>2877</v>
      </c>
      <c r="AN91" s="114">
        <v>695.11400000000003</v>
      </c>
      <c r="AO91" s="311">
        <v>685.62900000000002</v>
      </c>
      <c r="AP91" s="311">
        <v>776.35799999999995</v>
      </c>
      <c r="AQ91" s="312">
        <f>AR91-SUM(AN91:AP91)</f>
        <v>698.89900000000034</v>
      </c>
      <c r="AR91" s="313">
        <v>2856</v>
      </c>
      <c r="AS91" s="114">
        <v>700.13300000000004</v>
      </c>
      <c r="AT91" s="311">
        <v>710.07600000000002</v>
      </c>
      <c r="AU91" s="311">
        <f>2179.819-SUM(AS91:AT91)</f>
        <v>769.6099999999999</v>
      </c>
      <c r="AV91" s="312">
        <f>AW91-SUM(AS91:AU91)</f>
        <v>712.18100000000004</v>
      </c>
      <c r="AW91" s="313">
        <v>2892</v>
      </c>
      <c r="AX91" s="121"/>
      <c r="AY91" s="130"/>
      <c r="AZ91" s="130"/>
      <c r="BA91" s="123"/>
      <c r="BB91" s="86"/>
      <c r="BC91" s="121"/>
      <c r="BD91" s="130"/>
      <c r="BE91" s="130"/>
      <c r="BF91" s="123"/>
      <c r="BG91" s="86"/>
      <c r="BH91" s="121"/>
      <c r="BI91" s="130"/>
      <c r="BJ91" s="130"/>
      <c r="BK91" s="123"/>
      <c r="BL91" s="86"/>
      <c r="BM91" s="121"/>
      <c r="BN91" s="130"/>
      <c r="BO91" s="130"/>
      <c r="BP91" s="123"/>
      <c r="BQ91" s="86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  <c r="CX91" s="44"/>
      <c r="CY91" s="44"/>
      <c r="CZ91" s="44"/>
    </row>
    <row r="92" spans="1:104" x14ac:dyDescent="0.2">
      <c r="A92" s="44"/>
      <c r="B92" s="44"/>
      <c r="C92" s="20" t="s">
        <v>413</v>
      </c>
      <c r="D92" s="42"/>
      <c r="E92" s="310">
        <v>468.49</v>
      </c>
      <c r="F92" s="311">
        <v>394.77100000000002</v>
      </c>
      <c r="G92" s="311">
        <v>413.39699999999999</v>
      </c>
      <c r="H92" s="312">
        <f>I92-SUM(E92:G92)</f>
        <v>390.48900000000003</v>
      </c>
      <c r="I92" s="313">
        <v>1667.1469999999999</v>
      </c>
      <c r="J92" s="310">
        <v>370.40199999999999</v>
      </c>
      <c r="K92" s="311">
        <v>399.404</v>
      </c>
      <c r="L92" s="311">
        <v>441.9</v>
      </c>
      <c r="M92" s="312">
        <f>N92-SUM(J92:L92)</f>
        <v>388.73599999999988</v>
      </c>
      <c r="N92" s="313">
        <v>1600.442</v>
      </c>
      <c r="O92" s="310">
        <v>393.43700000000001</v>
      </c>
      <c r="P92" s="311">
        <v>411.05700000000002</v>
      </c>
      <c r="Q92" s="311">
        <v>451.59399999999999</v>
      </c>
      <c r="R92" s="312">
        <f>S92-SUM(O92:Q92)</f>
        <v>421.91200000000003</v>
      </c>
      <c r="S92" s="313">
        <v>1678</v>
      </c>
      <c r="T92" s="114">
        <v>418.87700000000001</v>
      </c>
      <c r="U92" s="311">
        <v>437.08499999999998</v>
      </c>
      <c r="V92" s="311">
        <v>460.61200000000002</v>
      </c>
      <c r="W92" s="312">
        <f>X92-SUM(T92:V92)</f>
        <v>422.42599999999993</v>
      </c>
      <c r="X92" s="313">
        <v>1739</v>
      </c>
      <c r="Y92" s="114">
        <v>400.98599999999999</v>
      </c>
      <c r="Z92" s="311">
        <v>411.68700000000001</v>
      </c>
      <c r="AA92" s="311">
        <v>450.44799999999998</v>
      </c>
      <c r="AB92" s="312">
        <f>AC92-SUM(Y92:AA92)</f>
        <v>434.87899999999991</v>
      </c>
      <c r="AC92" s="313">
        <v>1698</v>
      </c>
      <c r="AD92" s="114">
        <v>419.322</v>
      </c>
      <c r="AE92" s="311">
        <v>445.50700000000001</v>
      </c>
      <c r="AF92" s="311">
        <v>489.40899999999999</v>
      </c>
      <c r="AG92" s="312">
        <f>AH92-SUM(AD92:AF92)</f>
        <v>468.76200000000017</v>
      </c>
      <c r="AH92" s="313">
        <v>1823</v>
      </c>
      <c r="AI92" s="114">
        <v>454.82799999999997</v>
      </c>
      <c r="AJ92" s="311">
        <v>461.04700000000003</v>
      </c>
      <c r="AK92" s="311">
        <v>490.42399999999998</v>
      </c>
      <c r="AL92" s="312">
        <f>AM92-SUM(AI92:AK92)</f>
        <v>461.70100000000002</v>
      </c>
      <c r="AM92" s="313">
        <v>1868</v>
      </c>
      <c r="AN92" s="114">
        <v>460.61599999999999</v>
      </c>
      <c r="AO92" s="311">
        <v>467.255</v>
      </c>
      <c r="AP92" s="311">
        <v>490.733</v>
      </c>
      <c r="AQ92" s="312">
        <f>AR92-SUM(AN92:AP92)</f>
        <v>466.39599999999996</v>
      </c>
      <c r="AR92" s="313">
        <v>1885</v>
      </c>
      <c r="AS92" s="114">
        <v>449.41899999999998</v>
      </c>
      <c r="AT92" s="311">
        <v>482.54399999999998</v>
      </c>
      <c r="AU92" s="311">
        <f>1448.841-SUM(AS92:AT92)</f>
        <v>516.87799999999993</v>
      </c>
      <c r="AV92" s="312">
        <f>AW92-SUM(AS92:AU92)</f>
        <v>503.15900000000011</v>
      </c>
      <c r="AW92" s="313">
        <v>1952</v>
      </c>
      <c r="AX92" s="121"/>
      <c r="AY92" s="130"/>
      <c r="AZ92" s="130"/>
      <c r="BA92" s="123"/>
      <c r="BB92" s="86"/>
      <c r="BC92" s="121"/>
      <c r="BD92" s="130"/>
      <c r="BE92" s="130"/>
      <c r="BF92" s="123"/>
      <c r="BG92" s="86"/>
      <c r="BH92" s="121"/>
      <c r="BI92" s="130"/>
      <c r="BJ92" s="130"/>
      <c r="BK92" s="123"/>
      <c r="BL92" s="86"/>
      <c r="BM92" s="121"/>
      <c r="BN92" s="130"/>
      <c r="BO92" s="130"/>
      <c r="BP92" s="123"/>
      <c r="BQ92" s="86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44"/>
      <c r="CY92" s="44"/>
      <c r="CZ92" s="44"/>
    </row>
    <row r="93" spans="1:104" x14ac:dyDescent="0.2">
      <c r="A93" s="44"/>
      <c r="B93" s="44"/>
      <c r="C93" s="20" t="s">
        <v>97</v>
      </c>
      <c r="D93" s="42"/>
      <c r="E93" s="310">
        <f>0.389+11.286</f>
        <v>11.674999999999999</v>
      </c>
      <c r="F93" s="311">
        <f>0.711+8.144</f>
        <v>8.8550000000000004</v>
      </c>
      <c r="G93" s="311">
        <f>0.297+7.376</f>
        <v>7.673</v>
      </c>
      <c r="H93" s="312">
        <f>I93-SUM(E93:G93)</f>
        <v>11.018999999999998</v>
      </c>
      <c r="I93" s="313">
        <f>1.756+37.466</f>
        <v>39.222000000000001</v>
      </c>
      <c r="J93" s="310">
        <f>0.413+9.899</f>
        <v>10.311999999999999</v>
      </c>
      <c r="K93" s="311">
        <f>0.714+6.797</f>
        <v>7.5109999999999992</v>
      </c>
      <c r="L93" s="311">
        <f>0.455+6.756</f>
        <v>7.2110000000000003</v>
      </c>
      <c r="M93" s="312">
        <f>N93-SUM(J93:L93)</f>
        <v>10.746000000000002</v>
      </c>
      <c r="N93" s="313">
        <f>2.389+33.391</f>
        <v>35.78</v>
      </c>
      <c r="O93" s="310">
        <f>0.891+10.07</f>
        <v>10.961</v>
      </c>
      <c r="P93" s="311">
        <f>1.516+6.193</f>
        <v>7.7089999999999996</v>
      </c>
      <c r="Q93" s="311">
        <f>7.484+0.523</f>
        <v>8.0069999999999997</v>
      </c>
      <c r="R93" s="312">
        <f>S93-SUM(O93:Q93)</f>
        <v>6.3230000000000004</v>
      </c>
      <c r="S93" s="313">
        <v>33</v>
      </c>
      <c r="T93" s="114">
        <v>10.074999999999999</v>
      </c>
      <c r="U93" s="311">
        <f>6.822+0.809</f>
        <v>7.6310000000000002</v>
      </c>
      <c r="V93" s="311">
        <f>7.068+0.296</f>
        <v>7.3639999999999999</v>
      </c>
      <c r="W93" s="312">
        <f>X93-SUM(T93:V93)</f>
        <v>9.93</v>
      </c>
      <c r="X93" s="313">
        <v>35</v>
      </c>
      <c r="Y93" s="114">
        <f>9.709+0.286</f>
        <v>9.9949999999999992</v>
      </c>
      <c r="Z93" s="311">
        <f>7.021+0.471</f>
        <v>7.492</v>
      </c>
      <c r="AA93" s="311">
        <f>7.82+0.462</f>
        <v>8.282</v>
      </c>
      <c r="AB93" s="312">
        <f>AC93-SUM(Y93:AA93)</f>
        <v>10.231000000000002</v>
      </c>
      <c r="AC93" s="313">
        <v>36</v>
      </c>
      <c r="AD93" s="114">
        <f>10.291+0.718</f>
        <v>11.009</v>
      </c>
      <c r="AE93" s="311">
        <f>7.559+1.684</f>
        <v>9.2430000000000003</v>
      </c>
      <c r="AF93" s="311">
        <f>8.023+0.583</f>
        <v>8.6059999999999999</v>
      </c>
      <c r="AG93" s="312">
        <f>AH93-SUM(AD93:AF93)</f>
        <v>13.141999999999996</v>
      </c>
      <c r="AH93" s="313">
        <v>42</v>
      </c>
      <c r="AI93" s="114">
        <f>10.715+1.238</f>
        <v>11.952999999999999</v>
      </c>
      <c r="AJ93" s="311">
        <f>7.731+0.383</f>
        <v>8.1140000000000008</v>
      </c>
      <c r="AK93" s="311">
        <f>7.226+0.423</f>
        <v>7.649</v>
      </c>
      <c r="AL93" s="312">
        <f>AM93-SUM(AI93:AK93)</f>
        <v>11.283999999999999</v>
      </c>
      <c r="AM93" s="313">
        <v>39</v>
      </c>
      <c r="AN93" s="114">
        <f>9.526+0.64</f>
        <v>10.166</v>
      </c>
      <c r="AO93" s="311">
        <f>6.103+0.422</f>
        <v>6.5249999999999995</v>
      </c>
      <c r="AP93" s="311">
        <f>5.656+0.559</f>
        <v>6.2149999999999999</v>
      </c>
      <c r="AQ93" s="312">
        <f>AR93-SUM(AN93:AP93)</f>
        <v>9.0940000000000012</v>
      </c>
      <c r="AR93" s="313">
        <v>32</v>
      </c>
      <c r="AS93" s="114">
        <f>7.521+0.486</f>
        <v>8.0069999999999997</v>
      </c>
      <c r="AT93" s="311">
        <f>6.393+0.601</f>
        <v>6.9939999999999998</v>
      </c>
      <c r="AU93" s="311">
        <f>SUM(11.541+8.061+1.86)-SUM(AS93:AT93)</f>
        <v>6.4610000000000003</v>
      </c>
      <c r="AV93" s="312">
        <f>AW93-SUM(AS93:AU93)</f>
        <v>6.5380000000000003</v>
      </c>
      <c r="AW93" s="313">
        <v>28</v>
      </c>
      <c r="AX93" s="121"/>
      <c r="AY93" s="130"/>
      <c r="AZ93" s="130"/>
      <c r="BA93" s="123"/>
      <c r="BB93" s="86"/>
      <c r="BC93" s="121"/>
      <c r="BD93" s="130"/>
      <c r="BE93" s="130"/>
      <c r="BF93" s="123"/>
      <c r="BG93" s="86"/>
      <c r="BH93" s="121"/>
      <c r="BI93" s="130"/>
      <c r="BJ93" s="130"/>
      <c r="BK93" s="123"/>
      <c r="BL93" s="86"/>
      <c r="BM93" s="121"/>
      <c r="BN93" s="130"/>
      <c r="BO93" s="130"/>
      <c r="BP93" s="123"/>
      <c r="BQ93" s="86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  <c r="CX93" s="44"/>
      <c r="CY93" s="44"/>
      <c r="CZ93" s="44"/>
    </row>
    <row r="94" spans="1:104" s="555" customFormat="1" x14ac:dyDescent="0.2">
      <c r="A94" s="543"/>
      <c r="B94" s="543"/>
      <c r="C94" s="544" t="s">
        <v>260</v>
      </c>
      <c r="D94" s="545"/>
      <c r="E94" s="546">
        <f t="shared" ref="E94:V94" si="206">SUM(E90:E93)</f>
        <v>1800.895</v>
      </c>
      <c r="F94" s="547">
        <f t="shared" si="206"/>
        <v>1427.7479999999998</v>
      </c>
      <c r="G94" s="547">
        <f t="shared" si="206"/>
        <v>1525.181</v>
      </c>
      <c r="H94" s="548">
        <f t="shared" si="206"/>
        <v>1551.4739999999999</v>
      </c>
      <c r="I94" s="549">
        <f t="shared" si="206"/>
        <v>6305.2979999999998</v>
      </c>
      <c r="J94" s="546">
        <f t="shared" si="206"/>
        <v>1595.8209999999999</v>
      </c>
      <c r="K94" s="547">
        <f t="shared" si="206"/>
        <v>1453.617</v>
      </c>
      <c r="L94" s="547">
        <f t="shared" si="206"/>
        <v>1694.5939999999998</v>
      </c>
      <c r="M94" s="548">
        <f t="shared" si="206"/>
        <v>1574.4469999999999</v>
      </c>
      <c r="N94" s="549">
        <f t="shared" si="206"/>
        <v>6318.4789999999994</v>
      </c>
      <c r="O94" s="546">
        <f t="shared" si="206"/>
        <v>1636.9379999999999</v>
      </c>
      <c r="P94" s="547">
        <f t="shared" si="206"/>
        <v>1491.6790000000001</v>
      </c>
      <c r="Q94" s="547">
        <f t="shared" si="206"/>
        <v>1706.7650000000001</v>
      </c>
      <c r="R94" s="548">
        <f t="shared" si="206"/>
        <v>1575.6179999999999</v>
      </c>
      <c r="S94" s="549">
        <f t="shared" si="206"/>
        <v>6411</v>
      </c>
      <c r="T94" s="546">
        <f t="shared" si="206"/>
        <v>1599.6859999999999</v>
      </c>
      <c r="U94" s="547">
        <f t="shared" si="206"/>
        <v>1527.0440000000001</v>
      </c>
      <c r="V94" s="547">
        <f t="shared" si="206"/>
        <v>1746.2890000000002</v>
      </c>
      <c r="W94" s="548">
        <f t="shared" ref="W94:AD94" si="207">SUM(W90:W93)</f>
        <v>1584.9809999999998</v>
      </c>
      <c r="X94" s="549">
        <f t="shared" si="207"/>
        <v>6458</v>
      </c>
      <c r="Y94" s="546">
        <f t="shared" si="207"/>
        <v>1646.2139999999999</v>
      </c>
      <c r="Z94" s="547">
        <f t="shared" si="207"/>
        <v>1535.4639999999997</v>
      </c>
      <c r="AA94" s="547">
        <f t="shared" si="207"/>
        <v>1720.4359999999999</v>
      </c>
      <c r="AB94" s="548">
        <f t="shared" si="207"/>
        <v>1658.8859999999997</v>
      </c>
      <c r="AC94" s="549">
        <f t="shared" si="207"/>
        <v>6561</v>
      </c>
      <c r="AD94" s="546">
        <f t="shared" si="207"/>
        <v>1762.002</v>
      </c>
      <c r="AE94" s="547">
        <f t="shared" ref="AE94:AJ94" si="208">SUM(AE90:AE93)</f>
        <v>1592.06</v>
      </c>
      <c r="AF94" s="547">
        <f t="shared" si="208"/>
        <v>1699.441</v>
      </c>
      <c r="AG94" s="548">
        <f t="shared" si="208"/>
        <v>1697.4969999999998</v>
      </c>
      <c r="AH94" s="549">
        <f t="shared" si="208"/>
        <v>6751</v>
      </c>
      <c r="AI94" s="546">
        <f t="shared" si="208"/>
        <v>1733.8710000000001</v>
      </c>
      <c r="AJ94" s="547">
        <f t="shared" si="208"/>
        <v>1546.971</v>
      </c>
      <c r="AK94" s="547">
        <f t="shared" ref="AK94:AP94" si="209">SUM(AK90:AK93)</f>
        <v>1750.3449999999998</v>
      </c>
      <c r="AL94" s="548">
        <f t="shared" si="209"/>
        <v>1615.8130000000001</v>
      </c>
      <c r="AM94" s="549">
        <f t="shared" si="209"/>
        <v>6647</v>
      </c>
      <c r="AN94" s="546">
        <f t="shared" si="209"/>
        <v>1682.4739999999999</v>
      </c>
      <c r="AO94" s="547">
        <f t="shared" si="209"/>
        <v>1562.7490000000003</v>
      </c>
      <c r="AP94" s="547">
        <f t="shared" si="209"/>
        <v>1761.8669999999997</v>
      </c>
      <c r="AQ94" s="548">
        <f t="shared" ref="AQ94:AW94" si="210">SUM(AQ90:AQ93)</f>
        <v>1633.9100000000005</v>
      </c>
      <c r="AR94" s="549">
        <f t="shared" si="210"/>
        <v>6641</v>
      </c>
      <c r="AS94" s="546">
        <f t="shared" si="210"/>
        <v>1666.5300000000002</v>
      </c>
      <c r="AT94" s="547">
        <f t="shared" si="210"/>
        <v>1605.8659999999998</v>
      </c>
      <c r="AU94" s="547">
        <f t="shared" si="210"/>
        <v>1747.8709999999999</v>
      </c>
      <c r="AV94" s="548">
        <f t="shared" si="210"/>
        <v>1704.7330000000002</v>
      </c>
      <c r="AW94" s="549">
        <f t="shared" si="210"/>
        <v>6725</v>
      </c>
      <c r="AX94" s="553">
        <f>AS94*(1+AX59)</f>
        <v>1694.1610674000003</v>
      </c>
      <c r="AY94" s="550">
        <f>AT94*(1+AY59)</f>
        <v>1597.4833794799997</v>
      </c>
      <c r="AZ94" s="550">
        <f>AU94*(1+AZ59)</f>
        <v>1761.1198621799997</v>
      </c>
      <c r="BA94" s="551">
        <f>AV94*(1+BA59)</f>
        <v>1712.5406771400003</v>
      </c>
      <c r="BB94" s="552">
        <f>SUM(AX94:BA94)</f>
        <v>6765.3049861999998</v>
      </c>
      <c r="BC94" s="553">
        <f>AX94*(1+BC59)</f>
        <v>1698.3964700685003</v>
      </c>
      <c r="BD94" s="550">
        <f>AY94*(1+BD59)</f>
        <v>1601.4770879286996</v>
      </c>
      <c r="BE94" s="550">
        <f>AZ94*(1+BE59)</f>
        <v>1765.5226618354495</v>
      </c>
      <c r="BF94" s="551">
        <f>BA94*(1+BF59)</f>
        <v>1716.8220288328503</v>
      </c>
      <c r="BG94" s="552">
        <f>SUM(BC94:BF94)</f>
        <v>6782.2182486655001</v>
      </c>
      <c r="BH94" s="553">
        <f>BC94*(1+BH59)</f>
        <v>1702.6424612436715</v>
      </c>
      <c r="BI94" s="550">
        <f>BD94*(1+BI59)</f>
        <v>1605.4807806485212</v>
      </c>
      <c r="BJ94" s="550">
        <f>BE94*(1+BJ59)</f>
        <v>1769.9364684900381</v>
      </c>
      <c r="BK94" s="551">
        <f>BF94*(1+BK59)</f>
        <v>1721.1140839049324</v>
      </c>
      <c r="BL94" s="552">
        <f>SUM(BH94:BK94)</f>
        <v>6799.1737942871632</v>
      </c>
      <c r="BM94" s="553">
        <f>BH94*(1+BM59)</f>
        <v>1706.8990673967805</v>
      </c>
      <c r="BN94" s="550">
        <f>BI94*(1+BN59)</f>
        <v>1609.4944826001424</v>
      </c>
      <c r="BO94" s="550">
        <f>BJ94*(1+BO59)</f>
        <v>1774.361309661263</v>
      </c>
      <c r="BP94" s="551">
        <f>BK94*(1+BP59)</f>
        <v>1725.4168691146947</v>
      </c>
      <c r="BQ94" s="552">
        <f>SUM(BM94:BP94)</f>
        <v>6816.1717287728807</v>
      </c>
      <c r="BS94" s="629"/>
      <c r="BT94" s="554"/>
      <c r="BU94" s="554"/>
      <c r="BV94" s="554"/>
      <c r="BW94" s="554"/>
      <c r="BX94" s="554"/>
      <c r="BY94" s="554"/>
      <c r="BZ94" s="554"/>
      <c r="CA94" s="554"/>
      <c r="CB94" s="554"/>
      <c r="CC94" s="554"/>
      <c r="CD94" s="554"/>
      <c r="CE94" s="554"/>
      <c r="CF94" s="554"/>
      <c r="CG94" s="554"/>
      <c r="CH94" s="554"/>
      <c r="CI94" s="554"/>
      <c r="CJ94" s="554"/>
      <c r="CK94" s="554"/>
      <c r="CL94" s="554"/>
      <c r="CM94" s="554"/>
      <c r="CN94" s="554"/>
      <c r="CO94" s="554"/>
      <c r="CP94" s="554"/>
      <c r="CQ94" s="554"/>
      <c r="CR94" s="554"/>
      <c r="CS94" s="554"/>
      <c r="CT94" s="554"/>
      <c r="CU94" s="554"/>
      <c r="CV94" s="554"/>
      <c r="CW94" s="554"/>
      <c r="CX94" s="554"/>
      <c r="CY94" s="554"/>
      <c r="CZ94" s="554"/>
    </row>
    <row r="95" spans="1:104" s="20" customFormat="1" x14ac:dyDescent="0.2">
      <c r="A95" s="220"/>
      <c r="B95" s="220"/>
      <c r="C95" s="20" t="s">
        <v>261</v>
      </c>
      <c r="D95" s="82"/>
      <c r="E95" s="310">
        <v>143.767</v>
      </c>
      <c r="F95" s="311">
        <v>124.099</v>
      </c>
      <c r="G95" s="311">
        <v>131.27600000000001</v>
      </c>
      <c r="H95" s="312">
        <f>I95-SUM(E95:G95)</f>
        <v>131.714</v>
      </c>
      <c r="I95" s="313">
        <v>530.85599999999999</v>
      </c>
      <c r="J95" s="310">
        <v>143.584</v>
      </c>
      <c r="K95" s="311">
        <v>125.078</v>
      </c>
      <c r="L95" s="311">
        <v>141.23099999999999</v>
      </c>
      <c r="M95" s="312">
        <f>N95-SUM(J95:L95)</f>
        <v>136.69799999999998</v>
      </c>
      <c r="N95" s="313">
        <v>546.59100000000001</v>
      </c>
      <c r="O95" s="310">
        <v>143.88999999999999</v>
      </c>
      <c r="P95" s="311">
        <v>127.694</v>
      </c>
      <c r="Q95" s="311">
        <v>140.87</v>
      </c>
      <c r="R95" s="312">
        <f>S95-SUM(O95:Q95)</f>
        <v>133.54599999999999</v>
      </c>
      <c r="S95" s="313">
        <v>546</v>
      </c>
      <c r="T95" s="114">
        <v>106.095</v>
      </c>
      <c r="U95" s="311">
        <v>96.141999999999996</v>
      </c>
      <c r="V95" s="311">
        <v>107.089</v>
      </c>
      <c r="W95" s="312">
        <f>X95-SUM(T95:V95)</f>
        <v>102.67399999999998</v>
      </c>
      <c r="X95" s="313">
        <v>412</v>
      </c>
      <c r="Y95" s="114">
        <v>1.036</v>
      </c>
      <c r="Z95" s="311">
        <v>0</v>
      </c>
      <c r="AA95" s="311">
        <v>0</v>
      </c>
      <c r="AB95" s="312">
        <f>AC95-SUM(Y95:AA95)</f>
        <v>-3.6000000000000032E-2</v>
      </c>
      <c r="AC95" s="313">
        <v>1</v>
      </c>
      <c r="AD95" s="114">
        <v>0</v>
      </c>
      <c r="AE95" s="311">
        <v>0</v>
      </c>
      <c r="AF95" s="311">
        <v>0</v>
      </c>
      <c r="AG95" s="312">
        <f>AH95-SUM(AD95:AF95)</f>
        <v>0</v>
      </c>
      <c r="AH95" s="313">
        <v>0</v>
      </c>
      <c r="AI95" s="114">
        <v>0</v>
      </c>
      <c r="AJ95" s="311">
        <v>0</v>
      </c>
      <c r="AK95" s="311">
        <v>0</v>
      </c>
      <c r="AL95" s="312">
        <f>AM95-SUM(AI95:AK95)</f>
        <v>0</v>
      </c>
      <c r="AM95" s="313">
        <v>0</v>
      </c>
      <c r="AN95" s="114">
        <v>0</v>
      </c>
      <c r="AO95" s="311">
        <v>0</v>
      </c>
      <c r="AP95" s="311">
        <v>0</v>
      </c>
      <c r="AQ95" s="312">
        <f>AR95-SUM(AN95:AP95)</f>
        <v>0</v>
      </c>
      <c r="AR95" s="313">
        <v>0</v>
      </c>
      <c r="AS95" s="114">
        <v>0</v>
      </c>
      <c r="AT95" s="311">
        <v>0</v>
      </c>
      <c r="AU95" s="311">
        <v>0</v>
      </c>
      <c r="AV95" s="312">
        <f>AW95-SUM(AS95:AU95)</f>
        <v>0</v>
      </c>
      <c r="AW95" s="313">
        <v>0</v>
      </c>
      <c r="AX95" s="136">
        <f>+AS95</f>
        <v>0</v>
      </c>
      <c r="AY95" s="137">
        <f>+AT95</f>
        <v>0</v>
      </c>
      <c r="AZ95" s="137">
        <f>+AU95</f>
        <v>0</v>
      </c>
      <c r="BA95" s="116">
        <f>+AV95</f>
        <v>0</v>
      </c>
      <c r="BB95" s="82">
        <f>SUM(AX95:BA95)</f>
        <v>0</v>
      </c>
      <c r="BC95" s="136">
        <f>+AX95</f>
        <v>0</v>
      </c>
      <c r="BD95" s="137">
        <f>+AY95</f>
        <v>0</v>
      </c>
      <c r="BE95" s="137">
        <f>+AZ95</f>
        <v>0</v>
      </c>
      <c r="BF95" s="116">
        <f>+BA95</f>
        <v>0</v>
      </c>
      <c r="BG95" s="82">
        <f>SUM(BC95:BF95)</f>
        <v>0</v>
      </c>
      <c r="BH95" s="136">
        <f>+BC95</f>
        <v>0</v>
      </c>
      <c r="BI95" s="137">
        <f>+BD95</f>
        <v>0</v>
      </c>
      <c r="BJ95" s="137">
        <f>+BE95</f>
        <v>0</v>
      </c>
      <c r="BK95" s="116">
        <f>+BF95</f>
        <v>0</v>
      </c>
      <c r="BL95" s="82">
        <f>SUM(BH95:BK95)</f>
        <v>0</v>
      </c>
      <c r="BM95" s="136">
        <f>+BH95</f>
        <v>0</v>
      </c>
      <c r="BN95" s="137">
        <f>+BI95</f>
        <v>0</v>
      </c>
      <c r="BO95" s="137">
        <f>+BJ95</f>
        <v>0</v>
      </c>
      <c r="BP95" s="116">
        <f>+BK95</f>
        <v>0</v>
      </c>
      <c r="BQ95" s="82">
        <f>SUM(BM95:BP95)</f>
        <v>0</v>
      </c>
      <c r="BR95" s="220"/>
      <c r="BS95" s="220"/>
      <c r="BT95" s="220"/>
      <c r="BU95" s="220"/>
      <c r="BV95" s="220"/>
      <c r="BW95" s="220"/>
      <c r="BX95" s="220"/>
      <c r="BY95" s="220"/>
      <c r="BZ95" s="220"/>
      <c r="CA95" s="220"/>
      <c r="CB95" s="220"/>
      <c r="CC95" s="220"/>
      <c r="CD95" s="220"/>
      <c r="CE95" s="220"/>
      <c r="CF95" s="220"/>
      <c r="CG95" s="220"/>
      <c r="CH95" s="220"/>
      <c r="CI95" s="220"/>
      <c r="CJ95" s="220"/>
      <c r="CK95" s="220"/>
      <c r="CL95" s="220"/>
      <c r="CM95" s="220"/>
      <c r="CN95" s="220"/>
      <c r="CO95" s="220"/>
      <c r="CP95" s="220"/>
      <c r="CQ95" s="220"/>
      <c r="CR95" s="220"/>
      <c r="CS95" s="220"/>
      <c r="CT95" s="220"/>
      <c r="CU95" s="220"/>
      <c r="CV95" s="220"/>
      <c r="CW95" s="220"/>
      <c r="CX95" s="220"/>
      <c r="CY95" s="220"/>
      <c r="CZ95" s="220"/>
    </row>
    <row r="96" spans="1:104" x14ac:dyDescent="0.2">
      <c r="A96" s="44"/>
      <c r="B96" s="44"/>
      <c r="C96" s="26" t="s">
        <v>262</v>
      </c>
      <c r="D96" s="42"/>
      <c r="E96" s="121">
        <f t="shared" ref="E96:S96" si="211">SUM(E94:E95)</f>
        <v>1944.662</v>
      </c>
      <c r="F96" s="122">
        <f t="shared" si="211"/>
        <v>1551.8469999999998</v>
      </c>
      <c r="G96" s="122">
        <f t="shared" si="211"/>
        <v>1656.4570000000001</v>
      </c>
      <c r="H96" s="123">
        <f t="shared" si="211"/>
        <v>1683.1879999999999</v>
      </c>
      <c r="I96" s="86">
        <f t="shared" si="211"/>
        <v>6836.1539999999995</v>
      </c>
      <c r="J96" s="121">
        <f t="shared" si="211"/>
        <v>1739.405</v>
      </c>
      <c r="K96" s="122">
        <f t="shared" si="211"/>
        <v>1578.6949999999999</v>
      </c>
      <c r="L96" s="122">
        <f t="shared" si="211"/>
        <v>1835.8249999999998</v>
      </c>
      <c r="M96" s="126">
        <f t="shared" si="211"/>
        <v>1711.145</v>
      </c>
      <c r="N96" s="86">
        <f t="shared" si="211"/>
        <v>6865.07</v>
      </c>
      <c r="O96" s="121">
        <f t="shared" si="211"/>
        <v>1780.828</v>
      </c>
      <c r="P96" s="122">
        <f t="shared" si="211"/>
        <v>1619.373</v>
      </c>
      <c r="Q96" s="122">
        <f t="shared" si="211"/>
        <v>1847.6350000000002</v>
      </c>
      <c r="R96" s="126">
        <f t="shared" si="211"/>
        <v>1709.164</v>
      </c>
      <c r="S96" s="86">
        <f t="shared" si="211"/>
        <v>6957</v>
      </c>
      <c r="T96" s="121">
        <f t="shared" ref="T96:Y96" si="212">SUM(T94:T95)</f>
        <v>1705.7809999999999</v>
      </c>
      <c r="U96" s="122">
        <f t="shared" si="212"/>
        <v>1623.1860000000001</v>
      </c>
      <c r="V96" s="122">
        <f t="shared" si="212"/>
        <v>1853.3780000000002</v>
      </c>
      <c r="W96" s="126">
        <f t="shared" si="212"/>
        <v>1687.6549999999997</v>
      </c>
      <c r="X96" s="86">
        <f t="shared" si="212"/>
        <v>6870</v>
      </c>
      <c r="Y96" s="121">
        <f t="shared" si="212"/>
        <v>1647.25</v>
      </c>
      <c r="Z96" s="122">
        <f t="shared" ref="Z96:AF96" si="213">SUM(Z94:Z95)</f>
        <v>1535.4639999999997</v>
      </c>
      <c r="AA96" s="122">
        <f t="shared" si="213"/>
        <v>1720.4359999999999</v>
      </c>
      <c r="AB96" s="126">
        <f t="shared" si="213"/>
        <v>1658.8499999999997</v>
      </c>
      <c r="AC96" s="86">
        <f t="shared" si="213"/>
        <v>6562</v>
      </c>
      <c r="AD96" s="121">
        <f t="shared" si="213"/>
        <v>1762.002</v>
      </c>
      <c r="AE96" s="122">
        <f t="shared" si="213"/>
        <v>1592.06</v>
      </c>
      <c r="AF96" s="122">
        <f t="shared" si="213"/>
        <v>1699.441</v>
      </c>
      <c r="AG96" s="126">
        <f t="shared" ref="AG96:AM96" si="214">SUM(AG94:AG95)</f>
        <v>1697.4969999999998</v>
      </c>
      <c r="AH96" s="86">
        <f t="shared" si="214"/>
        <v>6751</v>
      </c>
      <c r="AI96" s="121">
        <f t="shared" si="214"/>
        <v>1733.8710000000001</v>
      </c>
      <c r="AJ96" s="122">
        <f t="shared" si="214"/>
        <v>1546.971</v>
      </c>
      <c r="AK96" s="122">
        <f t="shared" si="214"/>
        <v>1750.3449999999998</v>
      </c>
      <c r="AL96" s="126">
        <f t="shared" si="214"/>
        <v>1615.8130000000001</v>
      </c>
      <c r="AM96" s="86">
        <f t="shared" si="214"/>
        <v>6647</v>
      </c>
      <c r="AN96" s="121">
        <f t="shared" ref="AN96:AR96" si="215">SUM(AN94:AN95)</f>
        <v>1682.4739999999999</v>
      </c>
      <c r="AO96" s="122">
        <f t="shared" si="215"/>
        <v>1562.7490000000003</v>
      </c>
      <c r="AP96" s="122">
        <f t="shared" si="215"/>
        <v>1761.8669999999997</v>
      </c>
      <c r="AQ96" s="126">
        <f t="shared" si="215"/>
        <v>1633.9100000000005</v>
      </c>
      <c r="AR96" s="86">
        <f t="shared" si="215"/>
        <v>6641</v>
      </c>
      <c r="AS96" s="121">
        <f>SUM(AS94:AS95)</f>
        <v>1666.5300000000002</v>
      </c>
      <c r="AT96" s="122">
        <f>SUM(AT94:AT95)</f>
        <v>1605.8659999999998</v>
      </c>
      <c r="AU96" s="122">
        <f>SUM(AU94:AU95)</f>
        <v>1747.8709999999999</v>
      </c>
      <c r="AV96" s="126">
        <f t="shared" ref="AV96:AW96" si="216">SUM(AV94:AV95)</f>
        <v>1704.7330000000002</v>
      </c>
      <c r="AW96" s="86">
        <f t="shared" si="216"/>
        <v>6725</v>
      </c>
      <c r="AX96" s="121">
        <f t="shared" ref="AX96:BG96" si="217">SUM(AX94:AX95)</f>
        <v>1694.1610674000003</v>
      </c>
      <c r="AY96" s="122">
        <f t="shared" si="217"/>
        <v>1597.4833794799997</v>
      </c>
      <c r="AZ96" s="122">
        <f t="shared" si="217"/>
        <v>1761.1198621799997</v>
      </c>
      <c r="BA96" s="123">
        <f t="shared" si="217"/>
        <v>1712.5406771400003</v>
      </c>
      <c r="BB96" s="86">
        <f t="shared" si="217"/>
        <v>6765.3049861999998</v>
      </c>
      <c r="BC96" s="121">
        <f t="shared" si="217"/>
        <v>1698.3964700685003</v>
      </c>
      <c r="BD96" s="122">
        <f t="shared" si="217"/>
        <v>1601.4770879286996</v>
      </c>
      <c r="BE96" s="122">
        <f t="shared" si="217"/>
        <v>1765.5226618354495</v>
      </c>
      <c r="BF96" s="123">
        <f t="shared" si="217"/>
        <v>1716.8220288328503</v>
      </c>
      <c r="BG96" s="86">
        <f t="shared" si="217"/>
        <v>6782.2182486655001</v>
      </c>
      <c r="BH96" s="121">
        <f t="shared" ref="BH96:BQ96" si="218">SUM(BH94:BH95)</f>
        <v>1702.6424612436715</v>
      </c>
      <c r="BI96" s="122">
        <f t="shared" si="218"/>
        <v>1605.4807806485212</v>
      </c>
      <c r="BJ96" s="122">
        <f t="shared" si="218"/>
        <v>1769.9364684900381</v>
      </c>
      <c r="BK96" s="123">
        <f t="shared" si="218"/>
        <v>1721.1140839049324</v>
      </c>
      <c r="BL96" s="86">
        <f t="shared" si="218"/>
        <v>6799.1737942871632</v>
      </c>
      <c r="BM96" s="121">
        <f t="shared" si="218"/>
        <v>1706.8990673967805</v>
      </c>
      <c r="BN96" s="122">
        <f t="shared" si="218"/>
        <v>1609.4944826001424</v>
      </c>
      <c r="BO96" s="122">
        <f t="shared" si="218"/>
        <v>1774.361309661263</v>
      </c>
      <c r="BP96" s="123">
        <f t="shared" si="218"/>
        <v>1725.4168691146947</v>
      </c>
      <c r="BQ96" s="86">
        <f t="shared" si="218"/>
        <v>6816.1717287728807</v>
      </c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44"/>
      <c r="CY96" s="44"/>
      <c r="CZ96" s="44"/>
    </row>
    <row r="97" spans="1:104" x14ac:dyDescent="0.2">
      <c r="A97" s="44"/>
      <c r="B97" s="44"/>
      <c r="C97" s="82"/>
      <c r="D97" s="42"/>
      <c r="E97" s="121"/>
      <c r="F97" s="130"/>
      <c r="G97" s="130"/>
      <c r="H97" s="123"/>
      <c r="I97" s="86"/>
      <c r="J97" s="121"/>
      <c r="K97" s="130"/>
      <c r="L97" s="130"/>
      <c r="M97" s="123"/>
      <c r="N97" s="86"/>
      <c r="O97" s="121"/>
      <c r="P97" s="130"/>
      <c r="Q97" s="130"/>
      <c r="R97" s="123"/>
      <c r="S97" s="86"/>
      <c r="T97" s="121"/>
      <c r="U97" s="130"/>
      <c r="V97" s="130"/>
      <c r="W97" s="123"/>
      <c r="X97" s="86"/>
      <c r="Y97" s="121"/>
      <c r="Z97" s="130"/>
      <c r="AA97" s="130"/>
      <c r="AB97" s="123"/>
      <c r="AC97" s="86"/>
      <c r="AD97" s="121"/>
      <c r="AE97" s="130"/>
      <c r="AF97" s="130"/>
      <c r="AG97" s="123"/>
      <c r="AH97" s="86"/>
      <c r="AI97" s="121"/>
      <c r="AJ97" s="130"/>
      <c r="AK97" s="130"/>
      <c r="AL97" s="123"/>
      <c r="AM97" s="86"/>
      <c r="AN97" s="121"/>
      <c r="AO97" s="130"/>
      <c r="AP97" s="130"/>
      <c r="AQ97" s="123"/>
      <c r="AR97" s="86"/>
      <c r="AS97" s="121"/>
      <c r="AT97" s="130"/>
      <c r="AU97" s="130"/>
      <c r="AV97" s="123"/>
      <c r="AW97" s="86"/>
      <c r="AX97" s="121"/>
      <c r="AY97" s="130"/>
      <c r="AZ97" s="130"/>
      <c r="BA97" s="123"/>
      <c r="BB97" s="86"/>
      <c r="BC97" s="121"/>
      <c r="BD97" s="130"/>
      <c r="BE97" s="130"/>
      <c r="BF97" s="123"/>
      <c r="BG97" s="86"/>
      <c r="BH97" s="121"/>
      <c r="BI97" s="130"/>
      <c r="BJ97" s="130"/>
      <c r="BK97" s="123"/>
      <c r="BL97" s="86"/>
      <c r="BM97" s="121"/>
      <c r="BN97" s="130"/>
      <c r="BO97" s="130"/>
      <c r="BP97" s="123"/>
      <c r="BQ97" s="86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  <c r="CX97" s="44"/>
      <c r="CY97" s="44"/>
      <c r="CZ97" s="44"/>
    </row>
    <row r="98" spans="1:104" x14ac:dyDescent="0.2">
      <c r="A98" s="20"/>
      <c r="B98" s="20"/>
      <c r="C98" s="20" t="s">
        <v>263</v>
      </c>
      <c r="D98" s="20"/>
      <c r="E98" s="203"/>
      <c r="F98" s="204"/>
      <c r="G98" s="204"/>
      <c r="H98" s="205"/>
      <c r="I98" s="206"/>
      <c r="J98" s="207">
        <f t="shared" ref="J98:S98" si="219">+J94/E94-1</f>
        <v>-0.11387337962513089</v>
      </c>
      <c r="K98" s="208">
        <f t="shared" si="219"/>
        <v>1.8118743643836366E-2</v>
      </c>
      <c r="L98" s="208">
        <f t="shared" si="219"/>
        <v>0.11107730820145267</v>
      </c>
      <c r="M98" s="209">
        <f t="shared" si="219"/>
        <v>1.4807209144336309E-2</v>
      </c>
      <c r="N98" s="88">
        <f t="shared" si="219"/>
        <v>2.0904642413410723E-3</v>
      </c>
      <c r="O98" s="207">
        <f t="shared" si="219"/>
        <v>2.5765421059128712E-2</v>
      </c>
      <c r="P98" s="208">
        <f t="shared" si="219"/>
        <v>2.6184338790754547E-2</v>
      </c>
      <c r="Q98" s="208">
        <f t="shared" si="219"/>
        <v>7.1822513239161445E-3</v>
      </c>
      <c r="R98" s="209">
        <f t="shared" si="219"/>
        <v>7.4375320350572593E-4</v>
      </c>
      <c r="S98" s="88">
        <f t="shared" si="219"/>
        <v>1.4642922766697541E-2</v>
      </c>
      <c r="T98" s="207">
        <f t="shared" ref="T98:AK98" si="220">+T94/O94-1</f>
        <v>-2.2757123360811482E-2</v>
      </c>
      <c r="U98" s="208">
        <f t="shared" si="220"/>
        <v>2.3708183865295496E-2</v>
      </c>
      <c r="V98" s="208">
        <f t="shared" si="220"/>
        <v>2.3157259493837845E-2</v>
      </c>
      <c r="W98" s="209">
        <f t="shared" si="220"/>
        <v>5.9424302083372904E-3</v>
      </c>
      <c r="X98" s="88">
        <f t="shared" si="220"/>
        <v>7.3311495866479337E-3</v>
      </c>
      <c r="Y98" s="207">
        <f t="shared" si="220"/>
        <v>2.9085708070208716E-2</v>
      </c>
      <c r="Z98" s="208">
        <f t="shared" si="220"/>
        <v>5.5139210134087513E-3</v>
      </c>
      <c r="AA98" s="208">
        <f t="shared" si="220"/>
        <v>-1.4804536935181023E-2</v>
      </c>
      <c r="AB98" s="209">
        <f t="shared" si="220"/>
        <v>4.6628319203826374E-2</v>
      </c>
      <c r="AC98" s="88">
        <f t="shared" si="220"/>
        <v>1.5949210281821058E-2</v>
      </c>
      <c r="AD98" s="207">
        <f t="shared" si="220"/>
        <v>7.0335934453236382E-2</v>
      </c>
      <c r="AE98" s="208">
        <f t="shared" si="220"/>
        <v>3.6859216497423741E-2</v>
      </c>
      <c r="AF98" s="208">
        <f t="shared" si="220"/>
        <v>-1.2203301953690793E-2</v>
      </c>
      <c r="AG98" s="209">
        <f t="shared" si="220"/>
        <v>2.3275258215453176E-2</v>
      </c>
      <c r="AH98" s="88">
        <f t="shared" si="220"/>
        <v>2.8959000152415815E-2</v>
      </c>
      <c r="AI98" s="207">
        <f t="shared" si="220"/>
        <v>-1.5965362127852267E-2</v>
      </c>
      <c r="AJ98" s="208">
        <f t="shared" si="220"/>
        <v>-2.8321168800170771E-2</v>
      </c>
      <c r="AK98" s="208">
        <f t="shared" si="220"/>
        <v>2.9953378787495266E-2</v>
      </c>
      <c r="AL98" s="209">
        <f t="shared" ref="AL98:AU98" si="221">+AL94/AG94-1</f>
        <v>-4.8120261773658357E-2</v>
      </c>
      <c r="AM98" s="88">
        <f t="shared" si="221"/>
        <v>-1.5405125166641942E-2</v>
      </c>
      <c r="AN98" s="207">
        <f t="shared" si="221"/>
        <v>-2.9642920378736504E-2</v>
      </c>
      <c r="AO98" s="208">
        <f t="shared" si="221"/>
        <v>1.0199286218035342E-2</v>
      </c>
      <c r="AP98" s="208">
        <f t="shared" si="221"/>
        <v>6.5827022672673152E-3</v>
      </c>
      <c r="AQ98" s="209">
        <f t="shared" si="221"/>
        <v>1.1199934645903076E-2</v>
      </c>
      <c r="AR98" s="88">
        <f t="shared" si="221"/>
        <v>-9.0266285542350833E-4</v>
      </c>
      <c r="AS98" s="207">
        <f t="shared" si="221"/>
        <v>-9.4765208853151428E-3</v>
      </c>
      <c r="AT98" s="208">
        <f t="shared" si="221"/>
        <v>2.7590483180599978E-2</v>
      </c>
      <c r="AU98" s="208">
        <f t="shared" si="221"/>
        <v>-7.9438459316167886E-3</v>
      </c>
      <c r="AV98" s="209">
        <f t="shared" ref="AV98" si="222">+AV94/AQ94-1</f>
        <v>4.3345716716342686E-2</v>
      </c>
      <c r="AW98" s="88">
        <f t="shared" ref="AW98" si="223">+AW94/AR94-1</f>
        <v>1.2648697485318383E-2</v>
      </c>
      <c r="AX98" s="207">
        <f t="shared" ref="AX98:BG98" si="224">+AX94/AS94-1</f>
        <v>1.6580000000000039E-2</v>
      </c>
      <c r="AY98" s="208">
        <f t="shared" si="224"/>
        <v>-5.2200000000000024E-3</v>
      </c>
      <c r="AZ98" s="208">
        <f t="shared" si="224"/>
        <v>7.5799999999999201E-3</v>
      </c>
      <c r="BA98" s="209">
        <f t="shared" si="224"/>
        <v>4.5800000000000285E-3</v>
      </c>
      <c r="BB98" s="88">
        <f t="shared" si="224"/>
        <v>5.9933064981412265E-3</v>
      </c>
      <c r="BC98" s="207">
        <f t="shared" si="224"/>
        <v>2.4999999999999467E-3</v>
      </c>
      <c r="BD98" s="208">
        <f t="shared" si="224"/>
        <v>2.4999999999999467E-3</v>
      </c>
      <c r="BE98" s="208">
        <f t="shared" si="224"/>
        <v>2.4999999999999467E-3</v>
      </c>
      <c r="BF98" s="209">
        <f t="shared" si="224"/>
        <v>2.4999999999999467E-3</v>
      </c>
      <c r="BG98" s="88">
        <f t="shared" si="224"/>
        <v>2.4999999999999467E-3</v>
      </c>
      <c r="BH98" s="207">
        <f t="shared" ref="BH98:BQ98" si="225">+BH94/BC94-1</f>
        <v>2.4999999999999467E-3</v>
      </c>
      <c r="BI98" s="208">
        <f t="shared" si="225"/>
        <v>2.4999999999999467E-3</v>
      </c>
      <c r="BJ98" s="208">
        <f t="shared" si="225"/>
        <v>2.4999999999999467E-3</v>
      </c>
      <c r="BK98" s="209">
        <f t="shared" si="225"/>
        <v>2.4999999999999467E-3</v>
      </c>
      <c r="BL98" s="88">
        <f t="shared" si="225"/>
        <v>2.4999999999999467E-3</v>
      </c>
      <c r="BM98" s="207">
        <f t="shared" si="225"/>
        <v>2.4999999999999467E-3</v>
      </c>
      <c r="BN98" s="208">
        <f t="shared" si="225"/>
        <v>2.4999999999999467E-3</v>
      </c>
      <c r="BO98" s="208">
        <f t="shared" si="225"/>
        <v>2.4999999999999467E-3</v>
      </c>
      <c r="BP98" s="209">
        <f t="shared" si="225"/>
        <v>2.4999999999999467E-3</v>
      </c>
      <c r="BQ98" s="88">
        <f t="shared" si="225"/>
        <v>2.4999999999999467E-3</v>
      </c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  <c r="CT98" s="20"/>
      <c r="CU98" s="20"/>
      <c r="CV98" s="20"/>
      <c r="CW98" s="20"/>
      <c r="CX98" s="20"/>
      <c r="CY98" s="20"/>
      <c r="CZ98" s="20"/>
    </row>
    <row r="99" spans="1:104" x14ac:dyDescent="0.2">
      <c r="C99" s="316"/>
      <c r="E99" s="273"/>
      <c r="F99" s="274"/>
      <c r="G99" s="274"/>
      <c r="H99" s="275"/>
      <c r="I99" s="169"/>
      <c r="J99" s="273"/>
      <c r="K99" s="274"/>
      <c r="L99" s="274"/>
      <c r="M99" s="275"/>
      <c r="N99" s="169"/>
      <c r="O99" s="273"/>
      <c r="P99" s="274"/>
      <c r="Q99" s="274"/>
      <c r="R99" s="275"/>
      <c r="S99" s="169"/>
      <c r="T99" s="273"/>
      <c r="U99" s="274"/>
      <c r="V99" s="274"/>
      <c r="W99" s="275"/>
      <c r="X99" s="169"/>
      <c r="Y99" s="273"/>
      <c r="Z99" s="274"/>
      <c r="AA99" s="274"/>
      <c r="AB99" s="275"/>
      <c r="AC99" s="169"/>
      <c r="AD99" s="273"/>
      <c r="AE99" s="274"/>
      <c r="AF99" s="274"/>
      <c r="AG99" s="275"/>
      <c r="AH99" s="169"/>
      <c r="AI99" s="273"/>
      <c r="AJ99" s="274"/>
      <c r="AK99" s="274"/>
      <c r="AL99" s="275"/>
      <c r="AM99" s="169"/>
      <c r="AN99" s="273"/>
      <c r="AO99" s="274"/>
      <c r="AP99" s="274"/>
      <c r="AQ99" s="275"/>
      <c r="AR99" s="169"/>
      <c r="AS99" s="273"/>
      <c r="AT99" s="274"/>
      <c r="AU99" s="274"/>
      <c r="AV99" s="275"/>
      <c r="AW99" s="169"/>
      <c r="AX99" s="273"/>
      <c r="AY99" s="274"/>
      <c r="AZ99" s="274"/>
      <c r="BA99" s="275"/>
      <c r="BB99" s="169"/>
      <c r="BC99" s="273"/>
      <c r="BD99" s="274"/>
      <c r="BE99" s="274"/>
      <c r="BF99" s="275"/>
      <c r="BG99" s="169"/>
      <c r="BH99" s="273"/>
      <c r="BI99" s="274"/>
      <c r="BJ99" s="274"/>
      <c r="BK99" s="275"/>
      <c r="BL99" s="169"/>
      <c r="BM99" s="273"/>
      <c r="BN99" s="274"/>
      <c r="BO99" s="274"/>
      <c r="BP99" s="275"/>
      <c r="BQ99" s="169"/>
    </row>
    <row r="100" spans="1:104" x14ac:dyDescent="0.2">
      <c r="C100" s="26" t="s">
        <v>470</v>
      </c>
      <c r="E100" s="317">
        <f>E85/E94*1000</f>
        <v>84.559066464174776</v>
      </c>
      <c r="F100" s="318">
        <f t="shared" ref="F100:O100" si="226">F85/F94*1000</f>
        <v>87.654123836979636</v>
      </c>
      <c r="G100" s="318">
        <f t="shared" si="226"/>
        <v>93.165991446261131</v>
      </c>
      <c r="H100" s="319">
        <f t="shared" si="226"/>
        <v>84.941803729872376</v>
      </c>
      <c r="I100" s="320">
        <f t="shared" si="226"/>
        <v>87.43599430193467</v>
      </c>
      <c r="J100" s="317">
        <f t="shared" si="226"/>
        <v>85.436900504505203</v>
      </c>
      <c r="K100" s="318">
        <f t="shared" si="226"/>
        <v>88.33482272152844</v>
      </c>
      <c r="L100" s="318">
        <f t="shared" si="226"/>
        <v>93.127911464338951</v>
      </c>
      <c r="M100" s="319">
        <f>M85/M94*1000</f>
        <v>85.389981371237013</v>
      </c>
      <c r="N100" s="320">
        <f>N85/N94*1000</f>
        <v>88.154601764127108</v>
      </c>
      <c r="O100" s="317">
        <f t="shared" si="226"/>
        <v>88.427295352664558</v>
      </c>
      <c r="P100" s="318">
        <f t="shared" ref="P100:U100" si="227">P85/P94*1000</f>
        <v>92.117674110850942</v>
      </c>
      <c r="Q100" s="318">
        <f t="shared" si="227"/>
        <v>97.34439128995497</v>
      </c>
      <c r="R100" s="319">
        <f t="shared" si="227"/>
        <v>89.104719544965832</v>
      </c>
      <c r="S100" s="320">
        <f t="shared" si="227"/>
        <v>91.826392138511949</v>
      </c>
      <c r="T100" s="317">
        <f t="shared" si="227"/>
        <v>89.609460856693133</v>
      </c>
      <c r="U100" s="318">
        <f t="shared" si="227"/>
        <v>92.356867254643589</v>
      </c>
      <c r="V100" s="318">
        <f t="shared" ref="V100:AA100" si="228">V85/V94*1000</f>
        <v>97.766177305131038</v>
      </c>
      <c r="W100" s="319">
        <f t="shared" si="228"/>
        <v>89.302016869602852</v>
      </c>
      <c r="X100" s="320">
        <f t="shared" si="228"/>
        <v>92.38928460823783</v>
      </c>
      <c r="Y100" s="317">
        <f t="shared" si="228"/>
        <v>95.707483960165575</v>
      </c>
      <c r="Z100" s="318">
        <f t="shared" si="228"/>
        <v>98.598860018860776</v>
      </c>
      <c r="AA100" s="318">
        <f t="shared" si="228"/>
        <v>104.50432332269263</v>
      </c>
      <c r="AB100" s="319">
        <f t="shared" ref="AB100:AI100" si="229">AB85/AB94*1000</f>
        <v>94.924545749376378</v>
      </c>
      <c r="AC100" s="320">
        <f t="shared" si="229"/>
        <v>98.492912665752144</v>
      </c>
      <c r="AD100" s="317">
        <f t="shared" si="229"/>
        <v>98.50613109406234</v>
      </c>
      <c r="AE100" s="318">
        <f t="shared" si="229"/>
        <v>101.3743200633142</v>
      </c>
      <c r="AF100" s="318">
        <f t="shared" si="229"/>
        <v>105.3734728066464</v>
      </c>
      <c r="AG100" s="319">
        <f t="shared" si="229"/>
        <v>97.393986557855499</v>
      </c>
      <c r="AH100" s="320">
        <f t="shared" si="229"/>
        <v>100.63161013183232</v>
      </c>
      <c r="AI100" s="317">
        <f t="shared" si="229"/>
        <v>98.82280746376172</v>
      </c>
      <c r="AJ100" s="318">
        <f t="shared" ref="AJ100:AO100" si="230">AJ85/AJ94*1000</f>
        <v>101.8196204065881</v>
      </c>
      <c r="AK100" s="318">
        <f t="shared" si="230"/>
        <v>107.40054103619573</v>
      </c>
      <c r="AL100" s="319">
        <f t="shared" si="230"/>
        <v>98.762047340874247</v>
      </c>
      <c r="AM100" s="320">
        <f t="shared" si="230"/>
        <v>101.76425455092524</v>
      </c>
      <c r="AN100" s="317">
        <f t="shared" si="230"/>
        <v>100.0259142191796</v>
      </c>
      <c r="AO100" s="318">
        <f t="shared" si="230"/>
        <v>103.92775807247354</v>
      </c>
      <c r="AP100" s="318">
        <f t="shared" ref="AP100:AU100" si="231">AP85/AP94*1000</f>
        <v>108.39070145476362</v>
      </c>
      <c r="AQ100" s="319">
        <f t="shared" si="231"/>
        <v>99.705002111499397</v>
      </c>
      <c r="AR100" s="320">
        <f t="shared" si="231"/>
        <v>103.08432464990214</v>
      </c>
      <c r="AS100" s="317">
        <f t="shared" si="231"/>
        <v>103.3608755917985</v>
      </c>
      <c r="AT100" s="318">
        <f t="shared" si="231"/>
        <v>105.89862416913992</v>
      </c>
      <c r="AU100" s="318">
        <f t="shared" si="231"/>
        <v>110.58056744462264</v>
      </c>
      <c r="AV100" s="319">
        <f t="shared" ref="AV100:AW100" si="232">AV85/AV94*1000</f>
        <v>102.70842002823903</v>
      </c>
      <c r="AW100" s="320">
        <f t="shared" si="232"/>
        <v>105.6779182156134</v>
      </c>
      <c r="AX100" s="317">
        <f>AS100+(AX102/AX94*1000)</f>
        <v>100.29269034068936</v>
      </c>
      <c r="AY100" s="318">
        <f>AT100+(AY102/AY94*1000)</f>
        <v>105.00722209366823</v>
      </c>
      <c r="AZ100" s="318">
        <f>AU100+(AZ102/AZ94*1000)</f>
        <v>109.04745203437578</v>
      </c>
      <c r="BA100" s="319">
        <f>AV100+(BA102/BA94*1000)</f>
        <v>100.34468055388079</v>
      </c>
      <c r="BB100" s="320">
        <f>BB85/BB94*1000</f>
        <v>103.69809574764682</v>
      </c>
      <c r="BC100" s="317">
        <f>AX100+(BC102/BC94*1000)</f>
        <v>101.78233074243722</v>
      </c>
      <c r="BD100" s="318">
        <f>AY100+(BD102/BD94*1000)</f>
        <v>106.65570025167578</v>
      </c>
      <c r="BE100" s="318">
        <f>AZ100+(BE102/BE94*1000)</f>
        <v>110.9165869207948</v>
      </c>
      <c r="BF100" s="319">
        <f>BA100+(BF102/BF94*1000)</f>
        <v>101.8183335927575</v>
      </c>
      <c r="BG100" s="320">
        <f>BG85/BG94*1000</f>
        <v>105.31998398490082</v>
      </c>
      <c r="BH100" s="317">
        <f>BC100+(BH102/BH94*1000)</f>
        <v>103.80859290758961</v>
      </c>
      <c r="BI100" s="318">
        <f>BD100+(BI102/BI94*1000)</f>
        <v>108.89801921518639</v>
      </c>
      <c r="BJ100" s="318">
        <f>BE100+(BJ102/BJ94*1000)</f>
        <v>113.45905106010881</v>
      </c>
      <c r="BK100" s="319">
        <f>BF100+(BK102/BK94*1000)</f>
        <v>103.8228491749974</v>
      </c>
      <c r="BL100" s="320">
        <f>BL85/BL94*1000</f>
        <v>107.52613438696929</v>
      </c>
      <c r="BM100" s="317">
        <f>BH100+(BM102/BM94*1000)</f>
        <v>105.69505477373315</v>
      </c>
      <c r="BN100" s="318">
        <f>BI100+(BN102/BN94*1000)</f>
        <v>110.98563121778979</v>
      </c>
      <c r="BO100" s="318">
        <f>BJ100+(BO102/BO94*1000)</f>
        <v>115.82609996786582</v>
      </c>
      <c r="BP100" s="319">
        <f>BK100+(BP102/BP94*1000)</f>
        <v>105.68906484591069</v>
      </c>
      <c r="BQ100" s="320">
        <f>BQ85/BQ94*1000</f>
        <v>109.58007324841292</v>
      </c>
    </row>
    <row r="101" spans="1:104" x14ac:dyDescent="0.2">
      <c r="C101" s="70"/>
      <c r="E101" s="273"/>
      <c r="F101" s="274"/>
      <c r="G101" s="274"/>
      <c r="H101" s="275"/>
      <c r="I101" s="169"/>
      <c r="J101" s="273"/>
      <c r="K101" s="274"/>
      <c r="L101" s="274"/>
      <c r="M101" s="275"/>
      <c r="N101" s="169"/>
      <c r="O101" s="273"/>
      <c r="P101" s="274"/>
      <c r="Q101" s="274"/>
      <c r="R101" s="275"/>
      <c r="S101" s="169"/>
      <c r="T101" s="273"/>
      <c r="U101" s="274"/>
      <c r="V101" s="274"/>
      <c r="W101" s="275"/>
      <c r="X101" s="169"/>
      <c r="Y101" s="273"/>
      <c r="Z101" s="274"/>
      <c r="AA101" s="274"/>
      <c r="AB101" s="275"/>
      <c r="AC101" s="169"/>
      <c r="AD101" s="273"/>
      <c r="AE101" s="274"/>
      <c r="AF101" s="274"/>
      <c r="AG101" s="275"/>
      <c r="AH101" s="169"/>
      <c r="AI101" s="273"/>
      <c r="AJ101" s="274"/>
      <c r="AK101" s="274"/>
      <c r="AL101" s="275"/>
      <c r="AM101" s="169"/>
      <c r="AN101" s="273"/>
      <c r="AO101" s="274"/>
      <c r="AP101" s="274"/>
      <c r="AQ101" s="275"/>
      <c r="AR101" s="169"/>
      <c r="AS101" s="273"/>
      <c r="AT101" s="274"/>
      <c r="AU101" s="274"/>
      <c r="AV101" s="275"/>
      <c r="AW101" s="169"/>
      <c r="AX101" s="273"/>
      <c r="AY101" s="274"/>
      <c r="AZ101" s="274"/>
      <c r="BA101" s="275"/>
      <c r="BB101" s="169"/>
      <c r="BC101" s="273"/>
      <c r="BD101" s="274"/>
      <c r="BE101" s="274"/>
      <c r="BF101" s="275"/>
      <c r="BG101" s="169"/>
      <c r="BH101" s="273"/>
      <c r="BI101" s="274"/>
      <c r="BJ101" s="274"/>
      <c r="BK101" s="275"/>
      <c r="BL101" s="169"/>
      <c r="BM101" s="273"/>
      <c r="BN101" s="274"/>
      <c r="BO101" s="274"/>
      <c r="BP101" s="275"/>
      <c r="BQ101" s="169"/>
    </row>
    <row r="102" spans="1:104" x14ac:dyDescent="0.2">
      <c r="C102" s="20" t="s">
        <v>264</v>
      </c>
      <c r="E102" s="160"/>
      <c r="F102" s="164"/>
      <c r="G102" s="164"/>
      <c r="H102" s="162"/>
      <c r="I102" s="522"/>
      <c r="J102" s="160"/>
      <c r="K102" s="164"/>
      <c r="L102" s="164"/>
      <c r="M102" s="162"/>
      <c r="N102" s="522"/>
      <c r="O102" s="160"/>
      <c r="P102" s="164"/>
      <c r="Q102" s="164"/>
      <c r="R102" s="116"/>
      <c r="S102" s="82"/>
      <c r="T102" s="136"/>
      <c r="U102" s="164"/>
      <c r="V102" s="164"/>
      <c r="W102" s="116"/>
      <c r="X102" s="82"/>
      <c r="Y102" s="136"/>
      <c r="Z102" s="164"/>
      <c r="AA102" s="164"/>
      <c r="AB102" s="116"/>
      <c r="AC102" s="82"/>
      <c r="AD102" s="136"/>
      <c r="AE102" s="164"/>
      <c r="AF102" s="164"/>
      <c r="AG102" s="116"/>
      <c r="AH102" s="82"/>
      <c r="AI102" s="136"/>
      <c r="AJ102" s="164"/>
      <c r="AK102" s="164"/>
      <c r="AL102" s="116"/>
      <c r="AM102" s="82"/>
      <c r="AN102" s="136"/>
      <c r="AO102" s="164"/>
      <c r="AP102" s="164"/>
      <c r="AQ102" s="116"/>
      <c r="AR102" s="82"/>
      <c r="AS102" s="136"/>
      <c r="AT102" s="135"/>
      <c r="AU102" s="164"/>
      <c r="AV102" s="116"/>
      <c r="AW102" s="82"/>
      <c r="AX102" s="136">
        <f>SUM(AX62:AX63)</f>
        <v>-5.1980000000000004</v>
      </c>
      <c r="AY102" s="135">
        <f>SUM(AY62:AY63)</f>
        <v>-1.4240000000000004</v>
      </c>
      <c r="AZ102" s="135">
        <f>SUM(AZ62:AZ63)</f>
        <v>-2.6999999999999997</v>
      </c>
      <c r="BA102" s="116">
        <f>SUM(BA62:BA63)</f>
        <v>-4.048</v>
      </c>
      <c r="BB102" s="82">
        <f>SUM(AX102:BA102)</f>
        <v>-13.370000000000001</v>
      </c>
      <c r="BC102" s="136">
        <f>SUM(BC62:BC63)</f>
        <v>2.5300000000000002</v>
      </c>
      <c r="BD102" s="135">
        <f>SUM(BD62:BD63)</f>
        <v>2.6399999999999997</v>
      </c>
      <c r="BE102" s="135">
        <f>SUM(BE62:BE63)</f>
        <v>3.3</v>
      </c>
      <c r="BF102" s="116">
        <f>SUM(BF62:BF63)</f>
        <v>2.5300000000000002</v>
      </c>
      <c r="BG102" s="82">
        <f>SUM(BC102:BF102)</f>
        <v>11</v>
      </c>
      <c r="BH102" s="136">
        <f>SUM(BH62:BH63)</f>
        <v>3.45</v>
      </c>
      <c r="BI102" s="135">
        <f>SUM(BI62:BI63)</f>
        <v>3.5999999999999996</v>
      </c>
      <c r="BJ102" s="135">
        <f>SUM(BJ62:BJ63)</f>
        <v>4.5</v>
      </c>
      <c r="BK102" s="116">
        <f>SUM(BK62:BK63)</f>
        <v>3.45</v>
      </c>
      <c r="BL102" s="82">
        <f>SUM(BH102:BK102)</f>
        <v>15</v>
      </c>
      <c r="BM102" s="136">
        <f>SUM(BM62:BM63)</f>
        <v>3.22</v>
      </c>
      <c r="BN102" s="135">
        <f>SUM(BN62:BN63)</f>
        <v>3.36</v>
      </c>
      <c r="BO102" s="135">
        <f>SUM(BO62:BO63)</f>
        <v>4.2</v>
      </c>
      <c r="BP102" s="116">
        <f>SUM(BP62:BP63)</f>
        <v>3.22</v>
      </c>
      <c r="BQ102" s="82">
        <f>SUM(BM102:BP102)</f>
        <v>14.000000000000002</v>
      </c>
    </row>
    <row r="103" spans="1:104" x14ac:dyDescent="0.2">
      <c r="C103" s="26"/>
      <c r="E103" s="273"/>
      <c r="F103" s="274"/>
      <c r="G103" s="274"/>
      <c r="H103" s="275"/>
      <c r="I103" s="321"/>
      <c r="J103" s="273"/>
      <c r="K103" s="274"/>
      <c r="L103" s="274"/>
      <c r="M103" s="275"/>
      <c r="N103" s="321"/>
      <c r="O103" s="273"/>
      <c r="P103" s="274"/>
      <c r="Q103" s="274"/>
      <c r="R103" s="275"/>
      <c r="S103" s="169"/>
      <c r="T103" s="273"/>
      <c r="U103" s="274"/>
      <c r="V103" s="274"/>
      <c r="W103" s="275"/>
      <c r="X103" s="169"/>
      <c r="Y103" s="273"/>
      <c r="Z103" s="274"/>
      <c r="AA103" s="274"/>
      <c r="AB103" s="275"/>
      <c r="AC103" s="169"/>
      <c r="AD103" s="273"/>
      <c r="AE103" s="274"/>
      <c r="AF103" s="274"/>
      <c r="AG103" s="275"/>
      <c r="AH103" s="169"/>
      <c r="AI103" s="273"/>
      <c r="AJ103" s="274"/>
      <c r="AK103" s="274"/>
      <c r="AL103" s="275"/>
      <c r="AM103" s="169"/>
      <c r="AN103" s="273"/>
      <c r="AO103" s="274"/>
      <c r="AP103" s="274"/>
      <c r="AQ103" s="275"/>
      <c r="AR103" s="169"/>
      <c r="AS103" s="273"/>
      <c r="AT103" s="274"/>
      <c r="AU103" s="274"/>
      <c r="AV103" s="275"/>
      <c r="AW103" s="169"/>
      <c r="AX103" s="273"/>
      <c r="AY103" s="274"/>
      <c r="AZ103" s="274"/>
      <c r="BA103" s="275"/>
      <c r="BB103" s="169"/>
      <c r="BC103" s="273"/>
      <c r="BD103" s="274"/>
      <c r="BE103" s="274"/>
      <c r="BF103" s="275"/>
      <c r="BG103" s="169"/>
      <c r="BH103" s="273"/>
      <c r="BI103" s="274"/>
      <c r="BJ103" s="274"/>
      <c r="BK103" s="275"/>
      <c r="BL103" s="169"/>
      <c r="BM103" s="273"/>
      <c r="BN103" s="274"/>
      <c r="BO103" s="274"/>
      <c r="BP103" s="275"/>
      <c r="BQ103" s="169"/>
    </row>
    <row r="104" spans="1:104" x14ac:dyDescent="0.2">
      <c r="C104" s="26" t="s">
        <v>265</v>
      </c>
      <c r="E104" s="273"/>
      <c r="F104" s="274"/>
      <c r="G104" s="274"/>
      <c r="H104" s="275"/>
      <c r="I104" s="169"/>
      <c r="J104" s="273"/>
      <c r="K104" s="274"/>
      <c r="L104" s="274"/>
      <c r="M104" s="275"/>
      <c r="N104" s="169"/>
      <c r="O104" s="273"/>
      <c r="P104" s="274"/>
      <c r="Q104" s="274"/>
      <c r="R104" s="275"/>
      <c r="S104" s="169"/>
      <c r="T104" s="273"/>
      <c r="U104" s="274"/>
      <c r="V104" s="274"/>
      <c r="W104" s="275"/>
      <c r="X104" s="169"/>
      <c r="Y104" s="273"/>
      <c r="Z104" s="274"/>
      <c r="AA104" s="274"/>
      <c r="AB104" s="275"/>
      <c r="AC104" s="169"/>
      <c r="AD104" s="273"/>
      <c r="AE104" s="274"/>
      <c r="AF104" s="274"/>
      <c r="AG104" s="275"/>
      <c r="AH104" s="169"/>
      <c r="AI104" s="273"/>
      <c r="AJ104" s="274"/>
      <c r="AK104" s="274"/>
      <c r="AL104" s="275"/>
      <c r="AM104" s="169"/>
      <c r="AN104" s="273"/>
      <c r="AO104" s="274"/>
      <c r="AP104" s="274"/>
      <c r="AQ104" s="275"/>
      <c r="AR104" s="169"/>
      <c r="AS104" s="273"/>
      <c r="AT104" s="274"/>
      <c r="AU104" s="274"/>
      <c r="AV104" s="275"/>
      <c r="AW104" s="169"/>
      <c r="AX104" s="273"/>
      <c r="AY104" s="274"/>
      <c r="AZ104" s="274"/>
      <c r="BA104" s="275"/>
      <c r="BB104" s="169"/>
      <c r="BC104" s="273"/>
      <c r="BD104" s="274"/>
      <c r="BE104" s="274"/>
      <c r="BF104" s="275"/>
      <c r="BG104" s="169"/>
      <c r="BH104" s="273"/>
      <c r="BI104" s="274"/>
      <c r="BJ104" s="274"/>
      <c r="BK104" s="275"/>
      <c r="BL104" s="169"/>
      <c r="BM104" s="273"/>
      <c r="BN104" s="274"/>
      <c r="BO104" s="274"/>
      <c r="BP104" s="275"/>
      <c r="BQ104" s="169"/>
    </row>
    <row r="105" spans="1:104" s="20" customFormat="1" x14ac:dyDescent="0.2">
      <c r="A105" s="220"/>
      <c r="B105" s="220"/>
      <c r="C105" s="20" t="s">
        <v>266</v>
      </c>
      <c r="D105" s="82"/>
      <c r="E105" s="136">
        <f t="shared" ref="E105:P105" si="233">E13</f>
        <v>101.15</v>
      </c>
      <c r="F105" s="135">
        <f>F13</f>
        <v>89.876999999999995</v>
      </c>
      <c r="G105" s="135">
        <f>G13</f>
        <v>91.581999999999994</v>
      </c>
      <c r="H105" s="116">
        <f>H13</f>
        <v>95.175000000000011</v>
      </c>
      <c r="I105" s="82">
        <f>I13</f>
        <v>377.78399999999999</v>
      </c>
      <c r="J105" s="136">
        <f t="shared" si="233"/>
        <v>97.35</v>
      </c>
      <c r="K105" s="135">
        <f t="shared" si="233"/>
        <v>99.534999999999997</v>
      </c>
      <c r="L105" s="135">
        <f t="shared" si="233"/>
        <v>105.624</v>
      </c>
      <c r="M105" s="116">
        <f t="shared" si="233"/>
        <v>97.230999999999995</v>
      </c>
      <c r="N105" s="82">
        <f t="shared" si="233"/>
        <v>399.74</v>
      </c>
      <c r="O105" s="136">
        <f t="shared" si="233"/>
        <v>105.482</v>
      </c>
      <c r="P105" s="135">
        <f t="shared" si="233"/>
        <v>100.18300000000001</v>
      </c>
      <c r="Q105" s="135">
        <f t="shared" ref="Q105:Y105" si="234">Q13</f>
        <v>109.877</v>
      </c>
      <c r="R105" s="116">
        <f t="shared" si="234"/>
        <v>105.06399999999996</v>
      </c>
      <c r="S105" s="82">
        <f t="shared" si="234"/>
        <v>420.60599999999999</v>
      </c>
      <c r="T105" s="136">
        <f t="shared" si="234"/>
        <v>102.614</v>
      </c>
      <c r="U105" s="135">
        <f t="shared" si="234"/>
        <v>103.28</v>
      </c>
      <c r="V105" s="135">
        <f t="shared" si="234"/>
        <v>111.08799999999999</v>
      </c>
      <c r="W105" s="116">
        <f t="shared" si="234"/>
        <v>107.47400000000005</v>
      </c>
      <c r="X105" s="82">
        <f t="shared" si="234"/>
        <v>424.45600000000002</v>
      </c>
      <c r="Y105" s="136">
        <f t="shared" si="234"/>
        <v>103.11199999999999</v>
      </c>
      <c r="Z105" s="135">
        <f t="shared" ref="Z105:AE105" si="235">Z13</f>
        <v>101.905</v>
      </c>
      <c r="AA105" s="135">
        <f t="shared" si="235"/>
        <v>111.52200000000001</v>
      </c>
      <c r="AB105" s="116">
        <f t="shared" si="235"/>
        <v>117.76300000000003</v>
      </c>
      <c r="AC105" s="82">
        <f t="shared" si="235"/>
        <v>434.30200000000002</v>
      </c>
      <c r="AD105" s="136">
        <f t="shared" si="235"/>
        <v>118.422</v>
      </c>
      <c r="AE105" s="135">
        <f t="shared" si="235"/>
        <v>107.21599999999999</v>
      </c>
      <c r="AF105" s="135">
        <f t="shared" ref="AF105:AK105" si="236">AF13</f>
        <v>107.79899999999999</v>
      </c>
      <c r="AG105" s="116">
        <f t="shared" si="236"/>
        <v>111.62900000000008</v>
      </c>
      <c r="AH105" s="82">
        <f t="shared" si="236"/>
        <v>445.06600000000003</v>
      </c>
      <c r="AI105" s="136">
        <f t="shared" si="236"/>
        <v>113.11499999999999</v>
      </c>
      <c r="AJ105" s="135">
        <f t="shared" si="236"/>
        <v>105.572</v>
      </c>
      <c r="AK105" s="135">
        <f t="shared" si="236"/>
        <v>104.92099999999999</v>
      </c>
      <c r="AL105" s="116">
        <f t="shared" ref="AL105:AR105" si="237">AL13</f>
        <v>106.21500000000003</v>
      </c>
      <c r="AM105" s="82">
        <f t="shared" si="237"/>
        <v>429.82300000000004</v>
      </c>
      <c r="AN105" s="136">
        <f t="shared" si="237"/>
        <v>112.69499999999999</v>
      </c>
      <c r="AO105" s="135">
        <f t="shared" si="237"/>
        <v>100.50399999999999</v>
      </c>
      <c r="AP105" s="135">
        <f t="shared" si="237"/>
        <v>109.97199999999999</v>
      </c>
      <c r="AQ105" s="116">
        <f t="shared" si="237"/>
        <v>106.01800000000003</v>
      </c>
      <c r="AR105" s="82">
        <f t="shared" si="237"/>
        <v>429.18900000000002</v>
      </c>
      <c r="AS105" s="136">
        <f>AS13</f>
        <v>109.331</v>
      </c>
      <c r="AT105" s="135">
        <f>AT13</f>
        <v>105.376</v>
      </c>
      <c r="AU105" s="135">
        <f>AU13</f>
        <v>112.878</v>
      </c>
      <c r="AV105" s="116">
        <f t="shared" ref="AV105:AW105" si="238">AV13</f>
        <v>110.221</v>
      </c>
      <c r="AW105" s="82">
        <f t="shared" si="238"/>
        <v>437.80599999999998</v>
      </c>
      <c r="AX105" s="136">
        <f>+AX106*AX96/1000</f>
        <v>111.14370797999999</v>
      </c>
      <c r="AY105" s="135">
        <f>+AY106*AY96/1000</f>
        <v>104.82593728000002</v>
      </c>
      <c r="AZ105" s="135">
        <f>+AZ106*AZ96/1000</f>
        <v>113.73361523999998</v>
      </c>
      <c r="BA105" s="116">
        <f>+BA106*BA96/1000</f>
        <v>110.72581218000001</v>
      </c>
      <c r="BB105" s="82">
        <f>SUM(AX105:BA105)</f>
        <v>440.42907267999993</v>
      </c>
      <c r="BC105" s="136">
        <f>+BC106*BC96/1000</f>
        <v>111.42156724994999</v>
      </c>
      <c r="BD105" s="135">
        <f>+BD106*BD96/1000</f>
        <v>105.0880021232</v>
      </c>
      <c r="BE105" s="135">
        <f>+BE106*BE96/1000</f>
        <v>114.01794927809998</v>
      </c>
      <c r="BF105" s="116">
        <f>+BF106*BF96/1000</f>
        <v>111.00262671045</v>
      </c>
      <c r="BG105" s="82">
        <f>SUM(BC105:BF105)</f>
        <v>441.53014536169997</v>
      </c>
      <c r="BH105" s="136">
        <f>+BH106*BH96/1000</f>
        <v>111.70012116807487</v>
      </c>
      <c r="BI105" s="135">
        <f>+BI106*BI96/1000</f>
        <v>105.35072212850798</v>
      </c>
      <c r="BJ105" s="135">
        <f>+BJ106*BJ96/1000</f>
        <v>114.30299415129522</v>
      </c>
      <c r="BK105" s="116">
        <f>+BK106*BK96/1000</f>
        <v>111.28013327722613</v>
      </c>
      <c r="BL105" s="82">
        <f>SUM(BH105:BK105)</f>
        <v>442.63397072510418</v>
      </c>
      <c r="BM105" s="136">
        <f>+BM106*BM96/1000</f>
        <v>111.97937147099505</v>
      </c>
      <c r="BN105" s="135">
        <f>+BN106*BN96/1000</f>
        <v>105.61409893382925</v>
      </c>
      <c r="BO105" s="135">
        <f>+BO106*BO96/1000</f>
        <v>114.58875163667345</v>
      </c>
      <c r="BP105" s="116">
        <f>+BP106*BP96/1000</f>
        <v>111.5583336104192</v>
      </c>
      <c r="BQ105" s="82">
        <f>SUM(BM105:BP105)</f>
        <v>443.74055565191696</v>
      </c>
      <c r="BR105" s="220"/>
      <c r="BS105" s="220"/>
      <c r="BT105" s="220"/>
      <c r="BU105" s="220"/>
      <c r="BV105" s="220"/>
      <c r="BW105" s="220"/>
      <c r="BX105" s="220"/>
      <c r="BY105" s="220"/>
      <c r="BZ105" s="220"/>
      <c r="CA105" s="220"/>
      <c r="CB105" s="220"/>
      <c r="CC105" s="220"/>
      <c r="CD105" s="220"/>
      <c r="CE105" s="220"/>
      <c r="CF105" s="220"/>
      <c r="CG105" s="220"/>
      <c r="CH105" s="220"/>
      <c r="CI105" s="220"/>
      <c r="CJ105" s="220"/>
      <c r="CK105" s="220"/>
      <c r="CL105" s="220"/>
      <c r="CM105" s="220"/>
      <c r="CN105" s="220"/>
      <c r="CO105" s="220"/>
      <c r="CP105" s="220"/>
      <c r="CQ105" s="220"/>
      <c r="CR105" s="220"/>
      <c r="CS105" s="220"/>
      <c r="CT105" s="220"/>
      <c r="CU105" s="220"/>
      <c r="CV105" s="220"/>
      <c r="CW105" s="220"/>
      <c r="CX105" s="220"/>
      <c r="CY105" s="220"/>
      <c r="CZ105" s="220"/>
    </row>
    <row r="106" spans="1:104" x14ac:dyDescent="0.2">
      <c r="C106" s="20" t="s">
        <v>267</v>
      </c>
      <c r="E106" s="322">
        <f>+E105/E96*1000</f>
        <v>52.014180356277855</v>
      </c>
      <c r="F106" s="323">
        <f>+F105/F96*1000</f>
        <v>57.916147661464059</v>
      </c>
      <c r="G106" s="323">
        <f>+G105/G96*1000</f>
        <v>55.287882510683943</v>
      </c>
      <c r="H106" s="324">
        <f>+H105/H96*1000</f>
        <v>56.544485820954058</v>
      </c>
      <c r="I106" s="325">
        <f>+I105/I96*1000</f>
        <v>55.262652070155241</v>
      </c>
      <c r="J106" s="322">
        <f t="shared" ref="J106:Q106" si="239">+J105/J96*1000</f>
        <v>55.96741414449194</v>
      </c>
      <c r="K106" s="323">
        <f t="shared" si="239"/>
        <v>63.048910650885709</v>
      </c>
      <c r="L106" s="323">
        <f t="shared" si="239"/>
        <v>57.534895755314366</v>
      </c>
      <c r="M106" s="324">
        <f t="shared" si="239"/>
        <v>56.822186313842487</v>
      </c>
      <c r="N106" s="325">
        <f t="shared" si="239"/>
        <v>58.228102553943373</v>
      </c>
      <c r="O106" s="322">
        <f t="shared" si="239"/>
        <v>59.231997699946319</v>
      </c>
      <c r="P106" s="323">
        <f t="shared" si="239"/>
        <v>61.865302187945588</v>
      </c>
      <c r="Q106" s="323">
        <f t="shared" si="239"/>
        <v>59.468996852733355</v>
      </c>
      <c r="R106" s="324">
        <f t="shared" ref="R106:Y106" si="240">+R105/R96*1000</f>
        <v>61.470988155612901</v>
      </c>
      <c r="S106" s="325">
        <f t="shared" si="240"/>
        <v>60.457956015523926</v>
      </c>
      <c r="T106" s="322">
        <f t="shared" si="240"/>
        <v>60.156608615056683</v>
      </c>
      <c r="U106" s="323">
        <f t="shared" si="240"/>
        <v>63.62795144857089</v>
      </c>
      <c r="V106" s="323">
        <f t="shared" si="240"/>
        <v>59.938123793419358</v>
      </c>
      <c r="W106" s="324">
        <f t="shared" si="240"/>
        <v>63.682446945613925</v>
      </c>
      <c r="X106" s="325">
        <f t="shared" si="240"/>
        <v>61.783988355167395</v>
      </c>
      <c r="Y106" s="322">
        <f t="shared" si="240"/>
        <v>62.596448626498713</v>
      </c>
      <c r="Z106" s="323">
        <f t="shared" ref="Z106:AF106" si="241">+Z105/Z96*1000</f>
        <v>66.367560554985346</v>
      </c>
      <c r="AA106" s="323">
        <f t="shared" si="241"/>
        <v>64.82194048485384</v>
      </c>
      <c r="AB106" s="324">
        <f t="shared" si="241"/>
        <v>70.990746601561355</v>
      </c>
      <c r="AC106" s="325">
        <f t="shared" si="241"/>
        <v>66.184395001523924</v>
      </c>
      <c r="AD106" s="322">
        <f t="shared" si="241"/>
        <v>67.208777288561535</v>
      </c>
      <c r="AE106" s="323">
        <f t="shared" si="241"/>
        <v>67.344195570518693</v>
      </c>
      <c r="AF106" s="323">
        <f t="shared" si="241"/>
        <v>63.432034416022674</v>
      </c>
      <c r="AG106" s="324">
        <f t="shared" ref="AG106:AM106" si="242">+AG105/AG96*1000</f>
        <v>65.760940961898655</v>
      </c>
      <c r="AH106" s="325">
        <f t="shared" si="242"/>
        <v>65.92593689823731</v>
      </c>
      <c r="AI106" s="322">
        <f t="shared" si="242"/>
        <v>65.238417390913156</v>
      </c>
      <c r="AJ106" s="323">
        <f t="shared" si="242"/>
        <v>68.244330372062564</v>
      </c>
      <c r="AK106" s="323">
        <f t="shared" si="242"/>
        <v>59.943039800725003</v>
      </c>
      <c r="AL106" s="324">
        <f t="shared" si="242"/>
        <v>65.734710637926554</v>
      </c>
      <c r="AM106" s="325">
        <f t="shared" si="242"/>
        <v>64.664209417782459</v>
      </c>
      <c r="AN106" s="322">
        <f t="shared" ref="AN106:AS106" si="243">+AN105/AN96*1000</f>
        <v>66.981718588221867</v>
      </c>
      <c r="AO106" s="323">
        <f t="shared" si="243"/>
        <v>64.312311190088735</v>
      </c>
      <c r="AP106" s="323">
        <f t="shared" si="243"/>
        <v>62.417878307499947</v>
      </c>
      <c r="AQ106" s="324">
        <f t="shared" si="243"/>
        <v>64.886070836214969</v>
      </c>
      <c r="AR106" s="325">
        <f t="shared" si="243"/>
        <v>64.627164583647044</v>
      </c>
      <c r="AS106" s="322">
        <f t="shared" si="243"/>
        <v>65.60397952632114</v>
      </c>
      <c r="AT106" s="323">
        <f>+AT105/AT96*1000</f>
        <v>65.619422791191809</v>
      </c>
      <c r="AU106" s="323">
        <f>+AU105/AU96*1000</f>
        <v>64.580280810197095</v>
      </c>
      <c r="AV106" s="324">
        <f t="shared" ref="AV106:AW106" si="244">+AV105/AV96*1000</f>
        <v>64.655872796502436</v>
      </c>
      <c r="AW106" s="325">
        <f t="shared" si="244"/>
        <v>65.10126394052044</v>
      </c>
      <c r="AX106" s="322">
        <f>+AS106</f>
        <v>65.60397952632114</v>
      </c>
      <c r="AY106" s="323">
        <f>+AT106</f>
        <v>65.619422791191809</v>
      </c>
      <c r="AZ106" s="323">
        <f>+AU106</f>
        <v>64.580280810197095</v>
      </c>
      <c r="BA106" s="324">
        <f>+AV106</f>
        <v>64.655872796502436</v>
      </c>
      <c r="BB106" s="325">
        <f>+BB105/BB96*1000</f>
        <v>65.10114083229</v>
      </c>
      <c r="BC106" s="322">
        <f>+AX106</f>
        <v>65.60397952632114</v>
      </c>
      <c r="BD106" s="323">
        <f>+AY106</f>
        <v>65.619422791191809</v>
      </c>
      <c r="BE106" s="323">
        <f>+AZ106</f>
        <v>64.580280810197095</v>
      </c>
      <c r="BF106" s="324">
        <f>+BA106</f>
        <v>64.655872796502436</v>
      </c>
      <c r="BG106" s="325">
        <f>+BG105/BG96*1000</f>
        <v>65.10114083229</v>
      </c>
      <c r="BH106" s="322">
        <f>+BC106</f>
        <v>65.60397952632114</v>
      </c>
      <c r="BI106" s="323">
        <f>+BD106</f>
        <v>65.619422791191809</v>
      </c>
      <c r="BJ106" s="323">
        <f>+BE106</f>
        <v>64.580280810197095</v>
      </c>
      <c r="BK106" s="324">
        <f>+BF106</f>
        <v>64.655872796502436</v>
      </c>
      <c r="BL106" s="325">
        <f>+BL105/BL96*1000</f>
        <v>65.10114083229</v>
      </c>
      <c r="BM106" s="322">
        <f>+BH106</f>
        <v>65.60397952632114</v>
      </c>
      <c r="BN106" s="323">
        <f>+BI106</f>
        <v>65.619422791191809</v>
      </c>
      <c r="BO106" s="323">
        <f>+BJ106</f>
        <v>64.580280810197095</v>
      </c>
      <c r="BP106" s="324">
        <f>+BK106</f>
        <v>64.655872796502436</v>
      </c>
      <c r="BQ106" s="325">
        <f>+BQ105/BQ96*1000</f>
        <v>65.10114083229</v>
      </c>
    </row>
    <row r="107" spans="1:104" x14ac:dyDescent="0.2">
      <c r="C107" s="26"/>
      <c r="E107" s="273"/>
      <c r="F107" s="274"/>
      <c r="G107" s="274"/>
      <c r="H107" s="275"/>
      <c r="I107" s="169"/>
      <c r="J107" s="273"/>
      <c r="K107" s="274"/>
      <c r="L107" s="274"/>
      <c r="M107" s="275"/>
      <c r="N107" s="169"/>
      <c r="O107" s="273"/>
      <c r="P107" s="274"/>
      <c r="Q107" s="274"/>
      <c r="R107" s="275"/>
      <c r="S107" s="169"/>
      <c r="T107" s="273"/>
      <c r="U107" s="274"/>
      <c r="V107" s="274"/>
      <c r="W107" s="275"/>
      <c r="X107" s="169"/>
      <c r="Y107" s="273"/>
      <c r="Z107" s="274"/>
      <c r="AA107" s="274"/>
      <c r="AB107" s="275"/>
      <c r="AC107" s="169"/>
      <c r="AD107" s="273"/>
      <c r="AE107" s="274"/>
      <c r="AF107" s="274"/>
      <c r="AG107" s="275"/>
      <c r="AH107" s="169"/>
      <c r="AI107" s="273"/>
      <c r="AJ107" s="274"/>
      <c r="AK107" s="274"/>
      <c r="AL107" s="275"/>
      <c r="AM107" s="169"/>
      <c r="AN107" s="273"/>
      <c r="AO107" s="274"/>
      <c r="AP107" s="274"/>
      <c r="AQ107" s="275"/>
      <c r="AR107" s="169"/>
      <c r="AS107" s="273"/>
      <c r="AT107" s="274"/>
      <c r="AU107" s="274"/>
      <c r="AV107" s="275"/>
      <c r="AW107" s="169"/>
      <c r="AX107" s="273"/>
      <c r="AY107" s="274"/>
      <c r="AZ107" s="274"/>
      <c r="BA107" s="275"/>
      <c r="BB107" s="169"/>
      <c r="BC107" s="273"/>
      <c r="BD107" s="274"/>
      <c r="BE107" s="274"/>
      <c r="BF107" s="275"/>
      <c r="BG107" s="169"/>
      <c r="BH107" s="273"/>
      <c r="BI107" s="274"/>
      <c r="BJ107" s="274"/>
      <c r="BK107" s="275"/>
      <c r="BL107" s="169"/>
      <c r="BM107" s="273"/>
      <c r="BN107" s="274"/>
      <c r="BO107" s="274"/>
      <c r="BP107" s="275"/>
      <c r="BQ107" s="169"/>
    </row>
    <row r="108" spans="1:104" x14ac:dyDescent="0.2">
      <c r="C108" s="26" t="s">
        <v>268</v>
      </c>
      <c r="E108" s="121">
        <f t="shared" ref="E108:P108" si="245">+E87-E105</f>
        <v>83.177999999999997</v>
      </c>
      <c r="F108" s="122">
        <f t="shared" si="245"/>
        <v>63.182000000000002</v>
      </c>
      <c r="G108" s="122">
        <f t="shared" si="245"/>
        <v>78.480999999999995</v>
      </c>
      <c r="H108" s="123">
        <f t="shared" si="245"/>
        <v>69.077999999999946</v>
      </c>
      <c r="I108" s="86">
        <f t="shared" si="245"/>
        <v>293.91899999999998</v>
      </c>
      <c r="J108" s="121">
        <f t="shared" si="245"/>
        <v>75.712000000000018</v>
      </c>
      <c r="K108" s="122">
        <f t="shared" si="245"/>
        <v>64.546999999999997</v>
      </c>
      <c r="L108" s="122">
        <f t="shared" si="245"/>
        <v>92.992999999999995</v>
      </c>
      <c r="M108" s="123">
        <f t="shared" si="245"/>
        <v>75.186999999999927</v>
      </c>
      <c r="N108" s="86">
        <f t="shared" si="245"/>
        <v>308.43899999999996</v>
      </c>
      <c r="O108" s="326">
        <f t="shared" si="245"/>
        <v>78.885999999999996</v>
      </c>
      <c r="P108" s="327">
        <f t="shared" si="245"/>
        <v>78.509</v>
      </c>
      <c r="Q108" s="327">
        <f t="shared" ref="Q108:Y108" si="246">+Q87-Q105</f>
        <v>100.93300000000001</v>
      </c>
      <c r="R108" s="123">
        <f t="shared" si="246"/>
        <v>76.201999999999941</v>
      </c>
      <c r="S108" s="86">
        <f t="shared" si="246"/>
        <v>334.53</v>
      </c>
      <c r="T108" s="326">
        <f t="shared" si="246"/>
        <v>79.387</v>
      </c>
      <c r="U108" s="327">
        <f t="shared" si="246"/>
        <v>75.824999999999989</v>
      </c>
      <c r="V108" s="327">
        <f t="shared" si="246"/>
        <v>103.33799999999999</v>
      </c>
      <c r="W108" s="123">
        <f t="shared" si="246"/>
        <v>74.55900000000014</v>
      </c>
      <c r="X108" s="86">
        <f t="shared" si="246"/>
        <v>333.10900000000004</v>
      </c>
      <c r="Y108" s="326">
        <f t="shared" si="246"/>
        <v>87.699000000000012</v>
      </c>
      <c r="Z108" s="327">
        <f t="shared" ref="Z108:AE108" si="247">+Z87-Z105</f>
        <v>83.468999999999994</v>
      </c>
      <c r="AA108" s="327">
        <f t="shared" si="247"/>
        <v>105.02299999999998</v>
      </c>
      <c r="AB108" s="123">
        <f t="shared" si="247"/>
        <v>78.675000000000097</v>
      </c>
      <c r="AC108" s="86">
        <f t="shared" si="247"/>
        <v>354.86599999999999</v>
      </c>
      <c r="AD108" s="326">
        <f t="shared" si="247"/>
        <v>92.675000000000011</v>
      </c>
      <c r="AE108" s="327">
        <f t="shared" si="247"/>
        <v>91.060999999999993</v>
      </c>
      <c r="AF108" s="327">
        <f t="shared" ref="AF108:AM108" si="248">+AF87-AF105</f>
        <v>108.49</v>
      </c>
      <c r="AG108" s="123">
        <f t="shared" si="248"/>
        <v>92.45599999999996</v>
      </c>
      <c r="AH108" s="86">
        <f t="shared" si="248"/>
        <v>384.68200000000002</v>
      </c>
      <c r="AI108" s="326">
        <f t="shared" si="248"/>
        <v>97.168999999999997</v>
      </c>
      <c r="AJ108" s="327">
        <f t="shared" si="248"/>
        <v>94.049000000000007</v>
      </c>
      <c r="AK108" s="327">
        <f t="shared" si="248"/>
        <v>119.745</v>
      </c>
      <c r="AL108" s="123">
        <f t="shared" si="248"/>
        <v>94.211999999999932</v>
      </c>
      <c r="AM108" s="86">
        <f t="shared" si="248"/>
        <v>405.17500000000001</v>
      </c>
      <c r="AN108" s="326">
        <f t="shared" ref="AN108:AR108" si="249">+AN87-AN105</f>
        <v>98.829000000000008</v>
      </c>
      <c r="AO108" s="327">
        <f t="shared" si="249"/>
        <v>102.375</v>
      </c>
      <c r="AP108" s="327">
        <f t="shared" si="249"/>
        <v>122.24400000000001</v>
      </c>
      <c r="AQ108" s="123">
        <f t="shared" si="249"/>
        <v>97.308999999999884</v>
      </c>
      <c r="AR108" s="86">
        <f t="shared" si="249"/>
        <v>420.75700000000001</v>
      </c>
      <c r="AS108" s="326">
        <f>+AS87-AS105</f>
        <v>106.97799999999999</v>
      </c>
      <c r="AT108" s="327">
        <f>+AT87-AT105</f>
        <v>105.36599999999999</v>
      </c>
      <c r="AU108" s="327">
        <f>+AU87-AU105</f>
        <v>119.92399999999999</v>
      </c>
      <c r="AV108" s="123">
        <f t="shared" ref="AV108:AW108" si="250">+AV87-AV105</f>
        <v>111.81699999999995</v>
      </c>
      <c r="AW108" s="86">
        <f t="shared" si="250"/>
        <v>444.08499999999998</v>
      </c>
      <c r="AX108" s="326">
        <f t="shared" ref="AX108:BG108" si="251">+AX87-AX105</f>
        <v>102.82326334000001</v>
      </c>
      <c r="AY108" s="327">
        <f t="shared" si="251"/>
        <v>103.60435473999998</v>
      </c>
      <c r="AZ108" s="327">
        <f t="shared" si="251"/>
        <v>117.83345145786001</v>
      </c>
      <c r="BA108" s="314">
        <f t="shared" si="251"/>
        <v>108.06610200313996</v>
      </c>
      <c r="BB108" s="93">
        <f t="shared" si="251"/>
        <v>432.32717154100004</v>
      </c>
      <c r="BC108" s="326">
        <f t="shared" si="251"/>
        <v>105.50018399835</v>
      </c>
      <c r="BD108" s="327">
        <f t="shared" si="251"/>
        <v>106.40165812684998</v>
      </c>
      <c r="BE108" s="327">
        <f t="shared" si="251"/>
        <v>121.32923150400465</v>
      </c>
      <c r="BF108" s="314">
        <f t="shared" si="251"/>
        <v>110.74889834064781</v>
      </c>
      <c r="BG108" s="93">
        <f t="shared" si="251"/>
        <v>443.9799719698525</v>
      </c>
      <c r="BH108" s="326">
        <f t="shared" ref="BH108:BQ108" si="252">+BH87-BH105</f>
        <v>109.10379695834587</v>
      </c>
      <c r="BI108" s="327">
        <f t="shared" si="252"/>
        <v>110.16595477216708</v>
      </c>
      <c r="BJ108" s="327">
        <f t="shared" si="252"/>
        <v>126.03375100026463</v>
      </c>
      <c r="BK108" s="314">
        <f t="shared" si="252"/>
        <v>114.35840166899945</v>
      </c>
      <c r="BL108" s="93">
        <f t="shared" si="252"/>
        <v>459.66190439977709</v>
      </c>
      <c r="BM108" s="326">
        <f t="shared" si="252"/>
        <v>112.48641895074171</v>
      </c>
      <c r="BN108" s="327">
        <f t="shared" si="252"/>
        <v>113.69966215909749</v>
      </c>
      <c r="BO108" s="327">
        <f t="shared" si="252"/>
        <v>130.45003179526532</v>
      </c>
      <c r="BP108" s="314">
        <f t="shared" si="252"/>
        <v>117.74692875567192</v>
      </c>
      <c r="BQ108" s="93">
        <f t="shared" si="252"/>
        <v>474.38304166077643</v>
      </c>
    </row>
    <row r="109" spans="1:104" x14ac:dyDescent="0.2">
      <c r="A109" s="45"/>
      <c r="B109" s="45"/>
      <c r="C109" s="45" t="s">
        <v>269</v>
      </c>
      <c r="D109" s="45"/>
      <c r="E109" s="328"/>
      <c r="F109" s="329"/>
      <c r="G109" s="329"/>
      <c r="H109" s="330"/>
      <c r="I109" s="331"/>
      <c r="J109" s="332">
        <f t="shared" ref="J109:Q109" si="253">+J108/E108-1</f>
        <v>-8.9759311356368054E-2</v>
      </c>
      <c r="K109" s="333">
        <f t="shared" si="253"/>
        <v>2.1604254376246246E-2</v>
      </c>
      <c r="L109" s="333">
        <f t="shared" si="253"/>
        <v>0.18491099756628993</v>
      </c>
      <c r="M109" s="334">
        <f t="shared" si="253"/>
        <v>8.8436260459190841E-2</v>
      </c>
      <c r="N109" s="46">
        <f t="shared" si="253"/>
        <v>4.9401365682381737E-2</v>
      </c>
      <c r="O109" s="332">
        <f t="shared" si="253"/>
        <v>4.192202028740466E-2</v>
      </c>
      <c r="P109" s="333">
        <f t="shared" si="253"/>
        <v>0.21630749686275119</v>
      </c>
      <c r="Q109" s="333">
        <f t="shared" si="253"/>
        <v>8.5382770746185388E-2</v>
      </c>
      <c r="R109" s="334">
        <f t="shared" ref="R109:Y109" si="254">+R108/M108-1</f>
        <v>1.349967414579667E-2</v>
      </c>
      <c r="S109" s="46">
        <f t="shared" si="254"/>
        <v>8.4590470076741253E-2</v>
      </c>
      <c r="T109" s="332">
        <f t="shared" si="254"/>
        <v>6.3509367948686446E-3</v>
      </c>
      <c r="U109" s="333">
        <f t="shared" si="254"/>
        <v>-3.4187163255168351E-2</v>
      </c>
      <c r="V109" s="333">
        <f t="shared" si="254"/>
        <v>2.3827687674001341E-2</v>
      </c>
      <c r="W109" s="334">
        <f t="shared" si="254"/>
        <v>-2.156111388152282E-2</v>
      </c>
      <c r="X109" s="46">
        <f t="shared" si="254"/>
        <v>-4.2477505754340283E-3</v>
      </c>
      <c r="Y109" s="332">
        <f t="shared" si="254"/>
        <v>0.10470228122992453</v>
      </c>
      <c r="Z109" s="333">
        <f t="shared" ref="Z109:AF109" si="255">+Z108/U108-1</f>
        <v>0.10081107814045498</v>
      </c>
      <c r="AA109" s="333">
        <f t="shared" si="255"/>
        <v>1.6305715225763961E-2</v>
      </c>
      <c r="AB109" s="334">
        <f t="shared" si="255"/>
        <v>5.5204603066027591E-2</v>
      </c>
      <c r="AC109" s="46">
        <f t="shared" si="255"/>
        <v>6.5314956966038062E-2</v>
      </c>
      <c r="AD109" s="332">
        <f t="shared" si="255"/>
        <v>5.673952952713246E-2</v>
      </c>
      <c r="AE109" s="333">
        <f t="shared" si="255"/>
        <v>9.0955923756125046E-2</v>
      </c>
      <c r="AF109" s="333">
        <f t="shared" si="255"/>
        <v>3.3011816459251886E-2</v>
      </c>
      <c r="AG109" s="334">
        <f t="shared" ref="AG109:AP109" si="256">+AG108/AB108-1</f>
        <v>0.17516364791865069</v>
      </c>
      <c r="AH109" s="46">
        <f t="shared" si="256"/>
        <v>8.4020447154700806E-2</v>
      </c>
      <c r="AI109" s="332">
        <f t="shared" si="256"/>
        <v>4.8492042082546316E-2</v>
      </c>
      <c r="AJ109" s="333">
        <f t="shared" si="256"/>
        <v>3.281316919427657E-2</v>
      </c>
      <c r="AK109" s="333">
        <f t="shared" si="256"/>
        <v>0.1037422803945065</v>
      </c>
      <c r="AL109" s="334">
        <f t="shared" si="256"/>
        <v>1.8992818205416429E-2</v>
      </c>
      <c r="AM109" s="46">
        <f t="shared" si="256"/>
        <v>5.3272573190323413E-2</v>
      </c>
      <c r="AN109" s="332">
        <f t="shared" si="256"/>
        <v>1.7083637785713757E-2</v>
      </c>
      <c r="AO109" s="333">
        <f t="shared" si="256"/>
        <v>8.8528320343650657E-2</v>
      </c>
      <c r="AP109" s="333">
        <f t="shared" si="256"/>
        <v>2.0869347363146717E-2</v>
      </c>
      <c r="AQ109" s="334">
        <f t="shared" ref="AQ109:AU109" si="257">+AQ108/AL108-1</f>
        <v>3.2872670148175853E-2</v>
      </c>
      <c r="AR109" s="46">
        <f t="shared" si="257"/>
        <v>3.845745665453193E-2</v>
      </c>
      <c r="AS109" s="332">
        <f t="shared" si="257"/>
        <v>8.2455554543706677E-2</v>
      </c>
      <c r="AT109" s="333">
        <f t="shared" si="257"/>
        <v>2.9216117216117166E-2</v>
      </c>
      <c r="AU109" s="333">
        <f t="shared" si="257"/>
        <v>-1.8978436569484169E-2</v>
      </c>
      <c r="AV109" s="334">
        <f t="shared" ref="AV109" si="258">+AV108/AQ108-1</f>
        <v>0.1490920675374332</v>
      </c>
      <c r="AW109" s="46">
        <f t="shared" ref="AW109" si="259">+AW108/AR108-1</f>
        <v>5.5442927865727576E-2</v>
      </c>
      <c r="AX109" s="332">
        <f t="shared" ref="AX109:BG109" si="260">+AX108/AS108-1</f>
        <v>-3.8837299818654136E-2</v>
      </c>
      <c r="AY109" s="333">
        <f t="shared" si="260"/>
        <v>-1.6719295218571517E-2</v>
      </c>
      <c r="AZ109" s="333">
        <f t="shared" si="260"/>
        <v>-1.7432278294086112E-2</v>
      </c>
      <c r="BA109" s="334">
        <f t="shared" si="260"/>
        <v>-3.3544970772422689E-2</v>
      </c>
      <c r="BB109" s="46">
        <f t="shared" si="260"/>
        <v>-2.6476526923899568E-2</v>
      </c>
      <c r="BC109" s="332">
        <f t="shared" si="260"/>
        <v>2.6034192763347397E-2</v>
      </c>
      <c r="BD109" s="333">
        <f t="shared" si="260"/>
        <v>2.6999863025738424E-2</v>
      </c>
      <c r="BE109" s="333">
        <f t="shared" si="260"/>
        <v>2.9667127652581948E-2</v>
      </c>
      <c r="BF109" s="334">
        <f t="shared" si="260"/>
        <v>2.482551223537155E-2</v>
      </c>
      <c r="BG109" s="46">
        <f t="shared" si="260"/>
        <v>2.6953661939213447E-2</v>
      </c>
      <c r="BH109" s="332">
        <f t="shared" ref="BH109:BQ109" si="261">+BH108/BC108-1</f>
        <v>3.4157409242549175E-2</v>
      </c>
      <c r="BI109" s="333">
        <f t="shared" si="261"/>
        <v>3.5378176539592854E-2</v>
      </c>
      <c r="BJ109" s="333">
        <f t="shared" si="261"/>
        <v>3.8774823164561933E-2</v>
      </c>
      <c r="BK109" s="334">
        <f t="shared" si="261"/>
        <v>3.2591776373696479E-2</v>
      </c>
      <c r="BL109" s="46">
        <f t="shared" si="261"/>
        <v>3.5321260912619445E-2</v>
      </c>
      <c r="BM109" s="332">
        <f t="shared" si="261"/>
        <v>3.1003705523532599E-2</v>
      </c>
      <c r="BN109" s="333">
        <f t="shared" si="261"/>
        <v>3.2076219865188049E-2</v>
      </c>
      <c r="BO109" s="333">
        <f t="shared" si="261"/>
        <v>3.5040461463306194E-2</v>
      </c>
      <c r="BP109" s="334">
        <f t="shared" si="261"/>
        <v>2.963076640822826E-2</v>
      </c>
      <c r="BQ109" s="46">
        <f t="shared" si="261"/>
        <v>3.2026011118372111E-2</v>
      </c>
      <c r="BR109" s="45"/>
      <c r="BS109" s="45"/>
      <c r="BT109" s="45"/>
      <c r="BU109" s="45"/>
      <c r="BV109" s="45"/>
      <c r="BW109" s="45"/>
      <c r="BX109" s="45"/>
      <c r="BY109" s="45"/>
      <c r="BZ109" s="45"/>
      <c r="CA109" s="45"/>
      <c r="CB109" s="45"/>
      <c r="CC109" s="45"/>
      <c r="CD109" s="45"/>
      <c r="CE109" s="45"/>
      <c r="CF109" s="45"/>
      <c r="CG109" s="45"/>
      <c r="CH109" s="45"/>
      <c r="CI109" s="45"/>
      <c r="CJ109" s="45"/>
      <c r="CK109" s="45"/>
      <c r="CL109" s="45"/>
      <c r="CM109" s="45"/>
      <c r="CN109" s="45"/>
      <c r="CO109" s="45"/>
      <c r="CP109" s="45"/>
      <c r="CQ109" s="45"/>
      <c r="CR109" s="45"/>
      <c r="CS109" s="45"/>
      <c r="CT109" s="45"/>
      <c r="CU109" s="45"/>
      <c r="CV109" s="45"/>
      <c r="CW109" s="45"/>
      <c r="CX109" s="45"/>
      <c r="CY109" s="45"/>
      <c r="CZ109" s="45"/>
    </row>
    <row r="110" spans="1:104" x14ac:dyDescent="0.2">
      <c r="C110" s="26"/>
      <c r="E110" s="273"/>
      <c r="F110" s="274"/>
      <c r="G110" s="274"/>
      <c r="H110" s="275"/>
      <c r="I110" s="169"/>
      <c r="J110" s="273"/>
      <c r="K110" s="274"/>
      <c r="L110" s="274"/>
      <c r="M110" s="275"/>
      <c r="N110" s="169"/>
      <c r="O110" s="273"/>
      <c r="P110" s="274"/>
      <c r="Q110" s="274"/>
      <c r="R110" s="275"/>
      <c r="S110" s="169"/>
      <c r="T110" s="273"/>
      <c r="U110" s="274"/>
      <c r="V110" s="274"/>
      <c r="W110" s="275"/>
      <c r="X110" s="169"/>
      <c r="Y110" s="273"/>
      <c r="Z110" s="274"/>
      <c r="AA110" s="274"/>
      <c r="AB110" s="275"/>
      <c r="AC110" s="169"/>
      <c r="AD110" s="273"/>
      <c r="AE110" s="274"/>
      <c r="AF110" s="274"/>
      <c r="AG110" s="275"/>
      <c r="AH110" s="169"/>
      <c r="AI110" s="273"/>
      <c r="AJ110" s="274"/>
      <c r="AK110" s="274"/>
      <c r="AL110" s="275"/>
      <c r="AM110" s="169"/>
      <c r="AN110" s="273"/>
      <c r="AO110" s="274"/>
      <c r="AP110" s="274"/>
      <c r="AQ110" s="275"/>
      <c r="AR110" s="169"/>
      <c r="AS110" s="273"/>
      <c r="AT110" s="274"/>
      <c r="AU110" s="274"/>
      <c r="AV110" s="275"/>
      <c r="AW110" s="169"/>
      <c r="AX110" s="273"/>
      <c r="AY110" s="274"/>
      <c r="AZ110" s="274"/>
      <c r="BA110" s="275"/>
      <c r="BB110" s="169"/>
      <c r="BC110" s="273"/>
      <c r="BD110" s="274"/>
      <c r="BE110" s="274"/>
      <c r="BF110" s="275"/>
      <c r="BG110" s="169"/>
      <c r="BH110" s="273"/>
      <c r="BI110" s="274"/>
      <c r="BJ110" s="274"/>
      <c r="BK110" s="275"/>
      <c r="BL110" s="169"/>
      <c r="BM110" s="273"/>
      <c r="BN110" s="274"/>
      <c r="BO110" s="274"/>
      <c r="BP110" s="275"/>
      <c r="BQ110" s="169"/>
    </row>
    <row r="111" spans="1:104" x14ac:dyDescent="0.2">
      <c r="C111" s="26"/>
      <c r="E111" s="273"/>
      <c r="F111" s="274"/>
      <c r="G111" s="274"/>
      <c r="H111" s="275"/>
      <c r="I111" s="169"/>
      <c r="J111" s="273"/>
      <c r="K111" s="274"/>
      <c r="L111" s="274"/>
      <c r="M111" s="275"/>
      <c r="N111" s="169"/>
      <c r="O111" s="273"/>
      <c r="P111" s="274"/>
      <c r="Q111" s="274"/>
      <c r="R111" s="275"/>
      <c r="S111" s="169"/>
      <c r="T111" s="273"/>
      <c r="U111" s="274"/>
      <c r="V111" s="274"/>
      <c r="W111" s="275"/>
      <c r="X111" s="169"/>
      <c r="Y111" s="273"/>
      <c r="Z111" s="274"/>
      <c r="AA111" s="274"/>
      <c r="AB111" s="275"/>
      <c r="AC111" s="169"/>
      <c r="AD111" s="273"/>
      <c r="AE111" s="274"/>
      <c r="AF111" s="274"/>
      <c r="AG111" s="275"/>
      <c r="AH111" s="169"/>
      <c r="AI111" s="273"/>
      <c r="AJ111" s="274"/>
      <c r="AK111" s="274"/>
      <c r="AL111" s="275"/>
      <c r="AM111" s="169"/>
      <c r="AN111" s="273"/>
      <c r="AO111" s="274"/>
      <c r="AP111" s="274"/>
      <c r="AQ111" s="275"/>
      <c r="AR111" s="169"/>
      <c r="AS111" s="273"/>
      <c r="AT111" s="274"/>
      <c r="AU111" s="274"/>
      <c r="AV111" s="275"/>
      <c r="AW111" s="169"/>
      <c r="AX111" s="273"/>
      <c r="AY111" s="274"/>
      <c r="AZ111" s="274"/>
      <c r="BA111" s="275"/>
      <c r="BB111" s="169"/>
      <c r="BC111" s="273"/>
      <c r="BD111" s="274"/>
      <c r="BE111" s="274"/>
      <c r="BF111" s="275"/>
      <c r="BG111" s="169"/>
      <c r="BH111" s="273"/>
      <c r="BI111" s="274"/>
      <c r="BJ111" s="274"/>
      <c r="BK111" s="275"/>
      <c r="BL111" s="169"/>
      <c r="BM111" s="273"/>
      <c r="BN111" s="274"/>
      <c r="BO111" s="274"/>
      <c r="BP111" s="275"/>
      <c r="BQ111" s="169"/>
    </row>
    <row r="112" spans="1:104" x14ac:dyDescent="0.2">
      <c r="B112" s="16" t="s">
        <v>270</v>
      </c>
      <c r="C112" s="16"/>
      <c r="D112" s="17"/>
      <c r="E112" s="273"/>
      <c r="F112" s="274"/>
      <c r="G112" s="274"/>
      <c r="H112" s="275"/>
      <c r="I112" s="169"/>
      <c r="J112" s="273"/>
      <c r="K112" s="274"/>
      <c r="L112" s="274"/>
      <c r="M112" s="275"/>
      <c r="N112" s="169"/>
      <c r="O112" s="273"/>
      <c r="P112" s="274"/>
      <c r="Q112" s="274"/>
      <c r="R112" s="275"/>
      <c r="S112" s="169"/>
      <c r="T112" s="273"/>
      <c r="U112" s="274"/>
      <c r="V112" s="274"/>
      <c r="W112" s="275"/>
      <c r="X112" s="169"/>
      <c r="Y112" s="273"/>
      <c r="Z112" s="274"/>
      <c r="AA112" s="274"/>
      <c r="AB112" s="275"/>
      <c r="AC112" s="169"/>
      <c r="AD112" s="273"/>
      <c r="AE112" s="274"/>
      <c r="AF112" s="274"/>
      <c r="AG112" s="275"/>
      <c r="AH112" s="169"/>
      <c r="AI112" s="273"/>
      <c r="AJ112" s="274"/>
      <c r="AK112" s="274"/>
      <c r="AL112" s="275"/>
      <c r="AM112" s="169"/>
      <c r="AN112" s="273"/>
      <c r="AO112" s="274"/>
      <c r="AP112" s="274"/>
      <c r="AQ112" s="275"/>
      <c r="AR112" s="169"/>
      <c r="AS112" s="273"/>
      <c r="AT112" s="274"/>
      <c r="AU112" s="274"/>
      <c r="AV112" s="275"/>
      <c r="AW112" s="169"/>
      <c r="AX112" s="273"/>
      <c r="AY112" s="274"/>
      <c r="AZ112" s="274"/>
      <c r="BA112" s="275"/>
      <c r="BB112" s="169"/>
      <c r="BC112" s="273"/>
      <c r="BD112" s="274"/>
      <c r="BE112" s="274"/>
      <c r="BF112" s="275"/>
      <c r="BG112" s="169"/>
      <c r="BH112" s="273"/>
      <c r="BI112" s="274"/>
      <c r="BJ112" s="274"/>
      <c r="BK112" s="275"/>
      <c r="BL112" s="169"/>
      <c r="BM112" s="273"/>
      <c r="BN112" s="274"/>
      <c r="BO112" s="274"/>
      <c r="BP112" s="275"/>
      <c r="BQ112" s="169"/>
    </row>
    <row r="113" spans="1:104" x14ac:dyDescent="0.2">
      <c r="C113" s="26"/>
      <c r="E113" s="273"/>
      <c r="F113" s="274"/>
      <c r="G113" s="274"/>
      <c r="H113" s="275"/>
      <c r="I113" s="169"/>
      <c r="J113" s="273"/>
      <c r="K113" s="274"/>
      <c r="L113" s="274"/>
      <c r="M113" s="275"/>
      <c r="N113" s="169"/>
      <c r="O113" s="273"/>
      <c r="P113" s="274"/>
      <c r="Q113" s="274"/>
      <c r="R113" s="275"/>
      <c r="S113" s="169"/>
      <c r="T113" s="273"/>
      <c r="U113" s="274"/>
      <c r="V113" s="274"/>
      <c r="W113" s="275"/>
      <c r="X113" s="169"/>
      <c r="Y113" s="273"/>
      <c r="Z113" s="274"/>
      <c r="AA113" s="274"/>
      <c r="AB113" s="275"/>
      <c r="AC113" s="169"/>
      <c r="AD113" s="273"/>
      <c r="AE113" s="274"/>
      <c r="AF113" s="274"/>
      <c r="AG113" s="275"/>
      <c r="AH113" s="169"/>
      <c r="AI113" s="273"/>
      <c r="AJ113" s="274"/>
      <c r="AK113" s="274"/>
      <c r="AL113" s="275"/>
      <c r="AM113" s="169"/>
      <c r="AN113" s="273"/>
      <c r="AO113" s="274"/>
      <c r="AP113" s="274"/>
      <c r="AQ113" s="275"/>
      <c r="AR113" s="169"/>
      <c r="AS113" s="273"/>
      <c r="AT113" s="274"/>
      <c r="AU113" s="274"/>
      <c r="AV113" s="275"/>
      <c r="AW113" s="169"/>
      <c r="AX113" s="273"/>
      <c r="AY113" s="274"/>
      <c r="AZ113" s="274"/>
      <c r="BA113" s="275"/>
      <c r="BB113" s="169"/>
      <c r="BC113" s="273"/>
      <c r="BD113" s="274"/>
      <c r="BE113" s="274"/>
      <c r="BF113" s="275"/>
      <c r="BG113" s="169"/>
      <c r="BH113" s="273"/>
      <c r="BI113" s="274"/>
      <c r="BJ113" s="274"/>
      <c r="BK113" s="275"/>
      <c r="BL113" s="169"/>
      <c r="BM113" s="273"/>
      <c r="BN113" s="274"/>
      <c r="BO113" s="274"/>
      <c r="BP113" s="275"/>
      <c r="BQ113" s="169"/>
    </row>
    <row r="114" spans="1:104" x14ac:dyDescent="0.2">
      <c r="C114" s="26" t="s">
        <v>271</v>
      </c>
      <c r="E114" s="121">
        <f>+E9</f>
        <v>64.31</v>
      </c>
      <c r="F114" s="122">
        <f t="shared" ref="F114:S114" si="262">+F9</f>
        <v>17.907</v>
      </c>
      <c r="G114" s="122">
        <f t="shared" si="262"/>
        <v>11.983000000000001</v>
      </c>
      <c r="H114" s="123">
        <f t="shared" si="262"/>
        <v>37.355000000000004</v>
      </c>
      <c r="I114" s="86">
        <f t="shared" si="262"/>
        <v>131.55500000000001</v>
      </c>
      <c r="J114" s="121">
        <f>+J9</f>
        <v>51.481000000000002</v>
      </c>
      <c r="K114" s="122">
        <f t="shared" si="262"/>
        <v>15.281000000000001</v>
      </c>
      <c r="L114" s="122">
        <f t="shared" si="262"/>
        <v>12.186</v>
      </c>
      <c r="M114" s="123">
        <f t="shared" si="262"/>
        <v>39.127999999999986</v>
      </c>
      <c r="N114" s="86">
        <f t="shared" si="262"/>
        <v>118.07599999999999</v>
      </c>
      <c r="O114" s="121">
        <f t="shared" si="262"/>
        <v>53.482999999999997</v>
      </c>
      <c r="P114" s="122">
        <f t="shared" si="262"/>
        <v>19.88</v>
      </c>
      <c r="Q114" s="122">
        <f t="shared" si="262"/>
        <v>13.311999999999999</v>
      </c>
      <c r="R114" s="123">
        <f t="shared" si="262"/>
        <v>32.772000000000006</v>
      </c>
      <c r="S114" s="86">
        <f t="shared" si="262"/>
        <v>119.447</v>
      </c>
      <c r="T114" s="121">
        <f t="shared" ref="T114:Y114" si="263">+T9</f>
        <v>41.491999999999997</v>
      </c>
      <c r="U114" s="122">
        <f t="shared" si="263"/>
        <v>14.83</v>
      </c>
      <c r="V114" s="122">
        <f t="shared" si="263"/>
        <v>11.742000000000001</v>
      </c>
      <c r="W114" s="123">
        <f t="shared" si="263"/>
        <v>35.036000000000001</v>
      </c>
      <c r="X114" s="86">
        <f t="shared" si="263"/>
        <v>103.1</v>
      </c>
      <c r="Y114" s="121">
        <f t="shared" si="263"/>
        <v>50.356999999999999</v>
      </c>
      <c r="Z114" s="122">
        <f t="shared" ref="Z114:AE114" si="264">+Z9</f>
        <v>24.555</v>
      </c>
      <c r="AA114" s="122">
        <f t="shared" si="264"/>
        <v>14.266</v>
      </c>
      <c r="AB114" s="123">
        <f t="shared" si="264"/>
        <v>43.688999999999979</v>
      </c>
      <c r="AC114" s="86">
        <f t="shared" si="264"/>
        <v>132.86699999999999</v>
      </c>
      <c r="AD114" s="121">
        <f t="shared" si="264"/>
        <v>73.790999999999997</v>
      </c>
      <c r="AE114" s="122">
        <f t="shared" si="264"/>
        <v>29.539000000000001</v>
      </c>
      <c r="AF114" s="122">
        <f>+AF9</f>
        <v>14.484</v>
      </c>
      <c r="AG114" s="123">
        <f>+AG9</f>
        <v>51.814999999999998</v>
      </c>
      <c r="AH114" s="86">
        <f>SUM(AD114:AG114)</f>
        <v>169.62899999999999</v>
      </c>
      <c r="AI114" s="121">
        <f>+AI9</f>
        <v>63.295999999999999</v>
      </c>
      <c r="AJ114" s="122">
        <f>+AJ9</f>
        <v>16.888999999999999</v>
      </c>
      <c r="AK114" s="122">
        <f>+AK9</f>
        <v>11.087999999999999</v>
      </c>
      <c r="AL114" s="123">
        <f>+AL9</f>
        <v>28.874000000000009</v>
      </c>
      <c r="AM114" s="86">
        <f>SUM(AI114:AL114)</f>
        <v>120.14700000000001</v>
      </c>
      <c r="AN114" s="121">
        <f>+AN9</f>
        <v>43.02</v>
      </c>
      <c r="AO114" s="122">
        <f>+AO9</f>
        <v>16.004999999999999</v>
      </c>
      <c r="AP114" s="122">
        <f>+AP9</f>
        <v>13.646000000000001</v>
      </c>
      <c r="AQ114" s="123">
        <f>+AQ9</f>
        <v>33.48599999999999</v>
      </c>
      <c r="AR114" s="86">
        <f>SUM(AN114:AQ114)</f>
        <v>106.157</v>
      </c>
      <c r="AS114" s="121">
        <f>+AS9</f>
        <v>48.347000000000001</v>
      </c>
      <c r="AT114" s="122">
        <f>+AT9</f>
        <v>19.027000000000001</v>
      </c>
      <c r="AU114" s="122">
        <f>+AU9</f>
        <v>14.394</v>
      </c>
      <c r="AV114" s="123">
        <f>+AV9</f>
        <v>40.584999999999994</v>
      </c>
      <c r="AW114" s="86">
        <f>SUM(AS114:AV114)</f>
        <v>122.35299999999999</v>
      </c>
      <c r="AX114" s="121">
        <f>+AX123*AX127/1000</f>
        <v>54.656054098081988</v>
      </c>
      <c r="AY114" s="122">
        <f>+AY123*AY127/1000</f>
        <v>20.549611569758277</v>
      </c>
      <c r="AZ114" s="122">
        <f>+AZ123*AZ127/1000</f>
        <v>14.860546700210191</v>
      </c>
      <c r="BA114" s="123">
        <f>+BA123*BA127/1000</f>
        <v>44.260450031793212</v>
      </c>
      <c r="BB114" s="86">
        <f>SUM(AX114:BA114)</f>
        <v>134.32666239984366</v>
      </c>
      <c r="BC114" s="121">
        <f>+BC123*BC127/1000</f>
        <v>56.796956661816886</v>
      </c>
      <c r="BD114" s="122">
        <f>+BD123*BD127/1000</f>
        <v>21.258968968460106</v>
      </c>
      <c r="BE114" s="122">
        <f>+BE123*BE127/1000</f>
        <v>15.081186556797098</v>
      </c>
      <c r="BF114" s="123">
        <f>+BF123*BF127/1000</f>
        <v>45.933770951916806</v>
      </c>
      <c r="BG114" s="86">
        <f>SUM(BC114:BF114)</f>
        <v>139.07088313899089</v>
      </c>
      <c r="BH114" s="121">
        <f>+BH123*BH127/1000</f>
        <v>58.933643074188396</v>
      </c>
      <c r="BI114" s="122">
        <f>+BI123*BI127/1000</f>
        <v>21.966945415173683</v>
      </c>
      <c r="BJ114" s="122">
        <f>+BJ123*BJ127/1000</f>
        <v>15.301406145502597</v>
      </c>
      <c r="BK114" s="123">
        <f>+BK123*BK127/1000</f>
        <v>47.604254110825082</v>
      </c>
      <c r="BL114" s="86">
        <f>SUM(BH114:BK114)</f>
        <v>143.80624874568974</v>
      </c>
      <c r="BM114" s="121">
        <f>+BM123*BM127/1000</f>
        <v>61.066126146708775</v>
      </c>
      <c r="BN114" s="122">
        <f>+BN123*BN127/1000</f>
        <v>22.673545139572131</v>
      </c>
      <c r="BO114" s="122">
        <f>+BO123*BO127/1000</f>
        <v>15.521206776846791</v>
      </c>
      <c r="BP114" s="123">
        <f>+BP123*BP127/1000</f>
        <v>49.271908936252586</v>
      </c>
      <c r="BQ114" s="86">
        <f>SUM(BM114:BP114)</f>
        <v>148.53278699938028</v>
      </c>
    </row>
    <row r="115" spans="1:104" s="20" customFormat="1" x14ac:dyDescent="0.2">
      <c r="C115" s="20" t="s">
        <v>417</v>
      </c>
      <c r="E115" s="618">
        <f>E114/$I$114</f>
        <v>0.48884496978450076</v>
      </c>
      <c r="F115" s="619">
        <f>F114/$I$114</f>
        <v>0.13611797347117174</v>
      </c>
      <c r="G115" s="619">
        <f>G114/$I$114</f>
        <v>9.1087377902778308E-2</v>
      </c>
      <c r="H115" s="620">
        <f>H114/$I$114</f>
        <v>0.2839496788415492</v>
      </c>
      <c r="I115" s="621"/>
      <c r="J115" s="618">
        <f>J114/$N$114</f>
        <v>0.43599884819946477</v>
      </c>
      <c r="K115" s="619">
        <f>K114/$N$114</f>
        <v>0.12941664690538299</v>
      </c>
      <c r="L115" s="619">
        <f>L114/$N$114</f>
        <v>0.10320471560689726</v>
      </c>
      <c r="M115" s="620">
        <f>M114/$N$114</f>
        <v>0.3313797892882549</v>
      </c>
      <c r="N115" s="621"/>
      <c r="O115" s="160">
        <f>O114/$S$114</f>
        <v>0.44775507128684683</v>
      </c>
      <c r="P115" s="164">
        <f>P114/$S$114</f>
        <v>0.16643364839635988</v>
      </c>
      <c r="Q115" s="164">
        <f>Q114/$S$114</f>
        <v>0.11144691787989651</v>
      </c>
      <c r="R115" s="162">
        <f>R114/$S$114</f>
        <v>0.27436436243689671</v>
      </c>
      <c r="S115" s="82"/>
      <c r="T115" s="160">
        <f>T114/$X$114</f>
        <v>0.40244422890397674</v>
      </c>
      <c r="U115" s="164">
        <f>U114/$X$114</f>
        <v>0.14384093113482058</v>
      </c>
      <c r="V115" s="164">
        <f>V114/$X$114</f>
        <v>0.11388942774005821</v>
      </c>
      <c r="W115" s="162">
        <f>W114/$X$114</f>
        <v>0.33982541222114454</v>
      </c>
      <c r="X115" s="82"/>
      <c r="Y115" s="160">
        <f>Y114/$AC$114</f>
        <v>0.37900306321358956</v>
      </c>
      <c r="Z115" s="164">
        <f>Z114/$AC$114</f>
        <v>0.18480886901939533</v>
      </c>
      <c r="AA115" s="164">
        <f>AA114/$AC$114</f>
        <v>0.10737052842316001</v>
      </c>
      <c r="AB115" s="162">
        <f>AB114/$AC$114</f>
        <v>0.32881753934385499</v>
      </c>
      <c r="AC115" s="82"/>
      <c r="AD115" s="160">
        <f>AD114/$AH$114</f>
        <v>0.43501406009585625</v>
      </c>
      <c r="AE115" s="164">
        <f>AE114/$AH$114</f>
        <v>0.17413885597391957</v>
      </c>
      <c r="AF115" s="164">
        <f>AF114/$AH$114</f>
        <v>8.5386343137081516E-2</v>
      </c>
      <c r="AG115" s="162">
        <f>AG114/$AH$114</f>
        <v>0.30546074079314267</v>
      </c>
      <c r="AH115" s="82"/>
      <c r="AI115" s="160">
        <f>AI114/$AM$114</f>
        <v>0.52682131056122916</v>
      </c>
      <c r="AJ115" s="164">
        <f>AJ114/$AM$114</f>
        <v>0.1405694690670595</v>
      </c>
      <c r="AK115" s="164">
        <f>AK114/$AM$114</f>
        <v>9.2286948488102066E-2</v>
      </c>
      <c r="AL115" s="162">
        <f>AL114/$AM$114</f>
        <v>0.2403222718836093</v>
      </c>
      <c r="AM115" s="82"/>
      <c r="AN115" s="160">
        <f>AN114/$AR$114</f>
        <v>0.40524882956375941</v>
      </c>
      <c r="AO115" s="164">
        <f>AO114/$AR$114</f>
        <v>0.15076725981329539</v>
      </c>
      <c r="AP115" s="164">
        <f>AP114/$AR$114</f>
        <v>0.12854545625818364</v>
      </c>
      <c r="AQ115" s="162">
        <f>AQ114/$AR$114</f>
        <v>0.31543845436476153</v>
      </c>
      <c r="AR115" s="82"/>
      <c r="AS115" s="160">
        <f>AS114/$AW$114</f>
        <v>0.39514356002713463</v>
      </c>
      <c r="AT115" s="164">
        <f>AT114/$AW$114</f>
        <v>0.15550905985141356</v>
      </c>
      <c r="AU115" s="164">
        <f>AU114/$AW$114</f>
        <v>0.11764321267153238</v>
      </c>
      <c r="AV115" s="162">
        <f>AV114/$AW$114</f>
        <v>0.33170416744991948</v>
      </c>
      <c r="AW115" s="82"/>
      <c r="AX115" s="136"/>
      <c r="AY115" s="135"/>
      <c r="AZ115" s="135"/>
      <c r="BA115" s="116"/>
      <c r="BB115" s="82"/>
      <c r="BC115" s="136"/>
      <c r="BD115" s="135"/>
      <c r="BE115" s="135"/>
      <c r="BF115" s="116"/>
      <c r="BG115" s="82"/>
      <c r="BH115" s="136"/>
      <c r="BI115" s="135"/>
      <c r="BJ115" s="135"/>
      <c r="BK115" s="116"/>
      <c r="BL115" s="82"/>
      <c r="BM115" s="136"/>
      <c r="BN115" s="135"/>
      <c r="BO115" s="135"/>
      <c r="BP115" s="116"/>
      <c r="BQ115" s="82"/>
    </row>
    <row r="116" spans="1:104" x14ac:dyDescent="0.2">
      <c r="C116" s="26"/>
      <c r="E116" s="121"/>
      <c r="F116" s="130"/>
      <c r="G116" s="130"/>
      <c r="H116" s="123"/>
      <c r="I116" s="86"/>
      <c r="J116" s="121"/>
      <c r="K116" s="130"/>
      <c r="L116" s="130"/>
      <c r="M116" s="123"/>
      <c r="N116" s="86"/>
      <c r="O116" s="121"/>
      <c r="P116" s="130"/>
      <c r="Q116" s="130"/>
      <c r="R116" s="123"/>
      <c r="S116" s="86"/>
      <c r="T116" s="121"/>
      <c r="U116" s="130"/>
      <c r="V116" s="130"/>
      <c r="W116" s="123"/>
      <c r="X116" s="86"/>
      <c r="Y116" s="121"/>
      <c r="Z116" s="130"/>
      <c r="AA116" s="130"/>
      <c r="AB116" s="123"/>
      <c r="AC116" s="86"/>
      <c r="AD116" s="121"/>
      <c r="AE116" s="130"/>
      <c r="AF116" s="130"/>
      <c r="AG116" s="123"/>
      <c r="AH116" s="86"/>
      <c r="AI116" s="121"/>
      <c r="AJ116" s="130"/>
      <c r="AK116" s="130"/>
      <c r="AL116" s="123"/>
      <c r="AM116" s="169"/>
      <c r="AN116" s="121"/>
      <c r="AO116" s="130"/>
      <c r="AP116" s="130"/>
      <c r="AQ116" s="123"/>
      <c r="AR116" s="169"/>
      <c r="AS116" s="121"/>
      <c r="AT116" s="130"/>
      <c r="AU116" s="130"/>
      <c r="AV116" s="123"/>
      <c r="AW116" s="169"/>
      <c r="AX116" s="121"/>
      <c r="AY116" s="130"/>
      <c r="AZ116" s="130"/>
      <c r="BA116" s="123"/>
      <c r="BB116" s="169"/>
      <c r="BC116" s="121"/>
      <c r="BD116" s="130"/>
      <c r="BE116" s="130"/>
      <c r="BF116" s="123"/>
      <c r="BG116" s="169"/>
      <c r="BH116" s="121"/>
      <c r="BI116" s="130"/>
      <c r="BJ116" s="130"/>
      <c r="BK116" s="123"/>
      <c r="BL116" s="169"/>
      <c r="BM116" s="121"/>
      <c r="BN116" s="130"/>
      <c r="BO116" s="130"/>
      <c r="BP116" s="123"/>
      <c r="BQ116" s="169"/>
    </row>
    <row r="117" spans="1:104" x14ac:dyDescent="0.2">
      <c r="C117" s="26" t="s">
        <v>272</v>
      </c>
      <c r="E117" s="121"/>
      <c r="F117" s="130"/>
      <c r="G117" s="130"/>
      <c r="H117" s="123"/>
      <c r="I117" s="237"/>
      <c r="J117" s="121"/>
      <c r="K117" s="130"/>
      <c r="L117" s="130"/>
      <c r="M117" s="123"/>
      <c r="N117" s="86"/>
      <c r="O117" s="121"/>
      <c r="P117" s="130"/>
      <c r="Q117" s="130"/>
      <c r="R117" s="123"/>
      <c r="S117" s="86"/>
      <c r="T117" s="121"/>
      <c r="U117" s="130"/>
      <c r="V117" s="130"/>
      <c r="W117" s="123"/>
      <c r="X117" s="86"/>
      <c r="Y117" s="760"/>
      <c r="Z117" s="130"/>
      <c r="AA117" s="130"/>
      <c r="AB117" s="123"/>
      <c r="AC117" s="86"/>
      <c r="AD117" s="121"/>
      <c r="AE117" s="130"/>
      <c r="AF117" s="130"/>
      <c r="AG117" s="123"/>
      <c r="AH117" s="86"/>
      <c r="AI117" s="121"/>
      <c r="AJ117" s="130"/>
      <c r="AK117" s="130"/>
      <c r="AL117" s="123"/>
      <c r="AM117" s="169"/>
      <c r="AN117" s="121"/>
      <c r="AO117" s="130"/>
      <c r="AP117" s="130"/>
      <c r="AQ117" s="123"/>
      <c r="AR117" s="169"/>
      <c r="AS117" s="121"/>
      <c r="AT117" s="130"/>
      <c r="AU117" s="130"/>
      <c r="AV117" s="123"/>
      <c r="AW117" s="169"/>
      <c r="AX117" s="121"/>
      <c r="AY117" s="130"/>
      <c r="AZ117" s="130"/>
      <c r="BA117" s="123"/>
      <c r="BB117" s="169"/>
      <c r="BC117" s="121"/>
      <c r="BD117" s="130"/>
      <c r="BE117" s="130"/>
      <c r="BF117" s="123"/>
      <c r="BG117" s="169"/>
      <c r="BH117" s="121"/>
      <c r="BI117" s="130"/>
      <c r="BJ117" s="130"/>
      <c r="BK117" s="123"/>
      <c r="BL117" s="169"/>
      <c r="BM117" s="121"/>
      <c r="BN117" s="130"/>
      <c r="BO117" s="130"/>
      <c r="BP117" s="123"/>
      <c r="BQ117" s="169"/>
    </row>
    <row r="118" spans="1:104" s="20" customFormat="1" x14ac:dyDescent="0.2">
      <c r="C118" s="20" t="s">
        <v>273</v>
      </c>
      <c r="E118" s="622">
        <f t="shared" ref="E118:H119" si="265">E$115*$I118</f>
        <v>3336.3669187792175</v>
      </c>
      <c r="F118" s="623">
        <f t="shared" si="265"/>
        <v>929.00516894074713</v>
      </c>
      <c r="G118" s="623">
        <f t="shared" si="265"/>
        <v>621.67135418646194</v>
      </c>
      <c r="H118" s="312">
        <f t="shared" si="265"/>
        <v>1937.9565580935732</v>
      </c>
      <c r="I118" s="313">
        <v>6825</v>
      </c>
      <c r="J118" s="622">
        <f>J$115*$N118</f>
        <v>2737.2007689962397</v>
      </c>
      <c r="K118" s="623">
        <f t="shared" ref="K118:M122" si="266">K$115*$N118</f>
        <v>812.4777092719944</v>
      </c>
      <c r="L118" s="623">
        <f t="shared" si="266"/>
        <v>647.919204580101</v>
      </c>
      <c r="M118" s="312">
        <f>M$115*$N118</f>
        <v>2080.4023171516642</v>
      </c>
      <c r="N118" s="313">
        <v>6278</v>
      </c>
      <c r="O118" s="136">
        <f>O$115*$S118</f>
        <v>2942.1985734258706</v>
      </c>
      <c r="P118" s="137">
        <f t="shared" ref="P118:R122" si="267">P$115*$S118</f>
        <v>1093.6355036124808</v>
      </c>
      <c r="Q118" s="137">
        <f t="shared" si="267"/>
        <v>732.31769738879996</v>
      </c>
      <c r="R118" s="116">
        <f t="shared" si="267"/>
        <v>1802.8482255728484</v>
      </c>
      <c r="S118" s="313">
        <v>6571</v>
      </c>
      <c r="T118" s="148">
        <f>O118*(1-0.147)</f>
        <v>2509.6953831322676</v>
      </c>
      <c r="U118" s="149">
        <f>P118*(1-0.259)</f>
        <v>810.38390817684819</v>
      </c>
      <c r="V118" s="149">
        <f>Q118*(1-0.013)</f>
        <v>722.79756732274552</v>
      </c>
      <c r="W118" s="116">
        <f>+X118-SUM(T118:V118)</f>
        <v>1694.1231413681385</v>
      </c>
      <c r="X118" s="313">
        <v>5737</v>
      </c>
      <c r="Y118" s="148">
        <f>T118*(1+0.217)</f>
        <v>3054.2992812719699</v>
      </c>
      <c r="Z118" s="149">
        <f>U118*(1+0.66)</f>
        <v>1345.2372875735682</v>
      </c>
      <c r="AA118" s="149">
        <f>V118*(1+0.049)</f>
        <v>758.21464812156</v>
      </c>
      <c r="AB118" s="116">
        <f>+AC118-SUM(Y118:AA118)</f>
        <v>2347.248783032901</v>
      </c>
      <c r="AC118" s="313">
        <v>7505</v>
      </c>
      <c r="AD118" s="148">
        <f>Y118*(1+0.198)</f>
        <v>3659.0505389638197</v>
      </c>
      <c r="AE118" s="149">
        <f>Z118*(1-0.008)</f>
        <v>1334.4753892729796</v>
      </c>
      <c r="AF118" s="149">
        <f>AA118*(1-0.016)</f>
        <v>746.08321375161506</v>
      </c>
      <c r="AG118" s="116">
        <f>+AH118-SUM(AD118:AF118)</f>
        <v>2358.3908580115858</v>
      </c>
      <c r="AH118" s="313">
        <v>8098</v>
      </c>
      <c r="AI118" s="148">
        <f>+AD118*(1-9.3%)</f>
        <v>3318.7588388401846</v>
      </c>
      <c r="AJ118" s="149">
        <f>+AE118*(1-26%)</f>
        <v>987.51178806200483</v>
      </c>
      <c r="AK118" s="149">
        <f>+AF118*(1-3.1%)</f>
        <v>722.95463412531501</v>
      </c>
      <c r="AL118" s="116">
        <f>+AM118-SUM(AI118:AK118)</f>
        <v>1554.7747389724955</v>
      </c>
      <c r="AM118" s="313">
        <v>6584</v>
      </c>
      <c r="AN118" s="148">
        <f>+AI118*(1-14.1%)</f>
        <v>2850.8138425637185</v>
      </c>
      <c r="AO118" s="149">
        <f>+AJ118*(1-6.4%)</f>
        <v>924.31103362603642</v>
      </c>
      <c r="AP118" s="149">
        <f>+AK118*(1-12.8%)</f>
        <v>630.41644095727463</v>
      </c>
      <c r="AQ118" s="116">
        <f>+AR118-SUM(AN118:AP118)</f>
        <v>1914.45868285297</v>
      </c>
      <c r="AR118" s="313">
        <v>6320</v>
      </c>
      <c r="AS118" s="148">
        <f>+AN118*(1+3.5%)</f>
        <v>2950.5923270534486</v>
      </c>
      <c r="AT118" s="149">
        <f>+AO118*(1+4.2%)</f>
        <v>963.13209703833002</v>
      </c>
      <c r="AU118" s="149">
        <f>+AP118*(1+11.4%)</f>
        <v>702.28391522640402</v>
      </c>
      <c r="AV118" s="116">
        <f>+AW118-SUM(AS118:AU118)</f>
        <v>2364.9916606818178</v>
      </c>
      <c r="AW118" s="313">
        <v>6981</v>
      </c>
      <c r="AX118" s="136">
        <f t="shared" ref="AX118:BA119" si="268">+AS118*(1+AX$60)</f>
        <v>3093.6960549155406</v>
      </c>
      <c r="AY118" s="137">
        <f t="shared" si="268"/>
        <v>965.53992728092578</v>
      </c>
      <c r="AZ118" s="137">
        <f t="shared" si="268"/>
        <v>700.52820543833809</v>
      </c>
      <c r="BA118" s="116">
        <f t="shared" si="268"/>
        <v>2382.7290981369315</v>
      </c>
      <c r="BB118" s="82">
        <f>SUM(AX118:BA118)</f>
        <v>7142.4932857717358</v>
      </c>
      <c r="BC118" s="136">
        <f t="shared" ref="BC118:BF119" si="269">+AX118*(1+BC$60)</f>
        <v>3085.9618147782517</v>
      </c>
      <c r="BD118" s="137">
        <f t="shared" si="269"/>
        <v>963.12607746272352</v>
      </c>
      <c r="BE118" s="137">
        <f t="shared" si="269"/>
        <v>698.77688492474226</v>
      </c>
      <c r="BF118" s="116">
        <f t="shared" si="269"/>
        <v>2376.7722753915891</v>
      </c>
      <c r="BG118" s="82">
        <f>SUM(BC118:BF118)</f>
        <v>7124.6370525573075</v>
      </c>
      <c r="BH118" s="136">
        <f t="shared" ref="BH118:BK119" si="270">+BC118*(1+BH$60)</f>
        <v>3078.2469102413061</v>
      </c>
      <c r="BI118" s="137">
        <f t="shared" si="270"/>
        <v>960.71826226906671</v>
      </c>
      <c r="BJ118" s="137">
        <f t="shared" si="270"/>
        <v>697.0299427124304</v>
      </c>
      <c r="BK118" s="116">
        <f t="shared" si="270"/>
        <v>2370.8303447031103</v>
      </c>
      <c r="BL118" s="82">
        <f>SUM(BH118:BK118)</f>
        <v>7106.8254599259135</v>
      </c>
      <c r="BM118" s="136">
        <f t="shared" ref="BM118:BM119" si="271">+BH118*(1+BM$60)</f>
        <v>3070.5512929657029</v>
      </c>
      <c r="BN118" s="137">
        <f t="shared" ref="BN118:BN119" si="272">+BI118*(1+BN$60)</f>
        <v>958.31646661339414</v>
      </c>
      <c r="BO118" s="137">
        <f t="shared" ref="BO118:BO119" si="273">+BJ118*(1+BO$60)</f>
        <v>695.28736785564934</v>
      </c>
      <c r="BP118" s="116">
        <f t="shared" ref="BP118:BP119" si="274">+BK118*(1+BP$60)</f>
        <v>2364.9032688413527</v>
      </c>
      <c r="BQ118" s="82">
        <f>SUM(BM118:BP118)</f>
        <v>7089.0583962760984</v>
      </c>
    </row>
    <row r="119" spans="1:104" s="20" customFormat="1" x14ac:dyDescent="0.2">
      <c r="C119" s="20" t="s">
        <v>274</v>
      </c>
      <c r="E119" s="622">
        <f t="shared" si="265"/>
        <v>4231.4420584546388</v>
      </c>
      <c r="F119" s="623">
        <f t="shared" si="265"/>
        <v>1178.2371783664626</v>
      </c>
      <c r="G119" s="623">
        <f t="shared" si="265"/>
        <v>788.45234312644902</v>
      </c>
      <c r="H119" s="312">
        <f t="shared" si="265"/>
        <v>2457.8684200524499</v>
      </c>
      <c r="I119" s="313">
        <v>8656</v>
      </c>
      <c r="J119" s="622">
        <f>J$115*$N119</f>
        <v>3515.4587130322843</v>
      </c>
      <c r="K119" s="623">
        <f t="shared" si="266"/>
        <v>1043.486423998103</v>
      </c>
      <c r="L119" s="623">
        <f t="shared" si="266"/>
        <v>832.13962193841257</v>
      </c>
      <c r="M119" s="312">
        <f t="shared" si="266"/>
        <v>2671.9152410311995</v>
      </c>
      <c r="N119" s="313">
        <v>8063</v>
      </c>
      <c r="O119" s="136">
        <f>O$115*$S119</f>
        <v>3795.1719842273137</v>
      </c>
      <c r="P119" s="137">
        <f t="shared" si="267"/>
        <v>1410.6916038075462</v>
      </c>
      <c r="Q119" s="137">
        <f>Q$115*$S119</f>
        <v>944.62407595000286</v>
      </c>
      <c r="R119" s="116">
        <f t="shared" si="267"/>
        <v>2325.5123360151365</v>
      </c>
      <c r="S119" s="313">
        <v>8476</v>
      </c>
      <c r="T119" s="148">
        <f>O119*(1-0.147)</f>
        <v>3237.2817025458985</v>
      </c>
      <c r="U119" s="149">
        <f>P119*(1-0.259)</f>
        <v>1045.3224784213917</v>
      </c>
      <c r="V119" s="149">
        <f>Q119*(1-0.013)</f>
        <v>932.34396296265277</v>
      </c>
      <c r="W119" s="116">
        <f>+X119-SUM(T119:V119)</f>
        <v>2982.0518560700575</v>
      </c>
      <c r="X119" s="313">
        <v>8197</v>
      </c>
      <c r="Y119" s="148">
        <f>T119*(1+0.217)</f>
        <v>3939.7718319983587</v>
      </c>
      <c r="Z119" s="149">
        <f>U119*(1+0.66)</f>
        <v>1735.2353141795104</v>
      </c>
      <c r="AA119" s="149">
        <f>V119*(1+0.049)</f>
        <v>978.02881714782268</v>
      </c>
      <c r="AB119" s="116">
        <f>+AC119-SUM(Y119:AA119)</f>
        <v>3477.9640366743088</v>
      </c>
      <c r="AC119" s="313">
        <v>10131</v>
      </c>
      <c r="AD119" s="148">
        <f>Y119*(1+0.198)</f>
        <v>4719.846654734034</v>
      </c>
      <c r="AE119" s="149">
        <f>Z119*(1-0.008)</f>
        <v>1721.3534316660744</v>
      </c>
      <c r="AF119" s="149">
        <f>AA119*(1-0.016)</f>
        <v>962.38035607345751</v>
      </c>
      <c r="AG119" s="116">
        <f>+AH119-SUM(AD119:AF119)</f>
        <v>3222.4195575264339</v>
      </c>
      <c r="AH119" s="313">
        <v>10626</v>
      </c>
      <c r="AI119" s="148">
        <f>+AD119*(1-9.3%)</f>
        <v>4280.9009158437693</v>
      </c>
      <c r="AJ119" s="149">
        <f>+AE119*(1-26%)</f>
        <v>1273.801539432895</v>
      </c>
      <c r="AK119" s="149">
        <f>+AF119*(1-3.1%)</f>
        <v>932.54656503518027</v>
      </c>
      <c r="AL119" s="116">
        <f>+AM119-SUM(AI119:AK119)</f>
        <v>2628.750979688155</v>
      </c>
      <c r="AM119" s="313">
        <v>9116</v>
      </c>
      <c r="AN119" s="148">
        <f>+AI119*(1-14.1%)</f>
        <v>3677.2938867097978</v>
      </c>
      <c r="AO119" s="149">
        <f>+AJ119*(1-6.4%)</f>
        <v>1192.2782409091897</v>
      </c>
      <c r="AP119" s="149">
        <f>+AK119*(1-12.8%)</f>
        <v>813.18060471067724</v>
      </c>
      <c r="AQ119" s="116">
        <f>+AR119-SUM(AN119:AP119)</f>
        <v>2482.2472676703355</v>
      </c>
      <c r="AR119" s="313">
        <v>8165</v>
      </c>
      <c r="AS119" s="148">
        <f>+AN119*(1+3.5%)</f>
        <v>3805.9991727446404</v>
      </c>
      <c r="AT119" s="149">
        <f>+AO119*(1+4.2%)</f>
        <v>1242.3539270273757</v>
      </c>
      <c r="AU119" s="149">
        <f>+AP119*(1+11.4%)</f>
        <v>905.8831936476945</v>
      </c>
      <c r="AV119" s="116">
        <f>+AW119-SUM(AS119:AU119)</f>
        <v>2964.7637065802892</v>
      </c>
      <c r="AW119" s="313">
        <v>8919</v>
      </c>
      <c r="AX119" s="136">
        <f t="shared" si="268"/>
        <v>3990.5901326227554</v>
      </c>
      <c r="AY119" s="137">
        <f t="shared" si="268"/>
        <v>1245.4598118449439</v>
      </c>
      <c r="AZ119" s="137">
        <f t="shared" si="268"/>
        <v>903.61848566357526</v>
      </c>
      <c r="BA119" s="116">
        <f t="shared" si="268"/>
        <v>2986.9994343796416</v>
      </c>
      <c r="BB119" s="82">
        <f>SUM(AX119:BA119)</f>
        <v>9126.6678645109168</v>
      </c>
      <c r="BC119" s="136">
        <f t="shared" si="269"/>
        <v>3980.6136572911987</v>
      </c>
      <c r="BD119" s="137">
        <f t="shared" si="269"/>
        <v>1242.3461623153316</v>
      </c>
      <c r="BE119" s="137">
        <f t="shared" si="269"/>
        <v>901.35943944941641</v>
      </c>
      <c r="BF119" s="116">
        <f t="shared" si="269"/>
        <v>2979.5319357936928</v>
      </c>
      <c r="BG119" s="82">
        <f>SUM(BC119:BF119)</f>
        <v>9103.8511948496398</v>
      </c>
      <c r="BH119" s="136">
        <f t="shared" si="270"/>
        <v>3970.6621231479708</v>
      </c>
      <c r="BI119" s="137">
        <f t="shared" si="270"/>
        <v>1239.2402969095433</v>
      </c>
      <c r="BJ119" s="137">
        <f t="shared" si="270"/>
        <v>899.10604085079297</v>
      </c>
      <c r="BK119" s="116">
        <f t="shared" si="270"/>
        <v>2972.0831059542088</v>
      </c>
      <c r="BL119" s="82">
        <f>SUM(BH119:BK119)</f>
        <v>9081.0915668625166</v>
      </c>
      <c r="BM119" s="136">
        <f t="shared" si="271"/>
        <v>3960.7354678401011</v>
      </c>
      <c r="BN119" s="137">
        <f t="shared" si="272"/>
        <v>1236.1421961672695</v>
      </c>
      <c r="BO119" s="137">
        <f t="shared" si="273"/>
        <v>896.85827574866607</v>
      </c>
      <c r="BP119" s="116">
        <f t="shared" si="274"/>
        <v>2964.6528981893234</v>
      </c>
      <c r="BQ119" s="82">
        <f>SUM(BM119:BP119)</f>
        <v>9058.3888379453601</v>
      </c>
    </row>
    <row r="120" spans="1:104" x14ac:dyDescent="0.2">
      <c r="A120" s="26"/>
      <c r="B120" s="26"/>
      <c r="C120" s="26" t="s">
        <v>275</v>
      </c>
      <c r="D120" s="26"/>
      <c r="E120" s="326">
        <f>E119+E118</f>
        <v>7567.8089772338562</v>
      </c>
      <c r="F120" s="327">
        <f t="shared" ref="F120:M120" si="275">F119+F118</f>
        <v>2107.2423473072095</v>
      </c>
      <c r="G120" s="327">
        <f t="shared" si="275"/>
        <v>1410.123697312911</v>
      </c>
      <c r="H120" s="314">
        <f t="shared" si="275"/>
        <v>4395.8249781460236</v>
      </c>
      <c r="I120" s="93">
        <f t="shared" si="275"/>
        <v>15481</v>
      </c>
      <c r="J120" s="326">
        <f>J119+J118</f>
        <v>6252.6594820285245</v>
      </c>
      <c r="K120" s="327">
        <f t="shared" si="275"/>
        <v>1855.9641332700974</v>
      </c>
      <c r="L120" s="327">
        <f t="shared" si="275"/>
        <v>1480.0588265185136</v>
      </c>
      <c r="M120" s="314">
        <f t="shared" si="275"/>
        <v>4752.3175581828636</v>
      </c>
      <c r="N120" s="315">
        <f t="shared" ref="N120:W120" si="276">SUM(N118:N119)</f>
        <v>14341</v>
      </c>
      <c r="O120" s="326">
        <f t="shared" si="276"/>
        <v>6737.3705576531847</v>
      </c>
      <c r="P120" s="327">
        <f t="shared" si="276"/>
        <v>2504.327107420027</v>
      </c>
      <c r="Q120" s="327">
        <f t="shared" si="276"/>
        <v>1676.9417733388027</v>
      </c>
      <c r="R120" s="123">
        <f t="shared" si="276"/>
        <v>4128.3605615879851</v>
      </c>
      <c r="S120" s="315">
        <f t="shared" si="276"/>
        <v>15047</v>
      </c>
      <c r="T120" s="121">
        <f t="shared" si="276"/>
        <v>5746.9770856781661</v>
      </c>
      <c r="U120" s="130">
        <f t="shared" si="276"/>
        <v>1855.70638659824</v>
      </c>
      <c r="V120" s="130">
        <f t="shared" si="276"/>
        <v>1655.1415302853984</v>
      </c>
      <c r="W120" s="123">
        <f t="shared" si="276"/>
        <v>4676.1749974381964</v>
      </c>
      <c r="X120" s="315">
        <f t="shared" ref="X120:AC120" si="277">SUM(X118:X119)</f>
        <v>13934</v>
      </c>
      <c r="Y120" s="121">
        <f t="shared" si="277"/>
        <v>6994.0711132703291</v>
      </c>
      <c r="Z120" s="130">
        <f t="shared" si="277"/>
        <v>3080.4726017530784</v>
      </c>
      <c r="AA120" s="130">
        <f t="shared" si="277"/>
        <v>1736.2434652693828</v>
      </c>
      <c r="AB120" s="123">
        <f t="shared" si="277"/>
        <v>5825.2128197072097</v>
      </c>
      <c r="AC120" s="315">
        <f t="shared" si="277"/>
        <v>17636</v>
      </c>
      <c r="AD120" s="121">
        <f t="shared" ref="AD120:AJ120" si="278">SUM(AD118:AD119)</f>
        <v>8378.8971936978542</v>
      </c>
      <c r="AE120" s="130">
        <f t="shared" si="278"/>
        <v>3055.8288209390539</v>
      </c>
      <c r="AF120" s="130">
        <f t="shared" si="278"/>
        <v>1708.4635698250727</v>
      </c>
      <c r="AG120" s="123">
        <f>SUM(AG118:AG119)</f>
        <v>5580.8104155380197</v>
      </c>
      <c r="AH120" s="315">
        <f>SUM(AH118:AH119)</f>
        <v>18724</v>
      </c>
      <c r="AI120" s="121">
        <f t="shared" si="278"/>
        <v>7599.6597546839539</v>
      </c>
      <c r="AJ120" s="130">
        <f t="shared" si="278"/>
        <v>2261.3133274948996</v>
      </c>
      <c r="AK120" s="130">
        <f t="shared" ref="AK120:AP120" si="279">SUM(AK118:AK119)</f>
        <v>1655.5011991604952</v>
      </c>
      <c r="AL120" s="123">
        <f t="shared" si="279"/>
        <v>4183.5257186606505</v>
      </c>
      <c r="AM120" s="315">
        <f t="shared" si="279"/>
        <v>15700</v>
      </c>
      <c r="AN120" s="121">
        <f t="shared" si="279"/>
        <v>6528.1077292735163</v>
      </c>
      <c r="AO120" s="130">
        <f t="shared" si="279"/>
        <v>2116.5892745352262</v>
      </c>
      <c r="AP120" s="130">
        <f t="shared" si="279"/>
        <v>1443.597045667952</v>
      </c>
      <c r="AQ120" s="123">
        <f t="shared" ref="AQ120:AT120" si="280">SUM(AQ118:AQ119)</f>
        <v>4396.7059505233055</v>
      </c>
      <c r="AR120" s="315">
        <f t="shared" si="280"/>
        <v>14485</v>
      </c>
      <c r="AS120" s="121">
        <f t="shared" si="280"/>
        <v>6756.591499798089</v>
      </c>
      <c r="AT120" s="130">
        <f t="shared" si="280"/>
        <v>2205.4860240657058</v>
      </c>
      <c r="AU120" s="130">
        <f>SUM(AU118:AU119)</f>
        <v>1608.1671088740986</v>
      </c>
      <c r="AV120" s="123">
        <f t="shared" ref="AV120:AW120" si="281">SUM(AV118:AV119)</f>
        <v>5329.755367262107</v>
      </c>
      <c r="AW120" s="315">
        <f t="shared" si="281"/>
        <v>15900</v>
      </c>
      <c r="AX120" s="121">
        <f t="shared" ref="AX120:BG120" si="282">SUM(AX118:AX119)</f>
        <v>7084.286187538296</v>
      </c>
      <c r="AY120" s="122">
        <f t="shared" si="282"/>
        <v>2210.9997391258698</v>
      </c>
      <c r="AZ120" s="122">
        <f t="shared" si="282"/>
        <v>1604.1466911019133</v>
      </c>
      <c r="BA120" s="123">
        <f t="shared" si="282"/>
        <v>5369.7285325165731</v>
      </c>
      <c r="BB120" s="86">
        <f t="shared" si="282"/>
        <v>16269.161150282653</v>
      </c>
      <c r="BC120" s="121">
        <f t="shared" si="282"/>
        <v>7066.5754720694504</v>
      </c>
      <c r="BD120" s="122">
        <f t="shared" si="282"/>
        <v>2205.4722397780552</v>
      </c>
      <c r="BE120" s="122">
        <f t="shared" si="282"/>
        <v>1600.1363243741587</v>
      </c>
      <c r="BF120" s="123">
        <f t="shared" si="282"/>
        <v>5356.3042111852819</v>
      </c>
      <c r="BG120" s="86">
        <f t="shared" si="282"/>
        <v>16228.488247406947</v>
      </c>
      <c r="BH120" s="121">
        <f t="shared" ref="BH120:BQ120" si="283">SUM(BH118:BH119)</f>
        <v>7048.9090333892764</v>
      </c>
      <c r="BI120" s="122">
        <f t="shared" si="283"/>
        <v>2199.9585591786099</v>
      </c>
      <c r="BJ120" s="122">
        <f t="shared" si="283"/>
        <v>1596.1359835632234</v>
      </c>
      <c r="BK120" s="123">
        <f t="shared" si="283"/>
        <v>5342.9134506573191</v>
      </c>
      <c r="BL120" s="86">
        <f t="shared" si="283"/>
        <v>16187.917026788429</v>
      </c>
      <c r="BM120" s="121">
        <f t="shared" si="283"/>
        <v>7031.2867608058041</v>
      </c>
      <c r="BN120" s="122">
        <f t="shared" si="283"/>
        <v>2194.4586627806639</v>
      </c>
      <c r="BO120" s="122">
        <f t="shared" si="283"/>
        <v>1592.1456436043154</v>
      </c>
      <c r="BP120" s="123">
        <f t="shared" si="283"/>
        <v>5329.5561670306761</v>
      </c>
      <c r="BQ120" s="86">
        <f t="shared" si="283"/>
        <v>16147.447234221458</v>
      </c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</row>
    <row r="121" spans="1:104" x14ac:dyDescent="0.2">
      <c r="A121" s="20"/>
      <c r="B121" s="20"/>
      <c r="C121" s="20" t="s">
        <v>276</v>
      </c>
      <c r="D121" s="20"/>
      <c r="E121" s="622">
        <f>E$115*$I121</f>
        <v>1845.3897609364903</v>
      </c>
      <c r="F121" s="623">
        <f t="shared" ref="F121:H122" si="284">F$115*$I121</f>
        <v>513.84534985367338</v>
      </c>
      <c r="G121" s="623">
        <f t="shared" si="284"/>
        <v>343.85485158298809</v>
      </c>
      <c r="H121" s="312">
        <f t="shared" si="284"/>
        <v>1071.9100376268482</v>
      </c>
      <c r="I121" s="313">
        <v>3775</v>
      </c>
      <c r="J121" s="622">
        <f>J$115*$N121</f>
        <v>1668.5675920593517</v>
      </c>
      <c r="K121" s="623">
        <f t="shared" si="266"/>
        <v>495.27750770690068</v>
      </c>
      <c r="L121" s="623">
        <f t="shared" si="266"/>
        <v>394.96444662759581</v>
      </c>
      <c r="M121" s="312">
        <f>M$115*$N121</f>
        <v>1268.1904536061516</v>
      </c>
      <c r="N121" s="313">
        <v>3827</v>
      </c>
      <c r="O121" s="622">
        <f>O$115*$S121</f>
        <v>1783.4084489355109</v>
      </c>
      <c r="P121" s="623">
        <f t="shared" si="267"/>
        <v>662.9052215627014</v>
      </c>
      <c r="Q121" s="623">
        <f t="shared" si="267"/>
        <v>443.89307391562778</v>
      </c>
      <c r="R121" s="116">
        <f t="shared" si="267"/>
        <v>1092.7932555861596</v>
      </c>
      <c r="S121" s="313">
        <v>3983</v>
      </c>
      <c r="T121" s="148">
        <f>O121*(1-0.147)</f>
        <v>1521.2474069419909</v>
      </c>
      <c r="U121" s="149">
        <f>P121*(1-0.259)</f>
        <v>491.21276917796172</v>
      </c>
      <c r="V121" s="149">
        <f>Q121*(1-0.013)</f>
        <v>438.12246395472459</v>
      </c>
      <c r="W121" s="116">
        <f>+X121-SUM(T121:V121)</f>
        <v>1726.4173599253227</v>
      </c>
      <c r="X121" s="313">
        <v>4177</v>
      </c>
      <c r="Y121" s="148">
        <f>T121*(1+0.217)</f>
        <v>1851.3580942484029</v>
      </c>
      <c r="Z121" s="149">
        <f>U121*(1+0.66)</f>
        <v>815.41319683541656</v>
      </c>
      <c r="AA121" s="149">
        <f>V121*(1+0.049)</f>
        <v>459.59046468850607</v>
      </c>
      <c r="AB121" s="116">
        <f>+AC121-SUM(Y121:AA121)</f>
        <v>1217.6382442276745</v>
      </c>
      <c r="AC121" s="313">
        <v>4344</v>
      </c>
      <c r="AD121" s="148">
        <f>Y121*(1+0.198)</f>
        <v>2217.9269969095867</v>
      </c>
      <c r="AE121" s="149">
        <f>Z121*(1-0.008)</f>
        <v>808.88989126073318</v>
      </c>
      <c r="AF121" s="149">
        <f>AA121*(1-0.016)</f>
        <v>452.23701725348997</v>
      </c>
      <c r="AG121" s="116">
        <f>+AH121-SUM(AD121:AF121)</f>
        <v>1249.9460945761903</v>
      </c>
      <c r="AH121" s="313">
        <v>4729</v>
      </c>
      <c r="AI121" s="148">
        <f>+AD121*(1-9.3%)</f>
        <v>2011.6597861969951</v>
      </c>
      <c r="AJ121" s="149">
        <f>+AE121*(1-26%)</f>
        <v>598.57851953294255</v>
      </c>
      <c r="AK121" s="149">
        <f>+AF121*(1-3.1%)</f>
        <v>438.21766971863178</v>
      </c>
      <c r="AL121" s="116">
        <f>+AM121-SUM(AI121:AK121)</f>
        <v>1707.5440245514305</v>
      </c>
      <c r="AM121" s="313">
        <v>4756</v>
      </c>
      <c r="AN121" s="148">
        <f>+AI121*(1-14.1%)</f>
        <v>1728.0157563432188</v>
      </c>
      <c r="AO121" s="149">
        <f>+AJ121*(1-6.4%)</f>
        <v>560.26949428283422</v>
      </c>
      <c r="AP121" s="149">
        <f>+AK121*(1-12.8%)</f>
        <v>382.12580799464689</v>
      </c>
      <c r="AQ121" s="116">
        <f>+AR121-SUM(AN121:AP121)</f>
        <v>2176.5889413793002</v>
      </c>
      <c r="AR121" s="313">
        <v>4847</v>
      </c>
      <c r="AS121" s="148">
        <f>+AN121*(1+3.5%)</f>
        <v>1788.4963078152314</v>
      </c>
      <c r="AT121" s="149">
        <f>+AO121*(1+4.2%)</f>
        <v>583.80081304271323</v>
      </c>
      <c r="AU121" s="149">
        <f>+AP121*(1+11.4%)</f>
        <v>425.68815010603669</v>
      </c>
      <c r="AV121" s="116">
        <f>+AW121-SUM(AS121:AU121)</f>
        <v>2379.0147290360187</v>
      </c>
      <c r="AW121" s="313">
        <v>5177</v>
      </c>
      <c r="AX121" s="136">
        <f t="shared" ref="AX121:BA122" si="285">+AS121</f>
        <v>1788.4963078152314</v>
      </c>
      <c r="AY121" s="135">
        <f t="shared" si="285"/>
        <v>583.80081304271323</v>
      </c>
      <c r="AZ121" s="135">
        <f t="shared" si="285"/>
        <v>425.68815010603669</v>
      </c>
      <c r="BA121" s="116">
        <f t="shared" si="285"/>
        <v>2379.0147290360187</v>
      </c>
      <c r="BB121" s="82">
        <f>SUM(AX121:BA121)</f>
        <v>5177</v>
      </c>
      <c r="BC121" s="136">
        <f t="shared" ref="BC121:BF122" si="286">+AX121</f>
        <v>1788.4963078152314</v>
      </c>
      <c r="BD121" s="135">
        <f t="shared" si="286"/>
        <v>583.80081304271323</v>
      </c>
      <c r="BE121" s="135">
        <f t="shared" si="286"/>
        <v>425.68815010603669</v>
      </c>
      <c r="BF121" s="116">
        <f t="shared" si="286"/>
        <v>2379.0147290360187</v>
      </c>
      <c r="BG121" s="82">
        <f>SUM(BC121:BF121)</f>
        <v>5177</v>
      </c>
      <c r="BH121" s="136">
        <f t="shared" ref="BH121:BK122" si="287">+BC121</f>
        <v>1788.4963078152314</v>
      </c>
      <c r="BI121" s="135">
        <f t="shared" si="287"/>
        <v>583.80081304271323</v>
      </c>
      <c r="BJ121" s="135">
        <f t="shared" si="287"/>
        <v>425.68815010603669</v>
      </c>
      <c r="BK121" s="116">
        <f t="shared" si="287"/>
        <v>2379.0147290360187</v>
      </c>
      <c r="BL121" s="82">
        <f>SUM(BH121:BK121)</f>
        <v>5177</v>
      </c>
      <c r="BM121" s="136">
        <f t="shared" ref="BM121:BM122" si="288">+BH121</f>
        <v>1788.4963078152314</v>
      </c>
      <c r="BN121" s="135">
        <f t="shared" ref="BN121:BN122" si="289">+BI121</f>
        <v>583.80081304271323</v>
      </c>
      <c r="BO121" s="135">
        <f t="shared" ref="BO121:BO122" si="290">+BJ121</f>
        <v>425.68815010603669</v>
      </c>
      <c r="BP121" s="116">
        <f t="shared" ref="BP121:BP122" si="291">+BK121</f>
        <v>2379.0147290360187</v>
      </c>
      <c r="BQ121" s="82">
        <f>SUM(BM121:BP121)</f>
        <v>5177</v>
      </c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  <c r="CT121" s="20"/>
      <c r="CU121" s="20"/>
      <c r="CV121" s="20"/>
      <c r="CW121" s="20"/>
      <c r="CX121" s="20"/>
      <c r="CY121" s="20"/>
      <c r="CZ121" s="20"/>
    </row>
    <row r="122" spans="1:104" x14ac:dyDescent="0.2">
      <c r="A122" s="20"/>
      <c r="B122" s="20"/>
      <c r="C122" s="20" t="s">
        <v>277</v>
      </c>
      <c r="D122" s="20"/>
      <c r="E122" s="622">
        <f>E$115*$I122</f>
        <v>182.82801869940329</v>
      </c>
      <c r="F122" s="623">
        <f t="shared" si="284"/>
        <v>50.908122078218234</v>
      </c>
      <c r="G122" s="623">
        <f t="shared" si="284"/>
        <v>34.066679335639087</v>
      </c>
      <c r="H122" s="312">
        <f t="shared" si="284"/>
        <v>106.19717988673941</v>
      </c>
      <c r="I122" s="313">
        <v>374</v>
      </c>
      <c r="J122" s="622">
        <f>J$115*$N122</f>
        <v>291.68322944544195</v>
      </c>
      <c r="K122" s="623">
        <f t="shared" si="266"/>
        <v>86.579736779701221</v>
      </c>
      <c r="L122" s="623">
        <f t="shared" si="266"/>
        <v>69.043954741014261</v>
      </c>
      <c r="M122" s="312">
        <f>M$115*$N122</f>
        <v>221.69307903384254</v>
      </c>
      <c r="N122" s="313">
        <v>669</v>
      </c>
      <c r="O122" s="622">
        <f>O$115*$S122</f>
        <v>0</v>
      </c>
      <c r="P122" s="623">
        <f t="shared" si="267"/>
        <v>0</v>
      </c>
      <c r="Q122" s="623">
        <f t="shared" si="267"/>
        <v>0</v>
      </c>
      <c r="R122" s="116">
        <f t="shared" si="267"/>
        <v>0</v>
      </c>
      <c r="S122" s="313">
        <v>0</v>
      </c>
      <c r="T122" s="148">
        <f>O122*(1-0.147)</f>
        <v>0</v>
      </c>
      <c r="U122" s="137">
        <f>+P122*(1-0.259)</f>
        <v>0</v>
      </c>
      <c r="V122" s="137">
        <f>+Q122*(1-0.013)</f>
        <v>0</v>
      </c>
      <c r="W122" s="116">
        <f>+X122-SUM(T122:V122)</f>
        <v>0</v>
      </c>
      <c r="X122" s="313">
        <v>0</v>
      </c>
      <c r="Y122" s="136">
        <f>T122*(1-0.217)</f>
        <v>0</v>
      </c>
      <c r="Z122" s="137">
        <f>U122*(1+0.66)</f>
        <v>0</v>
      </c>
      <c r="AA122" s="137">
        <f>V122*(1+0.049)</f>
        <v>0</v>
      </c>
      <c r="AB122" s="116">
        <f>+AC122-SUM(Y122:AA122)</f>
        <v>0</v>
      </c>
      <c r="AC122" s="313">
        <v>0</v>
      </c>
      <c r="AD122" s="136">
        <f>Y122*(1-0.004)</f>
        <v>0</v>
      </c>
      <c r="AE122" s="137">
        <f>Z122*(1+0.66)</f>
        <v>0</v>
      </c>
      <c r="AF122" s="137">
        <f>AA122*(1+0.66)</f>
        <v>0</v>
      </c>
      <c r="AG122" s="116">
        <f>+AH122-SUM(AD122:AF122)</f>
        <v>0</v>
      </c>
      <c r="AH122" s="313">
        <v>0</v>
      </c>
      <c r="AI122" s="136">
        <f>AD122*(1-9.3%)</f>
        <v>0</v>
      </c>
      <c r="AJ122" s="137">
        <f>+AE122*(1-26%)</f>
        <v>0</v>
      </c>
      <c r="AK122" s="137">
        <f>+AF122*(1-3.1%)</f>
        <v>0</v>
      </c>
      <c r="AL122" s="116">
        <f>+AM122-SUM(AI122:AK122)</f>
        <v>0</v>
      </c>
      <c r="AM122" s="313">
        <v>0</v>
      </c>
      <c r="AN122" s="136">
        <f>+AI122*(1-14.1%)</f>
        <v>0</v>
      </c>
      <c r="AO122" s="137">
        <f>+AJ122*(1-6.4%)</f>
        <v>0</v>
      </c>
      <c r="AP122" s="135">
        <f>+AK122</f>
        <v>0</v>
      </c>
      <c r="AQ122" s="116">
        <f>+AR122-SUM(AN122:AP122)</f>
        <v>0</v>
      </c>
      <c r="AR122" s="313">
        <v>0</v>
      </c>
      <c r="AS122" s="148">
        <f>+AN122*(1+3.5%)</f>
        <v>0</v>
      </c>
      <c r="AT122" s="137">
        <f>+AO122*(1-6.4%)</f>
        <v>0</v>
      </c>
      <c r="AU122" s="137">
        <f>+AP122*(1-11.4%)</f>
        <v>0</v>
      </c>
      <c r="AV122" s="116">
        <f>+AQ122</f>
        <v>0</v>
      </c>
      <c r="AW122" s="82">
        <f>SUM(AS122:AV122)</f>
        <v>0</v>
      </c>
      <c r="AX122" s="136">
        <f t="shared" si="285"/>
        <v>0</v>
      </c>
      <c r="AY122" s="135">
        <f t="shared" si="285"/>
        <v>0</v>
      </c>
      <c r="AZ122" s="135">
        <f t="shared" si="285"/>
        <v>0</v>
      </c>
      <c r="BA122" s="116">
        <f t="shared" si="285"/>
        <v>0</v>
      </c>
      <c r="BB122" s="82">
        <f>SUM(AX122:BA122)</f>
        <v>0</v>
      </c>
      <c r="BC122" s="136">
        <f t="shared" si="286"/>
        <v>0</v>
      </c>
      <c r="BD122" s="135">
        <f t="shared" si="286"/>
        <v>0</v>
      </c>
      <c r="BE122" s="135">
        <f t="shared" si="286"/>
        <v>0</v>
      </c>
      <c r="BF122" s="116">
        <f t="shared" si="286"/>
        <v>0</v>
      </c>
      <c r="BG122" s="82">
        <f>SUM(BC122:BF122)</f>
        <v>0</v>
      </c>
      <c r="BH122" s="136">
        <f t="shared" si="287"/>
        <v>0</v>
      </c>
      <c r="BI122" s="135">
        <f t="shared" si="287"/>
        <v>0</v>
      </c>
      <c r="BJ122" s="135">
        <f t="shared" si="287"/>
        <v>0</v>
      </c>
      <c r="BK122" s="116">
        <f t="shared" si="287"/>
        <v>0</v>
      </c>
      <c r="BL122" s="82">
        <f>SUM(BH122:BK122)</f>
        <v>0</v>
      </c>
      <c r="BM122" s="136">
        <f t="shared" si="288"/>
        <v>0</v>
      </c>
      <c r="BN122" s="135">
        <f t="shared" si="289"/>
        <v>0</v>
      </c>
      <c r="BO122" s="135">
        <f t="shared" si="290"/>
        <v>0</v>
      </c>
      <c r="BP122" s="116">
        <f t="shared" si="291"/>
        <v>0</v>
      </c>
      <c r="BQ122" s="82">
        <f>SUM(BM122:BP122)</f>
        <v>0</v>
      </c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</row>
    <row r="123" spans="1:104" x14ac:dyDescent="0.2">
      <c r="A123" s="20"/>
      <c r="B123" s="20"/>
      <c r="C123" s="26" t="s">
        <v>278</v>
      </c>
      <c r="D123" s="20"/>
      <c r="E123" s="326">
        <f>SUM(E120:E122)</f>
        <v>9596.0267568697509</v>
      </c>
      <c r="F123" s="327">
        <f>SUM(F120:F122)</f>
        <v>2671.9958192391009</v>
      </c>
      <c r="G123" s="327">
        <f>SUM(G120:G122)</f>
        <v>1788.0452282315382</v>
      </c>
      <c r="H123" s="314">
        <f>SUM(H120:H122)</f>
        <v>5573.9321956596114</v>
      </c>
      <c r="I123" s="523">
        <f>SUM(I121:I122)+I120</f>
        <v>19630</v>
      </c>
      <c r="J123" s="326">
        <f>SUM(J120:J122)</f>
        <v>8212.9103035333173</v>
      </c>
      <c r="K123" s="327">
        <f>SUM(K120:K122)</f>
        <v>2437.8213777566993</v>
      </c>
      <c r="L123" s="327">
        <f>SUM(L120:L122)</f>
        <v>1944.0672278871236</v>
      </c>
      <c r="M123" s="314">
        <f>SUM(M120:M122)</f>
        <v>6242.2010908228585</v>
      </c>
      <c r="N123" s="93">
        <f>SUM(N121:N122)+N120</f>
        <v>18837</v>
      </c>
      <c r="O123" s="326">
        <f>SUM(O120:O122)</f>
        <v>8520.7790065886948</v>
      </c>
      <c r="P123" s="327">
        <f>SUM(P120:P122)</f>
        <v>3167.2323289827282</v>
      </c>
      <c r="Q123" s="327">
        <f>SUM(Q120:Q122)</f>
        <v>2120.8348472544303</v>
      </c>
      <c r="R123" s="123">
        <f>SUM(R120:R122)</f>
        <v>5221.1538171741449</v>
      </c>
      <c r="S123" s="93">
        <f>SUM(S121:S122)+S120</f>
        <v>19030</v>
      </c>
      <c r="T123" s="121">
        <f>SUM(T120:T122)</f>
        <v>7268.2244926201565</v>
      </c>
      <c r="U123" s="327">
        <f>SUM(U120:U122)</f>
        <v>2346.9191557762015</v>
      </c>
      <c r="V123" s="327">
        <f>SUM(V120:V122)</f>
        <v>2093.2639942401229</v>
      </c>
      <c r="W123" s="123">
        <f>SUM(W120:W122)</f>
        <v>6402.5923573635191</v>
      </c>
      <c r="X123" s="93">
        <f>SUM(X121:X122)+X120</f>
        <v>18111</v>
      </c>
      <c r="Y123" s="121">
        <f>SUM(Y120:Y122)</f>
        <v>8845.4292075187313</v>
      </c>
      <c r="Z123" s="327">
        <f>SUM(Z120:Z122)</f>
        <v>3895.8857985884952</v>
      </c>
      <c r="AA123" s="327">
        <f>SUM(AA120:AA122)</f>
        <v>2195.8339299578888</v>
      </c>
      <c r="AB123" s="123">
        <f>SUM(AB120:AB122)</f>
        <v>7042.8510639348842</v>
      </c>
      <c r="AC123" s="93">
        <f>SUM(AC121:AC122)+AC120</f>
        <v>21980</v>
      </c>
      <c r="AD123" s="121">
        <f>SUM(AD120:AD122)</f>
        <v>10596.82419060744</v>
      </c>
      <c r="AE123" s="327">
        <f>SUM(AE120:AE122)</f>
        <v>3864.7187121997872</v>
      </c>
      <c r="AF123" s="327">
        <f>SUM(AF120:AF122)</f>
        <v>2160.7005870785624</v>
      </c>
      <c r="AG123" s="123">
        <f>SUM(AG120:AG122)</f>
        <v>6830.75651011421</v>
      </c>
      <c r="AH123" s="93">
        <f>SUM(AH121:AH122)+AH120</f>
        <v>23453</v>
      </c>
      <c r="AI123" s="121">
        <f>SUM(AI120:AI122)</f>
        <v>9611.3195408809497</v>
      </c>
      <c r="AJ123" s="327">
        <f>SUM(AJ120:AJ122)</f>
        <v>2859.8918470278422</v>
      </c>
      <c r="AK123" s="327">
        <f>SUM(AK120:AK122)</f>
        <v>2093.7188688791271</v>
      </c>
      <c r="AL123" s="123">
        <f>SUM(AL120:AL122)</f>
        <v>5891.0697432120814</v>
      </c>
      <c r="AM123" s="93">
        <f>SUM(AM121:AM122)+AM120</f>
        <v>20456</v>
      </c>
      <c r="AN123" s="121">
        <f>SUM(AN120:AN122)</f>
        <v>8256.1234856167357</v>
      </c>
      <c r="AO123" s="327">
        <f>SUM(AO120:AO122)</f>
        <v>2676.8587688180605</v>
      </c>
      <c r="AP123" s="327">
        <f>SUM(AP120:AP122)</f>
        <v>1825.7228536625989</v>
      </c>
      <c r="AQ123" s="123">
        <f>SUM(AQ120:AQ122)</f>
        <v>6573.2948919026057</v>
      </c>
      <c r="AR123" s="93">
        <f>SUM(AR121:AR122)+AR120</f>
        <v>19332</v>
      </c>
      <c r="AS123" s="121">
        <f>SUM(AS120:AS122)</f>
        <v>8545.0878076133195</v>
      </c>
      <c r="AT123" s="327">
        <f>SUM(AT120:AT122)</f>
        <v>2789.2868371084191</v>
      </c>
      <c r="AU123" s="327">
        <f>SUM(AU120:AU122)</f>
        <v>2033.8552589801352</v>
      </c>
      <c r="AV123" s="123">
        <f>SUM(AV120:AV122)</f>
        <v>7708.7700962981253</v>
      </c>
      <c r="AW123" s="93">
        <f>SUM(AW121:AW122)+AW120</f>
        <v>21077</v>
      </c>
      <c r="AX123" s="121">
        <f t="shared" ref="AX123:BG123" si="292">SUM(AX120:AX122)</f>
        <v>8872.7824953535273</v>
      </c>
      <c r="AY123" s="122">
        <f t="shared" si="292"/>
        <v>2794.8005521685832</v>
      </c>
      <c r="AZ123" s="122">
        <f t="shared" si="292"/>
        <v>2029.8348412079499</v>
      </c>
      <c r="BA123" s="123">
        <f t="shared" si="292"/>
        <v>7748.7432615525922</v>
      </c>
      <c r="BB123" s="86">
        <f t="shared" si="292"/>
        <v>21446.161150282653</v>
      </c>
      <c r="BC123" s="121">
        <f t="shared" si="292"/>
        <v>8855.0717798846817</v>
      </c>
      <c r="BD123" s="122">
        <f t="shared" si="292"/>
        <v>2789.2730528207685</v>
      </c>
      <c r="BE123" s="122">
        <f t="shared" si="292"/>
        <v>2025.8244744801955</v>
      </c>
      <c r="BF123" s="123">
        <f t="shared" si="292"/>
        <v>7735.3189402213011</v>
      </c>
      <c r="BG123" s="86">
        <f t="shared" si="292"/>
        <v>21405.488247406945</v>
      </c>
      <c r="BH123" s="121">
        <f t="shared" ref="BH123:BQ123" si="293">SUM(BH120:BH122)</f>
        <v>8837.4053412045068</v>
      </c>
      <c r="BI123" s="122">
        <f t="shared" si="293"/>
        <v>2783.7593722213232</v>
      </c>
      <c r="BJ123" s="122">
        <f t="shared" si="293"/>
        <v>2021.8241336692599</v>
      </c>
      <c r="BK123" s="123">
        <f t="shared" si="293"/>
        <v>7721.9281796933374</v>
      </c>
      <c r="BL123" s="86">
        <f t="shared" si="293"/>
        <v>21364.917026788429</v>
      </c>
      <c r="BM123" s="121">
        <f t="shared" si="293"/>
        <v>8819.7830686210364</v>
      </c>
      <c r="BN123" s="122">
        <f t="shared" si="293"/>
        <v>2778.2594758233772</v>
      </c>
      <c r="BO123" s="122">
        <f t="shared" si="293"/>
        <v>2017.833793710352</v>
      </c>
      <c r="BP123" s="123">
        <f t="shared" si="293"/>
        <v>7708.5708960666943</v>
      </c>
      <c r="BQ123" s="86">
        <f t="shared" si="293"/>
        <v>21324.447234221458</v>
      </c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  <c r="CT123" s="20"/>
      <c r="CU123" s="20"/>
      <c r="CV123" s="20"/>
      <c r="CW123" s="20"/>
      <c r="CX123" s="20"/>
      <c r="CY123" s="20"/>
      <c r="CZ123" s="20"/>
    </row>
    <row r="124" spans="1:104" x14ac:dyDescent="0.2">
      <c r="C124" s="20"/>
      <c r="E124" s="273"/>
      <c r="F124" s="274"/>
      <c r="G124" s="274"/>
      <c r="H124" s="275"/>
      <c r="I124" s="169"/>
      <c r="J124" s="273"/>
      <c r="K124" s="274"/>
      <c r="L124" s="274"/>
      <c r="M124" s="275"/>
      <c r="N124" s="169"/>
      <c r="O124" s="273"/>
      <c r="P124" s="274"/>
      <c r="Q124" s="274"/>
      <c r="R124" s="275"/>
      <c r="S124" s="169"/>
      <c r="T124" s="273"/>
      <c r="U124" s="274"/>
      <c r="V124" s="274"/>
      <c r="W124" s="275"/>
      <c r="X124" s="169"/>
      <c r="Y124" s="273"/>
      <c r="Z124" s="274"/>
      <c r="AA124" s="274"/>
      <c r="AB124" s="275"/>
      <c r="AC124" s="169"/>
      <c r="AD124" s="273"/>
      <c r="AE124" s="274"/>
      <c r="AF124" s="274"/>
      <c r="AG124" s="275"/>
      <c r="AH124" s="169"/>
      <c r="AI124" s="273"/>
      <c r="AJ124" s="274"/>
      <c r="AK124" s="274"/>
      <c r="AL124" s="275"/>
      <c r="AM124" s="169"/>
      <c r="AN124" s="273"/>
      <c r="AO124" s="274"/>
      <c r="AP124" s="274"/>
      <c r="AQ124" s="275"/>
      <c r="AR124" s="169"/>
      <c r="AS124" s="273"/>
      <c r="AT124" s="274"/>
      <c r="AU124" s="274"/>
      <c r="AV124" s="275"/>
      <c r="AW124" s="169"/>
      <c r="AX124" s="273"/>
      <c r="AY124" s="274"/>
      <c r="AZ124" s="274"/>
      <c r="BA124" s="275"/>
      <c r="BB124" s="169"/>
      <c r="BC124" s="273"/>
      <c r="BD124" s="274"/>
      <c r="BE124" s="274"/>
      <c r="BF124" s="275"/>
      <c r="BG124" s="169"/>
      <c r="BH124" s="273"/>
      <c r="BI124" s="274"/>
      <c r="BJ124" s="274"/>
      <c r="BK124" s="275"/>
      <c r="BL124" s="169"/>
      <c r="BM124" s="273"/>
      <c r="BN124" s="274"/>
      <c r="BO124" s="274"/>
      <c r="BP124" s="275"/>
      <c r="BQ124" s="169"/>
    </row>
    <row r="125" spans="1:104" x14ac:dyDescent="0.2">
      <c r="A125" s="20"/>
      <c r="B125" s="20"/>
      <c r="C125" s="20" t="s">
        <v>432</v>
      </c>
      <c r="D125" s="20"/>
      <c r="E125" s="203"/>
      <c r="F125" s="204"/>
      <c r="G125" s="204"/>
      <c r="H125" s="205"/>
      <c r="I125" s="206"/>
      <c r="J125" s="207">
        <f t="shared" ref="J125:R125" si="294">+J123/E123-1</f>
        <v>-0.14413428478054913</v>
      </c>
      <c r="K125" s="208">
        <f t="shared" si="294"/>
        <v>-8.7640272412210174E-2</v>
      </c>
      <c r="L125" s="208">
        <f t="shared" si="294"/>
        <v>8.7258418966224216E-2</v>
      </c>
      <c r="M125" s="209">
        <f t="shared" si="294"/>
        <v>0.11989182352875116</v>
      </c>
      <c r="N125" s="88">
        <f t="shared" si="294"/>
        <v>-4.039735099337749E-2</v>
      </c>
      <c r="O125" s="207">
        <f t="shared" si="294"/>
        <v>3.7485944893727474E-2</v>
      </c>
      <c r="P125" s="208">
        <f t="shared" si="294"/>
        <v>0.29920606894391821</v>
      </c>
      <c r="Q125" s="208">
        <f t="shared" si="294"/>
        <v>9.0926700903972035E-2</v>
      </c>
      <c r="R125" s="209">
        <f t="shared" si="294"/>
        <v>-0.16357167268286721</v>
      </c>
      <c r="S125" s="88">
        <f>+S123/N123-1</f>
        <v>1.0245792854488567E-2</v>
      </c>
      <c r="T125" s="207">
        <f t="shared" ref="T125:Y125" si="295">+T123/O123-1</f>
        <v>-0.14700000000000002</v>
      </c>
      <c r="U125" s="208">
        <f t="shared" si="295"/>
        <v>-0.25900000000000001</v>
      </c>
      <c r="V125" s="208">
        <f t="shared" si="295"/>
        <v>-1.2999999999999901E-2</v>
      </c>
      <c r="W125" s="209">
        <f t="shared" si="295"/>
        <v>0.22627920600676843</v>
      </c>
      <c r="X125" s="88">
        <f t="shared" si="295"/>
        <v>-4.8292170257488221E-2</v>
      </c>
      <c r="Y125" s="207">
        <f t="shared" si="295"/>
        <v>0.21700000000000008</v>
      </c>
      <c r="Z125" s="208">
        <f t="shared" ref="Z125:AK125" si="296">+Z123/U123-1</f>
        <v>0.66000000000000036</v>
      </c>
      <c r="AA125" s="208">
        <f t="shared" si="296"/>
        <v>4.8999999999999932E-2</v>
      </c>
      <c r="AB125" s="209">
        <f t="shared" si="296"/>
        <v>9.9999917351448087E-2</v>
      </c>
      <c r="AC125" s="88">
        <f t="shared" si="296"/>
        <v>0.21362707746673282</v>
      </c>
      <c r="AD125" s="207">
        <f t="shared" si="296"/>
        <v>0.19799999999999995</v>
      </c>
      <c r="AE125" s="208">
        <f t="shared" si="296"/>
        <v>-8.0000000000000071E-3</v>
      </c>
      <c r="AF125" s="208">
        <f t="shared" si="296"/>
        <v>-1.6000000000000125E-2</v>
      </c>
      <c r="AG125" s="209">
        <f>+AG123/AB123-1</f>
        <v>-3.0114871363214002E-2</v>
      </c>
      <c r="AH125" s="88">
        <f>+AH123/AC123-1</f>
        <v>6.7015468607825257E-2</v>
      </c>
      <c r="AI125" s="207">
        <f>+AI123/AD123-1</f>
        <v>-9.2999999999999861E-2</v>
      </c>
      <c r="AJ125" s="208">
        <f>+AJ123/AE123-1</f>
        <v>-0.26000000000000012</v>
      </c>
      <c r="AK125" s="208">
        <f t="shared" si="296"/>
        <v>-3.0999999999999917E-2</v>
      </c>
      <c r="AL125" s="209">
        <f t="shared" ref="AL125:AR125" si="297">+AL123/AG123-1</f>
        <v>-0.13756701260112947</v>
      </c>
      <c r="AM125" s="88">
        <f t="shared" si="297"/>
        <v>-0.12778748987336375</v>
      </c>
      <c r="AN125" s="207">
        <f t="shared" si="297"/>
        <v>-0.14100000000000001</v>
      </c>
      <c r="AO125" s="208">
        <f t="shared" si="297"/>
        <v>-6.3999999999999946E-2</v>
      </c>
      <c r="AP125" s="208">
        <f t="shared" si="297"/>
        <v>-0.12799999999999989</v>
      </c>
      <c r="AQ125" s="209">
        <f t="shared" si="297"/>
        <v>0.11580666643381887</v>
      </c>
      <c r="AR125" s="88">
        <f t="shared" si="297"/>
        <v>-5.4947203754399654E-2</v>
      </c>
      <c r="AS125" s="207">
        <f t="shared" ref="AS125" si="298">+AS123/AN123-1</f>
        <v>3.4999999999999698E-2</v>
      </c>
      <c r="AT125" s="208">
        <f t="shared" ref="AT125" si="299">+AT123/AO123-1</f>
        <v>4.2000000000000037E-2</v>
      </c>
      <c r="AU125" s="208">
        <f t="shared" ref="AU125" si="300">+AU123/AP123-1</f>
        <v>0.1140000000000001</v>
      </c>
      <c r="AV125" s="209">
        <f t="shared" ref="AV125" si="301">+AV123/AQ123-1</f>
        <v>0.17274064575959747</v>
      </c>
      <c r="AW125" s="88">
        <f t="shared" ref="AW125" si="302">+AW123/AR123-1</f>
        <v>9.0264845851438125E-2</v>
      </c>
      <c r="AX125" s="207">
        <f t="shared" ref="AX125:BG125" si="303">+AX123/AS123-1</f>
        <v>3.8348896479243333E-2</v>
      </c>
      <c r="AY125" s="208">
        <f t="shared" si="303"/>
        <v>1.9767472411980069E-3</v>
      </c>
      <c r="AZ125" s="208">
        <f t="shared" si="303"/>
        <v>-1.976747241198118E-3</v>
      </c>
      <c r="BA125" s="209">
        <f t="shared" si="303"/>
        <v>5.1854141134215492E-3</v>
      </c>
      <c r="BB125" s="88">
        <f t="shared" si="303"/>
        <v>1.7514881163479323E-2</v>
      </c>
      <c r="BC125" s="207">
        <f t="shared" si="303"/>
        <v>-1.9960723119405444E-3</v>
      </c>
      <c r="BD125" s="208">
        <f t="shared" si="303"/>
        <v>-1.9777795390535369E-3</v>
      </c>
      <c r="BE125" s="208">
        <f t="shared" si="303"/>
        <v>-1.9757108540751078E-3</v>
      </c>
      <c r="BF125" s="209">
        <f t="shared" si="303"/>
        <v>-1.7324514283366677E-3</v>
      </c>
      <c r="BG125" s="88">
        <f t="shared" si="303"/>
        <v>-1.896512041977827E-3</v>
      </c>
      <c r="BH125" s="207">
        <f t="shared" ref="BH125:BQ125" si="304">+BH123/BC123-1</f>
        <v>-1.9950644240180893E-3</v>
      </c>
      <c r="BI125" s="208">
        <f t="shared" si="304"/>
        <v>-1.9767446553392576E-3</v>
      </c>
      <c r="BJ125" s="208">
        <f t="shared" si="304"/>
        <v>-1.9746729597399648E-3</v>
      </c>
      <c r="BK125" s="209">
        <f t="shared" si="304"/>
        <v>-1.7311193800084723E-3</v>
      </c>
      <c r="BL125" s="88">
        <f t="shared" si="304"/>
        <v>-1.8953653450736185E-3</v>
      </c>
      <c r="BM125" s="207">
        <f t="shared" si="304"/>
        <v>-1.9940550312099736E-3</v>
      </c>
      <c r="BN125" s="208">
        <f t="shared" si="304"/>
        <v>-1.9757082644529245E-3</v>
      </c>
      <c r="BO125" s="208">
        <f t="shared" si="304"/>
        <v>-1.9736335581602704E-3</v>
      </c>
      <c r="BP125" s="209">
        <f t="shared" si="304"/>
        <v>-1.7297860477087923E-3</v>
      </c>
      <c r="BQ125" s="88">
        <f t="shared" si="304"/>
        <v>-1.8942171652821527E-3</v>
      </c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</row>
    <row r="126" spans="1:104" x14ac:dyDescent="0.2">
      <c r="C126" s="316"/>
      <c r="E126" s="273"/>
      <c r="F126" s="274"/>
      <c r="G126" s="274"/>
      <c r="H126" s="275"/>
      <c r="I126" s="169"/>
      <c r="J126" s="273"/>
      <c r="K126" s="274"/>
      <c r="L126" s="274"/>
      <c r="M126" s="275"/>
      <c r="N126" s="169"/>
      <c r="O126" s="273"/>
      <c r="P126" s="274"/>
      <c r="Q126" s="274"/>
      <c r="R126" s="275"/>
      <c r="S126" s="169"/>
      <c r="T126" s="273"/>
      <c r="U126" s="274"/>
      <c r="V126" s="274"/>
      <c r="W126" s="275"/>
      <c r="X126" s="169"/>
      <c r="Y126" s="273"/>
      <c r="Z126" s="274"/>
      <c r="AA126" s="274"/>
      <c r="AB126" s="275"/>
      <c r="AC126" s="169"/>
      <c r="AD126" s="273"/>
      <c r="AE126" s="274"/>
      <c r="AF126" s="274"/>
      <c r="AG126" s="275"/>
      <c r="AH126" s="169"/>
      <c r="AI126" s="273"/>
      <c r="AJ126" s="274"/>
      <c r="AK126" s="274"/>
      <c r="AL126" s="275"/>
      <c r="AM126" s="169"/>
      <c r="AN126" s="273"/>
      <c r="AO126" s="274"/>
      <c r="AP126" s="274"/>
      <c r="AQ126" s="275"/>
      <c r="AR126" s="169"/>
      <c r="AS126" s="273"/>
      <c r="AT126" s="274"/>
      <c r="AU126" s="274"/>
      <c r="AV126" s="275"/>
      <c r="AW126" s="169"/>
      <c r="AX126" s="273"/>
      <c r="AY126" s="274"/>
      <c r="AZ126" s="274"/>
      <c r="BA126" s="275"/>
      <c r="BB126" s="169"/>
      <c r="BC126" s="273"/>
      <c r="BD126" s="274"/>
      <c r="BE126" s="274"/>
      <c r="BF126" s="275"/>
      <c r="BG126" s="169"/>
      <c r="BH126" s="273"/>
      <c r="BI126" s="274"/>
      <c r="BJ126" s="274"/>
      <c r="BK126" s="275"/>
      <c r="BL126" s="169"/>
      <c r="BM126" s="273"/>
      <c r="BN126" s="274"/>
      <c r="BO126" s="274"/>
      <c r="BP126" s="275"/>
      <c r="BQ126" s="169"/>
    </row>
    <row r="127" spans="1:104" x14ac:dyDescent="0.2">
      <c r="C127" s="26" t="s">
        <v>280</v>
      </c>
      <c r="E127" s="335">
        <f t="shared" ref="E127:S127" si="305">E114/E123*1000</f>
        <v>6.7017320427916456</v>
      </c>
      <c r="F127" s="323">
        <f t="shared" si="305"/>
        <v>6.7017320427916474</v>
      </c>
      <c r="G127" s="323">
        <f t="shared" si="305"/>
        <v>6.7017320427916456</v>
      </c>
      <c r="H127" s="324">
        <f t="shared" si="305"/>
        <v>6.7017320427916447</v>
      </c>
      <c r="I127" s="325">
        <f t="shared" si="305"/>
        <v>6.7017320427916456</v>
      </c>
      <c r="J127" s="335">
        <f t="shared" si="305"/>
        <v>6.2683017465626172</v>
      </c>
      <c r="K127" s="323">
        <f t="shared" si="305"/>
        <v>6.2683017465626163</v>
      </c>
      <c r="L127" s="323">
        <f>L114/L123*1000</f>
        <v>6.2683017465626163</v>
      </c>
      <c r="M127" s="324">
        <f t="shared" si="305"/>
        <v>6.2683017465626154</v>
      </c>
      <c r="N127" s="325">
        <f t="shared" si="305"/>
        <v>6.2683017465626163</v>
      </c>
      <c r="O127" s="322">
        <f t="shared" si="305"/>
        <v>6.2767735155018398</v>
      </c>
      <c r="P127" s="323">
        <f t="shared" si="305"/>
        <v>6.2767735155018398</v>
      </c>
      <c r="Q127" s="323">
        <f t="shared" si="305"/>
        <v>6.2767735155018398</v>
      </c>
      <c r="R127" s="324">
        <f t="shared" si="305"/>
        <v>6.2767735155018398</v>
      </c>
      <c r="S127" s="325">
        <f t="shared" si="305"/>
        <v>6.2767735155018398</v>
      </c>
      <c r="T127" s="322">
        <f t="shared" ref="T127:Y127" si="306">T114/T123*1000</f>
        <v>5.7086844307202114</v>
      </c>
      <c r="U127" s="323">
        <f t="shared" si="306"/>
        <v>6.3189223895934514</v>
      </c>
      <c r="V127" s="323">
        <f t="shared" si="306"/>
        <v>5.6094214739801478</v>
      </c>
      <c r="W127" s="324">
        <f t="shared" si="306"/>
        <v>5.472158470264886</v>
      </c>
      <c r="X127" s="325">
        <f t="shared" si="306"/>
        <v>5.6926729611838107</v>
      </c>
      <c r="Y127" s="322">
        <f t="shared" si="306"/>
        <v>5.6929967804384081</v>
      </c>
      <c r="Z127" s="323">
        <f t="shared" ref="Z127:AE127" si="307">Z114/Z123*1000</f>
        <v>6.3028028205797089</v>
      </c>
      <c r="AA127" s="323">
        <f t="shared" si="307"/>
        <v>6.4968483296337398</v>
      </c>
      <c r="AB127" s="324">
        <f t="shared" si="307"/>
        <v>6.2033116423153016</v>
      </c>
      <c r="AC127" s="325">
        <f t="shared" si="307"/>
        <v>6.0449044585987259</v>
      </c>
      <c r="AD127" s="322">
        <f t="shared" si="307"/>
        <v>6.9635013918042636</v>
      </c>
      <c r="AE127" s="323">
        <f t="shared" si="307"/>
        <v>7.6432470768840206</v>
      </c>
      <c r="AF127" s="323">
        <f t="shared" ref="AF127:AK127" si="308">AF114/AF123*1000</f>
        <v>6.7033813415043824</v>
      </c>
      <c r="AG127" s="324">
        <f t="shared" si="308"/>
        <v>7.5855434055185862</v>
      </c>
      <c r="AH127" s="325">
        <f t="shared" si="308"/>
        <v>7.2327207606702766</v>
      </c>
      <c r="AI127" s="322">
        <f t="shared" si="308"/>
        <v>6.5855681658252774</v>
      </c>
      <c r="AJ127" s="323">
        <f t="shared" si="308"/>
        <v>5.9054680747986961</v>
      </c>
      <c r="AK127" s="323">
        <f t="shared" si="308"/>
        <v>5.2958399357292709</v>
      </c>
      <c r="AL127" s="324">
        <f t="shared" ref="AL127:AR127" si="309">AL114/AL123*1000</f>
        <v>4.9013169523701112</v>
      </c>
      <c r="AM127" s="325">
        <f t="shared" si="309"/>
        <v>5.873435666797028</v>
      </c>
      <c r="AN127" s="322">
        <f t="shared" si="309"/>
        <v>5.2106778774501814</v>
      </c>
      <c r="AO127" s="323">
        <f t="shared" si="309"/>
        <v>5.9790229452661192</v>
      </c>
      <c r="AP127" s="323">
        <f t="shared" si="309"/>
        <v>7.4742998219169126</v>
      </c>
      <c r="AQ127" s="324">
        <f t="shared" si="309"/>
        <v>5.0942488585519161</v>
      </c>
      <c r="AR127" s="325">
        <f t="shared" si="309"/>
        <v>5.4912580177943306</v>
      </c>
      <c r="AS127" s="322">
        <f t="shared" ref="AS127:AW127" si="310">AS114/AS123*1000</f>
        <v>5.6578704734812471</v>
      </c>
      <c r="AT127" s="323">
        <f t="shared" si="310"/>
        <v>6.8214569211264031</v>
      </c>
      <c r="AU127" s="323">
        <f t="shared" si="310"/>
        <v>7.0771997842254448</v>
      </c>
      <c r="AV127" s="324">
        <f t="shared" si="310"/>
        <v>5.2647827724800829</v>
      </c>
      <c r="AW127" s="325">
        <f t="shared" si="310"/>
        <v>5.8050481567585512</v>
      </c>
      <c r="AX127" s="322">
        <f>AS127+(AX129/AX123)*1000</f>
        <v>6.1599677583333197</v>
      </c>
      <c r="AY127" s="323">
        <f>AT127+(AY129/AY123)*1000</f>
        <v>7.3528007405799007</v>
      </c>
      <c r="AZ127" s="323">
        <f>AU127+(AZ129/AZ123)*1000</f>
        <v>7.3210619891452433</v>
      </c>
      <c r="BA127" s="324">
        <f>AV127+(BA129/BA123)*1000</f>
        <v>5.7119520595556397</v>
      </c>
      <c r="BB127" s="325">
        <f>BB114/BB123*1000</f>
        <v>6.263436213994563</v>
      </c>
      <c r="BC127" s="322">
        <f>AX127+(BC129/BC123)*1000</f>
        <v>6.4140594309848202</v>
      </c>
      <c r="BD127" s="323">
        <f>AY127+(BD129/BD123)*1000</f>
        <v>7.6216880046796032</v>
      </c>
      <c r="BE127" s="323">
        <f>AZ127+(BE129/BE123)*1000</f>
        <v>7.4444685345539456</v>
      </c>
      <c r="BF127" s="324">
        <f>BA127+(BF129/BF123)*1000</f>
        <v>5.938187075011891</v>
      </c>
      <c r="BG127" s="325">
        <f>BG114/BG123*1000</f>
        <v>6.4969731842410976</v>
      </c>
      <c r="BH127" s="322">
        <f>BC127+(BH129/BH123)*1000</f>
        <v>6.6686590462711477</v>
      </c>
      <c r="BI127" s="323">
        <f>BD127+(BI129/BI123)*1000</f>
        <v>7.8911078430047565</v>
      </c>
      <c r="BJ127" s="323">
        <f>BE127+(BJ129/BJ123)*1000</f>
        <v>7.5681192496862719</v>
      </c>
      <c r="BK127" s="324">
        <f>BF127+(BK129/BK123)*1000</f>
        <v>6.1648144094388089</v>
      </c>
      <c r="BL127" s="325">
        <f>BL114/BL123*1000</f>
        <v>6.7309528310069302</v>
      </c>
      <c r="BM127" s="322">
        <f>BH127+(BM129/BM123)*1000</f>
        <v>6.9237673615771138</v>
      </c>
      <c r="BN127" s="323">
        <f>BI127+(BN129/BN123)*1000</f>
        <v>8.1610610300726147</v>
      </c>
      <c r="BO127" s="323">
        <f>BJ127+(BO129/BO123)*1000</f>
        <v>7.6920144886198534</v>
      </c>
      <c r="BP127" s="324">
        <f>BK127+(BP129/BP123)*1000</f>
        <v>6.3918344399470497</v>
      </c>
      <c r="BQ127" s="325">
        <f>BQ114/BQ123*1000</f>
        <v>6.9653757196113846</v>
      </c>
    </row>
    <row r="128" spans="1:104" x14ac:dyDescent="0.2">
      <c r="C128" s="70"/>
      <c r="E128" s="273"/>
      <c r="F128" s="274"/>
      <c r="G128" s="274"/>
      <c r="H128" s="275"/>
      <c r="I128" s="169"/>
      <c r="J128" s="273"/>
      <c r="K128" s="274"/>
      <c r="L128" s="274"/>
      <c r="M128" s="275"/>
      <c r="N128" s="169"/>
      <c r="O128" s="273"/>
      <c r="P128" s="274"/>
      <c r="Q128" s="274"/>
      <c r="R128" s="275"/>
      <c r="S128" s="169"/>
      <c r="T128" s="273"/>
      <c r="U128" s="274"/>
      <c r="V128" s="274"/>
      <c r="W128" s="275"/>
      <c r="X128" s="169"/>
      <c r="Y128" s="273"/>
      <c r="Z128" s="274"/>
      <c r="AA128" s="274"/>
      <c r="AB128" s="275"/>
      <c r="AC128" s="169"/>
      <c r="AD128" s="273"/>
      <c r="AE128" s="274"/>
      <c r="AF128" s="274"/>
      <c r="AG128" s="275"/>
      <c r="AH128" s="169"/>
      <c r="AI128" s="273"/>
      <c r="AJ128" s="274"/>
      <c r="AK128" s="274"/>
      <c r="AL128" s="275"/>
      <c r="AM128" s="169"/>
      <c r="AN128" s="273"/>
      <c r="AO128" s="274"/>
      <c r="AP128" s="274"/>
      <c r="AQ128" s="275"/>
      <c r="AR128" s="169"/>
      <c r="AS128" s="273"/>
      <c r="AT128" s="274"/>
      <c r="AU128" s="274"/>
      <c r="AV128" s="275"/>
      <c r="AW128" s="169"/>
      <c r="AX128" s="273"/>
      <c r="AY128" s="274"/>
      <c r="AZ128" s="274"/>
      <c r="BA128" s="275"/>
      <c r="BB128" s="169"/>
      <c r="BC128" s="273"/>
      <c r="BD128" s="274"/>
      <c r="BE128" s="274"/>
      <c r="BF128" s="275"/>
      <c r="BG128" s="169"/>
      <c r="BH128" s="273"/>
      <c r="BI128" s="274"/>
      <c r="BJ128" s="274"/>
      <c r="BK128" s="275"/>
      <c r="BL128" s="169"/>
      <c r="BM128" s="273"/>
      <c r="BN128" s="274"/>
      <c r="BO128" s="274"/>
      <c r="BP128" s="275"/>
      <c r="BQ128" s="169"/>
    </row>
    <row r="129" spans="1:104" x14ac:dyDescent="0.2">
      <c r="C129" s="20" t="s">
        <v>281</v>
      </c>
      <c r="E129" s="160"/>
      <c r="F129" s="164"/>
      <c r="G129" s="164"/>
      <c r="H129" s="162"/>
      <c r="I129" s="522"/>
      <c r="J129" s="160"/>
      <c r="K129" s="164"/>
      <c r="L129" s="164"/>
      <c r="M129" s="162"/>
      <c r="N129" s="522"/>
      <c r="O129" s="136"/>
      <c r="P129" s="135"/>
      <c r="Q129" s="135"/>
      <c r="R129" s="116"/>
      <c r="S129" s="82"/>
      <c r="T129" s="136"/>
      <c r="U129" s="135"/>
      <c r="V129" s="135"/>
      <c r="W129" s="116"/>
      <c r="X129" s="82"/>
      <c r="Y129" s="136"/>
      <c r="Z129" s="135"/>
      <c r="AA129" s="135"/>
      <c r="AB129" s="116"/>
      <c r="AC129" s="82"/>
      <c r="AD129" s="136"/>
      <c r="AE129" s="135"/>
      <c r="AF129" s="135"/>
      <c r="AG129" s="116"/>
      <c r="AH129" s="82"/>
      <c r="AI129" s="136"/>
      <c r="AJ129" s="135"/>
      <c r="AK129" s="135"/>
      <c r="AL129" s="116"/>
      <c r="AM129" s="82"/>
      <c r="AN129" s="136"/>
      <c r="AO129" s="135"/>
      <c r="AP129" s="135"/>
      <c r="AQ129" s="116"/>
      <c r="AR129" s="82"/>
      <c r="AS129" s="136"/>
      <c r="AT129" s="135"/>
      <c r="AU129" s="135"/>
      <c r="AV129" s="116"/>
      <c r="AW129" s="82"/>
      <c r="AX129" s="136">
        <f>+AX64</f>
        <v>4.4550000000000001</v>
      </c>
      <c r="AY129" s="135">
        <f>+AY64</f>
        <v>1.4850000000000001</v>
      </c>
      <c r="AZ129" s="135">
        <f>+AZ64</f>
        <v>0.49500000000000005</v>
      </c>
      <c r="BA129" s="116">
        <f>+BA64</f>
        <v>3.4649999999999999</v>
      </c>
      <c r="BB129" s="82">
        <f>SUM(AX129:BA129)</f>
        <v>9.9</v>
      </c>
      <c r="BC129" s="136">
        <f>+BC64</f>
        <v>2.25</v>
      </c>
      <c r="BD129" s="135">
        <f>+BD64</f>
        <v>0.75</v>
      </c>
      <c r="BE129" s="135">
        <f>+BE64</f>
        <v>0.25</v>
      </c>
      <c r="BF129" s="116">
        <f>+BF64</f>
        <v>1.75</v>
      </c>
      <c r="BG129" s="82">
        <f>SUM(BC129:BF129)</f>
        <v>5</v>
      </c>
      <c r="BH129" s="136">
        <f>+BH64</f>
        <v>2.25</v>
      </c>
      <c r="BI129" s="135">
        <f>+BI64</f>
        <v>0.75</v>
      </c>
      <c r="BJ129" s="135">
        <f>+BJ64</f>
        <v>0.25</v>
      </c>
      <c r="BK129" s="116">
        <f>+BK64</f>
        <v>1.75</v>
      </c>
      <c r="BL129" s="82">
        <f>SUM(BH129:BK129)</f>
        <v>5</v>
      </c>
      <c r="BM129" s="136">
        <f>+BM64</f>
        <v>2.25</v>
      </c>
      <c r="BN129" s="135">
        <f>+BN64</f>
        <v>0.75</v>
      </c>
      <c r="BO129" s="135">
        <f>+BO64</f>
        <v>0.25</v>
      </c>
      <c r="BP129" s="116">
        <f>+BP64</f>
        <v>1.75</v>
      </c>
      <c r="BQ129" s="82">
        <f>SUM(BM129:BP129)</f>
        <v>5</v>
      </c>
    </row>
    <row r="130" spans="1:104" x14ac:dyDescent="0.2">
      <c r="C130" s="26"/>
      <c r="E130" s="273"/>
      <c r="F130" s="274"/>
      <c r="G130" s="274"/>
      <c r="H130" s="275"/>
      <c r="I130" s="169"/>
      <c r="J130" s="273"/>
      <c r="K130" s="274"/>
      <c r="L130" s="274"/>
      <c r="M130" s="275"/>
      <c r="N130" s="169"/>
      <c r="O130" s="273"/>
      <c r="P130" s="274"/>
      <c r="Q130" s="274"/>
      <c r="R130" s="275"/>
      <c r="S130" s="169"/>
      <c r="T130" s="273"/>
      <c r="U130" s="274"/>
      <c r="V130" s="274"/>
      <c r="W130" s="275"/>
      <c r="X130" s="169"/>
      <c r="Y130" s="273"/>
      <c r="Z130" s="274"/>
      <c r="AA130" s="274"/>
      <c r="AB130" s="275"/>
      <c r="AC130" s="169"/>
      <c r="AD130" s="273"/>
      <c r="AE130" s="274"/>
      <c r="AF130" s="274"/>
      <c r="AG130" s="275"/>
      <c r="AH130" s="169"/>
      <c r="AI130" s="273"/>
      <c r="AJ130" s="274"/>
      <c r="AK130" s="274"/>
      <c r="AL130" s="275"/>
      <c r="AM130" s="169"/>
      <c r="AN130" s="273"/>
      <c r="AO130" s="274"/>
      <c r="AP130" s="274"/>
      <c r="AQ130" s="275"/>
      <c r="AR130" s="169"/>
      <c r="AS130" s="273"/>
      <c r="AT130" s="274"/>
      <c r="AU130" s="274"/>
      <c r="AV130" s="275"/>
      <c r="AW130" s="169"/>
      <c r="AX130" s="273"/>
      <c r="AY130" s="274"/>
      <c r="AZ130" s="274"/>
      <c r="BA130" s="275"/>
      <c r="BB130" s="169"/>
      <c r="BC130" s="273"/>
      <c r="BD130" s="274"/>
      <c r="BE130" s="274"/>
      <c r="BF130" s="275"/>
      <c r="BG130" s="169"/>
      <c r="BH130" s="273"/>
      <c r="BI130" s="274"/>
      <c r="BJ130" s="274"/>
      <c r="BK130" s="275"/>
      <c r="BL130" s="169"/>
      <c r="BM130" s="273"/>
      <c r="BN130" s="274"/>
      <c r="BO130" s="274"/>
      <c r="BP130" s="275"/>
      <c r="BQ130" s="169"/>
    </row>
    <row r="131" spans="1:104" x14ac:dyDescent="0.2">
      <c r="C131" s="26" t="s">
        <v>431</v>
      </c>
      <c r="E131" s="273"/>
      <c r="F131" s="274"/>
      <c r="G131" s="274"/>
      <c r="H131" s="275"/>
      <c r="I131" s="169"/>
      <c r="J131" s="273"/>
      <c r="K131" s="274"/>
      <c r="L131" s="274"/>
      <c r="M131" s="275"/>
      <c r="N131" s="169"/>
      <c r="O131" s="273"/>
      <c r="P131" s="274"/>
      <c r="Q131" s="274"/>
      <c r="R131" s="275"/>
      <c r="S131" s="169"/>
      <c r="T131" s="273"/>
      <c r="U131" s="274"/>
      <c r="V131" s="274"/>
      <c r="W131" s="275"/>
      <c r="X131" s="169"/>
      <c r="Y131" s="273"/>
      <c r="Z131" s="274"/>
      <c r="AA131" s="274"/>
      <c r="AB131" s="275"/>
      <c r="AC131" s="169"/>
      <c r="AD131" s="273"/>
      <c r="AE131" s="274"/>
      <c r="AF131" s="274"/>
      <c r="AG131" s="275"/>
      <c r="AH131" s="169"/>
      <c r="AI131" s="273"/>
      <c r="AJ131" s="274"/>
      <c r="AK131" s="274"/>
      <c r="AL131" s="275"/>
      <c r="AM131" s="169"/>
      <c r="AN131" s="273"/>
      <c r="AO131" s="274"/>
      <c r="AP131" s="274"/>
      <c r="AQ131" s="275"/>
      <c r="AR131" s="169"/>
      <c r="AS131" s="273"/>
      <c r="AT131" s="274"/>
      <c r="AU131" s="274"/>
      <c r="AV131" s="275"/>
      <c r="AW131" s="169"/>
      <c r="AX131" s="273"/>
      <c r="AY131" s="274"/>
      <c r="AZ131" s="274"/>
      <c r="BA131" s="275"/>
      <c r="BB131" s="169"/>
      <c r="BC131" s="273"/>
      <c r="BD131" s="274"/>
      <c r="BE131" s="274"/>
      <c r="BF131" s="275"/>
      <c r="BG131" s="169"/>
      <c r="BH131" s="273"/>
      <c r="BI131" s="274"/>
      <c r="BJ131" s="274"/>
      <c r="BK131" s="275"/>
      <c r="BL131" s="169"/>
      <c r="BM131" s="273"/>
      <c r="BN131" s="274"/>
      <c r="BO131" s="274"/>
      <c r="BP131" s="275"/>
      <c r="BQ131" s="169"/>
    </row>
    <row r="132" spans="1:104" s="20" customFormat="1" x14ac:dyDescent="0.2">
      <c r="C132" s="20" t="s">
        <v>282</v>
      </c>
      <c r="E132" s="136">
        <f>E14</f>
        <v>48.131999999999998</v>
      </c>
      <c r="F132" s="135">
        <f t="shared" ref="F132:P132" si="311">F14</f>
        <v>10.492000000000001</v>
      </c>
      <c r="G132" s="135">
        <f t="shared" si="311"/>
        <v>6.1740000000000004</v>
      </c>
      <c r="H132" s="116">
        <f t="shared" si="311"/>
        <v>25.519999999999996</v>
      </c>
      <c r="I132" s="82">
        <f t="shared" si="311"/>
        <v>90.317999999999998</v>
      </c>
      <c r="J132" s="136">
        <f t="shared" si="311"/>
        <v>36.078000000000003</v>
      </c>
      <c r="K132" s="135">
        <f t="shared" si="311"/>
        <v>8.6229999999999993</v>
      </c>
      <c r="L132" s="135">
        <f>L14</f>
        <v>6.4939999999999998</v>
      </c>
      <c r="M132" s="116">
        <f>M14</f>
        <v>26.981000000000002</v>
      </c>
      <c r="N132" s="82">
        <f>N14</f>
        <v>78.176000000000002</v>
      </c>
      <c r="O132" s="136">
        <f t="shared" si="311"/>
        <v>37.264000000000003</v>
      </c>
      <c r="P132" s="135">
        <f t="shared" si="311"/>
        <v>12.081</v>
      </c>
      <c r="Q132" s="135">
        <f t="shared" ref="Q132:Y132" si="312">Q14</f>
        <v>7.4720000000000004</v>
      </c>
      <c r="R132" s="116">
        <f t="shared" si="312"/>
        <v>21.390999999999998</v>
      </c>
      <c r="S132" s="82">
        <f t="shared" si="312"/>
        <v>78.207999999999998</v>
      </c>
      <c r="T132" s="136">
        <f t="shared" si="312"/>
        <v>26.879000000000001</v>
      </c>
      <c r="U132" s="135">
        <f t="shared" si="312"/>
        <v>7.1230000000000002</v>
      </c>
      <c r="V132" s="135">
        <f t="shared" si="312"/>
        <v>5.6559999999999997</v>
      </c>
      <c r="W132" s="116">
        <f t="shared" si="312"/>
        <v>21.711999999999996</v>
      </c>
      <c r="X132" s="82">
        <f t="shared" si="312"/>
        <v>61.37</v>
      </c>
      <c r="Y132" s="136">
        <f t="shared" si="312"/>
        <v>30.984999999999999</v>
      </c>
      <c r="Z132" s="135">
        <f t="shared" ref="Z132:AE132" si="313">Z14</f>
        <v>14.302</v>
      </c>
      <c r="AA132" s="135">
        <f t="shared" si="313"/>
        <v>7.4829999999999997</v>
      </c>
      <c r="AB132" s="116">
        <f t="shared" si="313"/>
        <v>28.802000000000007</v>
      </c>
      <c r="AC132" s="82">
        <f t="shared" si="313"/>
        <v>81.572000000000003</v>
      </c>
      <c r="AD132" s="136">
        <f t="shared" si="313"/>
        <v>51.142000000000003</v>
      </c>
      <c r="AE132" s="135">
        <f t="shared" si="313"/>
        <v>19.193999999999999</v>
      </c>
      <c r="AF132" s="135">
        <f t="shared" ref="AF132:AM132" si="314">AF14</f>
        <v>7.8540000000000001</v>
      </c>
      <c r="AG132" s="116">
        <f t="shared" si="314"/>
        <v>36.06</v>
      </c>
      <c r="AH132" s="82">
        <f t="shared" si="314"/>
        <v>114.25</v>
      </c>
      <c r="AI132" s="136">
        <f t="shared" si="314"/>
        <v>42.438000000000002</v>
      </c>
      <c r="AJ132" s="135">
        <f t="shared" si="314"/>
        <v>8.1199999999999992</v>
      </c>
      <c r="AK132" s="135">
        <f t="shared" si="314"/>
        <v>4.375</v>
      </c>
      <c r="AL132" s="116">
        <f t="shared" si="314"/>
        <v>16.055</v>
      </c>
      <c r="AM132" s="82">
        <f t="shared" si="314"/>
        <v>70.988</v>
      </c>
      <c r="AN132" s="136">
        <f t="shared" ref="AN132:AR132" si="315">AN14</f>
        <v>23.417999999999999</v>
      </c>
      <c r="AO132" s="135">
        <f t="shared" si="315"/>
        <v>6.4649999999999999</v>
      </c>
      <c r="AP132" s="135">
        <f t="shared" si="315"/>
        <v>6.0810000000000004</v>
      </c>
      <c r="AQ132" s="116">
        <f t="shared" si="315"/>
        <v>18.472000000000001</v>
      </c>
      <c r="AR132" s="82">
        <f t="shared" si="315"/>
        <v>54.436</v>
      </c>
      <c r="AS132" s="136">
        <f t="shared" ref="AS132:AW132" si="316">AS14</f>
        <v>25.986999999999998</v>
      </c>
      <c r="AT132" s="135">
        <f t="shared" si="316"/>
        <v>8.5630000000000006</v>
      </c>
      <c r="AU132" s="135">
        <f t="shared" si="316"/>
        <v>6.032</v>
      </c>
      <c r="AV132" s="116">
        <f t="shared" si="316"/>
        <v>21.677000000000007</v>
      </c>
      <c r="AW132" s="82">
        <f t="shared" si="316"/>
        <v>62.259</v>
      </c>
      <c r="AX132" s="136">
        <f>+AX133*AX120/1000</f>
        <v>27.247369499999994</v>
      </c>
      <c r="AY132" s="135">
        <f>+AY133*AY120/1000</f>
        <v>8.5844074999999993</v>
      </c>
      <c r="AZ132" s="135">
        <f>+AZ133*AZ120/1000</f>
        <v>6.0169199999999998</v>
      </c>
      <c r="BA132" s="116">
        <f>+BA133*BA120/1000</f>
        <v>21.839577500000008</v>
      </c>
      <c r="BB132" s="82">
        <f>SUM(AX132:BA132)</f>
        <v>63.688274500000006</v>
      </c>
      <c r="BC132" s="136">
        <f>+BC133*BC120/1000</f>
        <v>27.179251076249994</v>
      </c>
      <c r="BD132" s="135">
        <f>+BD133*BD120/1000</f>
        <v>8.5629464812499982</v>
      </c>
      <c r="BE132" s="135">
        <f>+BE133*BE120/1000</f>
        <v>6.0018777000000005</v>
      </c>
      <c r="BF132" s="116">
        <f>+BF133*BF120/1000</f>
        <v>21.784978556250007</v>
      </c>
      <c r="BG132" s="82">
        <f>SUM(BC132:BF132)</f>
        <v>63.529053813749996</v>
      </c>
      <c r="BH132" s="136">
        <f>+BH133*BH120/1000</f>
        <v>27.11130294855937</v>
      </c>
      <c r="BI132" s="135">
        <f>+BI133*BI120/1000</f>
        <v>8.5415391150468754</v>
      </c>
      <c r="BJ132" s="135">
        <f>+BJ133*BJ120/1000</f>
        <v>5.9868730057500006</v>
      </c>
      <c r="BK132" s="116">
        <f>+BK133*BK120/1000</f>
        <v>21.73051610985938</v>
      </c>
      <c r="BL132" s="82">
        <f>SUM(BH132:BK132)</f>
        <v>63.370231179215622</v>
      </c>
      <c r="BM132" s="136">
        <f>+BM133*BM120/1000</f>
        <v>27.043524691187972</v>
      </c>
      <c r="BN132" s="135">
        <f>+BN133*BN120/1000</f>
        <v>8.5201852672592597</v>
      </c>
      <c r="BO132" s="135">
        <f>+BO133*BO120/1000</f>
        <v>5.9719058232356268</v>
      </c>
      <c r="BP132" s="116">
        <f>+BP133*BP120/1000</f>
        <v>21.676189819584735</v>
      </c>
      <c r="BQ132" s="82">
        <f>SUM(BM132:BP132)</f>
        <v>63.211805601267599</v>
      </c>
    </row>
    <row r="133" spans="1:104" x14ac:dyDescent="0.2">
      <c r="C133" s="20" t="s">
        <v>283</v>
      </c>
      <c r="E133" s="322">
        <f>+E132/E120*1000</f>
        <v>6.36009710932119</v>
      </c>
      <c r="F133" s="323">
        <f t="shared" ref="F133:Q133" si="317">+F132/F120*1000</f>
        <v>4.9790191495569829</v>
      </c>
      <c r="G133" s="323">
        <f t="shared" si="317"/>
        <v>4.378339298718962</v>
      </c>
      <c r="H133" s="324">
        <f t="shared" si="317"/>
        <v>5.8055086648975891</v>
      </c>
      <c r="I133" s="325">
        <f t="shared" si="317"/>
        <v>5.834119242942962</v>
      </c>
      <c r="J133" s="322">
        <f t="shared" si="317"/>
        <v>5.7700247556573103</v>
      </c>
      <c r="K133" s="323">
        <f t="shared" si="317"/>
        <v>4.6461027157926758</v>
      </c>
      <c r="L133" s="323">
        <f t="shared" si="317"/>
        <v>4.3876634385375004</v>
      </c>
      <c r="M133" s="324">
        <f>+M132/M120*1000</f>
        <v>5.6774404634518332</v>
      </c>
      <c r="N133" s="325">
        <f t="shared" si="317"/>
        <v>5.451223764033192</v>
      </c>
      <c r="O133" s="322">
        <f t="shared" si="317"/>
        <v>5.5309411410762745</v>
      </c>
      <c r="P133" s="323">
        <f t="shared" si="317"/>
        <v>4.8240503264151942</v>
      </c>
      <c r="Q133" s="323">
        <f t="shared" si="317"/>
        <v>4.4557301385147063</v>
      </c>
      <c r="R133" s="324">
        <f t="shared" ref="R133:Y133" si="318">+R132/R120*1000</f>
        <v>5.1814757167847505</v>
      </c>
      <c r="S133" s="325">
        <f t="shared" si="318"/>
        <v>5.1975809131388315</v>
      </c>
      <c r="T133" s="322">
        <f t="shared" si="318"/>
        <v>4.6770675433845366</v>
      </c>
      <c r="U133" s="323">
        <f t="shared" si="318"/>
        <v>3.8384305035762796</v>
      </c>
      <c r="V133" s="323">
        <f t="shared" si="318"/>
        <v>3.4172304280376116</v>
      </c>
      <c r="W133" s="324">
        <f t="shared" si="318"/>
        <v>4.6431110922698</v>
      </c>
      <c r="X133" s="325">
        <f t="shared" si="318"/>
        <v>4.4043347208267543</v>
      </c>
      <c r="Y133" s="322">
        <f t="shared" si="318"/>
        <v>4.4301808629326125</v>
      </c>
      <c r="Z133" s="323">
        <f t="shared" ref="Z133:AF133" si="319">+Z132/Z120*1000</f>
        <v>4.6427940933027019</v>
      </c>
      <c r="AA133" s="323">
        <f t="shared" si="319"/>
        <v>4.3098794320524583</v>
      </c>
      <c r="AB133" s="324">
        <f t="shared" si="319"/>
        <v>4.9443687108838832</v>
      </c>
      <c r="AC133" s="325">
        <f t="shared" si="319"/>
        <v>4.6253118621002498</v>
      </c>
      <c r="AD133" s="322">
        <f t="shared" si="319"/>
        <v>6.1036672031811303</v>
      </c>
      <c r="AE133" s="323">
        <f t="shared" si="319"/>
        <v>6.2811109930240452</v>
      </c>
      <c r="AF133" s="323">
        <f t="shared" si="319"/>
        <v>4.5971129491535843</v>
      </c>
      <c r="AG133" s="324">
        <f t="shared" ref="AG133:AM133" si="320">+AG132/AG120*1000</f>
        <v>6.4614271611166396</v>
      </c>
      <c r="AH133" s="325">
        <f t="shared" si="320"/>
        <v>6.1017944883571884</v>
      </c>
      <c r="AI133" s="322">
        <f t="shared" si="320"/>
        <v>5.584197368026099</v>
      </c>
      <c r="AJ133" s="323">
        <f t="shared" si="320"/>
        <v>3.5908336546158321</v>
      </c>
      <c r="AK133" s="323">
        <f t="shared" si="320"/>
        <v>2.642704216836909</v>
      </c>
      <c r="AL133" s="324">
        <f t="shared" si="320"/>
        <v>3.8376721166996877</v>
      </c>
      <c r="AM133" s="325">
        <f t="shared" si="320"/>
        <v>4.5215286624203817</v>
      </c>
      <c r="AN133" s="322">
        <f t="shared" ref="AN133:AR133" si="321">+AN132/AN120*1000</f>
        <v>3.5872569772383462</v>
      </c>
      <c r="AO133" s="323">
        <f t="shared" si="321"/>
        <v>3.0544423888851204</v>
      </c>
      <c r="AP133" s="323">
        <f t="shared" si="321"/>
        <v>4.2123943230891854</v>
      </c>
      <c r="AQ133" s="324">
        <f t="shared" si="321"/>
        <v>4.2013271316908112</v>
      </c>
      <c r="AR133" s="325">
        <f t="shared" si="321"/>
        <v>3.7580945806006216</v>
      </c>
      <c r="AS133" s="322">
        <f t="shared" ref="AS133:AW133" si="322">+AS132/AS120*1000</f>
        <v>3.8461700697424996</v>
      </c>
      <c r="AT133" s="323">
        <f t="shared" si="322"/>
        <v>3.8825909149106863</v>
      </c>
      <c r="AU133" s="323">
        <f t="shared" si="322"/>
        <v>3.7508539794866791</v>
      </c>
      <c r="AV133" s="324">
        <f t="shared" si="322"/>
        <v>4.0671660341392872</v>
      </c>
      <c r="AW133" s="325">
        <f t="shared" si="322"/>
        <v>3.9156603773584906</v>
      </c>
      <c r="AX133" s="322">
        <f>+AS133</f>
        <v>3.8461700697424996</v>
      </c>
      <c r="AY133" s="323">
        <f>+AT133</f>
        <v>3.8825909149106863</v>
      </c>
      <c r="AZ133" s="323">
        <f>+AU133</f>
        <v>3.7508539794866791</v>
      </c>
      <c r="BA133" s="324">
        <f>+AV133</f>
        <v>4.0671660341392872</v>
      </c>
      <c r="BB133" s="325">
        <f>+BB132/BB120*1000</f>
        <v>3.9146624654887945</v>
      </c>
      <c r="BC133" s="322">
        <f>+AX133</f>
        <v>3.8461700697424996</v>
      </c>
      <c r="BD133" s="323">
        <f>+AY133</f>
        <v>3.8825909149106863</v>
      </c>
      <c r="BE133" s="323">
        <f>+AZ133</f>
        <v>3.7508539794866791</v>
      </c>
      <c r="BF133" s="324">
        <f>+BA133</f>
        <v>4.0671660341392872</v>
      </c>
      <c r="BG133" s="325">
        <f>+BG132/BG120*1000</f>
        <v>3.9146624654887936</v>
      </c>
      <c r="BH133" s="322">
        <f>+BC133</f>
        <v>3.8461700697424996</v>
      </c>
      <c r="BI133" s="323">
        <f>+BD133</f>
        <v>3.8825909149106863</v>
      </c>
      <c r="BJ133" s="323">
        <f>+BE133</f>
        <v>3.7508539794866791</v>
      </c>
      <c r="BK133" s="324">
        <f>+BF133</f>
        <v>4.0671660341392872</v>
      </c>
      <c r="BL133" s="325">
        <f>+BL132/BL120*1000</f>
        <v>3.9146624654887945</v>
      </c>
      <c r="BM133" s="322">
        <f>+BH133</f>
        <v>3.8461700697424996</v>
      </c>
      <c r="BN133" s="323">
        <f>+BI133</f>
        <v>3.8825909149106863</v>
      </c>
      <c r="BO133" s="323">
        <f>+BJ133</f>
        <v>3.7508539794866791</v>
      </c>
      <c r="BP133" s="324">
        <f>+BK133</f>
        <v>4.0671660341392872</v>
      </c>
      <c r="BQ133" s="325">
        <f>+BQ132/BQ120*1000</f>
        <v>3.9146624654887954</v>
      </c>
    </row>
    <row r="134" spans="1:104" x14ac:dyDescent="0.2">
      <c r="C134" s="26"/>
      <c r="E134" s="273"/>
      <c r="F134" s="274"/>
      <c r="G134" s="274"/>
      <c r="H134" s="275"/>
      <c r="I134" s="169"/>
      <c r="J134" s="273"/>
      <c r="K134" s="274"/>
      <c r="L134" s="274"/>
      <c r="M134" s="275"/>
      <c r="N134" s="169"/>
      <c r="O134" s="273"/>
      <c r="P134" s="274"/>
      <c r="Q134" s="274"/>
      <c r="R134" s="275"/>
      <c r="S134" s="169"/>
      <c r="T134" s="273"/>
      <c r="U134" s="274"/>
      <c r="V134" s="274"/>
      <c r="W134" s="275"/>
      <c r="X134" s="169"/>
      <c r="Y134" s="273"/>
      <c r="Z134" s="274"/>
      <c r="AA134" s="274"/>
      <c r="AB134" s="275"/>
      <c r="AC134" s="169"/>
      <c r="AD134" s="273"/>
      <c r="AE134" s="274"/>
      <c r="AF134" s="274"/>
      <c r="AG134" s="275"/>
      <c r="AH134" s="169"/>
      <c r="AI134" s="273"/>
      <c r="AJ134" s="274"/>
      <c r="AK134" s="274"/>
      <c r="AL134" s="275"/>
      <c r="AM134" s="169"/>
      <c r="AN134" s="273"/>
      <c r="AO134" s="274"/>
      <c r="AP134" s="274"/>
      <c r="AQ134" s="275"/>
      <c r="AR134" s="169"/>
      <c r="AS134" s="273"/>
      <c r="AT134" s="274"/>
      <c r="AU134" s="274"/>
      <c r="AV134" s="275"/>
      <c r="AW134" s="169"/>
      <c r="AX134" s="273"/>
      <c r="AY134" s="274"/>
      <c r="AZ134" s="274"/>
      <c r="BA134" s="275"/>
      <c r="BB134" s="169"/>
      <c r="BC134" s="273"/>
      <c r="BD134" s="274"/>
      <c r="BE134" s="274"/>
      <c r="BF134" s="275"/>
      <c r="BG134" s="169"/>
      <c r="BH134" s="273"/>
      <c r="BI134" s="274"/>
      <c r="BJ134" s="274"/>
      <c r="BK134" s="275"/>
      <c r="BL134" s="169"/>
      <c r="BM134" s="273"/>
      <c r="BN134" s="274"/>
      <c r="BO134" s="274"/>
      <c r="BP134" s="275"/>
      <c r="BQ134" s="169"/>
    </row>
    <row r="135" spans="1:104" x14ac:dyDescent="0.2">
      <c r="C135" s="26" t="s">
        <v>284</v>
      </c>
      <c r="E135" s="121">
        <f t="shared" ref="E135:P135" si="323">+E114-E132</f>
        <v>16.178000000000004</v>
      </c>
      <c r="F135" s="122">
        <f t="shared" si="323"/>
        <v>7.4149999999999991</v>
      </c>
      <c r="G135" s="122">
        <f t="shared" si="323"/>
        <v>5.8090000000000002</v>
      </c>
      <c r="H135" s="123">
        <f t="shared" si="323"/>
        <v>11.835000000000008</v>
      </c>
      <c r="I135" s="86">
        <f t="shared" si="323"/>
        <v>41.237000000000009</v>
      </c>
      <c r="J135" s="121">
        <f t="shared" si="323"/>
        <v>15.402999999999999</v>
      </c>
      <c r="K135" s="122">
        <f t="shared" si="323"/>
        <v>6.6580000000000013</v>
      </c>
      <c r="L135" s="122">
        <f t="shared" si="323"/>
        <v>5.6920000000000002</v>
      </c>
      <c r="M135" s="123">
        <f t="shared" si="323"/>
        <v>12.146999999999984</v>
      </c>
      <c r="N135" s="86">
        <f t="shared" si="323"/>
        <v>39.899999999999991</v>
      </c>
      <c r="O135" s="326">
        <f t="shared" si="323"/>
        <v>16.218999999999994</v>
      </c>
      <c r="P135" s="327">
        <f t="shared" si="323"/>
        <v>7.7989999999999995</v>
      </c>
      <c r="Q135" s="327">
        <f t="shared" ref="Q135:Y135" si="324">+Q114-Q132</f>
        <v>5.839999999999999</v>
      </c>
      <c r="R135" s="123">
        <f t="shared" si="324"/>
        <v>11.381000000000007</v>
      </c>
      <c r="S135" s="86">
        <f t="shared" si="324"/>
        <v>41.239000000000004</v>
      </c>
      <c r="T135" s="326">
        <f t="shared" si="324"/>
        <v>14.612999999999996</v>
      </c>
      <c r="U135" s="327">
        <f t="shared" si="324"/>
        <v>7.7069999999999999</v>
      </c>
      <c r="V135" s="327">
        <f t="shared" si="324"/>
        <v>6.0860000000000012</v>
      </c>
      <c r="W135" s="123">
        <f t="shared" si="324"/>
        <v>13.324000000000005</v>
      </c>
      <c r="X135" s="86">
        <f t="shared" si="324"/>
        <v>41.73</v>
      </c>
      <c r="Y135" s="326">
        <f t="shared" si="324"/>
        <v>19.372</v>
      </c>
      <c r="Z135" s="327">
        <f t="shared" ref="Z135:AE135" si="325">+Z114-Z132</f>
        <v>10.253</v>
      </c>
      <c r="AA135" s="327">
        <f t="shared" si="325"/>
        <v>6.7830000000000004</v>
      </c>
      <c r="AB135" s="123">
        <f t="shared" si="325"/>
        <v>14.886999999999972</v>
      </c>
      <c r="AC135" s="86">
        <f t="shared" si="325"/>
        <v>51.294999999999987</v>
      </c>
      <c r="AD135" s="326">
        <f t="shared" si="325"/>
        <v>22.648999999999994</v>
      </c>
      <c r="AE135" s="327">
        <f t="shared" si="325"/>
        <v>10.345000000000002</v>
      </c>
      <c r="AF135" s="327">
        <f t="shared" ref="AF135:AM135" si="326">+AF114-AF132</f>
        <v>6.63</v>
      </c>
      <c r="AG135" s="123">
        <f t="shared" si="326"/>
        <v>15.754999999999995</v>
      </c>
      <c r="AH135" s="86">
        <f t="shared" si="326"/>
        <v>55.378999999999991</v>
      </c>
      <c r="AI135" s="326">
        <f t="shared" si="326"/>
        <v>20.857999999999997</v>
      </c>
      <c r="AJ135" s="327">
        <f t="shared" si="326"/>
        <v>8.7690000000000001</v>
      </c>
      <c r="AK135" s="327">
        <f t="shared" si="326"/>
        <v>6.7129999999999992</v>
      </c>
      <c r="AL135" s="123">
        <f t="shared" si="326"/>
        <v>12.81900000000001</v>
      </c>
      <c r="AM135" s="86">
        <f t="shared" si="326"/>
        <v>49.159000000000006</v>
      </c>
      <c r="AN135" s="326">
        <f t="shared" ref="AN135:AR135" si="327">+AN114-AN132</f>
        <v>19.602000000000004</v>
      </c>
      <c r="AO135" s="327">
        <f t="shared" si="327"/>
        <v>9.5399999999999991</v>
      </c>
      <c r="AP135" s="327">
        <f t="shared" si="327"/>
        <v>7.5650000000000004</v>
      </c>
      <c r="AQ135" s="123">
        <f t="shared" si="327"/>
        <v>15.013999999999989</v>
      </c>
      <c r="AR135" s="86">
        <f t="shared" si="327"/>
        <v>51.720999999999997</v>
      </c>
      <c r="AS135" s="326">
        <f t="shared" ref="AS135:AW135" si="328">+AS114-AS132</f>
        <v>22.360000000000003</v>
      </c>
      <c r="AT135" s="327">
        <f t="shared" si="328"/>
        <v>10.464</v>
      </c>
      <c r="AU135" s="327">
        <f t="shared" si="328"/>
        <v>8.3620000000000001</v>
      </c>
      <c r="AV135" s="123">
        <f t="shared" si="328"/>
        <v>18.907999999999987</v>
      </c>
      <c r="AW135" s="86">
        <f t="shared" si="328"/>
        <v>60.093999999999994</v>
      </c>
      <c r="AX135" s="326">
        <f t="shared" ref="AX135:BG135" si="329">+AX114-AX132</f>
        <v>27.408684598081994</v>
      </c>
      <c r="AY135" s="327">
        <f t="shared" si="329"/>
        <v>11.965204069758277</v>
      </c>
      <c r="AZ135" s="327">
        <f t="shared" si="329"/>
        <v>8.8436267002101907</v>
      </c>
      <c r="BA135" s="314">
        <f t="shared" si="329"/>
        <v>22.420872531793204</v>
      </c>
      <c r="BB135" s="93">
        <f t="shared" si="329"/>
        <v>70.63838789984365</v>
      </c>
      <c r="BC135" s="326">
        <f t="shared" si="329"/>
        <v>29.617705585566892</v>
      </c>
      <c r="BD135" s="327">
        <f t="shared" si="329"/>
        <v>12.696022487210108</v>
      </c>
      <c r="BE135" s="327">
        <f t="shared" si="329"/>
        <v>9.0793088567970983</v>
      </c>
      <c r="BF135" s="314">
        <f t="shared" si="329"/>
        <v>24.148792395666799</v>
      </c>
      <c r="BG135" s="93">
        <f t="shared" si="329"/>
        <v>75.541829325240897</v>
      </c>
      <c r="BH135" s="326">
        <f t="shared" ref="BH135:BQ135" si="330">+BH114-BH132</f>
        <v>31.822340125629026</v>
      </c>
      <c r="BI135" s="327">
        <f t="shared" si="330"/>
        <v>13.425406300126808</v>
      </c>
      <c r="BJ135" s="327">
        <f t="shared" si="330"/>
        <v>9.3145331397525961</v>
      </c>
      <c r="BK135" s="314">
        <f t="shared" si="330"/>
        <v>25.873738000965702</v>
      </c>
      <c r="BL135" s="93">
        <f t="shared" si="330"/>
        <v>80.436017566474121</v>
      </c>
      <c r="BM135" s="326">
        <f t="shared" si="330"/>
        <v>34.0226014555208</v>
      </c>
      <c r="BN135" s="327">
        <f t="shared" si="330"/>
        <v>14.153359872312871</v>
      </c>
      <c r="BO135" s="327">
        <f t="shared" si="330"/>
        <v>9.5493009536111639</v>
      </c>
      <c r="BP135" s="314">
        <f t="shared" si="330"/>
        <v>27.595719116667851</v>
      </c>
      <c r="BQ135" s="93">
        <f t="shared" si="330"/>
        <v>85.320981398112679</v>
      </c>
    </row>
    <row r="136" spans="1:104" x14ac:dyDescent="0.2">
      <c r="A136" s="45"/>
      <c r="B136" s="45"/>
      <c r="C136" s="45" t="s">
        <v>269</v>
      </c>
      <c r="D136" s="45"/>
      <c r="E136" s="328"/>
      <c r="F136" s="329"/>
      <c r="G136" s="329"/>
      <c r="H136" s="330"/>
      <c r="I136" s="331"/>
      <c r="J136" s="332">
        <f t="shared" ref="J136:Q136" si="331">+J135/E135-1</f>
        <v>-4.7904561750525709E-2</v>
      </c>
      <c r="K136" s="333">
        <f t="shared" si="331"/>
        <v>-0.10209035738368144</v>
      </c>
      <c r="L136" s="333">
        <f t="shared" si="331"/>
        <v>-2.0141160268548841E-2</v>
      </c>
      <c r="M136" s="334">
        <f t="shared" si="331"/>
        <v>2.6362484157159027E-2</v>
      </c>
      <c r="N136" s="46">
        <f t="shared" si="331"/>
        <v>-3.2422339161433111E-2</v>
      </c>
      <c r="O136" s="332">
        <f t="shared" si="331"/>
        <v>5.2976692852041429E-2</v>
      </c>
      <c r="P136" s="333">
        <f t="shared" si="331"/>
        <v>0.17137278462000571</v>
      </c>
      <c r="Q136" s="333">
        <f t="shared" si="331"/>
        <v>2.6001405481377082E-2</v>
      </c>
      <c r="R136" s="334">
        <f t="shared" ref="R136:Y136" si="332">+R135/M135-1</f>
        <v>-6.3060838067010572E-2</v>
      </c>
      <c r="S136" s="46">
        <f t="shared" si="332"/>
        <v>3.355889724310801E-2</v>
      </c>
      <c r="T136" s="332">
        <f t="shared" si="332"/>
        <v>-9.9019668290276752E-2</v>
      </c>
      <c r="U136" s="333">
        <f t="shared" si="332"/>
        <v>-1.1796384151814276E-2</v>
      </c>
      <c r="V136" s="333">
        <f t="shared" si="332"/>
        <v>4.2123287671233189E-2</v>
      </c>
      <c r="W136" s="334">
        <f t="shared" si="332"/>
        <v>0.17072313504964387</v>
      </c>
      <c r="X136" s="46">
        <f t="shared" si="332"/>
        <v>1.1906205291107641E-2</v>
      </c>
      <c r="Y136" s="332">
        <f t="shared" si="332"/>
        <v>0.32566892492985744</v>
      </c>
      <c r="Z136" s="333">
        <f t="shared" ref="Z136:AF136" si="333">+Z135/U135-1</f>
        <v>0.33034903334630861</v>
      </c>
      <c r="AA136" s="333">
        <f t="shared" si="333"/>
        <v>0.11452513966480438</v>
      </c>
      <c r="AB136" s="334">
        <f t="shared" si="333"/>
        <v>0.11730711498048385</v>
      </c>
      <c r="AC136" s="46">
        <f t="shared" si="333"/>
        <v>0.22921159837047678</v>
      </c>
      <c r="AD136" s="332">
        <f t="shared" si="333"/>
        <v>0.16916167664670634</v>
      </c>
      <c r="AE136" s="333">
        <f t="shared" si="333"/>
        <v>8.9729835170195837E-3</v>
      </c>
      <c r="AF136" s="333">
        <f t="shared" si="333"/>
        <v>-2.2556390977443663E-2</v>
      </c>
      <c r="AG136" s="334">
        <f t="shared" ref="AG136:AP136" si="334">+AG135/AB135-1</f>
        <v>5.8305904480420834E-2</v>
      </c>
      <c r="AH136" s="46">
        <f t="shared" si="334"/>
        <v>7.9617896481138484E-2</v>
      </c>
      <c r="AI136" s="332">
        <f t="shared" si="334"/>
        <v>-7.9076338911210131E-2</v>
      </c>
      <c r="AJ136" s="333">
        <f t="shared" si="334"/>
        <v>-0.15234412759787352</v>
      </c>
      <c r="AK136" s="333">
        <f t="shared" si="334"/>
        <v>1.2518853695324239E-2</v>
      </c>
      <c r="AL136" s="334">
        <f t="shared" si="334"/>
        <v>-0.18635353855918668</v>
      </c>
      <c r="AM136" s="46">
        <f t="shared" si="334"/>
        <v>-0.11231694324563435</v>
      </c>
      <c r="AN136" s="332">
        <f t="shared" si="334"/>
        <v>-6.0216703423146667E-2</v>
      </c>
      <c r="AO136" s="333">
        <f t="shared" si="334"/>
        <v>8.7923366404379033E-2</v>
      </c>
      <c r="AP136" s="333">
        <f t="shared" si="334"/>
        <v>0.12691792045285277</v>
      </c>
      <c r="AQ136" s="334">
        <f>+AQ135/AL135-1</f>
        <v>0.17123020516420762</v>
      </c>
      <c r="AR136" s="46">
        <f>+AR135/AM135-1</f>
        <v>5.2116601232734316E-2</v>
      </c>
      <c r="AS136" s="332">
        <f t="shared" ref="AS136" si="335">+AS135/AN135-1</f>
        <v>0.14069992857871649</v>
      </c>
      <c r="AT136" s="333">
        <f t="shared" ref="AT136" si="336">+AT135/AO135-1</f>
        <v>9.6855345911949886E-2</v>
      </c>
      <c r="AU136" s="333">
        <f t="shared" ref="AU136" si="337">+AU135/AP135-1</f>
        <v>0.10535360211500322</v>
      </c>
      <c r="AV136" s="334">
        <f>+AV135/AQ135-1</f>
        <v>0.25935793259624362</v>
      </c>
      <c r="AW136" s="46">
        <f>+AW135/AR135-1</f>
        <v>0.16188782119448586</v>
      </c>
      <c r="AX136" s="332">
        <f t="shared" ref="AX136:BB136" si="338">+AX135/AS135-1</f>
        <v>0.22579090331314799</v>
      </c>
      <c r="AY136" s="333">
        <f t="shared" si="338"/>
        <v>0.1434636916817924</v>
      </c>
      <c r="AZ136" s="333">
        <f t="shared" si="338"/>
        <v>5.7597070104064896E-2</v>
      </c>
      <c r="BA136" s="334">
        <f t="shared" si="338"/>
        <v>0.18578763125625231</v>
      </c>
      <c r="BB136" s="46">
        <f t="shared" si="338"/>
        <v>0.17546490331553333</v>
      </c>
      <c r="BC136" s="332">
        <f t="shared" ref="BC136:BL136" si="339">+BC135/AX135-1</f>
        <v>8.0595658634397882E-2</v>
      </c>
      <c r="BD136" s="333">
        <f t="shared" si="339"/>
        <v>6.1078642135235617E-2</v>
      </c>
      <c r="BE136" s="333">
        <f t="shared" si="339"/>
        <v>2.6649944030462835E-2</v>
      </c>
      <c r="BF136" s="334">
        <f t="shared" si="339"/>
        <v>7.7067467442374138E-2</v>
      </c>
      <c r="BG136" s="46">
        <f t="shared" si="339"/>
        <v>6.9416100383685286E-2</v>
      </c>
      <c r="BH136" s="332">
        <f t="shared" si="339"/>
        <v>7.4436371639013288E-2</v>
      </c>
      <c r="BI136" s="333">
        <f t="shared" si="339"/>
        <v>5.744978899111719E-2</v>
      </c>
      <c r="BJ136" s="333">
        <f t="shared" si="339"/>
        <v>2.5907730055840128E-2</v>
      </c>
      <c r="BK136" s="334">
        <f t="shared" si="339"/>
        <v>7.1429890863131673E-2</v>
      </c>
      <c r="BL136" s="46">
        <f t="shared" si="339"/>
        <v>6.4787790882870899E-2</v>
      </c>
      <c r="BM136" s="332">
        <f t="shared" ref="BM136" si="340">+BM135/BH135-1</f>
        <v>6.9142034218901749E-2</v>
      </c>
      <c r="BN136" s="333">
        <f t="shared" ref="BN136" si="341">+BN135/BI135-1</f>
        <v>5.4222088770541577E-2</v>
      </c>
      <c r="BO136" s="333">
        <f t="shared" ref="BO136" si="342">+BO135/BJ135-1</f>
        <v>2.5204463856231873E-2</v>
      </c>
      <c r="BP136" s="334">
        <f t="shared" ref="BP136" si="343">+BP135/BK135-1</f>
        <v>6.6553240804938074E-2</v>
      </c>
      <c r="BQ136" s="46">
        <f t="shared" ref="BQ136" si="344">+BQ135/BL135-1</f>
        <v>6.0731050335771641E-2</v>
      </c>
      <c r="BR136" s="45"/>
      <c r="BS136" s="45"/>
      <c r="BT136" s="45"/>
      <c r="BU136" s="45"/>
      <c r="BV136" s="45"/>
      <c r="BW136" s="45"/>
      <c r="BX136" s="45"/>
      <c r="BY136" s="45"/>
      <c r="BZ136" s="45"/>
      <c r="CA136" s="45"/>
      <c r="CB136" s="45"/>
      <c r="CC136" s="45"/>
      <c r="CD136" s="45"/>
      <c r="CE136" s="45"/>
      <c r="CF136" s="45"/>
      <c r="CG136" s="45"/>
      <c r="CH136" s="45"/>
      <c r="CI136" s="45"/>
      <c r="CJ136" s="45"/>
      <c r="CK136" s="45"/>
      <c r="CL136" s="45"/>
      <c r="CM136" s="45"/>
      <c r="CN136" s="45"/>
      <c r="CO136" s="45"/>
      <c r="CP136" s="45"/>
      <c r="CQ136" s="45"/>
      <c r="CR136" s="45"/>
      <c r="CS136" s="45"/>
      <c r="CT136" s="45"/>
      <c r="CU136" s="45"/>
      <c r="CV136" s="45"/>
      <c r="CW136" s="45"/>
      <c r="CX136" s="45"/>
      <c r="CY136" s="45"/>
      <c r="CZ136" s="45"/>
    </row>
    <row r="137" spans="1:104" x14ac:dyDescent="0.2">
      <c r="C137" s="26"/>
      <c r="E137" s="273"/>
      <c r="F137" s="274"/>
      <c r="G137" s="274"/>
      <c r="H137" s="275"/>
      <c r="I137" s="169"/>
      <c r="J137" s="273"/>
      <c r="K137" s="274"/>
      <c r="L137" s="274"/>
      <c r="M137" s="275"/>
      <c r="N137" s="169"/>
      <c r="O137" s="273"/>
      <c r="P137" s="274"/>
      <c r="Q137" s="274"/>
      <c r="R137" s="275"/>
      <c r="S137" s="169"/>
      <c r="T137" s="273"/>
      <c r="U137" s="274"/>
      <c r="V137" s="274"/>
      <c r="W137" s="275"/>
      <c r="X137" s="169"/>
      <c r="Y137" s="273"/>
      <c r="Z137" s="274"/>
      <c r="AA137" s="274"/>
      <c r="AB137" s="275"/>
      <c r="AC137" s="169"/>
      <c r="AD137" s="273"/>
      <c r="AE137" s="274"/>
      <c r="AF137" s="274"/>
      <c r="AG137" s="275"/>
      <c r="AH137" s="169"/>
      <c r="AI137" s="273"/>
      <c r="AJ137" s="274"/>
      <c r="AK137" s="274"/>
      <c r="AL137" s="275"/>
      <c r="AM137" s="169"/>
      <c r="AN137" s="273"/>
      <c r="AO137" s="274"/>
      <c r="AP137" s="274"/>
      <c r="AQ137" s="275"/>
      <c r="AR137" s="169"/>
      <c r="AS137" s="273"/>
      <c r="AT137" s="274"/>
      <c r="AU137" s="274"/>
      <c r="AV137" s="275"/>
      <c r="AW137" s="169"/>
      <c r="AX137" s="273"/>
      <c r="AY137" s="274"/>
      <c r="AZ137" s="274"/>
      <c r="BA137" s="275"/>
      <c r="BB137" s="169"/>
      <c r="BC137" s="273"/>
      <c r="BD137" s="274"/>
      <c r="BE137" s="274"/>
      <c r="BF137" s="275"/>
      <c r="BG137" s="169"/>
      <c r="BH137" s="273"/>
      <c r="BI137" s="274"/>
      <c r="BJ137" s="274"/>
      <c r="BK137" s="275"/>
      <c r="BL137" s="169"/>
      <c r="BM137" s="273"/>
      <c r="BN137" s="274"/>
      <c r="BO137" s="274"/>
      <c r="BP137" s="275"/>
      <c r="BQ137" s="169"/>
    </row>
    <row r="138" spans="1:104" x14ac:dyDescent="0.2">
      <c r="C138" s="26"/>
      <c r="E138" s="273"/>
      <c r="F138" s="274"/>
      <c r="G138" s="274"/>
      <c r="H138" s="275"/>
      <c r="I138" s="169"/>
      <c r="J138" s="273"/>
      <c r="K138" s="274"/>
      <c r="L138" s="274"/>
      <c r="M138" s="275"/>
      <c r="N138" s="169"/>
      <c r="O138" s="273"/>
      <c r="P138" s="274"/>
      <c r="Q138" s="274"/>
      <c r="R138" s="275"/>
      <c r="S138" s="169"/>
      <c r="T138" s="273"/>
      <c r="U138" s="274"/>
      <c r="V138" s="274"/>
      <c r="W138" s="275"/>
      <c r="X138" s="169"/>
      <c r="Y138" s="273"/>
      <c r="Z138" s="274"/>
      <c r="AA138" s="274"/>
      <c r="AB138" s="275"/>
      <c r="AC138" s="169"/>
      <c r="AD138" s="273"/>
      <c r="AE138" s="274"/>
      <c r="AF138" s="274"/>
      <c r="AG138" s="275"/>
      <c r="AH138" s="169"/>
      <c r="AI138" s="273"/>
      <c r="AJ138" s="274"/>
      <c r="AK138" s="274"/>
      <c r="AL138" s="275"/>
      <c r="AM138" s="169"/>
      <c r="AN138" s="273"/>
      <c r="AO138" s="274"/>
      <c r="AP138" s="274"/>
      <c r="AQ138" s="275"/>
      <c r="AR138" s="169"/>
      <c r="AS138" s="273"/>
      <c r="AT138" s="274"/>
      <c r="AU138" s="274"/>
      <c r="AV138" s="275"/>
      <c r="AW138" s="169"/>
      <c r="AX138" s="273"/>
      <c r="AY138" s="274"/>
      <c r="AZ138" s="274"/>
      <c r="BA138" s="275"/>
      <c r="BB138" s="169"/>
      <c r="BC138" s="273"/>
      <c r="BD138" s="274"/>
      <c r="BE138" s="274"/>
      <c r="BF138" s="275"/>
      <c r="BG138" s="169"/>
      <c r="BH138" s="273"/>
      <c r="BI138" s="274"/>
      <c r="BJ138" s="274"/>
      <c r="BK138" s="275"/>
      <c r="BL138" s="169"/>
      <c r="BM138" s="273"/>
      <c r="BN138" s="274"/>
      <c r="BO138" s="274"/>
      <c r="BP138" s="275"/>
      <c r="BQ138" s="169"/>
    </row>
    <row r="139" spans="1:104" x14ac:dyDescent="0.2">
      <c r="B139" s="16" t="s">
        <v>285</v>
      </c>
      <c r="C139" s="16"/>
      <c r="D139" s="17"/>
      <c r="E139" s="273"/>
      <c r="F139" s="274"/>
      <c r="G139" s="274"/>
      <c r="H139" s="275"/>
      <c r="I139" s="169"/>
      <c r="J139" s="273"/>
      <c r="K139" s="274"/>
      <c r="L139" s="274"/>
      <c r="M139" s="275"/>
      <c r="N139" s="169"/>
      <c r="O139" s="273"/>
      <c r="P139" s="274"/>
      <c r="Q139" s="274"/>
      <c r="R139" s="275"/>
      <c r="S139" s="169"/>
      <c r="T139" s="273"/>
      <c r="U139" s="274"/>
      <c r="V139" s="274"/>
      <c r="W139" s="275"/>
      <c r="X139" s="169"/>
      <c r="Y139" s="273"/>
      <c r="Z139" s="274"/>
      <c r="AA139" s="274"/>
      <c r="AB139" s="275"/>
      <c r="AC139" s="169"/>
      <c r="AD139" s="273"/>
      <c r="AE139" s="274"/>
      <c r="AF139" s="274"/>
      <c r="AG139" s="275"/>
      <c r="AH139" s="169"/>
      <c r="AI139" s="273"/>
      <c r="AJ139" s="274"/>
      <c r="AK139" s="274"/>
      <c r="AL139" s="275"/>
      <c r="AM139" s="169"/>
      <c r="AN139" s="273"/>
      <c r="AO139" s="274"/>
      <c r="AP139" s="274"/>
      <c r="AQ139" s="275"/>
      <c r="AR139" s="169"/>
      <c r="AS139" s="273"/>
      <c r="AT139" s="274"/>
      <c r="AU139" s="274"/>
      <c r="AV139" s="275"/>
      <c r="AW139" s="169"/>
      <c r="AX139" s="273"/>
      <c r="AY139" s="274"/>
      <c r="AZ139" s="274"/>
      <c r="BA139" s="275"/>
      <c r="BB139" s="169"/>
      <c r="BC139" s="273"/>
      <c r="BD139" s="274"/>
      <c r="BE139" s="274"/>
      <c r="BF139" s="275"/>
      <c r="BG139" s="169"/>
      <c r="BH139" s="273"/>
      <c r="BI139" s="274"/>
      <c r="BJ139" s="274"/>
      <c r="BK139" s="275"/>
      <c r="BL139" s="169"/>
      <c r="BM139" s="273"/>
      <c r="BN139" s="274"/>
      <c r="BO139" s="274"/>
      <c r="BP139" s="275"/>
      <c r="BQ139" s="169"/>
    </row>
    <row r="140" spans="1:104" s="20" customFormat="1" x14ac:dyDescent="0.2">
      <c r="A140" s="220"/>
      <c r="B140" s="220"/>
      <c r="C140" s="289" t="s">
        <v>286</v>
      </c>
      <c r="D140" s="82"/>
      <c r="E140" s="136">
        <f t="shared" ref="E140:P140" si="345">+E19</f>
        <v>34.14</v>
      </c>
      <c r="F140" s="135">
        <f t="shared" si="345"/>
        <v>36.567</v>
      </c>
      <c r="G140" s="135">
        <f t="shared" si="345"/>
        <v>34.874000000000002</v>
      </c>
      <c r="H140" s="116">
        <f t="shared" si="345"/>
        <v>40.167000000000002</v>
      </c>
      <c r="I140" s="82">
        <f t="shared" si="345"/>
        <v>145.74799999999999</v>
      </c>
      <c r="J140" s="136">
        <f t="shared" si="345"/>
        <v>37.886000000000003</v>
      </c>
      <c r="K140" s="135">
        <f t="shared" si="345"/>
        <v>37.933999999999997</v>
      </c>
      <c r="L140" s="135">
        <f t="shared" si="345"/>
        <v>40.588999999999999</v>
      </c>
      <c r="M140" s="116">
        <f t="shared" si="345"/>
        <v>44.41500000000002</v>
      </c>
      <c r="N140" s="82">
        <f t="shared" si="345"/>
        <v>160.82400000000001</v>
      </c>
      <c r="O140" s="136">
        <f t="shared" si="345"/>
        <v>39.588000000000001</v>
      </c>
      <c r="P140" s="135">
        <f t="shared" si="345"/>
        <v>40.308999999999997</v>
      </c>
      <c r="Q140" s="135">
        <f t="shared" ref="Q140:Y140" si="346">+Q19</f>
        <v>41.619</v>
      </c>
      <c r="R140" s="116">
        <f t="shared" si="346"/>
        <v>42.807000000000016</v>
      </c>
      <c r="S140" s="82">
        <f t="shared" si="346"/>
        <v>164.32300000000001</v>
      </c>
      <c r="T140" s="136">
        <f t="shared" si="346"/>
        <v>38.5</v>
      </c>
      <c r="U140" s="135">
        <f t="shared" si="346"/>
        <v>42.491999999999997</v>
      </c>
      <c r="V140" s="135">
        <f t="shared" si="346"/>
        <v>41.725999999999999</v>
      </c>
      <c r="W140" s="116">
        <f t="shared" si="346"/>
        <v>44.784999999999997</v>
      </c>
      <c r="X140" s="82">
        <f t="shared" si="346"/>
        <v>167.50299999999999</v>
      </c>
      <c r="Y140" s="136">
        <f t="shared" si="346"/>
        <v>41.676000000000002</v>
      </c>
      <c r="Z140" s="135">
        <f t="shared" ref="Z140:AE140" si="347">+Z19</f>
        <v>42.991999999999997</v>
      </c>
      <c r="AA140" s="135">
        <f t="shared" si="347"/>
        <v>42.521000000000001</v>
      </c>
      <c r="AB140" s="116">
        <f t="shared" si="347"/>
        <v>48.332999999999984</v>
      </c>
      <c r="AC140" s="82">
        <f t="shared" si="347"/>
        <v>175.52199999999999</v>
      </c>
      <c r="AD140" s="136">
        <f t="shared" si="347"/>
        <v>44.231000000000002</v>
      </c>
      <c r="AE140" s="135">
        <f t="shared" si="347"/>
        <v>48.433</v>
      </c>
      <c r="AF140" s="135">
        <f t="shared" ref="AF140:AM140" si="348">+AF19</f>
        <v>47.899000000000001</v>
      </c>
      <c r="AG140" s="116">
        <f t="shared" si="348"/>
        <v>50.650000000000006</v>
      </c>
      <c r="AH140" s="82">
        <f t="shared" si="348"/>
        <v>191.21299999999999</v>
      </c>
      <c r="AI140" s="136">
        <f t="shared" si="348"/>
        <v>42.173000000000002</v>
      </c>
      <c r="AJ140" s="135">
        <f t="shared" si="348"/>
        <v>45.661000000000001</v>
      </c>
      <c r="AK140" s="135">
        <f t="shared" si="348"/>
        <v>46.292000000000002</v>
      </c>
      <c r="AL140" s="116">
        <f t="shared" si="348"/>
        <v>45.287000000000006</v>
      </c>
      <c r="AM140" s="82">
        <f t="shared" si="348"/>
        <v>179.41300000000001</v>
      </c>
      <c r="AN140" s="136">
        <f t="shared" ref="AN140:AR140" si="349">+AN19</f>
        <v>48.619</v>
      </c>
      <c r="AO140" s="135">
        <f t="shared" si="349"/>
        <v>50.515999999999998</v>
      </c>
      <c r="AP140" s="135">
        <f t="shared" si="349"/>
        <v>49.234999999999999</v>
      </c>
      <c r="AQ140" s="116">
        <f t="shared" si="349"/>
        <v>46.556999999999988</v>
      </c>
      <c r="AR140" s="82">
        <f t="shared" si="349"/>
        <v>194.92699999999999</v>
      </c>
      <c r="AS140" s="136">
        <f t="shared" ref="AS140:AW140" si="350">+AS19</f>
        <v>49.862000000000002</v>
      </c>
      <c r="AT140" s="135">
        <f t="shared" si="350"/>
        <v>49.21</v>
      </c>
      <c r="AU140" s="135">
        <f t="shared" si="350"/>
        <v>51.808</v>
      </c>
      <c r="AV140" s="116">
        <f t="shared" si="350"/>
        <v>54.658999999999992</v>
      </c>
      <c r="AW140" s="82">
        <f t="shared" si="350"/>
        <v>205.53899999999999</v>
      </c>
      <c r="AX140" s="136">
        <f>AS140*(1+AX141)</f>
        <v>49.862000000000002</v>
      </c>
      <c r="AY140" s="135">
        <f>AT140*(1+AY141)</f>
        <v>49.21</v>
      </c>
      <c r="AZ140" s="135">
        <f>AU140*(1+AZ141)</f>
        <v>51.808</v>
      </c>
      <c r="BA140" s="116">
        <f>AV140*(1+BA141)</f>
        <v>54.658999999999992</v>
      </c>
      <c r="BB140" s="82">
        <f>+SUM(AX140:BA140)</f>
        <v>205.53899999999999</v>
      </c>
      <c r="BC140" s="136">
        <f>AX140*(1+BC141)</f>
        <v>50.360620000000004</v>
      </c>
      <c r="BD140" s="135">
        <f>AY140*(1+BD141)</f>
        <v>49.702100000000002</v>
      </c>
      <c r="BE140" s="135">
        <f>AZ140*(1+BE141)</f>
        <v>52.326079999999997</v>
      </c>
      <c r="BF140" s="116">
        <f>BA140*(1+BF141)</f>
        <v>55.205589999999994</v>
      </c>
      <c r="BG140" s="82">
        <f>+SUM(BC140:BF140)</f>
        <v>207.59439</v>
      </c>
      <c r="BH140" s="136">
        <f>BC140*(1+BH141)</f>
        <v>50.864226200000004</v>
      </c>
      <c r="BI140" s="135">
        <f>BD140*(1+BI141)</f>
        <v>50.199121000000005</v>
      </c>
      <c r="BJ140" s="135">
        <f>BE140*(1+BJ141)</f>
        <v>52.8493408</v>
      </c>
      <c r="BK140" s="116">
        <f>BF140*(1+BK141)</f>
        <v>55.757645899999993</v>
      </c>
      <c r="BL140" s="82">
        <f>+SUM(BH140:BK140)</f>
        <v>209.6703339</v>
      </c>
      <c r="BM140" s="136">
        <f>BH140*(1+BM141)</f>
        <v>51.372868462000007</v>
      </c>
      <c r="BN140" s="135">
        <f>BI140*(1+BN141)</f>
        <v>50.701112210000005</v>
      </c>
      <c r="BO140" s="135">
        <f>BJ140*(1+BO141)</f>
        <v>53.377834208000003</v>
      </c>
      <c r="BP140" s="116">
        <f>BK140*(1+BP141)</f>
        <v>56.315222358999996</v>
      </c>
      <c r="BQ140" s="82">
        <f>+SUM(BM140:BP140)</f>
        <v>211.76703723899999</v>
      </c>
      <c r="BR140" s="220"/>
      <c r="BS140" s="220"/>
      <c r="BT140" s="220"/>
      <c r="BU140" s="220"/>
      <c r="BV140" s="220"/>
      <c r="BW140" s="220"/>
      <c r="BX140" s="220"/>
      <c r="BY140" s="220"/>
      <c r="BZ140" s="220"/>
      <c r="CA140" s="220"/>
      <c r="CB140" s="220"/>
      <c r="CC140" s="220"/>
      <c r="CD140" s="220"/>
      <c r="CE140" s="220"/>
      <c r="CF140" s="220"/>
      <c r="CG140" s="220"/>
      <c r="CH140" s="220"/>
      <c r="CI140" s="220"/>
      <c r="CJ140" s="220"/>
      <c r="CK140" s="220"/>
      <c r="CL140" s="220"/>
      <c r="CM140" s="220"/>
      <c r="CN140" s="220"/>
      <c r="CO140" s="220"/>
      <c r="CP140" s="220"/>
      <c r="CQ140" s="220"/>
      <c r="CR140" s="220"/>
      <c r="CS140" s="220"/>
      <c r="CT140" s="220"/>
      <c r="CU140" s="220"/>
      <c r="CV140" s="220"/>
      <c r="CW140" s="220"/>
      <c r="CX140" s="220"/>
      <c r="CY140" s="220"/>
      <c r="CZ140" s="220"/>
    </row>
    <row r="141" spans="1:104" x14ac:dyDescent="0.2">
      <c r="A141" s="45"/>
      <c r="B141" s="45"/>
      <c r="C141" s="338" t="s">
        <v>287</v>
      </c>
      <c r="D141" s="45"/>
      <c r="E141" s="339"/>
      <c r="F141" s="340"/>
      <c r="G141" s="340"/>
      <c r="H141" s="341"/>
      <c r="I141" s="252"/>
      <c r="J141" s="249">
        <f t="shared" ref="J141:O141" si="351">+J140/E140-1</f>
        <v>0.10972466315172835</v>
      </c>
      <c r="K141" s="250">
        <f t="shared" si="351"/>
        <v>3.7383433150107948E-2</v>
      </c>
      <c r="L141" s="250">
        <f t="shared" si="351"/>
        <v>0.16387566668578302</v>
      </c>
      <c r="M141" s="251">
        <f t="shared" si="351"/>
        <v>0.10575845843603005</v>
      </c>
      <c r="N141" s="252">
        <f t="shared" si="351"/>
        <v>0.10343881219639384</v>
      </c>
      <c r="O141" s="249">
        <f t="shared" si="351"/>
        <v>4.4924246423480918E-2</v>
      </c>
      <c r="P141" s="250">
        <f t="shared" ref="P141:U141" si="352">+P140/K140-1</f>
        <v>6.2608741498392018E-2</v>
      </c>
      <c r="Q141" s="250">
        <f t="shared" si="352"/>
        <v>2.5376333489369074E-2</v>
      </c>
      <c r="R141" s="251">
        <f t="shared" si="352"/>
        <v>-3.6203985140155437E-2</v>
      </c>
      <c r="S141" s="252">
        <f t="shared" si="352"/>
        <v>2.1756702979654818E-2</v>
      </c>
      <c r="T141" s="249">
        <f t="shared" si="352"/>
        <v>-2.7483075679498814E-2</v>
      </c>
      <c r="U141" s="250">
        <f t="shared" si="352"/>
        <v>5.4156639956337349E-2</v>
      </c>
      <c r="V141" s="250">
        <f t="shared" ref="V141:AF141" si="353">+V140/Q140-1</f>
        <v>2.5709411566832152E-3</v>
      </c>
      <c r="W141" s="251">
        <f t="shared" si="353"/>
        <v>4.6207395986637145E-2</v>
      </c>
      <c r="X141" s="252">
        <f t="shared" si="353"/>
        <v>1.9352129647097316E-2</v>
      </c>
      <c r="Y141" s="249">
        <f t="shared" si="353"/>
        <v>8.2493506493506619E-2</v>
      </c>
      <c r="Z141" s="250">
        <f t="shared" si="353"/>
        <v>1.1766920832156691E-2</v>
      </c>
      <c r="AA141" s="250">
        <f t="shared" si="353"/>
        <v>1.9052868714950044E-2</v>
      </c>
      <c r="AB141" s="251">
        <f t="shared" si="353"/>
        <v>7.9222954114100519E-2</v>
      </c>
      <c r="AC141" s="252">
        <f t="shared" si="353"/>
        <v>4.7873769425025303E-2</v>
      </c>
      <c r="AD141" s="249">
        <f t="shared" si="353"/>
        <v>6.1306267396103342E-2</v>
      </c>
      <c r="AE141" s="250">
        <f t="shared" si="353"/>
        <v>0.12655842947525131</v>
      </c>
      <c r="AF141" s="250">
        <f t="shared" si="353"/>
        <v>0.1264786811222689</v>
      </c>
      <c r="AG141" s="251">
        <f t="shared" ref="AG141:AP141" si="354">+AG140/AB140-1</f>
        <v>4.7938261643184266E-2</v>
      </c>
      <c r="AH141" s="252">
        <f t="shared" si="354"/>
        <v>8.939620104602275E-2</v>
      </c>
      <c r="AI141" s="249">
        <f t="shared" si="354"/>
        <v>-4.6528452895028383E-2</v>
      </c>
      <c r="AJ141" s="250">
        <f t="shared" si="354"/>
        <v>-5.7233704292527832E-2</v>
      </c>
      <c r="AK141" s="250">
        <f t="shared" si="354"/>
        <v>-3.3549760955343566E-2</v>
      </c>
      <c r="AL141" s="251">
        <f t="shared" si="354"/>
        <v>-0.10588351431391907</v>
      </c>
      <c r="AM141" s="252">
        <f t="shared" si="354"/>
        <v>-6.1711285320558695E-2</v>
      </c>
      <c r="AN141" s="249">
        <f t="shared" si="354"/>
        <v>0.15284660801934891</v>
      </c>
      <c r="AO141" s="250">
        <f t="shared" si="354"/>
        <v>0.10632706248220569</v>
      </c>
      <c r="AP141" s="250">
        <f t="shared" si="354"/>
        <v>6.3574699732135143E-2</v>
      </c>
      <c r="AQ141" s="251">
        <f>+AQ140/AL140-1</f>
        <v>2.8043367853909151E-2</v>
      </c>
      <c r="AR141" s="252">
        <f>+AR140/AM140-1</f>
        <v>8.6470880036563669E-2</v>
      </c>
      <c r="AS141" s="249">
        <f t="shared" ref="AS141" si="355">+AS140/AN140-1</f>
        <v>2.556613669553065E-2</v>
      </c>
      <c r="AT141" s="250">
        <f t="shared" ref="AT141" si="356">+AT140/AO140-1</f>
        <v>-2.5853195027317977E-2</v>
      </c>
      <c r="AU141" s="250">
        <f t="shared" ref="AU141" si="357">+AU140/AP140-1</f>
        <v>5.2259571443079134E-2</v>
      </c>
      <c r="AV141" s="251">
        <f>+AV140/AQ140-1</f>
        <v>0.17402324032905914</v>
      </c>
      <c r="AW141" s="252">
        <f>+AW140/AR140-1</f>
        <v>5.4440893257475809E-2</v>
      </c>
      <c r="AX141" s="249">
        <f>+AX66</f>
        <v>0</v>
      </c>
      <c r="AY141" s="250">
        <f>+AY66</f>
        <v>0</v>
      </c>
      <c r="AZ141" s="250">
        <f>+AZ66</f>
        <v>0</v>
      </c>
      <c r="BA141" s="251">
        <f>+BA66</f>
        <v>0</v>
      </c>
      <c r="BB141" s="252">
        <f>+BB140/AW140-1</f>
        <v>0</v>
      </c>
      <c r="BC141" s="249">
        <f>+BC66</f>
        <v>0.01</v>
      </c>
      <c r="BD141" s="250">
        <f>+BD66</f>
        <v>0.01</v>
      </c>
      <c r="BE141" s="250">
        <f>+BE66</f>
        <v>0.01</v>
      </c>
      <c r="BF141" s="251">
        <f>+BF66</f>
        <v>0.01</v>
      </c>
      <c r="BG141" s="252">
        <f>+BG140/BB140-1</f>
        <v>1.0000000000000009E-2</v>
      </c>
      <c r="BH141" s="249">
        <f>+BH66</f>
        <v>0.01</v>
      </c>
      <c r="BI141" s="250">
        <f>+BI66</f>
        <v>0.01</v>
      </c>
      <c r="BJ141" s="250">
        <f>+BJ66</f>
        <v>0.01</v>
      </c>
      <c r="BK141" s="251">
        <f>+BK66</f>
        <v>0.01</v>
      </c>
      <c r="BL141" s="252">
        <f>+BL140/BG140-1</f>
        <v>1.0000000000000009E-2</v>
      </c>
      <c r="BM141" s="249">
        <f>+BM66</f>
        <v>0.01</v>
      </c>
      <c r="BN141" s="250">
        <f>+BN66</f>
        <v>0.01</v>
      </c>
      <c r="BO141" s="250">
        <f>+BO66</f>
        <v>0.01</v>
      </c>
      <c r="BP141" s="251">
        <f>+BP66</f>
        <v>0.01</v>
      </c>
      <c r="BQ141" s="252">
        <f>+BQ140/BL140-1</f>
        <v>1.0000000000000009E-2</v>
      </c>
      <c r="BR141" s="45"/>
      <c r="BS141" s="45"/>
      <c r="BT141" s="45"/>
      <c r="BU141" s="45"/>
      <c r="BV141" s="45"/>
      <c r="BW141" s="45"/>
      <c r="BX141" s="45"/>
      <c r="BY141" s="45"/>
      <c r="BZ141" s="45"/>
      <c r="CA141" s="45"/>
      <c r="CB141" s="45"/>
      <c r="CC141" s="45"/>
      <c r="CD141" s="45"/>
      <c r="CE141" s="45"/>
      <c r="CF141" s="45"/>
      <c r="CG141" s="45"/>
      <c r="CH141" s="45"/>
      <c r="CI141" s="45"/>
      <c r="CJ141" s="45"/>
      <c r="CK141" s="45"/>
      <c r="CL141" s="45"/>
      <c r="CM141" s="45"/>
      <c r="CN141" s="45"/>
      <c r="CO141" s="45"/>
      <c r="CP141" s="45"/>
      <c r="CQ141" s="45"/>
      <c r="CR141" s="45"/>
      <c r="CS141" s="45"/>
      <c r="CT141" s="45"/>
      <c r="CU141" s="45"/>
      <c r="CV141" s="45"/>
      <c r="CW141" s="45"/>
      <c r="CX141" s="45"/>
      <c r="CY141" s="45"/>
      <c r="CZ141" s="45"/>
    </row>
    <row r="142" spans="1:104" x14ac:dyDescent="0.2">
      <c r="A142" s="20"/>
      <c r="B142" s="20"/>
      <c r="C142" s="289"/>
      <c r="D142" s="20"/>
      <c r="E142" s="203"/>
      <c r="F142" s="204"/>
      <c r="G142" s="204"/>
      <c r="H142" s="205"/>
      <c r="I142" s="206"/>
      <c r="J142" s="203"/>
      <c r="K142" s="204"/>
      <c r="L142" s="204"/>
      <c r="M142" s="205"/>
      <c r="N142" s="206"/>
      <c r="O142" s="203"/>
      <c r="P142" s="204"/>
      <c r="Q142" s="204"/>
      <c r="R142" s="205"/>
      <c r="S142" s="206"/>
      <c r="T142" s="203"/>
      <c r="U142" s="204"/>
      <c r="V142" s="204"/>
      <c r="W142" s="205"/>
      <c r="X142" s="206"/>
      <c r="Y142" s="203"/>
      <c r="Z142" s="204"/>
      <c r="AA142" s="204"/>
      <c r="AB142" s="205"/>
      <c r="AC142" s="206"/>
      <c r="AD142" s="203"/>
      <c r="AE142" s="204"/>
      <c r="AF142" s="204"/>
      <c r="AG142" s="205"/>
      <c r="AH142" s="206"/>
      <c r="AI142" s="203"/>
      <c r="AJ142" s="204"/>
      <c r="AK142" s="204"/>
      <c r="AL142" s="205"/>
      <c r="AM142" s="206"/>
      <c r="AN142" s="203"/>
      <c r="AO142" s="204"/>
      <c r="AP142" s="204"/>
      <c r="AQ142" s="205"/>
      <c r="AR142" s="206"/>
      <c r="AS142" s="203"/>
      <c r="AT142" s="204"/>
      <c r="AU142" s="204"/>
      <c r="AV142" s="205"/>
      <c r="AW142" s="206"/>
      <c r="AX142" s="203"/>
      <c r="AY142" s="204"/>
      <c r="AZ142" s="204"/>
      <c r="BA142" s="205"/>
      <c r="BB142" s="206"/>
      <c r="BC142" s="203"/>
      <c r="BD142" s="204"/>
      <c r="BE142" s="204"/>
      <c r="BF142" s="205"/>
      <c r="BG142" s="206"/>
      <c r="BH142" s="203"/>
      <c r="BI142" s="204"/>
      <c r="BJ142" s="204"/>
      <c r="BK142" s="205"/>
      <c r="BL142" s="206"/>
      <c r="BM142" s="203"/>
      <c r="BN142" s="204"/>
      <c r="BO142" s="204"/>
      <c r="BP142" s="205"/>
      <c r="BQ142" s="206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</row>
    <row r="143" spans="1:104" x14ac:dyDescent="0.2">
      <c r="A143" s="220"/>
      <c r="B143" s="220"/>
      <c r="C143" s="289" t="s">
        <v>122</v>
      </c>
      <c r="D143" s="82"/>
      <c r="E143" s="136">
        <f t="shared" ref="E143:P143" si="358">+E21</f>
        <v>6.0209999999999999</v>
      </c>
      <c r="F143" s="135">
        <f t="shared" si="358"/>
        <v>5.6580000000000004</v>
      </c>
      <c r="G143" s="135">
        <f t="shared" si="358"/>
        <v>5.7140000000000004</v>
      </c>
      <c r="H143" s="116">
        <f t="shared" si="358"/>
        <v>5.8909999999999982</v>
      </c>
      <c r="I143" s="82">
        <f t="shared" si="358"/>
        <v>23.283999999999999</v>
      </c>
      <c r="J143" s="136">
        <f t="shared" si="358"/>
        <v>5.9619999999999997</v>
      </c>
      <c r="K143" s="135">
        <f t="shared" si="358"/>
        <v>5.6390000000000002</v>
      </c>
      <c r="L143" s="135">
        <f t="shared" si="358"/>
        <v>5.7350000000000003</v>
      </c>
      <c r="M143" s="116">
        <f t="shared" si="358"/>
        <v>5.7600000000000016</v>
      </c>
      <c r="N143" s="82">
        <f t="shared" si="358"/>
        <v>23.096</v>
      </c>
      <c r="O143" s="136">
        <f t="shared" si="358"/>
        <v>6.077</v>
      </c>
      <c r="P143" s="135">
        <f t="shared" si="358"/>
        <v>5.8339999999999996</v>
      </c>
      <c r="Q143" s="135">
        <f t="shared" ref="Q143:Y143" si="359">+Q21</f>
        <v>5.9249999999999998</v>
      </c>
      <c r="R143" s="116">
        <f t="shared" si="359"/>
        <v>5.8520000000000003</v>
      </c>
      <c r="S143" s="82">
        <f t="shared" si="359"/>
        <v>23.687999999999999</v>
      </c>
      <c r="T143" s="136">
        <f t="shared" si="359"/>
        <v>6.3810000000000002</v>
      </c>
      <c r="U143" s="135">
        <f t="shared" si="359"/>
        <v>6.2169999999999996</v>
      </c>
      <c r="V143" s="135">
        <f t="shared" si="359"/>
        <v>6.218</v>
      </c>
      <c r="W143" s="116">
        <f t="shared" si="359"/>
        <v>6.1550000000000011</v>
      </c>
      <c r="X143" s="82">
        <f t="shared" si="359"/>
        <v>24.971</v>
      </c>
      <c r="Y143" s="136">
        <f t="shared" si="359"/>
        <v>6.3940000000000001</v>
      </c>
      <c r="Z143" s="135">
        <f t="shared" ref="Z143:AE143" si="360">+Z21</f>
        <v>6.3410000000000002</v>
      </c>
      <c r="AA143" s="135">
        <f t="shared" si="360"/>
        <v>6.2729999999999997</v>
      </c>
      <c r="AB143" s="116">
        <f t="shared" si="360"/>
        <v>6.2230000000000025</v>
      </c>
      <c r="AC143" s="82">
        <f t="shared" si="360"/>
        <v>25.231000000000002</v>
      </c>
      <c r="AD143" s="136">
        <f t="shared" si="360"/>
        <v>6.7969999999999997</v>
      </c>
      <c r="AE143" s="135">
        <f t="shared" si="360"/>
        <v>6.6520000000000001</v>
      </c>
      <c r="AF143" s="135">
        <f t="shared" ref="AF143:AM143" si="361">+AF21</f>
        <v>7.0090000000000003</v>
      </c>
      <c r="AG143" s="116">
        <f t="shared" si="361"/>
        <v>6.6560000000000024</v>
      </c>
      <c r="AH143" s="82">
        <f t="shared" si="361"/>
        <v>27.114000000000001</v>
      </c>
      <c r="AI143" s="136">
        <f t="shared" si="361"/>
        <v>7.2320000000000002</v>
      </c>
      <c r="AJ143" s="135">
        <f t="shared" si="361"/>
        <v>6.8739999999999997</v>
      </c>
      <c r="AK143" s="135">
        <f t="shared" si="361"/>
        <v>7.0449999999999999</v>
      </c>
      <c r="AL143" s="116">
        <f t="shared" si="361"/>
        <v>7.0300000000000011</v>
      </c>
      <c r="AM143" s="82">
        <f t="shared" si="361"/>
        <v>28.181000000000001</v>
      </c>
      <c r="AN143" s="136">
        <f t="shared" ref="AN143:AR143" si="362">+AN21</f>
        <v>7.1550000000000002</v>
      </c>
      <c r="AO143" s="135">
        <f t="shared" si="362"/>
        <v>7.0960000000000001</v>
      </c>
      <c r="AP143" s="135">
        <f t="shared" si="362"/>
        <v>6.5060000000000002</v>
      </c>
      <c r="AQ143" s="116">
        <f t="shared" si="362"/>
        <v>7.0569999999999986</v>
      </c>
      <c r="AR143" s="82">
        <f t="shared" si="362"/>
        <v>27.814</v>
      </c>
      <c r="AS143" s="136">
        <f t="shared" ref="AS143:AW143" si="363">+AS21</f>
        <v>6.8730000000000002</v>
      </c>
      <c r="AT143" s="135">
        <f t="shared" si="363"/>
        <v>7.0049999999999999</v>
      </c>
      <c r="AU143" s="135">
        <f t="shared" si="363"/>
        <v>7.1239999999999997</v>
      </c>
      <c r="AV143" s="116">
        <f t="shared" si="363"/>
        <v>6.8290000000000006</v>
      </c>
      <c r="AW143" s="82">
        <f t="shared" si="363"/>
        <v>27.831</v>
      </c>
      <c r="AX143" s="136">
        <f>AS143*(1+AX144)</f>
        <v>7.3197450000000002</v>
      </c>
      <c r="AY143" s="135">
        <f>AT143*(1+AY144)</f>
        <v>7.4603249999999992</v>
      </c>
      <c r="AZ143" s="135">
        <f>AU143*(1+AZ144)</f>
        <v>7.5870599999999992</v>
      </c>
      <c r="BA143" s="116">
        <f>AV143*(1+BA144)</f>
        <v>7.2728850000000005</v>
      </c>
      <c r="BB143" s="82">
        <f>+SUM(AX143:BA143)</f>
        <v>29.640014999999998</v>
      </c>
      <c r="BC143" s="136">
        <f>AX143*(1+BC144)</f>
        <v>7.4661398999999999</v>
      </c>
      <c r="BD143" s="135">
        <f>AY143*(1+BD144)</f>
        <v>7.6095314999999992</v>
      </c>
      <c r="BE143" s="135">
        <f>AZ143*(1+BE144)</f>
        <v>7.7388011999999993</v>
      </c>
      <c r="BF143" s="116">
        <f>BA143*(1+BF144)</f>
        <v>7.4183427000000011</v>
      </c>
      <c r="BG143" s="82">
        <f>+SUM(BC143:BF143)</f>
        <v>30.232815299999999</v>
      </c>
      <c r="BH143" s="136">
        <f>BC143*(1+BH144)</f>
        <v>7.615462698</v>
      </c>
      <c r="BI143" s="135">
        <f>BD143*(1+BI144)</f>
        <v>7.761722129999999</v>
      </c>
      <c r="BJ143" s="135">
        <f>BE143*(1+BJ144)</f>
        <v>7.8935772239999995</v>
      </c>
      <c r="BK143" s="116">
        <f>BF143*(1+BK144)</f>
        <v>7.5667095540000009</v>
      </c>
      <c r="BL143" s="82">
        <f>+SUM(BH143:BK143)</f>
        <v>30.837471606000001</v>
      </c>
      <c r="BM143" s="136">
        <f>BH143*(1+BM144)</f>
        <v>7.7677719519600004</v>
      </c>
      <c r="BN143" s="135">
        <f>BI143*(1+BN144)</f>
        <v>7.9169565725999993</v>
      </c>
      <c r="BO143" s="135">
        <f>BJ143*(1+BO144)</f>
        <v>8.0514487684800002</v>
      </c>
      <c r="BP143" s="116">
        <f>BK143*(1+BP144)</f>
        <v>7.718043745080001</v>
      </c>
      <c r="BQ143" s="82">
        <f>+SUM(BM143:BP143)</f>
        <v>31.454221038120004</v>
      </c>
      <c r="BR143" s="220"/>
      <c r="BS143" s="220"/>
      <c r="BT143" s="220"/>
      <c r="BU143" s="220"/>
      <c r="BV143" s="220"/>
      <c r="BW143" s="220"/>
      <c r="BX143" s="220"/>
      <c r="BY143" s="220"/>
      <c r="BZ143" s="220"/>
      <c r="CA143" s="220"/>
      <c r="CB143" s="220"/>
      <c r="CC143" s="220"/>
      <c r="CD143" s="220"/>
      <c r="CE143" s="220"/>
      <c r="CF143" s="220"/>
      <c r="CG143" s="220"/>
      <c r="CH143" s="220"/>
      <c r="CI143" s="220"/>
      <c r="CJ143" s="220"/>
      <c r="CK143" s="220"/>
      <c r="CL143" s="220"/>
      <c r="CM143" s="220"/>
      <c r="CN143" s="220"/>
      <c r="CO143" s="220"/>
      <c r="CP143" s="220"/>
      <c r="CQ143" s="220"/>
      <c r="CR143" s="220"/>
      <c r="CS143" s="220"/>
      <c r="CT143" s="220"/>
      <c r="CU143" s="220"/>
      <c r="CV143" s="220"/>
      <c r="CW143" s="220"/>
      <c r="CX143" s="220"/>
      <c r="CY143" s="220"/>
      <c r="CZ143" s="220"/>
    </row>
    <row r="144" spans="1:104" x14ac:dyDescent="0.2">
      <c r="A144" s="45"/>
      <c r="B144" s="45"/>
      <c r="C144" s="338" t="s">
        <v>287</v>
      </c>
      <c r="D144" s="45"/>
      <c r="E144" s="339"/>
      <c r="F144" s="340"/>
      <c r="G144" s="340"/>
      <c r="H144" s="341"/>
      <c r="I144" s="252"/>
      <c r="J144" s="249">
        <f t="shared" ref="J144:Q144" si="364">+J143/E143-1</f>
        <v>-9.7990367048663707E-3</v>
      </c>
      <c r="K144" s="250">
        <f t="shared" si="364"/>
        <v>-3.3580770590314613E-3</v>
      </c>
      <c r="L144" s="250">
        <f t="shared" si="364"/>
        <v>3.675183759187961E-3</v>
      </c>
      <c r="M144" s="251">
        <f t="shared" si="364"/>
        <v>-2.2237311152605077E-2</v>
      </c>
      <c r="N144" s="252">
        <f t="shared" si="364"/>
        <v>-8.0742140525682515E-3</v>
      </c>
      <c r="O144" s="249">
        <f t="shared" si="364"/>
        <v>1.9288829251928874E-2</v>
      </c>
      <c r="P144" s="250">
        <f t="shared" si="364"/>
        <v>3.4580599397056044E-2</v>
      </c>
      <c r="Q144" s="250">
        <f t="shared" si="364"/>
        <v>3.3129904097646046E-2</v>
      </c>
      <c r="R144" s="251">
        <f t="shared" ref="R144:Y144" si="365">+R143/M143-1</f>
        <v>1.5972222222222054E-2</v>
      </c>
      <c r="S144" s="252">
        <f t="shared" si="365"/>
        <v>2.5632144094215326E-2</v>
      </c>
      <c r="T144" s="249">
        <f t="shared" si="365"/>
        <v>5.0024683231857825E-2</v>
      </c>
      <c r="U144" s="250">
        <f t="shared" si="365"/>
        <v>6.5649640041138158E-2</v>
      </c>
      <c r="V144" s="250">
        <f t="shared" si="365"/>
        <v>4.9451476793249016E-2</v>
      </c>
      <c r="W144" s="251">
        <f t="shared" si="365"/>
        <v>5.1777170198223033E-2</v>
      </c>
      <c r="X144" s="252">
        <f t="shared" si="365"/>
        <v>5.4162445119891878E-2</v>
      </c>
      <c r="Y144" s="249">
        <f t="shared" si="365"/>
        <v>2.03729822911769E-3</v>
      </c>
      <c r="Z144" s="250">
        <f t="shared" ref="Z144:AF144" si="366">+Z143/U143-1</f>
        <v>1.994531124336496E-2</v>
      </c>
      <c r="AA144" s="250">
        <f t="shared" si="366"/>
        <v>8.8452878739144758E-3</v>
      </c>
      <c r="AB144" s="251">
        <f t="shared" si="366"/>
        <v>1.1047928513403971E-2</v>
      </c>
      <c r="AC144" s="252">
        <f t="shared" si="366"/>
        <v>1.0412078010492154E-2</v>
      </c>
      <c r="AD144" s="249">
        <f t="shared" si="366"/>
        <v>6.3027838598686214E-2</v>
      </c>
      <c r="AE144" s="250">
        <f t="shared" si="366"/>
        <v>4.904589181517105E-2</v>
      </c>
      <c r="AF144" s="250">
        <f t="shared" si="366"/>
        <v>0.11732823210585064</v>
      </c>
      <c r="AG144" s="251">
        <f t="shared" ref="AG144:AP144" si="367">+AG143/AB143-1</f>
        <v>6.9580588140768063E-2</v>
      </c>
      <c r="AH144" s="252">
        <f t="shared" si="367"/>
        <v>7.4630414965716652E-2</v>
      </c>
      <c r="AI144" s="249">
        <f t="shared" si="367"/>
        <v>6.3998823010151584E-2</v>
      </c>
      <c r="AJ144" s="250">
        <f t="shared" si="367"/>
        <v>3.3373421527360225E-2</v>
      </c>
      <c r="AK144" s="250">
        <f t="shared" si="367"/>
        <v>5.1362533885004336E-3</v>
      </c>
      <c r="AL144" s="251">
        <f t="shared" si="367"/>
        <v>5.6189903846153744E-2</v>
      </c>
      <c r="AM144" s="252">
        <f t="shared" si="367"/>
        <v>3.9352364092350767E-2</v>
      </c>
      <c r="AN144" s="249">
        <f t="shared" si="367"/>
        <v>-1.0647123893805288E-2</v>
      </c>
      <c r="AO144" s="250">
        <f t="shared" si="367"/>
        <v>3.2295606633692131E-2</v>
      </c>
      <c r="AP144" s="250">
        <f t="shared" si="367"/>
        <v>-7.6508161816891351E-2</v>
      </c>
      <c r="AQ144" s="251">
        <f>+AQ143/AL143-1</f>
        <v>3.840682788050831E-3</v>
      </c>
      <c r="AR144" s="252">
        <f>+AR143/AM143-1</f>
        <v>-1.3022958731059964E-2</v>
      </c>
      <c r="AS144" s="249">
        <f t="shared" ref="AS144" si="368">+AS143/AN143-1</f>
        <v>-3.9412997903563896E-2</v>
      </c>
      <c r="AT144" s="250">
        <f t="shared" ref="AT144" si="369">+AT143/AO143-1</f>
        <v>-1.2824126268320191E-2</v>
      </c>
      <c r="AU144" s="250">
        <f t="shared" ref="AU144" si="370">+AU143/AP143-1</f>
        <v>9.4989240700891431E-2</v>
      </c>
      <c r="AV144" s="251">
        <f>+AV143/AQ143-1</f>
        <v>-3.2308346322799775E-2</v>
      </c>
      <c r="AW144" s="252">
        <f>+AW143/AR143-1</f>
        <v>6.1120299129924227E-4</v>
      </c>
      <c r="AX144" s="249">
        <f>+AX67</f>
        <v>6.5000000000000002E-2</v>
      </c>
      <c r="AY144" s="250">
        <f>+AY67</f>
        <v>6.5000000000000002E-2</v>
      </c>
      <c r="AZ144" s="250">
        <f>+AZ67</f>
        <v>6.5000000000000002E-2</v>
      </c>
      <c r="BA144" s="251">
        <f>+BA67</f>
        <v>6.5000000000000002E-2</v>
      </c>
      <c r="BB144" s="252">
        <f>+BB143/AW143-1</f>
        <v>6.4999999999999947E-2</v>
      </c>
      <c r="BC144" s="249">
        <f>+BC67</f>
        <v>0.02</v>
      </c>
      <c r="BD144" s="250">
        <f>+BD67</f>
        <v>0.02</v>
      </c>
      <c r="BE144" s="250">
        <f>+BE67</f>
        <v>0.02</v>
      </c>
      <c r="BF144" s="251">
        <f>+BF67</f>
        <v>0.02</v>
      </c>
      <c r="BG144" s="252">
        <f>+BG143/BB143-1</f>
        <v>2.0000000000000018E-2</v>
      </c>
      <c r="BH144" s="249">
        <f>+BH67</f>
        <v>0.02</v>
      </c>
      <c r="BI144" s="250">
        <f>+BI67</f>
        <v>0.02</v>
      </c>
      <c r="BJ144" s="250">
        <f>+BJ67</f>
        <v>0.02</v>
      </c>
      <c r="BK144" s="251">
        <f>+BK67</f>
        <v>0.02</v>
      </c>
      <c r="BL144" s="252">
        <f>+BL143/BG143-1</f>
        <v>2.0000000000000018E-2</v>
      </c>
      <c r="BM144" s="249">
        <f>+BM67</f>
        <v>0.02</v>
      </c>
      <c r="BN144" s="250">
        <f>+BN67</f>
        <v>0.02</v>
      </c>
      <c r="BO144" s="250">
        <f>+BO67</f>
        <v>0.02</v>
      </c>
      <c r="BP144" s="251">
        <f>+BP67</f>
        <v>0.02</v>
      </c>
      <c r="BQ144" s="252">
        <f>+BQ143/BL143-1</f>
        <v>2.0000000000000018E-2</v>
      </c>
      <c r="BR144" s="45"/>
      <c r="BS144" s="45"/>
      <c r="BT144" s="45"/>
      <c r="BU144" s="45"/>
      <c r="BV144" s="45"/>
      <c r="BW144" s="45"/>
      <c r="BX144" s="45"/>
      <c r="BY144" s="45"/>
      <c r="BZ144" s="45"/>
      <c r="CA144" s="45"/>
      <c r="CB144" s="45"/>
      <c r="CC144" s="45"/>
      <c r="CD144" s="45"/>
      <c r="CE144" s="45"/>
      <c r="CF144" s="45"/>
      <c r="CG144" s="45"/>
      <c r="CH144" s="45"/>
      <c r="CI144" s="45"/>
      <c r="CJ144" s="45"/>
      <c r="CK144" s="45"/>
      <c r="CL144" s="45"/>
      <c r="CM144" s="45"/>
      <c r="CN144" s="45"/>
      <c r="CO144" s="45"/>
      <c r="CP144" s="45"/>
      <c r="CQ144" s="45"/>
      <c r="CR144" s="45"/>
      <c r="CS144" s="45"/>
      <c r="CT144" s="45"/>
      <c r="CU144" s="45"/>
      <c r="CV144" s="45"/>
      <c r="CW144" s="45"/>
      <c r="CX144" s="45"/>
      <c r="CY144" s="45"/>
      <c r="CZ144" s="45"/>
    </row>
    <row r="145" spans="1:104" x14ac:dyDescent="0.2">
      <c r="A145" s="20"/>
      <c r="B145" s="20"/>
      <c r="C145" s="20"/>
      <c r="D145" s="20"/>
      <c r="E145" s="203"/>
      <c r="F145" s="204"/>
      <c r="G145" s="204"/>
      <c r="H145" s="205"/>
      <c r="I145" s="206"/>
      <c r="J145" s="203"/>
      <c r="K145" s="204"/>
      <c r="L145" s="204"/>
      <c r="M145" s="205"/>
      <c r="N145" s="206"/>
      <c r="O145" s="203"/>
      <c r="P145" s="204"/>
      <c r="Q145" s="204"/>
      <c r="R145" s="205"/>
      <c r="S145" s="206"/>
      <c r="T145" s="203"/>
      <c r="U145" s="204"/>
      <c r="V145" s="204"/>
      <c r="W145" s="205"/>
      <c r="X145" s="206"/>
      <c r="Y145" s="203"/>
      <c r="Z145" s="204"/>
      <c r="AA145" s="204"/>
      <c r="AB145" s="205"/>
      <c r="AC145" s="206"/>
      <c r="AD145" s="203"/>
      <c r="AE145" s="204"/>
      <c r="AF145" s="204"/>
      <c r="AG145" s="205"/>
      <c r="AH145" s="206"/>
      <c r="AI145" s="203"/>
      <c r="AJ145" s="204"/>
      <c r="AK145" s="204"/>
      <c r="AL145" s="205"/>
      <c r="AM145" s="206"/>
      <c r="AN145" s="203"/>
      <c r="AO145" s="204"/>
      <c r="AP145" s="204"/>
      <c r="AQ145" s="205"/>
      <c r="AR145" s="206"/>
      <c r="AS145" s="203"/>
      <c r="AT145" s="204"/>
      <c r="AU145" s="204"/>
      <c r="AV145" s="205"/>
      <c r="AW145" s="206"/>
      <c r="AX145" s="203"/>
      <c r="AY145" s="204"/>
      <c r="AZ145" s="204"/>
      <c r="BA145" s="205"/>
      <c r="BB145" s="206"/>
      <c r="BC145" s="203"/>
      <c r="BD145" s="204"/>
      <c r="BE145" s="204"/>
      <c r="BF145" s="205"/>
      <c r="BG145" s="206"/>
      <c r="BH145" s="203"/>
      <c r="BI145" s="204"/>
      <c r="BJ145" s="204"/>
      <c r="BK145" s="205"/>
      <c r="BL145" s="206"/>
      <c r="BM145" s="203"/>
      <c r="BN145" s="204"/>
      <c r="BO145" s="204"/>
      <c r="BP145" s="205"/>
      <c r="BQ145" s="206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</row>
    <row r="146" spans="1:104" x14ac:dyDescent="0.2">
      <c r="A146" s="220"/>
      <c r="B146" s="220"/>
      <c r="C146" t="s">
        <v>442</v>
      </c>
      <c r="D146" s="82"/>
      <c r="E146" s="136">
        <f>+E22</f>
        <v>3.052</v>
      </c>
      <c r="F146" s="135">
        <f t="shared" ref="F146:P146" si="371">+F22</f>
        <v>2.5430000000000001</v>
      </c>
      <c r="G146" s="135">
        <f t="shared" si="371"/>
        <v>2.5409999999999999</v>
      </c>
      <c r="H146" s="116">
        <f t="shared" si="371"/>
        <v>2.5429999999999993</v>
      </c>
      <c r="I146" s="82">
        <f t="shared" si="371"/>
        <v>10.679</v>
      </c>
      <c r="J146" s="136">
        <f t="shared" si="371"/>
        <v>2.8959999999999999</v>
      </c>
      <c r="K146" s="135">
        <f t="shared" si="371"/>
        <v>2.9889999999999999</v>
      </c>
      <c r="L146" s="135">
        <f t="shared" si="371"/>
        <v>3.7280000000000002</v>
      </c>
      <c r="M146" s="116">
        <f t="shared" si="371"/>
        <v>3.3520000000000003</v>
      </c>
      <c r="N146" s="82">
        <f t="shared" si="371"/>
        <v>12.965</v>
      </c>
      <c r="O146" s="136">
        <f t="shared" si="371"/>
        <v>3.0609999999999999</v>
      </c>
      <c r="P146" s="135">
        <f t="shared" si="371"/>
        <v>3.4220000000000002</v>
      </c>
      <c r="Q146" s="135">
        <f t="shared" ref="Q146:Y146" si="372">+Q22</f>
        <v>3.2320000000000002</v>
      </c>
      <c r="R146" s="116">
        <f t="shared" si="372"/>
        <v>3.1679999999999993</v>
      </c>
      <c r="S146" s="82">
        <f t="shared" si="372"/>
        <v>12.882999999999999</v>
      </c>
      <c r="T146" s="136">
        <f t="shared" si="372"/>
        <v>3.5019999999999998</v>
      </c>
      <c r="U146" s="135">
        <f t="shared" si="372"/>
        <v>3.62</v>
      </c>
      <c r="V146" s="135">
        <f t="shared" si="372"/>
        <v>3.714</v>
      </c>
      <c r="W146" s="116">
        <f t="shared" si="372"/>
        <v>3.6059999999999999</v>
      </c>
      <c r="X146" s="82">
        <f t="shared" si="372"/>
        <v>14.442</v>
      </c>
      <c r="Y146" s="136">
        <f t="shared" si="372"/>
        <v>2.992</v>
      </c>
      <c r="Z146" s="135">
        <f t="shared" ref="Z146:AE146" si="373">+Z22</f>
        <v>3.1179999999999999</v>
      </c>
      <c r="AA146" s="135">
        <f t="shared" si="373"/>
        <v>3.133</v>
      </c>
      <c r="AB146" s="116">
        <f t="shared" si="373"/>
        <v>3.0900000000000016</v>
      </c>
      <c r="AC146" s="82">
        <f t="shared" si="373"/>
        <v>12.333</v>
      </c>
      <c r="AD146" s="136">
        <f t="shared" si="373"/>
        <v>2.6720000000000002</v>
      </c>
      <c r="AE146" s="135">
        <f t="shared" si="373"/>
        <v>3.0150000000000001</v>
      </c>
      <c r="AF146" s="135">
        <f t="shared" ref="AF146:AM146" si="374">+AF22</f>
        <v>3.0049999999999999</v>
      </c>
      <c r="AG146" s="116">
        <f t="shared" si="374"/>
        <v>2.8450000000000006</v>
      </c>
      <c r="AH146" s="82">
        <f t="shared" si="374"/>
        <v>11.537000000000001</v>
      </c>
      <c r="AI146" s="136">
        <f t="shared" si="374"/>
        <v>2.855</v>
      </c>
      <c r="AJ146" s="135">
        <f t="shared" si="374"/>
        <v>2.9889999999999999</v>
      </c>
      <c r="AK146" s="135">
        <f t="shared" si="374"/>
        <v>2.9769999999999999</v>
      </c>
      <c r="AL146" s="116">
        <f t="shared" si="374"/>
        <v>2.8740000000000006</v>
      </c>
      <c r="AM146" s="82">
        <f t="shared" si="374"/>
        <v>11.695</v>
      </c>
      <c r="AN146" s="136">
        <f t="shared" ref="AN146:AR146" si="375">+AN22</f>
        <v>3.0659999999999998</v>
      </c>
      <c r="AO146" s="135">
        <f t="shared" si="375"/>
        <v>3.0939999999999999</v>
      </c>
      <c r="AP146" s="135">
        <f t="shared" si="375"/>
        <v>3.3079999999999998</v>
      </c>
      <c r="AQ146" s="116">
        <f t="shared" si="375"/>
        <v>3.1769999999999996</v>
      </c>
      <c r="AR146" s="82">
        <f t="shared" si="375"/>
        <v>12.645</v>
      </c>
      <c r="AS146" s="136">
        <f t="shared" ref="AS146:AW146" si="376">+AS22</f>
        <v>3.0539999999999998</v>
      </c>
      <c r="AT146" s="135">
        <f t="shared" si="376"/>
        <v>3.177</v>
      </c>
      <c r="AU146" s="135">
        <f t="shared" si="376"/>
        <v>3.298</v>
      </c>
      <c r="AV146" s="116">
        <f t="shared" si="376"/>
        <v>3.0429999999999993</v>
      </c>
      <c r="AW146" s="82">
        <f t="shared" si="376"/>
        <v>12.571999999999999</v>
      </c>
      <c r="AX146" s="136">
        <f>AS146*(1+AX147)</f>
        <v>3.0998099999999997</v>
      </c>
      <c r="AY146" s="135">
        <f>AT146*(1+AY147)</f>
        <v>3.2246549999999998</v>
      </c>
      <c r="AZ146" s="135">
        <f>AU146*(1+AZ147)</f>
        <v>3.3474699999999995</v>
      </c>
      <c r="BA146" s="116">
        <f>AV146*(1+BA147)</f>
        <v>3.0886449999999988</v>
      </c>
      <c r="BB146" s="82">
        <f>+SUM(AX146:BA146)</f>
        <v>12.760579999999997</v>
      </c>
      <c r="BC146" s="136">
        <f>AX146*(1+BC147)</f>
        <v>3.1463071499999993</v>
      </c>
      <c r="BD146" s="135">
        <f>AY146*(1+BD147)</f>
        <v>3.2730248249999994</v>
      </c>
      <c r="BE146" s="135">
        <f>AZ146*(1+BE147)</f>
        <v>3.3976820499999993</v>
      </c>
      <c r="BF146" s="116">
        <f>BA146*(1+BF147)</f>
        <v>3.1349746749999983</v>
      </c>
      <c r="BG146" s="82">
        <f>+SUM(BC146:BF146)</f>
        <v>12.951988699999998</v>
      </c>
      <c r="BH146" s="136">
        <f>BC146*(1+BH147)</f>
        <v>3.1935017572499991</v>
      </c>
      <c r="BI146" s="135">
        <f>BD146*(1+BI147)</f>
        <v>3.322120197374999</v>
      </c>
      <c r="BJ146" s="135">
        <f>BE146*(1+BJ147)</f>
        <v>3.448647280749999</v>
      </c>
      <c r="BK146" s="116">
        <f>BF146*(1+BK147)</f>
        <v>3.181999295124998</v>
      </c>
      <c r="BL146" s="82">
        <f>+SUM(BH146:BK146)</f>
        <v>13.146268530499995</v>
      </c>
      <c r="BM146" s="136">
        <f>BH146*(1+BM147)</f>
        <v>3.2414042836087487</v>
      </c>
      <c r="BN146" s="135">
        <f>BI146*(1+BN147)</f>
        <v>3.3719520003356238</v>
      </c>
      <c r="BO146" s="135">
        <f>BJ146*(1+BO147)</f>
        <v>3.5003769899612487</v>
      </c>
      <c r="BP146" s="116">
        <f>BK146*(1+BP147)</f>
        <v>3.2297292845518726</v>
      </c>
      <c r="BQ146" s="82">
        <f>+SUM(BM146:BP146)</f>
        <v>13.343462558457494</v>
      </c>
      <c r="BR146" s="220"/>
      <c r="BS146" s="220"/>
      <c r="BT146" s="220"/>
      <c r="BU146" s="220"/>
      <c r="BV146" s="220"/>
      <c r="BW146" s="220"/>
      <c r="BX146" s="220"/>
      <c r="BY146" s="220"/>
      <c r="BZ146" s="220"/>
      <c r="CA146" s="220"/>
      <c r="CB146" s="220"/>
      <c r="CC146" s="220"/>
      <c r="CD146" s="220"/>
      <c r="CE146" s="220"/>
      <c r="CF146" s="220"/>
      <c r="CG146" s="220"/>
      <c r="CH146" s="220"/>
      <c r="CI146" s="220"/>
      <c r="CJ146" s="220"/>
      <c r="CK146" s="220"/>
      <c r="CL146" s="220"/>
      <c r="CM146" s="220"/>
      <c r="CN146" s="220"/>
      <c r="CO146" s="220"/>
      <c r="CP146" s="220"/>
      <c r="CQ146" s="220"/>
      <c r="CR146" s="220"/>
      <c r="CS146" s="220"/>
      <c r="CT146" s="220"/>
      <c r="CU146" s="220"/>
      <c r="CV146" s="220"/>
      <c r="CW146" s="220"/>
      <c r="CX146" s="220"/>
      <c r="CY146" s="220"/>
      <c r="CZ146" s="220"/>
    </row>
    <row r="147" spans="1:104" x14ac:dyDescent="0.2">
      <c r="A147" s="45"/>
      <c r="B147" s="45"/>
      <c r="C147" s="338" t="s">
        <v>287</v>
      </c>
      <c r="D147" s="45"/>
      <c r="E147" s="339"/>
      <c r="F147" s="340"/>
      <c r="G147" s="340"/>
      <c r="H147" s="341"/>
      <c r="I147" s="252"/>
      <c r="J147" s="249">
        <f t="shared" ref="J147:Q147" si="377">+J146/E146-1</f>
        <v>-5.1114023591087854E-2</v>
      </c>
      <c r="K147" s="250">
        <f t="shared" si="377"/>
        <v>0.1753834054266612</v>
      </c>
      <c r="L147" s="250">
        <f t="shared" si="377"/>
        <v>0.46713892168437643</v>
      </c>
      <c r="M147" s="251">
        <f t="shared" si="377"/>
        <v>0.31812819504522261</v>
      </c>
      <c r="N147" s="252">
        <f t="shared" si="377"/>
        <v>0.21406498735836688</v>
      </c>
      <c r="O147" s="249">
        <f t="shared" si="377"/>
        <v>5.6975138121547086E-2</v>
      </c>
      <c r="P147" s="250">
        <f t="shared" si="377"/>
        <v>0.14486450317832067</v>
      </c>
      <c r="Q147" s="250">
        <f t="shared" si="377"/>
        <v>-0.13304721030042921</v>
      </c>
      <c r="R147" s="251">
        <f t="shared" ref="R147:Y147" si="378">+R146/M146-1</f>
        <v>-5.4892601431981269E-2</v>
      </c>
      <c r="S147" s="252">
        <f t="shared" si="378"/>
        <v>-6.3247204010798974E-3</v>
      </c>
      <c r="T147" s="249">
        <f t="shared" si="378"/>
        <v>0.14407056517477934</v>
      </c>
      <c r="U147" s="250">
        <f t="shared" si="378"/>
        <v>5.7860900058445353E-2</v>
      </c>
      <c r="V147" s="250">
        <f t="shared" si="378"/>
        <v>0.14913366336633649</v>
      </c>
      <c r="W147" s="251">
        <f t="shared" si="378"/>
        <v>0.13825757575757591</v>
      </c>
      <c r="X147" s="252">
        <f t="shared" si="378"/>
        <v>0.12101218660249957</v>
      </c>
      <c r="Y147" s="249">
        <f t="shared" si="378"/>
        <v>-0.14563106796116498</v>
      </c>
      <c r="Z147" s="250">
        <f t="shared" ref="Z147:AF147" si="379">+Z146/U146-1</f>
        <v>-0.13867403314917137</v>
      </c>
      <c r="AA147" s="250">
        <f t="shared" si="379"/>
        <v>-0.1564351103931072</v>
      </c>
      <c r="AB147" s="251">
        <f t="shared" si="379"/>
        <v>-0.14309484193011601</v>
      </c>
      <c r="AC147" s="252">
        <f t="shared" si="379"/>
        <v>-0.14603240548400498</v>
      </c>
      <c r="AD147" s="249">
        <f t="shared" si="379"/>
        <v>-0.10695187165775399</v>
      </c>
      <c r="AE147" s="250">
        <f t="shared" si="379"/>
        <v>-3.303399615137903E-2</v>
      </c>
      <c r="AF147" s="250">
        <f t="shared" si="379"/>
        <v>-4.0855410150016036E-2</v>
      </c>
      <c r="AG147" s="251">
        <f t="shared" ref="AG147:AP147" si="380">+AG146/AB146-1</f>
        <v>-7.9288025889967972E-2</v>
      </c>
      <c r="AH147" s="252">
        <f t="shared" si="380"/>
        <v>-6.454228492661962E-2</v>
      </c>
      <c r="AI147" s="249">
        <f t="shared" si="380"/>
        <v>6.8488023952095745E-2</v>
      </c>
      <c r="AJ147" s="250">
        <f t="shared" si="380"/>
        <v>-8.6235489220564121E-3</v>
      </c>
      <c r="AK147" s="250">
        <f t="shared" si="380"/>
        <v>-9.3178036605657821E-3</v>
      </c>
      <c r="AL147" s="251">
        <f t="shared" si="380"/>
        <v>1.0193321616871698E-2</v>
      </c>
      <c r="AM147" s="252">
        <f t="shared" si="380"/>
        <v>1.3695068041951863E-2</v>
      </c>
      <c r="AN147" s="249">
        <f t="shared" si="380"/>
        <v>7.3905429071803752E-2</v>
      </c>
      <c r="AO147" s="250">
        <f t="shared" si="380"/>
        <v>3.5128805620608938E-2</v>
      </c>
      <c r="AP147" s="250">
        <f t="shared" si="380"/>
        <v>0.11118575747396697</v>
      </c>
      <c r="AQ147" s="251">
        <f>+AQ146/AL146-1</f>
        <v>0.10542797494780753</v>
      </c>
      <c r="AR147" s="252">
        <f>+AR146/AM146-1</f>
        <v>8.1231295425395311E-2</v>
      </c>
      <c r="AS147" s="249">
        <f t="shared" ref="AS147" si="381">+AS146/AN146-1</f>
        <v>-3.9138943248532287E-3</v>
      </c>
      <c r="AT147" s="250">
        <f t="shared" ref="AT147" si="382">+AT146/AO146-1</f>
        <v>2.6826115061409306E-2</v>
      </c>
      <c r="AU147" s="250">
        <f t="shared" ref="AU147" si="383">+AU146/AP146-1</f>
        <v>-3.0229746070132846E-3</v>
      </c>
      <c r="AV147" s="251">
        <f>+AV146/AQ146-1</f>
        <v>-4.2178155492603175E-2</v>
      </c>
      <c r="AW147" s="252">
        <f>+AW146/AR146-1</f>
        <v>-5.7730328192961977E-3</v>
      </c>
      <c r="AX147" s="249">
        <f>+AX68</f>
        <v>1.4999999999999999E-2</v>
      </c>
      <c r="AY147" s="250">
        <f>+AY68</f>
        <v>1.4999999999999999E-2</v>
      </c>
      <c r="AZ147" s="250">
        <f>+AZ68</f>
        <v>1.4999999999999999E-2</v>
      </c>
      <c r="BA147" s="251">
        <f>+BA68</f>
        <v>1.4999999999999999E-2</v>
      </c>
      <c r="BB147" s="252">
        <f>+BB146/AW146-1</f>
        <v>1.4999999999999902E-2</v>
      </c>
      <c r="BC147" s="249">
        <f>+BC68</f>
        <v>1.4999999999999999E-2</v>
      </c>
      <c r="BD147" s="250">
        <f>+BD68</f>
        <v>1.4999999999999999E-2</v>
      </c>
      <c r="BE147" s="250">
        <f>+BE68</f>
        <v>1.4999999999999999E-2</v>
      </c>
      <c r="BF147" s="251">
        <f>+BF68</f>
        <v>1.4999999999999999E-2</v>
      </c>
      <c r="BG147" s="252">
        <f>+BG146/BB146-1</f>
        <v>1.5000000000000124E-2</v>
      </c>
      <c r="BH147" s="249">
        <f>+BH68</f>
        <v>1.4999999999999999E-2</v>
      </c>
      <c r="BI147" s="250">
        <f>+BI68</f>
        <v>1.4999999999999999E-2</v>
      </c>
      <c r="BJ147" s="250">
        <f>+BJ68</f>
        <v>1.4999999999999999E-2</v>
      </c>
      <c r="BK147" s="251">
        <f>+BK68</f>
        <v>1.4999999999999999E-2</v>
      </c>
      <c r="BL147" s="252">
        <f>+BL146/BG146-1</f>
        <v>1.4999999999999902E-2</v>
      </c>
      <c r="BM147" s="249">
        <f>+BM68</f>
        <v>1.4999999999999999E-2</v>
      </c>
      <c r="BN147" s="250">
        <f>+BN68</f>
        <v>1.4999999999999999E-2</v>
      </c>
      <c r="BO147" s="250">
        <f>+BO68</f>
        <v>1.4999999999999999E-2</v>
      </c>
      <c r="BP147" s="251">
        <f>+BP68</f>
        <v>1.4999999999999999E-2</v>
      </c>
      <c r="BQ147" s="252">
        <f>+BQ146/BL146-1</f>
        <v>1.4999999999999902E-2</v>
      </c>
      <c r="BR147" s="45"/>
      <c r="BS147" s="45"/>
      <c r="BT147" s="45"/>
      <c r="BU147" s="45"/>
      <c r="BV147" s="45"/>
      <c r="BW147" s="45"/>
      <c r="BX147" s="45"/>
      <c r="BY147" s="45"/>
      <c r="BZ147" s="45"/>
      <c r="CA147" s="45"/>
      <c r="CB147" s="45"/>
      <c r="CC147" s="45"/>
      <c r="CD147" s="45"/>
      <c r="CE147" s="45"/>
      <c r="CF147" s="45"/>
      <c r="CG147" s="45"/>
      <c r="CH147" s="45"/>
      <c r="CI147" s="45"/>
      <c r="CJ147" s="45"/>
      <c r="CK147" s="45"/>
      <c r="CL147" s="45"/>
      <c r="CM147" s="45"/>
      <c r="CN147" s="45"/>
      <c r="CO147" s="45"/>
      <c r="CP147" s="45"/>
      <c r="CQ147" s="45"/>
      <c r="CR147" s="45"/>
      <c r="CS147" s="45"/>
      <c r="CT147" s="45"/>
      <c r="CU147" s="45"/>
      <c r="CV147" s="45"/>
      <c r="CW147" s="45"/>
      <c r="CX147" s="45"/>
      <c r="CY147" s="45"/>
      <c r="CZ147" s="45"/>
    </row>
    <row r="148" spans="1:104" x14ac:dyDescent="0.2">
      <c r="A148" s="20"/>
      <c r="B148" s="20"/>
      <c r="C148" s="20"/>
      <c r="D148" s="20"/>
      <c r="E148" s="203"/>
      <c r="F148" s="204"/>
      <c r="G148" s="204"/>
      <c r="H148" s="205"/>
      <c r="I148" s="206"/>
      <c r="J148" s="203"/>
      <c r="K148" s="204"/>
      <c r="L148" s="204"/>
      <c r="M148" s="205"/>
      <c r="N148" s="206"/>
      <c r="O148" s="203"/>
      <c r="P148" s="204"/>
      <c r="Q148" s="204"/>
      <c r="R148" s="205"/>
      <c r="S148" s="206"/>
      <c r="T148" s="203"/>
      <c r="U148" s="204"/>
      <c r="V148" s="204"/>
      <c r="W148" s="205"/>
      <c r="X148" s="206"/>
      <c r="Y148" s="203"/>
      <c r="Z148" s="204"/>
      <c r="AA148" s="204"/>
      <c r="AB148" s="205"/>
      <c r="AC148" s="206"/>
      <c r="AD148" s="203"/>
      <c r="AE148" s="204"/>
      <c r="AF148" s="204"/>
      <c r="AG148" s="205"/>
      <c r="AH148" s="206"/>
      <c r="AI148" s="203"/>
      <c r="AJ148" s="204"/>
      <c r="AK148" s="204"/>
      <c r="AL148" s="205"/>
      <c r="AM148" s="206"/>
      <c r="AN148" s="203"/>
      <c r="AO148" s="204"/>
      <c r="AP148" s="204"/>
      <c r="AQ148" s="205"/>
      <c r="AR148" s="206"/>
      <c r="AS148" s="203"/>
      <c r="AT148" s="204"/>
      <c r="AU148" s="204"/>
      <c r="AV148" s="205"/>
      <c r="AW148" s="206"/>
      <c r="AX148" s="203"/>
      <c r="AY148" s="204"/>
      <c r="AZ148" s="204"/>
      <c r="BA148" s="205"/>
      <c r="BB148" s="206"/>
      <c r="BC148" s="203"/>
      <c r="BD148" s="204"/>
      <c r="BE148" s="204"/>
      <c r="BF148" s="205"/>
      <c r="BG148" s="206"/>
      <c r="BH148" s="203"/>
      <c r="BI148" s="204"/>
      <c r="BJ148" s="204"/>
      <c r="BK148" s="205"/>
      <c r="BL148" s="206"/>
      <c r="BM148" s="203"/>
      <c r="BN148" s="204"/>
      <c r="BO148" s="204"/>
      <c r="BP148" s="205"/>
      <c r="BQ148" s="206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</row>
    <row r="149" spans="1:104" x14ac:dyDescent="0.2">
      <c r="A149" s="20"/>
      <c r="B149" s="20"/>
      <c r="C149" s="20"/>
      <c r="D149" s="20"/>
      <c r="E149" s="203"/>
      <c r="F149" s="204"/>
      <c r="G149" s="204"/>
      <c r="H149" s="205"/>
      <c r="I149" s="206"/>
      <c r="J149" s="203"/>
      <c r="K149" s="204"/>
      <c r="L149" s="204"/>
      <c r="M149" s="205"/>
      <c r="N149" s="206"/>
      <c r="O149" s="203"/>
      <c r="P149" s="204"/>
      <c r="Q149" s="204"/>
      <c r="R149" s="205"/>
      <c r="S149" s="206"/>
      <c r="T149" s="203"/>
      <c r="U149" s="204"/>
      <c r="V149" s="204"/>
      <c r="W149" s="205"/>
      <c r="X149" s="206"/>
      <c r="Y149" s="203"/>
      <c r="Z149" s="204"/>
      <c r="AA149" s="204"/>
      <c r="AB149" s="205"/>
      <c r="AC149" s="206"/>
      <c r="AD149" s="203"/>
      <c r="AE149" s="204"/>
      <c r="AF149" s="204"/>
      <c r="AG149" s="205"/>
      <c r="AH149" s="206"/>
      <c r="AI149" s="203"/>
      <c r="AJ149" s="204"/>
      <c r="AK149" s="204"/>
      <c r="AL149" s="205"/>
      <c r="AM149" s="206"/>
      <c r="AN149" s="203"/>
      <c r="AO149" s="204"/>
      <c r="AP149" s="204"/>
      <c r="AQ149" s="205"/>
      <c r="AR149" s="206"/>
      <c r="AS149" s="203"/>
      <c r="AT149" s="204"/>
      <c r="AU149" s="204"/>
      <c r="AV149" s="205"/>
      <c r="AW149" s="206"/>
      <c r="AX149" s="203"/>
      <c r="AY149" s="204"/>
      <c r="AZ149" s="204"/>
      <c r="BA149" s="205"/>
      <c r="BB149" s="206"/>
      <c r="BC149" s="203"/>
      <c r="BD149" s="204"/>
      <c r="BE149" s="204"/>
      <c r="BF149" s="205"/>
      <c r="BG149" s="206"/>
      <c r="BH149" s="203"/>
      <c r="BI149" s="204"/>
      <c r="BJ149" s="204"/>
      <c r="BK149" s="205"/>
      <c r="BL149" s="206"/>
      <c r="BM149" s="203"/>
      <c r="BN149" s="204"/>
      <c r="BO149" s="204"/>
      <c r="BP149" s="205"/>
      <c r="BQ149" s="206"/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  <c r="CT149" s="20"/>
      <c r="CU149" s="20"/>
      <c r="CV149" s="20"/>
      <c r="CW149" s="20"/>
      <c r="CX149" s="20"/>
      <c r="CY149" s="20"/>
      <c r="CZ149" s="20"/>
    </row>
    <row r="150" spans="1:104" x14ac:dyDescent="0.2">
      <c r="A150" s="20"/>
      <c r="B150" s="16" t="s">
        <v>288</v>
      </c>
      <c r="C150" s="16"/>
      <c r="D150" s="17"/>
      <c r="E150" s="203"/>
      <c r="F150" s="204"/>
      <c r="G150" s="204"/>
      <c r="H150" s="205"/>
      <c r="I150" s="206"/>
      <c r="J150" s="203"/>
      <c r="K150" s="204"/>
      <c r="L150" s="204"/>
      <c r="M150" s="205"/>
      <c r="N150" s="206"/>
      <c r="O150" s="203"/>
      <c r="P150" s="204"/>
      <c r="Q150" s="204"/>
      <c r="R150" s="205"/>
      <c r="S150" s="206"/>
      <c r="T150" s="203"/>
      <c r="U150" s="204"/>
      <c r="V150" s="204"/>
      <c r="W150" s="205"/>
      <c r="X150" s="206"/>
      <c r="Y150" s="203"/>
      <c r="Z150" s="204"/>
      <c r="AA150" s="204"/>
      <c r="AB150" s="205"/>
      <c r="AC150" s="206"/>
      <c r="AD150" s="203"/>
      <c r="AE150" s="204"/>
      <c r="AF150" s="204"/>
      <c r="AG150" s="205"/>
      <c r="AH150" s="206"/>
      <c r="AI150" s="203"/>
      <c r="AJ150" s="204"/>
      <c r="AK150" s="204"/>
      <c r="AL150" s="205"/>
      <c r="AM150" s="206"/>
      <c r="AN150" s="203"/>
      <c r="AO150" s="204"/>
      <c r="AP150" s="204"/>
      <c r="AQ150" s="205"/>
      <c r="AR150" s="206"/>
      <c r="AS150" s="203"/>
      <c r="AT150" s="204"/>
      <c r="AU150" s="204"/>
      <c r="AV150" s="205"/>
      <c r="AW150" s="206"/>
      <c r="AX150" s="203"/>
      <c r="AY150" s="204"/>
      <c r="AZ150" s="204"/>
      <c r="BA150" s="205"/>
      <c r="BB150" s="206"/>
      <c r="BC150" s="203"/>
      <c r="BD150" s="204"/>
      <c r="BE150" s="204"/>
      <c r="BF150" s="205"/>
      <c r="BG150" s="206"/>
      <c r="BH150" s="203"/>
      <c r="BI150" s="204"/>
      <c r="BJ150" s="204"/>
      <c r="BK150" s="205"/>
      <c r="BL150" s="206"/>
      <c r="BM150" s="203"/>
      <c r="BN150" s="204"/>
      <c r="BO150" s="204"/>
      <c r="BP150" s="205"/>
      <c r="BQ150" s="206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</row>
    <row r="151" spans="1:104" x14ac:dyDescent="0.2">
      <c r="A151" s="20"/>
      <c r="B151" s="20"/>
      <c r="C151" s="20"/>
      <c r="D151" s="20"/>
      <c r="E151" s="203"/>
      <c r="F151" s="204"/>
      <c r="G151" s="204"/>
      <c r="H151" s="205"/>
      <c r="I151" s="206"/>
      <c r="J151" s="203"/>
      <c r="K151" s="204"/>
      <c r="L151" s="204"/>
      <c r="M151" s="205"/>
      <c r="N151" s="206"/>
      <c r="O151" s="203"/>
      <c r="P151" s="204"/>
      <c r="Q151" s="204"/>
      <c r="R151" s="205"/>
      <c r="S151" s="206"/>
      <c r="T151" s="203"/>
      <c r="U151" s="204"/>
      <c r="V151" s="204"/>
      <c r="W151" s="205"/>
      <c r="X151" s="206"/>
      <c r="Y151" s="203"/>
      <c r="Z151" s="204"/>
      <c r="AA151" s="204"/>
      <c r="AB151" s="205"/>
      <c r="AC151" s="206"/>
      <c r="AD151" s="203"/>
      <c r="AE151" s="204"/>
      <c r="AF151" s="204"/>
      <c r="AG151" s="205"/>
      <c r="AH151" s="206"/>
      <c r="AI151" s="203"/>
      <c r="AJ151" s="204"/>
      <c r="AK151" s="204"/>
      <c r="AL151" s="205"/>
      <c r="AM151" s="206"/>
      <c r="AN151" s="203"/>
      <c r="AO151" s="204"/>
      <c r="AP151" s="204"/>
      <c r="AQ151" s="205"/>
      <c r="AR151" s="206"/>
      <c r="AS151" s="203"/>
      <c r="AT151" s="204"/>
      <c r="AU151" s="204"/>
      <c r="AV151" s="205"/>
      <c r="AW151" s="206"/>
      <c r="AX151" s="203"/>
      <c r="AY151" s="204"/>
      <c r="AZ151" s="204"/>
      <c r="BA151" s="205"/>
      <c r="BB151" s="206"/>
      <c r="BC151" s="203"/>
      <c r="BD151" s="204"/>
      <c r="BE151" s="204"/>
      <c r="BF151" s="205"/>
      <c r="BG151" s="206"/>
      <c r="BH151" s="203"/>
      <c r="BI151" s="204"/>
      <c r="BJ151" s="204"/>
      <c r="BK151" s="205"/>
      <c r="BL151" s="206"/>
      <c r="BM151" s="203"/>
      <c r="BN151" s="204"/>
      <c r="BO151" s="204"/>
      <c r="BP151" s="205"/>
      <c r="BQ151" s="206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</row>
    <row r="152" spans="1:104" x14ac:dyDescent="0.2">
      <c r="A152" s="85"/>
      <c r="B152" s="85"/>
      <c r="C152" s="289" t="s">
        <v>289</v>
      </c>
      <c r="D152" s="86"/>
      <c r="E152" s="114">
        <f>1441.752+175.676+111.998</f>
        <v>1729.4259999999999</v>
      </c>
      <c r="F152" s="115">
        <f>1450.647+180.586+112.041</f>
        <v>1743.2739999999999</v>
      </c>
      <c r="G152" s="115">
        <f>1475.385+185.053+112.36</f>
        <v>1772.798</v>
      </c>
      <c r="H152" s="116">
        <f>I152</f>
        <v>1783.3809999999999</v>
      </c>
      <c r="I152" s="117">
        <f>1486.696+187.459+109.226</f>
        <v>1783.3809999999999</v>
      </c>
      <c r="J152" s="114">
        <f>1497.285+189.219+110.19</f>
        <v>1796.6940000000002</v>
      </c>
      <c r="K152" s="115">
        <f>1514.491+192.192+111.012</f>
        <v>1817.6949999999999</v>
      </c>
      <c r="L152" s="115">
        <f>1546.801+194.835+111.872</f>
        <v>1853.508</v>
      </c>
      <c r="M152" s="119">
        <f>N152</f>
        <v>1913.73</v>
      </c>
      <c r="N152" s="117">
        <f>1590.713+199.224+123.793</f>
        <v>1913.73</v>
      </c>
      <c r="O152" s="114">
        <f>1606.831+200.277+124.736</f>
        <v>1931.8440000000001</v>
      </c>
      <c r="P152" s="115">
        <f>1633.63+203.046+128.044</f>
        <v>1964.7200000000003</v>
      </c>
      <c r="Q152" s="115">
        <f>1649.193+206.149+111.672</f>
        <v>1967.0140000000001</v>
      </c>
      <c r="R152" s="119">
        <f>S152</f>
        <v>2011.799</v>
      </c>
      <c r="S152" s="117">
        <f>1684.537+213.665+113.597</f>
        <v>2011.799</v>
      </c>
      <c r="T152" s="114">
        <f>1704.038+214.655+112.213</f>
        <v>2030.9059999999999</v>
      </c>
      <c r="U152" s="115">
        <f>1725.905+217.159+109.588</f>
        <v>2052.652</v>
      </c>
      <c r="V152" s="115">
        <f>1744.066+219.63+110.494</f>
        <v>2074.19</v>
      </c>
      <c r="W152" s="119">
        <f>X152</f>
        <v>2131.183</v>
      </c>
      <c r="X152" s="117">
        <f>1795.239+224.625+111.319</f>
        <v>2131.183</v>
      </c>
      <c r="Y152" s="114">
        <f>1817.31+226.657+110.715</f>
        <v>2154.6819999999998</v>
      </c>
      <c r="Z152" s="115">
        <f>1848.303+227.79+112.043</f>
        <v>2188.1360000000004</v>
      </c>
      <c r="AA152" s="115">
        <f>1869.563+231.778+112.514</f>
        <v>2213.855</v>
      </c>
      <c r="AB152" s="119">
        <f>AC152</f>
        <v>2262.2869999999998</v>
      </c>
      <c r="AC152" s="117">
        <f>1913.354+236.047+112.886</f>
        <v>2262.2869999999998</v>
      </c>
      <c r="AD152" s="114">
        <f>1943.653+238.338+114.712</f>
        <v>2296.703</v>
      </c>
      <c r="AE152" s="115">
        <f>1984.497+239.659+114.063</f>
        <v>2338.2190000000001</v>
      </c>
      <c r="AF152" s="115">
        <f>2003.119+244.244+115.199</f>
        <v>2362.5619999999999</v>
      </c>
      <c r="AG152" s="119">
        <f>AH152</f>
        <v>2443.0720000000001</v>
      </c>
      <c r="AH152" s="117">
        <f>2061.669+255.465+125.938</f>
        <v>2443.0720000000001</v>
      </c>
      <c r="AI152" s="114">
        <f>2152.862+257.471+125.153</f>
        <v>2535.4859999999999</v>
      </c>
      <c r="AJ152" s="115">
        <f>2178.038+259.82+125.424</f>
        <v>2563.2820000000002</v>
      </c>
      <c r="AK152" s="115">
        <f>2332.155+264.39+124.584</f>
        <v>2721.1289999999999</v>
      </c>
      <c r="AL152" s="119">
        <f>AM152</f>
        <v>2819.2670000000003</v>
      </c>
      <c r="AM152" s="117">
        <f>2411.562+275.376+132.329</f>
        <v>2819.2670000000003</v>
      </c>
      <c r="AN152" s="114">
        <f>2431.503+276.568+134.327</f>
        <v>2842.3980000000001</v>
      </c>
      <c r="AO152" s="115">
        <f>2446.606+278.389+136.356</f>
        <v>2861.3510000000006</v>
      </c>
      <c r="AP152" s="115">
        <f>2471.42+285.829+134.988</f>
        <v>2892.2370000000001</v>
      </c>
      <c r="AQ152" s="119">
        <f>AR152</f>
        <v>2950.7029999999995</v>
      </c>
      <c r="AR152" s="117">
        <f>2499.401+294.986+156.316</f>
        <v>2950.7029999999995</v>
      </c>
      <c r="AS152" s="114">
        <f>2520.158+299.926+156.213</f>
        <v>2976.297</v>
      </c>
      <c r="AT152" s="115">
        <f>2534.258+307.217+170.486</f>
        <v>3011.9609999999998</v>
      </c>
      <c r="AU152" s="115">
        <f>2553.562+317.902+185.612</f>
        <v>3057.076</v>
      </c>
      <c r="AV152" s="119">
        <f>AW152</f>
        <v>3110.4989999999998</v>
      </c>
      <c r="AW152" s="117">
        <f>2602.671+326.723+181.105</f>
        <v>3110.4989999999998</v>
      </c>
      <c r="AX152" s="136">
        <f>AW152+AX169-(AX156-AW156)</f>
        <v>3151.7857732322977</v>
      </c>
      <c r="AY152" s="135">
        <f>AX152+AY169-(AY156-AX156)</f>
        <v>3214.2857732322977</v>
      </c>
      <c r="AZ152" s="135">
        <f>AY152+AZ169-(AZ156-AY156)</f>
        <v>3276.7857732322977</v>
      </c>
      <c r="BA152" s="116">
        <f>AZ152+BA169-(BA156-AZ156)</f>
        <v>3339.2857732322977</v>
      </c>
      <c r="BB152" s="82">
        <f>BA152</f>
        <v>3339.2857732322977</v>
      </c>
      <c r="BC152" s="136">
        <f>BB152+BC169-(BC156-BB156)</f>
        <v>3401.7857732322977</v>
      </c>
      <c r="BD152" s="135">
        <f>BC152+BD169-(BD156-BC156)</f>
        <v>3464.2857732322977</v>
      </c>
      <c r="BE152" s="135">
        <f>BD152+BE169-(BE156-BD156)</f>
        <v>3526.7857732322977</v>
      </c>
      <c r="BF152" s="116">
        <f>BE152+BF169-(BF156-BE156)</f>
        <v>3589.2857732322977</v>
      </c>
      <c r="BG152" s="82">
        <f>BF152</f>
        <v>3589.2857732322977</v>
      </c>
      <c r="BH152" s="136">
        <f>BG152+BH169-(BH156-BG156)</f>
        <v>3656.0851023030059</v>
      </c>
      <c r="BI152" s="135">
        <f>BH152+BI169-(BI156-BH156)</f>
        <v>3716.0851023030059</v>
      </c>
      <c r="BJ152" s="135">
        <f>BI152+BJ169-(BJ156-BI156)</f>
        <v>3776.0851023030059</v>
      </c>
      <c r="BK152" s="116">
        <f>BJ152+BK169-(BK156-BJ156)</f>
        <v>3836.0851023030059</v>
      </c>
      <c r="BL152" s="82">
        <f>BK152</f>
        <v>3836.0851023030059</v>
      </c>
      <c r="BM152" s="136">
        <f>BL152+BM169-(BM156-BL156)</f>
        <v>3878.8877860201737</v>
      </c>
      <c r="BN152" s="135">
        <f>BM152+BN169-(BN156-BM156)</f>
        <v>3948.8877860201737</v>
      </c>
      <c r="BO152" s="135">
        <f>BN152+BO169-(BO156-BN156)</f>
        <v>4018.8877860201737</v>
      </c>
      <c r="BP152" s="116">
        <f>BO152+BP169-(BP156-BO156)</f>
        <v>4088.8877860201737</v>
      </c>
      <c r="BQ152" s="82">
        <f>BP152</f>
        <v>4088.8877860201737</v>
      </c>
      <c r="BR152" s="220"/>
      <c r="BS152" s="220"/>
      <c r="BT152" s="220"/>
      <c r="BU152" s="220"/>
      <c r="BV152" s="220"/>
      <c r="BW152" s="220"/>
      <c r="BX152" s="220"/>
      <c r="BY152" s="220"/>
      <c r="BZ152" s="220"/>
      <c r="CA152" s="220"/>
      <c r="CB152" s="220"/>
      <c r="CC152" s="220"/>
      <c r="CD152" s="220"/>
      <c r="CE152" s="220"/>
      <c r="CF152" s="220"/>
      <c r="CG152" s="220"/>
      <c r="CH152" s="220"/>
      <c r="CI152" s="220"/>
      <c r="CJ152" s="220"/>
      <c r="CK152" s="220"/>
      <c r="CL152" s="220"/>
      <c r="CM152" s="220"/>
      <c r="CN152" s="220"/>
      <c r="CO152" s="220"/>
      <c r="CP152" s="220"/>
      <c r="CQ152" s="220"/>
      <c r="CR152" s="220"/>
      <c r="CS152" s="220"/>
      <c r="CT152" s="220"/>
      <c r="CU152" s="220"/>
      <c r="CV152" s="220"/>
      <c r="CW152" s="220"/>
      <c r="CX152" s="220"/>
      <c r="CY152" s="220"/>
      <c r="CZ152" s="220"/>
    </row>
    <row r="153" spans="1:104" x14ac:dyDescent="0.2">
      <c r="A153" s="220"/>
      <c r="B153" s="220"/>
      <c r="C153" s="289" t="s">
        <v>203</v>
      </c>
      <c r="D153" s="82"/>
      <c r="E153" s="114">
        <v>749.52300000000002</v>
      </c>
      <c r="F153" s="115">
        <v>762.22500000000002</v>
      </c>
      <c r="G153" s="115">
        <v>774.39</v>
      </c>
      <c r="H153" s="119">
        <f>I153</f>
        <v>775.75199999999995</v>
      </c>
      <c r="I153" s="117">
        <v>775.75199999999995</v>
      </c>
      <c r="J153" s="114">
        <v>789.27</v>
      </c>
      <c r="K153" s="115">
        <v>802.52800000000002</v>
      </c>
      <c r="L153" s="115">
        <v>815.62300000000005</v>
      </c>
      <c r="M153" s="119">
        <f>N153</f>
        <v>826.26199999999994</v>
      </c>
      <c r="N153" s="117">
        <v>826.26199999999994</v>
      </c>
      <c r="O153" s="114">
        <v>839.50800000000004</v>
      </c>
      <c r="P153" s="115">
        <v>852.96900000000005</v>
      </c>
      <c r="Q153" s="115">
        <v>1172.002</v>
      </c>
      <c r="R153" s="119">
        <f>S153</f>
        <v>858.72799999999995</v>
      </c>
      <c r="S153" s="117">
        <v>858.72799999999995</v>
      </c>
      <c r="T153" s="114">
        <v>871.67200000000003</v>
      </c>
      <c r="U153" s="115">
        <v>872.04899999999998</v>
      </c>
      <c r="V153" s="115">
        <v>885.01599999999996</v>
      </c>
      <c r="W153" s="119">
        <f>X153</f>
        <v>895.57600000000002</v>
      </c>
      <c r="X153" s="117">
        <v>895.57600000000002</v>
      </c>
      <c r="Y153" s="114">
        <v>908.60400000000004</v>
      </c>
      <c r="Z153" s="115">
        <v>921.56700000000001</v>
      </c>
      <c r="AA153" s="115">
        <v>936.64400000000001</v>
      </c>
      <c r="AB153" s="119">
        <f>AC153</f>
        <v>947.46199999999999</v>
      </c>
      <c r="AC153" s="117">
        <v>947.46199999999999</v>
      </c>
      <c r="AD153" s="114">
        <v>958.56799999999998</v>
      </c>
      <c r="AE153" s="115">
        <v>971.38199999999995</v>
      </c>
      <c r="AF153" s="115">
        <v>985.56399999999996</v>
      </c>
      <c r="AG153" s="119">
        <f>AH153</f>
        <v>1000.204</v>
      </c>
      <c r="AH153" s="117">
        <v>1000.204</v>
      </c>
      <c r="AI153" s="114">
        <v>1014.0069999999999</v>
      </c>
      <c r="AJ153" s="115">
        <v>1029.6559999999999</v>
      </c>
      <c r="AK153" s="115">
        <v>1043.903</v>
      </c>
      <c r="AL153" s="119">
        <f>AM153</f>
        <v>1056.943</v>
      </c>
      <c r="AM153" s="117">
        <v>1056.943</v>
      </c>
      <c r="AN153" s="114">
        <v>1073.779</v>
      </c>
      <c r="AO153" s="115">
        <v>1089.991</v>
      </c>
      <c r="AP153" s="115">
        <v>1108.0840000000001</v>
      </c>
      <c r="AQ153" s="119">
        <f>AR153</f>
        <v>1121.8879999999999</v>
      </c>
      <c r="AR153" s="117">
        <v>1121.8879999999999</v>
      </c>
      <c r="AS153" s="114">
        <v>1140.0940000000001</v>
      </c>
      <c r="AT153" s="115">
        <v>1157.0719999999999</v>
      </c>
      <c r="AU153" s="115">
        <v>1175.847</v>
      </c>
      <c r="AV153" s="119">
        <f>AW153</f>
        <v>1170.5409999999999</v>
      </c>
      <c r="AW153" s="117">
        <v>1170.5409999999999</v>
      </c>
      <c r="AX153" s="136">
        <f>+AW153+AX158</f>
        <v>1199.5597634675794</v>
      </c>
      <c r="AY153" s="135">
        <f>+AX153+AY158</f>
        <v>1228.7620373377451</v>
      </c>
      <c r="AZ153" s="135">
        <f>+AY153+AZ158</f>
        <v>1258.4623935574102</v>
      </c>
      <c r="BA153" s="116">
        <f>+AZ153+BA158</f>
        <v>1288.6533815869816</v>
      </c>
      <c r="BB153" s="82">
        <f>+BA153</f>
        <v>1288.6533815869816</v>
      </c>
      <c r="BC153" s="136">
        <f>+BB153+BC158</f>
        <v>1319.3276623353856</v>
      </c>
      <c r="BD153" s="135">
        <f>+BC153+BD158</f>
        <v>1350.4780064929705</v>
      </c>
      <c r="BE153" s="135">
        <f>+BD153+BE158</f>
        <v>1382.0972928893466</v>
      </c>
      <c r="BF153" s="116">
        <f>+BE153+BF158</f>
        <v>1414.1785068757908</v>
      </c>
      <c r="BG153" s="82">
        <f>+BF153</f>
        <v>1414.1785068757908</v>
      </c>
      <c r="BH153" s="136">
        <f>+BG153+BH158</f>
        <v>1446.714738731848</v>
      </c>
      <c r="BI153" s="135">
        <f>+BH153+BI158</f>
        <v>1479.7634933918723</v>
      </c>
      <c r="BJ153" s="135">
        <f>+BI153+BJ158</f>
        <v>1513.2153968900043</v>
      </c>
      <c r="BK153" s="116">
        <f>+BJ153+BK158</f>
        <v>1547.064418744772</v>
      </c>
      <c r="BL153" s="82">
        <f>+BK153</f>
        <v>1547.064418744772</v>
      </c>
      <c r="BM153" s="136">
        <f>+BL153+BM158</f>
        <v>1581.3046186813549</v>
      </c>
      <c r="BN153" s="135">
        <f>+BM153+BN158</f>
        <v>1615.6729000978069</v>
      </c>
      <c r="BO153" s="135">
        <f>+BN153+BO158</f>
        <v>1650.5741767716404</v>
      </c>
      <c r="BP153" s="116">
        <f>+BO153+BP158</f>
        <v>1686.0004759202986</v>
      </c>
      <c r="BQ153" s="82">
        <f>+BP153</f>
        <v>1686.0004759202986</v>
      </c>
      <c r="BR153" s="220"/>
      <c r="BS153" s="220"/>
      <c r="BT153" s="220"/>
      <c r="BU153" s="220"/>
      <c r="BV153" s="220"/>
      <c r="BW153" s="220"/>
      <c r="BX153" s="220"/>
      <c r="BY153" s="220"/>
      <c r="BZ153" s="220"/>
      <c r="CA153" s="220"/>
      <c r="CB153" s="220"/>
      <c r="CC153" s="220"/>
      <c r="CD153" s="220"/>
      <c r="CE153" s="220"/>
      <c r="CF153" s="220"/>
      <c r="CG153" s="220"/>
      <c r="CH153" s="220"/>
      <c r="CI153" s="220"/>
      <c r="CJ153" s="220"/>
      <c r="CK153" s="220"/>
      <c r="CL153" s="220"/>
      <c r="CM153" s="220"/>
      <c r="CN153" s="220"/>
      <c r="CO153" s="220"/>
      <c r="CP153" s="220"/>
      <c r="CQ153" s="220"/>
      <c r="CR153" s="220"/>
      <c r="CS153" s="220"/>
      <c r="CT153" s="220"/>
      <c r="CU153" s="220"/>
      <c r="CV153" s="220"/>
      <c r="CW153" s="220"/>
      <c r="CX153" s="220"/>
      <c r="CY153" s="220"/>
      <c r="CZ153" s="220"/>
    </row>
    <row r="154" spans="1:104" x14ac:dyDescent="0.2">
      <c r="A154" s="220"/>
      <c r="B154" s="220"/>
      <c r="C154" s="336" t="s">
        <v>206</v>
      </c>
      <c r="D154" s="82"/>
      <c r="E154" s="121">
        <f t="shared" ref="E154:T154" si="384">E152-E153</f>
        <v>979.90299999999991</v>
      </c>
      <c r="F154" s="122">
        <f t="shared" si="384"/>
        <v>981.04899999999986</v>
      </c>
      <c r="G154" s="122">
        <f t="shared" si="384"/>
        <v>998.40800000000002</v>
      </c>
      <c r="H154" s="123">
        <f t="shared" si="384"/>
        <v>1007.6289999999999</v>
      </c>
      <c r="I154" s="86">
        <f t="shared" si="384"/>
        <v>1007.6289999999999</v>
      </c>
      <c r="J154" s="121">
        <f t="shared" si="384"/>
        <v>1007.4240000000002</v>
      </c>
      <c r="K154" s="122">
        <f t="shared" si="384"/>
        <v>1015.1669999999999</v>
      </c>
      <c r="L154" s="122">
        <f t="shared" si="384"/>
        <v>1037.885</v>
      </c>
      <c r="M154" s="123">
        <f t="shared" si="384"/>
        <v>1087.4680000000001</v>
      </c>
      <c r="N154" s="86">
        <f t="shared" si="384"/>
        <v>1087.4680000000001</v>
      </c>
      <c r="O154" s="121">
        <f t="shared" si="384"/>
        <v>1092.336</v>
      </c>
      <c r="P154" s="122">
        <f t="shared" si="384"/>
        <v>1111.7510000000002</v>
      </c>
      <c r="Q154" s="122">
        <f>Q152-Q153</f>
        <v>795.01200000000017</v>
      </c>
      <c r="R154" s="123">
        <f t="shared" si="384"/>
        <v>1153.0709999999999</v>
      </c>
      <c r="S154" s="86">
        <f>S152-S153</f>
        <v>1153.0709999999999</v>
      </c>
      <c r="T154" s="121">
        <f t="shared" si="384"/>
        <v>1159.2339999999999</v>
      </c>
      <c r="U154" s="122">
        <f t="shared" ref="U154:AJ154" si="385">U152-U153</f>
        <v>1180.6030000000001</v>
      </c>
      <c r="V154" s="122">
        <f t="shared" si="385"/>
        <v>1189.174</v>
      </c>
      <c r="W154" s="123">
        <f t="shared" si="385"/>
        <v>1235.607</v>
      </c>
      <c r="X154" s="86">
        <f t="shared" si="385"/>
        <v>1235.607</v>
      </c>
      <c r="Y154" s="121">
        <f t="shared" si="385"/>
        <v>1246.0779999999997</v>
      </c>
      <c r="Z154" s="122">
        <f t="shared" si="385"/>
        <v>1266.5690000000004</v>
      </c>
      <c r="AA154" s="122">
        <f t="shared" si="385"/>
        <v>1277.211</v>
      </c>
      <c r="AB154" s="123">
        <f t="shared" si="385"/>
        <v>1314.8249999999998</v>
      </c>
      <c r="AC154" s="86">
        <f t="shared" si="385"/>
        <v>1314.8249999999998</v>
      </c>
      <c r="AD154" s="121">
        <f t="shared" si="385"/>
        <v>1338.135</v>
      </c>
      <c r="AE154" s="122">
        <f t="shared" si="385"/>
        <v>1366.837</v>
      </c>
      <c r="AF154" s="122">
        <f t="shared" si="385"/>
        <v>1376.998</v>
      </c>
      <c r="AG154" s="123">
        <f t="shared" si="385"/>
        <v>1442.8680000000002</v>
      </c>
      <c r="AH154" s="86">
        <f t="shared" si="385"/>
        <v>1442.8680000000002</v>
      </c>
      <c r="AI154" s="121">
        <f t="shared" si="385"/>
        <v>1521.4789999999998</v>
      </c>
      <c r="AJ154" s="122">
        <f t="shared" si="385"/>
        <v>1533.6260000000002</v>
      </c>
      <c r="AK154" s="122">
        <f t="shared" ref="AK154:AP154" si="386">AK152-AK153</f>
        <v>1677.2259999999999</v>
      </c>
      <c r="AL154" s="123">
        <f t="shared" si="386"/>
        <v>1762.3240000000003</v>
      </c>
      <c r="AM154" s="86">
        <f t="shared" si="386"/>
        <v>1762.3240000000003</v>
      </c>
      <c r="AN154" s="121">
        <f t="shared" si="386"/>
        <v>1768.6190000000001</v>
      </c>
      <c r="AO154" s="122">
        <f t="shared" si="386"/>
        <v>1771.3600000000006</v>
      </c>
      <c r="AP154" s="122">
        <f t="shared" si="386"/>
        <v>1784.153</v>
      </c>
      <c r="AQ154" s="123">
        <f t="shared" ref="AQ154:AU154" si="387">AQ152-AQ153</f>
        <v>1828.8149999999996</v>
      </c>
      <c r="AR154" s="86">
        <f t="shared" si="387"/>
        <v>1828.8149999999996</v>
      </c>
      <c r="AS154" s="121">
        <f t="shared" si="387"/>
        <v>1836.203</v>
      </c>
      <c r="AT154" s="122">
        <f t="shared" si="387"/>
        <v>1854.8889999999999</v>
      </c>
      <c r="AU154" s="122">
        <f t="shared" si="387"/>
        <v>1881.229</v>
      </c>
      <c r="AV154" s="123">
        <f t="shared" ref="AV154:AW154" si="388">AV152-AV153</f>
        <v>1939.9579999999999</v>
      </c>
      <c r="AW154" s="86">
        <f t="shared" si="388"/>
        <v>1939.9579999999999</v>
      </c>
      <c r="AX154" s="121">
        <f t="shared" ref="AX154:BG154" si="389">AX152-AX153</f>
        <v>1952.2260097647184</v>
      </c>
      <c r="AY154" s="122">
        <f>AY152-AY153</f>
        <v>1985.5237358945526</v>
      </c>
      <c r="AZ154" s="122">
        <f>AZ152-AZ153</f>
        <v>2018.3233796748875</v>
      </c>
      <c r="BA154" s="123">
        <f>BA152-BA153</f>
        <v>2050.6323916453161</v>
      </c>
      <c r="BB154" s="86">
        <f>BB152-BB153</f>
        <v>2050.6323916453161</v>
      </c>
      <c r="BC154" s="121">
        <f t="shared" si="389"/>
        <v>2082.4581108969123</v>
      </c>
      <c r="BD154" s="122">
        <f t="shared" si="389"/>
        <v>2113.8077667393272</v>
      </c>
      <c r="BE154" s="122">
        <f t="shared" si="389"/>
        <v>2144.6884803429512</v>
      </c>
      <c r="BF154" s="123">
        <f t="shared" si="389"/>
        <v>2175.1072663565069</v>
      </c>
      <c r="BG154" s="86">
        <f t="shared" si="389"/>
        <v>2175.1072663565069</v>
      </c>
      <c r="BH154" s="121">
        <f t="shared" ref="BH154:BQ154" si="390">BH152-BH153</f>
        <v>2209.3703635711581</v>
      </c>
      <c r="BI154" s="122">
        <f t="shared" si="390"/>
        <v>2236.3216089111338</v>
      </c>
      <c r="BJ154" s="122">
        <f t="shared" si="390"/>
        <v>2262.8697054130016</v>
      </c>
      <c r="BK154" s="123">
        <f t="shared" si="390"/>
        <v>2289.0206835582339</v>
      </c>
      <c r="BL154" s="86">
        <f t="shared" si="390"/>
        <v>2289.0206835582339</v>
      </c>
      <c r="BM154" s="121">
        <f t="shared" si="390"/>
        <v>2297.5831673388188</v>
      </c>
      <c r="BN154" s="122">
        <f t="shared" si="390"/>
        <v>2333.2148859223671</v>
      </c>
      <c r="BO154" s="122">
        <f t="shared" si="390"/>
        <v>2368.3136092485333</v>
      </c>
      <c r="BP154" s="123">
        <f t="shared" si="390"/>
        <v>2402.8873100998753</v>
      </c>
      <c r="BQ154" s="86">
        <f t="shared" si="390"/>
        <v>2402.8873100998753</v>
      </c>
      <c r="BR154" s="220"/>
      <c r="BS154" s="220"/>
      <c r="BT154" s="220"/>
      <c r="BU154" s="220"/>
      <c r="BV154" s="220"/>
      <c r="BW154" s="220"/>
      <c r="BX154" s="220"/>
      <c r="BY154" s="220"/>
      <c r="BZ154" s="220"/>
      <c r="CA154" s="220"/>
      <c r="CB154" s="220"/>
      <c r="CC154" s="220"/>
      <c r="CD154" s="220"/>
      <c r="CE154" s="220"/>
      <c r="CF154" s="220"/>
      <c r="CG154" s="220"/>
      <c r="CH154" s="220"/>
      <c r="CI154" s="220"/>
      <c r="CJ154" s="220"/>
      <c r="CK154" s="220"/>
      <c r="CL154" s="220"/>
      <c r="CM154" s="220"/>
      <c r="CN154" s="220"/>
      <c r="CO154" s="220"/>
      <c r="CP154" s="220"/>
      <c r="CQ154" s="220"/>
      <c r="CR154" s="220"/>
      <c r="CS154" s="220"/>
      <c r="CT154" s="220"/>
      <c r="CU154" s="220"/>
      <c r="CV154" s="220"/>
      <c r="CW154" s="220"/>
      <c r="CX154" s="220"/>
      <c r="CY154" s="220"/>
      <c r="CZ154" s="220"/>
    </row>
    <row r="155" spans="1:104" x14ac:dyDescent="0.2">
      <c r="A155" s="220"/>
      <c r="B155" s="220"/>
      <c r="C155" s="289"/>
      <c r="D155" s="82"/>
      <c r="E155" s="136"/>
      <c r="F155" s="137"/>
      <c r="G155" s="137"/>
      <c r="H155" s="116"/>
      <c r="I155" s="82"/>
      <c r="J155" s="136"/>
      <c r="K155" s="137"/>
      <c r="L155" s="137"/>
      <c r="M155" s="116"/>
      <c r="N155" s="82"/>
      <c r="O155" s="136"/>
      <c r="P155" s="137"/>
      <c r="Q155" s="137"/>
      <c r="R155" s="116"/>
      <c r="S155" s="82"/>
      <c r="T155" s="136"/>
      <c r="U155" s="137"/>
      <c r="V155" s="137"/>
      <c r="W155" s="116"/>
      <c r="X155" s="82"/>
      <c r="Y155" s="136"/>
      <c r="Z155" s="137"/>
      <c r="AA155" s="137"/>
      <c r="AB155" s="116"/>
      <c r="AC155" s="82"/>
      <c r="AD155" s="136"/>
      <c r="AE155" s="137"/>
      <c r="AF155" s="137"/>
      <c r="AG155" s="116"/>
      <c r="AH155" s="82"/>
      <c r="AI155" s="136"/>
      <c r="AJ155" s="137"/>
      <c r="AK155" s="137"/>
      <c r="AL155" s="116"/>
      <c r="AM155" s="82"/>
      <c r="AN155" s="136"/>
      <c r="AO155" s="137"/>
      <c r="AP155" s="137"/>
      <c r="AQ155" s="116"/>
      <c r="AR155" s="82"/>
      <c r="AS155" s="136"/>
      <c r="AT155" s="137"/>
      <c r="AU155" s="137"/>
      <c r="AV155" s="116"/>
      <c r="AW155" s="82"/>
      <c r="AX155" s="136"/>
      <c r="AY155" s="137"/>
      <c r="AZ155" s="137"/>
      <c r="BA155" s="116"/>
      <c r="BB155" s="220"/>
      <c r="BC155" s="136"/>
      <c r="BD155" s="137"/>
      <c r="BE155" s="137"/>
      <c r="BF155" s="116"/>
      <c r="BG155" s="220"/>
      <c r="BH155" s="136"/>
      <c r="BI155" s="137"/>
      <c r="BJ155" s="137"/>
      <c r="BK155" s="116"/>
      <c r="BL155" s="220"/>
      <c r="BM155" s="136"/>
      <c r="BN155" s="137"/>
      <c r="BO155" s="137"/>
      <c r="BP155" s="116"/>
      <c r="BQ155" s="220"/>
      <c r="BR155" s="220"/>
      <c r="BS155" s="220"/>
      <c r="BT155" s="220"/>
      <c r="BU155" s="220"/>
      <c r="BV155" s="220"/>
      <c r="BW155" s="220"/>
      <c r="BX155" s="220"/>
      <c r="BY155" s="220"/>
      <c r="BZ155" s="220"/>
      <c r="CA155" s="220"/>
      <c r="CB155" s="220"/>
      <c r="CC155" s="220"/>
      <c r="CD155" s="220"/>
      <c r="CE155" s="220"/>
      <c r="CF155" s="220"/>
      <c r="CG155" s="220"/>
      <c r="CH155" s="220"/>
      <c r="CI155" s="220"/>
      <c r="CJ155" s="220"/>
      <c r="CK155" s="220"/>
      <c r="CL155" s="220"/>
      <c r="CM155" s="220"/>
      <c r="CN155" s="220"/>
      <c r="CO155" s="220"/>
      <c r="CP155" s="220"/>
      <c r="CQ155" s="220"/>
      <c r="CR155" s="220"/>
      <c r="CS155" s="220"/>
      <c r="CT155" s="220"/>
      <c r="CU155" s="220"/>
      <c r="CV155" s="220"/>
      <c r="CW155" s="220"/>
      <c r="CX155" s="220"/>
      <c r="CY155" s="220"/>
      <c r="CZ155" s="220"/>
    </row>
    <row r="156" spans="1:104" x14ac:dyDescent="0.2">
      <c r="A156" s="85"/>
      <c r="B156" s="85"/>
      <c r="C156" s="336" t="s">
        <v>205</v>
      </c>
      <c r="D156" s="86"/>
      <c r="E156" s="235">
        <v>38.984000000000002</v>
      </c>
      <c r="F156" s="236">
        <v>47.966999999999999</v>
      </c>
      <c r="G156" s="236">
        <v>39.892000000000003</v>
      </c>
      <c r="H156" s="123">
        <f>I156</f>
        <v>52.143999999999998</v>
      </c>
      <c r="I156" s="237">
        <v>52.143999999999998</v>
      </c>
      <c r="J156" s="235">
        <v>63.804000000000002</v>
      </c>
      <c r="K156" s="236">
        <v>69.972999999999999</v>
      </c>
      <c r="L156" s="236">
        <v>66.204999999999998</v>
      </c>
      <c r="M156" s="123">
        <f>N156</f>
        <v>42.874000000000002</v>
      </c>
      <c r="N156" s="237">
        <v>42.874000000000002</v>
      </c>
      <c r="O156" s="235">
        <v>48.66</v>
      </c>
      <c r="P156" s="236">
        <v>41.311999999999998</v>
      </c>
      <c r="Q156" s="236">
        <v>50.973999999999997</v>
      </c>
      <c r="R156" s="123">
        <f>S156</f>
        <v>54.627000000000002</v>
      </c>
      <c r="S156" s="237">
        <v>54.627000000000002</v>
      </c>
      <c r="T156" s="235">
        <v>64.528000000000006</v>
      </c>
      <c r="U156" s="236">
        <v>62.835000000000001</v>
      </c>
      <c r="V156" s="236">
        <v>74.91</v>
      </c>
      <c r="W156" s="123">
        <f>X156</f>
        <v>62.628999999999998</v>
      </c>
      <c r="X156" s="237">
        <v>62.628999999999998</v>
      </c>
      <c r="Y156" s="235">
        <v>71.527000000000001</v>
      </c>
      <c r="Z156" s="236">
        <v>77.144000000000005</v>
      </c>
      <c r="AA156" s="236">
        <v>101.43600000000001</v>
      </c>
      <c r="AB156" s="123">
        <f>AC156</f>
        <v>127.95399999999999</v>
      </c>
      <c r="AC156" s="237">
        <v>127.95399999999999</v>
      </c>
      <c r="AD156" s="235">
        <v>137.24</v>
      </c>
      <c r="AE156" s="236">
        <v>154.99199999999999</v>
      </c>
      <c r="AF156" s="236">
        <v>210.44499999999999</v>
      </c>
      <c r="AG156" s="123">
        <f>AH156</f>
        <v>231.41300000000001</v>
      </c>
      <c r="AH156" s="237">
        <v>231.41300000000001</v>
      </c>
      <c r="AI156" s="235">
        <v>194.488</v>
      </c>
      <c r="AJ156" s="236">
        <v>218.77699999999999</v>
      </c>
      <c r="AK156" s="236">
        <v>112.108</v>
      </c>
      <c r="AL156" s="123">
        <f>AM156</f>
        <v>65.754999999999995</v>
      </c>
      <c r="AM156" s="237">
        <v>65.754999999999995</v>
      </c>
      <c r="AN156" s="235">
        <v>77.147999999999996</v>
      </c>
      <c r="AO156" s="236">
        <v>97.754999999999995</v>
      </c>
      <c r="AP156" s="236">
        <v>117.54300000000001</v>
      </c>
      <c r="AQ156" s="123">
        <f>AR156</f>
        <v>118.822</v>
      </c>
      <c r="AR156" s="237">
        <v>118.822</v>
      </c>
      <c r="AS156" s="235">
        <v>135.92699999999999</v>
      </c>
      <c r="AT156" s="236">
        <v>145.458</v>
      </c>
      <c r="AU156" s="236">
        <v>151.29900000000001</v>
      </c>
      <c r="AV156" s="123">
        <f>AW156</f>
        <v>148.77000000000001</v>
      </c>
      <c r="AW156" s="237">
        <v>148.77000000000001</v>
      </c>
      <c r="AX156" s="124">
        <f>AX161*BB169</f>
        <v>169.98322676770218</v>
      </c>
      <c r="AY156" s="129">
        <f>AY161*BB169</f>
        <v>169.98322676770218</v>
      </c>
      <c r="AZ156" s="129">
        <f>AZ161*BB169</f>
        <v>169.98322676770218</v>
      </c>
      <c r="BA156" s="126">
        <f>+BA161*BB169</f>
        <v>169.98322676770218</v>
      </c>
      <c r="BB156" s="127">
        <f>BA156</f>
        <v>169.98322676770218</v>
      </c>
      <c r="BC156" s="124">
        <f>BC161*BG169</f>
        <v>169.98322676770218</v>
      </c>
      <c r="BD156" s="129">
        <f>BD161*BG169</f>
        <v>169.98322676770218</v>
      </c>
      <c r="BE156" s="129">
        <f>BE161*BG169</f>
        <v>169.98322676770218</v>
      </c>
      <c r="BF156" s="126">
        <f>+BF161*BG169</f>
        <v>169.98322676770218</v>
      </c>
      <c r="BG156" s="127">
        <f>BF156</f>
        <v>169.98322676770218</v>
      </c>
      <c r="BH156" s="124">
        <f>BH161*BL169</f>
        <v>163.18389769699408</v>
      </c>
      <c r="BI156" s="129">
        <f>BI161*BL169</f>
        <v>163.18389769699408</v>
      </c>
      <c r="BJ156" s="129">
        <f>BJ161*BL169</f>
        <v>163.18389769699408</v>
      </c>
      <c r="BK156" s="126">
        <f>+BK161*BL169</f>
        <v>163.18389769699408</v>
      </c>
      <c r="BL156" s="127">
        <f>BK156</f>
        <v>163.18389769699408</v>
      </c>
      <c r="BM156" s="124">
        <f>BM161*BQ169</f>
        <v>190.38121397982644</v>
      </c>
      <c r="BN156" s="129">
        <f>BN161*BQ169</f>
        <v>190.38121397982644</v>
      </c>
      <c r="BO156" s="129">
        <f>BO161*BQ169</f>
        <v>190.38121397982644</v>
      </c>
      <c r="BP156" s="126">
        <f>+BP161*BQ169</f>
        <v>190.38121397982644</v>
      </c>
      <c r="BQ156" s="127">
        <f>BP156</f>
        <v>190.38121397982644</v>
      </c>
      <c r="BR156" s="85"/>
      <c r="BS156" s="85"/>
      <c r="BT156" s="85"/>
      <c r="BU156" s="85"/>
      <c r="BV156" s="85"/>
      <c r="BW156" s="85"/>
      <c r="BX156" s="85"/>
      <c r="BY156" s="85"/>
      <c r="BZ156" s="85"/>
      <c r="CA156" s="85"/>
      <c r="CB156" s="85"/>
      <c r="CC156" s="85"/>
      <c r="CD156" s="85"/>
      <c r="CE156" s="85"/>
      <c r="CF156" s="85"/>
      <c r="CG156" s="85"/>
      <c r="CH156" s="85"/>
      <c r="CI156" s="85"/>
      <c r="CJ156" s="85"/>
      <c r="CK156" s="85"/>
      <c r="CL156" s="85"/>
      <c r="CM156" s="85"/>
      <c r="CN156" s="85"/>
      <c r="CO156" s="85"/>
      <c r="CP156" s="85"/>
      <c r="CQ156" s="85"/>
      <c r="CR156" s="85"/>
      <c r="CS156" s="85"/>
      <c r="CT156" s="85"/>
      <c r="CU156" s="85"/>
      <c r="CV156" s="85"/>
      <c r="CW156" s="85"/>
      <c r="CX156" s="85"/>
      <c r="CY156" s="85"/>
      <c r="CZ156" s="85"/>
    </row>
    <row r="157" spans="1:104" x14ac:dyDescent="0.2">
      <c r="A157" s="220"/>
      <c r="B157" s="220"/>
      <c r="C157" s="289"/>
      <c r="D157" s="82"/>
      <c r="E157" s="136"/>
      <c r="F157" s="137"/>
      <c r="G157" s="137"/>
      <c r="H157" s="116"/>
      <c r="I157" s="82"/>
      <c r="J157" s="136"/>
      <c r="K157" s="137"/>
      <c r="L157" s="137"/>
      <c r="M157" s="116"/>
      <c r="N157" s="82"/>
      <c r="O157" s="136"/>
      <c r="P157" s="137"/>
      <c r="Q157" s="137"/>
      <c r="R157" s="116"/>
      <c r="S157" s="82"/>
      <c r="T157" s="136"/>
      <c r="U157" s="137"/>
      <c r="V157" s="137"/>
      <c r="W157" s="116"/>
      <c r="X157" s="82"/>
      <c r="Y157" s="136"/>
      <c r="Z157" s="137"/>
      <c r="AA157" s="137"/>
      <c r="AB157" s="116"/>
      <c r="AC157" s="82"/>
      <c r="AD157" s="136"/>
      <c r="AE157" s="137"/>
      <c r="AF157" s="137"/>
      <c r="AG157" s="116"/>
      <c r="AH157" s="82"/>
      <c r="AI157" s="136"/>
      <c r="AJ157" s="137"/>
      <c r="AK157" s="137"/>
      <c r="AL157" s="116"/>
      <c r="AM157" s="82"/>
      <c r="AN157" s="136"/>
      <c r="AO157" s="137"/>
      <c r="AP157" s="137"/>
      <c r="AQ157" s="116"/>
      <c r="AR157" s="82"/>
      <c r="AS157" s="136"/>
      <c r="AT157" s="137"/>
      <c r="AU157" s="137"/>
      <c r="AV157" s="116"/>
      <c r="AW157" s="82"/>
      <c r="AX157" s="136"/>
      <c r="AY157" s="137"/>
      <c r="AZ157" s="137"/>
      <c r="BA157" s="116"/>
      <c r="BB157" s="220"/>
      <c r="BC157" s="136"/>
      <c r="BD157" s="137"/>
      <c r="BE157" s="137"/>
      <c r="BF157" s="116"/>
      <c r="BG157" s="220"/>
      <c r="BH157" s="136"/>
      <c r="BI157" s="137"/>
      <c r="BJ157" s="137"/>
      <c r="BK157" s="116"/>
      <c r="BL157" s="220"/>
      <c r="BM157" s="136"/>
      <c r="BN157" s="137"/>
      <c r="BO157" s="137"/>
      <c r="BP157" s="116"/>
      <c r="BQ157" s="220"/>
      <c r="BR157" s="220"/>
      <c r="BS157" s="220"/>
      <c r="BT157" s="220"/>
      <c r="BU157" s="220"/>
      <c r="BV157" s="220"/>
      <c r="BW157" s="220"/>
      <c r="BX157" s="220"/>
      <c r="BY157" s="220"/>
      <c r="BZ157" s="220"/>
      <c r="CA157" s="220"/>
      <c r="CB157" s="220"/>
      <c r="CC157" s="220"/>
      <c r="CD157" s="220"/>
      <c r="CE157" s="220"/>
      <c r="CF157" s="220"/>
      <c r="CG157" s="220"/>
      <c r="CH157" s="220"/>
      <c r="CI157" s="220"/>
      <c r="CJ157" s="220"/>
      <c r="CK157" s="220"/>
      <c r="CL157" s="220"/>
      <c r="CM157" s="220"/>
      <c r="CN157" s="220"/>
      <c r="CO157" s="220"/>
      <c r="CP157" s="220"/>
      <c r="CQ157" s="220"/>
      <c r="CR157" s="220"/>
      <c r="CS157" s="220"/>
      <c r="CT157" s="220"/>
      <c r="CU157" s="220"/>
      <c r="CV157" s="220"/>
      <c r="CW157" s="220"/>
      <c r="CX157" s="220"/>
      <c r="CY157" s="220"/>
      <c r="CZ157" s="220"/>
    </row>
    <row r="158" spans="1:104" x14ac:dyDescent="0.2">
      <c r="A158" s="85"/>
      <c r="B158" s="85"/>
      <c r="C158" s="336" t="s">
        <v>178</v>
      </c>
      <c r="D158" s="86"/>
      <c r="E158" s="121">
        <f>E196</f>
        <v>16.026</v>
      </c>
      <c r="F158" s="122">
        <f t="shared" ref="F158:P158" si="391">F196</f>
        <v>15.254999999999999</v>
      </c>
      <c r="G158" s="122">
        <f t="shared" si="391"/>
        <v>15.758000000000003</v>
      </c>
      <c r="H158" s="123">
        <f t="shared" si="391"/>
        <v>15.769999999999996</v>
      </c>
      <c r="I158" s="86">
        <f t="shared" si="391"/>
        <v>62.808999999999997</v>
      </c>
      <c r="J158" s="121">
        <f t="shared" si="391"/>
        <v>16.056999999999999</v>
      </c>
      <c r="K158" s="122">
        <f t="shared" si="391"/>
        <v>16.214000000000002</v>
      </c>
      <c r="L158" s="122">
        <f t="shared" si="391"/>
        <v>16.100999999999999</v>
      </c>
      <c r="M158" s="123">
        <f t="shared" si="391"/>
        <v>16.623999999999995</v>
      </c>
      <c r="N158" s="86">
        <f t="shared" si="391"/>
        <v>64.995999999999995</v>
      </c>
      <c r="O158" s="121">
        <f t="shared" si="391"/>
        <v>17.065000000000001</v>
      </c>
      <c r="P158" s="122">
        <f t="shared" si="391"/>
        <v>17.237999999999996</v>
      </c>
      <c r="Q158" s="122">
        <f t="shared" ref="Q158:Y158" si="392">Q196</f>
        <v>17.645000000000003</v>
      </c>
      <c r="R158" s="123">
        <f t="shared" si="392"/>
        <v>17.952000000000005</v>
      </c>
      <c r="S158" s="86">
        <f t="shared" si="392"/>
        <v>69.900000000000006</v>
      </c>
      <c r="T158" s="121">
        <f t="shared" si="392"/>
        <v>17.318999999999999</v>
      </c>
      <c r="U158" s="122">
        <f t="shared" si="392"/>
        <v>17.361000000000001</v>
      </c>
      <c r="V158" s="122">
        <f t="shared" si="392"/>
        <v>17.610999999999997</v>
      </c>
      <c r="W158" s="123">
        <f t="shared" si="392"/>
        <v>18.081000000000003</v>
      </c>
      <c r="X158" s="86">
        <f t="shared" si="392"/>
        <v>70.372</v>
      </c>
      <c r="Y158" s="121">
        <f t="shared" si="392"/>
        <v>19.138999999999999</v>
      </c>
      <c r="Z158" s="122">
        <f t="shared" ref="Z158:AE158" si="393">Z196</f>
        <v>19.337</v>
      </c>
      <c r="AA158" s="122">
        <f t="shared" si="393"/>
        <v>19.649999999999999</v>
      </c>
      <c r="AB158" s="123">
        <f t="shared" si="393"/>
        <v>19.922000000000004</v>
      </c>
      <c r="AC158" s="86">
        <f t="shared" si="393"/>
        <v>78.048000000000002</v>
      </c>
      <c r="AD158" s="121">
        <f t="shared" si="393"/>
        <v>19.59</v>
      </c>
      <c r="AE158" s="122">
        <f t="shared" si="393"/>
        <v>20.163999999999998</v>
      </c>
      <c r="AF158" s="122">
        <f t="shared" ref="AF158:AK158" si="394">AF196</f>
        <v>20.263000000000005</v>
      </c>
      <c r="AG158" s="123">
        <f t="shared" si="394"/>
        <v>20.857999999999997</v>
      </c>
      <c r="AH158" s="86">
        <f t="shared" si="394"/>
        <v>80.875</v>
      </c>
      <c r="AI158" s="121">
        <f t="shared" si="394"/>
        <v>21.681999999999999</v>
      </c>
      <c r="AJ158" s="122">
        <f t="shared" si="394"/>
        <v>22.857000000000003</v>
      </c>
      <c r="AK158" s="122">
        <f t="shared" si="394"/>
        <v>23.397000000000006</v>
      </c>
      <c r="AL158" s="123">
        <f t="shared" ref="AL158:AR158" si="395">AL196</f>
        <v>24.72</v>
      </c>
      <c r="AM158" s="86">
        <f t="shared" si="395"/>
        <v>92.656000000000006</v>
      </c>
      <c r="AN158" s="121">
        <f t="shared" si="395"/>
        <v>24.829000000000001</v>
      </c>
      <c r="AO158" s="122">
        <f t="shared" si="395"/>
        <v>24.1</v>
      </c>
      <c r="AP158" s="122">
        <f t="shared" si="395"/>
        <v>25.084999999999994</v>
      </c>
      <c r="AQ158" s="123">
        <f t="shared" si="395"/>
        <v>25.810000000000002</v>
      </c>
      <c r="AR158" s="86">
        <f t="shared" si="395"/>
        <v>99.823999999999998</v>
      </c>
      <c r="AS158" s="121">
        <f>AS196</f>
        <v>27.425000000000001</v>
      </c>
      <c r="AT158" s="122">
        <f>AT196</f>
        <v>28.008999999999997</v>
      </c>
      <c r="AU158" s="122">
        <f>AU196</f>
        <v>28.363</v>
      </c>
      <c r="AV158" s="123">
        <f t="shared" ref="AV158:AW158" si="396">AV196</f>
        <v>28.953000000000003</v>
      </c>
      <c r="AW158" s="86">
        <f t="shared" si="396"/>
        <v>112.75</v>
      </c>
      <c r="AX158" s="121">
        <f>(AX160*AW154)/4</f>
        <v>29.018763467579504</v>
      </c>
      <c r="AY158" s="122">
        <f>(AY160*AX154)/4</f>
        <v>29.202273870165705</v>
      </c>
      <c r="AZ158" s="122">
        <f>(AZ160*AY154)/4</f>
        <v>29.700356219664972</v>
      </c>
      <c r="BA158" s="123">
        <f>(BA160*AZ154)/4</f>
        <v>30.190988029571376</v>
      </c>
      <c r="BB158" s="86">
        <f>SUM(AX158:BA158)</f>
        <v>118.11238158698156</v>
      </c>
      <c r="BC158" s="121">
        <f>(BC160*BB154)/4</f>
        <v>30.67428074840398</v>
      </c>
      <c r="BD158" s="122">
        <f>(BD160*BC154)/4</f>
        <v>31.150344157584829</v>
      </c>
      <c r="BE158" s="122">
        <f>(BE160*BD154)/4</f>
        <v>31.619286396376111</v>
      </c>
      <c r="BF158" s="123">
        <f>(BF160*BE154)/4</f>
        <v>32.081213986444368</v>
      </c>
      <c r="BG158" s="86">
        <f>SUM(BC158:BF158)</f>
        <v>125.52512528880929</v>
      </c>
      <c r="BH158" s="121">
        <f>(BH160*BG154)/4</f>
        <v>32.536231856057157</v>
      </c>
      <c r="BI158" s="122">
        <f>(BI160*BH154)/4</f>
        <v>33.048754660024379</v>
      </c>
      <c r="BJ158" s="122">
        <f>(BJ160*BI154)/4</f>
        <v>33.451903498131934</v>
      </c>
      <c r="BK158" s="123">
        <f>(BK160*BJ154)/4</f>
        <v>33.849021854767585</v>
      </c>
      <c r="BL158" s="86">
        <f>SUM(BH158:BK158)</f>
        <v>132.88591186898105</v>
      </c>
      <c r="BM158" s="121">
        <f>(BM160*BL154)/4</f>
        <v>34.240199936582933</v>
      </c>
      <c r="BN158" s="122">
        <f>(BN160*BM154)/4</f>
        <v>34.368281416451971</v>
      </c>
      <c r="BO158" s="122">
        <f>(BO160*BN154)/4</f>
        <v>34.901276673833493</v>
      </c>
      <c r="BP158" s="123">
        <f>(BP160*BO154)/4</f>
        <v>35.426299148658224</v>
      </c>
      <c r="BQ158" s="86">
        <f>SUM(BM158:BP158)</f>
        <v>138.93605717552663</v>
      </c>
      <c r="BR158" s="85"/>
      <c r="BS158" s="85"/>
      <c r="BT158" s="85"/>
      <c r="BU158" s="85"/>
      <c r="BV158" s="85"/>
      <c r="BW158" s="85"/>
      <c r="BX158" s="85"/>
      <c r="BY158" s="85"/>
      <c r="BZ158" s="85"/>
      <c r="CA158" s="85"/>
      <c r="CB158" s="85"/>
      <c r="CC158" s="85"/>
      <c r="CD158" s="85"/>
      <c r="CE158" s="85"/>
      <c r="CF158" s="85"/>
      <c r="CG158" s="85"/>
      <c r="CH158" s="85"/>
      <c r="CI158" s="85"/>
      <c r="CJ158" s="85"/>
      <c r="CK158" s="85"/>
      <c r="CL158" s="85"/>
      <c r="CM158" s="85"/>
      <c r="CN158" s="85"/>
      <c r="CO158" s="85"/>
      <c r="CP158" s="85"/>
      <c r="CQ158" s="85"/>
      <c r="CR158" s="85"/>
      <c r="CS158" s="85"/>
      <c r="CT158" s="85"/>
      <c r="CU158" s="85"/>
      <c r="CV158" s="85"/>
      <c r="CW158" s="85"/>
      <c r="CX158" s="85"/>
      <c r="CY158" s="85"/>
      <c r="CZ158" s="85"/>
    </row>
    <row r="159" spans="1:104" x14ac:dyDescent="0.2">
      <c r="A159" s="220"/>
      <c r="B159" s="220"/>
      <c r="C159" s="289"/>
      <c r="D159" s="82"/>
      <c r="E159" s="136"/>
      <c r="F159" s="137"/>
      <c r="G159" s="137"/>
      <c r="H159" s="116"/>
      <c r="I159" s="82"/>
      <c r="J159" s="136"/>
      <c r="K159" s="137"/>
      <c r="L159" s="137"/>
      <c r="M159" s="116"/>
      <c r="N159" s="82"/>
      <c r="O159" s="136"/>
      <c r="P159" s="137"/>
      <c r="Q159" s="137"/>
      <c r="R159" s="116"/>
      <c r="S159" s="82"/>
      <c r="T159" s="136"/>
      <c r="U159" s="137"/>
      <c r="V159" s="137"/>
      <c r="W159" s="116"/>
      <c r="X159" s="82"/>
      <c r="Y159" s="136"/>
      <c r="Z159" s="137"/>
      <c r="AA159" s="137"/>
      <c r="AB159" s="116"/>
      <c r="AC159" s="82"/>
      <c r="AD159" s="136"/>
      <c r="AE159" s="137"/>
      <c r="AF159" s="137"/>
      <c r="AG159" s="116"/>
      <c r="AH159" s="82"/>
      <c r="AI159" s="136"/>
      <c r="AJ159" s="137"/>
      <c r="AK159" s="137"/>
      <c r="AL159" s="116"/>
      <c r="AM159" s="82"/>
      <c r="AN159" s="136"/>
      <c r="AO159" s="137"/>
      <c r="AP159" s="137"/>
      <c r="AQ159" s="116"/>
      <c r="AR159" s="82"/>
      <c r="AS159" s="136"/>
      <c r="AT159" s="137"/>
      <c r="AU159" s="137"/>
      <c r="AV159" s="116"/>
      <c r="AW159" s="82"/>
      <c r="AX159" s="136"/>
      <c r="AY159" s="137"/>
      <c r="AZ159" s="137"/>
      <c r="BA159" s="116"/>
      <c r="BB159" s="220"/>
      <c r="BC159" s="136"/>
      <c r="BD159" s="137"/>
      <c r="BE159" s="137"/>
      <c r="BF159" s="116"/>
      <c r="BG159" s="220"/>
      <c r="BH159" s="136"/>
      <c r="BI159" s="137"/>
      <c r="BJ159" s="137"/>
      <c r="BK159" s="116"/>
      <c r="BL159" s="220"/>
      <c r="BM159" s="136"/>
      <c r="BN159" s="137"/>
      <c r="BO159" s="137"/>
      <c r="BP159" s="116"/>
      <c r="BQ159" s="220"/>
      <c r="BR159" s="220"/>
      <c r="BS159" s="220"/>
      <c r="BT159" s="220"/>
      <c r="BU159" s="220"/>
      <c r="BV159" s="220"/>
      <c r="BW159" s="220"/>
      <c r="BX159" s="220"/>
      <c r="BY159" s="220"/>
      <c r="BZ159" s="220"/>
      <c r="CA159" s="220"/>
      <c r="CB159" s="220"/>
      <c r="CC159" s="220"/>
      <c r="CD159" s="220"/>
      <c r="CE159" s="220"/>
      <c r="CF159" s="220"/>
      <c r="CG159" s="220"/>
      <c r="CH159" s="220"/>
      <c r="CI159" s="220"/>
      <c r="CJ159" s="220"/>
      <c r="CK159" s="220"/>
      <c r="CL159" s="220"/>
      <c r="CM159" s="220"/>
      <c r="CN159" s="220"/>
      <c r="CO159" s="220"/>
      <c r="CP159" s="220"/>
      <c r="CQ159" s="220"/>
      <c r="CR159" s="220"/>
      <c r="CS159" s="220"/>
      <c r="CT159" s="220"/>
      <c r="CU159" s="220"/>
      <c r="CV159" s="220"/>
      <c r="CW159" s="220"/>
      <c r="CX159" s="220"/>
      <c r="CY159" s="220"/>
      <c r="CZ159" s="220"/>
    </row>
    <row r="160" spans="1:104" x14ac:dyDescent="0.2">
      <c r="A160" s="20"/>
      <c r="B160" s="20"/>
      <c r="C160" s="289" t="s">
        <v>291</v>
      </c>
      <c r="D160" s="20"/>
      <c r="E160" s="207">
        <f>E158/AVERAGE(D154:E154)*4</f>
        <v>6.5418720016164875E-2</v>
      </c>
      <c r="F160" s="208">
        <f>F158/AVERAGE(E154:F154)*4</f>
        <v>6.2235077656158849E-2</v>
      </c>
      <c r="G160" s="208">
        <f>G158/AVERAGE(F154:G154)*4</f>
        <v>6.3686152313488009E-2</v>
      </c>
      <c r="H160" s="209">
        <f>H158/AVERAGE(G154:H154)*4</f>
        <v>6.2890166033826883E-2</v>
      </c>
      <c r="I160" s="88">
        <f>I158/AVERAGE(D154,I154)</f>
        <v>6.2333458048547633E-2</v>
      </c>
      <c r="J160" s="207">
        <f>J158/AVERAGE(I154:J154)*4</f>
        <v>6.3748199178880152E-2</v>
      </c>
      <c r="K160" s="208">
        <f>K158/AVERAGE(J154:K154)*4</f>
        <v>6.4131601495309734E-2</v>
      </c>
      <c r="L160" s="208">
        <f>L158/AVERAGE(K154:L154)*4</f>
        <v>6.2739764993775121E-2</v>
      </c>
      <c r="M160" s="209">
        <f>M158/AVERAGE(L154:M154)*4</f>
        <v>6.2574075929974909E-2</v>
      </c>
      <c r="N160" s="88">
        <f>N158/AVERAGE(I154,N154)</f>
        <v>6.204581458519582E-2</v>
      </c>
      <c r="O160" s="207">
        <f>O158/AVERAGE(N154:O154)*4</f>
        <v>6.2629484118755629E-2</v>
      </c>
      <c r="P160" s="208">
        <f>P158/AVERAGE(O154:P154)*4</f>
        <v>6.2567403192342205E-2</v>
      </c>
      <c r="Q160" s="208">
        <f>Q158/AVERAGE(P154:Q154)*4</f>
        <v>7.4031224646167348E-2</v>
      </c>
      <c r="R160" s="209">
        <f>R158/AVERAGE(Q154:R154)*4</f>
        <v>7.3721704876024294E-2</v>
      </c>
      <c r="S160" s="88">
        <f>S158/AVERAGE(N154,S154)</f>
        <v>6.2395700320324717E-2</v>
      </c>
      <c r="T160" s="207">
        <f>T158/AVERAGE(S154:T154)*4</f>
        <v>5.9919431043915054E-2</v>
      </c>
      <c r="U160" s="342">
        <f>U158/AVERAGE(T154:U154)*4</f>
        <v>5.9357980919183692E-2</v>
      </c>
      <c r="V160" s="342">
        <f>V158/AVERAGE(U154:V154)*4</f>
        <v>5.9452007509567348E-2</v>
      </c>
      <c r="W160" s="209">
        <f>W158/AVERAGE(V154:W154)*4</f>
        <v>5.9654047107759435E-2</v>
      </c>
      <c r="X160" s="88">
        <f>X158/AVERAGE(S154,X154)</f>
        <v>5.8921294540327331E-2</v>
      </c>
      <c r="Y160" s="207">
        <f>Y158/AVERAGE(X154:Y154)*4</f>
        <v>6.169679068858458E-2</v>
      </c>
      <c r="Z160" s="342">
        <f>Z158/AVERAGE(Y154:Z154)*4</f>
        <v>6.1566945137936209E-2</v>
      </c>
      <c r="AA160" s="342">
        <f>AA158/AVERAGE(Z154:AA154)*4</f>
        <v>6.1797796979298505E-2</v>
      </c>
      <c r="AB160" s="209">
        <f>AB158/AVERAGE(AA154:AB154)*4</f>
        <v>6.1486800337649646E-2</v>
      </c>
      <c r="AC160" s="88">
        <f>AC158/AVERAGE(X154,AC154)</f>
        <v>6.1203749011932103E-2</v>
      </c>
      <c r="AD160" s="207">
        <f>AD158/AVERAGE(AC154:AD154)*4</f>
        <v>5.9073638501899763E-2</v>
      </c>
      <c r="AE160" s="208">
        <f>AE158/AVERAGE(AD154:AE154)*4</f>
        <v>5.9635367759814151E-2</v>
      </c>
      <c r="AF160" s="208">
        <f>AF158/AVERAGE(AE154:AF154)*4</f>
        <v>5.9079354261462533E-2</v>
      </c>
      <c r="AG160" s="209">
        <f>AG158/AVERAGE(AF154:AG154)*4</f>
        <v>5.9174443040910449E-2</v>
      </c>
      <c r="AH160" s="88">
        <f>AH158/AVERAGE(AC154,AH154)</f>
        <v>5.8654099640532864E-2</v>
      </c>
      <c r="AI160" s="207">
        <f>AI158/AVERAGE(AH154:AI154)*4</f>
        <v>5.8514067347716039E-2</v>
      </c>
      <c r="AJ160" s="208">
        <f>AJ158/AVERAGE(AI154:AJ154)*4</f>
        <v>5.985260735719395E-2</v>
      </c>
      <c r="AK160" s="208">
        <f>AK158/AVERAGE(AJ154:AK154)*4</f>
        <v>5.8294807733274549E-2</v>
      </c>
      <c r="AL160" s="209">
        <f>AL158/AVERAGE(AK154:AL154)*4</f>
        <v>5.7495893358142772E-2</v>
      </c>
      <c r="AM160" s="88">
        <f>AM158/AVERAGE(AH154,AM154)</f>
        <v>5.7816193226490016E-2</v>
      </c>
      <c r="AN160" s="207">
        <f>AN158/AVERAGE(AM154:AN154)*4</f>
        <v>5.6254660582173086E-2</v>
      </c>
      <c r="AO160" s="208">
        <f>AO158/AVERAGE(AN154:AO154)*4</f>
        <v>5.4463599925310281E-2</v>
      </c>
      <c r="AP160" s="208">
        <f>AP158/AVERAGE(AO154:AP154)*4</f>
        <v>5.6441925539296271E-2</v>
      </c>
      <c r="AQ160" s="209">
        <f>AQ158/AVERAGE(AP154:AQ154)*4</f>
        <v>5.7149689673420864E-2</v>
      </c>
      <c r="AR160" s="88">
        <f>AR158/AVERAGE(AM154,AR154)</f>
        <v>5.5594617752195055E-2</v>
      </c>
      <c r="AS160" s="207">
        <f>AS158/AVERAGE(AR154:AS154)*4</f>
        <v>5.9863280344052888E-2</v>
      </c>
      <c r="AT160" s="208">
        <f>AT158/AVERAGE(AS154:AT154)*4</f>
        <v>6.0706154167926456E-2</v>
      </c>
      <c r="AU160" s="208">
        <f>AU158/AVERAGE(AT154:AU154)*4</f>
        <v>6.0732557162273784E-2</v>
      </c>
      <c r="AV160" s="209">
        <f>AV158/AVERAGE(AU154:AV154)*4</f>
        <v>6.061571967035375E-2</v>
      </c>
      <c r="AW160" s="88">
        <f>AW158/AVERAGE(AR154,AW154)</f>
        <v>5.9833797365880098E-2</v>
      </c>
      <c r="AX160" s="858">
        <f>AW160</f>
        <v>5.9833797365880098E-2</v>
      </c>
      <c r="AY160" s="208">
        <f>AX160</f>
        <v>5.9833797365880098E-2</v>
      </c>
      <c r="AZ160" s="342">
        <f>AY160</f>
        <v>5.9833797365880098E-2</v>
      </c>
      <c r="BA160" s="343">
        <f>AZ160</f>
        <v>5.9833797365880098E-2</v>
      </c>
      <c r="BB160" s="88">
        <f>BB158/AVERAGE(AW154,BB154)</f>
        <v>5.9195442275539557E-2</v>
      </c>
      <c r="BC160" s="207">
        <f>BA160</f>
        <v>5.9833797365880098E-2</v>
      </c>
      <c r="BD160" s="208">
        <f>BC160</f>
        <v>5.9833797365880098E-2</v>
      </c>
      <c r="BE160" s="342">
        <f>BD160</f>
        <v>5.9833797365880098E-2</v>
      </c>
      <c r="BF160" s="343">
        <f>BE160</f>
        <v>5.9833797365880098E-2</v>
      </c>
      <c r="BG160" s="88">
        <f>BG158/AVERAGE(BB154,BG154)</f>
        <v>5.9409776961113082E-2</v>
      </c>
      <c r="BH160" s="207">
        <f>BF160</f>
        <v>5.9833797365880098E-2</v>
      </c>
      <c r="BI160" s="208">
        <f>BH160</f>
        <v>5.9833797365880098E-2</v>
      </c>
      <c r="BJ160" s="342">
        <f>BI160</f>
        <v>5.9833797365880098E-2</v>
      </c>
      <c r="BK160" s="343">
        <f>BJ160</f>
        <v>5.9833797365880098E-2</v>
      </c>
      <c r="BL160" s="88">
        <f>BL158/AVERAGE(BG154,BL154)</f>
        <v>5.9534992437445269E-2</v>
      </c>
      <c r="BM160" s="207">
        <f>BK160</f>
        <v>5.9833797365880098E-2</v>
      </c>
      <c r="BN160" s="208">
        <f>BM160</f>
        <v>5.9833797365880098E-2</v>
      </c>
      <c r="BO160" s="342">
        <f>BN160</f>
        <v>5.9833797365880098E-2</v>
      </c>
      <c r="BP160" s="343">
        <f>BO160</f>
        <v>5.9833797365880098E-2</v>
      </c>
      <c r="BQ160" s="88">
        <f>BQ158/AVERAGE(BL154,BQ154)</f>
        <v>5.9223692094270274E-2</v>
      </c>
      <c r="BR160" s="20"/>
      <c r="BS160" s="20"/>
      <c r="BT160" s="20"/>
      <c r="BU160" s="20"/>
      <c r="BV160" s="20"/>
      <c r="BW160" s="20"/>
      <c r="BX160" s="20"/>
      <c r="BY160" s="20"/>
      <c r="BZ160" s="20"/>
      <c r="CA160" s="20"/>
      <c r="CB160" s="20"/>
      <c r="CC160" s="20"/>
      <c r="CD160" s="20"/>
      <c r="CE160" s="20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  <c r="CT160" s="20"/>
      <c r="CU160" s="20"/>
      <c r="CV160" s="20"/>
      <c r="CW160" s="20"/>
      <c r="CX160" s="20"/>
      <c r="CY160" s="20"/>
      <c r="CZ160" s="20"/>
    </row>
    <row r="161" spans="1:104" x14ac:dyDescent="0.2">
      <c r="A161" s="289"/>
      <c r="B161" s="289"/>
      <c r="C161" s="289" t="s">
        <v>419</v>
      </c>
      <c r="D161" s="289"/>
      <c r="E161" s="254">
        <f>E156/I169</f>
        <v>0.36983910139647846</v>
      </c>
      <c r="F161" s="255">
        <f>F156/I169</f>
        <v>0.45506033697632059</v>
      </c>
      <c r="G161" s="255">
        <f>G156/I169</f>
        <v>0.37845324833029753</v>
      </c>
      <c r="H161" s="256">
        <f>H156/I169</f>
        <v>0.4946873102610807</v>
      </c>
      <c r="I161" s="79">
        <f>I156/I169</f>
        <v>0.4946873102610807</v>
      </c>
      <c r="J161" s="254">
        <f>J156/N169</f>
        <v>0.49486167234144868</v>
      </c>
      <c r="K161" s="255">
        <f>K156/N169</f>
        <v>0.5427082283046234</v>
      </c>
      <c r="L161" s="255">
        <f>L156/N169</f>
        <v>0.51348374737266644</v>
      </c>
      <c r="M161" s="256">
        <f>M156/N169</f>
        <v>0.33252929816261162</v>
      </c>
      <c r="N161" s="79">
        <f>N156/N169</f>
        <v>0.33252929816261162</v>
      </c>
      <c r="O161" s="254">
        <f>O156/S169</f>
        <v>0.34515044473762607</v>
      </c>
      <c r="P161" s="255">
        <f>P156/S169</f>
        <v>0.29303031592685591</v>
      </c>
      <c r="Q161" s="255">
        <f>Q156/S169</f>
        <v>0.36156388758848645</v>
      </c>
      <c r="R161" s="256">
        <f>R156/S169</f>
        <v>0.38747499680810316</v>
      </c>
      <c r="S161" s="79">
        <f>S156/S169</f>
        <v>0.38747499680810316</v>
      </c>
      <c r="T161" s="254">
        <f>T156/X169</f>
        <v>0.42241700979975</v>
      </c>
      <c r="U161" s="255">
        <f>U156/X169</f>
        <v>0.41133419307536712</v>
      </c>
      <c r="V161" s="255">
        <f>V156/X169</f>
        <v>0.49038027219345509</v>
      </c>
      <c r="W161" s="256">
        <f>W156/X169</f>
        <v>0.40998566369248296</v>
      </c>
      <c r="X161" s="79">
        <f>X156/X169</f>
        <v>0.40998566369248296</v>
      </c>
      <c r="Y161" s="254">
        <f>Y156/AC169</f>
        <v>0.35536422261747436</v>
      </c>
      <c r="Z161" s="255">
        <f>Z156/AC169</f>
        <v>0.38327089895567329</v>
      </c>
      <c r="AA161" s="255">
        <f>AA156/AC169</f>
        <v>0.5039596975327657</v>
      </c>
      <c r="AB161" s="256">
        <f>AB156/AC169</f>
        <v>0.63570782698556227</v>
      </c>
      <c r="AC161" s="79">
        <f>AC156/AC169</f>
        <v>0.63570782698556227</v>
      </c>
      <c r="AD161" s="254">
        <f>AD156/AH169</f>
        <v>0.47618221498981644</v>
      </c>
      <c r="AE161" s="255">
        <f>AE156/AH169</f>
        <v>0.53777640531697479</v>
      </c>
      <c r="AF161" s="255">
        <f>AF156/AH169</f>
        <v>0.73018191659524856</v>
      </c>
      <c r="AG161" s="256">
        <f>AG156/AH169</f>
        <v>0.80293467587757494</v>
      </c>
      <c r="AH161" s="79">
        <f>AH156/AH169</f>
        <v>0.80293467587757494</v>
      </c>
      <c r="AI161" s="254">
        <f>AI156/AM169</f>
        <v>0.77239998887993111</v>
      </c>
      <c r="AJ161" s="255">
        <f>AJ156/AM169</f>
        <v>0.86886261551964472</v>
      </c>
      <c r="AK161" s="255">
        <f>AK156/AM169</f>
        <v>0.44523167472209757</v>
      </c>
      <c r="AL161" s="256">
        <f>AL156/AM169</f>
        <v>0.26114290480029545</v>
      </c>
      <c r="AM161" s="79">
        <f>AM156/AM169</f>
        <v>0.26114290480029545</v>
      </c>
      <c r="AN161" s="254">
        <f>AN156/AR169</f>
        <v>0.37738654874356126</v>
      </c>
      <c r="AO161" s="255">
        <f>AO156/AR169</f>
        <v>0.47819025862532838</v>
      </c>
      <c r="AP161" s="255">
        <f>AP156/AR169</f>
        <v>0.5749876484026083</v>
      </c>
      <c r="AQ161" s="256">
        <f>AQ156/AR169</f>
        <v>0.58124416050717376</v>
      </c>
      <c r="AR161" s="79">
        <f>AR156/AR169</f>
        <v>0.58124416050717376</v>
      </c>
      <c r="AS161" s="254">
        <f>AS156/AW169</f>
        <v>0.62123573475441152</v>
      </c>
      <c r="AT161" s="255">
        <f>AT156/AW169</f>
        <v>0.66479586473553598</v>
      </c>
      <c r="AU161" s="255">
        <f>AU156/AW169</f>
        <v>0.69149135515834026</v>
      </c>
      <c r="AV161" s="256">
        <f>AV156/AW169</f>
        <v>0.67993290707080867</v>
      </c>
      <c r="AW161" s="79">
        <f>AW156/AW169</f>
        <v>0.67993290707080867</v>
      </c>
      <c r="AX161" s="254">
        <f t="shared" ref="AX161:BG161" si="397">+AW161</f>
        <v>0.67993290707080867</v>
      </c>
      <c r="AY161" s="255">
        <f t="shared" si="397"/>
        <v>0.67993290707080867</v>
      </c>
      <c r="AZ161" s="255">
        <f t="shared" si="397"/>
        <v>0.67993290707080867</v>
      </c>
      <c r="BA161" s="256">
        <f t="shared" si="397"/>
        <v>0.67993290707080867</v>
      </c>
      <c r="BB161" s="79">
        <f t="shared" si="397"/>
        <v>0.67993290707080867</v>
      </c>
      <c r="BC161" s="254">
        <f t="shared" si="397"/>
        <v>0.67993290707080867</v>
      </c>
      <c r="BD161" s="255">
        <f t="shared" si="397"/>
        <v>0.67993290707080867</v>
      </c>
      <c r="BE161" s="255">
        <f t="shared" si="397"/>
        <v>0.67993290707080867</v>
      </c>
      <c r="BF161" s="256">
        <f t="shared" si="397"/>
        <v>0.67993290707080867</v>
      </c>
      <c r="BG161" s="79">
        <f t="shared" si="397"/>
        <v>0.67993290707080867</v>
      </c>
      <c r="BH161" s="254">
        <f t="shared" ref="BH161:BQ161" si="398">+BG161</f>
        <v>0.67993290707080867</v>
      </c>
      <c r="BI161" s="255">
        <f t="shared" si="398"/>
        <v>0.67993290707080867</v>
      </c>
      <c r="BJ161" s="255">
        <f t="shared" si="398"/>
        <v>0.67993290707080867</v>
      </c>
      <c r="BK161" s="256">
        <f t="shared" si="398"/>
        <v>0.67993290707080867</v>
      </c>
      <c r="BL161" s="79">
        <f t="shared" si="398"/>
        <v>0.67993290707080867</v>
      </c>
      <c r="BM161" s="254">
        <f t="shared" si="398"/>
        <v>0.67993290707080867</v>
      </c>
      <c r="BN161" s="255">
        <f t="shared" si="398"/>
        <v>0.67993290707080867</v>
      </c>
      <c r="BO161" s="255">
        <f t="shared" si="398"/>
        <v>0.67993290707080867</v>
      </c>
      <c r="BP161" s="256">
        <f t="shared" si="398"/>
        <v>0.67993290707080867</v>
      </c>
      <c r="BQ161" s="79">
        <f t="shared" si="398"/>
        <v>0.67993290707080867</v>
      </c>
      <c r="BR161" s="289"/>
      <c r="BS161" s="289"/>
      <c r="BT161" s="289"/>
      <c r="BU161" s="289"/>
      <c r="BV161" s="289"/>
      <c r="BW161" s="289"/>
      <c r="BX161" s="289"/>
      <c r="BY161" s="289"/>
      <c r="BZ161" s="289"/>
      <c r="CA161" s="289"/>
      <c r="CB161" s="289"/>
      <c r="CC161" s="289"/>
      <c r="CD161" s="289"/>
      <c r="CE161" s="289"/>
      <c r="CF161" s="289"/>
      <c r="CG161" s="289"/>
      <c r="CH161" s="289"/>
      <c r="CI161" s="289"/>
      <c r="CJ161" s="289"/>
      <c r="CK161" s="289"/>
      <c r="CL161" s="289"/>
      <c r="CM161" s="289"/>
      <c r="CN161" s="289"/>
      <c r="CO161" s="289"/>
      <c r="CP161" s="289"/>
      <c r="CQ161" s="289"/>
      <c r="CR161" s="289"/>
      <c r="CS161" s="289"/>
      <c r="CT161" s="289"/>
      <c r="CU161" s="289"/>
      <c r="CV161" s="289"/>
      <c r="CW161" s="289"/>
      <c r="CX161" s="289"/>
      <c r="CY161" s="289"/>
      <c r="CZ161" s="289"/>
    </row>
    <row r="162" spans="1:104" x14ac:dyDescent="0.2">
      <c r="A162" s="289"/>
      <c r="B162" s="289"/>
      <c r="C162" s="289"/>
      <c r="D162" s="289"/>
      <c r="E162" s="291"/>
      <c r="F162" s="292"/>
      <c r="G162" s="292"/>
      <c r="H162" s="293"/>
      <c r="I162" s="289"/>
      <c r="J162" s="291"/>
      <c r="K162" s="292"/>
      <c r="L162" s="292"/>
      <c r="M162" s="293"/>
      <c r="N162" s="289"/>
      <c r="O162" s="291"/>
      <c r="P162" s="292"/>
      <c r="Q162" s="292"/>
      <c r="R162" s="293"/>
      <c r="S162" s="289"/>
      <c r="T162" s="291"/>
      <c r="U162" s="292"/>
      <c r="V162" s="292"/>
      <c r="W162" s="293"/>
      <c r="X162" s="289"/>
      <c r="Y162" s="291"/>
      <c r="Z162" s="292"/>
      <c r="AA162" s="292"/>
      <c r="AB162" s="293"/>
      <c r="AC162" s="289"/>
      <c r="AD162" s="291"/>
      <c r="AE162" s="292"/>
      <c r="AF162" s="292"/>
      <c r="AG162" s="293"/>
      <c r="AH162" s="289"/>
      <c r="AI162" s="291"/>
      <c r="AJ162" s="292"/>
      <c r="AK162" s="292"/>
      <c r="AL162" s="293"/>
      <c r="AM162" s="289"/>
      <c r="AN162" s="291"/>
      <c r="AO162" s="292"/>
      <c r="AP162" s="292"/>
      <c r="AQ162" s="293"/>
      <c r="AR162" s="289"/>
      <c r="AS162" s="291"/>
      <c r="AT162" s="292"/>
      <c r="AU162" s="292"/>
      <c r="AV162" s="293"/>
      <c r="AW162" s="289"/>
      <c r="AX162" s="291"/>
      <c r="AY162" s="292"/>
      <c r="AZ162" s="292"/>
      <c r="BA162" s="293"/>
      <c r="BB162" s="289"/>
      <c r="BC162" s="291"/>
      <c r="BD162" s="292"/>
      <c r="BE162" s="292"/>
      <c r="BF162" s="293"/>
      <c r="BG162" s="289"/>
      <c r="BH162" s="291"/>
      <c r="BI162" s="292"/>
      <c r="BJ162" s="292"/>
      <c r="BK162" s="293"/>
      <c r="BL162" s="289"/>
      <c r="BM162" s="291"/>
      <c r="BN162" s="292"/>
      <c r="BO162" s="292"/>
      <c r="BP162" s="293"/>
      <c r="BQ162" s="289"/>
      <c r="BR162" s="289"/>
      <c r="BS162" s="289"/>
      <c r="BT162" s="289"/>
      <c r="BU162" s="289"/>
      <c r="BV162" s="289"/>
      <c r="BW162" s="289"/>
      <c r="BX162" s="289"/>
      <c r="BY162" s="289"/>
      <c r="BZ162" s="289"/>
      <c r="CA162" s="289"/>
      <c r="CB162" s="289"/>
      <c r="CC162" s="289"/>
      <c r="CD162" s="289"/>
      <c r="CE162" s="289"/>
      <c r="CF162" s="289"/>
      <c r="CG162" s="289"/>
      <c r="CH162" s="289"/>
      <c r="CI162" s="289"/>
      <c r="CJ162" s="289"/>
      <c r="CK162" s="289"/>
      <c r="CL162" s="289"/>
      <c r="CM162" s="289"/>
      <c r="CN162" s="289"/>
      <c r="CO162" s="289"/>
      <c r="CP162" s="289"/>
      <c r="CQ162" s="289"/>
      <c r="CR162" s="289"/>
      <c r="CS162" s="289"/>
      <c r="CT162" s="289"/>
      <c r="CU162" s="289"/>
      <c r="CV162" s="289"/>
      <c r="CW162" s="289"/>
      <c r="CX162" s="289"/>
      <c r="CY162" s="289"/>
      <c r="CZ162" s="289"/>
    </row>
    <row r="163" spans="1:104" s="20" customFormat="1" x14ac:dyDescent="0.2">
      <c r="A163" s="289"/>
      <c r="B163" s="289"/>
      <c r="C163" s="605" t="s">
        <v>422</v>
      </c>
      <c r="D163" s="289"/>
      <c r="E163" s="291"/>
      <c r="F163" s="292"/>
      <c r="G163" s="292"/>
      <c r="H163" s="293"/>
      <c r="I163" s="289"/>
      <c r="J163" s="291"/>
      <c r="K163" s="292"/>
      <c r="L163" s="292"/>
      <c r="M163" s="293"/>
      <c r="N163" s="289"/>
      <c r="O163" s="291"/>
      <c r="P163" s="292"/>
      <c r="Q163" s="292"/>
      <c r="R163" s="293"/>
      <c r="S163" s="34">
        <v>20</v>
      </c>
      <c r="T163" s="136"/>
      <c r="U163" s="135"/>
      <c r="V163" s="135"/>
      <c r="W163" s="116"/>
      <c r="X163" s="34">
        <v>10</v>
      </c>
      <c r="Y163" s="136"/>
      <c r="Z163" s="135"/>
      <c r="AA163" s="135"/>
      <c r="AB163" s="116"/>
      <c r="AC163" s="34">
        <v>25</v>
      </c>
      <c r="AD163" s="136"/>
      <c r="AE163" s="135"/>
      <c r="AF163" s="135"/>
      <c r="AG163" s="116"/>
      <c r="AH163" s="34">
        <v>15</v>
      </c>
      <c r="AI163" s="136"/>
      <c r="AJ163" s="135"/>
      <c r="AK163" s="135"/>
      <c r="AL163" s="116"/>
      <c r="AM163" s="34">
        <v>10</v>
      </c>
      <c r="AN163" s="136"/>
      <c r="AO163" s="135"/>
      <c r="AP163" s="135"/>
      <c r="AQ163" s="116"/>
      <c r="AR163" s="34">
        <v>10</v>
      </c>
      <c r="AS163" s="136"/>
      <c r="AT163" s="135"/>
      <c r="AU163" s="135"/>
      <c r="AV163" s="116"/>
      <c r="AW163" s="34">
        <v>10</v>
      </c>
      <c r="AX163" s="136">
        <f>+BB163/4</f>
        <v>5</v>
      </c>
      <c r="AY163" s="135">
        <f>(BB163-SUM(AX163:AX163))/3</f>
        <v>5</v>
      </c>
      <c r="AZ163" s="135">
        <f>(BB163-SUM(AX163:AY163))/2</f>
        <v>5</v>
      </c>
      <c r="BA163" s="116">
        <f>(BB163-SUM(AX163:AZ163))/1</f>
        <v>5</v>
      </c>
      <c r="BB163" s="34">
        <v>20</v>
      </c>
      <c r="BC163" s="136">
        <f>+BG163/4</f>
        <v>5</v>
      </c>
      <c r="BD163" s="135">
        <f>(BG163-SUM(BC163:BC163))/3</f>
        <v>5</v>
      </c>
      <c r="BE163" s="135">
        <f>(BG163-SUM(BC163:BD163))/2</f>
        <v>5</v>
      </c>
      <c r="BF163" s="116">
        <f>(BG163-SUM(BC163:BE163))/1</f>
        <v>5</v>
      </c>
      <c r="BG163" s="34">
        <v>20</v>
      </c>
      <c r="BH163" s="136">
        <f>+BL163/4</f>
        <v>2.5</v>
      </c>
      <c r="BI163" s="135">
        <f>(BL163-SUM(BH163:BH163))/3</f>
        <v>2.5</v>
      </c>
      <c r="BJ163" s="135">
        <f>(BL163-SUM(BH163:BI163))/2</f>
        <v>2.5</v>
      </c>
      <c r="BK163" s="116">
        <f>(BL163-SUM(BH163:BJ163))/1</f>
        <v>2.5</v>
      </c>
      <c r="BL163" s="34">
        <v>10</v>
      </c>
      <c r="BM163" s="136">
        <f>+BQ163/4</f>
        <v>2.5</v>
      </c>
      <c r="BN163" s="135">
        <f>(BQ163-SUM(BM163:BM163))/3</f>
        <v>2.5</v>
      </c>
      <c r="BO163" s="135">
        <f>(BQ163-SUM(BM163:BN163))/2</f>
        <v>2.5</v>
      </c>
      <c r="BP163" s="116">
        <f>(BQ163-SUM(BM163:BO163))/1</f>
        <v>2.5</v>
      </c>
      <c r="BQ163" s="34">
        <v>10</v>
      </c>
      <c r="BR163" s="289"/>
      <c r="BS163" s="289"/>
      <c r="BT163" s="289"/>
      <c r="BU163" s="289"/>
      <c r="BV163" s="289"/>
      <c r="BW163" s="289"/>
      <c r="BX163" s="289"/>
      <c r="BY163" s="289"/>
      <c r="BZ163" s="289"/>
      <c r="CA163" s="289"/>
      <c r="CB163" s="289"/>
      <c r="CC163" s="289"/>
      <c r="CD163" s="289"/>
      <c r="CE163" s="289"/>
      <c r="CF163" s="289"/>
      <c r="CG163" s="289"/>
      <c r="CH163" s="289"/>
      <c r="CI163" s="289"/>
      <c r="CJ163" s="289"/>
      <c r="CK163" s="289"/>
      <c r="CL163" s="289"/>
      <c r="CM163" s="289"/>
      <c r="CN163" s="289"/>
      <c r="CO163" s="289"/>
      <c r="CP163" s="289"/>
      <c r="CQ163" s="289"/>
      <c r="CR163" s="289"/>
      <c r="CS163" s="289"/>
      <c r="CT163" s="289"/>
      <c r="CU163" s="289"/>
      <c r="CV163" s="289"/>
      <c r="CW163" s="289"/>
      <c r="CX163" s="289"/>
      <c r="CY163" s="289"/>
      <c r="CZ163" s="289"/>
    </row>
    <row r="164" spans="1:104" s="20" customFormat="1" x14ac:dyDescent="0.2">
      <c r="A164" s="289"/>
      <c r="B164" s="289"/>
      <c r="C164" s="605" t="s">
        <v>421</v>
      </c>
      <c r="D164" s="289"/>
      <c r="E164" s="291"/>
      <c r="F164" s="292"/>
      <c r="G164" s="292"/>
      <c r="H164" s="293"/>
      <c r="I164" s="289"/>
      <c r="J164" s="291"/>
      <c r="K164" s="292"/>
      <c r="L164" s="292"/>
      <c r="M164" s="293"/>
      <c r="N164" s="289"/>
      <c r="O164" s="291"/>
      <c r="P164" s="292"/>
      <c r="Q164" s="292"/>
      <c r="R164" s="293"/>
      <c r="S164" s="34">
        <v>70</v>
      </c>
      <c r="T164" s="136"/>
      <c r="U164" s="135"/>
      <c r="V164" s="135"/>
      <c r="W164" s="116"/>
      <c r="X164" s="34">
        <v>85</v>
      </c>
      <c r="Y164" s="136"/>
      <c r="Z164" s="135"/>
      <c r="AA164" s="135"/>
      <c r="AB164" s="116"/>
      <c r="AC164" s="34">
        <v>80</v>
      </c>
      <c r="AD164" s="136"/>
      <c r="AE164" s="135"/>
      <c r="AF164" s="135"/>
      <c r="AG164" s="116"/>
      <c r="AH164" s="34">
        <v>195</v>
      </c>
      <c r="AI164" s="136"/>
      <c r="AJ164" s="135"/>
      <c r="AK164" s="135"/>
      <c r="AL164" s="116"/>
      <c r="AM164" s="34">
        <f>+AM169-SUM(AM165:AM167,AM163)</f>
        <v>141.797</v>
      </c>
      <c r="AN164" s="136"/>
      <c r="AO164" s="135"/>
      <c r="AP164" s="135"/>
      <c r="AQ164" s="116"/>
      <c r="AR164" s="34">
        <v>90</v>
      </c>
      <c r="AS164" s="136"/>
      <c r="AT164" s="137"/>
      <c r="AU164" s="137"/>
      <c r="AV164" s="116"/>
      <c r="AW164" s="34">
        <v>115</v>
      </c>
      <c r="AX164" s="136">
        <f>+BB164/4</f>
        <v>27.5</v>
      </c>
      <c r="AY164" s="135">
        <f>(BB164-SUM(AX164:AX164))/3</f>
        <v>27.5</v>
      </c>
      <c r="AZ164" s="135">
        <f>(BB164-SUM(AX164:AY164))/2</f>
        <v>27.5</v>
      </c>
      <c r="BA164" s="116">
        <f>(BB164-SUM(AX164:AZ164))/1</f>
        <v>27.5</v>
      </c>
      <c r="BB164" s="34">
        <v>110</v>
      </c>
      <c r="BC164" s="136">
        <f>+BG164/4</f>
        <v>25</v>
      </c>
      <c r="BD164" s="135">
        <f>(BG164-SUM(BC164:BC164))/3</f>
        <v>25</v>
      </c>
      <c r="BE164" s="135">
        <f>(BG164-SUM(BC164:BD164))/2</f>
        <v>25</v>
      </c>
      <c r="BF164" s="116">
        <f>(BG164-SUM(BC164:BE164))/1</f>
        <v>25</v>
      </c>
      <c r="BG164" s="34">
        <v>100</v>
      </c>
      <c r="BH164" s="136">
        <f>+BL164/4</f>
        <v>25</v>
      </c>
      <c r="BI164" s="135">
        <f>(BL164-SUM(BH164:BH164))/3</f>
        <v>25</v>
      </c>
      <c r="BJ164" s="135">
        <f>(BL164-SUM(BH164:BI164))/2</f>
        <v>25</v>
      </c>
      <c r="BK164" s="116">
        <f>(BL164-SUM(BH164:BJ164))/1</f>
        <v>25</v>
      </c>
      <c r="BL164" s="34">
        <v>100</v>
      </c>
      <c r="BM164" s="136">
        <f>+BQ164/4</f>
        <v>35</v>
      </c>
      <c r="BN164" s="135">
        <f>(BQ164-SUM(BM164:BM164))/3</f>
        <v>35</v>
      </c>
      <c r="BO164" s="135">
        <f>(BQ164-SUM(BM164:BN164))/2</f>
        <v>35</v>
      </c>
      <c r="BP164" s="116">
        <f>(BQ164-SUM(BM164:BO164))/1</f>
        <v>35</v>
      </c>
      <c r="BQ164" s="34">
        <v>140</v>
      </c>
      <c r="BR164" s="289"/>
      <c r="BS164" s="289"/>
      <c r="BT164" s="289"/>
      <c r="BU164" s="289"/>
      <c r="BV164" s="289"/>
      <c r="BW164" s="289"/>
      <c r="BX164" s="289"/>
      <c r="BY164" s="289"/>
      <c r="BZ164" s="289"/>
      <c r="CA164" s="289"/>
      <c r="CB164" s="289"/>
      <c r="CC164" s="289"/>
      <c r="CD164" s="289"/>
      <c r="CE164" s="289"/>
      <c r="CF164" s="289"/>
      <c r="CG164" s="289"/>
      <c r="CH164" s="289"/>
      <c r="CI164" s="289"/>
      <c r="CJ164" s="289"/>
      <c r="CK164" s="289"/>
      <c r="CL164" s="289"/>
      <c r="CM164" s="289"/>
      <c r="CN164" s="289"/>
      <c r="CO164" s="289"/>
      <c r="CP164" s="289"/>
      <c r="CQ164" s="289"/>
      <c r="CR164" s="289"/>
      <c r="CS164" s="289"/>
      <c r="CT164" s="289"/>
      <c r="CU164" s="289"/>
      <c r="CV164" s="289"/>
      <c r="CW164" s="289"/>
      <c r="CX164" s="289"/>
      <c r="CY164" s="289"/>
      <c r="CZ164" s="289"/>
    </row>
    <row r="165" spans="1:104" s="20" customFormat="1" x14ac:dyDescent="0.2">
      <c r="A165" s="289"/>
      <c r="B165" s="289"/>
      <c r="C165" s="605" t="s">
        <v>423</v>
      </c>
      <c r="D165" s="289"/>
      <c r="E165" s="291"/>
      <c r="F165" s="292"/>
      <c r="G165" s="292"/>
      <c r="H165" s="293"/>
      <c r="I165" s="289"/>
      <c r="J165" s="291"/>
      <c r="K165" s="292"/>
      <c r="L165" s="292"/>
      <c r="M165" s="293"/>
      <c r="N165" s="289"/>
      <c r="O165" s="291"/>
      <c r="P165" s="292"/>
      <c r="Q165" s="292"/>
      <c r="R165" s="293"/>
      <c r="S165" s="34">
        <v>40</v>
      </c>
      <c r="T165" s="136"/>
      <c r="U165" s="135"/>
      <c r="V165" s="135"/>
      <c r="W165" s="116"/>
      <c r="X165" s="34">
        <v>40</v>
      </c>
      <c r="Y165" s="136"/>
      <c r="Z165" s="135"/>
      <c r="AA165" s="135"/>
      <c r="AB165" s="116"/>
      <c r="AC165" s="34">
        <v>50</v>
      </c>
      <c r="AD165" s="136"/>
      <c r="AE165" s="135"/>
      <c r="AF165" s="135"/>
      <c r="AG165" s="116"/>
      <c r="AH165" s="34">
        <v>50</v>
      </c>
      <c r="AI165" s="136"/>
      <c r="AJ165" s="135"/>
      <c r="AK165" s="135"/>
      <c r="AL165" s="116"/>
      <c r="AM165" s="34">
        <v>55</v>
      </c>
      <c r="AN165" s="136"/>
      <c r="AO165" s="135"/>
      <c r="AP165" s="135"/>
      <c r="AQ165" s="116"/>
      <c r="AR165" s="34">
        <v>60</v>
      </c>
      <c r="AS165" s="136"/>
      <c r="AT165" s="135"/>
      <c r="AU165" s="135"/>
      <c r="AV165" s="116"/>
      <c r="AW165" s="34">
        <v>60</v>
      </c>
      <c r="AX165" s="136">
        <f>+BB165/4</f>
        <v>15</v>
      </c>
      <c r="AY165" s="135">
        <f>(BB165-SUM(AX165:AX165))/3</f>
        <v>15</v>
      </c>
      <c r="AZ165" s="135">
        <f>(BB165-SUM(AX165:AY165))/2</f>
        <v>15</v>
      </c>
      <c r="BA165" s="116">
        <f>(BB165-SUM(AX165:AZ165))/1</f>
        <v>15</v>
      </c>
      <c r="BB165" s="34">
        <v>60</v>
      </c>
      <c r="BC165" s="136">
        <f>+BG165/4</f>
        <v>20</v>
      </c>
      <c r="BD165" s="135">
        <f>(BG165-SUM(BC165:BC165))/3</f>
        <v>20</v>
      </c>
      <c r="BE165" s="135">
        <f>(BG165-SUM(BC165:BD165))/2</f>
        <v>20</v>
      </c>
      <c r="BF165" s="116">
        <f>(BG165-SUM(BC165:BE165))/1</f>
        <v>20</v>
      </c>
      <c r="BG165" s="34">
        <v>80</v>
      </c>
      <c r="BH165" s="136">
        <f>+BL165/4</f>
        <v>20</v>
      </c>
      <c r="BI165" s="135">
        <f>(BL165-SUM(BH165:BH165))/3</f>
        <v>20</v>
      </c>
      <c r="BJ165" s="135">
        <f>(BL165-SUM(BH165:BI165))/2</f>
        <v>20</v>
      </c>
      <c r="BK165" s="116">
        <f>(BL165-SUM(BH165:BJ165))/1</f>
        <v>20</v>
      </c>
      <c r="BL165" s="34">
        <v>80</v>
      </c>
      <c r="BM165" s="136">
        <f>+BQ165/4</f>
        <v>20</v>
      </c>
      <c r="BN165" s="135">
        <f>(BQ165-SUM(BM165:BM165))/3</f>
        <v>20</v>
      </c>
      <c r="BO165" s="135">
        <f>(BQ165-SUM(BM165:BN165))/2</f>
        <v>20</v>
      </c>
      <c r="BP165" s="116">
        <f>(BQ165-SUM(BM165:BO165))/1</f>
        <v>20</v>
      </c>
      <c r="BQ165" s="34">
        <v>80</v>
      </c>
      <c r="BR165" s="289"/>
      <c r="BS165" s="289"/>
      <c r="BT165" s="289"/>
      <c r="BU165" s="289"/>
      <c r="BV165" s="289"/>
      <c r="BW165" s="289"/>
      <c r="BX165" s="289"/>
      <c r="BY165" s="289"/>
      <c r="BZ165" s="289"/>
      <c r="CA165" s="289"/>
      <c r="CB165" s="289"/>
      <c r="CC165" s="289"/>
      <c r="CD165" s="289"/>
      <c r="CE165" s="289"/>
      <c r="CF165" s="289"/>
      <c r="CG165" s="289"/>
      <c r="CH165" s="289"/>
      <c r="CI165" s="289"/>
      <c r="CJ165" s="289"/>
      <c r="CK165" s="289"/>
      <c r="CL165" s="289"/>
      <c r="CM165" s="289"/>
      <c r="CN165" s="289"/>
      <c r="CO165" s="289"/>
      <c r="CP165" s="289"/>
      <c r="CQ165" s="289"/>
      <c r="CR165" s="289"/>
      <c r="CS165" s="289"/>
      <c r="CT165" s="289"/>
      <c r="CU165" s="289"/>
      <c r="CV165" s="289"/>
      <c r="CW165" s="289"/>
      <c r="CX165" s="289"/>
      <c r="CY165" s="289"/>
      <c r="CZ165" s="289"/>
    </row>
    <row r="166" spans="1:104" s="20" customFormat="1" x14ac:dyDescent="0.2">
      <c r="A166" s="289"/>
      <c r="B166" s="289"/>
      <c r="C166" s="605" t="s">
        <v>113</v>
      </c>
      <c r="D166" s="289"/>
      <c r="E166" s="291"/>
      <c r="F166" s="292"/>
      <c r="G166" s="292"/>
      <c r="H166" s="293"/>
      <c r="I166" s="289"/>
      <c r="J166" s="291"/>
      <c r="K166" s="292"/>
      <c r="L166" s="292"/>
      <c r="M166" s="293"/>
      <c r="N166" s="289"/>
      <c r="O166" s="291"/>
      <c r="P166" s="292"/>
      <c r="Q166" s="292"/>
      <c r="R166" s="293"/>
      <c r="S166" s="712">
        <v>10</v>
      </c>
      <c r="T166" s="136"/>
      <c r="U166" s="135"/>
      <c r="V166" s="135"/>
      <c r="W166" s="116"/>
      <c r="X166" s="34">
        <v>10</v>
      </c>
      <c r="Y166" s="136"/>
      <c r="Z166" s="135"/>
      <c r="AA166" s="135"/>
      <c r="AB166" s="116"/>
      <c r="AC166" s="34">
        <v>15</v>
      </c>
      <c r="AD166" s="136"/>
      <c r="AE166" s="135"/>
      <c r="AF166" s="135"/>
      <c r="AG166" s="116"/>
      <c r="AH166" s="34">
        <v>15</v>
      </c>
      <c r="AI166" s="136"/>
      <c r="AJ166" s="135"/>
      <c r="AK166" s="135"/>
      <c r="AL166" s="116"/>
      <c r="AM166" s="34">
        <v>25</v>
      </c>
      <c r="AN166" s="136"/>
      <c r="AO166" s="135"/>
      <c r="AP166" s="135"/>
      <c r="AQ166" s="116"/>
      <c r="AR166" s="34">
        <v>25</v>
      </c>
      <c r="AS166" s="136"/>
      <c r="AT166" s="135"/>
      <c r="AU166" s="135"/>
      <c r="AV166" s="116"/>
      <c r="AW166" s="34">
        <v>20</v>
      </c>
      <c r="AX166" s="136">
        <f>+BB166/4</f>
        <v>5</v>
      </c>
      <c r="AY166" s="135">
        <f>(BB166-SUM(AX166:AX166))/3</f>
        <v>5</v>
      </c>
      <c r="AZ166" s="135">
        <f>(BB166-SUM(AX166:AY166))/2</f>
        <v>5</v>
      </c>
      <c r="BA166" s="116">
        <f>(BB166-SUM(AX166:AZ166))/1</f>
        <v>5</v>
      </c>
      <c r="BB166" s="34">
        <v>20</v>
      </c>
      <c r="BC166" s="136">
        <f>+BG166/4</f>
        <v>5</v>
      </c>
      <c r="BD166" s="135">
        <f>(BG166-SUM(BC166:BC166))/3</f>
        <v>5</v>
      </c>
      <c r="BE166" s="135">
        <f>(BG166-SUM(BC166:BD166))/2</f>
        <v>5</v>
      </c>
      <c r="BF166" s="116">
        <f>(BG166-SUM(BC166:BE166))/1</f>
        <v>5</v>
      </c>
      <c r="BG166" s="34">
        <v>20</v>
      </c>
      <c r="BH166" s="136">
        <f>+BL166/4</f>
        <v>5</v>
      </c>
      <c r="BI166" s="135">
        <f>(BL166-SUM(BH166:BH166))/3</f>
        <v>5</v>
      </c>
      <c r="BJ166" s="135">
        <f>(BL166-SUM(BH166:BI166))/2</f>
        <v>5</v>
      </c>
      <c r="BK166" s="116">
        <f>(BL166-SUM(BH166:BJ166))/1</f>
        <v>5</v>
      </c>
      <c r="BL166" s="34">
        <v>20</v>
      </c>
      <c r="BM166" s="136">
        <f>+BQ166/4</f>
        <v>5</v>
      </c>
      <c r="BN166" s="135">
        <f>(BQ166-SUM(BM166:BM166))/3</f>
        <v>5</v>
      </c>
      <c r="BO166" s="135">
        <f>(BQ166-SUM(BM166:BN166))/2</f>
        <v>5</v>
      </c>
      <c r="BP166" s="116">
        <f>(BQ166-SUM(BM166:BO166))/1</f>
        <v>5</v>
      </c>
      <c r="BQ166" s="34">
        <v>20</v>
      </c>
      <c r="BR166" s="289"/>
      <c r="BS166" s="289"/>
      <c r="BT166" s="289"/>
      <c r="BU166" s="289"/>
      <c r="BV166" s="289"/>
      <c r="BW166" s="289"/>
      <c r="BX166" s="289"/>
      <c r="BY166" s="289"/>
      <c r="BZ166" s="289"/>
      <c r="CA166" s="289"/>
      <c r="CB166" s="289"/>
      <c r="CC166" s="289"/>
      <c r="CD166" s="289"/>
      <c r="CE166" s="289"/>
      <c r="CF166" s="289"/>
      <c r="CG166" s="289"/>
      <c r="CH166" s="289"/>
      <c r="CI166" s="289"/>
      <c r="CJ166" s="289"/>
      <c r="CK166" s="289"/>
      <c r="CL166" s="289"/>
      <c r="CM166" s="289"/>
      <c r="CN166" s="289"/>
      <c r="CO166" s="289"/>
      <c r="CP166" s="289"/>
      <c r="CQ166" s="289"/>
      <c r="CR166" s="289"/>
      <c r="CS166" s="289"/>
      <c r="CT166" s="289"/>
      <c r="CU166" s="289"/>
      <c r="CV166" s="289"/>
      <c r="CW166" s="289"/>
      <c r="CX166" s="289"/>
      <c r="CY166" s="289"/>
      <c r="CZ166" s="289"/>
    </row>
    <row r="167" spans="1:104" s="20" customFormat="1" x14ac:dyDescent="0.2">
      <c r="A167" s="289"/>
      <c r="B167" s="289"/>
      <c r="C167" s="605" t="s">
        <v>97</v>
      </c>
      <c r="D167" s="289"/>
      <c r="E167" s="291"/>
      <c r="F167" s="292"/>
      <c r="G167" s="292"/>
      <c r="H167" s="293"/>
      <c r="I167" s="289"/>
      <c r="J167" s="291"/>
      <c r="K167" s="292"/>
      <c r="L167" s="292"/>
      <c r="M167" s="293"/>
      <c r="N167" s="289"/>
      <c r="O167" s="291"/>
      <c r="P167" s="292"/>
      <c r="Q167" s="292"/>
      <c r="R167" s="293"/>
      <c r="S167" s="712">
        <v>10</v>
      </c>
      <c r="T167" s="136"/>
      <c r="U167" s="135"/>
      <c r="V167" s="135"/>
      <c r="W167" s="116"/>
      <c r="X167" s="34">
        <v>15</v>
      </c>
      <c r="Y167" s="136"/>
      <c r="Z167" s="135"/>
      <c r="AA167" s="135"/>
      <c r="AB167" s="116"/>
      <c r="AC167" s="34">
        <v>10</v>
      </c>
      <c r="AD167" s="136"/>
      <c r="AE167" s="135"/>
      <c r="AF167" s="135"/>
      <c r="AG167" s="116"/>
      <c r="AH167" s="34">
        <v>5</v>
      </c>
      <c r="AI167" s="136"/>
      <c r="AJ167" s="135"/>
      <c r="AK167" s="135"/>
      <c r="AL167" s="116"/>
      <c r="AM167" s="34">
        <v>20</v>
      </c>
      <c r="AN167" s="136"/>
      <c r="AO167" s="135"/>
      <c r="AP167" s="135"/>
      <c r="AQ167" s="116"/>
      <c r="AR167" s="34">
        <f>+AR169-SUM(AR163:AR166)</f>
        <v>19.426999999999992</v>
      </c>
      <c r="AS167" s="136"/>
      <c r="AT167" s="135"/>
      <c r="AU167" s="135"/>
      <c r="AV167" s="116"/>
      <c r="AW167" s="34">
        <f>+AW169-SUM(AW163:AW166)</f>
        <v>13.800999999999988</v>
      </c>
      <c r="AX167" s="136">
        <f>+BB167/4</f>
        <v>10</v>
      </c>
      <c r="AY167" s="135">
        <f>(BB167-SUM(AX167:AX167))/3</f>
        <v>10</v>
      </c>
      <c r="AZ167" s="135">
        <f>(BB167-SUM(AX167:AY167))/2</f>
        <v>10</v>
      </c>
      <c r="BA167" s="116">
        <f>(BB167-SUM(AX167:AZ167))/1</f>
        <v>10</v>
      </c>
      <c r="BB167" s="34">
        <v>40</v>
      </c>
      <c r="BC167" s="136">
        <f>+BG167/4</f>
        <v>7.5</v>
      </c>
      <c r="BD167" s="135">
        <f>(BG167-SUM(BC167:BC167))/3</f>
        <v>7.5</v>
      </c>
      <c r="BE167" s="135">
        <f>(BG167-SUM(BC167:BD167))/2</f>
        <v>7.5</v>
      </c>
      <c r="BF167" s="116">
        <f>(BG167-SUM(BC167:BE167))/1</f>
        <v>7.5</v>
      </c>
      <c r="BG167" s="34">
        <v>30</v>
      </c>
      <c r="BH167" s="136">
        <f>+BL167/4</f>
        <v>7.5</v>
      </c>
      <c r="BI167" s="135">
        <f>(BL167-SUM(BH167:BH167))/3</f>
        <v>7.5</v>
      </c>
      <c r="BJ167" s="135">
        <f>(BL167-SUM(BH167:BI167))/2</f>
        <v>7.5</v>
      </c>
      <c r="BK167" s="116">
        <f>(BL167-SUM(BH167:BJ167))/1</f>
        <v>7.5</v>
      </c>
      <c r="BL167" s="34">
        <v>30</v>
      </c>
      <c r="BM167" s="136">
        <f>+BQ167/4</f>
        <v>7.5</v>
      </c>
      <c r="BN167" s="135">
        <f>(BQ167-SUM(BM167:BM167))/3</f>
        <v>7.5</v>
      </c>
      <c r="BO167" s="135">
        <f>(BQ167-SUM(BM167:BN167))/2</f>
        <v>7.5</v>
      </c>
      <c r="BP167" s="116">
        <f>(BQ167-SUM(BM167:BO167))/1</f>
        <v>7.5</v>
      </c>
      <c r="BQ167" s="34">
        <v>30</v>
      </c>
      <c r="BR167" s="289"/>
      <c r="BS167" s="289"/>
      <c r="BT167" s="289"/>
      <c r="BU167" s="289"/>
      <c r="BV167" s="289"/>
      <c r="BW167" s="289"/>
      <c r="BX167" s="289"/>
      <c r="BY167" s="289"/>
      <c r="BZ167" s="289"/>
      <c r="CA167" s="289"/>
      <c r="CB167" s="289"/>
      <c r="CC167" s="289"/>
      <c r="CD167" s="289"/>
      <c r="CE167" s="289"/>
      <c r="CF167" s="289"/>
      <c r="CG167" s="289"/>
      <c r="CH167" s="289"/>
      <c r="CI167" s="289"/>
      <c r="CJ167" s="289"/>
      <c r="CK167" s="289"/>
      <c r="CL167" s="289"/>
      <c r="CM167" s="289"/>
      <c r="CN167" s="289"/>
      <c r="CO167" s="289"/>
      <c r="CP167" s="289"/>
      <c r="CQ167" s="289"/>
      <c r="CR167" s="289"/>
      <c r="CS167" s="289"/>
      <c r="CT167" s="289"/>
      <c r="CU167" s="289"/>
      <c r="CV167" s="289"/>
      <c r="CW167" s="289"/>
      <c r="CX167" s="289"/>
      <c r="CY167" s="289"/>
      <c r="CZ167" s="289"/>
    </row>
    <row r="168" spans="1:104" s="20" customFormat="1" x14ac:dyDescent="0.2">
      <c r="A168" s="289"/>
      <c r="B168" s="289"/>
      <c r="C168" s="932" t="s">
        <v>595</v>
      </c>
      <c r="D168" s="289"/>
      <c r="E168" s="291"/>
      <c r="F168" s="292"/>
      <c r="G168" s="292"/>
      <c r="H168" s="293"/>
      <c r="I168" s="289"/>
      <c r="J168" s="291"/>
      <c r="K168" s="292"/>
      <c r="L168" s="292"/>
      <c r="M168" s="293"/>
      <c r="N168" s="289"/>
      <c r="O168" s="291"/>
      <c r="P168" s="292"/>
      <c r="Q168" s="292"/>
      <c r="R168" s="293"/>
      <c r="S168" s="712"/>
      <c r="T168" s="136"/>
      <c r="U168" s="135"/>
      <c r="V168" s="135"/>
      <c r="W168" s="116"/>
      <c r="X168" s="34"/>
      <c r="Y168" s="136"/>
      <c r="Z168" s="135"/>
      <c r="AA168" s="135"/>
      <c r="AB168" s="116"/>
      <c r="AC168" s="34"/>
      <c r="AD168" s="136"/>
      <c r="AE168" s="135"/>
      <c r="AF168" s="135"/>
      <c r="AG168" s="116"/>
      <c r="AH168" s="34"/>
      <c r="AI168" s="136"/>
      <c r="AJ168" s="135"/>
      <c r="AK168" s="135"/>
      <c r="AL168" s="116"/>
      <c r="AM168" s="34"/>
      <c r="AN168" s="136"/>
      <c r="AO168" s="135"/>
      <c r="AP168" s="135"/>
      <c r="AQ168" s="116"/>
      <c r="AR168" s="34"/>
      <c r="AS168" s="967"/>
      <c r="AT168" s="135"/>
      <c r="AU168" s="135"/>
      <c r="AV168" s="116"/>
      <c r="AW168" s="34">
        <v>0</v>
      </c>
      <c r="AX168" s="136"/>
      <c r="AY168" s="135"/>
      <c r="AZ168" s="135"/>
      <c r="BA168" s="116"/>
      <c r="BB168" s="34">
        <v>0</v>
      </c>
      <c r="BC168" s="136"/>
      <c r="BD168" s="135"/>
      <c r="BE168" s="135"/>
      <c r="BF168" s="116"/>
      <c r="BG168" s="34">
        <v>0</v>
      </c>
      <c r="BH168" s="136"/>
      <c r="BI168" s="135"/>
      <c r="BJ168" s="135"/>
      <c r="BK168" s="116"/>
      <c r="BL168" s="34">
        <v>0</v>
      </c>
      <c r="BM168" s="136"/>
      <c r="BN168" s="135"/>
      <c r="BO168" s="135"/>
      <c r="BP168" s="116"/>
      <c r="BQ168" s="34">
        <v>0</v>
      </c>
      <c r="BR168" s="289"/>
      <c r="BS168" s="289"/>
      <c r="BT168" s="289"/>
      <c r="BU168" s="289"/>
      <c r="BV168" s="289"/>
      <c r="BW168" s="289"/>
      <c r="BX168" s="289"/>
      <c r="BY168" s="289"/>
      <c r="BZ168" s="289"/>
      <c r="CA168" s="289"/>
      <c r="CB168" s="289"/>
      <c r="CC168" s="289"/>
      <c r="CD168" s="289"/>
      <c r="CE168" s="289"/>
      <c r="CF168" s="289"/>
      <c r="CG168" s="289"/>
      <c r="CH168" s="289"/>
      <c r="CI168" s="289"/>
      <c r="CJ168" s="289"/>
      <c r="CK168" s="289"/>
      <c r="CL168" s="289"/>
      <c r="CM168" s="289"/>
      <c r="CN168" s="289"/>
      <c r="CO168" s="289"/>
      <c r="CP168" s="289"/>
      <c r="CQ168" s="289"/>
      <c r="CR168" s="289"/>
      <c r="CS168" s="289"/>
      <c r="CT168" s="289"/>
      <c r="CU168" s="289"/>
      <c r="CV168" s="289"/>
      <c r="CW168" s="289"/>
      <c r="CX168" s="289"/>
      <c r="CY168" s="289"/>
      <c r="CZ168" s="289"/>
    </row>
    <row r="169" spans="1:104" x14ac:dyDescent="0.2">
      <c r="A169" s="85"/>
      <c r="B169" s="85"/>
      <c r="C169" s="336" t="s">
        <v>292</v>
      </c>
      <c r="D169" s="86"/>
      <c r="E169" s="124">
        <f t="shared" ref="E169:M169" si="399">-E203</f>
        <v>20.959</v>
      </c>
      <c r="F169" s="129">
        <f t="shared" si="399"/>
        <v>24.702999999999999</v>
      </c>
      <c r="G169" s="129">
        <f t="shared" si="399"/>
        <v>24.298999999999999</v>
      </c>
      <c r="H169" s="126">
        <f t="shared" si="399"/>
        <v>35.447000000000003</v>
      </c>
      <c r="I169" s="127">
        <f t="shared" si="399"/>
        <v>105.408</v>
      </c>
      <c r="J169" s="124">
        <f t="shared" si="399"/>
        <v>26.170999999999999</v>
      </c>
      <c r="K169" s="129">
        <f t="shared" si="399"/>
        <v>29.856999999999999</v>
      </c>
      <c r="L169" s="129">
        <f t="shared" si="399"/>
        <v>34.121000000000002</v>
      </c>
      <c r="M169" s="126">
        <f t="shared" si="399"/>
        <v>38.783999999999992</v>
      </c>
      <c r="N169" s="127">
        <f t="shared" ref="N169:AI169" si="400">-N203</f>
        <v>128.93299999999999</v>
      </c>
      <c r="O169" s="124">
        <f t="shared" si="400"/>
        <v>26.2</v>
      </c>
      <c r="P169" s="129">
        <f t="shared" si="400"/>
        <v>32.019000000000005</v>
      </c>
      <c r="Q169" s="129">
        <f t="shared" si="400"/>
        <v>34.467999999999996</v>
      </c>
      <c r="R169" s="126">
        <f t="shared" si="400"/>
        <v>48.295000000000002</v>
      </c>
      <c r="S169" s="127">
        <f t="shared" si="400"/>
        <v>140.982</v>
      </c>
      <c r="T169" s="124">
        <f t="shared" si="400"/>
        <v>36.747999999999998</v>
      </c>
      <c r="U169" s="122">
        <f t="shared" si="400"/>
        <v>35.482000000000006</v>
      </c>
      <c r="V169" s="129">
        <f t="shared" si="400"/>
        <v>34.322999999999993</v>
      </c>
      <c r="W169" s="126">
        <f t="shared" si="400"/>
        <v>46.205999999999989</v>
      </c>
      <c r="X169" s="127">
        <f t="shared" si="400"/>
        <v>152.75899999999999</v>
      </c>
      <c r="Y169" s="124">
        <f t="shared" si="400"/>
        <v>39.369999999999997</v>
      </c>
      <c r="Z169" s="122">
        <f>-Z203</f>
        <v>42.232999999999997</v>
      </c>
      <c r="AA169" s="129">
        <f t="shared" si="400"/>
        <v>53.037999999999997</v>
      </c>
      <c r="AB169" s="126">
        <f t="shared" si="400"/>
        <v>66.637</v>
      </c>
      <c r="AC169" s="127">
        <f t="shared" si="400"/>
        <v>201.27799999999999</v>
      </c>
      <c r="AD169" s="124">
        <f t="shared" si="400"/>
        <v>59.698999999999998</v>
      </c>
      <c r="AE169" s="122">
        <f>-AE203</f>
        <v>64.924999999999997</v>
      </c>
      <c r="AF169" s="129">
        <f t="shared" si="400"/>
        <v>70.262</v>
      </c>
      <c r="AG169" s="126">
        <f t="shared" si="400"/>
        <v>93.323000000000008</v>
      </c>
      <c r="AH169" s="127">
        <f t="shared" si="400"/>
        <v>288.209</v>
      </c>
      <c r="AI169" s="124">
        <f t="shared" si="400"/>
        <v>79.926000000000002</v>
      </c>
      <c r="AJ169" s="122">
        <f t="shared" ref="AJ169:AP169" si="401">-AJ203</f>
        <v>70.51700000000001</v>
      </c>
      <c r="AK169" s="122">
        <f t="shared" si="401"/>
        <v>21.143000000000001</v>
      </c>
      <c r="AL169" s="123">
        <f t="shared" si="401"/>
        <v>80.210999999999984</v>
      </c>
      <c r="AM169" s="86">
        <f t="shared" si="401"/>
        <v>251.797</v>
      </c>
      <c r="AN169" s="124">
        <f t="shared" si="401"/>
        <v>44.655000000000001</v>
      </c>
      <c r="AO169" s="122">
        <f t="shared" si="401"/>
        <v>43.135999999999996</v>
      </c>
      <c r="AP169" s="122">
        <f t="shared" si="401"/>
        <v>50.825000000000017</v>
      </c>
      <c r="AQ169" s="123">
        <f>-AQ203</f>
        <v>65.810999999999979</v>
      </c>
      <c r="AR169" s="86">
        <f>-AR203</f>
        <v>204.42699999999999</v>
      </c>
      <c r="AS169" s="124">
        <f t="shared" ref="AS169:AU169" si="402">-AS203</f>
        <v>47.999000000000002</v>
      </c>
      <c r="AT169" s="122">
        <f t="shared" si="402"/>
        <v>42.735999999999997</v>
      </c>
      <c r="AU169" s="122">
        <f t="shared" si="402"/>
        <v>54.704999999999998</v>
      </c>
      <c r="AV169" s="123">
        <f>-AV203</f>
        <v>73.36099999999999</v>
      </c>
      <c r="AW169" s="86">
        <f>-AW203</f>
        <v>218.80099999999999</v>
      </c>
      <c r="AX169" s="121">
        <f>SUM(AX163:AX167)</f>
        <v>62.5</v>
      </c>
      <c r="AY169" s="122">
        <f>SUM(AY163:AY167)</f>
        <v>62.5</v>
      </c>
      <c r="AZ169" s="122">
        <f>SUM(AZ163:AZ167)</f>
        <v>62.5</v>
      </c>
      <c r="BA169" s="123">
        <f>SUM(BA163:BA167)</f>
        <v>62.5</v>
      </c>
      <c r="BB169" s="86">
        <f>SUM(BB163:BB168)</f>
        <v>250</v>
      </c>
      <c r="BC169" s="121">
        <f>SUM(BC163:BC167)</f>
        <v>62.5</v>
      </c>
      <c r="BD169" s="122">
        <f>SUM(BD163:BD167)</f>
        <v>62.5</v>
      </c>
      <c r="BE169" s="122">
        <f>SUM(BE163:BE167)</f>
        <v>62.5</v>
      </c>
      <c r="BF169" s="123">
        <f>SUM(BF163:BF167)</f>
        <v>62.5</v>
      </c>
      <c r="BG169" s="86">
        <f t="shared" ref="BG169:BL169" si="403">SUM(BG163:BG168)</f>
        <v>250</v>
      </c>
      <c r="BH169" s="121">
        <f t="shared" si="403"/>
        <v>60</v>
      </c>
      <c r="BI169" s="122">
        <f t="shared" si="403"/>
        <v>60</v>
      </c>
      <c r="BJ169" s="122">
        <f t="shared" si="403"/>
        <v>60</v>
      </c>
      <c r="BK169" s="123">
        <f t="shared" si="403"/>
        <v>60</v>
      </c>
      <c r="BL169" s="86">
        <f t="shared" si="403"/>
        <v>240</v>
      </c>
      <c r="BM169" s="121">
        <f t="shared" ref="BM169:BQ169" si="404">SUM(BM163:BM168)</f>
        <v>70</v>
      </c>
      <c r="BN169" s="122">
        <f t="shared" si="404"/>
        <v>70</v>
      </c>
      <c r="BO169" s="122">
        <f t="shared" si="404"/>
        <v>70</v>
      </c>
      <c r="BP169" s="123">
        <f t="shared" si="404"/>
        <v>70</v>
      </c>
      <c r="BQ169" s="86">
        <f t="shared" si="404"/>
        <v>280</v>
      </c>
      <c r="BR169" s="85"/>
      <c r="BS169" s="289"/>
      <c r="BT169" s="289"/>
      <c r="BU169" s="85"/>
      <c r="BV169" s="85"/>
      <c r="BW169" s="85"/>
      <c r="BX169" s="85"/>
      <c r="BY169" s="85"/>
      <c r="BZ169" s="85"/>
      <c r="CA169" s="85"/>
      <c r="CB169" s="85"/>
      <c r="CC169" s="85"/>
      <c r="CD169" s="85"/>
      <c r="CE169" s="85"/>
      <c r="CF169" s="85"/>
      <c r="CG169" s="85"/>
      <c r="CH169" s="85"/>
      <c r="CI169" s="85"/>
      <c r="CJ169" s="85"/>
      <c r="CK169" s="85"/>
      <c r="CL169" s="85"/>
      <c r="CM169" s="85"/>
      <c r="CN169" s="85"/>
      <c r="CO169" s="85"/>
      <c r="CP169" s="85"/>
      <c r="CQ169" s="85"/>
      <c r="CR169" s="85"/>
      <c r="CS169" s="85"/>
      <c r="CT169" s="85"/>
      <c r="CU169" s="85"/>
      <c r="CV169" s="85"/>
      <c r="CW169" s="85"/>
      <c r="CX169" s="85"/>
      <c r="CY169" s="85"/>
      <c r="CZ169" s="85"/>
    </row>
    <row r="170" spans="1:104" x14ac:dyDescent="0.2">
      <c r="A170" s="289"/>
      <c r="B170" s="289"/>
      <c r="C170" s="289"/>
      <c r="D170" s="289"/>
      <c r="E170" s="294"/>
      <c r="F170" s="345"/>
      <c r="G170" s="345"/>
      <c r="H170" s="296"/>
      <c r="I170" s="346"/>
      <c r="J170" s="294"/>
      <c r="K170" s="345"/>
      <c r="L170" s="345"/>
      <c r="M170" s="296"/>
      <c r="N170" s="346"/>
      <c r="O170" s="291"/>
      <c r="P170" s="292"/>
      <c r="Q170" s="292"/>
      <c r="R170" s="293"/>
      <c r="S170" s="289"/>
      <c r="T170" s="291"/>
      <c r="U170" s="292"/>
      <c r="V170" s="292"/>
      <c r="W170" s="293"/>
      <c r="X170" s="289"/>
      <c r="Y170" s="291"/>
      <c r="Z170" s="292"/>
      <c r="AA170" s="292"/>
      <c r="AB170" s="293"/>
      <c r="AC170" s="289"/>
      <c r="AD170" s="291"/>
      <c r="AE170" s="292"/>
      <c r="AF170" s="292"/>
      <c r="AG170" s="293"/>
      <c r="AH170" s="289"/>
      <c r="AI170" s="291"/>
      <c r="AJ170" s="292"/>
      <c r="AK170" s="292"/>
      <c r="AL170" s="293"/>
      <c r="AM170" s="289"/>
      <c r="AN170" s="291"/>
      <c r="AO170" s="292"/>
      <c r="AP170" s="292"/>
      <c r="AQ170" s="293"/>
      <c r="AR170" s="289"/>
      <c r="AS170" s="291"/>
      <c r="AT170" s="292"/>
      <c r="AU170" s="292"/>
      <c r="AV170" s="293"/>
      <c r="AW170" s="289"/>
      <c r="AX170" s="291"/>
      <c r="AY170" s="292"/>
      <c r="AZ170" s="292"/>
      <c r="BA170" s="293"/>
      <c r="BB170" s="289"/>
      <c r="BC170" s="291"/>
      <c r="BD170" s="292"/>
      <c r="BE170" s="292"/>
      <c r="BF170" s="293"/>
      <c r="BG170" s="289"/>
      <c r="BH170" s="291"/>
      <c r="BI170" s="292"/>
      <c r="BJ170" s="292"/>
      <c r="BK170" s="293"/>
      <c r="BL170" s="289"/>
      <c r="BM170" s="291"/>
      <c r="BN170" s="292"/>
      <c r="BO170" s="292"/>
      <c r="BP170" s="293"/>
      <c r="BQ170" s="289"/>
      <c r="BR170" s="289"/>
      <c r="BS170" s="289"/>
      <c r="BT170" s="289"/>
      <c r="BU170" s="289"/>
      <c r="BV170" s="289"/>
      <c r="BW170" s="289"/>
      <c r="BX170" s="289"/>
      <c r="BY170" s="289"/>
      <c r="BZ170" s="289"/>
      <c r="CA170" s="289"/>
      <c r="CB170" s="289"/>
      <c r="CC170" s="289"/>
      <c r="CD170" s="289"/>
      <c r="CE170" s="289"/>
      <c r="CF170" s="289"/>
      <c r="CG170" s="289"/>
      <c r="CH170" s="289"/>
      <c r="CI170" s="289"/>
      <c r="CJ170" s="289"/>
      <c r="CK170" s="289"/>
      <c r="CL170" s="289"/>
      <c r="CM170" s="289"/>
      <c r="CN170" s="289"/>
      <c r="CO170" s="289"/>
      <c r="CP170" s="289"/>
      <c r="CQ170" s="289"/>
      <c r="CR170" s="289"/>
      <c r="CS170" s="289"/>
      <c r="CT170" s="289"/>
      <c r="CU170" s="289"/>
      <c r="CV170" s="289"/>
      <c r="CW170" s="289"/>
      <c r="CX170" s="289"/>
      <c r="CY170" s="289"/>
      <c r="CZ170" s="289"/>
    </row>
    <row r="171" spans="1:104" x14ac:dyDescent="0.2">
      <c r="A171" s="289"/>
      <c r="B171" s="289"/>
      <c r="C171" s="289"/>
      <c r="D171" s="289"/>
      <c r="E171" s="291"/>
      <c r="F171" s="292"/>
      <c r="G171" s="292"/>
      <c r="H171" s="293"/>
      <c r="I171" s="289"/>
      <c r="J171" s="291"/>
      <c r="K171" s="292"/>
      <c r="L171" s="292"/>
      <c r="M171" s="293"/>
      <c r="N171" s="289"/>
      <c r="O171" s="291"/>
      <c r="P171" s="292"/>
      <c r="Q171" s="292"/>
      <c r="R171" s="293"/>
      <c r="S171" s="289"/>
      <c r="T171" s="291"/>
      <c r="U171" s="292"/>
      <c r="V171" s="292"/>
      <c r="W171" s="293"/>
      <c r="X171" s="289"/>
      <c r="Y171" s="291"/>
      <c r="Z171" s="292"/>
      <c r="AA171" s="292"/>
      <c r="AB171" s="293"/>
      <c r="AC171" s="289"/>
      <c r="AD171" s="291"/>
      <c r="AE171" s="292"/>
      <c r="AF171" s="292"/>
      <c r="AG171" s="293"/>
      <c r="AH171" s="289"/>
      <c r="AI171" s="291"/>
      <c r="AJ171" s="292"/>
      <c r="AK171" s="292"/>
      <c r="AL171" s="293"/>
      <c r="AM171" s="289"/>
      <c r="AN171" s="291"/>
      <c r="AO171" s="292"/>
      <c r="AP171" s="292"/>
      <c r="AQ171" s="293"/>
      <c r="AR171" s="289"/>
      <c r="AS171" s="291"/>
      <c r="AT171" s="292"/>
      <c r="AU171" s="292"/>
      <c r="AV171" s="293"/>
      <c r="AW171" s="289"/>
      <c r="AX171" s="291"/>
      <c r="AY171" s="292"/>
      <c r="AZ171" s="292"/>
      <c r="BA171" s="293"/>
      <c r="BB171" s="289"/>
      <c r="BC171" s="291"/>
      <c r="BD171" s="292"/>
      <c r="BE171" s="292"/>
      <c r="BF171" s="293"/>
      <c r="BG171" s="289"/>
      <c r="BH171" s="291"/>
      <c r="BI171" s="292"/>
      <c r="BJ171" s="292"/>
      <c r="BK171" s="293"/>
      <c r="BL171" s="289"/>
      <c r="BM171" s="291"/>
      <c r="BN171" s="292"/>
      <c r="BO171" s="292"/>
      <c r="BP171" s="293"/>
      <c r="BQ171" s="289"/>
      <c r="BR171" s="289"/>
      <c r="BS171" s="289"/>
      <c r="BT171" s="289"/>
      <c r="BU171" s="289"/>
      <c r="BV171" s="289"/>
      <c r="BW171" s="289"/>
      <c r="BX171" s="289"/>
      <c r="BY171" s="289"/>
      <c r="BZ171" s="289"/>
      <c r="CA171" s="289"/>
      <c r="CB171" s="289"/>
      <c r="CC171" s="289"/>
      <c r="CD171" s="289"/>
      <c r="CE171" s="289"/>
      <c r="CF171" s="289"/>
      <c r="CG171" s="289"/>
      <c r="CH171" s="289"/>
      <c r="CI171" s="289"/>
      <c r="CJ171" s="289"/>
      <c r="CK171" s="289"/>
      <c r="CL171" s="289"/>
      <c r="CM171" s="289"/>
      <c r="CN171" s="289"/>
      <c r="CO171" s="289"/>
      <c r="CP171" s="289"/>
      <c r="CQ171" s="289"/>
      <c r="CR171" s="289"/>
      <c r="CS171" s="289"/>
      <c r="CT171" s="289"/>
      <c r="CU171" s="289"/>
      <c r="CV171" s="289"/>
      <c r="CW171" s="289"/>
      <c r="CX171" s="289"/>
      <c r="CY171" s="289"/>
      <c r="CZ171" s="289"/>
    </row>
    <row r="172" spans="1:104" x14ac:dyDescent="0.2">
      <c r="A172" s="289"/>
      <c r="B172" s="347" t="s">
        <v>293</v>
      </c>
      <c r="C172" s="347"/>
      <c r="D172" s="348"/>
      <c r="E172" s="291"/>
      <c r="F172" s="292"/>
      <c r="G172" s="292"/>
      <c r="H172" s="293"/>
      <c r="I172" s="289"/>
      <c r="J172" s="291"/>
      <c r="K172" s="292"/>
      <c r="L172" s="292"/>
      <c r="M172" s="293"/>
      <c r="N172" s="289"/>
      <c r="O172" s="291"/>
      <c r="P172" s="292"/>
      <c r="Q172" s="292"/>
      <c r="R172" s="293"/>
      <c r="S172" s="289"/>
      <c r="T172" s="291"/>
      <c r="U172" s="292"/>
      <c r="V172" s="292"/>
      <c r="W172" s="293"/>
      <c r="X172" s="289"/>
      <c r="Y172" s="291"/>
      <c r="Z172" s="292"/>
      <c r="AA172" s="292"/>
      <c r="AB172" s="293"/>
      <c r="AC172" s="289"/>
      <c r="AD172" s="291"/>
      <c r="AE172" s="292"/>
      <c r="AF172" s="292"/>
      <c r="AG172" s="293"/>
      <c r="AH172" s="289"/>
      <c r="AI172" s="291"/>
      <c r="AJ172" s="292"/>
      <c r="AK172" s="292"/>
      <c r="AL172" s="293"/>
      <c r="AM172" s="289"/>
      <c r="AN172" s="291"/>
      <c r="AO172" s="292"/>
      <c r="AP172" s="292"/>
      <c r="AQ172" s="293"/>
      <c r="AR172" s="289"/>
      <c r="AS172" s="291"/>
      <c r="AT172" s="292"/>
      <c r="AU172" s="292"/>
      <c r="AV172" s="293"/>
      <c r="AW172" s="289"/>
      <c r="AX172" s="291"/>
      <c r="AY172" s="292"/>
      <c r="AZ172" s="292"/>
      <c r="BA172" s="293"/>
      <c r="BB172" s="289"/>
      <c r="BC172" s="291"/>
      <c r="BD172" s="292"/>
      <c r="BE172" s="292"/>
      <c r="BF172" s="293"/>
      <c r="BG172" s="289"/>
      <c r="BH172" s="291"/>
      <c r="BI172" s="292"/>
      <c r="BJ172" s="292"/>
      <c r="BK172" s="293"/>
      <c r="BL172" s="289"/>
      <c r="BM172" s="291"/>
      <c r="BN172" s="292"/>
      <c r="BO172" s="292"/>
      <c r="BP172" s="293"/>
      <c r="BQ172" s="289"/>
      <c r="BR172" s="289"/>
      <c r="BS172" s="289"/>
      <c r="BT172" s="289"/>
      <c r="BU172" s="289"/>
      <c r="BV172" s="289"/>
      <c r="BW172" s="289"/>
      <c r="BX172" s="289"/>
      <c r="BY172" s="289"/>
      <c r="BZ172" s="289"/>
      <c r="CA172" s="289"/>
      <c r="CB172" s="289"/>
      <c r="CC172" s="289"/>
      <c r="CD172" s="289"/>
      <c r="CE172" s="289"/>
      <c r="CF172" s="289"/>
      <c r="CG172" s="289"/>
      <c r="CH172" s="289"/>
      <c r="CI172" s="289"/>
      <c r="CJ172" s="289"/>
      <c r="CK172" s="289"/>
      <c r="CL172" s="289"/>
      <c r="CM172" s="289"/>
      <c r="CN172" s="289"/>
      <c r="CO172" s="289"/>
      <c r="CP172" s="289"/>
      <c r="CQ172" s="289"/>
      <c r="CR172" s="289"/>
      <c r="CS172" s="289"/>
      <c r="CT172" s="289"/>
      <c r="CU172" s="289"/>
      <c r="CV172" s="289"/>
      <c r="CW172" s="289"/>
      <c r="CX172" s="289"/>
      <c r="CY172" s="289"/>
      <c r="CZ172" s="289"/>
    </row>
    <row r="173" spans="1:104" x14ac:dyDescent="0.2">
      <c r="A173" s="220"/>
      <c r="B173" s="220"/>
      <c r="C173" s="20" t="s">
        <v>126</v>
      </c>
      <c r="D173" s="82"/>
      <c r="E173" s="136">
        <f t="shared" ref="E173:P173" si="405">+E27</f>
        <v>0.27100000000000002</v>
      </c>
      <c r="F173" s="135">
        <f t="shared" si="405"/>
        <v>0.39200000000000002</v>
      </c>
      <c r="G173" s="135">
        <f t="shared" si="405"/>
        <v>0.45900000000000002</v>
      </c>
      <c r="H173" s="116">
        <f t="shared" si="405"/>
        <v>0.5149999999999999</v>
      </c>
      <c r="I173" s="82">
        <f t="shared" si="405"/>
        <v>1.637</v>
      </c>
      <c r="J173" s="136">
        <f t="shared" si="405"/>
        <v>0.434</v>
      </c>
      <c r="K173" s="135">
        <f t="shared" si="405"/>
        <v>0.64900000000000002</v>
      </c>
      <c r="L173" s="135">
        <f t="shared" si="405"/>
        <v>0.63900000000000001</v>
      </c>
      <c r="M173" s="116">
        <f t="shared" si="405"/>
        <v>0.53100000000000014</v>
      </c>
      <c r="N173" s="82">
        <f t="shared" si="405"/>
        <v>2.2530000000000001</v>
      </c>
      <c r="O173" s="136">
        <f t="shared" si="405"/>
        <v>0.106</v>
      </c>
      <c r="P173" s="135">
        <f t="shared" si="405"/>
        <v>0.30499999999999999</v>
      </c>
      <c r="Q173" s="135">
        <f t="shared" ref="Q173:Y173" si="406">+Q27</f>
        <v>0.13300000000000001</v>
      </c>
      <c r="R173" s="116">
        <f t="shared" si="406"/>
        <v>0.46299999999999986</v>
      </c>
      <c r="S173" s="82">
        <f t="shared" si="406"/>
        <v>1.0069999999999999</v>
      </c>
      <c r="T173" s="136">
        <f t="shared" si="406"/>
        <v>0.999</v>
      </c>
      <c r="U173" s="135">
        <f t="shared" si="406"/>
        <v>0.76500000000000001</v>
      </c>
      <c r="V173" s="135">
        <f t="shared" si="406"/>
        <v>-8.5000000000000006E-2</v>
      </c>
      <c r="W173" s="116">
        <f t="shared" si="406"/>
        <v>0.42500000000000004</v>
      </c>
      <c r="X173" s="82">
        <f t="shared" si="406"/>
        <v>2.1040000000000001</v>
      </c>
      <c r="Y173" s="136">
        <f t="shared" si="406"/>
        <v>0.94599999999999995</v>
      </c>
      <c r="Z173" s="135">
        <f t="shared" ref="Z173:AE173" si="407">+Z27</f>
        <v>0.78</v>
      </c>
      <c r="AA173" s="135">
        <f t="shared" si="407"/>
        <v>1.0289999999999999</v>
      </c>
      <c r="AB173" s="116">
        <f t="shared" si="407"/>
        <v>1.5040000000000004</v>
      </c>
      <c r="AC173" s="82">
        <f t="shared" si="407"/>
        <v>4.2590000000000003</v>
      </c>
      <c r="AD173" s="136">
        <f t="shared" si="407"/>
        <v>1.5720000000000001</v>
      </c>
      <c r="AE173" s="135">
        <f t="shared" si="407"/>
        <v>1.7669999999999999</v>
      </c>
      <c r="AF173" s="135">
        <f t="shared" ref="AF173:AM173" si="408">+AF27</f>
        <v>1.5760000000000001</v>
      </c>
      <c r="AG173" s="116">
        <f t="shared" si="408"/>
        <v>2.1449999999999996</v>
      </c>
      <c r="AH173" s="82">
        <f t="shared" si="408"/>
        <v>7.06</v>
      </c>
      <c r="AI173" s="136">
        <f t="shared" si="408"/>
        <v>2.2189999999999999</v>
      </c>
      <c r="AJ173" s="135">
        <f t="shared" si="408"/>
        <v>1.778</v>
      </c>
      <c r="AK173" s="135">
        <f t="shared" si="408"/>
        <v>1.929</v>
      </c>
      <c r="AL173" s="116">
        <f t="shared" si="408"/>
        <v>1.327</v>
      </c>
      <c r="AM173" s="82">
        <f t="shared" si="408"/>
        <v>7.2530000000000001</v>
      </c>
      <c r="AN173" s="136">
        <f t="shared" ref="AN173:AS173" si="409">+AN27</f>
        <v>0.81</v>
      </c>
      <c r="AO173" s="135">
        <f t="shared" si="409"/>
        <v>0.91800000000000004</v>
      </c>
      <c r="AP173" s="135">
        <f t="shared" si="409"/>
        <v>1.2410000000000001</v>
      </c>
      <c r="AQ173" s="116">
        <f t="shared" si="409"/>
        <v>1.3079999999999998</v>
      </c>
      <c r="AR173" s="82">
        <f t="shared" si="409"/>
        <v>4.2770000000000001</v>
      </c>
      <c r="AS173" s="136">
        <f t="shared" si="409"/>
        <v>1.2869999999999999</v>
      </c>
      <c r="AT173" s="135">
        <f>+AT27</f>
        <v>1.7509999999999999</v>
      </c>
      <c r="AU173" s="135">
        <f>+AU27</f>
        <v>1.7050000000000001</v>
      </c>
      <c r="AV173" s="116">
        <f t="shared" ref="AV173:AW173" si="410">+AV27</f>
        <v>1.9639999999999995</v>
      </c>
      <c r="AW173" s="82">
        <f t="shared" si="410"/>
        <v>6.7069999999999999</v>
      </c>
      <c r="AX173" s="136">
        <f>+AX156*AX174/4</f>
        <v>1.9123113011366495</v>
      </c>
      <c r="AY173" s="135">
        <f>+AY156*AY174/4</f>
        <v>1.9123113011366495</v>
      </c>
      <c r="AZ173" s="135">
        <f>+AZ156*AZ174/4</f>
        <v>1.9123113011366495</v>
      </c>
      <c r="BA173" s="116">
        <f>+BA156*BA174/4</f>
        <v>1.9123113011366495</v>
      </c>
      <c r="BB173" s="82">
        <f>SUM(AX173:BA173)</f>
        <v>7.649245204546598</v>
      </c>
      <c r="BC173" s="136">
        <f>+BC156*BC174/4</f>
        <v>1.9123113011366495</v>
      </c>
      <c r="BD173" s="135">
        <f>+BD156*BD174/4</f>
        <v>1.9123113011366495</v>
      </c>
      <c r="BE173" s="135">
        <f>+BE156*BE174/4</f>
        <v>1.9123113011366495</v>
      </c>
      <c r="BF173" s="116">
        <f>+BF156*BF174/4</f>
        <v>1.9123113011366495</v>
      </c>
      <c r="BG173" s="82">
        <f>SUM(BC173:BF173)</f>
        <v>7.649245204546598</v>
      </c>
      <c r="BH173" s="136">
        <f>+BH156*BH174/4</f>
        <v>1.8358188490911833</v>
      </c>
      <c r="BI173" s="135">
        <f>+BI156*BI174/4</f>
        <v>1.8358188490911833</v>
      </c>
      <c r="BJ173" s="135">
        <f>+BJ156*BJ174/4</f>
        <v>1.8358188490911833</v>
      </c>
      <c r="BK173" s="116">
        <f>+BK156*BK174/4</f>
        <v>1.8358188490911833</v>
      </c>
      <c r="BL173" s="82">
        <f>SUM(BH173:BK173)</f>
        <v>7.3432753963647333</v>
      </c>
      <c r="BM173" s="136">
        <f>+BM156*BM174/4</f>
        <v>2.1417886572730476</v>
      </c>
      <c r="BN173" s="135">
        <f>+BN156*BN174/4</f>
        <v>2.1417886572730476</v>
      </c>
      <c r="BO173" s="135">
        <f>+BO156*BO174/4</f>
        <v>2.1417886572730476</v>
      </c>
      <c r="BP173" s="116">
        <f>+BP156*BP174/4</f>
        <v>2.1417886572730476</v>
      </c>
      <c r="BQ173" s="82">
        <f>SUM(BM173:BP173)</f>
        <v>8.5671546290921903</v>
      </c>
      <c r="BR173" s="220"/>
      <c r="BS173" s="220"/>
      <c r="BT173" s="220"/>
      <c r="BU173" s="220"/>
      <c r="BV173" s="220"/>
      <c r="BW173" s="220"/>
      <c r="BX173" s="220"/>
      <c r="BY173" s="220"/>
      <c r="BZ173" s="220"/>
      <c r="CA173" s="220"/>
      <c r="CB173" s="220"/>
      <c r="CC173" s="220"/>
      <c r="CD173" s="220"/>
      <c r="CE173" s="220"/>
      <c r="CF173" s="220"/>
      <c r="CG173" s="220"/>
      <c r="CH173" s="220"/>
      <c r="CI173" s="220"/>
      <c r="CJ173" s="220"/>
      <c r="CK173" s="220"/>
      <c r="CL173" s="220"/>
      <c r="CM173" s="220"/>
      <c r="CN173" s="220"/>
      <c r="CO173" s="220"/>
      <c r="CP173" s="220"/>
      <c r="CQ173" s="220"/>
      <c r="CR173" s="220"/>
      <c r="CS173" s="220"/>
      <c r="CT173" s="220"/>
      <c r="CU173" s="220"/>
      <c r="CV173" s="220"/>
      <c r="CW173" s="220"/>
      <c r="CX173" s="220"/>
      <c r="CY173" s="220"/>
      <c r="CZ173" s="220"/>
    </row>
    <row r="174" spans="1:104" x14ac:dyDescent="0.2">
      <c r="A174" s="20"/>
      <c r="B174" s="20"/>
      <c r="C174" s="20" t="s">
        <v>294</v>
      </c>
      <c r="D174" s="20"/>
      <c r="E174" s="207">
        <f>+E173/E156*4</f>
        <v>2.7806279499281758E-2</v>
      </c>
      <c r="F174" s="208">
        <f>+F173/F156*4</f>
        <v>3.2689140450726545E-2</v>
      </c>
      <c r="G174" s="208">
        <f>+G173/G156*4</f>
        <v>4.6024265516895618E-2</v>
      </c>
      <c r="H174" s="209">
        <f>+H173/H156*4</f>
        <v>3.9505983430500144E-2</v>
      </c>
      <c r="I174" s="88">
        <f>+I173/AVERAGE(I156,D156)</f>
        <v>3.1393832463945996E-2</v>
      </c>
      <c r="J174" s="207">
        <f>+J173/J156*4</f>
        <v>2.7208325496834052E-2</v>
      </c>
      <c r="K174" s="208">
        <f>+K173/K156*4</f>
        <v>3.710002429508525E-2</v>
      </c>
      <c r="L174" s="208">
        <f>+L173/L156*4</f>
        <v>3.8607355939883695E-2</v>
      </c>
      <c r="M174" s="209">
        <f>+M173/M156*4</f>
        <v>4.9540514064467987E-2</v>
      </c>
      <c r="N174" s="88">
        <f>+N173/AVERAGE(N156,I156)</f>
        <v>4.7422593613841588E-2</v>
      </c>
      <c r="O174" s="207">
        <f>+O173/O156*4</f>
        <v>8.7135224003288131E-3</v>
      </c>
      <c r="P174" s="208">
        <f>+P173/P156*4</f>
        <v>2.9531371030209141E-2</v>
      </c>
      <c r="Q174" s="208">
        <f>+Q173/Q156*4</f>
        <v>1.0436693216149411E-2</v>
      </c>
      <c r="R174" s="209">
        <f>+R173/R156*4</f>
        <v>3.3902648873267785E-2</v>
      </c>
      <c r="S174" s="88">
        <f>+S173/AVERAGE(S156,N156)</f>
        <v>2.0656198397965148E-2</v>
      </c>
      <c r="T174" s="207">
        <f>+T173/T156*4</f>
        <v>6.1926605504587152E-2</v>
      </c>
      <c r="U174" s="208">
        <f>+U173/U156*4</f>
        <v>4.8698973502029126E-2</v>
      </c>
      <c r="V174" s="208">
        <f>+V173/V156*4</f>
        <v>-4.5387798691763452E-3</v>
      </c>
      <c r="W174" s="209">
        <f>+W173/W156*4</f>
        <v>2.7143974835938625E-2</v>
      </c>
      <c r="X174" s="88">
        <f>+X173/AVERAGE(X156,S156)</f>
        <v>3.5887289349798734E-2</v>
      </c>
      <c r="Y174" s="207">
        <f>+Y173/Y156*4</f>
        <v>5.2903099528849244E-2</v>
      </c>
      <c r="Z174" s="208">
        <f>+Z173/Z156*4</f>
        <v>4.0443845276366276E-2</v>
      </c>
      <c r="AA174" s="208">
        <f>+AA173/AA156*4</f>
        <v>4.0577309830829286E-2</v>
      </c>
      <c r="AB174" s="209">
        <f>+AB173/AB156*4</f>
        <v>4.7016896697250593E-2</v>
      </c>
      <c r="AC174" s="88">
        <f>+AC173/AVERAGE(AC156,X156)</f>
        <v>4.4694437594119105E-2</v>
      </c>
      <c r="AD174" s="207">
        <f>+AD173/AD156*4</f>
        <v>4.5817545904983971E-2</v>
      </c>
      <c r="AE174" s="208">
        <f>+AE173/AE156*4</f>
        <v>4.5602353669866834E-2</v>
      </c>
      <c r="AF174" s="208">
        <f>+AF173/AF156*4</f>
        <v>2.9955570339043457E-2</v>
      </c>
      <c r="AG174" s="209">
        <f>+AG173/AG156*4</f>
        <v>3.7076568732093695E-2</v>
      </c>
      <c r="AH174" s="88">
        <f>+AH173/AVERAGE(AH156,AC156)</f>
        <v>3.9291309441323211E-2</v>
      </c>
      <c r="AI174" s="207">
        <f>+AI173/AI156*4</f>
        <v>4.5637777137921103E-2</v>
      </c>
      <c r="AJ174" s="208">
        <f>+AJ173/AJ156*4</f>
        <v>3.2507987585532305E-2</v>
      </c>
      <c r="AK174" s="208">
        <f>+AK173/AK156*4</f>
        <v>6.8826488742997821E-2</v>
      </c>
      <c r="AL174" s="209">
        <f>+AL173/AL156*4</f>
        <v>8.0723899323245377E-2</v>
      </c>
      <c r="AM174" s="88">
        <f>+AM173/AVERAGE(AM156,AH156)</f>
        <v>4.8814138803639689E-2</v>
      </c>
      <c r="AN174" s="207">
        <f>+AN173/AN156*4</f>
        <v>4.1997200186654225E-2</v>
      </c>
      <c r="AO174" s="208">
        <f>+AO173/AO156*4</f>
        <v>3.7563295995089771E-2</v>
      </c>
      <c r="AP174" s="208">
        <f>+AP173/AP156*4</f>
        <v>4.2231353632287763E-2</v>
      </c>
      <c r="AQ174" s="209">
        <f>+AQ173/AQ156*4</f>
        <v>4.403224992004847E-2</v>
      </c>
      <c r="AR174" s="88">
        <f>+AR173/AVERAGE(AR156,AM156)</f>
        <v>4.6343802315564779E-2</v>
      </c>
      <c r="AS174" s="207">
        <f>+AS173/AS156*4</f>
        <v>3.7873270211216316E-2</v>
      </c>
      <c r="AT174" s="208">
        <f>+AT173/AT156*4</f>
        <v>4.8151356405285374E-2</v>
      </c>
      <c r="AU174" s="208">
        <f>+AU173/AU156*4</f>
        <v>4.5076305857936934E-2</v>
      </c>
      <c r="AV174" s="209">
        <f>+AV173/AV156*4</f>
        <v>5.2806345365329015E-2</v>
      </c>
      <c r="AW174" s="88">
        <f>+AW173/AVERAGE(AW156,AR156)</f>
        <v>5.0128553917904869E-2</v>
      </c>
      <c r="AX174" s="858">
        <v>4.4999999999999998E-2</v>
      </c>
      <c r="AY174" s="208">
        <f>+AX174</f>
        <v>4.4999999999999998E-2</v>
      </c>
      <c r="AZ174" s="208">
        <f>+AY174</f>
        <v>4.4999999999999998E-2</v>
      </c>
      <c r="BA174" s="209">
        <f>+AZ174</f>
        <v>4.4999999999999998E-2</v>
      </c>
      <c r="BB174" s="88">
        <f>+BB173/BB156</f>
        <v>4.4999999999999998E-2</v>
      </c>
      <c r="BC174" s="207">
        <f>+BA174</f>
        <v>4.4999999999999998E-2</v>
      </c>
      <c r="BD174" s="208">
        <f>+BC174</f>
        <v>4.4999999999999998E-2</v>
      </c>
      <c r="BE174" s="208">
        <f>+BD174</f>
        <v>4.4999999999999998E-2</v>
      </c>
      <c r="BF174" s="209">
        <f>+BE174</f>
        <v>4.4999999999999998E-2</v>
      </c>
      <c r="BG174" s="88">
        <f>+BG173/BG156</f>
        <v>4.4999999999999998E-2</v>
      </c>
      <c r="BH174" s="207">
        <f>+BF174</f>
        <v>4.4999999999999998E-2</v>
      </c>
      <c r="BI174" s="208">
        <f>+BH174</f>
        <v>4.4999999999999998E-2</v>
      </c>
      <c r="BJ174" s="208">
        <f>+BI174</f>
        <v>4.4999999999999998E-2</v>
      </c>
      <c r="BK174" s="209">
        <f>+BJ174</f>
        <v>4.4999999999999998E-2</v>
      </c>
      <c r="BL174" s="88">
        <f>+BL173/BL156</f>
        <v>4.4999999999999998E-2</v>
      </c>
      <c r="BM174" s="207">
        <f>+BK174</f>
        <v>4.4999999999999998E-2</v>
      </c>
      <c r="BN174" s="208">
        <f>+BM174</f>
        <v>4.4999999999999998E-2</v>
      </c>
      <c r="BO174" s="208">
        <f>+BN174</f>
        <v>4.4999999999999998E-2</v>
      </c>
      <c r="BP174" s="209">
        <f>+BO174</f>
        <v>4.4999999999999998E-2</v>
      </c>
      <c r="BQ174" s="88">
        <f>+BQ173/BQ156</f>
        <v>4.5000000000000005E-2</v>
      </c>
      <c r="BR174" s="20"/>
      <c r="BS174" s="20"/>
      <c r="BT174" s="20"/>
      <c r="BU174" s="20"/>
      <c r="BV174" s="20"/>
      <c r="BW174" s="20"/>
      <c r="BX174" s="20"/>
      <c r="BY174" s="20"/>
      <c r="BZ174" s="20"/>
      <c r="CA174" s="20"/>
      <c r="CB174" s="20"/>
      <c r="CC174" s="20"/>
      <c r="CD174" s="20"/>
      <c r="CE174" s="20"/>
      <c r="CF174" s="20"/>
      <c r="CG174" s="20"/>
      <c r="CH174" s="20"/>
      <c r="CI174" s="20"/>
      <c r="CJ174" s="20"/>
      <c r="CK174" s="20"/>
      <c r="CL174" s="20"/>
      <c r="CM174" s="20"/>
      <c r="CN174" s="20"/>
      <c r="CO174" s="20"/>
      <c r="CP174" s="20"/>
      <c r="CQ174" s="20"/>
      <c r="CR174" s="20"/>
      <c r="CS174" s="20"/>
      <c r="CT174" s="20"/>
      <c r="CU174" s="20"/>
      <c r="CV174" s="20"/>
      <c r="CW174" s="20"/>
      <c r="CX174" s="20"/>
      <c r="CY174" s="20"/>
      <c r="CZ174" s="20"/>
    </row>
    <row r="175" spans="1:104" x14ac:dyDescent="0.2">
      <c r="A175" s="20"/>
      <c r="B175" s="20"/>
      <c r="C175" s="20"/>
      <c r="D175" s="20"/>
      <c r="E175" s="203"/>
      <c r="F175" s="204"/>
      <c r="G175" s="204"/>
      <c r="H175" s="205"/>
      <c r="I175" s="82"/>
      <c r="J175" s="203"/>
      <c r="K175" s="204"/>
      <c r="L175" s="204"/>
      <c r="M175" s="205"/>
      <c r="N175" s="82"/>
      <c r="O175" s="203"/>
      <c r="P175" s="204"/>
      <c r="Q175" s="204"/>
      <c r="R175" s="205"/>
      <c r="S175" s="82"/>
      <c r="T175" s="203"/>
      <c r="U175" s="204"/>
      <c r="V175" s="204"/>
      <c r="W175" s="205"/>
      <c r="X175" s="82"/>
      <c r="Y175" s="203"/>
      <c r="Z175" s="204"/>
      <c r="AA175" s="204"/>
      <c r="AB175" s="205"/>
      <c r="AC175" s="82"/>
      <c r="AD175" s="203"/>
      <c r="AE175" s="204"/>
      <c r="AF175" s="204"/>
      <c r="AG175" s="205"/>
      <c r="AH175" s="82"/>
      <c r="AI175" s="203"/>
      <c r="AJ175" s="208"/>
      <c r="AK175" s="204"/>
      <c r="AL175" s="205"/>
      <c r="AM175" s="82"/>
      <c r="AN175" s="203"/>
      <c r="AO175" s="208"/>
      <c r="AP175" s="204"/>
      <c r="AQ175" s="205"/>
      <c r="AR175" s="82"/>
      <c r="AS175" s="203"/>
      <c r="AT175" s="208"/>
      <c r="AU175" s="204"/>
      <c r="AV175" s="205"/>
      <c r="AW175" s="82"/>
      <c r="AX175" s="207"/>
      <c r="AY175" s="208"/>
      <c r="AZ175" s="208"/>
      <c r="BA175" s="209"/>
      <c r="BB175" s="88"/>
      <c r="BC175" s="207"/>
      <c r="BD175" s="208"/>
      <c r="BE175" s="208"/>
      <c r="BF175" s="209"/>
      <c r="BG175" s="88"/>
      <c r="BH175" s="207"/>
      <c r="BI175" s="208"/>
      <c r="BJ175" s="208"/>
      <c r="BK175" s="209"/>
      <c r="BL175" s="88"/>
      <c r="BM175" s="207"/>
      <c r="BN175" s="208"/>
      <c r="BO175" s="208"/>
      <c r="BP175" s="209"/>
      <c r="BQ175" s="88"/>
      <c r="BR175" s="20"/>
      <c r="BS175" s="20"/>
      <c r="BT175" s="20"/>
      <c r="BU175" s="20"/>
      <c r="BV175" s="20"/>
      <c r="BW175" s="20"/>
      <c r="BX175" s="20"/>
      <c r="BY175" s="20"/>
      <c r="BZ175" s="20"/>
      <c r="CA175" s="20"/>
      <c r="CB175" s="20"/>
      <c r="CC175" s="20"/>
      <c r="CD175" s="20"/>
      <c r="CE175" s="20"/>
      <c r="CF175" s="20"/>
      <c r="CG175" s="20"/>
      <c r="CH175" s="20"/>
      <c r="CI175" s="20"/>
      <c r="CJ175" s="20"/>
      <c r="CK175" s="20"/>
      <c r="CL175" s="20"/>
      <c r="CM175" s="20"/>
      <c r="CN175" s="20"/>
      <c r="CO175" s="20"/>
      <c r="CP175" s="20"/>
      <c r="CQ175" s="20"/>
      <c r="CR175" s="20"/>
      <c r="CS175" s="20"/>
      <c r="CT175" s="20"/>
      <c r="CU175" s="20"/>
      <c r="CV175" s="20"/>
      <c r="CW175" s="20"/>
      <c r="CX175" s="20"/>
      <c r="CY175" s="20"/>
      <c r="CZ175" s="20"/>
    </row>
    <row r="176" spans="1:104" x14ac:dyDescent="0.2">
      <c r="A176" s="220"/>
      <c r="B176" s="220"/>
      <c r="C176" s="20" t="s">
        <v>133</v>
      </c>
      <c r="D176" s="82"/>
      <c r="E176" s="136">
        <f t="shared" ref="E176:P176" si="411">-E35</f>
        <v>0.155</v>
      </c>
      <c r="F176" s="135">
        <f t="shared" si="411"/>
        <v>0.192</v>
      </c>
      <c r="G176" s="135">
        <f t="shared" si="411"/>
        <v>0.20899999999999999</v>
      </c>
      <c r="H176" s="116">
        <f t="shared" si="411"/>
        <v>0.26200000000000001</v>
      </c>
      <c r="I176" s="82">
        <f t="shared" si="411"/>
        <v>0.81799999999999995</v>
      </c>
      <c r="J176" s="136">
        <f t="shared" si="411"/>
        <v>0.185</v>
      </c>
      <c r="K176" s="135">
        <f t="shared" si="411"/>
        <v>0.29799999999999999</v>
      </c>
      <c r="L176" s="135">
        <f t="shared" si="411"/>
        <v>0.30599999999999999</v>
      </c>
      <c r="M176" s="116">
        <f t="shared" si="411"/>
        <v>0.25</v>
      </c>
      <c r="N176" s="82">
        <f t="shared" si="411"/>
        <v>1.0389999999999999</v>
      </c>
      <c r="O176" s="136">
        <f t="shared" si="411"/>
        <v>3.7999999999999999E-2</v>
      </c>
      <c r="P176" s="135">
        <f t="shared" si="411"/>
        <v>3.9E-2</v>
      </c>
      <c r="Q176" s="135">
        <f t="shared" ref="Q176:Y176" si="412">-Q35</f>
        <v>0.04</v>
      </c>
      <c r="R176" s="116">
        <f t="shared" si="412"/>
        <v>5.7999999999999996E-2</v>
      </c>
      <c r="S176" s="82">
        <f t="shared" si="412"/>
        <v>0.17499999999999999</v>
      </c>
      <c r="T176" s="136">
        <f t="shared" si="412"/>
        <v>8.5999999999999993E-2</v>
      </c>
      <c r="U176" s="135">
        <f t="shared" si="412"/>
        <v>0.13900000000000001</v>
      </c>
      <c r="V176" s="135">
        <f t="shared" si="412"/>
        <v>0.995</v>
      </c>
      <c r="W176" s="116">
        <f t="shared" si="412"/>
        <v>0.64200000000000013</v>
      </c>
      <c r="X176" s="82">
        <f t="shared" si="412"/>
        <v>1.8620000000000001</v>
      </c>
      <c r="Y176" s="136">
        <f t="shared" si="412"/>
        <v>0.40899999999999997</v>
      </c>
      <c r="Z176" s="135">
        <f t="shared" ref="Z176:AE176" si="413">-Z35</f>
        <v>0.4</v>
      </c>
      <c r="AA176" s="135">
        <f t="shared" si="413"/>
        <v>0.47099999999999997</v>
      </c>
      <c r="AB176" s="116">
        <f t="shared" si="413"/>
        <v>0.70100000000000029</v>
      </c>
      <c r="AC176" s="82">
        <f t="shared" si="413"/>
        <v>1.9810000000000001</v>
      </c>
      <c r="AD176" s="136">
        <f t="shared" si="413"/>
        <v>0.75800000000000001</v>
      </c>
      <c r="AE176" s="135">
        <f t="shared" si="413"/>
        <v>0.85</v>
      </c>
      <c r="AF176" s="135">
        <f t="shared" ref="AF176:AM176" si="414">-AF35</f>
        <v>0.73299999999999998</v>
      </c>
      <c r="AG176" s="116">
        <f t="shared" si="414"/>
        <v>1.0189999999999997</v>
      </c>
      <c r="AH176" s="82">
        <f t="shared" si="414"/>
        <v>3.36</v>
      </c>
      <c r="AI176" s="136">
        <f t="shared" si="414"/>
        <v>1.07</v>
      </c>
      <c r="AJ176" s="135">
        <f t="shared" si="414"/>
        <v>0.86399999999999999</v>
      </c>
      <c r="AK176" s="135">
        <f t="shared" si="414"/>
        <v>0.93100000000000005</v>
      </c>
      <c r="AL176" s="116">
        <f t="shared" si="414"/>
        <v>0.64499999999999957</v>
      </c>
      <c r="AM176" s="82">
        <f t="shared" si="414"/>
        <v>3.51</v>
      </c>
      <c r="AN176" s="136">
        <f t="shared" ref="AN176:AS176" si="415">-AN35</f>
        <v>0.34699999999999998</v>
      </c>
      <c r="AO176" s="135">
        <f t="shared" si="415"/>
        <v>0.39200000000000002</v>
      </c>
      <c r="AP176" s="135">
        <f t="shared" si="415"/>
        <v>0.52500000000000002</v>
      </c>
      <c r="AQ176" s="116">
        <f t="shared" si="415"/>
        <v>0.55899999999999994</v>
      </c>
      <c r="AR176" s="82">
        <f t="shared" si="415"/>
        <v>1.823</v>
      </c>
      <c r="AS176" s="136">
        <f t="shared" si="415"/>
        <v>0.55000000000000004</v>
      </c>
      <c r="AT176" s="135">
        <f>-AT35</f>
        <v>0.749</v>
      </c>
      <c r="AU176" s="135">
        <f>-AU35</f>
        <v>0.72599999999999998</v>
      </c>
      <c r="AV176" s="116">
        <f t="shared" ref="AV176:AW176" si="416">-AV35</f>
        <v>0.83499999999999996</v>
      </c>
      <c r="AW176" s="82">
        <f t="shared" si="416"/>
        <v>2.86</v>
      </c>
      <c r="AX176" s="136">
        <f>+AX156*AX177/4</f>
        <v>0.95406328124642936</v>
      </c>
      <c r="AY176" s="135">
        <f>+AY156*AY177/4</f>
        <v>0.95406328124642936</v>
      </c>
      <c r="AZ176" s="135">
        <f>+AZ156*AZ177/4</f>
        <v>0.95406328124642936</v>
      </c>
      <c r="BA176" s="116">
        <f>+BA156*BA177/4</f>
        <v>0.95406328124642936</v>
      </c>
      <c r="BB176" s="82">
        <f>SUM(AX176:BA176)</f>
        <v>3.8162531249857174</v>
      </c>
      <c r="BC176" s="136">
        <f>+BC156*BC177/4</f>
        <v>0.95406328124642936</v>
      </c>
      <c r="BD176" s="135">
        <f>+BD156*BD177/4</f>
        <v>0.95406328124642936</v>
      </c>
      <c r="BE176" s="135">
        <f>+BE156*BE177/4</f>
        <v>0.95406328124642936</v>
      </c>
      <c r="BF176" s="116">
        <f>+BF156*BF177/4</f>
        <v>0.95406328124642936</v>
      </c>
      <c r="BG176" s="82">
        <f>SUM(BC176:BF176)</f>
        <v>3.8162531249857174</v>
      </c>
      <c r="BH176" s="136">
        <f>+BH156*BH177/4</f>
        <v>0.91590074999657212</v>
      </c>
      <c r="BI176" s="135">
        <f>+BI156*BI177/4</f>
        <v>0.91590074999657212</v>
      </c>
      <c r="BJ176" s="135">
        <f>+BJ156*BJ177/4</f>
        <v>0.91590074999657212</v>
      </c>
      <c r="BK176" s="116">
        <f>+BK156*BK177/4</f>
        <v>0.91590074999657212</v>
      </c>
      <c r="BL176" s="82">
        <f>SUM(BH176:BK176)</f>
        <v>3.6636029999862885</v>
      </c>
      <c r="BM176" s="136">
        <f>+BM156*BM177/4</f>
        <v>1.0685508749960009</v>
      </c>
      <c r="BN176" s="135">
        <f>+BN156*BN177/4</f>
        <v>1.0685508749960009</v>
      </c>
      <c r="BO176" s="135">
        <f>+BO156*BO177/4</f>
        <v>1.0685508749960009</v>
      </c>
      <c r="BP176" s="116">
        <f>+BP156*BP177/4</f>
        <v>1.0685508749960009</v>
      </c>
      <c r="BQ176" s="82">
        <f>SUM(BM176:BP176)</f>
        <v>4.2742034999840035</v>
      </c>
      <c r="BR176" s="220"/>
      <c r="BS176" s="220"/>
      <c r="BT176" s="220"/>
      <c r="BU176" s="220"/>
      <c r="BV176" s="220"/>
      <c r="BW176" s="220"/>
      <c r="BX176" s="220"/>
      <c r="BY176" s="220"/>
      <c r="BZ176" s="220"/>
      <c r="CA176" s="220"/>
      <c r="CB176" s="220"/>
      <c r="CC176" s="220"/>
      <c r="CD176" s="220"/>
      <c r="CE176" s="220"/>
      <c r="CF176" s="220"/>
      <c r="CG176" s="220"/>
      <c r="CH176" s="220"/>
      <c r="CI176" s="220"/>
      <c r="CJ176" s="220"/>
      <c r="CK176" s="220"/>
      <c r="CL176" s="220"/>
      <c r="CM176" s="220"/>
      <c r="CN176" s="220"/>
      <c r="CO176" s="220"/>
      <c r="CP176" s="220"/>
      <c r="CQ176" s="220"/>
      <c r="CR176" s="220"/>
      <c r="CS176" s="220"/>
      <c r="CT176" s="220"/>
      <c r="CU176" s="220"/>
      <c r="CV176" s="220"/>
      <c r="CW176" s="220"/>
      <c r="CX176" s="220"/>
      <c r="CY176" s="220"/>
      <c r="CZ176" s="220"/>
    </row>
    <row r="177" spans="1:104" x14ac:dyDescent="0.2">
      <c r="A177" s="20"/>
      <c r="B177" s="20"/>
      <c r="C177" s="20" t="s">
        <v>295</v>
      </c>
      <c r="D177" s="20"/>
      <c r="E177" s="207">
        <f>+E176/E156*4</f>
        <v>1.5903960599220193E-2</v>
      </c>
      <c r="F177" s="208">
        <f>+F176/F156*4</f>
        <v>1.6011007567702795E-2</v>
      </c>
      <c r="G177" s="208">
        <f>+G176/G156*4</f>
        <v>2.0956582773488417E-2</v>
      </c>
      <c r="H177" s="209">
        <f>+H176/H156*4</f>
        <v>2.0098189628720467E-2</v>
      </c>
      <c r="I177" s="88">
        <f>+I176/AVERAGE(I156,D156)</f>
        <v>1.5687327401043265E-2</v>
      </c>
      <c r="J177" s="207">
        <f>+J176/J156*4</f>
        <v>1.1598018932982257E-2</v>
      </c>
      <c r="K177" s="208">
        <f>+K176/K156*4</f>
        <v>1.7035142126248695E-2</v>
      </c>
      <c r="L177" s="208">
        <f>+L176/L156*4</f>
        <v>1.8488029605014725E-2</v>
      </c>
      <c r="M177" s="209">
        <f>+M176/M156*4</f>
        <v>2.3324159164062136E-2</v>
      </c>
      <c r="N177" s="88">
        <f>+N176/AVERAGE(N156,I156)</f>
        <v>2.1869540508114252E-2</v>
      </c>
      <c r="O177" s="207">
        <f>+O176/O156*4</f>
        <v>3.1237155774763666E-3</v>
      </c>
      <c r="P177" s="208">
        <f>+P176/P156*4</f>
        <v>3.7761425251742835E-3</v>
      </c>
      <c r="Q177" s="208">
        <f>+Q176/Q156*4</f>
        <v>3.1388551026013266E-3</v>
      </c>
      <c r="R177" s="209">
        <f>+R176/R156*4</f>
        <v>4.2469840921156203E-3</v>
      </c>
      <c r="S177" s="88">
        <f>+S176/AVERAGE(S156,N156)</f>
        <v>3.5897067722382332E-3</v>
      </c>
      <c r="T177" s="207">
        <f>+T176/T156*4</f>
        <v>5.3310190924869818E-3</v>
      </c>
      <c r="U177" s="208">
        <f>+U176/U156*4</f>
        <v>8.8485716559242467E-3</v>
      </c>
      <c r="V177" s="208">
        <f>+V176/V156*4</f>
        <v>5.3130423174476041E-2</v>
      </c>
      <c r="W177" s="209">
        <f>+W176/W156*4</f>
        <v>4.1003369046288471E-2</v>
      </c>
      <c r="X177" s="88">
        <f>+X176/AVERAGE(X156,S156)</f>
        <v>3.1759568806713517E-2</v>
      </c>
      <c r="Y177" s="207">
        <f>+Y176/Y156*4</f>
        <v>2.2872481720189578E-2</v>
      </c>
      <c r="Z177" s="208">
        <f>+Z176/Z156*4</f>
        <v>2.074043347505963E-2</v>
      </c>
      <c r="AA177" s="208">
        <f>+AA176/AA156*4</f>
        <v>1.857328759020466E-2</v>
      </c>
      <c r="AB177" s="209">
        <f>+AB176/AB156*4</f>
        <v>2.1914125388811614E-2</v>
      </c>
      <c r="AC177" s="88">
        <f>+AC176/AVERAGE(AC156,X156)</f>
        <v>2.0788842656480379E-2</v>
      </c>
      <c r="AD177" s="207">
        <f>+AD176/AD156*4</f>
        <v>2.2092684348586418E-2</v>
      </c>
      <c r="AE177" s="208">
        <f>+AE176/AE156*4</f>
        <v>2.1936616083410757E-2</v>
      </c>
      <c r="AF177" s="208">
        <f>+AF176/AF156*4</f>
        <v>1.3932381382308918E-2</v>
      </c>
      <c r="AG177" s="209">
        <f>+AG176/AG156*4</f>
        <v>1.7613530786948006E-2</v>
      </c>
      <c r="AH177" s="88">
        <f>+AH176/AVERAGE(AH156,AC156)</f>
        <v>1.869954670295269E-2</v>
      </c>
      <c r="AI177" s="207">
        <f>+AI176/AI156*4</f>
        <v>2.2006499115626674E-2</v>
      </c>
      <c r="AJ177" s="208">
        <f>+AJ176/AJ156*4</f>
        <v>1.5796907353149554E-2</v>
      </c>
      <c r="AK177" s="208">
        <f>+AK176/AK156*4</f>
        <v>3.3217968387626216E-2</v>
      </c>
      <c r="AL177" s="209">
        <f>+AL176/AL156*4</f>
        <v>3.9236559957417663E-2</v>
      </c>
      <c r="AM177" s="88">
        <f>+AM176/AVERAGE(AM156,AH156)</f>
        <v>2.3623001130673556E-2</v>
      </c>
      <c r="AN177" s="207">
        <f>+AN176/AN156*4</f>
        <v>1.79913931663815E-2</v>
      </c>
      <c r="AO177" s="208">
        <f>+AO176/AO156*4</f>
        <v>1.6040100250626566E-2</v>
      </c>
      <c r="AP177" s="208">
        <f>+AP176/AP156*4</f>
        <v>1.786580230213624E-2</v>
      </c>
      <c r="AQ177" s="209">
        <f>+AQ176/AQ156*4</f>
        <v>1.8818063994883099E-2</v>
      </c>
      <c r="AR177" s="88">
        <f>+AR176/AVERAGE(AR156,AM156)</f>
        <v>1.9753273701490433E-2</v>
      </c>
      <c r="AS177" s="207">
        <f>+AS176/AS156*4</f>
        <v>1.6185158209921505E-2</v>
      </c>
      <c r="AT177" s="208">
        <f>+AT176/AT156*4</f>
        <v>2.0597010820993002E-2</v>
      </c>
      <c r="AU177" s="208">
        <f>+AU176/AU156*4</f>
        <v>1.9193781849186048E-2</v>
      </c>
      <c r="AV177" s="209">
        <f>+AV176/AV156*4</f>
        <v>2.2450762922632247E-2</v>
      </c>
      <c r="AW177" s="88">
        <f>+AW176/AVERAGE(AW156,AR156)</f>
        <v>2.1375825884181889E-2</v>
      </c>
      <c r="AX177" s="207">
        <f>+AV177</f>
        <v>2.2450762922632247E-2</v>
      </c>
      <c r="AY177" s="208">
        <f>+AX177</f>
        <v>2.2450762922632247E-2</v>
      </c>
      <c r="AZ177" s="208">
        <f>+AY177</f>
        <v>2.2450762922632247E-2</v>
      </c>
      <c r="BA177" s="209">
        <f>+AZ177</f>
        <v>2.2450762922632247E-2</v>
      </c>
      <c r="BB177" s="88">
        <f>+BB176/BB156</f>
        <v>2.2450762922632247E-2</v>
      </c>
      <c r="BC177" s="207">
        <f>+BA177</f>
        <v>2.2450762922632247E-2</v>
      </c>
      <c r="BD177" s="208">
        <f>+BC177</f>
        <v>2.2450762922632247E-2</v>
      </c>
      <c r="BE177" s="208">
        <f>+BD177</f>
        <v>2.2450762922632247E-2</v>
      </c>
      <c r="BF177" s="209">
        <f>+BE177</f>
        <v>2.2450762922632247E-2</v>
      </c>
      <c r="BG177" s="88">
        <f>+BG176/BG156</f>
        <v>2.2450762922632247E-2</v>
      </c>
      <c r="BH177" s="207">
        <f>+BF177</f>
        <v>2.2450762922632247E-2</v>
      </c>
      <c r="BI177" s="208">
        <f>+BH177</f>
        <v>2.2450762922632247E-2</v>
      </c>
      <c r="BJ177" s="208">
        <f>+BI177</f>
        <v>2.2450762922632247E-2</v>
      </c>
      <c r="BK177" s="209">
        <f>+BJ177</f>
        <v>2.2450762922632247E-2</v>
      </c>
      <c r="BL177" s="88">
        <f>+BL176/BL156</f>
        <v>2.2450762922632247E-2</v>
      </c>
      <c r="BM177" s="207">
        <f>+BK177</f>
        <v>2.2450762922632247E-2</v>
      </c>
      <c r="BN177" s="208">
        <f>+BM177</f>
        <v>2.2450762922632247E-2</v>
      </c>
      <c r="BO177" s="208">
        <f>+BN177</f>
        <v>2.2450762922632247E-2</v>
      </c>
      <c r="BP177" s="209">
        <f>+BO177</f>
        <v>2.2450762922632247E-2</v>
      </c>
      <c r="BQ177" s="88">
        <f>+BQ176/BQ156</f>
        <v>2.2450762922632247E-2</v>
      </c>
      <c r="BR177" s="20"/>
      <c r="BS177" s="20"/>
      <c r="BT177" s="20"/>
      <c r="BU177" s="20"/>
      <c r="BV177" s="20"/>
      <c r="BW177" s="20"/>
      <c r="BX177" s="20"/>
      <c r="BY177" s="20"/>
      <c r="BZ177" s="20"/>
      <c r="CA177" s="20"/>
      <c r="CB177" s="20"/>
      <c r="CC177" s="20"/>
      <c r="CD177" s="20"/>
      <c r="CE177" s="20"/>
      <c r="CF177" s="20"/>
      <c r="CG177" s="20"/>
      <c r="CH177" s="20"/>
      <c r="CI177" s="20"/>
      <c r="CJ177" s="20"/>
      <c r="CK177" s="20"/>
      <c r="CL177" s="20"/>
      <c r="CM177" s="20"/>
      <c r="CN177" s="20"/>
      <c r="CO177" s="20"/>
      <c r="CP177" s="20"/>
      <c r="CQ177" s="20"/>
      <c r="CR177" s="20"/>
      <c r="CS177" s="20"/>
      <c r="CT177" s="20"/>
      <c r="CU177" s="20"/>
      <c r="CV177" s="20"/>
      <c r="CW177" s="20"/>
      <c r="CX177" s="20"/>
      <c r="CY177" s="20"/>
      <c r="CZ177" s="20"/>
    </row>
    <row r="178" spans="1:104" x14ac:dyDescent="0.2">
      <c r="A178" s="289"/>
      <c r="B178" s="289"/>
      <c r="C178" s="289"/>
      <c r="D178" s="289"/>
      <c r="E178" s="291"/>
      <c r="F178" s="292"/>
      <c r="G178" s="292"/>
      <c r="H178" s="293"/>
      <c r="I178" s="289"/>
      <c r="J178" s="291"/>
      <c r="K178" s="292"/>
      <c r="L178" s="292"/>
      <c r="M178" s="293"/>
      <c r="N178" s="289"/>
      <c r="O178" s="291"/>
      <c r="P178" s="292"/>
      <c r="Q178" s="292"/>
      <c r="R178" s="293"/>
      <c r="S178" s="289"/>
      <c r="T178" s="291"/>
      <c r="U178" s="292"/>
      <c r="V178" s="292"/>
      <c r="W178" s="293"/>
      <c r="X178" s="289"/>
      <c r="Y178" s="291"/>
      <c r="Z178" s="292"/>
      <c r="AA178" s="292"/>
      <c r="AB178" s="293"/>
      <c r="AC178" s="289"/>
      <c r="AD178" s="291"/>
      <c r="AE178" s="292"/>
      <c r="AF178" s="292"/>
      <c r="AG178" s="293"/>
      <c r="AH178" s="289"/>
      <c r="AI178" s="291"/>
      <c r="AJ178" s="292"/>
      <c r="AK178" s="292"/>
      <c r="AL178" s="293"/>
      <c r="AM178" s="289"/>
      <c r="AN178" s="291"/>
      <c r="AO178" s="292"/>
      <c r="AP178" s="292"/>
      <c r="AQ178" s="293"/>
      <c r="AR178" s="289"/>
      <c r="AS178" s="291"/>
      <c r="AT178" s="292"/>
      <c r="AU178" s="292"/>
      <c r="AV178" s="293"/>
      <c r="AW178" s="289"/>
      <c r="AX178" s="291"/>
      <c r="AY178" s="292"/>
      <c r="AZ178" s="292"/>
      <c r="BA178" s="293"/>
      <c r="BB178" s="289"/>
      <c r="BC178" s="291"/>
      <c r="BD178" s="292"/>
      <c r="BE178" s="292"/>
      <c r="BF178" s="293"/>
      <c r="BG178" s="289"/>
      <c r="BH178" s="291"/>
      <c r="BI178" s="292"/>
      <c r="BJ178" s="292"/>
      <c r="BK178" s="293"/>
      <c r="BL178" s="289"/>
      <c r="BM178" s="291"/>
      <c r="BN178" s="292"/>
      <c r="BO178" s="292"/>
      <c r="BP178" s="293"/>
      <c r="BQ178" s="289"/>
      <c r="BR178" s="289"/>
      <c r="BS178" s="289"/>
      <c r="BT178" s="289"/>
      <c r="BU178" s="289"/>
      <c r="BV178" s="289"/>
      <c r="BW178" s="289"/>
      <c r="BX178" s="289"/>
      <c r="BY178" s="289"/>
      <c r="BZ178" s="289"/>
      <c r="CA178" s="289"/>
      <c r="CB178" s="289"/>
      <c r="CC178" s="289"/>
      <c r="CD178" s="289"/>
      <c r="CE178" s="289"/>
      <c r="CF178" s="289"/>
      <c r="CG178" s="289"/>
      <c r="CH178" s="289"/>
      <c r="CI178" s="289"/>
      <c r="CJ178" s="289"/>
      <c r="CK178" s="289"/>
      <c r="CL178" s="289"/>
      <c r="CM178" s="289"/>
      <c r="CN178" s="289"/>
      <c r="CO178" s="289"/>
      <c r="CP178" s="289"/>
      <c r="CQ178" s="289"/>
      <c r="CR178" s="289"/>
      <c r="CS178" s="289"/>
      <c r="CT178" s="289"/>
      <c r="CU178" s="289"/>
      <c r="CV178" s="289"/>
      <c r="CW178" s="289"/>
      <c r="CX178" s="289"/>
      <c r="CY178" s="289"/>
      <c r="CZ178" s="289"/>
    </row>
    <row r="179" spans="1:104" x14ac:dyDescent="0.2">
      <c r="A179" s="289"/>
      <c r="B179" s="289"/>
      <c r="C179" s="289"/>
      <c r="D179" s="289"/>
      <c r="E179" s="291"/>
      <c r="F179" s="292"/>
      <c r="G179" s="292"/>
      <c r="H179" s="293"/>
      <c r="I179" s="289"/>
      <c r="J179" s="291"/>
      <c r="K179" s="292"/>
      <c r="L179" s="292"/>
      <c r="M179" s="293"/>
      <c r="N179" s="289"/>
      <c r="O179" s="291"/>
      <c r="P179" s="292"/>
      <c r="Q179" s="292"/>
      <c r="R179" s="293"/>
      <c r="S179" s="289"/>
      <c r="T179" s="291"/>
      <c r="U179" s="292"/>
      <c r="V179" s="292"/>
      <c r="W179" s="293"/>
      <c r="X179" s="289"/>
      <c r="Y179" s="291"/>
      <c r="Z179" s="292"/>
      <c r="AA179" s="292"/>
      <c r="AB179" s="293"/>
      <c r="AC179" s="289"/>
      <c r="AD179" s="291"/>
      <c r="AE179" s="292"/>
      <c r="AF179" s="292"/>
      <c r="AG179" s="293"/>
      <c r="AH179" s="289"/>
      <c r="AI179" s="291"/>
      <c r="AJ179" s="292"/>
      <c r="AK179" s="292"/>
      <c r="AL179" s="293"/>
      <c r="AM179" s="289"/>
      <c r="AN179" s="291"/>
      <c r="AO179" s="292"/>
      <c r="AP179" s="292"/>
      <c r="AQ179" s="293"/>
      <c r="AR179" s="289"/>
      <c r="AS179" s="291"/>
      <c r="AT179" s="292"/>
      <c r="AU179" s="292"/>
      <c r="AV179" s="293"/>
      <c r="AW179" s="289"/>
      <c r="AX179" s="291"/>
      <c r="AY179" s="292"/>
      <c r="AZ179" s="292"/>
      <c r="BA179" s="293"/>
      <c r="BB179" s="289"/>
      <c r="BC179" s="291"/>
      <c r="BD179" s="292"/>
      <c r="BE179" s="292"/>
      <c r="BF179" s="293"/>
      <c r="BG179" s="289"/>
      <c r="BH179" s="291"/>
      <c r="BI179" s="292"/>
      <c r="BJ179" s="292"/>
      <c r="BK179" s="293"/>
      <c r="BL179" s="289"/>
      <c r="BM179" s="291"/>
      <c r="BN179" s="292"/>
      <c r="BO179" s="292"/>
      <c r="BP179" s="293"/>
      <c r="BQ179" s="289"/>
      <c r="BR179" s="289"/>
      <c r="BS179" s="289"/>
      <c r="BT179" s="289"/>
      <c r="BU179" s="289"/>
      <c r="BV179" s="289"/>
      <c r="BW179" s="289"/>
      <c r="BX179" s="289"/>
      <c r="BY179" s="289"/>
      <c r="BZ179" s="289"/>
      <c r="CA179" s="289"/>
      <c r="CB179" s="289"/>
      <c r="CC179" s="289"/>
      <c r="CD179" s="289"/>
      <c r="CE179" s="289"/>
      <c r="CF179" s="289"/>
      <c r="CG179" s="289"/>
      <c r="CH179" s="289"/>
      <c r="CI179" s="289"/>
      <c r="CJ179" s="289"/>
      <c r="CK179" s="289"/>
      <c r="CL179" s="289"/>
      <c r="CM179" s="289"/>
      <c r="CN179" s="289"/>
      <c r="CO179" s="289"/>
      <c r="CP179" s="289"/>
      <c r="CQ179" s="289"/>
      <c r="CR179" s="289"/>
      <c r="CS179" s="289"/>
      <c r="CT179" s="289"/>
      <c r="CU179" s="289"/>
      <c r="CV179" s="289"/>
      <c r="CW179" s="289"/>
      <c r="CX179" s="289"/>
      <c r="CY179" s="289"/>
      <c r="CZ179" s="289"/>
    </row>
    <row r="180" spans="1:104" x14ac:dyDescent="0.2">
      <c r="A180" s="289"/>
      <c r="B180" s="347" t="s">
        <v>296</v>
      </c>
      <c r="C180" s="347"/>
      <c r="D180" s="348"/>
      <c r="E180" s="291"/>
      <c r="F180" s="292"/>
      <c r="G180" s="292"/>
      <c r="H180" s="293"/>
      <c r="I180" s="289"/>
      <c r="J180" s="291"/>
      <c r="K180" s="292"/>
      <c r="L180" s="292"/>
      <c r="M180" s="293"/>
      <c r="N180" s="289"/>
      <c r="O180" s="291"/>
      <c r="P180" s="292"/>
      <c r="Q180" s="292"/>
      <c r="R180" s="293"/>
      <c r="S180" s="289"/>
      <c r="T180" s="291"/>
      <c r="U180" s="292"/>
      <c r="V180" s="292"/>
      <c r="W180" s="293"/>
      <c r="X180" s="289"/>
      <c r="Y180" s="291"/>
      <c r="Z180" s="292"/>
      <c r="AA180" s="292"/>
      <c r="AB180" s="293"/>
      <c r="AC180" s="289"/>
      <c r="AD180" s="291"/>
      <c r="AE180" s="292"/>
      <c r="AF180" s="292"/>
      <c r="AG180" s="293"/>
      <c r="AH180" s="289"/>
      <c r="AI180" s="291"/>
      <c r="AJ180" s="292"/>
      <c r="AK180" s="292"/>
      <c r="AL180" s="293"/>
      <c r="AM180" s="289"/>
      <c r="AN180" s="291"/>
      <c r="AO180" s="292"/>
      <c r="AP180" s="292"/>
      <c r="AQ180" s="293"/>
      <c r="AR180" s="289"/>
      <c r="AS180" s="291"/>
      <c r="AT180" s="292"/>
      <c r="AU180" s="292"/>
      <c r="AV180" s="293"/>
      <c r="AW180" s="289"/>
      <c r="AX180" s="291"/>
      <c r="AY180" s="292"/>
      <c r="AZ180" s="292"/>
      <c r="BA180" s="293"/>
      <c r="BB180" s="289"/>
      <c r="BC180" s="291"/>
      <c r="BD180" s="292"/>
      <c r="BE180" s="292"/>
      <c r="BF180" s="293"/>
      <c r="BG180" s="289"/>
      <c r="BH180" s="291"/>
      <c r="BI180" s="292"/>
      <c r="BJ180" s="292"/>
      <c r="BK180" s="293"/>
      <c r="BL180" s="289"/>
      <c r="BM180" s="291"/>
      <c r="BN180" s="292"/>
      <c r="BO180" s="292"/>
      <c r="BP180" s="293"/>
      <c r="BQ180" s="289"/>
      <c r="BR180" s="289"/>
      <c r="BS180" s="289"/>
      <c r="BT180" s="289"/>
      <c r="BU180" s="289"/>
      <c r="BV180" s="289"/>
      <c r="BW180" s="289"/>
      <c r="BX180" s="289"/>
      <c r="BY180" s="289"/>
      <c r="BZ180" s="289"/>
      <c r="CA180" s="289"/>
      <c r="CB180" s="289"/>
      <c r="CC180" s="289"/>
      <c r="CD180" s="289"/>
      <c r="CE180" s="289"/>
      <c r="CF180" s="289"/>
      <c r="CG180" s="289"/>
      <c r="CH180" s="289"/>
      <c r="CI180" s="289"/>
      <c r="CJ180" s="289"/>
      <c r="CK180" s="289"/>
      <c r="CL180" s="289"/>
      <c r="CM180" s="289"/>
      <c r="CN180" s="289"/>
      <c r="CO180" s="289"/>
      <c r="CP180" s="289"/>
      <c r="CQ180" s="289"/>
      <c r="CR180" s="289"/>
      <c r="CS180" s="289"/>
      <c r="CT180" s="289"/>
      <c r="CU180" s="289"/>
      <c r="CV180" s="289"/>
      <c r="CW180" s="289"/>
      <c r="CX180" s="289"/>
      <c r="CY180" s="289"/>
      <c r="CZ180" s="289"/>
    </row>
    <row r="181" spans="1:104" x14ac:dyDescent="0.2">
      <c r="A181" s="289"/>
      <c r="B181" s="289"/>
      <c r="C181" s="141" t="s">
        <v>157</v>
      </c>
      <c r="D181" s="289"/>
      <c r="E181" s="291"/>
      <c r="F181" s="292"/>
      <c r="G181" s="292"/>
      <c r="H181" s="293"/>
      <c r="I181" s="289"/>
      <c r="J181" s="291"/>
      <c r="K181" s="292"/>
      <c r="L181" s="292"/>
      <c r="M181" s="293"/>
      <c r="N181" s="289"/>
      <c r="O181" s="291"/>
      <c r="P181" s="292"/>
      <c r="Q181" s="292"/>
      <c r="R181" s="293"/>
      <c r="S181" s="289"/>
      <c r="T181" s="291"/>
      <c r="U181" s="292"/>
      <c r="V181" s="292"/>
      <c r="W181" s="293"/>
      <c r="X181" s="289"/>
      <c r="Y181" s="291"/>
      <c r="Z181" s="292"/>
      <c r="AA181" s="292"/>
      <c r="AB181" s="293"/>
      <c r="AC181" s="289"/>
      <c r="AD181" s="291"/>
      <c r="AE181" s="292"/>
      <c r="AF181" s="292"/>
      <c r="AG181" s="293"/>
      <c r="AH181" s="289"/>
      <c r="AI181" s="291"/>
      <c r="AJ181" s="292"/>
      <c r="AK181" s="292"/>
      <c r="AL181" s="293"/>
      <c r="AM181" s="289"/>
      <c r="AN181" s="291"/>
      <c r="AO181" s="292"/>
      <c r="AP181" s="292"/>
      <c r="AQ181" s="293"/>
      <c r="AR181" s="289"/>
      <c r="AS181" s="291"/>
      <c r="AT181" s="292"/>
      <c r="AU181" s="292"/>
      <c r="AV181" s="293"/>
      <c r="AW181" s="289"/>
      <c r="AX181" s="291"/>
      <c r="AY181" s="292"/>
      <c r="AZ181" s="292"/>
      <c r="BA181" s="293"/>
      <c r="BB181" s="289"/>
      <c r="BC181" s="291"/>
      <c r="BD181" s="292"/>
      <c r="BE181" s="292"/>
      <c r="BF181" s="293"/>
      <c r="BG181" s="289"/>
      <c r="BH181" s="291"/>
      <c r="BI181" s="292"/>
      <c r="BJ181" s="292"/>
      <c r="BK181" s="293"/>
      <c r="BL181" s="289"/>
      <c r="BM181" s="291"/>
      <c r="BN181" s="292"/>
      <c r="BO181" s="292"/>
      <c r="BP181" s="293"/>
      <c r="BQ181" s="289"/>
      <c r="BR181" s="289"/>
      <c r="BS181" s="289"/>
      <c r="BT181" s="289"/>
      <c r="BU181" s="289"/>
      <c r="BV181" s="289"/>
      <c r="BW181" s="289"/>
      <c r="BX181" s="289"/>
      <c r="BY181" s="289"/>
      <c r="BZ181" s="289"/>
      <c r="CA181" s="289"/>
      <c r="CB181" s="289"/>
      <c r="CC181" s="289"/>
      <c r="CD181" s="289"/>
      <c r="CE181" s="289"/>
      <c r="CF181" s="289"/>
      <c r="CG181" s="289"/>
      <c r="CH181" s="289"/>
      <c r="CI181" s="289"/>
      <c r="CJ181" s="289"/>
      <c r="CK181" s="289"/>
      <c r="CL181" s="289"/>
      <c r="CM181" s="289"/>
      <c r="CN181" s="289"/>
      <c r="CO181" s="289"/>
      <c r="CP181" s="289"/>
      <c r="CQ181" s="289"/>
      <c r="CR181" s="289"/>
      <c r="CS181" s="289"/>
      <c r="CT181" s="289"/>
      <c r="CU181" s="289"/>
      <c r="CV181" s="289"/>
      <c r="CW181" s="289"/>
      <c r="CX181" s="289"/>
      <c r="CY181" s="289"/>
      <c r="CZ181" s="289"/>
    </row>
    <row r="182" spans="1:104" x14ac:dyDescent="0.2">
      <c r="A182" s="220"/>
      <c r="B182" s="220"/>
      <c r="C182" s="70" t="s">
        <v>158</v>
      </c>
      <c r="D182" s="82"/>
      <c r="E182" s="136">
        <f t="shared" ref="E182:P183" si="417">+E208</f>
        <v>0</v>
      </c>
      <c r="F182" s="135">
        <f t="shared" si="417"/>
        <v>0</v>
      </c>
      <c r="G182" s="135">
        <f t="shared" si="417"/>
        <v>0</v>
      </c>
      <c r="H182" s="116">
        <f t="shared" si="417"/>
        <v>0</v>
      </c>
      <c r="I182" s="82">
        <f t="shared" si="417"/>
        <v>0</v>
      </c>
      <c r="J182" s="136">
        <f t="shared" si="417"/>
        <v>0</v>
      </c>
      <c r="K182" s="135">
        <f t="shared" si="417"/>
        <v>0</v>
      </c>
      <c r="L182" s="135">
        <f t="shared" si="417"/>
        <v>0</v>
      </c>
      <c r="M182" s="116">
        <f t="shared" si="417"/>
        <v>0</v>
      </c>
      <c r="N182" s="82">
        <f t="shared" si="417"/>
        <v>0</v>
      </c>
      <c r="O182" s="136">
        <f t="shared" si="417"/>
        <v>0</v>
      </c>
      <c r="P182" s="135">
        <f t="shared" si="417"/>
        <v>0</v>
      </c>
      <c r="Q182" s="135">
        <f t="shared" ref="Q182:U183" si="418">+Q208</f>
        <v>0</v>
      </c>
      <c r="R182" s="116">
        <f t="shared" si="418"/>
        <v>0</v>
      </c>
      <c r="S182" s="82">
        <f t="shared" si="418"/>
        <v>0</v>
      </c>
      <c r="T182" s="136">
        <f t="shared" si="418"/>
        <v>0</v>
      </c>
      <c r="U182" s="135">
        <f t="shared" si="418"/>
        <v>0</v>
      </c>
      <c r="V182" s="135">
        <f t="shared" ref="V182:Z183" si="419">+V208</f>
        <v>0</v>
      </c>
      <c r="W182" s="116">
        <f t="shared" si="419"/>
        <v>97.915999999999997</v>
      </c>
      <c r="X182" s="82">
        <f t="shared" si="419"/>
        <v>97.915999999999997</v>
      </c>
      <c r="Y182" s="136">
        <f t="shared" si="419"/>
        <v>0</v>
      </c>
      <c r="Z182" s="135">
        <f t="shared" si="419"/>
        <v>0</v>
      </c>
      <c r="AA182" s="135">
        <f t="shared" ref="AA182:AE183" si="420">+AA208</f>
        <v>0</v>
      </c>
      <c r="AB182" s="116">
        <f t="shared" si="420"/>
        <v>0</v>
      </c>
      <c r="AC182" s="82">
        <f t="shared" si="420"/>
        <v>0</v>
      </c>
      <c r="AD182" s="136">
        <f t="shared" si="420"/>
        <v>0</v>
      </c>
      <c r="AE182" s="135">
        <f t="shared" si="420"/>
        <v>98.926000000000002</v>
      </c>
      <c r="AF182" s="135">
        <f t="shared" ref="AF182:AJ183" si="421">+AF208</f>
        <v>-0.30100000000000193</v>
      </c>
      <c r="AG182" s="116">
        <f t="shared" si="421"/>
        <v>-9.0999999999993975E-2</v>
      </c>
      <c r="AH182" s="82">
        <f t="shared" si="421"/>
        <v>98.534000000000006</v>
      </c>
      <c r="AI182" s="136">
        <f t="shared" si="421"/>
        <v>0</v>
      </c>
      <c r="AJ182" s="135">
        <f t="shared" si="421"/>
        <v>98.375</v>
      </c>
      <c r="AK182" s="135">
        <f t="shared" ref="AK182:AO183" si="422">+AK208</f>
        <v>-0.3370000000000033</v>
      </c>
      <c r="AL182" s="116">
        <f t="shared" si="422"/>
        <v>-6.9000000000002615E-2</v>
      </c>
      <c r="AM182" s="82">
        <f t="shared" si="422"/>
        <v>97.968999999999994</v>
      </c>
      <c r="AN182" s="136">
        <f t="shared" si="422"/>
        <v>0</v>
      </c>
      <c r="AO182" s="135">
        <f t="shared" si="422"/>
        <v>0</v>
      </c>
      <c r="AP182" s="135">
        <f t="shared" ref="AP182:AT183" si="423">+AP208</f>
        <v>0</v>
      </c>
      <c r="AQ182" s="116">
        <f t="shared" si="423"/>
        <v>0</v>
      </c>
      <c r="AR182" s="82">
        <f t="shared" si="423"/>
        <v>0</v>
      </c>
      <c r="AS182" s="136">
        <f t="shared" si="423"/>
        <v>0</v>
      </c>
      <c r="AT182" s="135">
        <f t="shared" si="423"/>
        <v>0</v>
      </c>
      <c r="AU182" s="135">
        <f t="shared" ref="AU182:AW182" si="424">+AU208</f>
        <v>0</v>
      </c>
      <c r="AV182" s="116">
        <f t="shared" si="424"/>
        <v>97.454999999999998</v>
      </c>
      <c r="AW182" s="82">
        <f t="shared" si="424"/>
        <v>97.454999999999998</v>
      </c>
      <c r="AX182" s="136">
        <f>+Debt!AV103</f>
        <v>0</v>
      </c>
      <c r="AY182" s="135">
        <f>+Debt!AW103</f>
        <v>0</v>
      </c>
      <c r="AZ182" s="135">
        <f>+Debt!AX103</f>
        <v>0</v>
      </c>
      <c r="BA182" s="116">
        <f>+Debt!AY103</f>
        <v>200</v>
      </c>
      <c r="BB182" s="853">
        <v>200</v>
      </c>
      <c r="BC182" s="136">
        <f>+Debt!BA103</f>
        <v>0</v>
      </c>
      <c r="BD182" s="135">
        <f>+Debt!BB103</f>
        <v>0</v>
      </c>
      <c r="BE182" s="135">
        <f>+Debt!BC103</f>
        <v>50</v>
      </c>
      <c r="BF182" s="116">
        <f>+Debt!BD103</f>
        <v>0</v>
      </c>
      <c r="BG182" s="34">
        <v>50</v>
      </c>
      <c r="BH182" s="136">
        <f>+Debt!BF103</f>
        <v>0</v>
      </c>
      <c r="BI182" s="135">
        <f>+Debt!BG103</f>
        <v>0</v>
      </c>
      <c r="BJ182" s="135">
        <f>+Debt!BH103</f>
        <v>50</v>
      </c>
      <c r="BK182" s="116">
        <f>+Debt!BI103</f>
        <v>0</v>
      </c>
      <c r="BL182" s="34">
        <v>50</v>
      </c>
      <c r="BM182" s="136">
        <f>+Debt!BK103</f>
        <v>0</v>
      </c>
      <c r="BN182" s="135">
        <f>+Debt!BL103</f>
        <v>0</v>
      </c>
      <c r="BO182" s="135">
        <f>+Debt!BM103</f>
        <v>50</v>
      </c>
      <c r="BP182" s="116">
        <f>+Debt!BN103</f>
        <v>0</v>
      </c>
      <c r="BQ182" s="34">
        <v>50</v>
      </c>
      <c r="BR182" s="220"/>
      <c r="BS182" s="220"/>
      <c r="BT182" s="220"/>
      <c r="BU182" s="220"/>
      <c r="BV182" s="220"/>
      <c r="BW182" s="220"/>
      <c r="BX182" s="220"/>
      <c r="BY182" s="220"/>
      <c r="BZ182" s="220"/>
      <c r="CA182" s="220"/>
      <c r="CB182" s="220"/>
      <c r="CC182" s="220"/>
      <c r="CD182" s="220"/>
      <c r="CE182" s="220"/>
      <c r="CF182" s="220"/>
      <c r="CG182" s="220"/>
      <c r="CH182" s="220"/>
      <c r="CI182" s="220"/>
      <c r="CJ182" s="220"/>
      <c r="CK182" s="220"/>
      <c r="CL182" s="220"/>
      <c r="CM182" s="220"/>
      <c r="CN182" s="220"/>
      <c r="CO182" s="220"/>
      <c r="CP182" s="220"/>
      <c r="CQ182" s="220"/>
      <c r="CR182" s="220"/>
      <c r="CS182" s="220"/>
      <c r="CT182" s="220"/>
      <c r="CU182" s="220"/>
      <c r="CV182" s="220"/>
      <c r="CW182" s="220"/>
      <c r="CX182" s="220"/>
      <c r="CY182" s="220"/>
      <c r="CZ182" s="220"/>
    </row>
    <row r="183" spans="1:104" x14ac:dyDescent="0.2">
      <c r="A183" s="220"/>
      <c r="B183" s="220"/>
      <c r="C183" s="70" t="s">
        <v>159</v>
      </c>
      <c r="D183" s="82"/>
      <c r="E183" s="136">
        <f t="shared" si="417"/>
        <v>-66.816999999999993</v>
      </c>
      <c r="F183" s="135">
        <f t="shared" si="417"/>
        <v>-1.5000000000000568E-2</v>
      </c>
      <c r="G183" s="135">
        <f t="shared" si="417"/>
        <v>-1.2000000000000455E-2</v>
      </c>
      <c r="H183" s="116">
        <f t="shared" si="417"/>
        <v>-4.600000000000648E-2</v>
      </c>
      <c r="I183" s="82">
        <f t="shared" si="417"/>
        <v>-66.89</v>
      </c>
      <c r="J183" s="136">
        <f t="shared" si="417"/>
        <v>-0.01</v>
      </c>
      <c r="K183" s="135">
        <f t="shared" si="417"/>
        <v>-2.4E-2</v>
      </c>
      <c r="L183" s="135">
        <f t="shared" si="417"/>
        <v>-1.2999999999999998E-2</v>
      </c>
      <c r="M183" s="116">
        <f t="shared" si="417"/>
        <v>-4.8000000000000001E-2</v>
      </c>
      <c r="N183" s="82">
        <f t="shared" si="417"/>
        <v>-9.5000000000000001E-2</v>
      </c>
      <c r="O183" s="136">
        <f t="shared" si="417"/>
        <v>-1.2999999999999999E-2</v>
      </c>
      <c r="P183" s="135">
        <f t="shared" si="417"/>
        <v>-1.7000000000000001E-2</v>
      </c>
      <c r="Q183" s="135">
        <f t="shared" si="418"/>
        <v>-1.3999999999999999E-2</v>
      </c>
      <c r="R183" s="116">
        <f t="shared" si="418"/>
        <v>-5.2000000000000005E-2</v>
      </c>
      <c r="S183" s="82">
        <f t="shared" si="418"/>
        <v>-9.6000000000000002E-2</v>
      </c>
      <c r="T183" s="136">
        <f t="shared" si="418"/>
        <v>-1.6E-2</v>
      </c>
      <c r="U183" s="135">
        <f t="shared" si="418"/>
        <v>-1.6E-2</v>
      </c>
      <c r="V183" s="135">
        <f t="shared" si="419"/>
        <v>-1.6E-2</v>
      </c>
      <c r="W183" s="116">
        <f t="shared" si="419"/>
        <v>-4.9000000000000002E-2</v>
      </c>
      <c r="X183" s="82">
        <f t="shared" si="419"/>
        <v>-9.7000000000000003E-2</v>
      </c>
      <c r="Y183" s="136">
        <f t="shared" si="419"/>
        <v>-7.1999999999999995E-2</v>
      </c>
      <c r="Z183" s="135">
        <f t="shared" si="419"/>
        <v>-2.0000000000000004E-2</v>
      </c>
      <c r="AA183" s="135">
        <f t="shared" si="420"/>
        <v>-1.7000000000000001E-2</v>
      </c>
      <c r="AB183" s="116">
        <f t="shared" si="420"/>
        <v>-5.1000000000000004E-2</v>
      </c>
      <c r="AC183" s="82">
        <f t="shared" si="420"/>
        <v>-0.16</v>
      </c>
      <c r="AD183" s="136">
        <f t="shared" si="420"/>
        <v>-1.7999999999999999E-2</v>
      </c>
      <c r="AE183" s="135">
        <f t="shared" si="420"/>
        <v>-1.7999999999999999E-2</v>
      </c>
      <c r="AF183" s="135">
        <f t="shared" si="421"/>
        <v>-1.8000000000000002E-2</v>
      </c>
      <c r="AG183" s="116">
        <f t="shared" si="421"/>
        <v>-5.2999999999999999E-2</v>
      </c>
      <c r="AH183" s="82">
        <f t="shared" si="421"/>
        <v>-0.107</v>
      </c>
      <c r="AI183" s="136">
        <f t="shared" si="421"/>
        <v>-0.128</v>
      </c>
      <c r="AJ183" s="135">
        <f t="shared" si="421"/>
        <v>0.10300000000000001</v>
      </c>
      <c r="AK183" s="135">
        <f t="shared" si="422"/>
        <v>2.5000000000000001E-2</v>
      </c>
      <c r="AL183" s="116">
        <f t="shared" si="422"/>
        <v>-8.6999999999999994E-2</v>
      </c>
      <c r="AM183" s="82">
        <f t="shared" si="422"/>
        <v>-8.6999999999999994E-2</v>
      </c>
      <c r="AN183" s="136">
        <f t="shared" si="422"/>
        <v>-1.4E-2</v>
      </c>
      <c r="AO183" s="135">
        <f t="shared" si="422"/>
        <v>-1.5000000000000001E-2</v>
      </c>
      <c r="AP183" s="135">
        <f t="shared" si="423"/>
        <v>-1.4999999999999996E-2</v>
      </c>
      <c r="AQ183" s="116">
        <f t="shared" si="423"/>
        <v>-4.9000000000000002E-2</v>
      </c>
      <c r="AR183" s="82">
        <f t="shared" si="423"/>
        <v>-9.2999999999999999E-2</v>
      </c>
      <c r="AS183" s="136">
        <f t="shared" si="423"/>
        <v>-1.2999999999999999E-2</v>
      </c>
      <c r="AT183" s="135">
        <f t="shared" si="423"/>
        <v>-1.4E-2</v>
      </c>
      <c r="AU183" s="135">
        <f t="shared" ref="AU183:AW183" si="425">+AU209</f>
        <v>-4.3999999999999997E-2</v>
      </c>
      <c r="AV183" s="116">
        <f t="shared" si="425"/>
        <v>-6.0000000000000053E-3</v>
      </c>
      <c r="AW183" s="82">
        <f t="shared" si="425"/>
        <v>-7.6999999999999999E-2</v>
      </c>
      <c r="AX183" s="136">
        <f>+Debt!AV94</f>
        <v>0</v>
      </c>
      <c r="AY183" s="135">
        <f>+Debt!AW94</f>
        <v>0</v>
      </c>
      <c r="AZ183" s="135">
        <f>+Debt!AX94</f>
        <v>0</v>
      </c>
      <c r="BA183" s="116">
        <f>+Debt!AY94</f>
        <v>-150</v>
      </c>
      <c r="BB183" s="82">
        <f>+Debt!AZ94</f>
        <v>-150</v>
      </c>
      <c r="BC183" s="136">
        <f>+Debt!BA94</f>
        <v>0</v>
      </c>
      <c r="BD183" s="135">
        <f>+Debt!BB94</f>
        <v>0</v>
      </c>
      <c r="BE183" s="135">
        <f>+Debt!BC94</f>
        <v>0</v>
      </c>
      <c r="BF183" s="116">
        <f>+Debt!BD94</f>
        <v>0</v>
      </c>
      <c r="BG183" s="82">
        <f>+Debt!BE94</f>
        <v>0</v>
      </c>
      <c r="BH183" s="136">
        <f>+Debt!BF94</f>
        <v>0</v>
      </c>
      <c r="BI183" s="135">
        <f>+Debt!BG94</f>
        <v>0</v>
      </c>
      <c r="BJ183" s="135">
        <f>+Debt!BH94</f>
        <v>0</v>
      </c>
      <c r="BK183" s="116">
        <f>+Debt!BI94</f>
        <v>0</v>
      </c>
      <c r="BL183" s="82">
        <f>+Debt!BJ94</f>
        <v>0</v>
      </c>
      <c r="BM183" s="136">
        <f>+Debt!BK94</f>
        <v>0</v>
      </c>
      <c r="BN183" s="135">
        <f>+Debt!BL94</f>
        <v>0</v>
      </c>
      <c r="BO183" s="135">
        <f>+Debt!BM94</f>
        <v>0</v>
      </c>
      <c r="BP183" s="116">
        <f>+Debt!BN94</f>
        <v>-18.600000000000001</v>
      </c>
      <c r="BQ183" s="82">
        <f>+Debt!BO94</f>
        <v>-18.600000000000001</v>
      </c>
      <c r="BR183" s="220"/>
      <c r="BS183" s="220"/>
      <c r="BT183" s="220"/>
      <c r="BU183" s="220"/>
      <c r="BV183" s="220"/>
      <c r="BW183" s="220"/>
      <c r="BX183" s="220"/>
      <c r="BY183" s="220"/>
      <c r="BZ183" s="220"/>
      <c r="CA183" s="220"/>
      <c r="CB183" s="220"/>
      <c r="CC183" s="220"/>
      <c r="CD183" s="220"/>
      <c r="CE183" s="220"/>
      <c r="CF183" s="220"/>
      <c r="CG183" s="220"/>
      <c r="CH183" s="220"/>
      <c r="CI183" s="220"/>
      <c r="CJ183" s="220"/>
      <c r="CK183" s="220"/>
      <c r="CL183" s="220"/>
      <c r="CM183" s="220"/>
      <c r="CN183" s="220"/>
      <c r="CO183" s="220"/>
      <c r="CP183" s="220"/>
      <c r="CQ183" s="220"/>
      <c r="CR183" s="220"/>
      <c r="CS183" s="220"/>
      <c r="CT183" s="220"/>
      <c r="CU183" s="220"/>
      <c r="CV183" s="220"/>
      <c r="CW183" s="220"/>
      <c r="CX183" s="220"/>
      <c r="CY183" s="220"/>
      <c r="CZ183" s="220"/>
    </row>
    <row r="184" spans="1:104" x14ac:dyDescent="0.2">
      <c r="A184" s="289"/>
      <c r="B184" s="289"/>
      <c r="C184" s="70"/>
      <c r="D184" s="289"/>
      <c r="E184" s="291"/>
      <c r="F184" s="292"/>
      <c r="G184" s="292"/>
      <c r="H184" s="293"/>
      <c r="I184" s="289"/>
      <c r="J184" s="291"/>
      <c r="K184" s="292"/>
      <c r="L184" s="292"/>
      <c r="M184" s="293"/>
      <c r="N184" s="289"/>
      <c r="O184" s="291"/>
      <c r="P184" s="292"/>
      <c r="Q184" s="292"/>
      <c r="R184" s="116"/>
      <c r="S184" s="82"/>
      <c r="T184" s="136"/>
      <c r="U184" s="292"/>
      <c r="V184" s="292"/>
      <c r="W184" s="116"/>
      <c r="X184" s="82"/>
      <c r="Y184" s="136"/>
      <c r="Z184" s="137"/>
      <c r="AA184" s="137"/>
      <c r="AB184" s="116"/>
      <c r="AC184" s="82"/>
      <c r="AD184" s="136"/>
      <c r="AE184" s="137"/>
      <c r="AF184" s="137"/>
      <c r="AG184" s="116"/>
      <c r="AH184" s="82"/>
      <c r="AI184" s="136"/>
      <c r="AJ184" s="137"/>
      <c r="AK184" s="137"/>
      <c r="AL184" s="116"/>
      <c r="AM184" s="82"/>
      <c r="AN184" s="136"/>
      <c r="AO184" s="137"/>
      <c r="AP184" s="137"/>
      <c r="AQ184" s="116"/>
      <c r="AR184" s="82"/>
      <c r="AS184" s="136"/>
      <c r="AT184" s="137"/>
      <c r="AU184" s="137"/>
      <c r="AV184" s="116"/>
      <c r="AW184" s="82"/>
      <c r="AX184" s="136"/>
      <c r="AY184" s="137"/>
      <c r="AZ184" s="137"/>
      <c r="BA184" s="116"/>
      <c r="BB184" s="82"/>
      <c r="BC184" s="136"/>
      <c r="BD184" s="137"/>
      <c r="BE184" s="137"/>
      <c r="BF184" s="116"/>
      <c r="BG184" s="82"/>
      <c r="BH184" s="136"/>
      <c r="BI184" s="137"/>
      <c r="BJ184" s="137"/>
      <c r="BK184" s="116"/>
      <c r="BL184" s="82"/>
      <c r="BM184" s="136"/>
      <c r="BN184" s="137"/>
      <c r="BO184" s="137"/>
      <c r="BP184" s="116"/>
      <c r="BQ184" s="82"/>
      <c r="BR184" s="289"/>
      <c r="BS184" s="289"/>
      <c r="BT184" s="289"/>
      <c r="BU184" s="289"/>
      <c r="BV184" s="289"/>
      <c r="BW184" s="289"/>
      <c r="BX184" s="289"/>
      <c r="BY184" s="289"/>
      <c r="BZ184" s="289"/>
      <c r="CA184" s="289"/>
      <c r="CB184" s="289"/>
      <c r="CC184" s="289"/>
      <c r="CD184" s="289"/>
      <c r="CE184" s="289"/>
      <c r="CF184" s="289"/>
      <c r="CG184" s="289"/>
      <c r="CH184" s="289"/>
      <c r="CI184" s="289"/>
      <c r="CJ184" s="289"/>
      <c r="CK184" s="289"/>
      <c r="CL184" s="289"/>
      <c r="CM184" s="289"/>
      <c r="CN184" s="289"/>
      <c r="CO184" s="289"/>
      <c r="CP184" s="289"/>
      <c r="CQ184" s="289"/>
      <c r="CR184" s="289"/>
      <c r="CS184" s="289"/>
      <c r="CT184" s="289"/>
      <c r="CU184" s="289"/>
      <c r="CV184" s="289"/>
      <c r="CW184" s="289"/>
      <c r="CX184" s="289"/>
      <c r="CY184" s="289"/>
      <c r="CZ184" s="289"/>
    </row>
    <row r="185" spans="1:104" x14ac:dyDescent="0.2">
      <c r="A185" s="289"/>
      <c r="B185" s="289"/>
      <c r="C185" s="141" t="s">
        <v>132</v>
      </c>
      <c r="D185" s="289"/>
      <c r="E185" s="291"/>
      <c r="F185" s="292"/>
      <c r="G185" s="292"/>
      <c r="H185" s="293"/>
      <c r="I185" s="289"/>
      <c r="J185" s="291"/>
      <c r="K185" s="292"/>
      <c r="L185" s="292"/>
      <c r="M185" s="293"/>
      <c r="N185" s="289"/>
      <c r="O185" s="291"/>
      <c r="P185" s="292"/>
      <c r="Q185" s="292"/>
      <c r="R185" s="116"/>
      <c r="S185" s="82"/>
      <c r="T185" s="136"/>
      <c r="U185" s="292"/>
      <c r="V185" s="292"/>
      <c r="W185" s="116"/>
      <c r="X185" s="82"/>
      <c r="Y185" s="136"/>
      <c r="Z185" s="135"/>
      <c r="AA185" s="135"/>
      <c r="AB185" s="116"/>
      <c r="AC185" s="82"/>
      <c r="AD185" s="136"/>
      <c r="AE185" s="135"/>
      <c r="AF185" s="135"/>
      <c r="AG185" s="116"/>
      <c r="AH185" s="82"/>
      <c r="AI185" s="136"/>
      <c r="AJ185" s="135"/>
      <c r="AK185" s="135"/>
      <c r="AL185" s="116"/>
      <c r="AM185" s="82"/>
      <c r="AN185" s="136"/>
      <c r="AO185" s="135"/>
      <c r="AP185" s="135"/>
      <c r="AQ185" s="116"/>
      <c r="AR185" s="82"/>
      <c r="AS185" s="136"/>
      <c r="AT185" s="135"/>
      <c r="AU185" s="135"/>
      <c r="AV185" s="116"/>
      <c r="AW185" s="82"/>
      <c r="AX185" s="136"/>
      <c r="AY185" s="135"/>
      <c r="AZ185" s="135"/>
      <c r="BA185" s="116"/>
      <c r="BB185" s="82"/>
      <c r="BC185" s="136"/>
      <c r="BD185" s="135"/>
      <c r="BE185" s="135"/>
      <c r="BF185" s="116"/>
      <c r="BG185" s="82"/>
      <c r="BH185" s="136"/>
      <c r="BI185" s="135"/>
      <c r="BJ185" s="135"/>
      <c r="BK185" s="116"/>
      <c r="BL185" s="82"/>
      <c r="BM185" s="136"/>
      <c r="BN185" s="135"/>
      <c r="BO185" s="135"/>
      <c r="BP185" s="116"/>
      <c r="BQ185" s="82"/>
      <c r="BR185" s="289"/>
      <c r="BS185" s="289"/>
      <c r="BT185" s="289"/>
      <c r="BU185" s="289"/>
      <c r="BV185" s="289"/>
      <c r="BW185" s="289"/>
      <c r="BX185" s="289"/>
      <c r="BY185" s="289"/>
      <c r="BZ185" s="289"/>
      <c r="CA185" s="289"/>
      <c r="CB185" s="289"/>
      <c r="CC185" s="289"/>
      <c r="CD185" s="289"/>
      <c r="CE185" s="289"/>
      <c r="CF185" s="289"/>
      <c r="CG185" s="289"/>
      <c r="CH185" s="289"/>
      <c r="CI185" s="289"/>
      <c r="CJ185" s="289"/>
      <c r="CK185" s="289"/>
      <c r="CL185" s="289"/>
      <c r="CM185" s="289"/>
      <c r="CN185" s="289"/>
      <c r="CO185" s="289"/>
      <c r="CP185" s="289"/>
      <c r="CQ185" s="289"/>
      <c r="CR185" s="289"/>
      <c r="CS185" s="289"/>
      <c r="CT185" s="289"/>
      <c r="CU185" s="289"/>
      <c r="CV185" s="289"/>
      <c r="CW185" s="289"/>
      <c r="CX185" s="289"/>
      <c r="CY185" s="289"/>
      <c r="CZ185" s="289"/>
    </row>
    <row r="186" spans="1:104" x14ac:dyDescent="0.2">
      <c r="A186" s="220"/>
      <c r="B186" s="220"/>
      <c r="C186" s="70" t="s">
        <v>160</v>
      </c>
      <c r="D186" s="82"/>
      <c r="E186" s="136"/>
      <c r="F186" s="137"/>
      <c r="G186" s="137"/>
      <c r="H186" s="116"/>
      <c r="I186" s="82"/>
      <c r="J186" s="136"/>
      <c r="K186" s="137"/>
      <c r="L186" s="137"/>
      <c r="M186" s="116"/>
      <c r="N186" s="82"/>
      <c r="O186" s="136"/>
      <c r="P186" s="135"/>
      <c r="Q186" s="135"/>
      <c r="R186" s="116"/>
      <c r="S186" s="82"/>
      <c r="T186" s="136"/>
      <c r="U186" s="135"/>
      <c r="V186" s="135"/>
      <c r="W186" s="116"/>
      <c r="X186" s="82"/>
      <c r="Y186" s="136"/>
      <c r="Z186" s="135"/>
      <c r="AA186" s="135"/>
      <c r="AB186" s="116"/>
      <c r="AC186" s="82"/>
      <c r="AD186" s="136"/>
      <c r="AE186" s="135"/>
      <c r="AF186" s="135"/>
      <c r="AG186" s="116"/>
      <c r="AH186" s="82"/>
      <c r="AI186" s="136"/>
      <c r="AJ186" s="135"/>
      <c r="AK186" s="135"/>
      <c r="AL186" s="116"/>
      <c r="AM186" s="82"/>
      <c r="AN186" s="136"/>
      <c r="AO186" s="135"/>
      <c r="AP186" s="135"/>
      <c r="AQ186" s="116"/>
      <c r="AR186" s="82"/>
      <c r="AS186" s="136"/>
      <c r="AT186" s="135"/>
      <c r="AU186" s="135"/>
      <c r="AV186" s="116"/>
      <c r="AW186" s="82"/>
      <c r="AX186" s="136">
        <f t="shared" ref="AX186:BA186" si="426">(((AW224-AS224)*AX191)/4)-((AW222-AS222)*(AX191-1%)/4)</f>
        <v>-0.1093375</v>
      </c>
      <c r="AY186" s="135">
        <f>(((AX224-AT224)*AY191)/4)-((AX222-AT222)*(AY191-1%)/4)</f>
        <v>-0.1315254251023257</v>
      </c>
      <c r="AZ186" s="135">
        <f t="shared" si="426"/>
        <v>-0.24166021918854388</v>
      </c>
      <c r="BA186" s="116">
        <f t="shared" si="426"/>
        <v>0.24115696601324688</v>
      </c>
      <c r="BB186" s="82">
        <f>SUM(AX186:BA186)</f>
        <v>-0.24136617827762274</v>
      </c>
      <c r="BC186" s="136">
        <f>(((BB224-AX224)*BC191)/4)-((BB222-AX222)*(BC191-1%)/4)</f>
        <v>1.4947830359056943E-2</v>
      </c>
      <c r="BD186" s="135">
        <f>(((BC224-AY224)*BD191)/4)-((BC222-AY222)*(BD191-1%)/4)</f>
        <v>-8.4061459484429127E-2</v>
      </c>
      <c r="BE186" s="135">
        <f>(((BD224-AZ224)*BE191)/4)-((BD222-AZ222)*(BE191-1%)/4)</f>
        <v>-6.2507223466369485E-2</v>
      </c>
      <c r="BF186" s="116">
        <f>(((BE224-BA224)*BF191)/4)-((BE222-BA222)*(BF191-1%)/4)</f>
        <v>-7.1683908389052711E-2</v>
      </c>
      <c r="BG186" s="82">
        <f>SUM(BC186:BF186)</f>
        <v>-0.20330476098079436</v>
      </c>
      <c r="BH186" s="136">
        <f>(((BG224-BC224)*BH191)/4)-((BG222-BC222)*(BH191-1%)/4)</f>
        <v>-4.6566998889715543E-2</v>
      </c>
      <c r="BI186" s="135">
        <f>(((BH224-BD224)*BI191)/4)-((BH222-BD222)*(BI191-1%)/4)</f>
        <v>-0.14100768359128243</v>
      </c>
      <c r="BJ186" s="135">
        <f>(((BI224-BE224)*BJ191)/4)-((BI222-BE222)*(BJ191-1%)/4)</f>
        <v>0.13915135252699301</v>
      </c>
      <c r="BK186" s="116">
        <f>(((BJ224-BF224)*BK191)/4)-((BJ222-BF222)*(BK191-1%)/4)</f>
        <v>-9.7861859051182984E-2</v>
      </c>
      <c r="BL186" s="82">
        <f>SUM(BH186:BK186)</f>
        <v>-0.14628518900518794</v>
      </c>
      <c r="BM186" s="136">
        <f>(((BL224-BH224)*BM191)/4)-((BL222-BH222)*(BM191-1%)/4)</f>
        <v>-8.1123848790112987E-2</v>
      </c>
      <c r="BN186" s="135">
        <f>(((BM224-BI224)*BN191)/4)-((BM222-BI222)*(BN191-1%)/4)</f>
        <v>-0.15227476802060722</v>
      </c>
      <c r="BO186" s="135">
        <f>(((BN224-BJ224)*BO191)/4)-((BN222-BJ222)*(BO191-1%)/4)</f>
        <v>0.1473634174032237</v>
      </c>
      <c r="BP186" s="116">
        <f>(((BO224-BK224)*BP191)/4)-((BO222-BK222)*(BP191-1%)/4)</f>
        <v>-3.3590257239378293E-2</v>
      </c>
      <c r="BQ186" s="82">
        <f>SUM(BM186:BP186)</f>
        <v>-0.11962545664687481</v>
      </c>
      <c r="BR186" s="220"/>
      <c r="BS186" s="220"/>
      <c r="BT186" s="220"/>
      <c r="BU186" s="220"/>
      <c r="BV186" s="220"/>
      <c r="BW186" s="220"/>
      <c r="BX186" s="220"/>
      <c r="BY186" s="220"/>
      <c r="BZ186" s="220"/>
      <c r="CA186" s="220"/>
      <c r="CB186" s="220"/>
      <c r="CC186" s="220"/>
      <c r="CD186" s="220"/>
      <c r="CE186" s="220"/>
      <c r="CF186" s="220"/>
      <c r="CG186" s="220"/>
      <c r="CH186" s="220"/>
      <c r="CI186" s="220"/>
      <c r="CJ186" s="220"/>
      <c r="CK186" s="220"/>
      <c r="CL186" s="220"/>
      <c r="CM186" s="220"/>
      <c r="CN186" s="220"/>
      <c r="CO186" s="220"/>
      <c r="CP186" s="220"/>
      <c r="CQ186" s="220"/>
      <c r="CR186" s="220"/>
      <c r="CS186" s="220"/>
      <c r="CT186" s="220"/>
      <c r="CU186" s="220"/>
      <c r="CV186" s="220"/>
      <c r="CW186" s="220"/>
      <c r="CX186" s="220"/>
      <c r="CY186" s="220"/>
      <c r="CZ186" s="220"/>
    </row>
    <row r="187" spans="1:104" x14ac:dyDescent="0.2">
      <c r="A187" s="220"/>
      <c r="B187" s="220"/>
      <c r="C187" s="70"/>
      <c r="D187" s="82"/>
      <c r="E187" s="136"/>
      <c r="F187" s="137"/>
      <c r="G187" s="137"/>
      <c r="H187" s="116"/>
      <c r="I187" s="82"/>
      <c r="J187" s="136"/>
      <c r="K187" s="137"/>
      <c r="L187" s="137"/>
      <c r="M187" s="116"/>
      <c r="N187" s="82"/>
      <c r="O187" s="136"/>
      <c r="P187" s="137"/>
      <c r="Q187" s="137"/>
      <c r="R187" s="116"/>
      <c r="S187" s="82"/>
      <c r="T187" s="136"/>
      <c r="U187" s="137"/>
      <c r="V187" s="137"/>
      <c r="W187" s="116"/>
      <c r="X187" s="82"/>
      <c r="Y187" s="136"/>
      <c r="Z187" s="137"/>
      <c r="AA187" s="137"/>
      <c r="AB187" s="116"/>
      <c r="AC187" s="82"/>
      <c r="AD187" s="136"/>
      <c r="AE187" s="137"/>
      <c r="AF187" s="137"/>
      <c r="AG187" s="116"/>
      <c r="AH187" s="82"/>
      <c r="AI187" s="136"/>
      <c r="AJ187" s="137"/>
      <c r="AK187" s="137"/>
      <c r="AL187" s="116"/>
      <c r="AM187" s="82"/>
      <c r="AN187" s="136"/>
      <c r="AO187" s="137"/>
      <c r="AP187" s="137"/>
      <c r="AQ187" s="116"/>
      <c r="AR187" s="82"/>
      <c r="AS187" s="136"/>
      <c r="AT187" s="137"/>
      <c r="AU187" s="137"/>
      <c r="AV187" s="116"/>
      <c r="AW187" s="82"/>
      <c r="AX187" s="136"/>
      <c r="AY187" s="137"/>
      <c r="AZ187" s="137"/>
      <c r="BA187" s="116"/>
      <c r="BB187" s="220"/>
      <c r="BC187" s="136"/>
      <c r="BD187" s="137"/>
      <c r="BE187" s="137"/>
      <c r="BF187" s="116"/>
      <c r="BG187" s="220"/>
      <c r="BH187" s="136"/>
      <c r="BI187" s="137"/>
      <c r="BJ187" s="137"/>
      <c r="BK187" s="116"/>
      <c r="BL187" s="220"/>
      <c r="BM187" s="136"/>
      <c r="BN187" s="137"/>
      <c r="BO187" s="137"/>
      <c r="BP187" s="116"/>
      <c r="BQ187" s="220"/>
      <c r="BR187" s="220"/>
      <c r="BS187" s="220"/>
      <c r="BT187" s="220"/>
      <c r="BU187" s="220"/>
      <c r="BV187" s="220"/>
      <c r="BW187" s="220"/>
      <c r="BX187" s="220"/>
      <c r="BY187" s="220"/>
      <c r="BZ187" s="220"/>
      <c r="CA187" s="220"/>
      <c r="CB187" s="220"/>
      <c r="CC187" s="220"/>
      <c r="CD187" s="220"/>
      <c r="CE187" s="220"/>
      <c r="CF187" s="220"/>
      <c r="CG187" s="220"/>
      <c r="CH187" s="220"/>
      <c r="CI187" s="220"/>
      <c r="CJ187" s="220"/>
      <c r="CK187" s="220"/>
      <c r="CL187" s="220"/>
      <c r="CM187" s="220"/>
      <c r="CN187" s="220"/>
      <c r="CO187" s="220"/>
      <c r="CP187" s="220"/>
      <c r="CQ187" s="220"/>
      <c r="CR187" s="220"/>
      <c r="CS187" s="220"/>
      <c r="CT187" s="220"/>
      <c r="CU187" s="220"/>
      <c r="CV187" s="220"/>
      <c r="CW187" s="220"/>
      <c r="CX187" s="220"/>
      <c r="CY187" s="220"/>
      <c r="CZ187" s="220"/>
    </row>
    <row r="188" spans="1:104" x14ac:dyDescent="0.2">
      <c r="A188" s="220"/>
      <c r="B188" s="220"/>
      <c r="C188" s="70" t="s">
        <v>161</v>
      </c>
      <c r="D188" s="82"/>
      <c r="E188" s="136"/>
      <c r="F188" s="137"/>
      <c r="G188" s="137"/>
      <c r="H188" s="116"/>
      <c r="I188" s="82"/>
      <c r="J188" s="136"/>
      <c r="K188" s="137"/>
      <c r="L188" s="137"/>
      <c r="M188" s="116"/>
      <c r="N188" s="82"/>
      <c r="O188" s="136"/>
      <c r="P188" s="135"/>
      <c r="Q188" s="135"/>
      <c r="R188" s="116"/>
      <c r="S188" s="82"/>
      <c r="T188" s="136"/>
      <c r="U188" s="135"/>
      <c r="V188" s="135"/>
      <c r="W188" s="116"/>
      <c r="X188" s="82"/>
      <c r="Y188" s="136"/>
      <c r="Z188" s="135"/>
      <c r="AA188" s="135"/>
      <c r="AB188" s="116"/>
      <c r="AC188" s="82"/>
      <c r="AD188" s="136"/>
      <c r="AE188" s="135"/>
      <c r="AF188" s="135"/>
      <c r="AG188" s="116"/>
      <c r="AH188" s="82"/>
      <c r="AI188" s="136"/>
      <c r="AJ188" s="135"/>
      <c r="AK188" s="135"/>
      <c r="AL188" s="116"/>
      <c r="AM188" s="82"/>
      <c r="AN188" s="136"/>
      <c r="AO188" s="135"/>
      <c r="AP188" s="135"/>
      <c r="AQ188" s="116"/>
      <c r="AR188" s="82"/>
      <c r="AS188" s="136"/>
      <c r="AT188" s="135"/>
      <c r="AU188" s="135"/>
      <c r="AV188" s="116"/>
      <c r="AW188" s="82"/>
      <c r="AX188" s="136">
        <f>+Debt!DA103</f>
        <v>0.92499999999999982</v>
      </c>
      <c r="AY188" s="135">
        <f>+Debt!DB103</f>
        <v>0.92499999999999982</v>
      </c>
      <c r="AZ188" s="135">
        <f>+Debt!DC103</f>
        <v>0.92499999999999982</v>
      </c>
      <c r="BA188" s="116">
        <f>+Debt!DD103</f>
        <v>2</v>
      </c>
      <c r="BB188" s="82">
        <f>+Debt!DE103</f>
        <v>4.7750000000000004</v>
      </c>
      <c r="BC188" s="136">
        <f>+Debt!DF103</f>
        <v>2</v>
      </c>
      <c r="BD188" s="135">
        <f>+Debt!DG103</f>
        <v>2</v>
      </c>
      <c r="BE188" s="135">
        <f>+Debt!DH103</f>
        <v>2.5625</v>
      </c>
      <c r="BF188" s="116">
        <f>+Debt!DI103</f>
        <v>0.5625</v>
      </c>
      <c r="BG188" s="82">
        <f>+Debt!DJ103</f>
        <v>7.125</v>
      </c>
      <c r="BH188" s="136">
        <f>+Debt!DK103</f>
        <v>0.5625</v>
      </c>
      <c r="BI188" s="135">
        <f>+Debt!DL103</f>
        <v>0.5625</v>
      </c>
      <c r="BJ188" s="135">
        <f>+Debt!DM103</f>
        <v>0.5625</v>
      </c>
      <c r="BK188" s="116">
        <f>+Debt!DN103</f>
        <v>0.5625</v>
      </c>
      <c r="BL188" s="82">
        <f>+Debt!DO103</f>
        <v>2.25</v>
      </c>
      <c r="BM188" s="136">
        <f>+Debt!DP103</f>
        <v>0.5625</v>
      </c>
      <c r="BN188" s="135">
        <f>+Debt!DQ103</f>
        <v>0.5625</v>
      </c>
      <c r="BO188" s="135">
        <f>+Debt!DR103</f>
        <v>0.5625</v>
      </c>
      <c r="BP188" s="116">
        <f>+Debt!DS103</f>
        <v>0.5625</v>
      </c>
      <c r="BQ188" s="82">
        <f>+Debt!DT103</f>
        <v>2.25</v>
      </c>
      <c r="BR188" s="220"/>
      <c r="BS188" s="220"/>
      <c r="BT188" s="220"/>
      <c r="BU188" s="220"/>
      <c r="BV188" s="220"/>
      <c r="BW188" s="220"/>
      <c r="BX188" s="220"/>
      <c r="BY188" s="220"/>
      <c r="BZ188" s="220"/>
      <c r="CA188" s="220"/>
      <c r="CB188" s="220"/>
      <c r="CC188" s="220"/>
      <c r="CD188" s="220"/>
      <c r="CE188" s="220"/>
      <c r="CF188" s="220"/>
      <c r="CG188" s="220"/>
      <c r="CH188" s="220"/>
      <c r="CI188" s="220"/>
      <c r="CJ188" s="220"/>
      <c r="CK188" s="220"/>
      <c r="CL188" s="220"/>
      <c r="CM188" s="220"/>
      <c r="CN188" s="220"/>
      <c r="CO188" s="220"/>
      <c r="CP188" s="220"/>
      <c r="CQ188" s="220"/>
      <c r="CR188" s="220"/>
      <c r="CS188" s="220"/>
      <c r="CT188" s="220"/>
      <c r="CU188" s="220"/>
      <c r="CV188" s="220"/>
      <c r="CW188" s="220"/>
      <c r="CX188" s="220"/>
      <c r="CY188" s="220"/>
      <c r="CZ188" s="220"/>
    </row>
    <row r="189" spans="1:104" x14ac:dyDescent="0.2">
      <c r="A189" s="220"/>
      <c r="B189" s="220"/>
      <c r="C189" s="70" t="s">
        <v>162</v>
      </c>
      <c r="D189" s="82"/>
      <c r="E189" s="136"/>
      <c r="F189" s="137"/>
      <c r="G189" s="137"/>
      <c r="H189" s="116"/>
      <c r="I189" s="82"/>
      <c r="J189" s="136"/>
      <c r="K189" s="137"/>
      <c r="L189" s="137"/>
      <c r="M189" s="116"/>
      <c r="N189" s="82"/>
      <c r="O189" s="136"/>
      <c r="P189" s="135"/>
      <c r="Q189" s="135"/>
      <c r="R189" s="116"/>
      <c r="S189" s="82"/>
      <c r="T189" s="136"/>
      <c r="U189" s="135"/>
      <c r="V189" s="135"/>
      <c r="W189" s="116"/>
      <c r="X189" s="82"/>
      <c r="Y189" s="136"/>
      <c r="Z189" s="135"/>
      <c r="AA189" s="135"/>
      <c r="AB189" s="116"/>
      <c r="AC189" s="82"/>
      <c r="AD189" s="136"/>
      <c r="AE189" s="135"/>
      <c r="AF189" s="135"/>
      <c r="AG189" s="116"/>
      <c r="AH189" s="82"/>
      <c r="AI189" s="136"/>
      <c r="AJ189" s="135"/>
      <c r="AK189" s="135"/>
      <c r="AL189" s="116"/>
      <c r="AM189" s="82"/>
      <c r="AN189" s="136"/>
      <c r="AO189" s="135"/>
      <c r="AP189" s="135"/>
      <c r="AQ189" s="116"/>
      <c r="AR189" s="82"/>
      <c r="AS189" s="136"/>
      <c r="AT189" s="135"/>
      <c r="AU189" s="135"/>
      <c r="AV189" s="116"/>
      <c r="AW189" s="82"/>
      <c r="AX189" s="136">
        <f>+Debt!DA94</f>
        <v>-7.980000000000001E-3</v>
      </c>
      <c r="AY189" s="135">
        <f>+Debt!DB94</f>
        <v>-7.980000000000001E-3</v>
      </c>
      <c r="AZ189" s="135">
        <f>+Debt!DC94</f>
        <v>-7.980000000000001E-3</v>
      </c>
      <c r="BA189" s="116">
        <f>+Debt!DD94</f>
        <v>-1.96875</v>
      </c>
      <c r="BB189" s="82">
        <f>+Debt!DE94</f>
        <v>-1.9926900000000001</v>
      </c>
      <c r="BC189" s="136">
        <f>+Debt!DF94</f>
        <v>-1.96875</v>
      </c>
      <c r="BD189" s="135">
        <f>+Debt!DG94</f>
        <v>-1.96875</v>
      </c>
      <c r="BE189" s="135">
        <f>+Debt!DH94</f>
        <v>-1.96875</v>
      </c>
      <c r="BF189" s="116">
        <f>+Debt!DI94</f>
        <v>0</v>
      </c>
      <c r="BG189" s="82">
        <f>+Debt!DJ94</f>
        <v>-5.90625</v>
      </c>
      <c r="BH189" s="136">
        <f>+Debt!DK94</f>
        <v>0</v>
      </c>
      <c r="BI189" s="135">
        <f>+Debt!DL94</f>
        <v>0</v>
      </c>
      <c r="BJ189" s="135">
        <f>+Debt!DM94</f>
        <v>0</v>
      </c>
      <c r="BK189" s="116">
        <f>+Debt!DN94</f>
        <v>0</v>
      </c>
      <c r="BL189" s="82">
        <f>+Debt!DO94</f>
        <v>0</v>
      </c>
      <c r="BM189" s="136">
        <f>+Debt!DP94</f>
        <v>0</v>
      </c>
      <c r="BN189" s="135">
        <f>+Debt!DQ94</f>
        <v>0</v>
      </c>
      <c r="BO189" s="135">
        <f>+Debt!DR94</f>
        <v>0</v>
      </c>
      <c r="BP189" s="116">
        <f>+Debt!DS94</f>
        <v>-0.18600000000000003</v>
      </c>
      <c r="BQ189" s="82">
        <f>+Debt!DT94</f>
        <v>-0.18600000000000003</v>
      </c>
      <c r="BR189" s="220"/>
      <c r="BS189" s="220"/>
      <c r="BT189" s="220"/>
      <c r="BU189" s="220"/>
      <c r="BV189" s="220"/>
      <c r="BW189" s="220"/>
      <c r="BX189" s="220"/>
      <c r="BY189" s="220"/>
      <c r="BZ189" s="220"/>
      <c r="CA189" s="220"/>
      <c r="CB189" s="220"/>
      <c r="CC189" s="220"/>
      <c r="CD189" s="220"/>
      <c r="CE189" s="220"/>
      <c r="CF189" s="220"/>
      <c r="CG189" s="220"/>
      <c r="CH189" s="220"/>
      <c r="CI189" s="220"/>
      <c r="CJ189" s="220"/>
      <c r="CK189" s="220"/>
      <c r="CL189" s="220"/>
      <c r="CM189" s="220"/>
      <c r="CN189" s="220"/>
      <c r="CO189" s="220"/>
      <c r="CP189" s="220"/>
      <c r="CQ189" s="220"/>
      <c r="CR189" s="220"/>
      <c r="CS189" s="220"/>
      <c r="CT189" s="220"/>
      <c r="CU189" s="220"/>
      <c r="CV189" s="220"/>
      <c r="CW189" s="220"/>
      <c r="CX189" s="220"/>
      <c r="CY189" s="220"/>
      <c r="CZ189" s="220"/>
    </row>
    <row r="190" spans="1:104" x14ac:dyDescent="0.2">
      <c r="A190" s="289"/>
      <c r="B190" s="289"/>
      <c r="C190" s="20"/>
      <c r="D190" s="289"/>
      <c r="E190" s="291"/>
      <c r="F190" s="292"/>
      <c r="G190" s="292"/>
      <c r="H190" s="293"/>
      <c r="I190" s="289"/>
      <c r="J190" s="291"/>
      <c r="K190" s="292"/>
      <c r="L190" s="292"/>
      <c r="M190" s="293"/>
      <c r="N190" s="289"/>
      <c r="O190" s="291"/>
      <c r="P190" s="292"/>
      <c r="Q190" s="292"/>
      <c r="R190" s="293"/>
      <c r="S190" s="289"/>
      <c r="T190" s="291"/>
      <c r="U190" s="292"/>
      <c r="V190" s="292"/>
      <c r="W190" s="293"/>
      <c r="X190" s="289"/>
      <c r="Y190" s="291"/>
      <c r="Z190" s="292"/>
      <c r="AA190" s="292"/>
      <c r="AB190" s="293"/>
      <c r="AC190" s="289"/>
      <c r="AD190" s="291"/>
      <c r="AE190" s="292"/>
      <c r="AF190" s="292"/>
      <c r="AG190" s="293"/>
      <c r="AH190" s="289"/>
      <c r="AI190" s="291"/>
      <c r="AJ190" s="292"/>
      <c r="AK190" s="292"/>
      <c r="AL190" s="293"/>
      <c r="AM190" s="289"/>
      <c r="AN190" s="291"/>
      <c r="AO190" s="292"/>
      <c r="AP190" s="292"/>
      <c r="AQ190" s="293"/>
      <c r="AR190" s="289"/>
      <c r="AS190" s="291"/>
      <c r="AT190" s="292"/>
      <c r="AU190" s="292"/>
      <c r="AV190" s="293"/>
      <c r="AW190" s="289"/>
      <c r="AX190" s="291"/>
      <c r="AY190" s="292"/>
      <c r="AZ190" s="292"/>
      <c r="BA190" s="293"/>
      <c r="BB190" s="289"/>
      <c r="BC190" s="291"/>
      <c r="BD190" s="292"/>
      <c r="BE190" s="292"/>
      <c r="BF190" s="293"/>
      <c r="BG190" s="289"/>
      <c r="BH190" s="291"/>
      <c r="BI190" s="292"/>
      <c r="BJ190" s="292"/>
      <c r="BK190" s="293"/>
      <c r="BL190" s="289"/>
      <c r="BM190" s="291"/>
      <c r="BN190" s="292"/>
      <c r="BO190" s="292"/>
      <c r="BP190" s="293"/>
      <c r="BQ190" s="289"/>
      <c r="BR190" s="289"/>
      <c r="BS190" s="289"/>
      <c r="BT190" s="289"/>
      <c r="BU190" s="289"/>
      <c r="BV190" s="289"/>
      <c r="BW190" s="289"/>
      <c r="BX190" s="289"/>
      <c r="BY190" s="289"/>
      <c r="BZ190" s="289"/>
      <c r="CA190" s="289"/>
      <c r="CB190" s="289"/>
      <c r="CC190" s="289"/>
      <c r="CD190" s="289"/>
      <c r="CE190" s="289"/>
      <c r="CF190" s="289"/>
      <c r="CG190" s="289"/>
      <c r="CH190" s="289"/>
      <c r="CI190" s="289"/>
      <c r="CJ190" s="289"/>
      <c r="CK190" s="289"/>
      <c r="CL190" s="289"/>
      <c r="CM190" s="289"/>
      <c r="CN190" s="289"/>
      <c r="CO190" s="289"/>
      <c r="CP190" s="289"/>
      <c r="CQ190" s="289"/>
      <c r="CR190" s="289"/>
      <c r="CS190" s="289"/>
      <c r="CT190" s="289"/>
      <c r="CU190" s="289"/>
      <c r="CV190" s="289"/>
      <c r="CW190" s="289"/>
      <c r="CX190" s="289"/>
      <c r="CY190" s="289"/>
      <c r="CZ190" s="289"/>
    </row>
    <row r="191" spans="1:104" x14ac:dyDescent="0.2">
      <c r="A191" s="289"/>
      <c r="B191" s="289"/>
      <c r="C191" s="70" t="s">
        <v>164</v>
      </c>
      <c r="D191" s="289"/>
      <c r="E191" s="291"/>
      <c r="F191" s="292"/>
      <c r="G191" s="292"/>
      <c r="H191" s="293"/>
      <c r="I191" s="289"/>
      <c r="J191" s="291"/>
      <c r="K191" s="292"/>
      <c r="L191" s="292"/>
      <c r="M191" s="293"/>
      <c r="N191" s="289"/>
      <c r="O191" s="291"/>
      <c r="P191" s="292"/>
      <c r="Q191" s="292"/>
      <c r="R191" s="209"/>
      <c r="S191" s="88"/>
      <c r="T191" s="207"/>
      <c r="U191" s="292"/>
      <c r="V191" s="292"/>
      <c r="W191" s="209"/>
      <c r="X191" s="88"/>
      <c r="Y191" s="207"/>
      <c r="Z191" s="208"/>
      <c r="AA191" s="208"/>
      <c r="AB191" s="209"/>
      <c r="AC191" s="88"/>
      <c r="AD191" s="207"/>
      <c r="AE191" s="208"/>
      <c r="AF191" s="208"/>
      <c r="AG191" s="209"/>
      <c r="AH191" s="88"/>
      <c r="AI191" s="207"/>
      <c r="AJ191" s="208"/>
      <c r="AK191" s="208"/>
      <c r="AL191" s="209"/>
      <c r="AM191" s="88"/>
      <c r="AN191" s="207"/>
      <c r="AO191" s="208"/>
      <c r="AP191" s="208"/>
      <c r="AQ191" s="209"/>
      <c r="AR191" s="88"/>
      <c r="AS191" s="207"/>
      <c r="AT191" s="208"/>
      <c r="AU191" s="208"/>
      <c r="AV191" s="209"/>
      <c r="AW191" s="88"/>
      <c r="AX191" s="207">
        <f>+XEL!AX113</f>
        <v>0.02</v>
      </c>
      <c r="AY191" s="208">
        <f>+XEL!AY113</f>
        <v>0.02</v>
      </c>
      <c r="AZ191" s="208">
        <f>+XEL!AZ113</f>
        <v>0.02</v>
      </c>
      <c r="BA191" s="209">
        <f>+XEL!BA113</f>
        <v>0.02</v>
      </c>
      <c r="BB191" s="88">
        <f>+XEL!BB113</f>
        <v>0.02</v>
      </c>
      <c r="BC191" s="207">
        <f>+XEL!BC113</f>
        <v>0.02</v>
      </c>
      <c r="BD191" s="208">
        <f>+XEL!BD113</f>
        <v>0.02</v>
      </c>
      <c r="BE191" s="208">
        <f>+XEL!BE113</f>
        <v>0.02</v>
      </c>
      <c r="BF191" s="209">
        <f>+XEL!BF113</f>
        <v>0.02</v>
      </c>
      <c r="BG191" s="88">
        <f>+XEL!BG113</f>
        <v>0.02</v>
      </c>
      <c r="BH191" s="207">
        <f>+XEL!BH113</f>
        <v>0.02</v>
      </c>
      <c r="BI191" s="208">
        <f>+XEL!BI113</f>
        <v>0.02</v>
      </c>
      <c r="BJ191" s="208">
        <f>+XEL!BJ113</f>
        <v>0.02</v>
      </c>
      <c r="BK191" s="209">
        <f>+XEL!BK113</f>
        <v>0.02</v>
      </c>
      <c r="BL191" s="88">
        <f>+XEL!BL113</f>
        <v>0.02</v>
      </c>
      <c r="BM191" s="207">
        <f>+XEL!BM113</f>
        <v>0.02</v>
      </c>
      <c r="BN191" s="208">
        <f>+XEL!BN113</f>
        <v>0.02</v>
      </c>
      <c r="BO191" s="208">
        <f>+XEL!BO113</f>
        <v>0.02</v>
      </c>
      <c r="BP191" s="209">
        <f>+XEL!BP113</f>
        <v>0.02</v>
      </c>
      <c r="BQ191" s="88">
        <f>+XEL!BQ113</f>
        <v>0.02</v>
      </c>
      <c r="BR191" s="289"/>
      <c r="BS191" s="289"/>
      <c r="BT191" s="289"/>
      <c r="BU191" s="289"/>
      <c r="BV191" s="289"/>
      <c r="BW191" s="289"/>
      <c r="BX191" s="289"/>
      <c r="BY191" s="289"/>
      <c r="BZ191" s="289"/>
      <c r="CA191" s="289"/>
      <c r="CB191" s="289"/>
      <c r="CC191" s="289"/>
      <c r="CD191" s="289"/>
      <c r="CE191" s="289"/>
      <c r="CF191" s="289"/>
      <c r="CG191" s="289"/>
      <c r="CH191" s="289"/>
      <c r="CI191" s="289"/>
      <c r="CJ191" s="289"/>
      <c r="CK191" s="289"/>
      <c r="CL191" s="289"/>
      <c r="CM191" s="289"/>
      <c r="CN191" s="289"/>
      <c r="CO191" s="289"/>
      <c r="CP191" s="289"/>
      <c r="CQ191" s="289"/>
      <c r="CR191" s="289"/>
      <c r="CS191" s="289"/>
      <c r="CT191" s="289"/>
      <c r="CU191" s="289"/>
      <c r="CV191" s="289"/>
      <c r="CW191" s="289"/>
      <c r="CX191" s="289"/>
      <c r="CY191" s="289"/>
      <c r="CZ191" s="289"/>
    </row>
    <row r="192" spans="1:104" x14ac:dyDescent="0.2">
      <c r="A192" s="289"/>
      <c r="B192" s="289"/>
      <c r="C192" s="289"/>
      <c r="D192" s="289"/>
      <c r="E192" s="291"/>
      <c r="F192" s="292"/>
      <c r="G192" s="292"/>
      <c r="H192" s="293"/>
      <c r="I192" s="289"/>
      <c r="J192" s="291"/>
      <c r="K192" s="292"/>
      <c r="L192" s="292"/>
      <c r="M192" s="293"/>
      <c r="N192" s="289"/>
      <c r="O192" s="291"/>
      <c r="P192" s="292"/>
      <c r="Q192" s="292"/>
      <c r="R192" s="293"/>
      <c r="S192" s="289"/>
      <c r="T192" s="291"/>
      <c r="U192" s="292"/>
      <c r="V192" s="292"/>
      <c r="W192" s="293"/>
      <c r="X192" s="289"/>
      <c r="Y192" s="291"/>
      <c r="Z192" s="292"/>
      <c r="AA192" s="292"/>
      <c r="AB192" s="293"/>
      <c r="AC192" s="289"/>
      <c r="AD192" s="291"/>
      <c r="AE192" s="292"/>
      <c r="AF192" s="292"/>
      <c r="AG192" s="293"/>
      <c r="AH192" s="289"/>
      <c r="AI192" s="291"/>
      <c r="AJ192" s="292"/>
      <c r="AK192" s="292"/>
      <c r="AL192" s="293"/>
      <c r="AM192" s="289"/>
      <c r="AN192" s="291"/>
      <c r="AO192" s="292"/>
      <c r="AP192" s="292"/>
      <c r="AQ192" s="293"/>
      <c r="AR192" s="289"/>
      <c r="AS192" s="291"/>
      <c r="AT192" s="292"/>
      <c r="AU192" s="292"/>
      <c r="AV192" s="293"/>
      <c r="AW192" s="289"/>
      <c r="AX192" s="291"/>
      <c r="AY192" s="292"/>
      <c r="AZ192" s="292"/>
      <c r="BA192" s="293"/>
      <c r="BB192" s="289"/>
      <c r="BC192" s="291"/>
      <c r="BD192" s="292"/>
      <c r="BE192" s="292"/>
      <c r="BF192" s="293"/>
      <c r="BG192" s="289"/>
      <c r="BH192" s="291"/>
      <c r="BI192" s="292"/>
      <c r="BJ192" s="292"/>
      <c r="BK192" s="293"/>
      <c r="BL192" s="289"/>
      <c r="BM192" s="291"/>
      <c r="BN192" s="292"/>
      <c r="BO192" s="292"/>
      <c r="BP192" s="293"/>
      <c r="BQ192" s="289"/>
      <c r="BR192" s="289"/>
      <c r="BS192" s="289"/>
      <c r="BT192" s="289"/>
      <c r="BU192" s="289"/>
      <c r="BV192" s="289"/>
      <c r="BW192" s="289"/>
      <c r="BX192" s="289"/>
      <c r="BY192" s="289"/>
      <c r="BZ192" s="289"/>
      <c r="CA192" s="289"/>
      <c r="CB192" s="289"/>
      <c r="CC192" s="289"/>
      <c r="CD192" s="289"/>
      <c r="CE192" s="289"/>
      <c r="CF192" s="289"/>
      <c r="CG192" s="289"/>
      <c r="CH192" s="289"/>
      <c r="CI192" s="289"/>
      <c r="CJ192" s="289"/>
      <c r="CK192" s="289"/>
      <c r="CL192" s="349"/>
      <c r="CM192" s="349"/>
      <c r="CN192" s="349"/>
      <c r="CO192" s="346"/>
      <c r="CP192" s="349"/>
      <c r="CQ192" s="349"/>
      <c r="CR192" s="349"/>
      <c r="CS192" s="349"/>
      <c r="CT192" s="346"/>
      <c r="CU192" s="349"/>
      <c r="CV192" s="349"/>
      <c r="CW192" s="349"/>
      <c r="CX192" s="349"/>
      <c r="CY192" s="346"/>
      <c r="CZ192" s="289"/>
    </row>
    <row r="193" spans="1:134" x14ac:dyDescent="0.2">
      <c r="A193" s="289"/>
      <c r="B193" s="289"/>
      <c r="C193" s="289"/>
      <c r="D193" s="289"/>
      <c r="E193" s="291"/>
      <c r="F193" s="292"/>
      <c r="G193" s="292"/>
      <c r="H193" s="293"/>
      <c r="I193" s="289"/>
      <c r="J193" s="291"/>
      <c r="K193" s="292"/>
      <c r="L193" s="292"/>
      <c r="M193" s="293"/>
      <c r="N193" s="289"/>
      <c r="O193" s="291"/>
      <c r="P193" s="292"/>
      <c r="Q193" s="292"/>
      <c r="R193" s="293"/>
      <c r="S193" s="289"/>
      <c r="T193" s="291"/>
      <c r="U193" s="292"/>
      <c r="V193" s="292"/>
      <c r="W193" s="293"/>
      <c r="X193" s="289"/>
      <c r="Y193" s="291"/>
      <c r="Z193" s="292"/>
      <c r="AA193" s="292"/>
      <c r="AB193" s="293"/>
      <c r="AC193" s="289"/>
      <c r="AD193" s="291"/>
      <c r="AE193" s="292"/>
      <c r="AF193" s="292"/>
      <c r="AG193" s="293"/>
      <c r="AH193" s="289"/>
      <c r="AI193" s="291"/>
      <c r="AJ193" s="292"/>
      <c r="AK193" s="292"/>
      <c r="AL193" s="293"/>
      <c r="AM193" s="289"/>
      <c r="AN193" s="291"/>
      <c r="AO193" s="292"/>
      <c r="AP193" s="292"/>
      <c r="AQ193" s="293"/>
      <c r="AR193" s="289"/>
      <c r="AS193" s="291"/>
      <c r="AT193" s="292"/>
      <c r="AU193" s="292"/>
      <c r="AV193" s="293"/>
      <c r="AW193" s="289"/>
      <c r="AX193" s="291"/>
      <c r="AY193" s="292"/>
      <c r="AZ193" s="292"/>
      <c r="BA193" s="293"/>
      <c r="BB193" s="289"/>
      <c r="BC193" s="291"/>
      <c r="BD193" s="292"/>
      <c r="BE193" s="292"/>
      <c r="BF193" s="293"/>
      <c r="BG193" s="289"/>
      <c r="BH193" s="291"/>
      <c r="BI193" s="292"/>
      <c r="BJ193" s="292"/>
      <c r="BK193" s="293"/>
      <c r="BL193" s="289"/>
      <c r="BM193" s="291"/>
      <c r="BN193" s="292"/>
      <c r="BO193" s="292"/>
      <c r="BP193" s="293"/>
      <c r="BQ193" s="289"/>
      <c r="BR193" s="289"/>
      <c r="BS193" s="289"/>
      <c r="BT193" s="289"/>
      <c r="BU193" s="289"/>
      <c r="BV193" s="289"/>
      <c r="BW193" s="289"/>
      <c r="BX193" s="289"/>
      <c r="BY193" s="289"/>
      <c r="BZ193" s="289"/>
      <c r="CA193" s="289"/>
      <c r="CB193" s="289"/>
      <c r="CC193" s="289"/>
      <c r="CD193" s="289"/>
      <c r="CE193" s="289"/>
      <c r="CF193" s="289"/>
      <c r="CG193" s="289"/>
      <c r="CH193" s="289"/>
      <c r="CI193" s="289"/>
      <c r="CJ193" s="289"/>
      <c r="CK193" s="289"/>
      <c r="CL193" s="7" t="s">
        <v>171</v>
      </c>
      <c r="CM193" s="7"/>
      <c r="CN193" s="7"/>
      <c r="CO193" s="20"/>
      <c r="CP193" s="20"/>
      <c r="CQ193" s="20"/>
      <c r="CR193" s="20"/>
      <c r="CS193" s="20"/>
      <c r="CT193" s="20"/>
      <c r="CU193" s="20"/>
      <c r="CV193" s="20"/>
      <c r="CW193" s="20"/>
      <c r="CX193" s="20"/>
    </row>
    <row r="194" spans="1:134" x14ac:dyDescent="0.2">
      <c r="A194" s="289"/>
      <c r="B194" s="347" t="s">
        <v>297</v>
      </c>
      <c r="C194" s="347"/>
      <c r="D194" s="348"/>
      <c r="E194" s="291"/>
      <c r="F194" s="292"/>
      <c r="G194" s="292"/>
      <c r="H194" s="293"/>
      <c r="I194" s="289"/>
      <c r="J194" s="291"/>
      <c r="K194" s="292"/>
      <c r="L194" s="292"/>
      <c r="M194" s="293"/>
      <c r="N194" s="289"/>
      <c r="O194" s="291"/>
      <c r="P194" s="292"/>
      <c r="Q194" s="292"/>
      <c r="R194" s="293"/>
      <c r="S194" s="289"/>
      <c r="T194" s="291"/>
      <c r="U194" s="292"/>
      <c r="V194" s="292"/>
      <c r="W194" s="293"/>
      <c r="X194" s="289"/>
      <c r="Y194" s="291"/>
      <c r="Z194" s="292"/>
      <c r="AA194" s="292"/>
      <c r="AB194" s="293"/>
      <c r="AC194" s="289"/>
      <c r="AD194" s="291"/>
      <c r="AE194" s="292"/>
      <c r="AF194" s="292"/>
      <c r="AG194" s="293"/>
      <c r="AH194" s="289"/>
      <c r="AI194" s="291"/>
      <c r="AJ194" s="292"/>
      <c r="AK194" s="292"/>
      <c r="AL194" s="293"/>
      <c r="AM194" s="289"/>
      <c r="AN194" s="291"/>
      <c r="AO194" s="292"/>
      <c r="AP194" s="292"/>
      <c r="AQ194" s="293"/>
      <c r="AR194" s="289"/>
      <c r="AS194" s="291"/>
      <c r="AT194" s="292"/>
      <c r="AU194" s="292"/>
      <c r="AV194" s="293"/>
      <c r="AW194" s="289"/>
      <c r="AX194" s="291"/>
      <c r="AY194" s="292"/>
      <c r="AZ194" s="292"/>
      <c r="BA194" s="293"/>
      <c r="BB194" s="289"/>
      <c r="BC194" s="291"/>
      <c r="BD194" s="292"/>
      <c r="BE194" s="292"/>
      <c r="BF194" s="293"/>
      <c r="BG194" s="289"/>
      <c r="BH194" s="291"/>
      <c r="BI194" s="292"/>
      <c r="BJ194" s="292"/>
      <c r="BK194" s="293"/>
      <c r="BL194" s="289"/>
      <c r="BM194" s="291"/>
      <c r="BN194" s="292"/>
      <c r="BO194" s="292"/>
      <c r="BP194" s="293"/>
      <c r="BQ194" s="289"/>
      <c r="BR194" s="289"/>
      <c r="BS194" s="289"/>
      <c r="BT194" s="289"/>
      <c r="BU194" s="289"/>
      <c r="BV194" s="289"/>
      <c r="BW194" s="289"/>
      <c r="BX194" s="289"/>
      <c r="BY194" s="289"/>
      <c r="BZ194" s="289"/>
      <c r="CA194" s="289"/>
      <c r="CB194" s="289"/>
      <c r="CC194" s="289"/>
      <c r="CD194" s="289"/>
      <c r="CE194" s="289"/>
      <c r="CF194" s="289"/>
      <c r="CG194" s="289"/>
      <c r="CH194" s="289"/>
      <c r="CI194" s="289"/>
      <c r="CJ194" s="289"/>
      <c r="CK194" s="289"/>
      <c r="CL194" s="218" t="s">
        <v>101</v>
      </c>
      <c r="CM194" s="218" t="s">
        <v>102</v>
      </c>
      <c r="CN194" s="218" t="s">
        <v>103</v>
      </c>
      <c r="CO194" s="218" t="s">
        <v>104</v>
      </c>
      <c r="CP194" s="218" t="s">
        <v>173</v>
      </c>
      <c r="CQ194" s="218" t="s">
        <v>105</v>
      </c>
      <c r="CR194" s="218" t="s">
        <v>106</v>
      </c>
      <c r="CS194" s="218" t="s">
        <v>107</v>
      </c>
      <c r="CT194" s="218" t="s">
        <v>108</v>
      </c>
      <c r="CU194" s="218" t="s">
        <v>174</v>
      </c>
      <c r="CV194" s="218" t="s">
        <v>109</v>
      </c>
      <c r="CW194" s="218" t="s">
        <v>110</v>
      </c>
      <c r="CX194" s="218" t="s">
        <v>479</v>
      </c>
      <c r="CY194" s="218" t="s">
        <v>175</v>
      </c>
      <c r="CZ194" s="218" t="s">
        <v>176</v>
      </c>
      <c r="DA194" s="218" t="s">
        <v>508</v>
      </c>
      <c r="DB194" s="218" t="s">
        <v>509</v>
      </c>
      <c r="DC194" s="218" t="s">
        <v>510</v>
      </c>
      <c r="DD194" s="218" t="s">
        <v>522</v>
      </c>
      <c r="DE194" s="218" t="s">
        <v>525</v>
      </c>
      <c r="DF194" s="218" t="s">
        <v>524</v>
      </c>
      <c r="DG194" s="218" t="s">
        <v>527</v>
      </c>
      <c r="DH194" s="218" t="s">
        <v>528</v>
      </c>
      <c r="DI194" s="218" t="s">
        <v>537</v>
      </c>
      <c r="DJ194" s="218" t="s">
        <v>540</v>
      </c>
      <c r="DK194" s="218" t="s">
        <v>539</v>
      </c>
      <c r="DL194" s="218" t="s">
        <v>543</v>
      </c>
      <c r="DM194" s="218" t="s">
        <v>544</v>
      </c>
      <c r="DN194" s="218" t="s">
        <v>550</v>
      </c>
      <c r="DO194" s="218" t="s">
        <v>552</v>
      </c>
      <c r="DP194" s="218" t="s">
        <v>553</v>
      </c>
      <c r="DQ194" s="218" t="s">
        <v>554</v>
      </c>
      <c r="DR194" s="218" t="s">
        <v>569</v>
      </c>
      <c r="DS194" s="218" t="s">
        <v>570</v>
      </c>
      <c r="DT194" s="218" t="s">
        <v>573</v>
      </c>
      <c r="DU194" s="218" t="s">
        <v>574</v>
      </c>
      <c r="DV194" s="218" t="s">
        <v>589</v>
      </c>
      <c r="DW194" s="218" t="s">
        <v>597</v>
      </c>
      <c r="DX194" s="218" t="s">
        <v>605</v>
      </c>
      <c r="DY194" s="218" t="s">
        <v>606</v>
      </c>
      <c r="DZ194" s="218" t="s">
        <v>631</v>
      </c>
      <c r="EA194" s="218" t="s">
        <v>638</v>
      </c>
      <c r="EB194" s="218" t="s">
        <v>640</v>
      </c>
      <c r="EC194" s="218" t="s">
        <v>664</v>
      </c>
      <c r="ED194" s="218" t="s">
        <v>666</v>
      </c>
    </row>
    <row r="195" spans="1:134" x14ac:dyDescent="0.2">
      <c r="A195" s="220"/>
      <c r="B195" s="220"/>
      <c r="C195" s="70" t="s">
        <v>177</v>
      </c>
      <c r="D195" s="82"/>
      <c r="E195" s="136">
        <f t="shared" ref="E195:E200" si="427">+CL195</f>
        <v>21.721</v>
      </c>
      <c r="F195" s="135">
        <f t="shared" ref="F195:G200" si="428">+CM195-CL195</f>
        <v>3.4759999999999991</v>
      </c>
      <c r="G195" s="135">
        <f t="shared" si="428"/>
        <v>13.623000000000001</v>
      </c>
      <c r="H195" s="116">
        <f t="shared" ref="H195:H200" si="429">+CP195-CN195</f>
        <v>8.5429999999999993</v>
      </c>
      <c r="I195" s="223">
        <f t="shared" ref="I195:I201" si="430">CP195</f>
        <v>47.363</v>
      </c>
      <c r="J195" s="136">
        <f t="shared" ref="J195:J200" si="431">+CQ195</f>
        <v>13.544</v>
      </c>
      <c r="K195" s="135">
        <f t="shared" ref="K195:L200" si="432">+CR195-CQ195</f>
        <v>2.6789999999999985</v>
      </c>
      <c r="L195" s="135">
        <f t="shared" si="432"/>
        <v>17.624000000000002</v>
      </c>
      <c r="M195" s="116">
        <f t="shared" ref="M195:M200" si="433">+CU195-CS195</f>
        <v>8.902000000000001</v>
      </c>
      <c r="N195" s="223">
        <f t="shared" ref="N195:N201" si="434">CU195</f>
        <v>42.749000000000002</v>
      </c>
      <c r="O195" s="136">
        <f t="shared" ref="O195:O200" si="435">+CV195</f>
        <v>14.643000000000001</v>
      </c>
      <c r="P195" s="135">
        <f t="shared" ref="P195:Q200" si="436">+CW195-CV195</f>
        <v>8.477999999999998</v>
      </c>
      <c r="Q195" s="135">
        <f t="shared" si="436"/>
        <v>19.973000000000003</v>
      </c>
      <c r="R195" s="116">
        <f t="shared" ref="R195:R200" si="437">+CZ195-CX195</f>
        <v>7.911999999999999</v>
      </c>
      <c r="S195" s="223">
        <f t="shared" ref="S195:S201" si="438">CZ195</f>
        <v>51.006</v>
      </c>
      <c r="T195" s="136">
        <f t="shared" ref="T195:T200" si="439">+DA195</f>
        <v>14.878</v>
      </c>
      <c r="U195" s="135">
        <f t="shared" ref="U195:U200" si="440">+DB195-DA195</f>
        <v>5.7420000000000009</v>
      </c>
      <c r="V195" s="135">
        <f t="shared" ref="V195:V200" si="441">+DC195-DB195</f>
        <v>22.2</v>
      </c>
      <c r="W195" s="116">
        <f t="shared" ref="W195:W200" si="442">+DE195-DC195</f>
        <v>7.1310000000000002</v>
      </c>
      <c r="X195" s="223">
        <f t="shared" ref="X195:X201" si="443">DE195</f>
        <v>49.951000000000001</v>
      </c>
      <c r="Y195" s="136">
        <f t="shared" ref="Y195:Y200" si="444">+DF195</f>
        <v>19.684999999999999</v>
      </c>
      <c r="Z195" s="135">
        <f t="shared" ref="Z195:Z200" si="445">+DG195-DF195</f>
        <v>10.544</v>
      </c>
      <c r="AA195" s="135">
        <f t="shared" ref="AA195:AA200" si="446">+DH195-DG195</f>
        <v>22.012999999999998</v>
      </c>
      <c r="AB195" s="116">
        <f t="shared" ref="AB195:AB200" si="447">+DJ195-DH195</f>
        <v>7.2260000000000062</v>
      </c>
      <c r="AC195" s="223">
        <f t="shared" ref="AC195:AC201" si="448">DJ195</f>
        <v>59.468000000000004</v>
      </c>
      <c r="AD195" s="136">
        <f t="shared" ref="AD195:AD200" si="449">+DK195</f>
        <v>24.234999999999999</v>
      </c>
      <c r="AE195" s="135">
        <f t="shared" ref="AE195:AF200" si="450">+DL195-DK195</f>
        <v>12.021999999999998</v>
      </c>
      <c r="AF195" s="135">
        <f t="shared" si="450"/>
        <v>20.03</v>
      </c>
      <c r="AG195" s="116">
        <f t="shared" ref="AG195:AG200" si="451">+DO195-DM195</f>
        <v>14.354999999999997</v>
      </c>
      <c r="AH195" s="223">
        <f t="shared" ref="AH195:AH201" si="452">DO195</f>
        <v>70.641999999999996</v>
      </c>
      <c r="AI195" s="136">
        <f t="shared" ref="AI195:AI200" si="453">+DP195</f>
        <v>22.266999999999999</v>
      </c>
      <c r="AJ195" s="135">
        <f t="shared" ref="AJ195:AJ200" si="454">+DQ195-DP195</f>
        <v>12.512000000000004</v>
      </c>
      <c r="AK195" s="135">
        <f t="shared" ref="AK195:AK200" si="455">+DR195-DQ195</f>
        <v>26.231999999999999</v>
      </c>
      <c r="AL195" s="116">
        <f t="shared" ref="AL195:AL200" si="456">+DT195-DR195</f>
        <v>13.624999999999993</v>
      </c>
      <c r="AM195" s="223">
        <f t="shared" ref="AM195:AM201" si="457">DT195</f>
        <v>74.635999999999996</v>
      </c>
      <c r="AN195" s="136">
        <f t="shared" ref="AN195:AN200" si="458">+DU195</f>
        <v>17.631</v>
      </c>
      <c r="AO195" s="135">
        <f t="shared" ref="AO195:AP200" si="459">+DV195-DU195</f>
        <v>12.625</v>
      </c>
      <c r="AP195" s="135">
        <f t="shared" si="459"/>
        <v>24.220999999999997</v>
      </c>
      <c r="AQ195" s="116">
        <f t="shared" ref="AQ195:AQ200" si="460">+DY195-DW195</f>
        <v>14.658000000000008</v>
      </c>
      <c r="AR195" s="223">
        <f t="shared" ref="AR195:AR201" si="461">DY195</f>
        <v>69.135000000000005</v>
      </c>
      <c r="AS195" s="136">
        <f t="shared" ref="AS195:AS200" si="462">+DZ195</f>
        <v>22.419</v>
      </c>
      <c r="AT195" s="135">
        <f t="shared" ref="AT195:AT197" si="463">+EA195-DZ195</f>
        <v>14.240999999999996</v>
      </c>
      <c r="AU195" s="135">
        <f t="shared" ref="AU195:AU200" si="464">+EB195-EA195</f>
        <v>22.325000000000003</v>
      </c>
      <c r="AV195" s="116">
        <f t="shared" ref="AV195:AV200" si="465">+ED195-EB195</f>
        <v>20.430999999999997</v>
      </c>
      <c r="AW195" s="223">
        <f t="shared" ref="AW195:AW201" si="466">ED195</f>
        <v>79.415999999999997</v>
      </c>
      <c r="AX195" s="136">
        <f>+AX42</f>
        <v>26.270898887430832</v>
      </c>
      <c r="AY195" s="135">
        <f>+AY42</f>
        <v>15.472717799133207</v>
      </c>
      <c r="AZ195" s="135">
        <f>+AZ42</f>
        <v>21.356473925878412</v>
      </c>
      <c r="BA195" s="116">
        <f>+BA42</f>
        <v>22.38893478837705</v>
      </c>
      <c r="BB195" s="82">
        <f>SUM(AX195:BA195)</f>
        <v>85.4890254008195</v>
      </c>
      <c r="BC195" s="136">
        <f>+BC42</f>
        <v>28.115507606072825</v>
      </c>
      <c r="BD195" s="135">
        <f>+BD42</f>
        <v>16.170675921144898</v>
      </c>
      <c r="BE195" s="135">
        <f>+BE42</f>
        <v>21.771803365498638</v>
      </c>
      <c r="BF195" s="116">
        <f>+BF42</f>
        <v>23.344494404020978</v>
      </c>
      <c r="BG195" s="82">
        <f>SUM(BC195:BF195)</f>
        <v>89.402481296737335</v>
      </c>
      <c r="BH195" s="136">
        <f>+BH42</f>
        <v>30.031152322575444</v>
      </c>
      <c r="BI195" s="135">
        <f>+BI42</f>
        <v>17.157791467362344</v>
      </c>
      <c r="BJ195" s="135">
        <f>+BJ42</f>
        <v>22.907660860263427</v>
      </c>
      <c r="BK195" s="116">
        <f>+BK42</f>
        <v>24.982132786038392</v>
      </c>
      <c r="BL195" s="82">
        <f>SUM(BH195:BK195)</f>
        <v>95.078737436239606</v>
      </c>
      <c r="BM195" s="136">
        <f>+BM42</f>
        <v>32.439710158949438</v>
      </c>
      <c r="BN195" s="135">
        <f>+BN42</f>
        <v>18.927112489253926</v>
      </c>
      <c r="BO195" s="135">
        <f>+BO42</f>
        <v>24.624342602951625</v>
      </c>
      <c r="BP195" s="116">
        <f>+BP42</f>
        <v>27.20198727612015</v>
      </c>
      <c r="BQ195" s="82">
        <f>SUM(BM195:BP195)</f>
        <v>103.19315252727515</v>
      </c>
      <c r="BR195" s="220"/>
      <c r="BS195" s="220"/>
      <c r="BT195" s="220"/>
      <c r="BU195" s="220"/>
      <c r="BV195" s="220"/>
      <c r="BW195" s="220"/>
      <c r="BX195" s="220"/>
      <c r="BY195" s="220"/>
      <c r="BZ195" s="220"/>
      <c r="CA195" s="220"/>
      <c r="CB195" s="220"/>
      <c r="CC195" s="220"/>
      <c r="CD195" s="220"/>
      <c r="CE195" s="220"/>
      <c r="CF195" s="220"/>
      <c r="CG195" s="220"/>
      <c r="CH195" s="220"/>
      <c r="CI195" s="220"/>
      <c r="CJ195" s="220"/>
      <c r="CK195" s="220"/>
      <c r="CL195" s="117">
        <v>21.721</v>
      </c>
      <c r="CM195" s="117">
        <v>25.196999999999999</v>
      </c>
      <c r="CN195" s="117">
        <v>38.82</v>
      </c>
      <c r="CO195" s="82">
        <f t="shared" ref="CO195:CO200" si="467">CP195-CN195</f>
        <v>8.5429999999999993</v>
      </c>
      <c r="CP195" s="117">
        <v>47.363</v>
      </c>
      <c r="CQ195" s="117">
        <v>13.544</v>
      </c>
      <c r="CR195" s="117">
        <v>16.222999999999999</v>
      </c>
      <c r="CS195" s="117">
        <v>33.847000000000001</v>
      </c>
      <c r="CT195" s="82">
        <f t="shared" ref="CT195:CT200" si="468">CU195-CS195</f>
        <v>8.902000000000001</v>
      </c>
      <c r="CU195" s="117">
        <v>42.749000000000002</v>
      </c>
      <c r="CV195" s="117">
        <v>14.643000000000001</v>
      </c>
      <c r="CW195" s="117">
        <v>23.120999999999999</v>
      </c>
      <c r="CX195" s="117">
        <v>43.094000000000001</v>
      </c>
      <c r="CY195" s="82">
        <f t="shared" ref="CY195:CY200" si="469">CZ195-CX195</f>
        <v>7.911999999999999</v>
      </c>
      <c r="CZ195" s="117">
        <v>51.006</v>
      </c>
      <c r="DA195" s="117">
        <v>14.878</v>
      </c>
      <c r="DB195" s="117">
        <v>20.62</v>
      </c>
      <c r="DC195" s="117">
        <v>42.82</v>
      </c>
      <c r="DD195" s="82">
        <f t="shared" ref="DD195:DD200" si="470">DE195-DC195</f>
        <v>7.1310000000000002</v>
      </c>
      <c r="DE195" s="117">
        <v>49.951000000000001</v>
      </c>
      <c r="DF195" s="117">
        <v>19.684999999999999</v>
      </c>
      <c r="DG195" s="117">
        <v>30.228999999999999</v>
      </c>
      <c r="DH195" s="117">
        <v>52.241999999999997</v>
      </c>
      <c r="DI195" s="82">
        <f t="shared" ref="DI195:DI200" si="471">DJ195-DH195</f>
        <v>7.2260000000000062</v>
      </c>
      <c r="DJ195" s="117">
        <v>59.468000000000004</v>
      </c>
      <c r="DK195" s="117">
        <v>24.234999999999999</v>
      </c>
      <c r="DL195" s="117">
        <v>36.256999999999998</v>
      </c>
      <c r="DM195" s="117">
        <v>56.286999999999999</v>
      </c>
      <c r="DN195" s="82">
        <f t="shared" ref="DN195:DN200" si="472">DO195-DM195</f>
        <v>14.354999999999997</v>
      </c>
      <c r="DO195" s="117">
        <v>70.641999999999996</v>
      </c>
      <c r="DP195" s="117">
        <v>22.266999999999999</v>
      </c>
      <c r="DQ195" s="117">
        <v>34.779000000000003</v>
      </c>
      <c r="DR195" s="117">
        <v>61.011000000000003</v>
      </c>
      <c r="DS195" s="82">
        <f t="shared" ref="DS195:DS200" si="473">DT195-DR195</f>
        <v>13.624999999999993</v>
      </c>
      <c r="DT195" s="117">
        <v>74.635999999999996</v>
      </c>
      <c r="DU195" s="117">
        <v>17.631</v>
      </c>
      <c r="DV195" s="117">
        <v>30.256</v>
      </c>
      <c r="DW195" s="117">
        <v>54.476999999999997</v>
      </c>
      <c r="DX195" s="82">
        <f t="shared" ref="DX195:DX200" si="474">DY195-DW195</f>
        <v>14.658000000000008</v>
      </c>
      <c r="DY195" s="117">
        <v>69.135000000000005</v>
      </c>
      <c r="DZ195" s="117">
        <v>22.419</v>
      </c>
      <c r="EA195" s="117">
        <v>36.659999999999997</v>
      </c>
      <c r="EB195" s="117">
        <v>58.984999999999999</v>
      </c>
      <c r="EC195" s="82">
        <f t="shared" ref="EC195:EC200" si="475">ED195-EB195</f>
        <v>20.430999999999997</v>
      </c>
      <c r="ED195" s="117">
        <v>79.415999999999997</v>
      </c>
    </row>
    <row r="196" spans="1:134" x14ac:dyDescent="0.2">
      <c r="A196" s="220"/>
      <c r="B196" s="220"/>
      <c r="C196" s="70" t="s">
        <v>178</v>
      </c>
      <c r="D196" s="82"/>
      <c r="E196" s="136">
        <f t="shared" si="427"/>
        <v>16.026</v>
      </c>
      <c r="F196" s="135">
        <f t="shared" si="428"/>
        <v>15.254999999999999</v>
      </c>
      <c r="G196" s="135">
        <f t="shared" si="428"/>
        <v>15.758000000000003</v>
      </c>
      <c r="H196" s="116">
        <f t="shared" si="429"/>
        <v>15.769999999999996</v>
      </c>
      <c r="I196" s="223">
        <f t="shared" si="430"/>
        <v>62.808999999999997</v>
      </c>
      <c r="J196" s="136">
        <f t="shared" si="431"/>
        <v>16.056999999999999</v>
      </c>
      <c r="K196" s="135">
        <f t="shared" si="432"/>
        <v>16.214000000000002</v>
      </c>
      <c r="L196" s="135">
        <f t="shared" si="432"/>
        <v>16.100999999999999</v>
      </c>
      <c r="M196" s="116">
        <f t="shared" si="433"/>
        <v>16.623999999999995</v>
      </c>
      <c r="N196" s="223">
        <f t="shared" si="434"/>
        <v>64.995999999999995</v>
      </c>
      <c r="O196" s="136">
        <f t="shared" si="435"/>
        <v>17.065000000000001</v>
      </c>
      <c r="P196" s="135">
        <f t="shared" si="436"/>
        <v>17.237999999999996</v>
      </c>
      <c r="Q196" s="135">
        <f t="shared" si="436"/>
        <v>17.645000000000003</v>
      </c>
      <c r="R196" s="116">
        <f t="shared" si="437"/>
        <v>17.952000000000005</v>
      </c>
      <c r="S196" s="223">
        <f t="shared" si="438"/>
        <v>69.900000000000006</v>
      </c>
      <c r="T196" s="136">
        <f t="shared" si="439"/>
        <v>17.318999999999999</v>
      </c>
      <c r="U196" s="135">
        <f t="shared" si="440"/>
        <v>17.361000000000001</v>
      </c>
      <c r="V196" s="135">
        <f t="shared" si="441"/>
        <v>17.610999999999997</v>
      </c>
      <c r="W196" s="116">
        <f t="shared" si="442"/>
        <v>18.081000000000003</v>
      </c>
      <c r="X196" s="223">
        <f t="shared" si="443"/>
        <v>70.372</v>
      </c>
      <c r="Y196" s="136">
        <f t="shared" si="444"/>
        <v>19.138999999999999</v>
      </c>
      <c r="Z196" s="135">
        <f t="shared" si="445"/>
        <v>19.337</v>
      </c>
      <c r="AA196" s="135">
        <f t="shared" si="446"/>
        <v>19.649999999999999</v>
      </c>
      <c r="AB196" s="116">
        <f t="shared" si="447"/>
        <v>19.922000000000004</v>
      </c>
      <c r="AC196" s="223">
        <f t="shared" si="448"/>
        <v>78.048000000000002</v>
      </c>
      <c r="AD196" s="136">
        <f t="shared" si="449"/>
        <v>19.59</v>
      </c>
      <c r="AE196" s="135">
        <f t="shared" si="450"/>
        <v>20.163999999999998</v>
      </c>
      <c r="AF196" s="135">
        <f t="shared" si="450"/>
        <v>20.263000000000005</v>
      </c>
      <c r="AG196" s="116">
        <f t="shared" si="451"/>
        <v>20.857999999999997</v>
      </c>
      <c r="AH196" s="223">
        <f t="shared" si="452"/>
        <v>80.875</v>
      </c>
      <c r="AI196" s="136">
        <f t="shared" si="453"/>
        <v>21.681999999999999</v>
      </c>
      <c r="AJ196" s="135">
        <f t="shared" si="454"/>
        <v>22.857000000000003</v>
      </c>
      <c r="AK196" s="135">
        <f t="shared" si="455"/>
        <v>23.397000000000006</v>
      </c>
      <c r="AL196" s="116">
        <f t="shared" si="456"/>
        <v>24.72</v>
      </c>
      <c r="AM196" s="223">
        <f t="shared" si="457"/>
        <v>92.656000000000006</v>
      </c>
      <c r="AN196" s="136">
        <f t="shared" si="458"/>
        <v>24.829000000000001</v>
      </c>
      <c r="AO196" s="135">
        <f t="shared" si="459"/>
        <v>24.1</v>
      </c>
      <c r="AP196" s="135">
        <f t="shared" si="459"/>
        <v>25.084999999999994</v>
      </c>
      <c r="AQ196" s="116">
        <f t="shared" si="460"/>
        <v>25.810000000000002</v>
      </c>
      <c r="AR196" s="223">
        <f t="shared" si="461"/>
        <v>99.823999999999998</v>
      </c>
      <c r="AS196" s="136">
        <f t="shared" si="462"/>
        <v>27.425000000000001</v>
      </c>
      <c r="AT196" s="135">
        <f t="shared" si="463"/>
        <v>28.008999999999997</v>
      </c>
      <c r="AU196" s="135">
        <f t="shared" si="464"/>
        <v>28.363</v>
      </c>
      <c r="AV196" s="116">
        <f t="shared" si="465"/>
        <v>28.953000000000003</v>
      </c>
      <c r="AW196" s="223">
        <f t="shared" si="466"/>
        <v>112.75</v>
      </c>
      <c r="AX196" s="136">
        <f>AX20+(AS196-AS20)</f>
        <v>29.394763467579505</v>
      </c>
      <c r="AY196" s="135">
        <f>AY20+(AT196-AT20)</f>
        <v>29.583273870165701</v>
      </c>
      <c r="AZ196" s="135">
        <f>AZ20+(AU196-AU20)</f>
        <v>30.084356219664972</v>
      </c>
      <c r="BA196" s="116">
        <f>BA20+(AV196-AV20)</f>
        <v>30.58398802957139</v>
      </c>
      <c r="BB196" s="82">
        <f>SUM(AX196:BA196)</f>
        <v>119.64638158698156</v>
      </c>
      <c r="BC196" s="136">
        <f>BC20+(AX196-AX20)</f>
        <v>31.050280748403981</v>
      </c>
      <c r="BD196" s="135">
        <f>BD20+(AY196-AY20)</f>
        <v>31.531344157584826</v>
      </c>
      <c r="BE196" s="135">
        <f>BE20+(AZ196-AZ20)</f>
        <v>32.003286396376112</v>
      </c>
      <c r="BF196" s="116">
        <f>BF20+(BA196-BA20)</f>
        <v>32.474213986444383</v>
      </c>
      <c r="BG196" s="82">
        <f>SUM(BC196:BF196)</f>
        <v>127.0591252888093</v>
      </c>
      <c r="BH196" s="136">
        <f>BH20+(BC196-BC20)</f>
        <v>32.912231856057161</v>
      </c>
      <c r="BI196" s="135">
        <f>BI20+(BD196-BD20)</f>
        <v>33.429754660024372</v>
      </c>
      <c r="BJ196" s="135">
        <f>BJ20+(BE196-BE20)</f>
        <v>33.835903498131934</v>
      </c>
      <c r="BK196" s="116">
        <f>BK20+(BF196-BF20)</f>
        <v>34.2420218547676</v>
      </c>
      <c r="BL196" s="82">
        <f>SUM(BH196:BK196)</f>
        <v>134.41991186898105</v>
      </c>
      <c r="BM196" s="136">
        <f>BM20+(BH196-BH20)</f>
        <v>34.616199936582937</v>
      </c>
      <c r="BN196" s="135">
        <f>BN20+(BI196-BI20)</f>
        <v>34.749281416451964</v>
      </c>
      <c r="BO196" s="135">
        <f>BO20+(BJ196-BJ20)</f>
        <v>35.285276673833494</v>
      </c>
      <c r="BP196" s="116">
        <f>BP20+(BK196-BK20)</f>
        <v>35.819299148658239</v>
      </c>
      <c r="BQ196" s="82">
        <f>SUM(BM196:BP196)</f>
        <v>140.47005717552665</v>
      </c>
      <c r="BR196" s="220"/>
      <c r="BS196" s="220"/>
      <c r="BT196" s="220"/>
      <c r="BU196" s="220"/>
      <c r="BV196" s="220"/>
      <c r="BW196" s="220"/>
      <c r="BX196" s="220"/>
      <c r="BY196" s="220"/>
      <c r="BZ196" s="220"/>
      <c r="CA196" s="220"/>
      <c r="CB196" s="220"/>
      <c r="CC196" s="220"/>
      <c r="CD196" s="220"/>
      <c r="CE196" s="220"/>
      <c r="CF196" s="220"/>
      <c r="CG196" s="220"/>
      <c r="CH196" s="220"/>
      <c r="CI196" s="220"/>
      <c r="CJ196" s="220"/>
      <c r="CK196" s="220"/>
      <c r="CL196" s="117">
        <v>16.026</v>
      </c>
      <c r="CM196" s="117">
        <v>31.280999999999999</v>
      </c>
      <c r="CN196" s="117">
        <v>47.039000000000001</v>
      </c>
      <c r="CO196" s="82">
        <f t="shared" si="467"/>
        <v>15.769999999999996</v>
      </c>
      <c r="CP196" s="117">
        <v>62.808999999999997</v>
      </c>
      <c r="CQ196" s="117">
        <v>16.056999999999999</v>
      </c>
      <c r="CR196" s="117">
        <v>32.271000000000001</v>
      </c>
      <c r="CS196" s="117">
        <v>48.372</v>
      </c>
      <c r="CT196" s="82">
        <f t="shared" si="468"/>
        <v>16.623999999999995</v>
      </c>
      <c r="CU196" s="117">
        <v>64.995999999999995</v>
      </c>
      <c r="CV196" s="117">
        <v>17.065000000000001</v>
      </c>
      <c r="CW196" s="117">
        <v>34.302999999999997</v>
      </c>
      <c r="CX196" s="117">
        <v>51.948</v>
      </c>
      <c r="CY196" s="82">
        <f t="shared" si="469"/>
        <v>17.952000000000005</v>
      </c>
      <c r="CZ196" s="117">
        <v>69.900000000000006</v>
      </c>
      <c r="DA196" s="117">
        <v>17.318999999999999</v>
      </c>
      <c r="DB196" s="117">
        <v>34.68</v>
      </c>
      <c r="DC196" s="117">
        <v>52.290999999999997</v>
      </c>
      <c r="DD196" s="82">
        <f t="shared" si="470"/>
        <v>18.081000000000003</v>
      </c>
      <c r="DE196" s="117">
        <v>70.372</v>
      </c>
      <c r="DF196" s="117">
        <v>19.138999999999999</v>
      </c>
      <c r="DG196" s="117">
        <v>38.475999999999999</v>
      </c>
      <c r="DH196" s="117">
        <v>58.125999999999998</v>
      </c>
      <c r="DI196" s="82">
        <f t="shared" si="471"/>
        <v>19.922000000000004</v>
      </c>
      <c r="DJ196" s="117">
        <v>78.048000000000002</v>
      </c>
      <c r="DK196" s="117">
        <v>19.59</v>
      </c>
      <c r="DL196" s="117">
        <v>39.753999999999998</v>
      </c>
      <c r="DM196" s="117">
        <v>60.017000000000003</v>
      </c>
      <c r="DN196" s="82">
        <f t="shared" si="472"/>
        <v>20.857999999999997</v>
      </c>
      <c r="DO196" s="117">
        <v>80.875</v>
      </c>
      <c r="DP196" s="117">
        <v>21.681999999999999</v>
      </c>
      <c r="DQ196" s="117">
        <v>44.539000000000001</v>
      </c>
      <c r="DR196" s="117">
        <v>67.936000000000007</v>
      </c>
      <c r="DS196" s="82">
        <f t="shared" si="473"/>
        <v>24.72</v>
      </c>
      <c r="DT196" s="117">
        <v>92.656000000000006</v>
      </c>
      <c r="DU196" s="117">
        <v>24.829000000000001</v>
      </c>
      <c r="DV196" s="117">
        <v>48.929000000000002</v>
      </c>
      <c r="DW196" s="117">
        <v>74.013999999999996</v>
      </c>
      <c r="DX196" s="82">
        <f t="shared" si="474"/>
        <v>25.810000000000002</v>
      </c>
      <c r="DY196" s="117">
        <v>99.823999999999998</v>
      </c>
      <c r="DZ196" s="117">
        <v>27.425000000000001</v>
      </c>
      <c r="EA196" s="117">
        <v>55.433999999999997</v>
      </c>
      <c r="EB196" s="117">
        <v>83.796999999999997</v>
      </c>
      <c r="EC196" s="82">
        <f t="shared" si="475"/>
        <v>28.953000000000003</v>
      </c>
      <c r="ED196" s="117">
        <v>112.75</v>
      </c>
    </row>
    <row r="197" spans="1:134" x14ac:dyDescent="0.2">
      <c r="A197" s="220"/>
      <c r="B197" s="220"/>
      <c r="C197" s="70" t="s">
        <v>179</v>
      </c>
      <c r="D197" s="82"/>
      <c r="E197" s="136">
        <f t="shared" si="427"/>
        <v>-0.27100000000000002</v>
      </c>
      <c r="F197" s="135">
        <f t="shared" si="428"/>
        <v>-0.39200000000000002</v>
      </c>
      <c r="G197" s="135">
        <f t="shared" si="428"/>
        <v>-0.45900000000000007</v>
      </c>
      <c r="H197" s="116">
        <f t="shared" si="429"/>
        <v>-0.5149999999999999</v>
      </c>
      <c r="I197" s="223">
        <f t="shared" si="430"/>
        <v>-1.637</v>
      </c>
      <c r="J197" s="136">
        <f t="shared" si="431"/>
        <v>-0.434</v>
      </c>
      <c r="K197" s="135">
        <f t="shared" si="432"/>
        <v>-0.64900000000000002</v>
      </c>
      <c r="L197" s="135">
        <f t="shared" si="432"/>
        <v>-0.63900000000000001</v>
      </c>
      <c r="M197" s="116">
        <f t="shared" si="433"/>
        <v>-0.53100000000000014</v>
      </c>
      <c r="N197" s="223">
        <f t="shared" si="434"/>
        <v>-2.2530000000000001</v>
      </c>
      <c r="O197" s="136">
        <f t="shared" si="435"/>
        <v>-0.106</v>
      </c>
      <c r="P197" s="135">
        <f t="shared" si="436"/>
        <v>-0.30499999999999999</v>
      </c>
      <c r="Q197" s="135">
        <f t="shared" si="436"/>
        <v>-0.28899999999999998</v>
      </c>
      <c r="R197" s="116">
        <f t="shared" si="437"/>
        <v>-0.30699999999999994</v>
      </c>
      <c r="S197" s="223">
        <f t="shared" si="438"/>
        <v>-1.0069999999999999</v>
      </c>
      <c r="T197" s="136">
        <f t="shared" si="439"/>
        <v>-0.999</v>
      </c>
      <c r="U197" s="135">
        <f t="shared" si="440"/>
        <v>-0.76500000000000001</v>
      </c>
      <c r="V197" s="135">
        <f t="shared" si="441"/>
        <v>0.38500000000000001</v>
      </c>
      <c r="W197" s="116">
        <f t="shared" si="442"/>
        <v>-0.72500000000000009</v>
      </c>
      <c r="X197" s="223">
        <f t="shared" si="443"/>
        <v>-2.1040000000000001</v>
      </c>
      <c r="Y197" s="136">
        <f t="shared" si="444"/>
        <v>-0.94599999999999995</v>
      </c>
      <c r="Z197" s="135">
        <f t="shared" si="445"/>
        <v>-0.78</v>
      </c>
      <c r="AA197" s="135">
        <f t="shared" si="446"/>
        <v>-1.0289999999999999</v>
      </c>
      <c r="AB197" s="116">
        <f t="shared" si="447"/>
        <v>-1.5040000000000004</v>
      </c>
      <c r="AC197" s="223">
        <f t="shared" si="448"/>
        <v>-4.2590000000000003</v>
      </c>
      <c r="AD197" s="136">
        <f t="shared" si="449"/>
        <v>-1.5720000000000001</v>
      </c>
      <c r="AE197" s="135">
        <f t="shared" si="450"/>
        <v>-1.7669999999999999</v>
      </c>
      <c r="AF197" s="135">
        <f t="shared" si="450"/>
        <v>-1.5760000000000001</v>
      </c>
      <c r="AG197" s="116">
        <f t="shared" si="451"/>
        <v>-2.1449999999999996</v>
      </c>
      <c r="AH197" s="223">
        <f t="shared" si="452"/>
        <v>-7.06</v>
      </c>
      <c r="AI197" s="136">
        <f t="shared" si="453"/>
        <v>-2.2189999999999999</v>
      </c>
      <c r="AJ197" s="135">
        <f t="shared" si="454"/>
        <v>-1.778</v>
      </c>
      <c r="AK197" s="135">
        <f t="shared" si="455"/>
        <v>-1.9290000000000003</v>
      </c>
      <c r="AL197" s="116">
        <f t="shared" si="456"/>
        <v>-1.327</v>
      </c>
      <c r="AM197" s="223">
        <f t="shared" si="457"/>
        <v>-7.2530000000000001</v>
      </c>
      <c r="AN197" s="136">
        <f t="shared" si="458"/>
        <v>-0.81</v>
      </c>
      <c r="AO197" s="135">
        <f t="shared" si="459"/>
        <v>-0.91799999999999993</v>
      </c>
      <c r="AP197" s="135">
        <f t="shared" si="459"/>
        <v>-1.2409999999999999</v>
      </c>
      <c r="AQ197" s="116">
        <f t="shared" si="460"/>
        <v>-1.3080000000000003</v>
      </c>
      <c r="AR197" s="223">
        <f t="shared" si="461"/>
        <v>-4.2770000000000001</v>
      </c>
      <c r="AS197" s="136">
        <f t="shared" si="462"/>
        <v>-1.2869999999999999</v>
      </c>
      <c r="AT197" s="135">
        <f t="shared" si="463"/>
        <v>-1.7509999999999999</v>
      </c>
      <c r="AU197" s="135">
        <f t="shared" si="464"/>
        <v>-1.7050000000000005</v>
      </c>
      <c r="AV197" s="116">
        <f t="shared" si="465"/>
        <v>-1.9639999999999995</v>
      </c>
      <c r="AW197" s="223">
        <f t="shared" si="466"/>
        <v>-6.7069999999999999</v>
      </c>
      <c r="AX197" s="136">
        <f>+-AX27</f>
        <v>-1.9123113011366495</v>
      </c>
      <c r="AY197" s="135">
        <f>+-AY27</f>
        <v>-1.9123113011366495</v>
      </c>
      <c r="AZ197" s="135">
        <f>+-AZ27</f>
        <v>-1.9123113011366495</v>
      </c>
      <c r="BA197" s="116">
        <f>+-BA27</f>
        <v>-1.9123113011366495</v>
      </c>
      <c r="BB197" s="82">
        <f>SUM(AX197:BA197)</f>
        <v>-7.649245204546598</v>
      </c>
      <c r="BC197" s="136">
        <f>+-BC27</f>
        <v>-1.9123113011366495</v>
      </c>
      <c r="BD197" s="135">
        <f>+-BD27</f>
        <v>-1.9123113011366495</v>
      </c>
      <c r="BE197" s="135">
        <f>+-BE27</f>
        <v>-1.9123113011366495</v>
      </c>
      <c r="BF197" s="116">
        <f>+-BF27</f>
        <v>-1.9123113011366495</v>
      </c>
      <c r="BG197" s="82">
        <f>SUM(BC197:BF197)</f>
        <v>-7.649245204546598</v>
      </c>
      <c r="BH197" s="136">
        <f>+-BH27</f>
        <v>-1.8358188490911833</v>
      </c>
      <c r="BI197" s="135">
        <f>+-BI27</f>
        <v>-1.8358188490911833</v>
      </c>
      <c r="BJ197" s="135">
        <f>+-BJ27</f>
        <v>-1.8358188490911833</v>
      </c>
      <c r="BK197" s="116">
        <f>+-BK27</f>
        <v>-1.8358188490911833</v>
      </c>
      <c r="BL197" s="82">
        <f>SUM(BH197:BK197)</f>
        <v>-7.3432753963647333</v>
      </c>
      <c r="BM197" s="136">
        <f>+-BM27</f>
        <v>-2.1417886572730476</v>
      </c>
      <c r="BN197" s="135">
        <f>+-BN27</f>
        <v>-2.1417886572730476</v>
      </c>
      <c r="BO197" s="135">
        <f>+-BO27</f>
        <v>-2.1417886572730476</v>
      </c>
      <c r="BP197" s="116">
        <f>+-BP27</f>
        <v>-2.1417886572730476</v>
      </c>
      <c r="BQ197" s="82">
        <f>SUM(BM197:BP197)</f>
        <v>-8.5671546290921903</v>
      </c>
      <c r="BR197" s="220"/>
      <c r="BS197" s="220"/>
      <c r="BT197" s="220"/>
      <c r="BU197" s="220"/>
      <c r="BV197" s="220"/>
      <c r="BW197" s="220"/>
      <c r="BX197" s="220"/>
      <c r="BY197" s="220"/>
      <c r="BZ197" s="220"/>
      <c r="CA197" s="220"/>
      <c r="CB197" s="220"/>
      <c r="CC197" s="220"/>
      <c r="CD197" s="220"/>
      <c r="CE197" s="220"/>
      <c r="CF197" s="220"/>
      <c r="CG197" s="220"/>
      <c r="CH197" s="220"/>
      <c r="CI197" s="220"/>
      <c r="CJ197" s="220"/>
      <c r="CK197" s="220"/>
      <c r="CL197" s="117">
        <v>-0.27100000000000002</v>
      </c>
      <c r="CM197" s="117">
        <v>-0.66300000000000003</v>
      </c>
      <c r="CN197" s="117">
        <v>-1.1220000000000001</v>
      </c>
      <c r="CO197" s="82">
        <f t="shared" si="467"/>
        <v>-0.5149999999999999</v>
      </c>
      <c r="CP197" s="117">
        <v>-1.637</v>
      </c>
      <c r="CQ197" s="117">
        <v>-0.434</v>
      </c>
      <c r="CR197" s="117">
        <v>-1.083</v>
      </c>
      <c r="CS197" s="117">
        <v>-1.722</v>
      </c>
      <c r="CT197" s="82">
        <f t="shared" si="468"/>
        <v>-0.53100000000000014</v>
      </c>
      <c r="CU197" s="117">
        <v>-2.2530000000000001</v>
      </c>
      <c r="CV197" s="117">
        <v>-0.106</v>
      </c>
      <c r="CW197" s="117">
        <v>-0.41099999999999998</v>
      </c>
      <c r="CX197" s="117">
        <v>-0.7</v>
      </c>
      <c r="CY197" s="82">
        <f t="shared" si="469"/>
        <v>-0.30699999999999994</v>
      </c>
      <c r="CZ197" s="117">
        <v>-1.0069999999999999</v>
      </c>
      <c r="DA197" s="117">
        <v>-0.999</v>
      </c>
      <c r="DB197" s="117">
        <v>-1.764</v>
      </c>
      <c r="DC197" s="117">
        <v>-1.379</v>
      </c>
      <c r="DD197" s="82">
        <f t="shared" si="470"/>
        <v>-0.72500000000000009</v>
      </c>
      <c r="DE197" s="117">
        <v>-2.1040000000000001</v>
      </c>
      <c r="DF197" s="117">
        <v>-0.94599999999999995</v>
      </c>
      <c r="DG197" s="117">
        <v>-1.726</v>
      </c>
      <c r="DH197" s="117">
        <v>-2.7549999999999999</v>
      </c>
      <c r="DI197" s="82">
        <f t="shared" si="471"/>
        <v>-1.5040000000000004</v>
      </c>
      <c r="DJ197" s="117">
        <v>-4.2590000000000003</v>
      </c>
      <c r="DK197" s="117">
        <v>-1.5720000000000001</v>
      </c>
      <c r="DL197" s="117">
        <v>-3.339</v>
      </c>
      <c r="DM197" s="117">
        <v>-4.915</v>
      </c>
      <c r="DN197" s="82">
        <f t="shared" si="472"/>
        <v>-2.1449999999999996</v>
      </c>
      <c r="DO197" s="117">
        <v>-7.06</v>
      </c>
      <c r="DP197" s="117">
        <v>-2.2189999999999999</v>
      </c>
      <c r="DQ197" s="117">
        <v>-3.9969999999999999</v>
      </c>
      <c r="DR197" s="117">
        <v>-5.9260000000000002</v>
      </c>
      <c r="DS197" s="82">
        <f t="shared" si="473"/>
        <v>-1.327</v>
      </c>
      <c r="DT197" s="117">
        <v>-7.2530000000000001</v>
      </c>
      <c r="DU197" s="117">
        <v>-0.81</v>
      </c>
      <c r="DV197" s="117">
        <v>-1.728</v>
      </c>
      <c r="DW197" s="117">
        <v>-2.9689999999999999</v>
      </c>
      <c r="DX197" s="82">
        <f t="shared" si="474"/>
        <v>-1.3080000000000003</v>
      </c>
      <c r="DY197" s="117">
        <v>-4.2770000000000001</v>
      </c>
      <c r="DZ197" s="117">
        <v>-1.2869999999999999</v>
      </c>
      <c r="EA197" s="117">
        <v>-3.0379999999999998</v>
      </c>
      <c r="EB197" s="117">
        <v>-4.7430000000000003</v>
      </c>
      <c r="EC197" s="82">
        <f t="shared" si="475"/>
        <v>-1.9639999999999995</v>
      </c>
      <c r="ED197" s="117">
        <v>-6.7069999999999999</v>
      </c>
    </row>
    <row r="198" spans="1:134" x14ac:dyDescent="0.2">
      <c r="A198" s="220"/>
      <c r="B198" s="220"/>
      <c r="C198" s="70" t="s">
        <v>180</v>
      </c>
      <c r="D198" s="82"/>
      <c r="E198" s="136">
        <f t="shared" si="427"/>
        <v>1.18</v>
      </c>
      <c r="F198" s="135">
        <f t="shared" si="428"/>
        <v>0.68000000000000016</v>
      </c>
      <c r="G198" s="135">
        <f t="shared" si="428"/>
        <v>0.45199999999999974</v>
      </c>
      <c r="H198" s="116">
        <f t="shared" si="429"/>
        <v>6.4130000000000003</v>
      </c>
      <c r="I198" s="223">
        <f t="shared" si="430"/>
        <v>8.7249999999999996</v>
      </c>
      <c r="J198" s="136">
        <f t="shared" si="431"/>
        <v>3.6480000000000001</v>
      </c>
      <c r="K198" s="135">
        <f t="shared" si="432"/>
        <v>3.5760000000000001</v>
      </c>
      <c r="L198" s="135">
        <f t="shared" si="432"/>
        <v>3.782</v>
      </c>
      <c r="M198" s="116">
        <f t="shared" si="433"/>
        <v>9.7079999999999984</v>
      </c>
      <c r="N198" s="223">
        <f t="shared" si="434"/>
        <v>20.713999999999999</v>
      </c>
      <c r="O198" s="136">
        <f t="shared" si="435"/>
        <v>8.4529999999999994</v>
      </c>
      <c r="P198" s="135">
        <f t="shared" si="436"/>
        <v>6.0410000000000004</v>
      </c>
      <c r="Q198" s="135">
        <f t="shared" si="436"/>
        <v>14.506</v>
      </c>
      <c r="R198" s="116">
        <f t="shared" si="437"/>
        <v>6.6099999999999994</v>
      </c>
      <c r="S198" s="223">
        <f t="shared" si="438"/>
        <v>35.61</v>
      </c>
      <c r="T198" s="136">
        <f t="shared" si="439"/>
        <v>5.3040000000000003</v>
      </c>
      <c r="U198" s="135">
        <f t="shared" si="440"/>
        <v>9.3339999999999996</v>
      </c>
      <c r="V198" s="135">
        <f t="shared" si="441"/>
        <v>4.9659999999999993</v>
      </c>
      <c r="W198" s="116">
        <f t="shared" si="442"/>
        <v>7.5030000000000001</v>
      </c>
      <c r="X198" s="223">
        <f t="shared" si="443"/>
        <v>27.106999999999999</v>
      </c>
      <c r="Y198" s="136">
        <f t="shared" si="444"/>
        <v>7.1360000000000001</v>
      </c>
      <c r="Z198" s="135">
        <f t="shared" si="445"/>
        <v>8.2710000000000008</v>
      </c>
      <c r="AA198" s="135">
        <f t="shared" si="446"/>
        <v>4.0839999999999996</v>
      </c>
      <c r="AB198" s="116">
        <f t="shared" si="447"/>
        <v>6.2980000000000018</v>
      </c>
      <c r="AC198" s="223">
        <f t="shared" si="448"/>
        <v>25.789000000000001</v>
      </c>
      <c r="AD198" s="136">
        <f t="shared" si="449"/>
        <v>10.069000000000001</v>
      </c>
      <c r="AE198" s="135">
        <f t="shared" si="450"/>
        <v>6.8079999999999981</v>
      </c>
      <c r="AF198" s="135">
        <f t="shared" si="450"/>
        <v>11.814</v>
      </c>
      <c r="AG198" s="116">
        <f t="shared" si="451"/>
        <v>16.705000000000002</v>
      </c>
      <c r="AH198" s="223">
        <f t="shared" si="452"/>
        <v>45.396000000000001</v>
      </c>
      <c r="AI198" s="136">
        <f t="shared" si="453"/>
        <v>8.2409999999999997</v>
      </c>
      <c r="AJ198" s="135">
        <f t="shared" si="454"/>
        <v>11.978000000000002</v>
      </c>
      <c r="AK198" s="135">
        <f t="shared" si="455"/>
        <v>18.375999999999998</v>
      </c>
      <c r="AL198" s="116">
        <f t="shared" si="456"/>
        <v>7.2379999999999995</v>
      </c>
      <c r="AM198" s="223">
        <f t="shared" si="457"/>
        <v>45.832999999999998</v>
      </c>
      <c r="AN198" s="136">
        <f t="shared" si="458"/>
        <v>5.2839999999999998</v>
      </c>
      <c r="AO198" s="135">
        <f>+DV198-DU198</f>
        <v>9.9039999999999999</v>
      </c>
      <c r="AP198" s="135">
        <f t="shared" si="459"/>
        <v>12.580999999999998</v>
      </c>
      <c r="AQ198" s="116">
        <f t="shared" si="460"/>
        <v>9.5990000000000038</v>
      </c>
      <c r="AR198" s="223">
        <f t="shared" si="461"/>
        <v>37.368000000000002</v>
      </c>
      <c r="AS198" s="136">
        <f t="shared" si="462"/>
        <v>11.348000000000001</v>
      </c>
      <c r="AT198" s="135">
        <f>+EA198-DZ198</f>
        <v>11.24</v>
      </c>
      <c r="AU198" s="135">
        <f t="shared" si="464"/>
        <v>14.637999999999998</v>
      </c>
      <c r="AV198" s="116">
        <f t="shared" si="465"/>
        <v>8.3310000000000031</v>
      </c>
      <c r="AW198" s="223">
        <f t="shared" si="466"/>
        <v>45.557000000000002</v>
      </c>
      <c r="AX198" s="136">
        <f>AX40</f>
        <v>8.5584226654547138</v>
      </c>
      <c r="AY198" s="135">
        <f>AY40</f>
        <v>4.7644671479447362</v>
      </c>
      <c r="AZ198" s="135">
        <f>AZ40</f>
        <v>6.8317328140984577</v>
      </c>
      <c r="BA198" s="116">
        <f>BA40</f>
        <v>7.1944893333546913</v>
      </c>
      <c r="BB198" s="34">
        <f>SUM(AX198:BA198)</f>
        <v>27.3491119608526</v>
      </c>
      <c r="BC198" s="136">
        <f>BC40</f>
        <v>9.2065284314640632</v>
      </c>
      <c r="BD198" s="135">
        <f>BD40</f>
        <v>5.0096956773001962</v>
      </c>
      <c r="BE198" s="135">
        <f>BE40</f>
        <v>6.9776593739650226</v>
      </c>
      <c r="BF198" s="116">
        <f>BF40</f>
        <v>7.530226495608046</v>
      </c>
      <c r="BG198" s="34">
        <f>SUM(BC198:BF198)</f>
        <v>28.724109978337324</v>
      </c>
      <c r="BH198" s="136">
        <f>BH40</f>
        <v>9.906468517710687</v>
      </c>
      <c r="BI198" s="135">
        <f>BI40</f>
        <v>5.3833957847979761</v>
      </c>
      <c r="BJ198" s="135">
        <f>BJ40</f>
        <v>7.4036201660875456</v>
      </c>
      <c r="BK198" s="116">
        <f>BK40</f>
        <v>8.1324886805490078</v>
      </c>
      <c r="BL198" s="34">
        <f>SUM(BH198:BK198)</f>
        <v>30.82597314914522</v>
      </c>
      <c r="BM198" s="136">
        <f>BM40</f>
        <v>10.645215662751166</v>
      </c>
      <c r="BN198" s="135">
        <f>BN40</f>
        <v>5.8975462112365244</v>
      </c>
      <c r="BO198" s="135">
        <f>BO40</f>
        <v>7.8992757106438249</v>
      </c>
      <c r="BP198" s="116">
        <f>BP40</f>
        <v>8.8049346498651264</v>
      </c>
      <c r="BQ198" s="34">
        <f>SUM(BM198:BP198)</f>
        <v>33.246972234496639</v>
      </c>
      <c r="BR198" s="220"/>
      <c r="BS198" s="220"/>
      <c r="BT198" s="220"/>
      <c r="BU198" s="220"/>
      <c r="BV198" s="220"/>
      <c r="BW198" s="220"/>
      <c r="BX198" s="220"/>
      <c r="BY198" s="220"/>
      <c r="BZ198" s="220"/>
      <c r="CA198" s="220"/>
      <c r="CB198" s="220"/>
      <c r="CC198" s="220"/>
      <c r="CD198" s="220"/>
      <c r="CE198" s="220"/>
      <c r="CF198" s="220"/>
      <c r="CG198" s="220"/>
      <c r="CH198" s="220"/>
      <c r="CI198" s="220"/>
      <c r="CJ198" s="220"/>
      <c r="CK198" s="220"/>
      <c r="CL198" s="117">
        <v>1.18</v>
      </c>
      <c r="CM198" s="117">
        <v>1.86</v>
      </c>
      <c r="CN198" s="117">
        <v>2.3119999999999998</v>
      </c>
      <c r="CO198" s="82">
        <f t="shared" si="467"/>
        <v>6.4130000000000003</v>
      </c>
      <c r="CP198" s="117">
        <v>8.7249999999999996</v>
      </c>
      <c r="CQ198" s="117">
        <v>3.6480000000000001</v>
      </c>
      <c r="CR198" s="117">
        <v>7.2240000000000002</v>
      </c>
      <c r="CS198" s="117">
        <v>11.006</v>
      </c>
      <c r="CT198" s="82">
        <f t="shared" si="468"/>
        <v>9.7079999999999984</v>
      </c>
      <c r="CU198" s="117">
        <v>20.713999999999999</v>
      </c>
      <c r="CV198" s="117">
        <v>8.4529999999999994</v>
      </c>
      <c r="CW198" s="117">
        <v>14.494</v>
      </c>
      <c r="CX198" s="117">
        <v>29</v>
      </c>
      <c r="CY198" s="82">
        <f t="shared" si="469"/>
        <v>6.6099999999999994</v>
      </c>
      <c r="CZ198" s="117">
        <v>35.61</v>
      </c>
      <c r="DA198" s="117">
        <v>5.3040000000000003</v>
      </c>
      <c r="DB198" s="117">
        <v>14.638</v>
      </c>
      <c r="DC198" s="117">
        <v>19.603999999999999</v>
      </c>
      <c r="DD198" s="82">
        <f t="shared" si="470"/>
        <v>7.5030000000000001</v>
      </c>
      <c r="DE198" s="117">
        <v>27.106999999999999</v>
      </c>
      <c r="DF198" s="117">
        <v>7.1360000000000001</v>
      </c>
      <c r="DG198" s="117">
        <v>15.407</v>
      </c>
      <c r="DH198" s="117">
        <v>19.491</v>
      </c>
      <c r="DI198" s="82">
        <f t="shared" si="471"/>
        <v>6.2980000000000018</v>
      </c>
      <c r="DJ198" s="117">
        <v>25.789000000000001</v>
      </c>
      <c r="DK198" s="117">
        <v>10.069000000000001</v>
      </c>
      <c r="DL198" s="117">
        <v>16.876999999999999</v>
      </c>
      <c r="DM198" s="117">
        <v>28.690999999999999</v>
      </c>
      <c r="DN198" s="82">
        <f t="shared" si="472"/>
        <v>16.705000000000002</v>
      </c>
      <c r="DO198" s="117">
        <v>45.396000000000001</v>
      </c>
      <c r="DP198" s="117">
        <v>8.2409999999999997</v>
      </c>
      <c r="DQ198" s="117">
        <v>20.219000000000001</v>
      </c>
      <c r="DR198" s="117">
        <v>38.594999999999999</v>
      </c>
      <c r="DS198" s="82">
        <f t="shared" si="473"/>
        <v>7.2379999999999995</v>
      </c>
      <c r="DT198" s="117">
        <v>45.832999999999998</v>
      </c>
      <c r="DU198" s="117">
        <v>5.2839999999999998</v>
      </c>
      <c r="DV198" s="117">
        <v>15.188000000000001</v>
      </c>
      <c r="DW198" s="117">
        <v>27.768999999999998</v>
      </c>
      <c r="DX198" s="82">
        <f t="shared" si="474"/>
        <v>9.5990000000000038</v>
      </c>
      <c r="DY198" s="117">
        <v>37.368000000000002</v>
      </c>
      <c r="DZ198" s="117">
        <v>11.348000000000001</v>
      </c>
      <c r="EA198" s="117">
        <v>22.588000000000001</v>
      </c>
      <c r="EB198" s="117">
        <v>37.225999999999999</v>
      </c>
      <c r="EC198" s="82">
        <f t="shared" si="475"/>
        <v>8.3310000000000031</v>
      </c>
      <c r="ED198" s="117">
        <v>45.557000000000002</v>
      </c>
    </row>
    <row r="199" spans="1:134" x14ac:dyDescent="0.2">
      <c r="A199" s="220"/>
      <c r="B199" s="220"/>
      <c r="C199" s="70" t="s">
        <v>97</v>
      </c>
      <c r="D199" s="82"/>
      <c r="E199" s="136">
        <f t="shared" si="427"/>
        <v>0.89100000000000001</v>
      </c>
      <c r="F199" s="135">
        <f t="shared" si="428"/>
        <v>-0.12399999999999989</v>
      </c>
      <c r="G199" s="135">
        <f t="shared" si="428"/>
        <v>-0.125</v>
      </c>
      <c r="H199" s="116">
        <f t="shared" si="429"/>
        <v>4.3729999999999993</v>
      </c>
      <c r="I199" s="223">
        <f t="shared" si="430"/>
        <v>5.0149999999999997</v>
      </c>
      <c r="J199" s="136">
        <f t="shared" si="431"/>
        <v>-0.125</v>
      </c>
      <c r="K199" s="135">
        <f t="shared" si="432"/>
        <v>-0.124</v>
      </c>
      <c r="L199" s="135">
        <f t="shared" si="432"/>
        <v>-0.124</v>
      </c>
      <c r="M199" s="116">
        <f t="shared" si="433"/>
        <v>3.1720000000000006</v>
      </c>
      <c r="N199" s="223">
        <f t="shared" si="434"/>
        <v>2.7990000000000004</v>
      </c>
      <c r="O199" s="136">
        <f t="shared" si="435"/>
        <v>-0.123</v>
      </c>
      <c r="P199" s="135">
        <f t="shared" si="436"/>
        <v>-0.121</v>
      </c>
      <c r="Q199" s="135">
        <f t="shared" si="436"/>
        <v>-0.121</v>
      </c>
      <c r="R199" s="116">
        <f t="shared" si="437"/>
        <v>3.7229999999999999</v>
      </c>
      <c r="S199" s="223">
        <f t="shared" si="438"/>
        <v>3.3579999999999997</v>
      </c>
      <c r="T199" s="136">
        <f t="shared" si="439"/>
        <v>-0.125</v>
      </c>
      <c r="U199" s="135">
        <f t="shared" si="440"/>
        <v>-0.124</v>
      </c>
      <c r="V199" s="135">
        <f t="shared" si="441"/>
        <v>-0.125</v>
      </c>
      <c r="W199" s="116">
        <f t="shared" si="442"/>
        <v>3.2040000000000002</v>
      </c>
      <c r="X199" s="223">
        <f t="shared" si="443"/>
        <v>2.83</v>
      </c>
      <c r="Y199" s="136">
        <f t="shared" si="444"/>
        <v>-0.13500000000000001</v>
      </c>
      <c r="Z199" s="135">
        <f t="shared" si="445"/>
        <v>-0.54099999999999993</v>
      </c>
      <c r="AA199" s="135">
        <f t="shared" si="446"/>
        <v>-0.48199999999999998</v>
      </c>
      <c r="AB199" s="116">
        <f t="shared" si="447"/>
        <v>4.2029999999999994</v>
      </c>
      <c r="AC199" s="223">
        <f t="shared" si="448"/>
        <v>3.0449999999999999</v>
      </c>
      <c r="AD199" s="136">
        <f t="shared" si="449"/>
        <v>0.26900000000000002</v>
      </c>
      <c r="AE199" s="135">
        <f t="shared" si="450"/>
        <v>-0.49800000000000005</v>
      </c>
      <c r="AF199" s="135">
        <f t="shared" si="450"/>
        <v>-0.63100000000000001</v>
      </c>
      <c r="AG199" s="116">
        <f t="shared" si="451"/>
        <v>4.774</v>
      </c>
      <c r="AH199" s="223">
        <f t="shared" si="452"/>
        <v>3.9139999999999997</v>
      </c>
      <c r="AI199" s="136">
        <f t="shared" si="453"/>
        <v>5.6590000000000007</v>
      </c>
      <c r="AJ199" s="135">
        <f t="shared" si="454"/>
        <v>-0.10000000000000053</v>
      </c>
      <c r="AK199" s="135">
        <f t="shared" si="455"/>
        <v>-0.37999999999999989</v>
      </c>
      <c r="AL199" s="116">
        <f t="shared" si="456"/>
        <v>3.9589999999999979</v>
      </c>
      <c r="AM199" s="223">
        <f t="shared" si="457"/>
        <v>9.1379999999999981</v>
      </c>
      <c r="AN199" s="136">
        <f t="shared" si="458"/>
        <v>6.8000000000000005E-2</v>
      </c>
      <c r="AO199" s="135">
        <f t="shared" si="459"/>
        <v>-0.19400000000000001</v>
      </c>
      <c r="AP199" s="135">
        <f t="shared" si="459"/>
        <v>-0.15800000000000003</v>
      </c>
      <c r="AQ199" s="116">
        <f t="shared" si="460"/>
        <v>3.0279999999999996</v>
      </c>
      <c r="AR199" s="223">
        <f t="shared" si="461"/>
        <v>2.7439999999999998</v>
      </c>
      <c r="AS199" s="136">
        <f t="shared" si="462"/>
        <v>3.5000000000000003E-2</v>
      </c>
      <c r="AT199" s="135">
        <f t="shared" ref="AT199:AT200" si="476">+EA199-DZ199</f>
        <v>-1.6869999999999998</v>
      </c>
      <c r="AU199" s="135">
        <f t="shared" si="464"/>
        <v>-0.16100000000000003</v>
      </c>
      <c r="AV199" s="116">
        <f t="shared" si="465"/>
        <v>3.7</v>
      </c>
      <c r="AW199" s="223">
        <f t="shared" si="466"/>
        <v>1.8870000000000005</v>
      </c>
      <c r="AX199" s="136">
        <f>+BB199/4</f>
        <v>0</v>
      </c>
      <c r="AY199" s="135">
        <f>(BB199-SUM(AX199:AX199))/3</f>
        <v>0</v>
      </c>
      <c r="AZ199" s="135">
        <f>(BB199-SUM(AX199:AY199))/2</f>
        <v>0</v>
      </c>
      <c r="BA199" s="116">
        <f>(BB199-SUM(AX199:AZ199))/1</f>
        <v>0</v>
      </c>
      <c r="BB199" s="34">
        <v>0</v>
      </c>
      <c r="BC199" s="136">
        <f>+BG199/4</f>
        <v>0</v>
      </c>
      <c r="BD199" s="135">
        <f>(BG199-SUM(BC199:BC199))/3</f>
        <v>0</v>
      </c>
      <c r="BE199" s="135">
        <f>(BG199-SUM(BC199:BD199))/2</f>
        <v>0</v>
      </c>
      <c r="BF199" s="116">
        <f>(BG199-SUM(BC199:BE199))/1</f>
        <v>0</v>
      </c>
      <c r="BG199" s="34">
        <v>0</v>
      </c>
      <c r="BH199" s="136">
        <f>+BL199/4</f>
        <v>0</v>
      </c>
      <c r="BI199" s="135">
        <f>(BL199-SUM(BH199:BH199))/3</f>
        <v>0</v>
      </c>
      <c r="BJ199" s="135">
        <f>(BL199-SUM(BH199:BI199))/2</f>
        <v>0</v>
      </c>
      <c r="BK199" s="116">
        <f>(BL199-SUM(BH199:BJ199))/1</f>
        <v>0</v>
      </c>
      <c r="BL199" s="34">
        <v>0</v>
      </c>
      <c r="BM199" s="136">
        <f>+BQ199/4</f>
        <v>0</v>
      </c>
      <c r="BN199" s="135">
        <f>(BQ199-SUM(BM199:BM199))/3</f>
        <v>0</v>
      </c>
      <c r="BO199" s="135">
        <f>(BQ199-SUM(BM199:BN199))/2</f>
        <v>0</v>
      </c>
      <c r="BP199" s="116">
        <f>(BQ199-SUM(BM199:BO199))/1</f>
        <v>0</v>
      </c>
      <c r="BQ199" s="34">
        <v>0</v>
      </c>
      <c r="BR199" s="220"/>
      <c r="BS199" s="220"/>
      <c r="BT199" s="220"/>
      <c r="BU199" s="220"/>
      <c r="BV199" s="220"/>
      <c r="BW199" s="220"/>
      <c r="BX199" s="220"/>
      <c r="BY199" s="220"/>
      <c r="BZ199" s="220"/>
      <c r="CA199" s="220"/>
      <c r="CB199" s="220"/>
      <c r="CC199" s="220"/>
      <c r="CD199" s="220"/>
      <c r="CE199" s="220"/>
      <c r="CF199" s="220"/>
      <c r="CG199" s="220"/>
      <c r="CH199" s="220"/>
      <c r="CI199" s="220"/>
      <c r="CJ199" s="220"/>
      <c r="CK199" s="220"/>
      <c r="CL199" s="117">
        <f>-0.157+1.048</f>
        <v>0.89100000000000001</v>
      </c>
      <c r="CM199" s="117">
        <f>-0.313+1.08</f>
        <v>0.76700000000000013</v>
      </c>
      <c r="CN199" s="117">
        <f>-0.47+1.112</f>
        <v>0.64200000000000013</v>
      </c>
      <c r="CO199" s="82">
        <f t="shared" si="467"/>
        <v>4.3729999999999993</v>
      </c>
      <c r="CP199" s="117">
        <f>-0.634+4.505+1.144</f>
        <v>5.0149999999999997</v>
      </c>
      <c r="CQ199" s="117">
        <f>-0.156+0.031</f>
        <v>-0.125</v>
      </c>
      <c r="CR199" s="117">
        <f>-0.312+0.063</f>
        <v>-0.249</v>
      </c>
      <c r="CS199" s="117">
        <f>-0.468+0.095</f>
        <v>-0.373</v>
      </c>
      <c r="CT199" s="82">
        <f t="shared" si="468"/>
        <v>3.1720000000000006</v>
      </c>
      <c r="CU199" s="117">
        <f>-0.622+3.294+0.127</f>
        <v>2.7990000000000004</v>
      </c>
      <c r="CV199" s="117">
        <f>-0.154+0.031</f>
        <v>-0.123</v>
      </c>
      <c r="CW199" s="117">
        <f>-0.307+0.063</f>
        <v>-0.24399999999999999</v>
      </c>
      <c r="CX199" s="117">
        <f>-0.46+0.095</f>
        <v>-0.36499999999999999</v>
      </c>
      <c r="CY199" s="82">
        <f t="shared" si="469"/>
        <v>3.7229999999999999</v>
      </c>
      <c r="CZ199" s="117">
        <f>-0.611+3.842+0.127</f>
        <v>3.3579999999999997</v>
      </c>
      <c r="DA199" s="117">
        <f>-0.157+0.032</f>
        <v>-0.125</v>
      </c>
      <c r="DB199" s="117">
        <f>-0.312+0.063</f>
        <v>-0.249</v>
      </c>
      <c r="DC199" s="117">
        <f>-0.469+0.095</f>
        <v>-0.374</v>
      </c>
      <c r="DD199" s="82">
        <f t="shared" si="470"/>
        <v>3.2040000000000002</v>
      </c>
      <c r="DE199" s="117">
        <f>-0.626+3.329+0.127</f>
        <v>2.83</v>
      </c>
      <c r="DF199" s="117">
        <f>-0.166+0.031</f>
        <v>-0.13500000000000001</v>
      </c>
      <c r="DG199" s="117">
        <f>-0.332-0.344</f>
        <v>-0.67599999999999993</v>
      </c>
      <c r="DH199" s="117">
        <f>-0.5-0.658</f>
        <v>-1.1579999999999999</v>
      </c>
      <c r="DI199" s="82">
        <f t="shared" si="471"/>
        <v>4.2029999999999994</v>
      </c>
      <c r="DJ199" s="117">
        <f>-0.664+3.988-0.279</f>
        <v>3.0449999999999999</v>
      </c>
      <c r="DK199" s="117">
        <f>-0.168+0.437</f>
        <v>0.26900000000000002</v>
      </c>
      <c r="DL199" s="117">
        <f>-0.337+0.108</f>
        <v>-0.22900000000000004</v>
      </c>
      <c r="DM199" s="117">
        <f>-0.504-0.356</f>
        <v>-0.86</v>
      </c>
      <c r="DN199" s="82">
        <f t="shared" si="472"/>
        <v>4.774</v>
      </c>
      <c r="DO199" s="117">
        <f>-0.527+4.431+0.01</f>
        <v>3.9139999999999997</v>
      </c>
      <c r="DP199" s="117">
        <f>-0.132+5.237+0.554</f>
        <v>5.6590000000000007</v>
      </c>
      <c r="DQ199" s="117">
        <f>-0.264+5.237+0.586</f>
        <v>5.5590000000000002</v>
      </c>
      <c r="DR199" s="117">
        <f>-0.396+0.338+5.237</f>
        <v>5.1790000000000003</v>
      </c>
      <c r="DS199" s="82">
        <f t="shared" si="473"/>
        <v>3.9589999999999979</v>
      </c>
      <c r="DT199" s="117">
        <f>-0.528+5.237+3.947+0.482</f>
        <v>9.1379999999999981</v>
      </c>
      <c r="DU199" s="117">
        <f>-0.132+0.2</f>
        <v>6.8000000000000005E-2</v>
      </c>
      <c r="DV199" s="117">
        <f>-0.264+0.138</f>
        <v>-0.126</v>
      </c>
      <c r="DW199" s="117">
        <f>-0.396+0.112</f>
        <v>-0.28400000000000003</v>
      </c>
      <c r="DX199" s="82">
        <f t="shared" si="474"/>
        <v>3.0279999999999996</v>
      </c>
      <c r="DY199" s="117">
        <f>-0.523+3.73+0.16-0.623</f>
        <v>2.7439999999999998</v>
      </c>
      <c r="DZ199" s="117">
        <f>-0.131+0.166</f>
        <v>3.5000000000000003E-2</v>
      </c>
      <c r="EA199" s="117">
        <f>-0.262+0.115-1.505</f>
        <v>-1.6519999999999999</v>
      </c>
      <c r="EB199" s="117">
        <f>-0.392+0.082-1.503</f>
        <v>-1.8129999999999999</v>
      </c>
      <c r="EC199" s="82">
        <f t="shared" si="475"/>
        <v>3.7</v>
      </c>
      <c r="ED199" s="117">
        <f>-0.523+4.105+0.128-1.823</f>
        <v>1.8870000000000005</v>
      </c>
    </row>
    <row r="200" spans="1:134" x14ac:dyDescent="0.2">
      <c r="A200" s="220"/>
      <c r="B200" s="220"/>
      <c r="C200" s="70" t="s">
        <v>181</v>
      </c>
      <c r="D200" s="82"/>
      <c r="E200" s="136">
        <f t="shared" si="427"/>
        <v>23.102</v>
      </c>
      <c r="F200" s="135">
        <f t="shared" si="428"/>
        <v>15.276999999999997</v>
      </c>
      <c r="G200" s="135">
        <f t="shared" si="428"/>
        <v>7.0080000000000098</v>
      </c>
      <c r="H200" s="116">
        <f t="shared" si="429"/>
        <v>-35.817000000000007</v>
      </c>
      <c r="I200" s="223">
        <f t="shared" si="430"/>
        <v>9.5699999999999967</v>
      </c>
      <c r="J200" s="136">
        <f t="shared" si="431"/>
        <v>37.231000000000002</v>
      </c>
      <c r="K200" s="135">
        <f t="shared" si="432"/>
        <v>-9.1370000000000076</v>
      </c>
      <c r="L200" s="135">
        <f t="shared" si="432"/>
        <v>3.0620000000000118</v>
      </c>
      <c r="M200" s="116">
        <f t="shared" si="433"/>
        <v>-18.303000000000004</v>
      </c>
      <c r="N200" s="223">
        <f t="shared" si="434"/>
        <v>12.853</v>
      </c>
      <c r="O200" s="136">
        <f t="shared" si="435"/>
        <v>-1.1529999999999996</v>
      </c>
      <c r="P200" s="135">
        <f t="shared" si="436"/>
        <v>1.4729999999999999</v>
      </c>
      <c r="Q200" s="135">
        <f t="shared" si="436"/>
        <v>-2.3390000000000013</v>
      </c>
      <c r="R200" s="116">
        <f t="shared" si="437"/>
        <v>-17.547999999999998</v>
      </c>
      <c r="S200" s="223">
        <f t="shared" si="438"/>
        <v>-19.567</v>
      </c>
      <c r="T200" s="136">
        <f t="shared" si="439"/>
        <v>9.4009999999999962</v>
      </c>
      <c r="U200" s="135">
        <f t="shared" si="440"/>
        <v>-6.6989999999999998</v>
      </c>
      <c r="V200" s="135">
        <f t="shared" si="441"/>
        <v>2.4800000000000035</v>
      </c>
      <c r="W200" s="116">
        <f t="shared" si="442"/>
        <v>-17.064999999999998</v>
      </c>
      <c r="X200" s="223">
        <f t="shared" si="443"/>
        <v>-11.882999999999997</v>
      </c>
      <c r="Y200" s="136">
        <f t="shared" si="444"/>
        <v>-0.90899999999999959</v>
      </c>
      <c r="Z200" s="135">
        <f t="shared" si="445"/>
        <v>3.4800000000000013</v>
      </c>
      <c r="AA200" s="135">
        <f t="shared" si="446"/>
        <v>9.3370000000000015</v>
      </c>
      <c r="AB200" s="116">
        <f t="shared" si="447"/>
        <v>-36.426000000000002</v>
      </c>
      <c r="AC200" s="223">
        <f t="shared" si="448"/>
        <v>-24.518000000000001</v>
      </c>
      <c r="AD200" s="136">
        <f t="shared" si="449"/>
        <v>3.6250000000000022</v>
      </c>
      <c r="AE200" s="135">
        <f t="shared" si="450"/>
        <v>-18.663</v>
      </c>
      <c r="AF200" s="135">
        <f t="shared" si="450"/>
        <v>-8.0870000000000086</v>
      </c>
      <c r="AG200" s="116">
        <f t="shared" si="451"/>
        <v>-27.461999999999996</v>
      </c>
      <c r="AH200" s="223">
        <f t="shared" si="452"/>
        <v>-50.587000000000003</v>
      </c>
      <c r="AI200" s="136">
        <f t="shared" si="453"/>
        <v>9.7470000000000017</v>
      </c>
      <c r="AJ200" s="135">
        <f t="shared" si="454"/>
        <v>30.666999999999994</v>
      </c>
      <c r="AK200" s="135">
        <f t="shared" si="455"/>
        <v>-36.774999999999991</v>
      </c>
      <c r="AL200" s="116">
        <f t="shared" si="456"/>
        <v>-19.283000000000008</v>
      </c>
      <c r="AM200" s="223">
        <f t="shared" si="457"/>
        <v>-15.644000000000004</v>
      </c>
      <c r="AN200" s="136">
        <f t="shared" si="458"/>
        <v>18.481999999999999</v>
      </c>
      <c r="AO200" s="135">
        <f t="shared" si="459"/>
        <v>6.3120000000000012</v>
      </c>
      <c r="AP200" s="135">
        <f t="shared" si="459"/>
        <v>0.35699999999999932</v>
      </c>
      <c r="AQ200" s="116">
        <f t="shared" si="460"/>
        <v>-29.213000000000001</v>
      </c>
      <c r="AR200" s="223">
        <f t="shared" si="461"/>
        <v>-4.0620000000000012</v>
      </c>
      <c r="AS200" s="136">
        <f t="shared" si="462"/>
        <v>12.582999999999998</v>
      </c>
      <c r="AT200" s="135">
        <f t="shared" si="476"/>
        <v>5.3679999999999986</v>
      </c>
      <c r="AU200" s="135">
        <f t="shared" si="464"/>
        <v>-42.526999999999994</v>
      </c>
      <c r="AV200" s="116">
        <f t="shared" si="465"/>
        <v>-28.590000000000007</v>
      </c>
      <c r="AW200" s="223">
        <f t="shared" si="466"/>
        <v>-53.166000000000004</v>
      </c>
      <c r="AX200" s="136">
        <f>+BB200/4</f>
        <v>0</v>
      </c>
      <c r="AY200" s="135">
        <f>(BB200-SUM(AX200:AX200))/3</f>
        <v>0</v>
      </c>
      <c r="AZ200" s="135">
        <f>(BB200-SUM(AX200:AY200))/2</f>
        <v>0</v>
      </c>
      <c r="BA200" s="116">
        <f>(BB200-SUM(AX200:AZ200))/1</f>
        <v>0</v>
      </c>
      <c r="BB200" s="34">
        <v>0</v>
      </c>
      <c r="BC200" s="136">
        <f>+BG200/4</f>
        <v>0</v>
      </c>
      <c r="BD200" s="135">
        <f>(BG200-SUM(BC200:BC200))/3</f>
        <v>0</v>
      </c>
      <c r="BE200" s="135">
        <f>(BG200-SUM(BC200:BD200))/2</f>
        <v>0</v>
      </c>
      <c r="BF200" s="116">
        <f>(BG200-SUM(BC200:BE200))/1</f>
        <v>0</v>
      </c>
      <c r="BG200" s="34">
        <v>0</v>
      </c>
      <c r="BH200" s="136">
        <f>+BL200/4</f>
        <v>0</v>
      </c>
      <c r="BI200" s="135">
        <f>(BL200-SUM(BH200:BH200))/3</f>
        <v>0</v>
      </c>
      <c r="BJ200" s="135">
        <f>(BL200-SUM(BH200:BI200))/2</f>
        <v>0</v>
      </c>
      <c r="BK200" s="116">
        <f>(BL200-SUM(BH200:BJ200))/1</f>
        <v>0</v>
      </c>
      <c r="BL200" s="34">
        <v>0</v>
      </c>
      <c r="BM200" s="136">
        <f>+BQ200/4</f>
        <v>0</v>
      </c>
      <c r="BN200" s="135">
        <f>(BQ200-SUM(BM200:BM200))/3</f>
        <v>0</v>
      </c>
      <c r="BO200" s="135">
        <f>(BQ200-SUM(BM200:BN200))/2</f>
        <v>0</v>
      </c>
      <c r="BP200" s="116">
        <f>(BQ200-SUM(BM200:BO200))/1</f>
        <v>0</v>
      </c>
      <c r="BQ200" s="34">
        <v>0</v>
      </c>
      <c r="BR200" s="220"/>
      <c r="BS200" s="220"/>
      <c r="BT200" s="220"/>
      <c r="BU200" s="220"/>
      <c r="BV200" s="220"/>
      <c r="BW200" s="220"/>
      <c r="BX200" s="220"/>
      <c r="BY200" s="220"/>
      <c r="BZ200" s="220"/>
      <c r="CA200" s="220"/>
      <c r="CB200" s="220"/>
      <c r="CC200" s="220"/>
      <c r="CD200" s="220"/>
      <c r="CE200" s="220"/>
      <c r="CF200" s="220"/>
      <c r="CG200" s="220"/>
      <c r="CH200" s="220"/>
      <c r="CI200" s="220"/>
      <c r="CJ200" s="220"/>
      <c r="CK200" s="220"/>
      <c r="CL200" s="117">
        <f>-1.684+3.51+18.314+5.36-8.461+5.184+0.534+0.073+0.272</f>
        <v>23.102</v>
      </c>
      <c r="CM200" s="117">
        <f>9.427+8.206+17.639+0.602-8.194+9.971+1.145+0.223-0.64</f>
        <v>38.378999999999998</v>
      </c>
      <c r="CN200" s="117">
        <f>14.119+9.662+12.731+3.184-9.357+17.84-1.342+0.353-1.803</f>
        <v>45.387000000000008</v>
      </c>
      <c r="CO200" s="82">
        <f t="shared" si="467"/>
        <v>-35.817000000000007</v>
      </c>
      <c r="CP200" s="117">
        <f>-17.905-2.268+11.033-9.019+13.344+24.706-10.794+0.822-0.349</f>
        <v>9.5699999999999967</v>
      </c>
      <c r="CQ200" s="117">
        <f>20.601+9.527+7.05+11.917-16.918-2.351+7.021-0.039+0.423</f>
        <v>37.231000000000002</v>
      </c>
      <c r="CR200" s="117">
        <f>24.11+10.467+6.116+8.213+-17.803-5.879+0.624-0.078+2.324</f>
        <v>28.093999999999994</v>
      </c>
      <c r="CS200" s="117">
        <f>24.878+10.284-1.08+12.895-16.029-5.094-0.778+0.105+5.975</f>
        <v>31.156000000000006</v>
      </c>
      <c r="CT200" s="82">
        <f t="shared" si="468"/>
        <v>-18.303000000000004</v>
      </c>
      <c r="CU200" s="117">
        <f>15.556-6.672+1.827+6.872-5.668-3.207+1.131+0.867+2.147</f>
        <v>12.853</v>
      </c>
      <c r="CV200" s="117">
        <f>-5.762+12.221+9.982+5.854-16.461+1.346+0.04+0.045-8.418</f>
        <v>-1.1529999999999996</v>
      </c>
      <c r="CW200" s="117">
        <f>4.029+14.515+5.804+1.713-21.34+0.246+2.944-0.059-7.532</f>
        <v>0.32000000000000028</v>
      </c>
      <c r="CX200" s="117">
        <f>1.95+16.108-1.209+5.697-11.844-3.386-0.472+0.265-9.128</f>
        <v>-2.019000000000001</v>
      </c>
      <c r="CY200" s="82">
        <f t="shared" si="469"/>
        <v>-17.547999999999998</v>
      </c>
      <c r="CZ200" s="117">
        <f>-4.013+2.911+0.913-1.18-16.614+10.008-2.26-7.214+0.564-2.682</f>
        <v>-19.567</v>
      </c>
      <c r="DA200" s="117">
        <f>-7.818+14.184+7.886+6.395-3.996+3.359-12.473+2.082-0.197-0.021</f>
        <v>9.4009999999999962</v>
      </c>
      <c r="DB200" s="117">
        <f>-9.458+9.625+7.696-0.712+1.86+4.479+0.588-11.73-0.228+0.582</f>
        <v>2.7019999999999968</v>
      </c>
      <c r="DC200" s="117">
        <f>-11.303+9.496+3.924+6.142-7.307+6.15+9.701-11.002-0.119-0.5</f>
        <v>5.1820000000000004</v>
      </c>
      <c r="DD200" s="82">
        <f t="shared" si="470"/>
        <v>-17.064999999999998</v>
      </c>
      <c r="DE200" s="117">
        <f>-15.953-0.47+6.018-3.172+5.828+3.623+3.681-10.857+0.014-0.595</f>
        <v>-11.882999999999997</v>
      </c>
      <c r="DF200" s="117">
        <f>-10.454+8.559+4.633+7.671-6.337+2.541+3.086-10.86+0.202+0.05</f>
        <v>-0.90899999999999959</v>
      </c>
      <c r="DG200" s="117">
        <f>1.134+9.928+1.913+3.442-5.435-0.806+1.67-10.234+0.329+0.63</f>
        <v>2.571000000000002</v>
      </c>
      <c r="DH200" s="117">
        <f>2.566+11.076-3.382+9.486-3.755-6.26+9.635-9.273+0.26+1.555</f>
        <v>11.908000000000003</v>
      </c>
      <c r="DI200" s="82">
        <f t="shared" si="471"/>
        <v>-36.426000000000002</v>
      </c>
      <c r="DJ200" s="117">
        <f>-12.702-2.496-1.879-3.749-1.811-2.062+7.589-8.759+0.232+1.119</f>
        <v>-24.518000000000001</v>
      </c>
      <c r="DK200" s="117">
        <f>-13.722+12.194+6.98+11.145+12.378-20.462+2.936-8.007+0.023+0.16</f>
        <v>3.6250000000000022</v>
      </c>
      <c r="DL200" s="117">
        <f>2.105+10.46+2.672+3.68-3.981-23.547-0.022-7.378+0.101+0.872</f>
        <v>-15.037999999999998</v>
      </c>
      <c r="DM200" s="117">
        <f>7.761+13.009-5.172+11.693-9.91-35.546+0.955-6.882-0.046+1.013</f>
        <v>-23.125000000000007</v>
      </c>
      <c r="DN200" s="82">
        <f t="shared" si="472"/>
        <v>-27.461999999999996</v>
      </c>
      <c r="DO200" s="117">
        <f>-5.558-1.933-3.21-3.501+2.936-34.697-0.911-6.134-0.113+2.534</f>
        <v>-50.587000000000003</v>
      </c>
      <c r="DP200" s="117">
        <f>-5.496+10.428+9.83+11.335-11.851-1.404+1.289-4.915-0.004+0.535</f>
        <v>9.7470000000000017</v>
      </c>
      <c r="DQ200" s="117">
        <f>7.107+13.636+7.696+6.876+8.058-2.182+3.222-4.403-0.008+0.412</f>
        <v>40.413999999999994</v>
      </c>
      <c r="DR200" s="117">
        <f>10.026+12.657+2.847+14.471-25.023-13.962+5.948-3.931+0.011+0.595</f>
        <v>3.6390000000000056</v>
      </c>
      <c r="DS200" s="82">
        <f t="shared" si="473"/>
        <v>-19.283000000000008</v>
      </c>
      <c r="DT200" s="117">
        <f>0.071+5.869+3.126+7.135-7.626-27.114+5.147-3.177+0.209+0.716</f>
        <v>-15.644000000000004</v>
      </c>
      <c r="DU200" s="117">
        <f>-2.797+7.326+6.717+6.348+2.325+1.856+3.492-7.264-0.319+0.798</f>
        <v>18.481999999999999</v>
      </c>
      <c r="DV200" s="117">
        <f>4.599+6.072+5.429+0.329+12.907+1.555+0.589-6.848-0.393+0.555</f>
        <v>24.794</v>
      </c>
      <c r="DW200" s="117">
        <f>9.394+8.203+1.29+7.791+11.946-10.256+1.523-6.256-0.402+1.918</f>
        <v>25.151</v>
      </c>
      <c r="DX200" s="82">
        <f t="shared" si="474"/>
        <v>-29.213000000000001</v>
      </c>
      <c r="DY200" s="117">
        <f>-1.383-5.94+3.25-1.191+10.632-18.601+14.036-6.197-0.718+2.05</f>
        <v>-4.0620000000000012</v>
      </c>
      <c r="DZ200" s="117">
        <f>-10.867+12.986+4.806+4.305+19.809+0.656-9.158-8.86-0.294-0.8</f>
        <v>12.582999999999998</v>
      </c>
      <c r="EA200" s="117">
        <f>-0.295+10.846+2.669-0.058+28.882-3.112-9.191-8.735-0.359-2.696</f>
        <v>17.950999999999997</v>
      </c>
      <c r="EB200" s="117">
        <f>3.512+9.414-1.798+4.99+1.031-19.309-9.7-8.189-0.362-4.165</f>
        <v>-24.575999999999997</v>
      </c>
      <c r="EC200" s="82">
        <f t="shared" si="475"/>
        <v>-28.590000000000007</v>
      </c>
      <c r="ED200" s="117">
        <f>-9.948-6.37+0.552+0.922+9.025-31.223-2.215-8.558+0.583-5.934</f>
        <v>-53.166000000000004</v>
      </c>
    </row>
    <row r="201" spans="1:134" x14ac:dyDescent="0.2">
      <c r="A201" s="220"/>
      <c r="B201" s="220"/>
      <c r="C201" s="141" t="s">
        <v>182</v>
      </c>
      <c r="D201" s="82"/>
      <c r="E201" s="121">
        <f>SUM(E195:E200)</f>
        <v>62.649000000000001</v>
      </c>
      <c r="F201" s="122">
        <f>SUM(F195:F200)</f>
        <v>34.171999999999997</v>
      </c>
      <c r="G201" s="122">
        <f>SUM(G195:G200)</f>
        <v>36.257000000000012</v>
      </c>
      <c r="H201" s="123">
        <f>SUM(H195:H200)</f>
        <v>-1.2330000000000112</v>
      </c>
      <c r="I201" s="127">
        <f t="shared" si="430"/>
        <v>131.845</v>
      </c>
      <c r="J201" s="121">
        <f>SUM(J195:J200)</f>
        <v>69.920999999999992</v>
      </c>
      <c r="K201" s="122">
        <f>SUM(K195:K200)</f>
        <v>12.558999999999994</v>
      </c>
      <c r="L201" s="122">
        <f>SUM(L195:L200)</f>
        <v>39.806000000000004</v>
      </c>
      <c r="M201" s="123">
        <f>SUM(M195:M200)</f>
        <v>19.571999999999996</v>
      </c>
      <c r="N201" s="127">
        <f t="shared" si="434"/>
        <v>141.858</v>
      </c>
      <c r="O201" s="121">
        <f>SUM(O195:O200)</f>
        <v>38.779000000000003</v>
      </c>
      <c r="P201" s="122">
        <f>SUM(P195:P200)</f>
        <v>32.803999999999995</v>
      </c>
      <c r="Q201" s="122">
        <f>SUM(Q195:Q200)</f>
        <v>49.375000000000007</v>
      </c>
      <c r="R201" s="123">
        <f>SUM(R195:R200)</f>
        <v>18.342000000000002</v>
      </c>
      <c r="S201" s="127">
        <f t="shared" si="438"/>
        <v>139.30000000000001</v>
      </c>
      <c r="T201" s="121">
        <f>SUM(T195:T200)</f>
        <v>45.777999999999999</v>
      </c>
      <c r="U201" s="122">
        <f>SUM(U195:U200)</f>
        <v>24.849000000000004</v>
      </c>
      <c r="V201" s="122">
        <f>SUM(V195:V200)</f>
        <v>47.516999999999996</v>
      </c>
      <c r="W201" s="123">
        <f>SUM(W195:W200)</f>
        <v>18.129000000000005</v>
      </c>
      <c r="X201" s="127">
        <f t="shared" si="443"/>
        <v>136.27300000000002</v>
      </c>
      <c r="Y201" s="121">
        <f>SUM(Y195:Y200)</f>
        <v>43.970000000000006</v>
      </c>
      <c r="Z201" s="122">
        <f>SUM(Z195:Z200)</f>
        <v>40.311000000000007</v>
      </c>
      <c r="AA201" s="122">
        <f>SUM(AA195:AA200)</f>
        <v>53.573000000000008</v>
      </c>
      <c r="AB201" s="123">
        <f>SUM(AB195:AB200)</f>
        <v>-0.2809999999999917</v>
      </c>
      <c r="AC201" s="127">
        <f t="shared" si="448"/>
        <v>137.57299999999998</v>
      </c>
      <c r="AD201" s="121">
        <f>SUM(AD195:AD200)</f>
        <v>56.216000000000001</v>
      </c>
      <c r="AE201" s="122">
        <f>SUM(AE195:AE200)</f>
        <v>18.065999999999992</v>
      </c>
      <c r="AF201" s="122">
        <f>SUM(AF195:AF200)</f>
        <v>41.812999999999995</v>
      </c>
      <c r="AG201" s="123">
        <f>SUM(AG195:AG200)</f>
        <v>27.085000000000001</v>
      </c>
      <c r="AH201" s="127">
        <f t="shared" si="452"/>
        <v>143.18</v>
      </c>
      <c r="AI201" s="121">
        <f>SUM(AI195:AI200)</f>
        <v>65.376999999999995</v>
      </c>
      <c r="AJ201" s="122">
        <f>SUM(AJ195:AJ200)</f>
        <v>76.135999999999996</v>
      </c>
      <c r="AK201" s="122">
        <f>SUM(AK195:AK200)</f>
        <v>28.921000000000006</v>
      </c>
      <c r="AL201" s="123">
        <f>SUM(AL195:AL200)</f>
        <v>28.931999999999981</v>
      </c>
      <c r="AM201" s="127">
        <f t="shared" si="457"/>
        <v>199.36599999999999</v>
      </c>
      <c r="AN201" s="121">
        <f>SUM(AN195:AN200)</f>
        <v>65.483999999999995</v>
      </c>
      <c r="AO201" s="122">
        <f>SUM(AO195:AO200)</f>
        <v>51.828999999999994</v>
      </c>
      <c r="AP201" s="122">
        <f>SUM(AP195:AP200)</f>
        <v>60.844999999999985</v>
      </c>
      <c r="AQ201" s="123">
        <f>SUM(AQ195:AQ200)</f>
        <v>22.574000000000012</v>
      </c>
      <c r="AR201" s="127">
        <f t="shared" si="461"/>
        <v>200.732</v>
      </c>
      <c r="AS201" s="121">
        <f>SUM(AS195:AS200)</f>
        <v>72.522999999999996</v>
      </c>
      <c r="AT201" s="122">
        <f>SUM(AT195:AT200)</f>
        <v>55.42</v>
      </c>
      <c r="AU201" s="122">
        <f>SUM(AU195:AU200)</f>
        <v>20.933000000000007</v>
      </c>
      <c r="AV201" s="123">
        <f>SUM(AV195:AV200)</f>
        <v>30.861000000000001</v>
      </c>
      <c r="AW201" s="127">
        <f t="shared" si="466"/>
        <v>179.73700000000002</v>
      </c>
      <c r="AX201" s="121">
        <f t="shared" ref="AX201:BG201" si="477">SUM(AX195:AX200)</f>
        <v>62.311773719328407</v>
      </c>
      <c r="AY201" s="122">
        <f t="shared" si="477"/>
        <v>47.908147516106993</v>
      </c>
      <c r="AZ201" s="122">
        <f t="shared" si="477"/>
        <v>56.360251658505199</v>
      </c>
      <c r="BA201" s="123">
        <f t="shared" si="477"/>
        <v>58.255100850166485</v>
      </c>
      <c r="BB201" s="86">
        <f t="shared" si="477"/>
        <v>224.83527374410707</v>
      </c>
      <c r="BC201" s="121">
        <f t="shared" si="477"/>
        <v>66.460005484804213</v>
      </c>
      <c r="BD201" s="122">
        <f t="shared" si="477"/>
        <v>50.799404454893271</v>
      </c>
      <c r="BE201" s="122">
        <f t="shared" si="477"/>
        <v>58.840437834703131</v>
      </c>
      <c r="BF201" s="123">
        <f t="shared" si="477"/>
        <v>61.436623584936761</v>
      </c>
      <c r="BG201" s="86">
        <f t="shared" si="477"/>
        <v>237.53647135933738</v>
      </c>
      <c r="BH201" s="121">
        <f t="shared" ref="BH201:BQ201" si="478">SUM(BH195:BH200)</f>
        <v>71.014033847252108</v>
      </c>
      <c r="BI201" s="122">
        <f t="shared" si="478"/>
        <v>54.135123063093509</v>
      </c>
      <c r="BJ201" s="122">
        <f t="shared" si="478"/>
        <v>62.311365675391727</v>
      </c>
      <c r="BK201" s="123">
        <f t="shared" si="478"/>
        <v>65.520824472263811</v>
      </c>
      <c r="BL201" s="86">
        <f t="shared" si="478"/>
        <v>252.98134705800115</v>
      </c>
      <c r="BM201" s="121">
        <f t="shared" si="478"/>
        <v>75.559337101010485</v>
      </c>
      <c r="BN201" s="122">
        <f t="shared" si="478"/>
        <v>57.43215145966937</v>
      </c>
      <c r="BO201" s="122">
        <f t="shared" si="478"/>
        <v>65.667106330155903</v>
      </c>
      <c r="BP201" s="123">
        <f t="shared" si="478"/>
        <v>69.684432417370473</v>
      </c>
      <c r="BQ201" s="86">
        <f t="shared" si="478"/>
        <v>268.34302730820627</v>
      </c>
      <c r="BR201" s="220"/>
      <c r="BS201" s="220"/>
      <c r="BT201" s="220"/>
      <c r="BU201" s="220"/>
      <c r="BV201" s="220"/>
      <c r="BW201" s="220"/>
      <c r="BX201" s="220"/>
      <c r="BY201" s="220"/>
      <c r="BZ201" s="220"/>
      <c r="CA201" s="220"/>
      <c r="CB201" s="220"/>
      <c r="CC201" s="220"/>
      <c r="CD201" s="220"/>
      <c r="CE201" s="220"/>
      <c r="CF201" s="220"/>
      <c r="CG201" s="220"/>
      <c r="CH201" s="220"/>
      <c r="CI201" s="220"/>
      <c r="CJ201" s="220"/>
      <c r="CK201" s="220"/>
      <c r="CL201" s="86">
        <f t="shared" ref="CL201:CW201" si="479">SUM(CL195:CL200)</f>
        <v>62.649000000000001</v>
      </c>
      <c r="CM201" s="86">
        <f t="shared" si="479"/>
        <v>96.820999999999998</v>
      </c>
      <c r="CN201" s="86">
        <f t="shared" si="479"/>
        <v>133.078</v>
      </c>
      <c r="CO201" s="86">
        <f t="shared" si="479"/>
        <v>-1.2330000000000112</v>
      </c>
      <c r="CP201" s="86">
        <f t="shared" si="479"/>
        <v>131.845</v>
      </c>
      <c r="CQ201" s="86">
        <f t="shared" si="479"/>
        <v>69.920999999999992</v>
      </c>
      <c r="CR201" s="86">
        <f t="shared" si="479"/>
        <v>82.47999999999999</v>
      </c>
      <c r="CS201" s="86">
        <f t="shared" si="479"/>
        <v>122.286</v>
      </c>
      <c r="CT201" s="86">
        <f t="shared" si="479"/>
        <v>19.571999999999996</v>
      </c>
      <c r="CU201" s="86">
        <f t="shared" si="479"/>
        <v>141.858</v>
      </c>
      <c r="CV201" s="86">
        <f t="shared" si="479"/>
        <v>38.779000000000003</v>
      </c>
      <c r="CW201" s="86">
        <f t="shared" si="479"/>
        <v>71.582999999999998</v>
      </c>
      <c r="CX201" s="86">
        <f t="shared" ref="CX201:DC201" si="480">SUM(CX195:CX200)</f>
        <v>120.958</v>
      </c>
      <c r="CY201" s="86">
        <f t="shared" si="480"/>
        <v>18.342000000000002</v>
      </c>
      <c r="CZ201" s="86">
        <f t="shared" si="480"/>
        <v>139.30000000000001</v>
      </c>
      <c r="DA201" s="86">
        <f t="shared" si="480"/>
        <v>45.777999999999999</v>
      </c>
      <c r="DB201" s="86">
        <f t="shared" si="480"/>
        <v>70.626999999999995</v>
      </c>
      <c r="DC201" s="86">
        <f t="shared" si="480"/>
        <v>118.14399999999999</v>
      </c>
      <c r="DD201" s="86">
        <f t="shared" ref="DD201:DK201" si="481">SUM(DD195:DD200)</f>
        <v>18.129000000000005</v>
      </c>
      <c r="DE201" s="86">
        <f t="shared" si="481"/>
        <v>136.27300000000002</v>
      </c>
      <c r="DF201" s="86">
        <f t="shared" si="481"/>
        <v>43.970000000000006</v>
      </c>
      <c r="DG201" s="86">
        <f t="shared" si="481"/>
        <v>84.280999999999992</v>
      </c>
      <c r="DH201" s="86">
        <f t="shared" si="481"/>
        <v>137.85400000000001</v>
      </c>
      <c r="DI201" s="86">
        <f t="shared" si="481"/>
        <v>-0.2809999999999917</v>
      </c>
      <c r="DJ201" s="86">
        <f t="shared" si="481"/>
        <v>137.57299999999998</v>
      </c>
      <c r="DK201" s="86">
        <f t="shared" si="481"/>
        <v>56.216000000000001</v>
      </c>
      <c r="DL201" s="86">
        <f t="shared" ref="DL201:DQ201" si="482">SUM(DL195:DL200)</f>
        <v>74.281999999999996</v>
      </c>
      <c r="DM201" s="86">
        <f t="shared" si="482"/>
        <v>116.09499999999997</v>
      </c>
      <c r="DN201" s="86">
        <f t="shared" si="482"/>
        <v>27.085000000000001</v>
      </c>
      <c r="DO201" s="86">
        <f t="shared" si="482"/>
        <v>143.18</v>
      </c>
      <c r="DP201" s="86">
        <f t="shared" si="482"/>
        <v>65.376999999999995</v>
      </c>
      <c r="DQ201" s="86">
        <f t="shared" si="482"/>
        <v>141.51300000000001</v>
      </c>
      <c r="DR201" s="86">
        <f t="shared" ref="DR201:DW201" si="483">SUM(DR195:DR200)</f>
        <v>170.434</v>
      </c>
      <c r="DS201" s="86">
        <f t="shared" si="483"/>
        <v>28.931999999999981</v>
      </c>
      <c r="DT201" s="86">
        <f t="shared" si="483"/>
        <v>199.36599999999999</v>
      </c>
      <c r="DU201" s="86">
        <f t="shared" si="483"/>
        <v>65.483999999999995</v>
      </c>
      <c r="DV201" s="86">
        <f t="shared" si="483"/>
        <v>117.313</v>
      </c>
      <c r="DW201" s="86">
        <f t="shared" si="483"/>
        <v>178.15800000000002</v>
      </c>
      <c r="DX201" s="86">
        <f t="shared" ref="DX201:ED201" si="484">SUM(DX195:DX200)</f>
        <v>22.574000000000012</v>
      </c>
      <c r="DY201" s="86">
        <f t="shared" si="484"/>
        <v>200.732</v>
      </c>
      <c r="DZ201" s="86">
        <f t="shared" si="484"/>
        <v>72.522999999999996</v>
      </c>
      <c r="EA201" s="86">
        <f t="shared" si="484"/>
        <v>127.943</v>
      </c>
      <c r="EB201" s="86">
        <f t="shared" si="484"/>
        <v>148.876</v>
      </c>
      <c r="EC201" s="86">
        <f t="shared" si="484"/>
        <v>30.861000000000001</v>
      </c>
      <c r="ED201" s="86">
        <f t="shared" si="484"/>
        <v>179.73700000000002</v>
      </c>
    </row>
    <row r="202" spans="1:134" x14ac:dyDescent="0.2">
      <c r="A202" s="220"/>
      <c r="B202" s="220"/>
      <c r="C202" s="70"/>
      <c r="D202" s="82"/>
      <c r="E202" s="136"/>
      <c r="F202" s="137"/>
      <c r="G202" s="137"/>
      <c r="H202" s="116"/>
      <c r="I202" s="223"/>
      <c r="J202" s="136"/>
      <c r="K202" s="137"/>
      <c r="L202" s="137"/>
      <c r="M202" s="116"/>
      <c r="N202" s="223"/>
      <c r="O202" s="136"/>
      <c r="P202" s="137"/>
      <c r="Q202" s="137"/>
      <c r="R202" s="116"/>
      <c r="S202" s="223"/>
      <c r="T202" s="136"/>
      <c r="U202" s="137"/>
      <c r="V202" s="137"/>
      <c r="W202" s="116"/>
      <c r="X202" s="223"/>
      <c r="Y202" s="136"/>
      <c r="Z202" s="137"/>
      <c r="AA202" s="137"/>
      <c r="AB202" s="116"/>
      <c r="AC202" s="223"/>
      <c r="AD202" s="136"/>
      <c r="AE202" s="137"/>
      <c r="AF202" s="137"/>
      <c r="AG202" s="116"/>
      <c r="AH202" s="223"/>
      <c r="AI202" s="136"/>
      <c r="AJ202" s="137"/>
      <c r="AK202" s="137"/>
      <c r="AL202" s="116"/>
      <c r="AM202" s="223"/>
      <c r="AN202" s="136"/>
      <c r="AO202" s="137"/>
      <c r="AP202" s="137"/>
      <c r="AQ202" s="116"/>
      <c r="AR202" s="223"/>
      <c r="AS202" s="136"/>
      <c r="AT202" s="137"/>
      <c r="AU202" s="137"/>
      <c r="AV202" s="116"/>
      <c r="AW202" s="223"/>
      <c r="AX202" s="136"/>
      <c r="AY202" s="137"/>
      <c r="AZ202" s="137"/>
      <c r="BA202" s="116"/>
      <c r="BB202" s="220"/>
      <c r="BC202" s="136"/>
      <c r="BD202" s="137"/>
      <c r="BE202" s="137"/>
      <c r="BF202" s="116"/>
      <c r="BG202" s="220"/>
      <c r="BH202" s="136"/>
      <c r="BI202" s="137"/>
      <c r="BJ202" s="137"/>
      <c r="BK202" s="116"/>
      <c r="BL202" s="220"/>
      <c r="BM202" s="136"/>
      <c r="BN202" s="137"/>
      <c r="BO202" s="137"/>
      <c r="BP202" s="116"/>
      <c r="BQ202" s="220"/>
      <c r="BR202" s="220"/>
      <c r="BS202" s="220"/>
      <c r="BT202" s="220"/>
      <c r="BU202" s="220"/>
      <c r="BV202" s="220"/>
      <c r="BW202" s="220"/>
      <c r="BX202" s="220"/>
      <c r="BY202" s="220"/>
      <c r="BZ202" s="220"/>
      <c r="CA202" s="220"/>
      <c r="CB202" s="220"/>
      <c r="CC202" s="220"/>
      <c r="CD202" s="220"/>
      <c r="CE202" s="220"/>
      <c r="CF202" s="220"/>
      <c r="CG202" s="220"/>
      <c r="CH202" s="220"/>
      <c r="CI202" s="220"/>
      <c r="CJ202" s="220"/>
      <c r="CK202" s="220"/>
      <c r="CL202" s="220"/>
      <c r="CM202" s="220"/>
      <c r="CN202" s="220"/>
      <c r="CO202" s="220"/>
      <c r="CP202" s="220"/>
      <c r="CQ202" s="220"/>
      <c r="CR202" s="220"/>
      <c r="CS202" s="220"/>
      <c r="CT202" s="220"/>
      <c r="CU202" s="220"/>
      <c r="CV202" s="220"/>
      <c r="CW202" s="220"/>
      <c r="CX202" s="117"/>
      <c r="CY202" s="220"/>
      <c r="CZ202" s="220"/>
      <c r="DA202" s="220"/>
      <c r="DB202" s="220"/>
      <c r="DC202" s="117"/>
      <c r="DD202" s="220"/>
      <c r="DE202" s="220"/>
      <c r="DF202" s="220"/>
      <c r="DG202" s="220"/>
      <c r="DH202" s="117"/>
      <c r="DI202" s="220"/>
      <c r="DJ202" s="220"/>
      <c r="DK202" s="220"/>
      <c r="DL202" s="220"/>
      <c r="DM202" s="117"/>
      <c r="DN202" s="220"/>
      <c r="DO202" s="220"/>
      <c r="DP202" s="220"/>
      <c r="DR202" s="117"/>
      <c r="DS202" s="220"/>
      <c r="DT202" s="220"/>
      <c r="DU202" s="220"/>
      <c r="DX202" s="220"/>
      <c r="DY202" s="220"/>
      <c r="DZ202" s="220"/>
      <c r="EC202" s="220"/>
      <c r="ED202" s="220"/>
    </row>
    <row r="203" spans="1:134" x14ac:dyDescent="0.2">
      <c r="A203" s="220"/>
      <c r="B203" s="220"/>
      <c r="C203" s="70" t="s">
        <v>183</v>
      </c>
      <c r="D203" s="82"/>
      <c r="E203" s="136">
        <f>+CL203</f>
        <v>-20.959</v>
      </c>
      <c r="F203" s="135">
        <f t="shared" ref="F203:G205" si="485">+CM203-CL203</f>
        <v>-24.702999999999999</v>
      </c>
      <c r="G203" s="135">
        <f t="shared" si="485"/>
        <v>-24.298999999999999</v>
      </c>
      <c r="H203" s="116">
        <f>+CP203-CN203</f>
        <v>-35.447000000000003</v>
      </c>
      <c r="I203" s="223">
        <f t="shared" ref="I203:I215" si="486">CP203</f>
        <v>-105.408</v>
      </c>
      <c r="J203" s="136">
        <f>+CQ203</f>
        <v>-26.170999999999999</v>
      </c>
      <c r="K203" s="135">
        <f t="shared" ref="K203:L205" si="487">+CR203-CQ203</f>
        <v>-29.856999999999999</v>
      </c>
      <c r="L203" s="135">
        <f t="shared" si="487"/>
        <v>-34.121000000000002</v>
      </c>
      <c r="M203" s="116">
        <f>+CU203-CS203</f>
        <v>-38.783999999999992</v>
      </c>
      <c r="N203" s="223">
        <f t="shared" ref="N203:N215" si="488">CU203</f>
        <v>-128.93299999999999</v>
      </c>
      <c r="O203" s="136">
        <f>+CV203</f>
        <v>-26.2</v>
      </c>
      <c r="P203" s="135">
        <f t="shared" ref="P203:Q205" si="489">+CW203-CV203</f>
        <v>-32.019000000000005</v>
      </c>
      <c r="Q203" s="135">
        <f t="shared" si="489"/>
        <v>-34.467999999999996</v>
      </c>
      <c r="R203" s="116">
        <f>+CZ203-CX203</f>
        <v>-48.295000000000002</v>
      </c>
      <c r="S203" s="223">
        <f t="shared" ref="S203:S215" si="490">CZ203</f>
        <v>-140.982</v>
      </c>
      <c r="T203" s="136">
        <f>+DA203</f>
        <v>-36.747999999999998</v>
      </c>
      <c r="U203" s="135">
        <f t="shared" ref="U203:V205" si="491">+DB203-DA203</f>
        <v>-35.482000000000006</v>
      </c>
      <c r="V203" s="135">
        <f t="shared" si="491"/>
        <v>-34.322999999999993</v>
      </c>
      <c r="W203" s="116">
        <f>+DE203-DC203</f>
        <v>-46.205999999999989</v>
      </c>
      <c r="X203" s="223">
        <f t="shared" ref="X203:X215" si="492">DE203</f>
        <v>-152.75899999999999</v>
      </c>
      <c r="Y203" s="136">
        <f>+DF203</f>
        <v>-39.369999999999997</v>
      </c>
      <c r="Z203" s="135">
        <f t="shared" ref="Z203:AA205" si="493">+DG203-DF203</f>
        <v>-42.232999999999997</v>
      </c>
      <c r="AA203" s="135">
        <f t="shared" si="493"/>
        <v>-53.037999999999997</v>
      </c>
      <c r="AB203" s="116">
        <f>+DJ203-DH203</f>
        <v>-66.637</v>
      </c>
      <c r="AC203" s="223">
        <f t="shared" ref="AC203:AC215" si="494">DJ203</f>
        <v>-201.27799999999999</v>
      </c>
      <c r="AD203" s="136">
        <f>+DK203</f>
        <v>-59.698999999999998</v>
      </c>
      <c r="AE203" s="135">
        <f t="shared" ref="AE203:AF205" si="495">+DL203-DK203</f>
        <v>-64.924999999999997</v>
      </c>
      <c r="AF203" s="135">
        <f t="shared" si="495"/>
        <v>-70.262</v>
      </c>
      <c r="AG203" s="116">
        <f>+DO203-DM203</f>
        <v>-93.323000000000008</v>
      </c>
      <c r="AH203" s="223">
        <f t="shared" ref="AH203:AH215" si="496">DO203</f>
        <v>-288.209</v>
      </c>
      <c r="AI203" s="136">
        <f>+DP203</f>
        <v>-79.926000000000002</v>
      </c>
      <c r="AJ203" s="135">
        <f t="shared" ref="AJ203:AK205" si="497">+DQ203-DP203</f>
        <v>-70.51700000000001</v>
      </c>
      <c r="AK203" s="135">
        <f t="shared" si="497"/>
        <v>-21.143000000000001</v>
      </c>
      <c r="AL203" s="116">
        <f>+DT203-DR203</f>
        <v>-80.210999999999984</v>
      </c>
      <c r="AM203" s="223">
        <f t="shared" ref="AM203:AM215" si="498">DT203</f>
        <v>-251.797</v>
      </c>
      <c r="AN203" s="136">
        <f>+DU203</f>
        <v>-44.655000000000001</v>
      </c>
      <c r="AO203" s="135">
        <f t="shared" ref="AO203:AP205" si="499">+DV203-DU203</f>
        <v>-43.135999999999996</v>
      </c>
      <c r="AP203" s="135">
        <f t="shared" si="499"/>
        <v>-50.825000000000017</v>
      </c>
      <c r="AQ203" s="116">
        <f>+DY203-DW203</f>
        <v>-65.810999999999979</v>
      </c>
      <c r="AR203" s="223">
        <f t="shared" ref="AR203:AR215" si="500">DY203</f>
        <v>-204.42699999999999</v>
      </c>
      <c r="AS203" s="136">
        <f>+DZ203</f>
        <v>-47.999000000000002</v>
      </c>
      <c r="AT203" s="135">
        <f t="shared" ref="AT203:AT205" si="501">+EA203-DZ203</f>
        <v>-42.735999999999997</v>
      </c>
      <c r="AU203" s="135">
        <f t="shared" ref="AU203:AU205" si="502">+EB203-EA203</f>
        <v>-54.704999999999998</v>
      </c>
      <c r="AV203" s="116">
        <f>+ED203-EB203</f>
        <v>-73.36099999999999</v>
      </c>
      <c r="AW203" s="223">
        <f t="shared" ref="AW203:AW215" si="503">ED203</f>
        <v>-218.80099999999999</v>
      </c>
      <c r="AX203" s="136">
        <f>+-AX169</f>
        <v>-62.5</v>
      </c>
      <c r="AY203" s="135">
        <f>+-AY169</f>
        <v>-62.5</v>
      </c>
      <c r="AZ203" s="135">
        <f>+-AZ169</f>
        <v>-62.5</v>
      </c>
      <c r="BA203" s="116">
        <f>+-BA169</f>
        <v>-62.5</v>
      </c>
      <c r="BB203" s="82">
        <f>SUM(AX203:BA203)</f>
        <v>-250</v>
      </c>
      <c r="BC203" s="136">
        <f>+-BC169</f>
        <v>-62.5</v>
      </c>
      <c r="BD203" s="135">
        <f>+-BD169</f>
        <v>-62.5</v>
      </c>
      <c r="BE203" s="135">
        <f>+-BE169</f>
        <v>-62.5</v>
      </c>
      <c r="BF203" s="116">
        <f>+-BF169</f>
        <v>-62.5</v>
      </c>
      <c r="BG203" s="82">
        <f>SUM(BC203:BF203)</f>
        <v>-250</v>
      </c>
      <c r="BH203" s="136">
        <f>+-BH169</f>
        <v>-60</v>
      </c>
      <c r="BI203" s="135">
        <f>+-BI169</f>
        <v>-60</v>
      </c>
      <c r="BJ203" s="135">
        <f>+-BJ169</f>
        <v>-60</v>
      </c>
      <c r="BK203" s="116">
        <f>+-BK169</f>
        <v>-60</v>
      </c>
      <c r="BL203" s="82">
        <f>SUM(BH203:BK203)</f>
        <v>-240</v>
      </c>
      <c r="BM203" s="136">
        <f>+-BM169</f>
        <v>-70</v>
      </c>
      <c r="BN203" s="135">
        <f>+-BN169</f>
        <v>-70</v>
      </c>
      <c r="BO203" s="135">
        <f>+-BO169</f>
        <v>-70</v>
      </c>
      <c r="BP203" s="116">
        <f>+-BP169</f>
        <v>-70</v>
      </c>
      <c r="BQ203" s="82">
        <f>SUM(BM203:BP203)</f>
        <v>-280</v>
      </c>
      <c r="BR203" s="220"/>
      <c r="BS203" s="220"/>
      <c r="BT203" s="220"/>
      <c r="BU203" s="220"/>
      <c r="BV203" s="220"/>
      <c r="BW203" s="220"/>
      <c r="BX203" s="220"/>
      <c r="BY203" s="220"/>
      <c r="BZ203" s="220"/>
      <c r="CA203" s="220"/>
      <c r="CB203" s="220"/>
      <c r="CC203" s="220"/>
      <c r="CD203" s="220"/>
      <c r="CE203" s="220"/>
      <c r="CF203" s="220"/>
      <c r="CG203" s="220"/>
      <c r="CH203" s="220"/>
      <c r="CI203" s="220"/>
      <c r="CJ203" s="220"/>
      <c r="CK203" s="220"/>
      <c r="CL203" s="117">
        <v>-20.959</v>
      </c>
      <c r="CM203" s="117">
        <v>-45.661999999999999</v>
      </c>
      <c r="CN203" s="117">
        <v>-69.960999999999999</v>
      </c>
      <c r="CO203" s="82">
        <f>CP203-CN203</f>
        <v>-35.447000000000003</v>
      </c>
      <c r="CP203" s="117">
        <v>-105.408</v>
      </c>
      <c r="CQ203" s="117">
        <v>-26.170999999999999</v>
      </c>
      <c r="CR203" s="117">
        <v>-56.027999999999999</v>
      </c>
      <c r="CS203" s="117">
        <v>-90.149000000000001</v>
      </c>
      <c r="CT203" s="82">
        <f>CU203-CS203</f>
        <v>-38.783999999999992</v>
      </c>
      <c r="CU203" s="117">
        <v>-128.93299999999999</v>
      </c>
      <c r="CV203" s="117">
        <v>-26.2</v>
      </c>
      <c r="CW203" s="117">
        <v>-58.219000000000001</v>
      </c>
      <c r="CX203" s="117">
        <v>-92.686999999999998</v>
      </c>
      <c r="CY203" s="82">
        <f>CZ203-CX203</f>
        <v>-48.295000000000002</v>
      </c>
      <c r="CZ203" s="117">
        <v>-140.982</v>
      </c>
      <c r="DA203" s="117">
        <v>-36.747999999999998</v>
      </c>
      <c r="DB203" s="117">
        <v>-72.23</v>
      </c>
      <c r="DC203" s="117">
        <v>-106.553</v>
      </c>
      <c r="DD203" s="82">
        <f>DE203-DC203</f>
        <v>-46.205999999999989</v>
      </c>
      <c r="DE203" s="117">
        <v>-152.75899999999999</v>
      </c>
      <c r="DF203" s="117">
        <v>-39.369999999999997</v>
      </c>
      <c r="DG203" s="117">
        <v>-81.602999999999994</v>
      </c>
      <c r="DH203" s="117">
        <v>-134.64099999999999</v>
      </c>
      <c r="DI203" s="82">
        <f>DJ203-DH203</f>
        <v>-66.637</v>
      </c>
      <c r="DJ203" s="117">
        <v>-201.27799999999999</v>
      </c>
      <c r="DK203" s="117">
        <v>-59.698999999999998</v>
      </c>
      <c r="DL203" s="117">
        <v>-124.624</v>
      </c>
      <c r="DM203" s="117">
        <v>-194.886</v>
      </c>
      <c r="DN203" s="82">
        <f>DO203-DM203</f>
        <v>-93.323000000000008</v>
      </c>
      <c r="DO203" s="117">
        <v>-288.209</v>
      </c>
      <c r="DP203" s="117">
        <v>-79.926000000000002</v>
      </c>
      <c r="DQ203" s="117">
        <v>-150.44300000000001</v>
      </c>
      <c r="DR203" s="117">
        <v>-171.58600000000001</v>
      </c>
      <c r="DS203" s="82">
        <f>DT203-DR203</f>
        <v>-80.210999999999984</v>
      </c>
      <c r="DT203" s="117">
        <v>-251.797</v>
      </c>
      <c r="DU203" s="117">
        <v>-44.655000000000001</v>
      </c>
      <c r="DV203" s="117">
        <v>-87.790999999999997</v>
      </c>
      <c r="DW203" s="117">
        <v>-138.61600000000001</v>
      </c>
      <c r="DX203" s="82">
        <f>DY203-DW203</f>
        <v>-65.810999999999979</v>
      </c>
      <c r="DY203" s="117">
        <v>-204.42699999999999</v>
      </c>
      <c r="DZ203" s="117">
        <v>-47.999000000000002</v>
      </c>
      <c r="EA203" s="117">
        <v>-90.734999999999999</v>
      </c>
      <c r="EB203" s="117">
        <v>-145.44</v>
      </c>
      <c r="EC203" s="82">
        <f>ED203-EB203</f>
        <v>-73.36099999999999</v>
      </c>
      <c r="ED203" s="117">
        <v>-218.80099999999999</v>
      </c>
    </row>
    <row r="204" spans="1:134" x14ac:dyDescent="0.2">
      <c r="A204" s="220"/>
      <c r="B204" s="220"/>
      <c r="C204" s="70" t="s">
        <v>179</v>
      </c>
      <c r="D204" s="82"/>
      <c r="E204" s="136">
        <f>+CL204</f>
        <v>0.27100000000000002</v>
      </c>
      <c r="F204" s="135">
        <f t="shared" si="485"/>
        <v>0.39200000000000002</v>
      </c>
      <c r="G204" s="135">
        <f t="shared" si="485"/>
        <v>0.45900000000000007</v>
      </c>
      <c r="H204" s="116">
        <f>+CP204-CN204</f>
        <v>0.5149999999999999</v>
      </c>
      <c r="I204" s="223">
        <f t="shared" si="486"/>
        <v>1.637</v>
      </c>
      <c r="J204" s="136">
        <f>+CQ204</f>
        <v>0.434</v>
      </c>
      <c r="K204" s="135">
        <f t="shared" si="487"/>
        <v>0.64900000000000002</v>
      </c>
      <c r="L204" s="135">
        <f t="shared" si="487"/>
        <v>0.63900000000000001</v>
      </c>
      <c r="M204" s="116">
        <f>+CU204-CS204</f>
        <v>0.53100000000000014</v>
      </c>
      <c r="N204" s="223">
        <f t="shared" si="488"/>
        <v>2.2530000000000001</v>
      </c>
      <c r="O204" s="136">
        <f>+CV204</f>
        <v>0.106</v>
      </c>
      <c r="P204" s="135">
        <f t="shared" si="489"/>
        <v>0.30499999999999999</v>
      </c>
      <c r="Q204" s="135">
        <f t="shared" si="489"/>
        <v>0.28899999999999998</v>
      </c>
      <c r="R204" s="116">
        <f>+CZ204-CX204</f>
        <v>0.30699999999999994</v>
      </c>
      <c r="S204" s="223">
        <f t="shared" si="490"/>
        <v>1.0069999999999999</v>
      </c>
      <c r="T204" s="136">
        <f>+DA204</f>
        <v>0.999</v>
      </c>
      <c r="U204" s="135">
        <f t="shared" si="491"/>
        <v>0.76500000000000001</v>
      </c>
      <c r="V204" s="135">
        <f t="shared" si="491"/>
        <v>-0.38500000000000001</v>
      </c>
      <c r="W204" s="116">
        <f>+DE204-DC204</f>
        <v>0.72500000000000009</v>
      </c>
      <c r="X204" s="223">
        <f t="shared" si="492"/>
        <v>2.1040000000000001</v>
      </c>
      <c r="Y204" s="136">
        <f>+DF204</f>
        <v>0.94599999999999995</v>
      </c>
      <c r="Z204" s="135">
        <f t="shared" si="493"/>
        <v>0.78</v>
      </c>
      <c r="AA204" s="135">
        <f t="shared" si="493"/>
        <v>1.028</v>
      </c>
      <c r="AB204" s="116">
        <f>+DJ204-DH204</f>
        <v>1.5050000000000003</v>
      </c>
      <c r="AC204" s="223">
        <f t="shared" si="494"/>
        <v>4.2590000000000003</v>
      </c>
      <c r="AD204" s="136">
        <f>+DK204</f>
        <v>1.5720000000000001</v>
      </c>
      <c r="AE204" s="135">
        <f t="shared" si="495"/>
        <v>1.7669999999999999</v>
      </c>
      <c r="AF204" s="135">
        <f t="shared" si="495"/>
        <v>1.5760000000000001</v>
      </c>
      <c r="AG204" s="116">
        <f>+DO204-DM204</f>
        <v>2.1449999999999996</v>
      </c>
      <c r="AH204" s="223">
        <f t="shared" si="496"/>
        <v>7.06</v>
      </c>
      <c r="AI204" s="136">
        <f>+DP204</f>
        <v>2.2189999999999999</v>
      </c>
      <c r="AJ204" s="135">
        <f t="shared" si="497"/>
        <v>1.778</v>
      </c>
      <c r="AK204" s="135">
        <f t="shared" si="497"/>
        <v>1.9290000000000003</v>
      </c>
      <c r="AL204" s="116">
        <f>+DT204-DR204</f>
        <v>1.327</v>
      </c>
      <c r="AM204" s="223">
        <f t="shared" si="498"/>
        <v>7.2530000000000001</v>
      </c>
      <c r="AN204" s="136">
        <f>+DU204</f>
        <v>0.81</v>
      </c>
      <c r="AO204" s="135">
        <f t="shared" si="499"/>
        <v>0.91799999999999993</v>
      </c>
      <c r="AP204" s="135">
        <f t="shared" si="499"/>
        <v>1.2409999999999999</v>
      </c>
      <c r="AQ204" s="116">
        <f>+DY204-DW204</f>
        <v>1.3080000000000003</v>
      </c>
      <c r="AR204" s="223">
        <f t="shared" si="500"/>
        <v>4.2770000000000001</v>
      </c>
      <c r="AS204" s="136">
        <f>+DZ204</f>
        <v>1.2869999999999999</v>
      </c>
      <c r="AT204" s="135">
        <f t="shared" si="501"/>
        <v>1.7509999999999999</v>
      </c>
      <c r="AU204" s="135">
        <f t="shared" si="502"/>
        <v>1.7050000000000005</v>
      </c>
      <c r="AV204" s="116">
        <f>+ED204-EB204</f>
        <v>1.9639999999999995</v>
      </c>
      <c r="AW204" s="223">
        <f t="shared" si="503"/>
        <v>6.7069999999999999</v>
      </c>
      <c r="AX204" s="136">
        <f>+AX27</f>
        <v>1.9123113011366495</v>
      </c>
      <c r="AY204" s="135">
        <f>+AY27</f>
        <v>1.9123113011366495</v>
      </c>
      <c r="AZ204" s="135">
        <f>+AZ27</f>
        <v>1.9123113011366495</v>
      </c>
      <c r="BA204" s="116">
        <f>+BA27</f>
        <v>1.9123113011366495</v>
      </c>
      <c r="BB204" s="82">
        <f>SUM(AX204:BA204)</f>
        <v>7.649245204546598</v>
      </c>
      <c r="BC204" s="136">
        <f>+BC27</f>
        <v>1.9123113011366495</v>
      </c>
      <c r="BD204" s="135">
        <f>+BD27</f>
        <v>1.9123113011366495</v>
      </c>
      <c r="BE204" s="135">
        <f>+BE27</f>
        <v>1.9123113011366495</v>
      </c>
      <c r="BF204" s="116">
        <f>+BF27</f>
        <v>1.9123113011366495</v>
      </c>
      <c r="BG204" s="82">
        <f>SUM(BC204:BF204)</f>
        <v>7.649245204546598</v>
      </c>
      <c r="BH204" s="136">
        <f>+BH27</f>
        <v>1.8358188490911833</v>
      </c>
      <c r="BI204" s="135">
        <f>+BI27</f>
        <v>1.8358188490911833</v>
      </c>
      <c r="BJ204" s="135">
        <f>+BJ27</f>
        <v>1.8358188490911833</v>
      </c>
      <c r="BK204" s="116">
        <f>+BK27</f>
        <v>1.8358188490911833</v>
      </c>
      <c r="BL204" s="82">
        <f>SUM(BH204:BK204)</f>
        <v>7.3432753963647333</v>
      </c>
      <c r="BM204" s="136">
        <f>+BM27</f>
        <v>2.1417886572730476</v>
      </c>
      <c r="BN204" s="135">
        <f>+BN27</f>
        <v>2.1417886572730476</v>
      </c>
      <c r="BO204" s="135">
        <f>+BO27</f>
        <v>2.1417886572730476</v>
      </c>
      <c r="BP204" s="116">
        <f>+BP27</f>
        <v>2.1417886572730476</v>
      </c>
      <c r="BQ204" s="82">
        <f>SUM(BM204:BP204)</f>
        <v>8.5671546290921903</v>
      </c>
      <c r="BR204" s="220"/>
      <c r="BS204" s="220"/>
      <c r="BT204" s="220"/>
      <c r="BU204" s="220"/>
      <c r="BV204" s="220"/>
      <c r="BW204" s="220"/>
      <c r="BX204" s="220"/>
      <c r="BY204" s="220"/>
      <c r="BZ204" s="220"/>
      <c r="CA204" s="220"/>
      <c r="CB204" s="220"/>
      <c r="CC204" s="220"/>
      <c r="CD204" s="220"/>
      <c r="CE204" s="220"/>
      <c r="CF204" s="220"/>
      <c r="CG204" s="220"/>
      <c r="CH204" s="220"/>
      <c r="CI204" s="220"/>
      <c r="CJ204" s="220"/>
      <c r="CK204" s="220"/>
      <c r="CL204" s="117">
        <v>0.27100000000000002</v>
      </c>
      <c r="CM204" s="117">
        <v>0.66300000000000003</v>
      </c>
      <c r="CN204" s="117">
        <v>1.1220000000000001</v>
      </c>
      <c r="CO204" s="82">
        <f>CP204-CN204</f>
        <v>0.5149999999999999</v>
      </c>
      <c r="CP204" s="117">
        <v>1.637</v>
      </c>
      <c r="CQ204" s="117">
        <v>0.434</v>
      </c>
      <c r="CR204" s="117">
        <v>1.083</v>
      </c>
      <c r="CS204" s="117">
        <v>1.722</v>
      </c>
      <c r="CT204" s="82">
        <f>CU204-CS204</f>
        <v>0.53100000000000014</v>
      </c>
      <c r="CU204" s="117">
        <v>2.2530000000000001</v>
      </c>
      <c r="CV204" s="117">
        <v>0.106</v>
      </c>
      <c r="CW204" s="117">
        <v>0.41099999999999998</v>
      </c>
      <c r="CX204" s="117">
        <v>0.7</v>
      </c>
      <c r="CY204" s="82">
        <f>CZ204-CX204</f>
        <v>0.30699999999999994</v>
      </c>
      <c r="CZ204" s="117">
        <v>1.0069999999999999</v>
      </c>
      <c r="DA204" s="117">
        <v>0.999</v>
      </c>
      <c r="DB204" s="117">
        <v>1.764</v>
      </c>
      <c r="DC204" s="117">
        <v>1.379</v>
      </c>
      <c r="DD204" s="82">
        <f>DE204-DC204</f>
        <v>0.72500000000000009</v>
      </c>
      <c r="DE204" s="117">
        <v>2.1040000000000001</v>
      </c>
      <c r="DF204" s="117">
        <v>0.94599999999999995</v>
      </c>
      <c r="DG204" s="117">
        <v>1.726</v>
      </c>
      <c r="DH204" s="117">
        <v>2.754</v>
      </c>
      <c r="DI204" s="82">
        <f>DJ204-DH204</f>
        <v>1.5050000000000003</v>
      </c>
      <c r="DJ204" s="117">
        <v>4.2590000000000003</v>
      </c>
      <c r="DK204" s="117">
        <v>1.5720000000000001</v>
      </c>
      <c r="DL204" s="117">
        <v>3.339</v>
      </c>
      <c r="DM204" s="117">
        <v>4.915</v>
      </c>
      <c r="DN204" s="82">
        <f>DO204-DM204</f>
        <v>2.1449999999999996</v>
      </c>
      <c r="DO204" s="117">
        <v>7.06</v>
      </c>
      <c r="DP204" s="117">
        <v>2.2189999999999999</v>
      </c>
      <c r="DQ204" s="117">
        <v>3.9969999999999999</v>
      </c>
      <c r="DR204" s="117">
        <v>5.9260000000000002</v>
      </c>
      <c r="DS204" s="82">
        <f>DT204-DR204</f>
        <v>1.327</v>
      </c>
      <c r="DT204" s="117">
        <v>7.2530000000000001</v>
      </c>
      <c r="DU204" s="117">
        <v>0.81</v>
      </c>
      <c r="DV204" s="117">
        <v>1.728</v>
      </c>
      <c r="DW204" s="117">
        <v>2.9689999999999999</v>
      </c>
      <c r="DX204" s="82">
        <f>DY204-DW204</f>
        <v>1.3080000000000003</v>
      </c>
      <c r="DY204" s="117">
        <v>4.2770000000000001</v>
      </c>
      <c r="DZ204" s="117">
        <v>1.2869999999999999</v>
      </c>
      <c r="EA204" s="117">
        <v>3.0379999999999998</v>
      </c>
      <c r="EB204" s="117">
        <v>4.7430000000000003</v>
      </c>
      <c r="EC204" s="82">
        <f>ED204-EB204</f>
        <v>1.9639999999999995</v>
      </c>
      <c r="ED204" s="117">
        <v>6.7069999999999999</v>
      </c>
    </row>
    <row r="205" spans="1:134" x14ac:dyDescent="0.2">
      <c r="A205" s="220"/>
      <c r="B205" s="220"/>
      <c r="C205" s="70" t="s">
        <v>184</v>
      </c>
      <c r="D205" s="82"/>
      <c r="E205" s="136">
        <f>+CL205</f>
        <v>2.7770000000000001</v>
      </c>
      <c r="F205" s="135">
        <f t="shared" si="485"/>
        <v>1.8579999999999997</v>
      </c>
      <c r="G205" s="135">
        <f t="shared" si="485"/>
        <v>-3.8999999999999702E-2</v>
      </c>
      <c r="H205" s="116">
        <f>+CP205-CN205</f>
        <v>0.54399999999999959</v>
      </c>
      <c r="I205" s="223">
        <f t="shared" si="486"/>
        <v>5.14</v>
      </c>
      <c r="J205" s="136">
        <f>+CQ205</f>
        <v>2.2429999999999999</v>
      </c>
      <c r="K205" s="135">
        <f t="shared" si="487"/>
        <v>3.8000000000000256E-2</v>
      </c>
      <c r="L205" s="135">
        <f t="shared" si="487"/>
        <v>-0.13500000000000023</v>
      </c>
      <c r="M205" s="116">
        <f>+CU205-CS205</f>
        <v>0.14500000000000002</v>
      </c>
      <c r="N205" s="223">
        <f t="shared" si="488"/>
        <v>2.2909999999999999</v>
      </c>
      <c r="O205" s="136">
        <f>+CV205</f>
        <v>-0.17399999999999999</v>
      </c>
      <c r="P205" s="135">
        <f t="shared" si="489"/>
        <v>0.13100000000000001</v>
      </c>
      <c r="Q205" s="135">
        <f t="shared" si="489"/>
        <v>-9.0000000000000011E-3</v>
      </c>
      <c r="R205" s="116">
        <f>+CZ205-CX205</f>
        <v>-6.0000000000000005E-2</v>
      </c>
      <c r="S205" s="223">
        <f t="shared" si="490"/>
        <v>-0.112</v>
      </c>
      <c r="T205" s="136">
        <f>+DA205</f>
        <v>1.034</v>
      </c>
      <c r="U205" s="135">
        <f t="shared" si="491"/>
        <v>7.0999999999999952E-2</v>
      </c>
      <c r="V205" s="135">
        <f t="shared" si="491"/>
        <v>-8.999999999999897E-3</v>
      </c>
      <c r="W205" s="116">
        <f>+DE205-DC205</f>
        <v>-0.18000000000000005</v>
      </c>
      <c r="X205" s="223">
        <f t="shared" si="492"/>
        <v>0.91600000000000004</v>
      </c>
      <c r="Y205" s="136">
        <f>+DF205</f>
        <v>-9.6000000000000002E-2</v>
      </c>
      <c r="Z205" s="135">
        <f t="shared" si="493"/>
        <v>-0.13400000000000001</v>
      </c>
      <c r="AA205" s="135">
        <f t="shared" si="493"/>
        <v>-1.8999999999999989E-2</v>
      </c>
      <c r="AB205" s="116">
        <f>+DJ205-DH205</f>
        <v>-0.17199999999999999</v>
      </c>
      <c r="AC205" s="223">
        <f t="shared" si="494"/>
        <v>-0.42099999999999999</v>
      </c>
      <c r="AD205" s="136">
        <f>+DK205</f>
        <v>-4.1000000000000002E-2</v>
      </c>
      <c r="AE205" s="135">
        <f t="shared" si="495"/>
        <v>4.9000000000000002E-2</v>
      </c>
      <c r="AF205" s="135">
        <f t="shared" si="495"/>
        <v>-2.0999999999999998E-2</v>
      </c>
      <c r="AG205" s="116">
        <f>+DO205-DM205</f>
        <v>-0.153</v>
      </c>
      <c r="AH205" s="223">
        <f t="shared" si="496"/>
        <v>-0.16600000000000001</v>
      </c>
      <c r="AI205" s="136">
        <f>+DP205</f>
        <v>-0.09</v>
      </c>
      <c r="AJ205" s="135">
        <f t="shared" si="497"/>
        <v>5.2999999999999999E-2</v>
      </c>
      <c r="AK205" s="135">
        <f t="shared" si="497"/>
        <v>-5.2999999999999999E-2</v>
      </c>
      <c r="AL205" s="116">
        <f>+DT205-DR205</f>
        <v>-0.13400000000000001</v>
      </c>
      <c r="AM205" s="223">
        <f t="shared" si="498"/>
        <v>-0.224</v>
      </c>
      <c r="AN205" s="136">
        <f>+DU205</f>
        <v>0.29199999999999998</v>
      </c>
      <c r="AO205" s="135">
        <f t="shared" si="499"/>
        <v>0.39500000000000007</v>
      </c>
      <c r="AP205" s="135">
        <f t="shared" si="499"/>
        <v>9.3999999999999972E-2</v>
      </c>
      <c r="AQ205" s="116">
        <f>+DY205-DW205</f>
        <v>0.41699999999999993</v>
      </c>
      <c r="AR205" s="223">
        <f t="shared" si="500"/>
        <v>1.198</v>
      </c>
      <c r="AS205" s="136">
        <f>+DZ205</f>
        <v>-0.159</v>
      </c>
      <c r="AT205" s="135">
        <f t="shared" si="501"/>
        <v>0.126</v>
      </c>
      <c r="AU205" s="135">
        <f t="shared" si="502"/>
        <v>2.3E-2</v>
      </c>
      <c r="AV205" s="116">
        <f>+ED205-EB205</f>
        <v>-3.9E-2</v>
      </c>
      <c r="AW205" s="223">
        <f t="shared" si="503"/>
        <v>-4.9000000000000002E-2</v>
      </c>
      <c r="AX205" s="136">
        <f>+BB205/4</f>
        <v>0</v>
      </c>
      <c r="AY205" s="135">
        <f>(BB205-SUM(AX205:AX205))/3</f>
        <v>0</v>
      </c>
      <c r="AZ205" s="135">
        <f>(BB205-SUM(AX205:AY205))/2</f>
        <v>0</v>
      </c>
      <c r="BA205" s="116">
        <f>(BB205-SUM(AX205:AZ205))/1</f>
        <v>0</v>
      </c>
      <c r="BB205" s="34">
        <v>0</v>
      </c>
      <c r="BC205" s="136">
        <f>+BG205/4</f>
        <v>0</v>
      </c>
      <c r="BD205" s="135">
        <f>(BG205-SUM(BC205:BC205))/3</f>
        <v>0</v>
      </c>
      <c r="BE205" s="135">
        <f>(BG205-SUM(BC205:BD205))/2</f>
        <v>0</v>
      </c>
      <c r="BF205" s="116">
        <f>(BG205-SUM(BC205:BE205))/1</f>
        <v>0</v>
      </c>
      <c r="BG205" s="34">
        <v>0</v>
      </c>
      <c r="BH205" s="136">
        <f>+BL205/4</f>
        <v>0</v>
      </c>
      <c r="BI205" s="135">
        <f>(BL205-SUM(BH205:BH205))/3</f>
        <v>0</v>
      </c>
      <c r="BJ205" s="135">
        <f>(BL205-SUM(BH205:BI205))/2</f>
        <v>0</v>
      </c>
      <c r="BK205" s="116">
        <f>(BL205-SUM(BH205:BJ205))/1</f>
        <v>0</v>
      </c>
      <c r="BL205" s="34">
        <v>0</v>
      </c>
      <c r="BM205" s="136">
        <f>+BQ205/4</f>
        <v>0</v>
      </c>
      <c r="BN205" s="135">
        <f>(BQ205-SUM(BM205:BM205))/3</f>
        <v>0</v>
      </c>
      <c r="BO205" s="135">
        <f>(BQ205-SUM(BM205:BN205))/2</f>
        <v>0</v>
      </c>
      <c r="BP205" s="116">
        <f>(BQ205-SUM(BM205:BO205))/1</f>
        <v>0</v>
      </c>
      <c r="BQ205" s="34">
        <v>0</v>
      </c>
      <c r="BR205" s="220"/>
      <c r="BS205" s="220"/>
      <c r="BT205" s="220"/>
      <c r="BU205" s="220"/>
      <c r="BV205" s="220"/>
      <c r="BW205" s="220"/>
      <c r="BX205" s="220"/>
      <c r="BY205" s="220"/>
      <c r="BZ205" s="220"/>
      <c r="CA205" s="220"/>
      <c r="CB205" s="220"/>
      <c r="CC205" s="220"/>
      <c r="CD205" s="220"/>
      <c r="CE205" s="220"/>
      <c r="CF205" s="220"/>
      <c r="CG205" s="220"/>
      <c r="CH205" s="220"/>
      <c r="CI205" s="220"/>
      <c r="CJ205" s="220"/>
      <c r="CK205" s="220"/>
      <c r="CL205" s="117">
        <v>2.7770000000000001</v>
      </c>
      <c r="CM205" s="117">
        <v>4.6349999999999998</v>
      </c>
      <c r="CN205" s="117">
        <v>4.5960000000000001</v>
      </c>
      <c r="CO205" s="82">
        <f>CP205-CN205</f>
        <v>0.54399999999999959</v>
      </c>
      <c r="CP205" s="117">
        <v>5.14</v>
      </c>
      <c r="CQ205" s="117">
        <v>2.2429999999999999</v>
      </c>
      <c r="CR205" s="117">
        <v>2.2810000000000001</v>
      </c>
      <c r="CS205" s="117">
        <v>2.1459999999999999</v>
      </c>
      <c r="CT205" s="82">
        <f>CU205-CS205</f>
        <v>0.14500000000000002</v>
      </c>
      <c r="CU205" s="117">
        <v>2.2909999999999999</v>
      </c>
      <c r="CV205" s="117">
        <v>-0.17399999999999999</v>
      </c>
      <c r="CW205" s="117">
        <v>-4.2999999999999997E-2</v>
      </c>
      <c r="CX205" s="117">
        <v>-5.1999999999999998E-2</v>
      </c>
      <c r="CY205" s="82">
        <f>CZ205-CX205</f>
        <v>-6.0000000000000005E-2</v>
      </c>
      <c r="CZ205" s="117">
        <v>-0.112</v>
      </c>
      <c r="DA205" s="117">
        <v>1.034</v>
      </c>
      <c r="DB205" s="117">
        <v>1.105</v>
      </c>
      <c r="DC205" s="117">
        <v>1.0960000000000001</v>
      </c>
      <c r="DD205" s="82">
        <f>DE205-DC205</f>
        <v>-0.18000000000000005</v>
      </c>
      <c r="DE205" s="117">
        <v>0.91600000000000004</v>
      </c>
      <c r="DF205" s="117">
        <v>-9.6000000000000002E-2</v>
      </c>
      <c r="DG205" s="117">
        <v>-0.23</v>
      </c>
      <c r="DH205" s="117">
        <v>-0.249</v>
      </c>
      <c r="DI205" s="82">
        <f>DJ205-DH205</f>
        <v>-0.17199999999999999</v>
      </c>
      <c r="DJ205" s="117">
        <v>-0.42099999999999999</v>
      </c>
      <c r="DK205" s="117">
        <v>-4.1000000000000002E-2</v>
      </c>
      <c r="DL205" s="117">
        <v>8.0000000000000002E-3</v>
      </c>
      <c r="DM205" s="117">
        <v>-1.2999999999999999E-2</v>
      </c>
      <c r="DN205" s="82">
        <f>DO205-DM205</f>
        <v>-0.153</v>
      </c>
      <c r="DO205" s="117">
        <v>-0.16600000000000001</v>
      </c>
      <c r="DP205" s="117">
        <v>-0.09</v>
      </c>
      <c r="DQ205" s="117">
        <v>-3.6999999999999998E-2</v>
      </c>
      <c r="DR205" s="117">
        <v>-0.09</v>
      </c>
      <c r="DS205" s="82">
        <f>DT205-DR205</f>
        <v>-0.13400000000000001</v>
      </c>
      <c r="DT205" s="117">
        <v>-0.224</v>
      </c>
      <c r="DU205" s="117">
        <v>0.29199999999999998</v>
      </c>
      <c r="DV205" s="117">
        <v>0.68700000000000006</v>
      </c>
      <c r="DW205" s="117">
        <v>0.78100000000000003</v>
      </c>
      <c r="DX205" s="82">
        <f>DY205-DW205</f>
        <v>0.41699999999999993</v>
      </c>
      <c r="DY205" s="117">
        <v>1.198</v>
      </c>
      <c r="DZ205" s="117">
        <v>-0.159</v>
      </c>
      <c r="EA205" s="117">
        <v>-3.3000000000000002E-2</v>
      </c>
      <c r="EB205" s="117">
        <v>-0.01</v>
      </c>
      <c r="EC205" s="82">
        <f>ED205-EB205</f>
        <v>-3.9E-2</v>
      </c>
      <c r="ED205" s="117">
        <v>-4.9000000000000002E-2</v>
      </c>
    </row>
    <row r="206" spans="1:134" x14ac:dyDescent="0.2">
      <c r="A206" s="220"/>
      <c r="B206" s="220"/>
      <c r="C206" s="141" t="s">
        <v>185</v>
      </c>
      <c r="D206" s="82"/>
      <c r="E206" s="121">
        <f>SUM(E203:E205)</f>
        <v>-17.910999999999998</v>
      </c>
      <c r="F206" s="122">
        <f>SUM(F203:F205)</f>
        <v>-22.452999999999999</v>
      </c>
      <c r="G206" s="122">
        <f>SUM(G203:G205)</f>
        <v>-23.878999999999998</v>
      </c>
      <c r="H206" s="123">
        <f>SUM(H203:H205)</f>
        <v>-34.388000000000005</v>
      </c>
      <c r="I206" s="127">
        <f t="shared" si="486"/>
        <v>-98.631</v>
      </c>
      <c r="J206" s="121">
        <f>SUM(J203:J205)</f>
        <v>-23.494</v>
      </c>
      <c r="K206" s="122">
        <f>SUM(K203:K205)</f>
        <v>-29.169999999999998</v>
      </c>
      <c r="L206" s="122">
        <f>SUM(L203:L205)</f>
        <v>-33.616999999999997</v>
      </c>
      <c r="M206" s="123">
        <f>SUM(M203:M205)</f>
        <v>-38.10799999999999</v>
      </c>
      <c r="N206" s="127">
        <f t="shared" si="488"/>
        <v>-124.389</v>
      </c>
      <c r="O206" s="121">
        <f>SUM(O203:O205)</f>
        <v>-26.267999999999997</v>
      </c>
      <c r="P206" s="122">
        <f>SUM(P203:P205)</f>
        <v>-31.583000000000006</v>
      </c>
      <c r="Q206" s="122">
        <f>SUM(Q203:Q205)</f>
        <v>-34.187999999999995</v>
      </c>
      <c r="R206" s="123">
        <f>SUM(R203:R205)</f>
        <v>-48.048000000000002</v>
      </c>
      <c r="S206" s="127">
        <f t="shared" si="490"/>
        <v>-140.08699999999999</v>
      </c>
      <c r="T206" s="121">
        <f>SUM(T203:T205)</f>
        <v>-34.714999999999996</v>
      </c>
      <c r="U206" s="122">
        <f>SUM(U203:U205)</f>
        <v>-34.646000000000008</v>
      </c>
      <c r="V206" s="122">
        <f>SUM(V203:V205)</f>
        <v>-34.716999999999992</v>
      </c>
      <c r="W206" s="123">
        <f>SUM(W203:W205)</f>
        <v>-45.660999999999987</v>
      </c>
      <c r="X206" s="127">
        <f t="shared" si="492"/>
        <v>-149.73899999999998</v>
      </c>
      <c r="Y206" s="121">
        <f>SUM(Y203:Y205)</f>
        <v>-38.519999999999996</v>
      </c>
      <c r="Z206" s="122">
        <f>SUM(Z203:Z205)</f>
        <v>-41.586999999999996</v>
      </c>
      <c r="AA206" s="122">
        <f>SUM(AA203:AA205)</f>
        <v>-52.028999999999996</v>
      </c>
      <c r="AB206" s="123">
        <f>SUM(AB203:AB205)</f>
        <v>-65.304000000000002</v>
      </c>
      <c r="AC206" s="127">
        <f t="shared" si="494"/>
        <v>-197.44</v>
      </c>
      <c r="AD206" s="121">
        <f>SUM(AD203:AD205)</f>
        <v>-58.167999999999992</v>
      </c>
      <c r="AE206" s="122">
        <f>SUM(AE203:AE205)</f>
        <v>-63.108999999999995</v>
      </c>
      <c r="AF206" s="122">
        <f>SUM(AF203:AF205)</f>
        <v>-68.707000000000008</v>
      </c>
      <c r="AG206" s="123">
        <f>SUM(AG203:AG205)</f>
        <v>-91.331000000000017</v>
      </c>
      <c r="AH206" s="127">
        <f t="shared" si="496"/>
        <v>-281.315</v>
      </c>
      <c r="AI206" s="121">
        <f>SUM(AI203:AI205)</f>
        <v>-77.797000000000011</v>
      </c>
      <c r="AJ206" s="122">
        <f>SUM(AJ203:AJ205)</f>
        <v>-68.686000000000007</v>
      </c>
      <c r="AK206" s="122">
        <f>SUM(AK203:AK205)</f>
        <v>-19.266999999999999</v>
      </c>
      <c r="AL206" s="123">
        <f>SUM(AL203:AL205)</f>
        <v>-79.017999999999986</v>
      </c>
      <c r="AM206" s="127">
        <f t="shared" si="498"/>
        <v>-244.76799999999997</v>
      </c>
      <c r="AN206" s="121">
        <f>SUM(AN203:AN205)</f>
        <v>-43.552999999999997</v>
      </c>
      <c r="AO206" s="122">
        <f>SUM(AO203:AO205)</f>
        <v>-41.822999999999993</v>
      </c>
      <c r="AP206" s="122">
        <f>SUM(AP203:AP205)</f>
        <v>-49.490000000000016</v>
      </c>
      <c r="AQ206" s="123">
        <f>SUM(AQ203:AQ205)</f>
        <v>-64.08599999999997</v>
      </c>
      <c r="AR206" s="127">
        <f t="shared" si="500"/>
        <v>-198.952</v>
      </c>
      <c r="AS206" s="121">
        <f>SUM(AS203:AS205)</f>
        <v>-46.871000000000002</v>
      </c>
      <c r="AT206" s="122">
        <f>SUM(AT203:AT205)</f>
        <v>-40.859000000000002</v>
      </c>
      <c r="AU206" s="122">
        <f>SUM(AU203:AU205)</f>
        <v>-52.976999999999997</v>
      </c>
      <c r="AV206" s="123">
        <f>SUM(AV203:AV205)</f>
        <v>-71.435999999999993</v>
      </c>
      <c r="AW206" s="127">
        <f t="shared" si="503"/>
        <v>-212.143</v>
      </c>
      <c r="AX206" s="121">
        <f t="shared" ref="AX206:BG206" si="504">SUM(AX203:AX205)</f>
        <v>-60.587688698863353</v>
      </c>
      <c r="AY206" s="122">
        <f t="shared" si="504"/>
        <v>-60.587688698863353</v>
      </c>
      <c r="AZ206" s="122">
        <f t="shared" si="504"/>
        <v>-60.587688698863353</v>
      </c>
      <c r="BA206" s="123">
        <f t="shared" si="504"/>
        <v>-60.587688698863353</v>
      </c>
      <c r="BB206" s="86">
        <f t="shared" si="504"/>
        <v>-242.35075479545341</v>
      </c>
      <c r="BC206" s="121">
        <f t="shared" si="504"/>
        <v>-60.587688698863353</v>
      </c>
      <c r="BD206" s="122">
        <f t="shared" si="504"/>
        <v>-60.587688698863353</v>
      </c>
      <c r="BE206" s="122">
        <f t="shared" si="504"/>
        <v>-60.587688698863353</v>
      </c>
      <c r="BF206" s="123">
        <f t="shared" si="504"/>
        <v>-60.587688698863353</v>
      </c>
      <c r="BG206" s="86">
        <f t="shared" si="504"/>
        <v>-242.35075479545341</v>
      </c>
      <c r="BH206" s="121">
        <f t="shared" ref="BH206:BQ206" si="505">SUM(BH203:BH205)</f>
        <v>-58.164181150908817</v>
      </c>
      <c r="BI206" s="122">
        <f t="shared" si="505"/>
        <v>-58.164181150908817</v>
      </c>
      <c r="BJ206" s="122">
        <f t="shared" si="505"/>
        <v>-58.164181150908817</v>
      </c>
      <c r="BK206" s="123">
        <f t="shared" si="505"/>
        <v>-58.164181150908817</v>
      </c>
      <c r="BL206" s="86">
        <f t="shared" si="505"/>
        <v>-232.65672460363527</v>
      </c>
      <c r="BM206" s="121">
        <f t="shared" si="505"/>
        <v>-67.858211342726946</v>
      </c>
      <c r="BN206" s="122">
        <f t="shared" si="505"/>
        <v>-67.858211342726946</v>
      </c>
      <c r="BO206" s="122">
        <f t="shared" si="505"/>
        <v>-67.858211342726946</v>
      </c>
      <c r="BP206" s="123">
        <f t="shared" si="505"/>
        <v>-67.858211342726946</v>
      </c>
      <c r="BQ206" s="86">
        <f t="shared" si="505"/>
        <v>-271.43284537090778</v>
      </c>
      <c r="BR206" s="220"/>
      <c r="BS206" s="220"/>
      <c r="BT206" s="220"/>
      <c r="BU206" s="220"/>
      <c r="BV206" s="220"/>
      <c r="BW206" s="220"/>
      <c r="BX206" s="220"/>
      <c r="BY206" s="220"/>
      <c r="BZ206" s="220"/>
      <c r="CA206" s="220"/>
      <c r="CB206" s="220"/>
      <c r="CC206" s="220"/>
      <c r="CD206" s="220"/>
      <c r="CE206" s="220"/>
      <c r="CF206" s="220"/>
      <c r="CG206" s="220"/>
      <c r="CH206" s="220"/>
      <c r="CI206" s="220"/>
      <c r="CJ206" s="220"/>
      <c r="CK206" s="220"/>
      <c r="CL206" s="86">
        <f t="shared" ref="CL206:CW206" si="506">SUM(CL203:CL205)</f>
        <v>-17.910999999999998</v>
      </c>
      <c r="CM206" s="86">
        <f t="shared" si="506"/>
        <v>-40.364000000000004</v>
      </c>
      <c r="CN206" s="86">
        <f t="shared" si="506"/>
        <v>-64.242999999999995</v>
      </c>
      <c r="CO206" s="86">
        <f t="shared" si="506"/>
        <v>-34.388000000000005</v>
      </c>
      <c r="CP206" s="86">
        <f t="shared" si="506"/>
        <v>-98.631</v>
      </c>
      <c r="CQ206" s="86">
        <f t="shared" si="506"/>
        <v>-23.494</v>
      </c>
      <c r="CR206" s="86">
        <f t="shared" si="506"/>
        <v>-52.664000000000001</v>
      </c>
      <c r="CS206" s="86">
        <f t="shared" si="506"/>
        <v>-86.281000000000006</v>
      </c>
      <c r="CT206" s="86">
        <f t="shared" si="506"/>
        <v>-38.10799999999999</v>
      </c>
      <c r="CU206" s="86">
        <f t="shared" si="506"/>
        <v>-124.389</v>
      </c>
      <c r="CV206" s="86">
        <f t="shared" si="506"/>
        <v>-26.267999999999997</v>
      </c>
      <c r="CW206" s="86">
        <f t="shared" si="506"/>
        <v>-57.850999999999999</v>
      </c>
      <c r="CX206" s="86">
        <f t="shared" ref="CX206:DC206" si="507">SUM(CX203:CX205)</f>
        <v>-92.039000000000001</v>
      </c>
      <c r="CY206" s="86">
        <f t="shared" si="507"/>
        <v>-48.048000000000002</v>
      </c>
      <c r="CZ206" s="86">
        <f t="shared" si="507"/>
        <v>-140.08699999999999</v>
      </c>
      <c r="DA206" s="86">
        <f t="shared" si="507"/>
        <v>-34.714999999999996</v>
      </c>
      <c r="DB206" s="86">
        <f t="shared" si="507"/>
        <v>-69.361000000000004</v>
      </c>
      <c r="DC206" s="86">
        <f t="shared" si="507"/>
        <v>-104.07799999999999</v>
      </c>
      <c r="DD206" s="86">
        <f t="shared" ref="DD206:DK206" si="508">SUM(DD203:DD205)</f>
        <v>-45.660999999999987</v>
      </c>
      <c r="DE206" s="86">
        <f t="shared" si="508"/>
        <v>-149.73899999999998</v>
      </c>
      <c r="DF206" s="86">
        <f t="shared" si="508"/>
        <v>-38.519999999999996</v>
      </c>
      <c r="DG206" s="86">
        <f t="shared" si="508"/>
        <v>-80.106999999999999</v>
      </c>
      <c r="DH206" s="86">
        <f t="shared" si="508"/>
        <v>-132.136</v>
      </c>
      <c r="DI206" s="86">
        <f t="shared" si="508"/>
        <v>-65.304000000000002</v>
      </c>
      <c r="DJ206" s="86">
        <f t="shared" si="508"/>
        <v>-197.44</v>
      </c>
      <c r="DK206" s="86">
        <f t="shared" si="508"/>
        <v>-58.167999999999992</v>
      </c>
      <c r="DL206" s="86">
        <f t="shared" ref="DL206:DQ206" si="509">SUM(DL203:DL205)</f>
        <v>-121.277</v>
      </c>
      <c r="DM206" s="86">
        <f t="shared" si="509"/>
        <v>-189.98400000000001</v>
      </c>
      <c r="DN206" s="86">
        <f t="shared" si="509"/>
        <v>-91.331000000000017</v>
      </c>
      <c r="DO206" s="86">
        <f t="shared" si="509"/>
        <v>-281.315</v>
      </c>
      <c r="DP206" s="86">
        <f t="shared" si="509"/>
        <v>-77.797000000000011</v>
      </c>
      <c r="DQ206" s="86">
        <f t="shared" si="509"/>
        <v>-146.48300000000003</v>
      </c>
      <c r="DR206" s="86">
        <f t="shared" ref="DR206:DW206" si="510">SUM(DR203:DR205)</f>
        <v>-165.75000000000003</v>
      </c>
      <c r="DS206" s="86">
        <f t="shared" si="510"/>
        <v>-79.017999999999986</v>
      </c>
      <c r="DT206" s="86">
        <f t="shared" si="510"/>
        <v>-244.76799999999997</v>
      </c>
      <c r="DU206" s="86">
        <f t="shared" si="510"/>
        <v>-43.552999999999997</v>
      </c>
      <c r="DV206" s="86">
        <f t="shared" si="510"/>
        <v>-85.376000000000005</v>
      </c>
      <c r="DW206" s="86">
        <f t="shared" si="510"/>
        <v>-134.86600000000001</v>
      </c>
      <c r="DX206" s="86">
        <f t="shared" ref="DX206:ED206" si="511">SUM(DX203:DX205)</f>
        <v>-64.08599999999997</v>
      </c>
      <c r="DY206" s="86">
        <f t="shared" si="511"/>
        <v>-198.952</v>
      </c>
      <c r="DZ206" s="86">
        <f t="shared" si="511"/>
        <v>-46.871000000000002</v>
      </c>
      <c r="EA206" s="86">
        <f t="shared" si="511"/>
        <v>-87.73</v>
      </c>
      <c r="EB206" s="86">
        <f t="shared" si="511"/>
        <v>-140.70699999999999</v>
      </c>
      <c r="EC206" s="86">
        <f t="shared" si="511"/>
        <v>-71.435999999999993</v>
      </c>
      <c r="ED206" s="86">
        <f t="shared" si="511"/>
        <v>-212.143</v>
      </c>
    </row>
    <row r="207" spans="1:134" x14ac:dyDescent="0.2">
      <c r="A207" s="220"/>
      <c r="B207" s="220"/>
      <c r="C207" s="70"/>
      <c r="D207" s="82"/>
      <c r="E207" s="136"/>
      <c r="F207" s="137"/>
      <c r="G207" s="137"/>
      <c r="H207" s="116"/>
      <c r="I207" s="223">
        <f t="shared" si="486"/>
        <v>0</v>
      </c>
      <c r="J207" s="136"/>
      <c r="K207" s="137"/>
      <c r="L207" s="137"/>
      <c r="M207" s="116"/>
      <c r="N207" s="223">
        <f t="shared" si="488"/>
        <v>0</v>
      </c>
      <c r="O207" s="136"/>
      <c r="P207" s="137"/>
      <c r="Q207" s="137"/>
      <c r="R207" s="116"/>
      <c r="S207" s="223">
        <f t="shared" si="490"/>
        <v>0</v>
      </c>
      <c r="T207" s="136"/>
      <c r="U207" s="137"/>
      <c r="V207" s="137"/>
      <c r="W207" s="116"/>
      <c r="X207" s="223">
        <f t="shared" si="492"/>
        <v>0</v>
      </c>
      <c r="Y207" s="136"/>
      <c r="Z207" s="137"/>
      <c r="AA207" s="137"/>
      <c r="AB207" s="116"/>
      <c r="AC207" s="223">
        <f t="shared" si="494"/>
        <v>0</v>
      </c>
      <c r="AD207" s="136"/>
      <c r="AE207" s="137"/>
      <c r="AF207" s="137"/>
      <c r="AG207" s="116"/>
      <c r="AH207" s="223">
        <f t="shared" si="496"/>
        <v>0</v>
      </c>
      <c r="AI207" s="136"/>
      <c r="AJ207" s="137"/>
      <c r="AK207" s="137"/>
      <c r="AL207" s="116"/>
      <c r="AM207" s="223">
        <f t="shared" si="498"/>
        <v>0</v>
      </c>
      <c r="AN207" s="136"/>
      <c r="AO207" s="137"/>
      <c r="AP207" s="137"/>
      <c r="AQ207" s="116"/>
      <c r="AR207" s="223">
        <f t="shared" si="500"/>
        <v>0</v>
      </c>
      <c r="AS207" s="136"/>
      <c r="AT207" s="137"/>
      <c r="AU207" s="137"/>
      <c r="AV207" s="116"/>
      <c r="AW207" s="223">
        <f t="shared" si="503"/>
        <v>0</v>
      </c>
      <c r="AX207" s="136"/>
      <c r="AY207" s="137"/>
      <c r="AZ207" s="137"/>
      <c r="BA207" s="116"/>
      <c r="BB207" s="220"/>
      <c r="BC207" s="136"/>
      <c r="BD207" s="137"/>
      <c r="BE207" s="137"/>
      <c r="BF207" s="116"/>
      <c r="BG207" s="220"/>
      <c r="BH207" s="136"/>
      <c r="BI207" s="137"/>
      <c r="BJ207" s="137"/>
      <c r="BK207" s="116"/>
      <c r="BL207" s="220"/>
      <c r="BM207" s="136"/>
      <c r="BN207" s="137"/>
      <c r="BO207" s="137"/>
      <c r="BP207" s="116"/>
      <c r="BQ207" s="220"/>
      <c r="BR207" s="220"/>
      <c r="BS207" s="220"/>
      <c r="BT207" s="220"/>
      <c r="BU207" s="220"/>
      <c r="BV207" s="220"/>
      <c r="BW207" s="220"/>
      <c r="BX207" s="220"/>
      <c r="BY207" s="220"/>
      <c r="BZ207" s="220"/>
      <c r="CA207" s="220"/>
      <c r="CB207" s="220"/>
      <c r="CC207" s="220"/>
      <c r="CD207" s="220"/>
      <c r="CE207" s="220"/>
      <c r="CF207" s="220"/>
      <c r="CG207" s="220"/>
      <c r="CH207" s="220"/>
      <c r="CI207" s="220"/>
      <c r="CJ207" s="220"/>
      <c r="CK207" s="220"/>
      <c r="CL207" s="220"/>
      <c r="CM207" s="220"/>
      <c r="CN207" s="220"/>
      <c r="CO207" s="220"/>
      <c r="CP207" s="220"/>
      <c r="CQ207" s="220"/>
      <c r="CR207" s="220"/>
      <c r="CS207" s="220"/>
      <c r="CT207" s="220"/>
      <c r="CU207" s="220"/>
      <c r="CV207" s="220"/>
      <c r="CW207" s="220"/>
      <c r="CX207" s="117"/>
      <c r="CY207" s="220"/>
      <c r="CZ207" s="220"/>
      <c r="DA207" s="220"/>
      <c r="DB207" s="220"/>
      <c r="DC207" s="117"/>
      <c r="DD207" s="220"/>
      <c r="DE207" s="220"/>
      <c r="DF207" s="220"/>
      <c r="DG207" s="220"/>
      <c r="DH207" s="117"/>
      <c r="DI207" s="220"/>
      <c r="DJ207" s="220"/>
      <c r="DK207" s="220"/>
      <c r="DL207" s="220"/>
      <c r="DM207" s="117"/>
      <c r="DN207" s="220"/>
      <c r="DO207" s="220"/>
      <c r="DP207" s="220"/>
      <c r="DR207" s="117"/>
      <c r="DS207" s="220"/>
      <c r="DT207" s="220"/>
      <c r="DU207" s="220"/>
      <c r="DX207" s="220"/>
      <c r="DY207" s="220"/>
      <c r="DZ207" s="220"/>
      <c r="EC207" s="220"/>
      <c r="ED207" s="220"/>
    </row>
    <row r="208" spans="1:134" x14ac:dyDescent="0.2">
      <c r="A208" s="220"/>
      <c r="B208" s="220"/>
      <c r="C208" s="70" t="s">
        <v>186</v>
      </c>
      <c r="D208" s="82"/>
      <c r="E208" s="136">
        <f>+CL208</f>
        <v>0</v>
      </c>
      <c r="F208" s="135">
        <f t="shared" ref="F208:G212" si="512">+CM208-CL208</f>
        <v>0</v>
      </c>
      <c r="G208" s="135">
        <f t="shared" si="512"/>
        <v>0</v>
      </c>
      <c r="H208" s="116">
        <f>+CP208-CN208</f>
        <v>0</v>
      </c>
      <c r="I208" s="223">
        <f t="shared" si="486"/>
        <v>0</v>
      </c>
      <c r="J208" s="136">
        <f>+CQ208</f>
        <v>0</v>
      </c>
      <c r="K208" s="135">
        <f t="shared" ref="K208:L212" si="513">+CR208-CQ208</f>
        <v>0</v>
      </c>
      <c r="L208" s="135">
        <f t="shared" si="513"/>
        <v>0</v>
      </c>
      <c r="M208" s="116">
        <f>+CU208-CS208</f>
        <v>0</v>
      </c>
      <c r="N208" s="223">
        <f t="shared" si="488"/>
        <v>0</v>
      </c>
      <c r="O208" s="136">
        <f>+CV208</f>
        <v>0</v>
      </c>
      <c r="P208" s="135">
        <f t="shared" ref="P208:Q212" si="514">+CW208-CV208</f>
        <v>0</v>
      </c>
      <c r="Q208" s="135">
        <f t="shared" si="514"/>
        <v>0</v>
      </c>
      <c r="R208" s="116">
        <f>+CZ208-CX208</f>
        <v>0</v>
      </c>
      <c r="S208" s="223">
        <f t="shared" si="490"/>
        <v>0</v>
      </c>
      <c r="T208" s="136">
        <f>+DA208</f>
        <v>0</v>
      </c>
      <c r="U208" s="135">
        <f t="shared" ref="U208:V212" si="515">+DB208-DA208</f>
        <v>0</v>
      </c>
      <c r="V208" s="135">
        <f t="shared" si="515"/>
        <v>0</v>
      </c>
      <c r="W208" s="116">
        <f>+DE208-DC208</f>
        <v>97.915999999999997</v>
      </c>
      <c r="X208" s="223">
        <f t="shared" si="492"/>
        <v>97.915999999999997</v>
      </c>
      <c r="Y208" s="136">
        <f>+DF208</f>
        <v>0</v>
      </c>
      <c r="Z208" s="135">
        <f t="shared" ref="Z208:AA212" si="516">+DG208-DF208</f>
        <v>0</v>
      </c>
      <c r="AA208" s="135">
        <f t="shared" si="516"/>
        <v>0</v>
      </c>
      <c r="AB208" s="116">
        <f>+DJ208-DH208</f>
        <v>0</v>
      </c>
      <c r="AC208" s="223">
        <f t="shared" si="494"/>
        <v>0</v>
      </c>
      <c r="AD208" s="136">
        <f>+DK208</f>
        <v>0</v>
      </c>
      <c r="AE208" s="135">
        <f t="shared" ref="AE208:AF212" si="517">+DL208-DK208</f>
        <v>98.926000000000002</v>
      </c>
      <c r="AF208" s="135">
        <f t="shared" si="517"/>
        <v>-0.30100000000000193</v>
      </c>
      <c r="AG208" s="116">
        <f>+DO208-DM208</f>
        <v>-9.0999999999993975E-2</v>
      </c>
      <c r="AH208" s="223">
        <f t="shared" si="496"/>
        <v>98.534000000000006</v>
      </c>
      <c r="AI208" s="136">
        <f>+DP208</f>
        <v>0</v>
      </c>
      <c r="AJ208" s="135">
        <f t="shared" ref="AJ208:AK212" si="518">+DQ208-DP208</f>
        <v>98.375</v>
      </c>
      <c r="AK208" s="135">
        <f t="shared" si="518"/>
        <v>-0.3370000000000033</v>
      </c>
      <c r="AL208" s="116">
        <f>+DT208-DR208</f>
        <v>-6.9000000000002615E-2</v>
      </c>
      <c r="AM208" s="223">
        <f t="shared" si="498"/>
        <v>97.968999999999994</v>
      </c>
      <c r="AN208" s="136">
        <f>+DU208</f>
        <v>0</v>
      </c>
      <c r="AO208" s="135">
        <f t="shared" ref="AO208:AP212" si="519">+DV208-DU208</f>
        <v>0</v>
      </c>
      <c r="AP208" s="135">
        <f t="shared" si="519"/>
        <v>0</v>
      </c>
      <c r="AQ208" s="116">
        <f>+DY208-DW208</f>
        <v>0</v>
      </c>
      <c r="AR208" s="223">
        <f t="shared" si="500"/>
        <v>0</v>
      </c>
      <c r="AS208" s="136">
        <f>+DZ208</f>
        <v>0</v>
      </c>
      <c r="AT208" s="135">
        <f t="shared" ref="AT208:AT212" si="520">+EA208-DZ208</f>
        <v>0</v>
      </c>
      <c r="AU208" s="135">
        <f t="shared" ref="AU208:AU212" si="521">+EB208-EA208</f>
        <v>0</v>
      </c>
      <c r="AV208" s="116">
        <f>+ED208-EB208</f>
        <v>97.454999999999998</v>
      </c>
      <c r="AW208" s="223">
        <f t="shared" si="503"/>
        <v>97.454999999999998</v>
      </c>
      <c r="AX208" s="136">
        <f t="shared" ref="AX208:BA209" si="522">+AX182</f>
        <v>0</v>
      </c>
      <c r="AY208" s="135">
        <f t="shared" si="522"/>
        <v>0</v>
      </c>
      <c r="AZ208" s="135">
        <f t="shared" si="522"/>
        <v>0</v>
      </c>
      <c r="BA208" s="116">
        <f t="shared" si="522"/>
        <v>200</v>
      </c>
      <c r="BB208" s="82">
        <f>SUM(AX208:BA208)</f>
        <v>200</v>
      </c>
      <c r="BC208" s="136">
        <f t="shared" ref="BC208:BF209" si="523">+BC182</f>
        <v>0</v>
      </c>
      <c r="BD208" s="135">
        <f t="shared" si="523"/>
        <v>0</v>
      </c>
      <c r="BE208" s="135">
        <f t="shared" si="523"/>
        <v>50</v>
      </c>
      <c r="BF208" s="116">
        <f t="shared" si="523"/>
        <v>0</v>
      </c>
      <c r="BG208" s="82">
        <f>SUM(BC208:BF208)</f>
        <v>50</v>
      </c>
      <c r="BH208" s="136">
        <f t="shared" ref="BH208:BK209" si="524">+BH182</f>
        <v>0</v>
      </c>
      <c r="BI208" s="135">
        <f t="shared" si="524"/>
        <v>0</v>
      </c>
      <c r="BJ208" s="135">
        <f t="shared" si="524"/>
        <v>50</v>
      </c>
      <c r="BK208" s="116">
        <f t="shared" si="524"/>
        <v>0</v>
      </c>
      <c r="BL208" s="82">
        <f>SUM(BH208:BK208)</f>
        <v>50</v>
      </c>
      <c r="BM208" s="136">
        <f t="shared" ref="BM208:BP208" si="525">+BM182</f>
        <v>0</v>
      </c>
      <c r="BN208" s="135">
        <f t="shared" si="525"/>
        <v>0</v>
      </c>
      <c r="BO208" s="135">
        <f t="shared" si="525"/>
        <v>50</v>
      </c>
      <c r="BP208" s="116">
        <f t="shared" si="525"/>
        <v>0</v>
      </c>
      <c r="BQ208" s="82">
        <f>SUM(BM208:BP208)</f>
        <v>50</v>
      </c>
      <c r="BR208" s="220"/>
      <c r="BS208" s="220"/>
      <c r="BT208" s="220"/>
      <c r="BU208" s="220"/>
      <c r="BV208" s="220"/>
      <c r="BW208" s="220"/>
      <c r="BX208" s="220"/>
      <c r="BY208" s="220"/>
      <c r="BZ208" s="220"/>
      <c r="CA208" s="220"/>
      <c r="CB208" s="220"/>
      <c r="CC208" s="220"/>
      <c r="CD208" s="220"/>
      <c r="CE208" s="220"/>
      <c r="CF208" s="220"/>
      <c r="CG208" s="220"/>
      <c r="CH208" s="220"/>
      <c r="CI208" s="220"/>
      <c r="CJ208" s="220"/>
      <c r="CK208" s="220"/>
      <c r="CL208" s="117">
        <v>0</v>
      </c>
      <c r="CM208" s="117">
        <v>0</v>
      </c>
      <c r="CN208" s="117">
        <v>0</v>
      </c>
      <c r="CO208" s="82">
        <f>CP208-CN208</f>
        <v>0</v>
      </c>
      <c r="CP208" s="117">
        <v>0</v>
      </c>
      <c r="CQ208" s="117">
        <v>0</v>
      </c>
      <c r="CR208" s="117">
        <v>0</v>
      </c>
      <c r="CS208" s="117">
        <v>0</v>
      </c>
      <c r="CT208" s="82">
        <f>CU208-CS208</f>
        <v>0</v>
      </c>
      <c r="CU208" s="117">
        <v>0</v>
      </c>
      <c r="CV208" s="117">
        <v>0</v>
      </c>
      <c r="CW208" s="117">
        <v>0</v>
      </c>
      <c r="CX208" s="117">
        <v>0</v>
      </c>
      <c r="CY208" s="82">
        <f>CZ208-CX208</f>
        <v>0</v>
      </c>
      <c r="CZ208" s="117">
        <v>0</v>
      </c>
      <c r="DA208" s="117">
        <v>0</v>
      </c>
      <c r="DB208" s="117">
        <v>0</v>
      </c>
      <c r="DC208" s="117">
        <v>0</v>
      </c>
      <c r="DD208" s="82">
        <f>DE208-DC208</f>
        <v>97.915999999999997</v>
      </c>
      <c r="DE208" s="117">
        <v>97.915999999999997</v>
      </c>
      <c r="DF208" s="117">
        <v>0</v>
      </c>
      <c r="DG208" s="117">
        <v>0</v>
      </c>
      <c r="DH208" s="117">
        <v>0</v>
      </c>
      <c r="DI208" s="82">
        <f>DJ208-DH208</f>
        <v>0</v>
      </c>
      <c r="DJ208" s="117">
        <v>0</v>
      </c>
      <c r="DK208" s="117">
        <v>0</v>
      </c>
      <c r="DL208" s="117">
        <v>98.926000000000002</v>
      </c>
      <c r="DM208" s="117">
        <v>98.625</v>
      </c>
      <c r="DN208" s="82">
        <f>DO208-DM208</f>
        <v>-9.0999999999993975E-2</v>
      </c>
      <c r="DO208" s="117">
        <v>98.534000000000006</v>
      </c>
      <c r="DP208" s="117">
        <v>0</v>
      </c>
      <c r="DQ208" s="117">
        <v>98.375</v>
      </c>
      <c r="DR208" s="117">
        <v>98.037999999999997</v>
      </c>
      <c r="DS208" s="82">
        <f>DT208-DR208</f>
        <v>-6.9000000000002615E-2</v>
      </c>
      <c r="DT208" s="117">
        <v>97.968999999999994</v>
      </c>
      <c r="DU208" s="117">
        <v>0</v>
      </c>
      <c r="DV208" s="117">
        <v>0</v>
      </c>
      <c r="DW208" s="117">
        <v>0</v>
      </c>
      <c r="DX208" s="82">
        <f>DY208-DW208</f>
        <v>0</v>
      </c>
      <c r="DY208" s="117">
        <v>0</v>
      </c>
      <c r="DZ208" s="117">
        <v>0</v>
      </c>
      <c r="EA208" s="117">
        <v>0</v>
      </c>
      <c r="EB208" s="117">
        <v>0</v>
      </c>
      <c r="EC208" s="82">
        <f>ED208-EB208</f>
        <v>97.454999999999998</v>
      </c>
      <c r="ED208" s="117">
        <v>97.454999999999998</v>
      </c>
    </row>
    <row r="209" spans="1:134" x14ac:dyDescent="0.2">
      <c r="A209" s="220"/>
      <c r="B209" s="220"/>
      <c r="C209" s="70" t="s">
        <v>187</v>
      </c>
      <c r="D209" s="82"/>
      <c r="E209" s="136">
        <f>+CL209</f>
        <v>-66.816999999999993</v>
      </c>
      <c r="F209" s="135">
        <f t="shared" si="512"/>
        <v>-1.5000000000000568E-2</v>
      </c>
      <c r="G209" s="135">
        <f t="shared" si="512"/>
        <v>-1.2000000000000455E-2</v>
      </c>
      <c r="H209" s="116">
        <f>+CP209-CN209</f>
        <v>-4.600000000000648E-2</v>
      </c>
      <c r="I209" s="223">
        <f t="shared" si="486"/>
        <v>-66.89</v>
      </c>
      <c r="J209" s="136">
        <f>+CQ209</f>
        <v>-0.01</v>
      </c>
      <c r="K209" s="135">
        <f t="shared" si="513"/>
        <v>-2.4E-2</v>
      </c>
      <c r="L209" s="135">
        <f t="shared" si="513"/>
        <v>-1.2999999999999998E-2</v>
      </c>
      <c r="M209" s="116">
        <f>+CU209-CS209</f>
        <v>-4.8000000000000001E-2</v>
      </c>
      <c r="N209" s="223">
        <f t="shared" si="488"/>
        <v>-9.5000000000000001E-2</v>
      </c>
      <c r="O209" s="136">
        <f>+CV209</f>
        <v>-1.2999999999999999E-2</v>
      </c>
      <c r="P209" s="135">
        <f t="shared" si="514"/>
        <v>-1.7000000000000001E-2</v>
      </c>
      <c r="Q209" s="135">
        <f t="shared" si="514"/>
        <v>-1.3999999999999999E-2</v>
      </c>
      <c r="R209" s="116">
        <f>+CZ209-CX209</f>
        <v>-5.2000000000000005E-2</v>
      </c>
      <c r="S209" s="223">
        <f t="shared" si="490"/>
        <v>-9.6000000000000002E-2</v>
      </c>
      <c r="T209" s="136">
        <f>+DA209</f>
        <v>-1.6E-2</v>
      </c>
      <c r="U209" s="135">
        <f t="shared" si="515"/>
        <v>-1.6E-2</v>
      </c>
      <c r="V209" s="135">
        <f t="shared" si="515"/>
        <v>-1.6E-2</v>
      </c>
      <c r="W209" s="116">
        <f>+DE209-DC209</f>
        <v>-4.9000000000000002E-2</v>
      </c>
      <c r="X209" s="223">
        <f t="shared" si="492"/>
        <v>-9.7000000000000003E-2</v>
      </c>
      <c r="Y209" s="136">
        <f>+DF209</f>
        <v>-7.1999999999999995E-2</v>
      </c>
      <c r="Z209" s="135">
        <f t="shared" si="516"/>
        <v>-2.0000000000000004E-2</v>
      </c>
      <c r="AA209" s="135">
        <f t="shared" si="516"/>
        <v>-1.7000000000000001E-2</v>
      </c>
      <c r="AB209" s="116">
        <f>+DJ209-DH209</f>
        <v>-5.1000000000000004E-2</v>
      </c>
      <c r="AC209" s="223">
        <f t="shared" si="494"/>
        <v>-0.16</v>
      </c>
      <c r="AD209" s="136">
        <f>+DK209</f>
        <v>-1.7999999999999999E-2</v>
      </c>
      <c r="AE209" s="135">
        <f t="shared" si="517"/>
        <v>-1.7999999999999999E-2</v>
      </c>
      <c r="AF209" s="135">
        <f t="shared" si="517"/>
        <v>-1.8000000000000002E-2</v>
      </c>
      <c r="AG209" s="116">
        <f>+DO209-DM209</f>
        <v>-5.2999999999999999E-2</v>
      </c>
      <c r="AH209" s="223">
        <f t="shared" si="496"/>
        <v>-0.107</v>
      </c>
      <c r="AI209" s="136">
        <f>+DP209</f>
        <v>-0.128</v>
      </c>
      <c r="AJ209" s="135">
        <f t="shared" si="518"/>
        <v>0.10300000000000001</v>
      </c>
      <c r="AK209" s="135">
        <f t="shared" si="518"/>
        <v>2.5000000000000001E-2</v>
      </c>
      <c r="AL209" s="116">
        <f>+DT209-DR209</f>
        <v>-8.6999999999999994E-2</v>
      </c>
      <c r="AM209" s="223">
        <f t="shared" si="498"/>
        <v>-8.6999999999999994E-2</v>
      </c>
      <c r="AN209" s="136">
        <f>+DU209</f>
        <v>-1.4E-2</v>
      </c>
      <c r="AO209" s="135">
        <f t="shared" si="519"/>
        <v>-1.5000000000000001E-2</v>
      </c>
      <c r="AP209" s="135">
        <f t="shared" si="519"/>
        <v>-1.4999999999999996E-2</v>
      </c>
      <c r="AQ209" s="116">
        <f>+DY209-DW209</f>
        <v>-4.9000000000000002E-2</v>
      </c>
      <c r="AR209" s="223">
        <f t="shared" si="500"/>
        <v>-9.2999999999999999E-2</v>
      </c>
      <c r="AS209" s="136">
        <f>+DZ209</f>
        <v>-1.2999999999999999E-2</v>
      </c>
      <c r="AT209" s="135">
        <f t="shared" si="520"/>
        <v>-1.4E-2</v>
      </c>
      <c r="AU209" s="135">
        <f t="shared" si="521"/>
        <v>-4.3999999999999997E-2</v>
      </c>
      <c r="AV209" s="116">
        <f>+ED209-EB209</f>
        <v>-6.0000000000000053E-3</v>
      </c>
      <c r="AW209" s="223">
        <f t="shared" si="503"/>
        <v>-7.6999999999999999E-2</v>
      </c>
      <c r="AX209" s="136">
        <f t="shared" si="522"/>
        <v>0</v>
      </c>
      <c r="AY209" s="135">
        <f t="shared" si="522"/>
        <v>0</v>
      </c>
      <c r="AZ209" s="135">
        <f t="shared" si="522"/>
        <v>0</v>
      </c>
      <c r="BA209" s="116">
        <f t="shared" si="522"/>
        <v>-150</v>
      </c>
      <c r="BB209" s="82">
        <f>SUM(AX209:BA209)</f>
        <v>-150</v>
      </c>
      <c r="BC209" s="136">
        <f t="shared" si="523"/>
        <v>0</v>
      </c>
      <c r="BD209" s="135">
        <f t="shared" si="523"/>
        <v>0</v>
      </c>
      <c r="BE209" s="135">
        <f t="shared" si="523"/>
        <v>0</v>
      </c>
      <c r="BF209" s="116">
        <f t="shared" si="523"/>
        <v>0</v>
      </c>
      <c r="BG209" s="82">
        <f>SUM(BC209:BF209)</f>
        <v>0</v>
      </c>
      <c r="BH209" s="136">
        <f t="shared" si="524"/>
        <v>0</v>
      </c>
      <c r="BI209" s="135">
        <f t="shared" si="524"/>
        <v>0</v>
      </c>
      <c r="BJ209" s="135">
        <f t="shared" si="524"/>
        <v>0</v>
      </c>
      <c r="BK209" s="116">
        <f t="shared" si="524"/>
        <v>0</v>
      </c>
      <c r="BL209" s="82">
        <f>SUM(BH209:BK209)</f>
        <v>0</v>
      </c>
      <c r="BM209" s="136">
        <f t="shared" ref="BM209:BP209" si="526">+BM183</f>
        <v>0</v>
      </c>
      <c r="BN209" s="135">
        <f t="shared" si="526"/>
        <v>0</v>
      </c>
      <c r="BO209" s="135">
        <f t="shared" si="526"/>
        <v>0</v>
      </c>
      <c r="BP209" s="116">
        <f t="shared" si="526"/>
        <v>-18.600000000000001</v>
      </c>
      <c r="BQ209" s="82">
        <f>SUM(BM209:BP209)</f>
        <v>-18.600000000000001</v>
      </c>
      <c r="BR209" s="220"/>
      <c r="BS209" s="220"/>
      <c r="BT209" s="220"/>
      <c r="BU209" s="220"/>
      <c r="BV209" s="220"/>
      <c r="BW209" s="220"/>
      <c r="BX209" s="220"/>
      <c r="BY209" s="220"/>
      <c r="BZ209" s="220"/>
      <c r="CA209" s="220"/>
      <c r="CB209" s="220"/>
      <c r="CC209" s="220"/>
      <c r="CD209" s="220"/>
      <c r="CE209" s="220"/>
      <c r="CF209" s="220"/>
      <c r="CG209" s="220"/>
      <c r="CH209" s="220"/>
      <c r="CI209" s="220"/>
      <c r="CJ209" s="220"/>
      <c r="CK209" s="220"/>
      <c r="CL209" s="117">
        <v>-66.816999999999993</v>
      </c>
      <c r="CM209" s="117">
        <v>-66.831999999999994</v>
      </c>
      <c r="CN209" s="117">
        <v>-66.843999999999994</v>
      </c>
      <c r="CO209" s="82">
        <f>CP209-CN209</f>
        <v>-4.600000000000648E-2</v>
      </c>
      <c r="CP209" s="117">
        <v>-66.89</v>
      </c>
      <c r="CQ209" s="117">
        <v>-0.01</v>
      </c>
      <c r="CR209" s="117">
        <v>-3.4000000000000002E-2</v>
      </c>
      <c r="CS209" s="117">
        <v>-4.7E-2</v>
      </c>
      <c r="CT209" s="82">
        <f>CU209-CS209</f>
        <v>-4.8000000000000001E-2</v>
      </c>
      <c r="CU209" s="117">
        <v>-9.5000000000000001E-2</v>
      </c>
      <c r="CV209" s="117">
        <v>-1.2999999999999999E-2</v>
      </c>
      <c r="CW209" s="117">
        <v>-0.03</v>
      </c>
      <c r="CX209" s="117">
        <v>-4.3999999999999997E-2</v>
      </c>
      <c r="CY209" s="82">
        <f>CZ209-CX209</f>
        <v>-5.2000000000000005E-2</v>
      </c>
      <c r="CZ209" s="117">
        <v>-9.6000000000000002E-2</v>
      </c>
      <c r="DA209" s="117">
        <v>-1.6E-2</v>
      </c>
      <c r="DB209" s="117">
        <v>-3.2000000000000001E-2</v>
      </c>
      <c r="DC209" s="117">
        <v>-4.8000000000000001E-2</v>
      </c>
      <c r="DD209" s="82">
        <f>DE209-DC209</f>
        <v>-4.9000000000000002E-2</v>
      </c>
      <c r="DE209" s="117">
        <v>-9.7000000000000003E-2</v>
      </c>
      <c r="DF209" s="117">
        <v>-7.1999999999999995E-2</v>
      </c>
      <c r="DG209" s="117">
        <v>-9.1999999999999998E-2</v>
      </c>
      <c r="DH209" s="117">
        <v>-0.109</v>
      </c>
      <c r="DI209" s="82">
        <f>DJ209-DH209</f>
        <v>-5.1000000000000004E-2</v>
      </c>
      <c r="DJ209" s="117">
        <v>-0.16</v>
      </c>
      <c r="DK209" s="117">
        <v>-1.7999999999999999E-2</v>
      </c>
      <c r="DL209" s="117">
        <v>-3.5999999999999997E-2</v>
      </c>
      <c r="DM209" s="117">
        <v>-5.3999999999999999E-2</v>
      </c>
      <c r="DN209" s="82">
        <f>DO209-DM209</f>
        <v>-5.2999999999999999E-2</v>
      </c>
      <c r="DO209" s="117">
        <v>-0.107</v>
      </c>
      <c r="DP209" s="117">
        <v>-0.128</v>
      </c>
      <c r="DQ209" s="117">
        <v>-2.5000000000000001E-2</v>
      </c>
      <c r="DR209" s="117">
        <v>0</v>
      </c>
      <c r="DS209" s="82">
        <f>DT209-DR209</f>
        <v>-8.6999999999999994E-2</v>
      </c>
      <c r="DT209" s="117">
        <v>-8.6999999999999994E-2</v>
      </c>
      <c r="DU209" s="117">
        <v>-1.4E-2</v>
      </c>
      <c r="DV209" s="117">
        <v>-2.9000000000000001E-2</v>
      </c>
      <c r="DW209" s="117">
        <v>-4.3999999999999997E-2</v>
      </c>
      <c r="DX209" s="82">
        <f>DY209-DW209</f>
        <v>-4.9000000000000002E-2</v>
      </c>
      <c r="DY209" s="117">
        <v>-9.2999999999999999E-2</v>
      </c>
      <c r="DZ209" s="117">
        <v>-1.2999999999999999E-2</v>
      </c>
      <c r="EA209" s="117">
        <v>-2.7E-2</v>
      </c>
      <c r="EB209" s="117">
        <v>-7.0999999999999994E-2</v>
      </c>
      <c r="EC209" s="82">
        <f>ED209-EB209</f>
        <v>-6.0000000000000053E-3</v>
      </c>
      <c r="ED209" s="117">
        <v>-7.6999999999999999E-2</v>
      </c>
    </row>
    <row r="210" spans="1:134" x14ac:dyDescent="0.2">
      <c r="A210" s="220"/>
      <c r="B210" s="220"/>
      <c r="C210" s="70" t="s">
        <v>188</v>
      </c>
      <c r="D210" s="82"/>
      <c r="E210" s="136">
        <f>+CL210</f>
        <v>0</v>
      </c>
      <c r="F210" s="135">
        <f t="shared" si="512"/>
        <v>0</v>
      </c>
      <c r="G210" s="135">
        <f t="shared" si="512"/>
        <v>0</v>
      </c>
      <c r="H210" s="116">
        <f>+CP210-CN210</f>
        <v>0</v>
      </c>
      <c r="I210" s="223">
        <f t="shared" si="486"/>
        <v>0</v>
      </c>
      <c r="J210" s="136">
        <f>+CQ210</f>
        <v>0</v>
      </c>
      <c r="K210" s="135">
        <f t="shared" si="513"/>
        <v>0</v>
      </c>
      <c r="L210" s="135">
        <f t="shared" si="513"/>
        <v>0</v>
      </c>
      <c r="M210" s="116">
        <f>+CU210-CS210</f>
        <v>0</v>
      </c>
      <c r="N210" s="223">
        <f t="shared" si="488"/>
        <v>0</v>
      </c>
      <c r="O210" s="136">
        <f>+CV210</f>
        <v>31</v>
      </c>
      <c r="P210" s="135">
        <f t="shared" si="514"/>
        <v>4</v>
      </c>
      <c r="Q210" s="135">
        <f t="shared" si="514"/>
        <v>-7</v>
      </c>
      <c r="R210" s="116">
        <f>+CZ210-CX210</f>
        <v>0.95000000000001705</v>
      </c>
      <c r="S210" s="223">
        <f t="shared" si="490"/>
        <v>28.950000000000017</v>
      </c>
      <c r="T210" s="136">
        <f>+DA210</f>
        <v>5.05</v>
      </c>
      <c r="U210" s="135">
        <f t="shared" si="515"/>
        <v>7.95</v>
      </c>
      <c r="V210" s="135">
        <f t="shared" si="515"/>
        <v>20</v>
      </c>
      <c r="W210" s="116">
        <f>+DE210-DC210</f>
        <v>-59.95</v>
      </c>
      <c r="X210" s="223">
        <f t="shared" si="492"/>
        <v>-26.95</v>
      </c>
      <c r="Y210" s="136">
        <f>+DF210</f>
        <v>-18</v>
      </c>
      <c r="Z210" s="135">
        <f t="shared" si="516"/>
        <v>-19</v>
      </c>
      <c r="AA210" s="135">
        <f t="shared" si="516"/>
        <v>9</v>
      </c>
      <c r="AB210" s="116">
        <f>+DJ210-DH210</f>
        <v>56.92</v>
      </c>
      <c r="AC210" s="223">
        <f t="shared" si="494"/>
        <v>28.92</v>
      </c>
      <c r="AD210" s="136">
        <f>+DK210</f>
        <v>11</v>
      </c>
      <c r="AE210" s="135">
        <f t="shared" si="517"/>
        <v>-68</v>
      </c>
      <c r="AF210" s="135">
        <f t="shared" si="517"/>
        <v>-3</v>
      </c>
      <c r="AG210" s="116">
        <f>+DO210-DM210</f>
        <v>70</v>
      </c>
      <c r="AH210" s="223">
        <f t="shared" si="496"/>
        <v>10</v>
      </c>
      <c r="AI210" s="136">
        <f>+DP210</f>
        <v>2</v>
      </c>
      <c r="AJ210" s="135">
        <f t="shared" si="518"/>
        <v>-80</v>
      </c>
      <c r="AK210" s="135">
        <f t="shared" si="518"/>
        <v>0</v>
      </c>
      <c r="AL210" s="116">
        <f>+DT210-DR210</f>
        <v>10</v>
      </c>
      <c r="AM210" s="223">
        <f t="shared" si="498"/>
        <v>-68</v>
      </c>
      <c r="AN210" s="136">
        <f>+DU210</f>
        <v>-5</v>
      </c>
      <c r="AO210" s="135">
        <f t="shared" si="519"/>
        <v>3</v>
      </c>
      <c r="AP210" s="135">
        <f t="shared" si="519"/>
        <v>-4</v>
      </c>
      <c r="AQ210" s="116">
        <f>+DY210-DW210</f>
        <v>56</v>
      </c>
      <c r="AR210" s="223">
        <f t="shared" si="500"/>
        <v>50</v>
      </c>
      <c r="AS210" s="136">
        <f>+DZ210</f>
        <v>-27</v>
      </c>
      <c r="AT210" s="135">
        <f t="shared" si="520"/>
        <v>13</v>
      </c>
      <c r="AU210" s="135">
        <f t="shared" si="521"/>
        <v>46</v>
      </c>
      <c r="AV210" s="116">
        <f>+ED210-EB210</f>
        <v>-81</v>
      </c>
      <c r="AW210" s="223">
        <f t="shared" si="503"/>
        <v>-49</v>
      </c>
      <c r="AX210" s="148">
        <v>0</v>
      </c>
      <c r="AY210" s="221">
        <v>0</v>
      </c>
      <c r="AZ210" s="221">
        <v>0</v>
      </c>
      <c r="BA210" s="150">
        <v>0</v>
      </c>
      <c r="BB210" s="82">
        <f>SUM(AX210:BA210)</f>
        <v>0</v>
      </c>
      <c r="BC210" s="148">
        <v>0</v>
      </c>
      <c r="BD210" s="221">
        <v>0</v>
      </c>
      <c r="BE210" s="221">
        <v>0</v>
      </c>
      <c r="BF210" s="150">
        <v>0</v>
      </c>
      <c r="BG210" s="82">
        <f>SUM(BC210:BF210)</f>
        <v>0</v>
      </c>
      <c r="BH210" s="148">
        <v>0</v>
      </c>
      <c r="BI210" s="221">
        <v>0</v>
      </c>
      <c r="BJ210" s="221">
        <v>0</v>
      </c>
      <c r="BK210" s="150">
        <v>0</v>
      </c>
      <c r="BL210" s="82">
        <f>SUM(BH210:BK210)</f>
        <v>0</v>
      </c>
      <c r="BM210" s="148">
        <v>0</v>
      </c>
      <c r="BN210" s="221">
        <v>0</v>
      </c>
      <c r="BO210" s="221">
        <v>0</v>
      </c>
      <c r="BP210" s="150">
        <v>0</v>
      </c>
      <c r="BQ210" s="82">
        <f>SUM(BM210:BP210)</f>
        <v>0</v>
      </c>
      <c r="BR210" s="220"/>
      <c r="BS210" s="220"/>
      <c r="BT210" s="220"/>
      <c r="BU210" s="220"/>
      <c r="BV210" s="220"/>
      <c r="BW210" s="220"/>
      <c r="BX210" s="220"/>
      <c r="BY210" s="220"/>
      <c r="BZ210" s="220"/>
      <c r="CA210" s="220"/>
      <c r="CB210" s="220"/>
      <c r="CC210" s="220"/>
      <c r="CD210" s="220"/>
      <c r="CE210" s="220"/>
      <c r="CF210" s="220"/>
      <c r="CG210" s="220"/>
      <c r="CH210" s="220"/>
      <c r="CI210" s="220"/>
      <c r="CJ210" s="220"/>
      <c r="CK210" s="220"/>
      <c r="CL210" s="313">
        <v>0</v>
      </c>
      <c r="CM210" s="313">
        <v>0</v>
      </c>
      <c r="CN210" s="313">
        <v>0</v>
      </c>
      <c r="CO210" s="82">
        <f>CP210-CN210</f>
        <v>0</v>
      </c>
      <c r="CP210" s="313">
        <v>0</v>
      </c>
      <c r="CQ210" s="313">
        <v>0</v>
      </c>
      <c r="CR210" s="313">
        <v>0</v>
      </c>
      <c r="CS210" s="313">
        <v>0</v>
      </c>
      <c r="CT210" s="82">
        <f>CU210-CS210</f>
        <v>0</v>
      </c>
      <c r="CU210" s="313">
        <v>0</v>
      </c>
      <c r="CV210" s="313">
        <v>31</v>
      </c>
      <c r="CW210" s="313">
        <v>35</v>
      </c>
      <c r="CX210" s="117">
        <f>28</f>
        <v>28</v>
      </c>
      <c r="CY210" s="82">
        <f>CZ210-CX210</f>
        <v>0.95000000000001705</v>
      </c>
      <c r="CZ210" s="313">
        <f>66+111.3-148.35</f>
        <v>28.950000000000017</v>
      </c>
      <c r="DA210" s="313">
        <f>5+0.05</f>
        <v>5.05</v>
      </c>
      <c r="DB210" s="313">
        <v>13</v>
      </c>
      <c r="DC210" s="117">
        <v>33</v>
      </c>
      <c r="DD210" s="82">
        <f>DE210-DC210</f>
        <v>-59.95</v>
      </c>
      <c r="DE210" s="313">
        <f>-27+0.05</f>
        <v>-26.95</v>
      </c>
      <c r="DF210" s="313">
        <v>-18</v>
      </c>
      <c r="DG210" s="313">
        <v>-37</v>
      </c>
      <c r="DH210" s="117">
        <v>-28</v>
      </c>
      <c r="DI210" s="82">
        <f>DJ210-DH210</f>
        <v>56.92</v>
      </c>
      <c r="DJ210" s="313">
        <f>29-0.08</f>
        <v>28.92</v>
      </c>
      <c r="DK210" s="313">
        <v>11</v>
      </c>
      <c r="DL210" s="313">
        <v>-57</v>
      </c>
      <c r="DM210" s="117">
        <v>-60</v>
      </c>
      <c r="DN210" s="82">
        <f>DO210-DM210</f>
        <v>70</v>
      </c>
      <c r="DO210" s="313">
        <v>10</v>
      </c>
      <c r="DP210" s="313">
        <v>2</v>
      </c>
      <c r="DQ210" s="313">
        <v>-78</v>
      </c>
      <c r="DR210" s="117">
        <v>-78</v>
      </c>
      <c r="DS210" s="82">
        <f>DT210-DR210</f>
        <v>10</v>
      </c>
      <c r="DT210" s="313">
        <v>-68</v>
      </c>
      <c r="DU210" s="313">
        <v>-5</v>
      </c>
      <c r="DV210" s="313">
        <v>-2</v>
      </c>
      <c r="DW210" s="313">
        <v>-6</v>
      </c>
      <c r="DX210" s="82">
        <f>DY210-DW210</f>
        <v>56</v>
      </c>
      <c r="DY210" s="313">
        <v>50</v>
      </c>
      <c r="DZ210" s="313">
        <v>-27</v>
      </c>
      <c r="EA210" s="313">
        <v>-14</v>
      </c>
      <c r="EB210" s="117">
        <v>32</v>
      </c>
      <c r="EC210" s="82">
        <f>ED210-EB210</f>
        <v>-81</v>
      </c>
      <c r="ED210" s="313">
        <v>-49</v>
      </c>
    </row>
    <row r="211" spans="1:134" x14ac:dyDescent="0.2">
      <c r="A211" s="220"/>
      <c r="B211" s="220"/>
      <c r="C211" s="70" t="s">
        <v>298</v>
      </c>
      <c r="D211" s="82"/>
      <c r="E211" s="136">
        <f>+CL211</f>
        <v>-8.5830000000000002</v>
      </c>
      <c r="F211" s="135">
        <f t="shared" si="512"/>
        <v>-7.2330000000000005</v>
      </c>
      <c r="G211" s="135">
        <f t="shared" si="512"/>
        <v>-8.6109999999999989</v>
      </c>
      <c r="H211" s="116">
        <f>+CP211-CN211</f>
        <v>11.965</v>
      </c>
      <c r="I211" s="223">
        <f t="shared" si="486"/>
        <v>-12.462</v>
      </c>
      <c r="J211" s="136">
        <f>+CQ211</f>
        <v>-48.521999999999998</v>
      </c>
      <c r="K211" s="135">
        <f t="shared" si="513"/>
        <v>35.257999999999996</v>
      </c>
      <c r="L211" s="135">
        <f t="shared" si="513"/>
        <v>-8.1190000000000069</v>
      </c>
      <c r="M211" s="116">
        <f>+CU211-CS211</f>
        <v>-11.918999999999983</v>
      </c>
      <c r="N211" s="223">
        <f t="shared" si="488"/>
        <v>-33.301999999999992</v>
      </c>
      <c r="O211" s="136">
        <f>+CV211</f>
        <v>-8.4420000000000002</v>
      </c>
      <c r="P211" s="135">
        <f t="shared" si="514"/>
        <v>-8.2860000000000014</v>
      </c>
      <c r="Q211" s="135">
        <f t="shared" si="514"/>
        <v>-8.1119999999999983</v>
      </c>
      <c r="R211" s="116">
        <f>+CZ211-CX211</f>
        <v>-8.1010000000000026</v>
      </c>
      <c r="S211" s="223">
        <f t="shared" si="490"/>
        <v>-32.941000000000003</v>
      </c>
      <c r="T211" s="136">
        <f>+DA211</f>
        <v>-16.225000000000001</v>
      </c>
      <c r="U211" s="135">
        <f t="shared" si="515"/>
        <v>2.161999999999999</v>
      </c>
      <c r="V211" s="135">
        <f t="shared" si="515"/>
        <v>-33.080999999999996</v>
      </c>
      <c r="W211" s="116">
        <f>+DE211-DC211</f>
        <v>-7.3710000000000022</v>
      </c>
      <c r="X211" s="223">
        <f t="shared" si="492"/>
        <v>-54.515000000000001</v>
      </c>
      <c r="Y211" s="136">
        <f>+DF211</f>
        <v>12.333</v>
      </c>
      <c r="Z211" s="135">
        <f t="shared" si="516"/>
        <v>17.574000000000005</v>
      </c>
      <c r="AA211" s="135">
        <f t="shared" si="516"/>
        <v>-10.369000000000003</v>
      </c>
      <c r="AB211" s="116">
        <f>+DJ211-DH211</f>
        <v>8.4589999999999961</v>
      </c>
      <c r="AC211" s="223">
        <f t="shared" si="494"/>
        <v>27.996999999999996</v>
      </c>
      <c r="AD211" s="136">
        <f>+DK211</f>
        <v>-8.032</v>
      </c>
      <c r="AE211" s="135">
        <f t="shared" si="517"/>
        <v>12.422000000000001</v>
      </c>
      <c r="AF211" s="135">
        <f t="shared" si="517"/>
        <v>31.289999999999992</v>
      </c>
      <c r="AG211" s="116">
        <f>+DO211-DM211</f>
        <v>-6.0659999999999883</v>
      </c>
      <c r="AH211" s="223">
        <f t="shared" si="496"/>
        <v>29.614000000000004</v>
      </c>
      <c r="AI211" s="136">
        <f>+DP211</f>
        <v>-14.957000000000001</v>
      </c>
      <c r="AJ211" s="135">
        <f t="shared" si="518"/>
        <v>16.323000000000004</v>
      </c>
      <c r="AK211" s="135">
        <f t="shared" si="518"/>
        <v>-16.571000000000005</v>
      </c>
      <c r="AL211" s="116">
        <f>+DT211-DR211</f>
        <v>30.518999999999995</v>
      </c>
      <c r="AM211" s="223">
        <f t="shared" si="498"/>
        <v>15.313999999999993</v>
      </c>
      <c r="AN211" s="136">
        <f>+DU211</f>
        <v>-15.321999999999999</v>
      </c>
      <c r="AO211" s="135">
        <f t="shared" si="519"/>
        <v>-14.073000000000004</v>
      </c>
      <c r="AP211" s="135">
        <f t="shared" si="519"/>
        <v>-7.9110000000000014</v>
      </c>
      <c r="AQ211" s="116">
        <f>+DY211-DW211</f>
        <v>-13.858999999999995</v>
      </c>
      <c r="AR211" s="223">
        <f t="shared" si="500"/>
        <v>-51.164999999999999</v>
      </c>
      <c r="AS211" s="136">
        <f>+DZ211</f>
        <v>1.5530000000000008</v>
      </c>
      <c r="AT211" s="135">
        <f t="shared" si="520"/>
        <v>-28.070999999999998</v>
      </c>
      <c r="AU211" s="135">
        <f t="shared" si="521"/>
        <v>-13.825000000000006</v>
      </c>
      <c r="AV211" s="116">
        <f>+ED211-EB211</f>
        <v>24.297999999999995</v>
      </c>
      <c r="AW211" s="223">
        <f t="shared" si="503"/>
        <v>-16.045000000000009</v>
      </c>
      <c r="AX211" s="136">
        <f>+BB211/4</f>
        <v>-11.25</v>
      </c>
      <c r="AY211" s="135">
        <f>(BB211-SUM(AX211:AX211))/3</f>
        <v>-11.25</v>
      </c>
      <c r="AZ211" s="135">
        <f>(BB211-SUM(AX211:AY211))/2</f>
        <v>-11.25</v>
      </c>
      <c r="BA211" s="116">
        <f>(BB211-SUM(AX211:AZ211))/1</f>
        <v>-11.25</v>
      </c>
      <c r="BB211" s="853">
        <v>-45</v>
      </c>
      <c r="BC211" s="136">
        <f>+BG211/4</f>
        <v>-10</v>
      </c>
      <c r="BD211" s="135">
        <f>(BG211-SUM(BC211:BC211))/3</f>
        <v>-10</v>
      </c>
      <c r="BE211" s="135">
        <f>(BG211-SUM(BC211:BD211))/2</f>
        <v>-10</v>
      </c>
      <c r="BF211" s="116">
        <f>(BG211-SUM(BC211:BE211))/1</f>
        <v>-10</v>
      </c>
      <c r="BG211" s="853">
        <v>-40</v>
      </c>
      <c r="BH211" s="136">
        <f>+BL211/4</f>
        <v>-13.75</v>
      </c>
      <c r="BI211" s="135">
        <f>(BL211-SUM(BH211:BH211))/3</f>
        <v>-13.75</v>
      </c>
      <c r="BJ211" s="135">
        <f>(BL211-SUM(BH211:BI211))/2</f>
        <v>-13.75</v>
      </c>
      <c r="BK211" s="116">
        <f>(BL211-SUM(BH211:BJ211))/1</f>
        <v>-13.75</v>
      </c>
      <c r="BL211" s="853">
        <v>-55</v>
      </c>
      <c r="BM211" s="136">
        <f>+BQ211/4</f>
        <v>-11.25</v>
      </c>
      <c r="BN211" s="135">
        <f>(BQ211-SUM(BM211:BM211))/3</f>
        <v>-11.25</v>
      </c>
      <c r="BO211" s="135">
        <f>(BQ211-SUM(BM211:BN211))/2</f>
        <v>-11.25</v>
      </c>
      <c r="BP211" s="116">
        <f>(BQ211-SUM(BM211:BO211))/1</f>
        <v>-11.25</v>
      </c>
      <c r="BQ211" s="853">
        <v>-45</v>
      </c>
      <c r="BR211" s="220"/>
      <c r="BS211" s="220"/>
      <c r="BT211" s="220"/>
      <c r="BU211" s="220"/>
      <c r="BV211" s="220"/>
      <c r="BW211" s="220"/>
      <c r="BX211" s="220"/>
      <c r="BY211" s="220"/>
      <c r="BZ211" s="220"/>
      <c r="CA211" s="220"/>
      <c r="CB211" s="220"/>
      <c r="CC211" s="220"/>
      <c r="CD211" s="220"/>
      <c r="CE211" s="220"/>
      <c r="CF211" s="220"/>
      <c r="CG211" s="220"/>
      <c r="CH211" s="220"/>
      <c r="CI211" s="220"/>
      <c r="CJ211" s="220"/>
      <c r="CK211" s="220"/>
      <c r="CL211" s="313">
        <v>-8.5830000000000002</v>
      </c>
      <c r="CM211" s="313">
        <f>1.321-17.137</f>
        <v>-15.816000000000001</v>
      </c>
      <c r="CN211" s="313">
        <f>1.321-25.748</f>
        <v>-24.427</v>
      </c>
      <c r="CO211" s="82">
        <f>CP211-CN211</f>
        <v>11.965</v>
      </c>
      <c r="CP211" s="313">
        <f>21.797-34.259</f>
        <v>-12.462</v>
      </c>
      <c r="CQ211" s="313">
        <v>-48.521999999999998</v>
      </c>
      <c r="CR211" s="313">
        <f>44.032-57.296</f>
        <v>-13.264000000000003</v>
      </c>
      <c r="CS211" s="313">
        <f>44.032-65.415</f>
        <v>-21.38300000000001</v>
      </c>
      <c r="CT211" s="82">
        <f>CU211-CS211</f>
        <v>-11.918999999999983</v>
      </c>
      <c r="CU211" s="313">
        <f>40.566-73.868</f>
        <v>-33.301999999999992</v>
      </c>
      <c r="CV211" s="313">
        <v>-8.4420000000000002</v>
      </c>
      <c r="CW211" s="313">
        <f>0-16.728</f>
        <v>-16.728000000000002</v>
      </c>
      <c r="CX211" s="117">
        <v>-24.84</v>
      </c>
      <c r="CY211" s="82">
        <f>CZ211-CX211</f>
        <v>-8.1010000000000026</v>
      </c>
      <c r="CZ211" s="313">
        <v>-32.941000000000003</v>
      </c>
      <c r="DA211" s="313">
        <v>-16.225000000000001</v>
      </c>
      <c r="DB211" s="313">
        <f>2.162-16.225</f>
        <v>-14.063000000000002</v>
      </c>
      <c r="DC211" s="117">
        <f>2.162-49.306</f>
        <v>-47.143999999999998</v>
      </c>
      <c r="DD211" s="82">
        <f>DE211-DC211</f>
        <v>-7.3710000000000022</v>
      </c>
      <c r="DE211" s="313">
        <f>-57.311+2.796</f>
        <v>-54.515000000000001</v>
      </c>
      <c r="DF211" s="313">
        <f>20-7.667</f>
        <v>12.333</v>
      </c>
      <c r="DG211" s="313">
        <f>45.093-15.186</f>
        <v>29.907000000000004</v>
      </c>
      <c r="DH211" s="117">
        <f>42.481-22.943</f>
        <v>19.538</v>
      </c>
      <c r="DI211" s="82">
        <f>DJ211-DH211</f>
        <v>8.4589999999999961</v>
      </c>
      <c r="DJ211" s="313">
        <f>58.977-30.98</f>
        <v>27.996999999999996</v>
      </c>
      <c r="DK211" s="313">
        <v>-8.032</v>
      </c>
      <c r="DL211" s="313">
        <f>20.479-16.089</f>
        <v>4.3900000000000006</v>
      </c>
      <c r="DM211" s="117">
        <f>68.011-32.331</f>
        <v>35.679999999999993</v>
      </c>
      <c r="DN211" s="82">
        <f>DO211-DM211</f>
        <v>-6.0659999999999883</v>
      </c>
      <c r="DO211" s="313">
        <f>73.432-43.818</f>
        <v>29.614000000000004</v>
      </c>
      <c r="DP211" s="313">
        <v>-14.957000000000001</v>
      </c>
      <c r="DQ211" s="313">
        <f>29.638-28.272</f>
        <v>1.3660000000000032</v>
      </c>
      <c r="DR211" s="117">
        <f>25.06-40.265</f>
        <v>-15.205000000000002</v>
      </c>
      <c r="DS211" s="82">
        <f>DT211-DR211</f>
        <v>30.518999999999995</v>
      </c>
      <c r="DT211" s="313">
        <f>69.243-53.929</f>
        <v>15.313999999999993</v>
      </c>
      <c r="DU211" s="313">
        <v>-15.321999999999999</v>
      </c>
      <c r="DV211" s="313">
        <f>-1.545-27.85</f>
        <v>-29.395000000000003</v>
      </c>
      <c r="DW211" s="313">
        <f>1.108-38.414</f>
        <v>-37.306000000000004</v>
      </c>
      <c r="DX211" s="82">
        <f>DY211-DW211</f>
        <v>-13.858999999999995</v>
      </c>
      <c r="DY211" s="313">
        <f>1.935-53.1</f>
        <v>-51.164999999999999</v>
      </c>
      <c r="DZ211" s="313">
        <f>12.282-10.729</f>
        <v>1.5530000000000008</v>
      </c>
      <c r="EA211" s="313">
        <f>12.282-38.8</f>
        <v>-26.517999999999997</v>
      </c>
      <c r="EB211" s="313">
        <f>12.297-52.64</f>
        <v>-40.343000000000004</v>
      </c>
      <c r="EC211" s="82">
        <f>ED211-EB211</f>
        <v>24.297999999999995</v>
      </c>
      <c r="ED211" s="313">
        <f>47.992-64.037</f>
        <v>-16.045000000000009</v>
      </c>
    </row>
    <row r="212" spans="1:134" x14ac:dyDescent="0.2">
      <c r="A212" s="220"/>
      <c r="B212" s="220"/>
      <c r="C212" s="70" t="s">
        <v>97</v>
      </c>
      <c r="D212" s="82"/>
      <c r="E212" s="136">
        <f>+CL212</f>
        <v>0</v>
      </c>
      <c r="F212" s="135">
        <f t="shared" si="512"/>
        <v>0</v>
      </c>
      <c r="G212" s="135">
        <f t="shared" si="512"/>
        <v>0</v>
      </c>
      <c r="H212" s="116">
        <f>+CP212-CN212</f>
        <v>15.450000000000003</v>
      </c>
      <c r="I212" s="223">
        <f t="shared" si="486"/>
        <v>15.450000000000003</v>
      </c>
      <c r="J212" s="136">
        <f>+CQ212</f>
        <v>2.0999999999999943</v>
      </c>
      <c r="K212" s="135">
        <f t="shared" si="513"/>
        <v>-17.599999999999994</v>
      </c>
      <c r="L212" s="135">
        <f t="shared" si="513"/>
        <v>3.8999999999999773</v>
      </c>
      <c r="M212" s="116">
        <f>+CU212-CS212</f>
        <v>33.050000000000011</v>
      </c>
      <c r="N212" s="223">
        <f t="shared" si="488"/>
        <v>21.449999999999989</v>
      </c>
      <c r="O212" s="136">
        <f>+CV212</f>
        <v>-37.000000000000014</v>
      </c>
      <c r="P212" s="135">
        <f t="shared" si="514"/>
        <v>0</v>
      </c>
      <c r="Q212" s="135">
        <f t="shared" si="514"/>
        <v>0</v>
      </c>
      <c r="R212" s="116">
        <f>+CZ212-CX212</f>
        <v>37.000000000000014</v>
      </c>
      <c r="S212" s="223">
        <f t="shared" si="490"/>
        <v>0</v>
      </c>
      <c r="T212" s="136">
        <f>+DA212</f>
        <v>0</v>
      </c>
      <c r="U212" s="135">
        <f t="shared" si="515"/>
        <v>0.05</v>
      </c>
      <c r="V212" s="135">
        <f t="shared" si="515"/>
        <v>0</v>
      </c>
      <c r="W212" s="116">
        <f>+DE212-DC212</f>
        <v>-0.05</v>
      </c>
      <c r="X212" s="223">
        <f t="shared" si="492"/>
        <v>0</v>
      </c>
      <c r="Y212" s="136">
        <f>+DF212</f>
        <v>0</v>
      </c>
      <c r="Z212" s="135">
        <f t="shared" si="516"/>
        <v>-0.08</v>
      </c>
      <c r="AA212" s="135">
        <f t="shared" si="516"/>
        <v>0</v>
      </c>
      <c r="AB212" s="116">
        <f>+DJ212-DH212</f>
        <v>0.08</v>
      </c>
      <c r="AC212" s="223">
        <f t="shared" si="494"/>
        <v>0</v>
      </c>
      <c r="AD212" s="136">
        <f>+DK212</f>
        <v>0</v>
      </c>
      <c r="AE212" s="135">
        <f t="shared" si="517"/>
        <v>0.03</v>
      </c>
      <c r="AF212" s="135">
        <f t="shared" si="517"/>
        <v>0</v>
      </c>
      <c r="AG212" s="116">
        <f>+DO212-DM212</f>
        <v>0</v>
      </c>
      <c r="AH212" s="223">
        <f t="shared" si="496"/>
        <v>0.03</v>
      </c>
      <c r="AI212" s="136">
        <f>+DP212</f>
        <v>25.21</v>
      </c>
      <c r="AJ212" s="135">
        <f t="shared" si="518"/>
        <v>-25.21</v>
      </c>
      <c r="AK212" s="135">
        <f t="shared" si="518"/>
        <v>0</v>
      </c>
      <c r="AL212" s="116">
        <f>+DT212-DR212</f>
        <v>0</v>
      </c>
      <c r="AM212" s="223">
        <f t="shared" si="498"/>
        <v>0</v>
      </c>
      <c r="AN212" s="136">
        <f>+DU212</f>
        <v>-1.5449999999999999</v>
      </c>
      <c r="AO212" s="135">
        <f t="shared" si="519"/>
        <v>1.5449999999999999</v>
      </c>
      <c r="AP212" s="135">
        <f t="shared" si="519"/>
        <v>0</v>
      </c>
      <c r="AQ212" s="116">
        <f>+DY212-DW212</f>
        <v>-5.5E-2</v>
      </c>
      <c r="AR212" s="223">
        <f t="shared" si="500"/>
        <v>-5.5E-2</v>
      </c>
      <c r="AS212" s="136">
        <f>+DZ212</f>
        <v>-7.0000000000000007E-2</v>
      </c>
      <c r="AT212" s="135">
        <f t="shared" si="520"/>
        <v>0</v>
      </c>
      <c r="AU212" s="135">
        <f t="shared" si="521"/>
        <v>0</v>
      </c>
      <c r="AV212" s="116">
        <f>+ED212-EB212</f>
        <v>0</v>
      </c>
      <c r="AW212" s="223">
        <f t="shared" si="503"/>
        <v>-7.0000000000000007E-2</v>
      </c>
      <c r="AX212" s="136">
        <f>+BB212/4</f>
        <v>0</v>
      </c>
      <c r="AY212" s="135">
        <f>(BB212-SUM(AX212:AX212))/3</f>
        <v>0</v>
      </c>
      <c r="AZ212" s="135">
        <f>(BB212-SUM(AX212:AY212))/2</f>
        <v>0</v>
      </c>
      <c r="BA212" s="116">
        <f>(BB212-SUM(AX212:AZ212))/1</f>
        <v>0</v>
      </c>
      <c r="BB212" s="34">
        <v>0</v>
      </c>
      <c r="BC212" s="136">
        <f>+BG212/4</f>
        <v>0</v>
      </c>
      <c r="BD212" s="135">
        <f>(BG212-SUM(BC212:BC212))/3</f>
        <v>0</v>
      </c>
      <c r="BE212" s="135">
        <f>(BG212-SUM(BC212:BD212))/2</f>
        <v>0</v>
      </c>
      <c r="BF212" s="116">
        <f>(BG212-SUM(BC212:BE212))/1</f>
        <v>0</v>
      </c>
      <c r="BG212" s="34">
        <v>0</v>
      </c>
      <c r="BH212" s="136">
        <f>+BL212/4</f>
        <v>0</v>
      </c>
      <c r="BI212" s="135">
        <f>(BL212-SUM(BH212:BH212))/3</f>
        <v>0</v>
      </c>
      <c r="BJ212" s="135">
        <f>(BL212-SUM(BH212:BI212))/2</f>
        <v>0</v>
      </c>
      <c r="BK212" s="116">
        <f>(BL212-SUM(BH212:BJ212))/1</f>
        <v>0</v>
      </c>
      <c r="BL212" s="34">
        <v>0</v>
      </c>
      <c r="BM212" s="136">
        <f>+BQ212/4</f>
        <v>0</v>
      </c>
      <c r="BN212" s="135">
        <f>(BQ212-SUM(BM212:BM212))/3</f>
        <v>0</v>
      </c>
      <c r="BO212" s="135">
        <f>(BQ212-SUM(BM212:BN212))/2</f>
        <v>0</v>
      </c>
      <c r="BP212" s="116">
        <f>(BQ212-SUM(BM212:BO212))/1</f>
        <v>0</v>
      </c>
      <c r="BQ212" s="34">
        <v>0</v>
      </c>
      <c r="BR212" s="220"/>
      <c r="BS212" s="220"/>
      <c r="BT212" s="220"/>
      <c r="BU212" s="220"/>
      <c r="BV212" s="220"/>
      <c r="BW212" s="220"/>
      <c r="BX212" s="220"/>
      <c r="BY212" s="220"/>
      <c r="BZ212" s="220"/>
      <c r="CA212" s="220"/>
      <c r="CB212" s="220"/>
      <c r="CC212" s="220"/>
      <c r="CD212" s="220"/>
      <c r="CE212" s="220"/>
      <c r="CF212" s="220"/>
      <c r="CG212" s="220"/>
      <c r="CH212" s="220"/>
      <c r="CI212" s="220"/>
      <c r="CJ212" s="220"/>
      <c r="CK212" s="220"/>
      <c r="CL212" s="117">
        <v>0</v>
      </c>
      <c r="CM212" s="117">
        <v>0</v>
      </c>
      <c r="CN212" s="117">
        <v>0</v>
      </c>
      <c r="CO212" s="82">
        <f>CP212-CN212</f>
        <v>15.450000000000003</v>
      </c>
      <c r="CP212" s="117">
        <f>62.5-47.05</f>
        <v>15.450000000000003</v>
      </c>
      <c r="CQ212" s="117">
        <f>131.4-129.3</f>
        <v>2.0999999999999943</v>
      </c>
      <c r="CR212" s="117">
        <f>190.5-206</f>
        <v>-15.5</v>
      </c>
      <c r="CS212" s="117">
        <f>218.2-229.8</f>
        <v>-11.600000000000023</v>
      </c>
      <c r="CT212" s="82">
        <f>CU212-CS212</f>
        <v>33.050000000000011</v>
      </c>
      <c r="CU212" s="117">
        <f>302.3-280.85</f>
        <v>21.449999999999989</v>
      </c>
      <c r="CV212" s="117">
        <f>111.3-148.3</f>
        <v>-37.000000000000014</v>
      </c>
      <c r="CW212" s="117">
        <f>111.3-148.3</f>
        <v>-37.000000000000014</v>
      </c>
      <c r="CX212" s="117">
        <f>111.3-148.3</f>
        <v>-37.000000000000014</v>
      </c>
      <c r="CY212" s="82">
        <f>CZ212-CX212</f>
        <v>37.000000000000014</v>
      </c>
      <c r="CZ212" s="117">
        <v>0</v>
      </c>
      <c r="DA212" s="117">
        <v>0</v>
      </c>
      <c r="DB212" s="117">
        <v>0.05</v>
      </c>
      <c r="DC212" s="117">
        <v>0.05</v>
      </c>
      <c r="DD212" s="82">
        <f>DE212-DC212</f>
        <v>-0.05</v>
      </c>
      <c r="DE212" s="117">
        <v>0</v>
      </c>
      <c r="DF212" s="117">
        <v>0</v>
      </c>
      <c r="DG212" s="117">
        <v>-0.08</v>
      </c>
      <c r="DH212" s="117">
        <v>-0.08</v>
      </c>
      <c r="DI212" s="82">
        <f>DJ212-DH212</f>
        <v>0.08</v>
      </c>
      <c r="DJ212" s="117">
        <v>0</v>
      </c>
      <c r="DK212" s="117">
        <v>0</v>
      </c>
      <c r="DL212" s="117">
        <v>0.03</v>
      </c>
      <c r="DM212" s="117">
        <v>0.03</v>
      </c>
      <c r="DN212" s="82">
        <f>DO212-DM212</f>
        <v>0</v>
      </c>
      <c r="DO212" s="117">
        <v>0.03</v>
      </c>
      <c r="DP212" s="117">
        <v>25.21</v>
      </c>
      <c r="DQ212" s="117">
        <v>0</v>
      </c>
      <c r="DR212" s="117">
        <v>0</v>
      </c>
      <c r="DS212" s="82">
        <f>DT212-DR212</f>
        <v>0</v>
      </c>
      <c r="DT212" s="117">
        <v>0</v>
      </c>
      <c r="DU212" s="117">
        <v>-1.5449999999999999</v>
      </c>
      <c r="DV212" s="117">
        <v>0</v>
      </c>
      <c r="DW212" s="117">
        <v>0</v>
      </c>
      <c r="DX212" s="82">
        <f>DY212-DW212</f>
        <v>-5.5E-2</v>
      </c>
      <c r="DY212" s="117">
        <v>-5.5E-2</v>
      </c>
      <c r="DZ212" s="117">
        <v>-7.0000000000000007E-2</v>
      </c>
      <c r="EA212" s="117">
        <v>-7.0000000000000007E-2</v>
      </c>
      <c r="EB212" s="117">
        <v>-7.0000000000000007E-2</v>
      </c>
      <c r="EC212" s="82">
        <f>ED212-EB212</f>
        <v>0</v>
      </c>
      <c r="ED212" s="117">
        <v>-7.0000000000000007E-2</v>
      </c>
    </row>
    <row r="213" spans="1:134" x14ac:dyDescent="0.2">
      <c r="A213" s="220"/>
      <c r="B213" s="220"/>
      <c r="C213" s="141" t="s">
        <v>192</v>
      </c>
      <c r="D213" s="82"/>
      <c r="E213" s="121">
        <f>SUM(E208:E212)</f>
        <v>-75.399999999999991</v>
      </c>
      <c r="F213" s="122">
        <f>SUM(F208:F212)</f>
        <v>-7.2480000000000011</v>
      </c>
      <c r="G213" s="122">
        <f>SUM(G208:G212)</f>
        <v>-8.6229999999999993</v>
      </c>
      <c r="H213" s="123">
        <f>SUM(H208:H212)</f>
        <v>27.368999999999996</v>
      </c>
      <c r="I213" s="127">
        <f t="shared" si="486"/>
        <v>-63.902000000000001</v>
      </c>
      <c r="J213" s="121">
        <f>SUM(J208:J212)</f>
        <v>-46.432000000000002</v>
      </c>
      <c r="K213" s="122">
        <f>SUM(K208:K212)</f>
        <v>17.634</v>
      </c>
      <c r="L213" s="122">
        <f>SUM(L208:L212)</f>
        <v>-4.2320000000000295</v>
      </c>
      <c r="M213" s="123">
        <f>SUM(M208:M212)</f>
        <v>21.083000000000027</v>
      </c>
      <c r="N213" s="127">
        <f t="shared" si="488"/>
        <v>-11.947000000000003</v>
      </c>
      <c r="O213" s="121">
        <f>SUM(O208:O212)</f>
        <v>-14.455000000000016</v>
      </c>
      <c r="P213" s="122">
        <f>SUM(P208:P212)</f>
        <v>-4.3030000000000008</v>
      </c>
      <c r="Q213" s="122">
        <f>SUM(Q208:Q212)</f>
        <v>-15.125999999999998</v>
      </c>
      <c r="R213" s="123">
        <f>SUM(R208:R212)</f>
        <v>29.797000000000029</v>
      </c>
      <c r="S213" s="127">
        <f t="shared" si="490"/>
        <v>-4.0869999999999855</v>
      </c>
      <c r="T213" s="121">
        <f>SUM(T208:T212)</f>
        <v>-11.191000000000003</v>
      </c>
      <c r="U213" s="122">
        <f>SUM(U208:U212)</f>
        <v>10.146000000000001</v>
      </c>
      <c r="V213" s="122">
        <f>SUM(V208:V212)</f>
        <v>-13.096999999999994</v>
      </c>
      <c r="W213" s="123">
        <f>SUM(W208:W212)</f>
        <v>30.495999999999984</v>
      </c>
      <c r="X213" s="127">
        <f t="shared" si="492"/>
        <v>16.353999999999999</v>
      </c>
      <c r="Y213" s="121">
        <f>SUM(Y208:Y212)</f>
        <v>-5.738999999999999</v>
      </c>
      <c r="Z213" s="122">
        <f>SUM(Z208:Z212)</f>
        <v>-1.5259999999999945</v>
      </c>
      <c r="AA213" s="122">
        <f>SUM(AA208:AA212)</f>
        <v>-1.3860000000000028</v>
      </c>
      <c r="AB213" s="123">
        <f>SUM(AB208:AB212)</f>
        <v>65.408000000000001</v>
      </c>
      <c r="AC213" s="127">
        <f t="shared" si="494"/>
        <v>56.756999999999998</v>
      </c>
      <c r="AD213" s="121">
        <f>SUM(AD208:AD212)</f>
        <v>2.9499999999999993</v>
      </c>
      <c r="AE213" s="122">
        <f>SUM(AE208:AE212)</f>
        <v>43.36</v>
      </c>
      <c r="AF213" s="122">
        <f>SUM(AF208:AF212)</f>
        <v>27.970999999999989</v>
      </c>
      <c r="AG213" s="123">
        <f>SUM(AG208:AG212)</f>
        <v>63.79000000000002</v>
      </c>
      <c r="AH213" s="127">
        <f t="shared" si="496"/>
        <v>138.071</v>
      </c>
      <c r="AI213" s="121">
        <f>SUM(AI208:AI212)</f>
        <v>12.125</v>
      </c>
      <c r="AJ213" s="122">
        <f>SUM(AJ208:AJ212)</f>
        <v>9.5910000000000011</v>
      </c>
      <c r="AK213" s="122">
        <f>SUM(AK208:AK212)</f>
        <v>-16.88300000000001</v>
      </c>
      <c r="AL213" s="123">
        <f>SUM(AL208:AL212)</f>
        <v>40.362999999999992</v>
      </c>
      <c r="AM213" s="127">
        <f t="shared" si="498"/>
        <v>45.195999999999984</v>
      </c>
      <c r="AN213" s="121">
        <f>SUM(AN208:AN212)</f>
        <v>-21.881</v>
      </c>
      <c r="AO213" s="122">
        <f>SUM(AO208:AO212)</f>
        <v>-9.5430000000000046</v>
      </c>
      <c r="AP213" s="122">
        <f>SUM(AP208:AP212)</f>
        <v>-11.926000000000002</v>
      </c>
      <c r="AQ213" s="123">
        <f>SUM(AQ208:AQ212)</f>
        <v>42.037000000000006</v>
      </c>
      <c r="AR213" s="127">
        <f t="shared" si="500"/>
        <v>-1.3130000000000026</v>
      </c>
      <c r="AS213" s="121">
        <f>SUM(AS208:AS212)</f>
        <v>-25.53</v>
      </c>
      <c r="AT213" s="122">
        <f>SUM(AT208:AT212)</f>
        <v>-15.084999999999997</v>
      </c>
      <c r="AU213" s="122">
        <f>SUM(AU208:AU212)</f>
        <v>32.131</v>
      </c>
      <c r="AV213" s="123">
        <f>SUM(AV208:AV212)</f>
        <v>40.746999999999993</v>
      </c>
      <c r="AW213" s="127">
        <f t="shared" si="503"/>
        <v>32.262999999999991</v>
      </c>
      <c r="AX213" s="121">
        <f t="shared" ref="AX213:BG213" si="527">SUM(AX208:AX212)</f>
        <v>-11.25</v>
      </c>
      <c r="AY213" s="122">
        <f t="shared" si="527"/>
        <v>-11.25</v>
      </c>
      <c r="AZ213" s="122">
        <f t="shared" si="527"/>
        <v>-11.25</v>
      </c>
      <c r="BA213" s="123">
        <f t="shared" si="527"/>
        <v>38.75</v>
      </c>
      <c r="BB213" s="86">
        <f t="shared" si="527"/>
        <v>5</v>
      </c>
      <c r="BC213" s="121">
        <f t="shared" si="527"/>
        <v>-10</v>
      </c>
      <c r="BD213" s="122">
        <f t="shared" si="527"/>
        <v>-10</v>
      </c>
      <c r="BE213" s="122">
        <f t="shared" si="527"/>
        <v>40</v>
      </c>
      <c r="BF213" s="123">
        <f t="shared" si="527"/>
        <v>-10</v>
      </c>
      <c r="BG213" s="86">
        <f t="shared" si="527"/>
        <v>10</v>
      </c>
      <c r="BH213" s="121">
        <f t="shared" ref="BH213:BQ213" si="528">SUM(BH208:BH212)</f>
        <v>-13.75</v>
      </c>
      <c r="BI213" s="122">
        <f t="shared" si="528"/>
        <v>-13.75</v>
      </c>
      <c r="BJ213" s="122">
        <f t="shared" si="528"/>
        <v>36.25</v>
      </c>
      <c r="BK213" s="123">
        <f t="shared" si="528"/>
        <v>-13.75</v>
      </c>
      <c r="BL213" s="86">
        <f t="shared" si="528"/>
        <v>-5</v>
      </c>
      <c r="BM213" s="121">
        <f t="shared" si="528"/>
        <v>-11.25</v>
      </c>
      <c r="BN213" s="122">
        <f t="shared" si="528"/>
        <v>-11.25</v>
      </c>
      <c r="BO213" s="122">
        <f t="shared" si="528"/>
        <v>38.75</v>
      </c>
      <c r="BP213" s="123">
        <f t="shared" si="528"/>
        <v>-29.85</v>
      </c>
      <c r="BQ213" s="86">
        <f t="shared" si="528"/>
        <v>-13.600000000000001</v>
      </c>
      <c r="BR213" s="220"/>
      <c r="BS213" s="220"/>
      <c r="BT213" s="220"/>
      <c r="BU213" s="220"/>
      <c r="BV213" s="220"/>
      <c r="BW213" s="220"/>
      <c r="BX213" s="220"/>
      <c r="BY213" s="220"/>
      <c r="BZ213" s="220"/>
      <c r="CA213" s="220"/>
      <c r="CB213" s="220"/>
      <c r="CC213" s="220"/>
      <c r="CD213" s="220"/>
      <c r="CE213" s="220"/>
      <c r="CF213" s="220"/>
      <c r="CG213" s="220"/>
      <c r="CH213" s="220"/>
      <c r="CI213" s="220"/>
      <c r="CJ213" s="220"/>
      <c r="CK213" s="220"/>
      <c r="CL213" s="86">
        <f t="shared" ref="CL213:CX213" si="529">SUM(CL208:CL212)</f>
        <v>-75.399999999999991</v>
      </c>
      <c r="CM213" s="86">
        <f t="shared" si="529"/>
        <v>-82.647999999999996</v>
      </c>
      <c r="CN213" s="86">
        <f t="shared" si="529"/>
        <v>-91.270999999999987</v>
      </c>
      <c r="CO213" s="86">
        <f t="shared" si="529"/>
        <v>27.368999999999996</v>
      </c>
      <c r="CP213" s="86">
        <f t="shared" si="529"/>
        <v>-63.902000000000001</v>
      </c>
      <c r="CQ213" s="86">
        <f t="shared" si="529"/>
        <v>-46.432000000000002</v>
      </c>
      <c r="CR213" s="86">
        <f t="shared" si="529"/>
        <v>-28.798000000000002</v>
      </c>
      <c r="CS213" s="86">
        <f t="shared" si="529"/>
        <v>-33.03000000000003</v>
      </c>
      <c r="CT213" s="86">
        <f t="shared" si="529"/>
        <v>21.083000000000027</v>
      </c>
      <c r="CU213" s="86">
        <f t="shared" si="529"/>
        <v>-11.947000000000003</v>
      </c>
      <c r="CV213" s="86">
        <f t="shared" si="529"/>
        <v>-14.455000000000016</v>
      </c>
      <c r="CW213" s="86">
        <f t="shared" si="529"/>
        <v>-18.758000000000017</v>
      </c>
      <c r="CX213" s="86">
        <f t="shared" si="529"/>
        <v>-33.884000000000015</v>
      </c>
      <c r="CY213" s="86">
        <f t="shared" ref="CY213:DH213" si="530">SUM(CY208:CY212)</f>
        <v>29.797000000000029</v>
      </c>
      <c r="CZ213" s="86">
        <f t="shared" si="530"/>
        <v>-4.0869999999999855</v>
      </c>
      <c r="DA213" s="86">
        <f t="shared" si="530"/>
        <v>-11.191000000000003</v>
      </c>
      <c r="DB213" s="86">
        <f t="shared" si="530"/>
        <v>-1.0450000000000024</v>
      </c>
      <c r="DC213" s="86">
        <f t="shared" si="530"/>
        <v>-14.141999999999999</v>
      </c>
      <c r="DD213" s="86">
        <f t="shared" si="530"/>
        <v>30.495999999999984</v>
      </c>
      <c r="DE213" s="86">
        <f t="shared" si="530"/>
        <v>16.353999999999999</v>
      </c>
      <c r="DF213" s="86">
        <f t="shared" si="530"/>
        <v>-5.738999999999999</v>
      </c>
      <c r="DG213" s="86">
        <f t="shared" si="530"/>
        <v>-7.2649999999999952</v>
      </c>
      <c r="DH213" s="86">
        <f t="shared" si="530"/>
        <v>-8.6510000000000016</v>
      </c>
      <c r="DI213" s="86">
        <f t="shared" ref="DI213:DQ213" si="531">SUM(DI208:DI212)</f>
        <v>65.408000000000001</v>
      </c>
      <c r="DJ213" s="86">
        <f t="shared" si="531"/>
        <v>56.756999999999998</v>
      </c>
      <c r="DK213" s="86">
        <f t="shared" si="531"/>
        <v>2.9499999999999993</v>
      </c>
      <c r="DL213" s="86">
        <f t="shared" si="531"/>
        <v>46.31</v>
      </c>
      <c r="DM213" s="86">
        <f t="shared" si="531"/>
        <v>74.280999999999992</v>
      </c>
      <c r="DN213" s="86">
        <f t="shared" si="531"/>
        <v>63.79000000000002</v>
      </c>
      <c r="DO213" s="86">
        <f t="shared" si="531"/>
        <v>138.071</v>
      </c>
      <c r="DP213" s="86">
        <f t="shared" si="531"/>
        <v>12.125</v>
      </c>
      <c r="DQ213" s="86">
        <f t="shared" si="531"/>
        <v>21.715999999999998</v>
      </c>
      <c r="DR213" s="86">
        <f t="shared" ref="DR213:DW213" si="532">SUM(DR208:DR212)</f>
        <v>4.8329999999999949</v>
      </c>
      <c r="DS213" s="86">
        <f t="shared" si="532"/>
        <v>40.362999999999992</v>
      </c>
      <c r="DT213" s="86">
        <f t="shared" si="532"/>
        <v>45.195999999999984</v>
      </c>
      <c r="DU213" s="86">
        <f t="shared" si="532"/>
        <v>-21.881</v>
      </c>
      <c r="DV213" s="86">
        <f t="shared" si="532"/>
        <v>-31.424000000000003</v>
      </c>
      <c r="DW213" s="86">
        <f t="shared" si="532"/>
        <v>-43.35</v>
      </c>
      <c r="DX213" s="86">
        <f t="shared" ref="DX213:ED213" si="533">SUM(DX208:DX212)</f>
        <v>42.037000000000006</v>
      </c>
      <c r="DY213" s="86">
        <f t="shared" si="533"/>
        <v>-1.3130000000000026</v>
      </c>
      <c r="DZ213" s="86">
        <f t="shared" si="533"/>
        <v>-25.53</v>
      </c>
      <c r="EA213" s="86">
        <f t="shared" si="533"/>
        <v>-40.614999999999995</v>
      </c>
      <c r="EB213" s="86">
        <f t="shared" si="533"/>
        <v>-8.4840000000000053</v>
      </c>
      <c r="EC213" s="86">
        <f t="shared" si="533"/>
        <v>40.746999999999993</v>
      </c>
      <c r="ED213" s="86">
        <f t="shared" si="533"/>
        <v>32.262999999999991</v>
      </c>
    </row>
    <row r="214" spans="1:134" x14ac:dyDescent="0.2">
      <c r="A214" s="220"/>
      <c r="B214" s="220"/>
      <c r="C214" s="70"/>
      <c r="D214" s="82"/>
      <c r="E214" s="136"/>
      <c r="F214" s="137"/>
      <c r="G214" s="137"/>
      <c r="H214" s="116"/>
      <c r="I214" s="223">
        <f t="shared" si="486"/>
        <v>0</v>
      </c>
      <c r="J214" s="136"/>
      <c r="K214" s="137"/>
      <c r="L214" s="137"/>
      <c r="M214" s="116"/>
      <c r="N214" s="223">
        <f t="shared" si="488"/>
        <v>0</v>
      </c>
      <c r="O214" s="136"/>
      <c r="P214" s="137"/>
      <c r="Q214" s="137"/>
      <c r="R214" s="116"/>
      <c r="S214" s="223">
        <f t="shared" si="490"/>
        <v>0</v>
      </c>
      <c r="T214" s="136"/>
      <c r="U214" s="137"/>
      <c r="V214" s="137"/>
      <c r="W214" s="116"/>
      <c r="X214" s="223">
        <f t="shared" si="492"/>
        <v>0</v>
      </c>
      <c r="Y214" s="136"/>
      <c r="Z214" s="137"/>
      <c r="AA214" s="137"/>
      <c r="AB214" s="116"/>
      <c r="AC214" s="223">
        <f t="shared" si="494"/>
        <v>0</v>
      </c>
      <c r="AD214" s="136"/>
      <c r="AE214" s="137"/>
      <c r="AF214" s="137"/>
      <c r="AG214" s="116"/>
      <c r="AH214" s="223">
        <f t="shared" si="496"/>
        <v>0</v>
      </c>
      <c r="AI214" s="136"/>
      <c r="AJ214" s="137"/>
      <c r="AK214" s="137"/>
      <c r="AL214" s="116"/>
      <c r="AM214" s="223">
        <f t="shared" si="498"/>
        <v>0</v>
      </c>
      <c r="AN214" s="136"/>
      <c r="AO214" s="137"/>
      <c r="AP214" s="137"/>
      <c r="AQ214" s="116"/>
      <c r="AR214" s="223">
        <f t="shared" si="500"/>
        <v>0</v>
      </c>
      <c r="AS214" s="136"/>
      <c r="AT214" s="137"/>
      <c r="AU214" s="137"/>
      <c r="AV214" s="116"/>
      <c r="AW214" s="223">
        <f t="shared" si="503"/>
        <v>0</v>
      </c>
      <c r="AX214" s="136"/>
      <c r="AY214" s="137"/>
      <c r="AZ214" s="137"/>
      <c r="BA214" s="116"/>
      <c r="BB214" s="220"/>
      <c r="BC214" s="136"/>
      <c r="BD214" s="137"/>
      <c r="BE214" s="137"/>
      <c r="BF214" s="116"/>
      <c r="BG214" s="220"/>
      <c r="BH214" s="136"/>
      <c r="BI214" s="137"/>
      <c r="BJ214" s="137"/>
      <c r="BK214" s="116"/>
      <c r="BL214" s="220"/>
      <c r="BM214" s="136"/>
      <c r="BN214" s="137"/>
      <c r="BO214" s="137"/>
      <c r="BP214" s="116"/>
      <c r="BQ214" s="220"/>
      <c r="BR214" s="220"/>
      <c r="BS214" s="220"/>
      <c r="BT214" s="220"/>
      <c r="BU214" s="220"/>
      <c r="BV214" s="220"/>
      <c r="BW214" s="220"/>
      <c r="BX214" s="220"/>
      <c r="BY214" s="220"/>
      <c r="BZ214" s="220"/>
      <c r="CA214" s="220"/>
      <c r="CB214" s="220"/>
      <c r="CC214" s="220"/>
      <c r="CD214" s="220"/>
      <c r="CE214" s="220"/>
      <c r="CF214" s="220"/>
      <c r="CG214" s="220"/>
      <c r="CH214" s="220"/>
      <c r="CI214" s="220"/>
      <c r="CJ214" s="220"/>
      <c r="CK214" s="220"/>
      <c r="CL214" s="85"/>
      <c r="CM214" s="85"/>
      <c r="CN214" s="85"/>
      <c r="CO214" s="85"/>
      <c r="CP214" s="85"/>
      <c r="CQ214" s="85"/>
      <c r="CR214" s="85"/>
      <c r="CS214" s="85"/>
      <c r="CT214" s="85"/>
      <c r="CU214" s="85"/>
      <c r="CV214" s="85"/>
      <c r="CW214" s="85"/>
      <c r="CX214" s="85"/>
      <c r="CY214" s="85"/>
      <c r="CZ214" s="85"/>
      <c r="DA214" s="85"/>
      <c r="DB214" s="85"/>
      <c r="DC214" s="85"/>
      <c r="DD214" s="85"/>
      <c r="DE214" s="85"/>
      <c r="DF214" s="85"/>
      <c r="DG214" s="85"/>
      <c r="DH214" s="85"/>
      <c r="DI214" s="85"/>
      <c r="DJ214" s="85"/>
      <c r="DK214" s="85"/>
      <c r="DL214" s="85"/>
      <c r="DM214" s="85"/>
      <c r="DN214" s="85"/>
      <c r="DO214" s="85"/>
      <c r="DP214" s="85"/>
      <c r="DR214" s="85"/>
      <c r="DS214" s="85"/>
      <c r="DT214" s="85"/>
      <c r="DU214" s="85"/>
      <c r="DX214" s="85"/>
      <c r="DY214" s="85"/>
      <c r="DZ214" s="85"/>
      <c r="EC214" s="85"/>
      <c r="ED214" s="85"/>
    </row>
    <row r="215" spans="1:134" ht="12.75" customHeight="1" x14ac:dyDescent="0.2">
      <c r="A215" s="220"/>
      <c r="B215" s="220"/>
      <c r="C215" s="141" t="s">
        <v>193</v>
      </c>
      <c r="D215" s="82"/>
      <c r="E215" s="121">
        <f>+E201+E206+E213</f>
        <v>-30.661999999999992</v>
      </c>
      <c r="F215" s="122">
        <f>+F201+F206+F213</f>
        <v>4.4709999999999965</v>
      </c>
      <c r="G215" s="122">
        <f>+G201+G206+G213</f>
        <v>3.755000000000015</v>
      </c>
      <c r="H215" s="123">
        <f>+H201+H206+H213</f>
        <v>-8.2520000000000202</v>
      </c>
      <c r="I215" s="127">
        <f t="shared" si="486"/>
        <v>-30.688000000000002</v>
      </c>
      <c r="J215" s="121">
        <f>+J201+J206+J213</f>
        <v>-5.0000000000096634E-3</v>
      </c>
      <c r="K215" s="122">
        <f>+K201+K206+K213</f>
        <v>1.0229999999999961</v>
      </c>
      <c r="L215" s="122">
        <f>+L201+L206+L213</f>
        <v>1.9569999999999776</v>
      </c>
      <c r="M215" s="123">
        <f>+M201+M206+M213</f>
        <v>2.5470000000000326</v>
      </c>
      <c r="N215" s="127">
        <f t="shared" si="488"/>
        <v>5.5220000000000056</v>
      </c>
      <c r="O215" s="121">
        <f>+O201+O206+O213</f>
        <v>-1.9440000000000097</v>
      </c>
      <c r="P215" s="122">
        <f>+P201+P206+P213</f>
        <v>-3.0820000000000114</v>
      </c>
      <c r="Q215" s="122">
        <f>+Q201+Q206+Q213</f>
        <v>6.1000000000014154E-2</v>
      </c>
      <c r="R215" s="123">
        <f>+R201+R206+R213</f>
        <v>9.1000000000029502E-2</v>
      </c>
      <c r="S215" s="127">
        <f t="shared" si="490"/>
        <v>-4.8739999999999633</v>
      </c>
      <c r="T215" s="121">
        <f>+T201+T206+T213</f>
        <v>-0.12800000000000011</v>
      </c>
      <c r="U215" s="122">
        <f>+U201+U206+U213</f>
        <v>0.34899999999999665</v>
      </c>
      <c r="V215" s="122">
        <f>+V201+V206+V213</f>
        <v>-0.29699999999998994</v>
      </c>
      <c r="W215" s="123">
        <f>+W201+W206+W213</f>
        <v>2.9640000000000022</v>
      </c>
      <c r="X215" s="127">
        <f t="shared" si="492"/>
        <v>2.8880000000000479</v>
      </c>
      <c r="Y215" s="121">
        <f>+Y201+Y206+Y213</f>
        <v>-0.28899999999998904</v>
      </c>
      <c r="Z215" s="122">
        <f>+Z201+Z206+Z213</f>
        <v>-2.8019999999999836</v>
      </c>
      <c r="AA215" s="122">
        <f>+AA201+AA206+AA213</f>
        <v>0.15800000000000836</v>
      </c>
      <c r="AB215" s="123">
        <f>+AB201+AB206+AB213</f>
        <v>-0.1769999999999925</v>
      </c>
      <c r="AC215" s="127">
        <f t="shared" si="494"/>
        <v>-3.1100000000000207</v>
      </c>
      <c r="AD215" s="121">
        <f>+AD201+AD206+AD213</f>
        <v>0.99800000000000821</v>
      </c>
      <c r="AE215" s="122">
        <f>+AE201+AE206+AE213</f>
        <v>-1.6830000000000069</v>
      </c>
      <c r="AF215" s="122">
        <f>+AF201+AF206+AF213</f>
        <v>1.0769999999999769</v>
      </c>
      <c r="AG215" s="123">
        <f>+AG201+AG206+AG213</f>
        <v>-0.45599999999998886</v>
      </c>
      <c r="AH215" s="127">
        <f t="shared" si="496"/>
        <v>-6.3999999999992951E-2</v>
      </c>
      <c r="AI215" s="121">
        <f>+AI201+AI206+AI213</f>
        <v>-0.29500000000001592</v>
      </c>
      <c r="AJ215" s="122">
        <f>+AJ201+AJ206+AJ213</f>
        <v>17.04099999999999</v>
      </c>
      <c r="AK215" s="122">
        <f>+AK201+AK206+AK213</f>
        <v>-7.2290000000000028</v>
      </c>
      <c r="AL215" s="123">
        <f>+AL201+AL206+AL213</f>
        <v>-9.7230000000000132</v>
      </c>
      <c r="AM215" s="127">
        <f t="shared" si="498"/>
        <v>-0.20600000000000307</v>
      </c>
      <c r="AN215" s="121">
        <f>+AN201+AN206+AN213</f>
        <v>4.9999999999997158E-2</v>
      </c>
      <c r="AO215" s="122">
        <f>+AO201+AO206+AO213</f>
        <v>0.46299999999999564</v>
      </c>
      <c r="AP215" s="122">
        <f>+AP201+AP206+AP213</f>
        <v>-0.57100000000003348</v>
      </c>
      <c r="AQ215" s="123">
        <f>+AQ201+AQ206+AQ213</f>
        <v>0.52500000000004832</v>
      </c>
      <c r="AR215" s="127">
        <f t="shared" si="500"/>
        <v>0.46699999999999853</v>
      </c>
      <c r="AS215" s="121">
        <f>+AS201+AS206+AS213</f>
        <v>0.12199999999999278</v>
      </c>
      <c r="AT215" s="122">
        <f>+AT201+AT206+AT213</f>
        <v>-0.52399999999999736</v>
      </c>
      <c r="AU215" s="122">
        <f>+AU201+AU206+AU213</f>
        <v>8.7000000000010402E-2</v>
      </c>
      <c r="AV215" s="123">
        <f>+AV201+AV206+AV213</f>
        <v>0.17200000000000415</v>
      </c>
      <c r="AW215" s="127">
        <f t="shared" si="503"/>
        <v>-0.14299999999998647</v>
      </c>
      <c r="AX215" s="121">
        <f t="shared" ref="AX215" si="534">+AX201+AX206+AX213</f>
        <v>-9.5259149795349458</v>
      </c>
      <c r="AY215" s="122">
        <f t="shared" ref="AY215:BG215" si="535">+AY201+AY206+AY213</f>
        <v>-23.92954118275636</v>
      </c>
      <c r="AZ215" s="122">
        <f t="shared" si="535"/>
        <v>-15.477437040358154</v>
      </c>
      <c r="BA215" s="123">
        <f t="shared" si="535"/>
        <v>36.417412151303132</v>
      </c>
      <c r="BB215" s="86">
        <f t="shared" si="535"/>
        <v>-12.515481051346342</v>
      </c>
      <c r="BC215" s="121">
        <f t="shared" si="535"/>
        <v>-4.1276832140591395</v>
      </c>
      <c r="BD215" s="122">
        <f t="shared" si="535"/>
        <v>-19.788284243970082</v>
      </c>
      <c r="BE215" s="122">
        <f t="shared" si="535"/>
        <v>38.252749135839778</v>
      </c>
      <c r="BF215" s="123">
        <f t="shared" si="535"/>
        <v>-9.1510651139265917</v>
      </c>
      <c r="BG215" s="86">
        <f t="shared" si="535"/>
        <v>5.1857165638839717</v>
      </c>
      <c r="BH215" s="121">
        <f t="shared" ref="BH215:BQ215" si="536">+BH201+BH206+BH213</f>
        <v>-0.90014730365670914</v>
      </c>
      <c r="BI215" s="122">
        <f t="shared" si="536"/>
        <v>-17.779058087815308</v>
      </c>
      <c r="BJ215" s="122">
        <f t="shared" si="536"/>
        <v>40.39718452448291</v>
      </c>
      <c r="BK215" s="123">
        <f t="shared" si="536"/>
        <v>-6.3933566786450058</v>
      </c>
      <c r="BL215" s="86">
        <f t="shared" si="536"/>
        <v>15.32462245436588</v>
      </c>
      <c r="BM215" s="121">
        <f t="shared" si="536"/>
        <v>-3.5488742417164616</v>
      </c>
      <c r="BN215" s="122">
        <f t="shared" si="536"/>
        <v>-21.676059883057576</v>
      </c>
      <c r="BO215" s="122">
        <f t="shared" si="536"/>
        <v>36.558894987428957</v>
      </c>
      <c r="BP215" s="123">
        <f t="shared" si="536"/>
        <v>-28.023778925356474</v>
      </c>
      <c r="BQ215" s="86">
        <f t="shared" si="536"/>
        <v>-16.689818062701512</v>
      </c>
      <c r="BR215" s="220"/>
      <c r="BS215" s="220"/>
      <c r="BT215" s="220"/>
      <c r="BU215" s="220"/>
      <c r="BV215" s="220"/>
      <c r="BW215" s="220"/>
      <c r="BX215" s="220"/>
      <c r="BY215" s="220"/>
      <c r="BZ215" s="220"/>
      <c r="CA215" s="220"/>
      <c r="CB215" s="220"/>
      <c r="CC215" s="220"/>
      <c r="CD215" s="220"/>
      <c r="CE215" s="220"/>
      <c r="CF215" s="220"/>
      <c r="CG215" s="220"/>
      <c r="CH215" s="220"/>
      <c r="CI215" s="220"/>
      <c r="CJ215" s="220"/>
      <c r="CK215" s="220"/>
      <c r="CL215" s="86">
        <f t="shared" ref="CL215:CX215" si="537">CL201+CL206+CL213</f>
        <v>-30.661999999999992</v>
      </c>
      <c r="CM215" s="86">
        <f t="shared" si="537"/>
        <v>-26.191000000000003</v>
      </c>
      <c r="CN215" s="86">
        <f t="shared" si="537"/>
        <v>-22.435999999999979</v>
      </c>
      <c r="CO215" s="86">
        <f t="shared" si="537"/>
        <v>-8.2520000000000202</v>
      </c>
      <c r="CP215" s="86">
        <f t="shared" si="537"/>
        <v>-30.688000000000002</v>
      </c>
      <c r="CQ215" s="86">
        <f t="shared" si="537"/>
        <v>-5.0000000000096634E-3</v>
      </c>
      <c r="CR215" s="86">
        <f t="shared" si="537"/>
        <v>1.0179999999999865</v>
      </c>
      <c r="CS215" s="86">
        <f t="shared" si="537"/>
        <v>2.9749999999999659</v>
      </c>
      <c r="CT215" s="86">
        <f t="shared" si="537"/>
        <v>2.5470000000000326</v>
      </c>
      <c r="CU215" s="86">
        <f t="shared" si="537"/>
        <v>5.5220000000000056</v>
      </c>
      <c r="CV215" s="86">
        <f t="shared" si="537"/>
        <v>-1.9440000000000097</v>
      </c>
      <c r="CW215" s="86">
        <f t="shared" si="537"/>
        <v>-5.0260000000000176</v>
      </c>
      <c r="CX215" s="86">
        <f t="shared" si="537"/>
        <v>-4.9650000000000176</v>
      </c>
      <c r="CY215" s="86">
        <f t="shared" ref="CY215:DF215" si="538">CY201+CY206+CY213</f>
        <v>9.1000000000029502E-2</v>
      </c>
      <c r="CZ215" s="86">
        <f t="shared" si="538"/>
        <v>-4.8739999999999633</v>
      </c>
      <c r="DA215" s="86">
        <f t="shared" si="538"/>
        <v>-0.12800000000000011</v>
      </c>
      <c r="DB215" s="86">
        <f t="shared" si="538"/>
        <v>0.22099999999998876</v>
      </c>
      <c r="DC215" s="86">
        <f t="shared" si="538"/>
        <v>-7.5999999999996959E-2</v>
      </c>
      <c r="DD215" s="86">
        <f t="shared" si="538"/>
        <v>2.9640000000000022</v>
      </c>
      <c r="DE215" s="86">
        <f t="shared" si="538"/>
        <v>2.8880000000000479</v>
      </c>
      <c r="DF215" s="86">
        <f t="shared" si="538"/>
        <v>-0.28899999999998904</v>
      </c>
      <c r="DG215" s="86">
        <f t="shared" ref="DG215:DL215" si="539">DG201+DG206+DG213</f>
        <v>-3.0910000000000029</v>
      </c>
      <c r="DH215" s="86">
        <f t="shared" si="539"/>
        <v>-2.9329999999999838</v>
      </c>
      <c r="DI215" s="86">
        <f t="shared" si="539"/>
        <v>-0.1769999999999925</v>
      </c>
      <c r="DJ215" s="86">
        <f t="shared" si="539"/>
        <v>-3.1100000000000207</v>
      </c>
      <c r="DK215" s="86">
        <f t="shared" si="539"/>
        <v>0.99800000000000821</v>
      </c>
      <c r="DL215" s="86">
        <f t="shared" si="539"/>
        <v>-0.68500000000000227</v>
      </c>
      <c r="DM215" s="86">
        <f t="shared" ref="DM215:DR215" si="540">DM201+DM206+DM213</f>
        <v>0.39199999999995327</v>
      </c>
      <c r="DN215" s="86">
        <f t="shared" si="540"/>
        <v>-0.45599999999998886</v>
      </c>
      <c r="DO215" s="86">
        <f t="shared" si="540"/>
        <v>-6.3999999999992951E-2</v>
      </c>
      <c r="DP215" s="86">
        <f t="shared" si="540"/>
        <v>-0.29500000000001592</v>
      </c>
      <c r="DQ215" s="86">
        <f t="shared" si="540"/>
        <v>16.74599999999997</v>
      </c>
      <c r="DR215" s="86">
        <f t="shared" si="540"/>
        <v>9.5169999999999639</v>
      </c>
      <c r="DS215" s="86">
        <f t="shared" ref="DS215:DY215" si="541">DS201+DS206+DS213</f>
        <v>-9.7230000000000132</v>
      </c>
      <c r="DT215" s="86">
        <f t="shared" si="541"/>
        <v>-0.20600000000000307</v>
      </c>
      <c r="DU215" s="86">
        <f t="shared" si="541"/>
        <v>4.9999999999997158E-2</v>
      </c>
      <c r="DV215" s="86">
        <f t="shared" si="541"/>
        <v>0.51299999999999457</v>
      </c>
      <c r="DW215" s="86">
        <f t="shared" si="541"/>
        <v>-5.7999999999999829E-2</v>
      </c>
      <c r="DX215" s="86">
        <f t="shared" si="541"/>
        <v>0.52500000000004832</v>
      </c>
      <c r="DY215" s="86">
        <f t="shared" si="541"/>
        <v>0.46699999999999853</v>
      </c>
      <c r="DZ215" s="86">
        <f>DZ201+DZ206+DZ213</f>
        <v>0.12199999999999278</v>
      </c>
      <c r="EA215" s="86">
        <f>EA201+EA206+EA213</f>
        <v>-0.40200000000000102</v>
      </c>
      <c r="EB215" s="86">
        <f>EB201+EB206+EB213</f>
        <v>-0.31499999999999417</v>
      </c>
      <c r="EC215" s="86">
        <f t="shared" ref="EC215:ED215" si="542">EC201+EC206+EC213</f>
        <v>0.17200000000000415</v>
      </c>
      <c r="ED215" s="86">
        <f t="shared" si="542"/>
        <v>-0.14299999999998647</v>
      </c>
    </row>
    <row r="216" spans="1:134" ht="12.75" customHeight="1" x14ac:dyDescent="0.2">
      <c r="A216" s="220"/>
      <c r="B216" s="220"/>
      <c r="C216" s="70" t="s">
        <v>194</v>
      </c>
      <c r="D216" s="82"/>
      <c r="E216" s="222">
        <f>CL216</f>
        <v>31.611000000000001</v>
      </c>
      <c r="F216" s="135">
        <f>+E218</f>
        <v>0.94900000000000873</v>
      </c>
      <c r="G216" s="135">
        <f>+F218</f>
        <v>5.4200000000000053</v>
      </c>
      <c r="H216" s="116">
        <f>+G218</f>
        <v>9.1750000000000203</v>
      </c>
      <c r="I216" s="223">
        <f>+E216</f>
        <v>31.611000000000001</v>
      </c>
      <c r="J216" s="136">
        <f>+I218</f>
        <v>0.92299999999999827</v>
      </c>
      <c r="K216" s="135">
        <f>+J218</f>
        <v>0.9179999999999886</v>
      </c>
      <c r="L216" s="135">
        <f>+K218</f>
        <v>1.9409999999999847</v>
      </c>
      <c r="M216" s="116">
        <f>+L218</f>
        <v>3.8979999999999624</v>
      </c>
      <c r="N216" s="223">
        <f>+J216</f>
        <v>0.92299999999999827</v>
      </c>
      <c r="O216" s="136">
        <f>+N218</f>
        <v>6.4450000000000038</v>
      </c>
      <c r="P216" s="135">
        <f>+O218</f>
        <v>4.5009999999999941</v>
      </c>
      <c r="Q216" s="135">
        <f>+P218</f>
        <v>1.4189999999999827</v>
      </c>
      <c r="R216" s="116">
        <f>+Q218</f>
        <v>1.4799999999999969</v>
      </c>
      <c r="S216" s="223">
        <f>+O216</f>
        <v>6.4450000000000038</v>
      </c>
      <c r="T216" s="136">
        <f>+S218</f>
        <v>1.5710000000000406</v>
      </c>
      <c r="U216" s="135">
        <f>+T218</f>
        <v>1.4430000000000405</v>
      </c>
      <c r="V216" s="135">
        <f>+U218</f>
        <v>1.7920000000000371</v>
      </c>
      <c r="W216" s="116">
        <f>+V218</f>
        <v>1.4950000000000472</v>
      </c>
      <c r="X216" s="223">
        <f>+T216</f>
        <v>1.5710000000000406</v>
      </c>
      <c r="Y216" s="136">
        <f>+X218</f>
        <v>4.4590000000000884</v>
      </c>
      <c r="Z216" s="135">
        <f>+Y218</f>
        <v>4.1700000000000994</v>
      </c>
      <c r="AA216" s="135">
        <f>+Z218</f>
        <v>1.3680000000001158</v>
      </c>
      <c r="AB216" s="116">
        <f>+AA218</f>
        <v>1.5260000000001241</v>
      </c>
      <c r="AC216" s="223">
        <f>+Y216</f>
        <v>4.4590000000000884</v>
      </c>
      <c r="AD216" s="136">
        <f>+AC218</f>
        <v>1.3490000000000677</v>
      </c>
      <c r="AE216" s="135">
        <f>+AD218</f>
        <v>2.3470000000000759</v>
      </c>
      <c r="AF216" s="135">
        <f>+AE218</f>
        <v>0.66400000000006898</v>
      </c>
      <c r="AG216" s="116">
        <f>+AF218</f>
        <v>1.7410000000000458</v>
      </c>
      <c r="AH216" s="223">
        <f>+AD216</f>
        <v>1.3490000000000677</v>
      </c>
      <c r="AI216" s="136">
        <f>+AH218</f>
        <v>1.2850000000000747</v>
      </c>
      <c r="AJ216" s="135">
        <f>+AI218</f>
        <v>0.99000000000005883</v>
      </c>
      <c r="AK216" s="135">
        <f>+AJ218</f>
        <v>18.031000000000049</v>
      </c>
      <c r="AL216" s="116">
        <f>+AK218</f>
        <v>10.802000000000046</v>
      </c>
      <c r="AM216" s="223">
        <f>+AI216</f>
        <v>1.2850000000000747</v>
      </c>
      <c r="AN216" s="136">
        <f>+AM218</f>
        <v>1.0790000000000717</v>
      </c>
      <c r="AO216" s="135">
        <f>+AN218</f>
        <v>1.1290000000000688</v>
      </c>
      <c r="AP216" s="135">
        <f>+AO218</f>
        <v>1.5920000000000645</v>
      </c>
      <c r="AQ216" s="116">
        <f>+AP218</f>
        <v>1.021000000000031</v>
      </c>
      <c r="AR216" s="223">
        <f>+AN216</f>
        <v>1.0790000000000717</v>
      </c>
      <c r="AS216" s="136">
        <f>+AR218</f>
        <v>1.5460000000000702</v>
      </c>
      <c r="AT216" s="135">
        <f>+AS218</f>
        <v>1.668000000000063</v>
      </c>
      <c r="AU216" s="135">
        <f>+AT218</f>
        <v>1.1440000000000656</v>
      </c>
      <c r="AV216" s="116">
        <f>+AU218</f>
        <v>1.231000000000076</v>
      </c>
      <c r="AW216" s="223">
        <f>+AS216</f>
        <v>1.5460000000000702</v>
      </c>
      <c r="AX216" s="136">
        <f>+AW218</f>
        <v>1.4030000000000837</v>
      </c>
      <c r="AY216" s="135">
        <f>+AX218</f>
        <v>0</v>
      </c>
      <c r="AZ216" s="135">
        <f>+AY218</f>
        <v>0</v>
      </c>
      <c r="BA216" s="116">
        <f>+AZ218</f>
        <v>0</v>
      </c>
      <c r="BB216" s="82">
        <f>+AW218</f>
        <v>1.4030000000000837</v>
      </c>
      <c r="BC216" s="136">
        <f>+BB218</f>
        <v>-1.4210854715202004E-14</v>
      </c>
      <c r="BD216" s="135">
        <f>+BC218</f>
        <v>0</v>
      </c>
      <c r="BE216" s="135">
        <f>+BD218</f>
        <v>0</v>
      </c>
      <c r="BF216" s="116">
        <f>+BE218</f>
        <v>0</v>
      </c>
      <c r="BG216" s="82">
        <f>+BB218</f>
        <v>-1.4210854715202004E-14</v>
      </c>
      <c r="BH216" s="136">
        <f>+BG218</f>
        <v>7.1054273576010019E-15</v>
      </c>
      <c r="BI216" s="135">
        <f>+BH218</f>
        <v>0</v>
      </c>
      <c r="BJ216" s="135">
        <f>+BI218</f>
        <v>0</v>
      </c>
      <c r="BK216" s="116">
        <f>+BJ218</f>
        <v>4.2912146455486067</v>
      </c>
      <c r="BL216" s="82">
        <f>+BG218</f>
        <v>7.1054273576010019E-15</v>
      </c>
      <c r="BM216" s="136">
        <f>+BL218</f>
        <v>0</v>
      </c>
      <c r="BN216" s="135">
        <f>+BM218</f>
        <v>0</v>
      </c>
      <c r="BO216" s="135">
        <f>+BN218</f>
        <v>0</v>
      </c>
      <c r="BP216" s="116">
        <f>+BO218</f>
        <v>9.2318188295585202</v>
      </c>
      <c r="BQ216" s="82">
        <f>+BL218</f>
        <v>0</v>
      </c>
      <c r="BR216" s="220"/>
      <c r="BS216" s="220"/>
      <c r="BT216" s="220"/>
      <c r="BU216" s="220"/>
      <c r="BV216" s="220"/>
      <c r="BW216" s="220"/>
      <c r="BX216" s="220"/>
      <c r="BY216" s="220"/>
      <c r="BZ216" s="220"/>
      <c r="CA216" s="220"/>
      <c r="CB216" s="220"/>
      <c r="CC216" s="220"/>
      <c r="CD216" s="220"/>
      <c r="CE216" s="220"/>
      <c r="CF216" s="220"/>
      <c r="CG216" s="220"/>
      <c r="CH216" s="220"/>
      <c r="CI216" s="220"/>
      <c r="CJ216" s="220"/>
      <c r="CK216" s="220"/>
      <c r="CL216" s="117">
        <v>31.611000000000001</v>
      </c>
      <c r="CM216" s="82">
        <f>CL216</f>
        <v>31.611000000000001</v>
      </c>
      <c r="CN216" s="82">
        <f>CM216</f>
        <v>31.611000000000001</v>
      </c>
      <c r="CO216" s="82">
        <f>CN218</f>
        <v>9.175000000000022</v>
      </c>
      <c r="CP216" s="82">
        <f>CL216</f>
        <v>31.611000000000001</v>
      </c>
      <c r="CQ216" s="82">
        <f>CP218</f>
        <v>0.92299999999999827</v>
      </c>
      <c r="CR216" s="82">
        <f>CQ216</f>
        <v>0.92299999999999827</v>
      </c>
      <c r="CS216" s="82">
        <f>CQ216</f>
        <v>0.92299999999999827</v>
      </c>
      <c r="CT216" s="82">
        <f>CS218</f>
        <v>3.8979999999999642</v>
      </c>
      <c r="CU216" s="82">
        <f>CQ216</f>
        <v>0.92299999999999827</v>
      </c>
      <c r="CV216" s="82">
        <f>CU218</f>
        <v>6.4450000000000038</v>
      </c>
      <c r="CW216" s="82">
        <f>CV216</f>
        <v>6.4450000000000038</v>
      </c>
      <c r="CX216" s="82">
        <f>CV216</f>
        <v>6.4450000000000038</v>
      </c>
      <c r="CY216" s="82">
        <f>CX218</f>
        <v>1.4799999999999862</v>
      </c>
      <c r="CZ216" s="82">
        <f>CV216</f>
        <v>6.4450000000000038</v>
      </c>
      <c r="DA216" s="82">
        <f>CZ218</f>
        <v>1.5710000000000406</v>
      </c>
      <c r="DB216" s="82">
        <f>DA216</f>
        <v>1.5710000000000406</v>
      </c>
      <c r="DC216" s="82">
        <f>DA216</f>
        <v>1.5710000000000406</v>
      </c>
      <c r="DD216" s="82">
        <f>DC218</f>
        <v>1.4950000000000436</v>
      </c>
      <c r="DE216" s="82">
        <f>DA216</f>
        <v>1.5710000000000406</v>
      </c>
      <c r="DF216" s="82">
        <f>DE218</f>
        <v>4.4590000000000884</v>
      </c>
      <c r="DG216" s="82">
        <f>DF216</f>
        <v>4.4590000000000884</v>
      </c>
      <c r="DH216" s="82">
        <f>DF216</f>
        <v>4.4590000000000884</v>
      </c>
      <c r="DI216" s="82">
        <f>DH218</f>
        <v>1.5260000000001046</v>
      </c>
      <c r="DJ216" s="82">
        <f>DF216</f>
        <v>4.4590000000000884</v>
      </c>
      <c r="DK216" s="82">
        <f>DJ218</f>
        <v>1.3490000000000677</v>
      </c>
      <c r="DL216" s="82">
        <f>DK216</f>
        <v>1.3490000000000677</v>
      </c>
      <c r="DM216" s="82">
        <f>DK216</f>
        <v>1.3490000000000677</v>
      </c>
      <c r="DN216" s="82">
        <f>DM218</f>
        <v>1.741000000000021</v>
      </c>
      <c r="DO216" s="82">
        <f>DK216</f>
        <v>1.3490000000000677</v>
      </c>
      <c r="DP216" s="82">
        <f>DO218</f>
        <v>1.2850000000000747</v>
      </c>
      <c r="DQ216" s="82">
        <f>DP216</f>
        <v>1.2850000000000747</v>
      </c>
      <c r="DR216" s="82">
        <f>DP216</f>
        <v>1.2850000000000747</v>
      </c>
      <c r="DS216" s="82">
        <f>DR218</f>
        <v>10.802000000000039</v>
      </c>
      <c r="DT216" s="82">
        <f>DP216</f>
        <v>1.2850000000000747</v>
      </c>
      <c r="DU216" s="82">
        <f>DT218</f>
        <v>1.0790000000000717</v>
      </c>
      <c r="DV216" s="82">
        <f>DU216</f>
        <v>1.0790000000000717</v>
      </c>
      <c r="DW216" s="82">
        <f>DV216</f>
        <v>1.0790000000000717</v>
      </c>
      <c r="DX216" s="82">
        <f>DW218</f>
        <v>1.0210000000000719</v>
      </c>
      <c r="DY216" s="82">
        <f>DU216</f>
        <v>1.0790000000000717</v>
      </c>
      <c r="DZ216" s="82">
        <f>DY218</f>
        <v>1.5460000000000702</v>
      </c>
      <c r="EA216" s="82">
        <f>DZ216</f>
        <v>1.5460000000000702</v>
      </c>
      <c r="EB216" s="82">
        <f>EA216</f>
        <v>1.5460000000000702</v>
      </c>
      <c r="EC216" s="82">
        <f>EB218</f>
        <v>1.231000000000076</v>
      </c>
      <c r="ED216" s="82">
        <f>DZ216</f>
        <v>1.5460000000000702</v>
      </c>
    </row>
    <row r="217" spans="1:134" x14ac:dyDescent="0.2">
      <c r="A217" s="220"/>
      <c r="B217" s="220"/>
      <c r="C217" s="70" t="s">
        <v>188</v>
      </c>
      <c r="D217" s="82"/>
      <c r="E217" s="114"/>
      <c r="F217" s="133"/>
      <c r="G217" s="133"/>
      <c r="H217" s="132"/>
      <c r="I217" s="223"/>
      <c r="J217" s="114"/>
      <c r="K217" s="133"/>
      <c r="L217" s="133"/>
      <c r="M217" s="132"/>
      <c r="N217" s="223"/>
      <c r="O217" s="114"/>
      <c r="P217" s="115"/>
      <c r="Q217" s="115"/>
      <c r="R217" s="132"/>
      <c r="S217" s="223"/>
      <c r="T217" s="114">
        <v>0</v>
      </c>
      <c r="U217" s="115"/>
      <c r="V217" s="115"/>
      <c r="W217" s="132"/>
      <c r="X217" s="223"/>
      <c r="Y217" s="114">
        <v>0</v>
      </c>
      <c r="Z217" s="115"/>
      <c r="AA217" s="115"/>
      <c r="AB217" s="132"/>
      <c r="AC217" s="223"/>
      <c r="AD217" s="114">
        <v>0</v>
      </c>
      <c r="AE217" s="115"/>
      <c r="AF217" s="115"/>
      <c r="AG217" s="132"/>
      <c r="AH217" s="223"/>
      <c r="AI217" s="114">
        <v>0</v>
      </c>
      <c r="AJ217" s="115"/>
      <c r="AK217" s="115"/>
      <c r="AL217" s="132"/>
      <c r="AM217" s="223"/>
      <c r="AN217" s="114">
        <v>0</v>
      </c>
      <c r="AO217" s="115"/>
      <c r="AP217" s="115"/>
      <c r="AQ217" s="132"/>
      <c r="AR217" s="223"/>
      <c r="AS217" s="114">
        <v>0</v>
      </c>
      <c r="AT217" s="115"/>
      <c r="AU217" s="115"/>
      <c r="AV217" s="132"/>
      <c r="AW217" s="223"/>
      <c r="AX217" s="136">
        <f>IF((AX215+AX216)&gt;=AW224,-AW224,-(AX215+AX216))</f>
        <v>8.1229149795348619</v>
      </c>
      <c r="AY217" s="135">
        <f>IF((AY215+AY216)&gt;=AX224,-AX224,-(AY215+AY216))</f>
        <v>23.92954118275636</v>
      </c>
      <c r="AZ217" s="135">
        <f>IF((AZ215+AZ216)&gt;=AY224,-AY224,-(AZ215+AZ216))</f>
        <v>15.477437040358154</v>
      </c>
      <c r="BA217" s="116">
        <f>IF((BA215+BA216)&gt;=AZ224,-AZ224,-(BA215+BA216))</f>
        <v>-36.417412151303132</v>
      </c>
      <c r="BB217" s="82">
        <f>SUM(AX217:BA217)</f>
        <v>11.112481051346244</v>
      </c>
      <c r="BC217" s="136">
        <f>IF((BC215+BC216)&gt;=BB224,-BB224,-(BC215+BC216))</f>
        <v>4.1276832140591537</v>
      </c>
      <c r="BD217" s="135">
        <f>IF((BD215+BD216)&gt;=BC224,-BC224,-(BD215+BD216))</f>
        <v>19.788284243970082</v>
      </c>
      <c r="BE217" s="135">
        <f>IF((BE215+BE216)&gt;=BD224,-BD224,-(BE215+BE216))</f>
        <v>-38.252749135839778</v>
      </c>
      <c r="BF217" s="116">
        <f>IF((BF215+BF216)&gt;=BE224,-BE224,-(BF215+BF216))</f>
        <v>9.1510651139265917</v>
      </c>
      <c r="BG217" s="82">
        <f>SUM(BC217:BF217)</f>
        <v>-5.1857165638839504</v>
      </c>
      <c r="BH217" s="136">
        <f>IF((BH215+BH216)&gt;=BG224,-BG224,-(BH215+BH216))</f>
        <v>0.90014730365670204</v>
      </c>
      <c r="BI217" s="135">
        <f>IF((BI215+BI216)&gt;=BH224,-BH224,-(BI215+BI216))</f>
        <v>17.779058087815308</v>
      </c>
      <c r="BJ217" s="135">
        <f>IF((BJ215+BJ216)&gt;=BI224,-BI224,-(BJ215+BJ216))</f>
        <v>-36.105969878934303</v>
      </c>
      <c r="BK217" s="116">
        <f>IF((BK215+BK216)&gt;=BJ224,-BJ224,-(BK215+BK216))</f>
        <v>2.1021420330963991</v>
      </c>
      <c r="BL217" s="82">
        <f>SUM(BH217:BK217)</f>
        <v>-15.324622454365894</v>
      </c>
      <c r="BM217" s="136">
        <f>IF((BM215+BM216)&gt;=BL224,-BL224,-(BM215+BM216))</f>
        <v>3.5488742417164616</v>
      </c>
      <c r="BN217" s="135">
        <f>IF((BN215+BN216)&gt;=BM224,-BM224,-(BN215+BN216))</f>
        <v>21.676059883057576</v>
      </c>
      <c r="BO217" s="135">
        <f>IF((BO215+BO216)&gt;=BN224,-BN224,-(BO215+BO216))</f>
        <v>-27.327076157870437</v>
      </c>
      <c r="BP217" s="116">
        <f>IF((BP215+BP216)&gt;=BO224,-BO224,-(BP215+BP216))</f>
        <v>18.791960095797954</v>
      </c>
      <c r="BQ217" s="82">
        <f>SUM(BM217:BP217)</f>
        <v>16.689818062701555</v>
      </c>
      <c r="BR217" s="220"/>
      <c r="BS217" s="220"/>
      <c r="BT217" s="220"/>
      <c r="BU217" s="220"/>
      <c r="BV217" s="220"/>
      <c r="BW217" s="220"/>
      <c r="BX217" s="220"/>
      <c r="BY217" s="220"/>
      <c r="BZ217" s="220"/>
      <c r="CA217" s="220"/>
      <c r="CB217" s="220"/>
      <c r="CC217" s="220"/>
      <c r="CD217" s="220"/>
      <c r="CE217" s="220"/>
      <c r="CF217" s="220"/>
      <c r="CG217" s="220"/>
      <c r="CH217" s="220"/>
      <c r="CI217" s="220"/>
      <c r="CJ217" s="220"/>
      <c r="CK217" s="220"/>
      <c r="CL217" s="220"/>
      <c r="CM217" s="220"/>
      <c r="CN217" s="220"/>
      <c r="CO217" s="220"/>
      <c r="CP217" s="220"/>
      <c r="CQ217" s="220"/>
      <c r="CR217" s="220"/>
      <c r="CS217" s="220"/>
      <c r="CT217" s="220"/>
      <c r="CU217" s="220"/>
      <c r="CV217" s="220"/>
      <c r="CW217" s="220"/>
      <c r="CX217" s="220"/>
      <c r="CY217" s="220"/>
      <c r="CZ217" s="220"/>
      <c r="DA217" s="220"/>
      <c r="DB217" s="220"/>
      <c r="DC217" s="220"/>
      <c r="DD217" s="220"/>
      <c r="DE217" s="220"/>
      <c r="DF217" s="220"/>
      <c r="DG217" s="220"/>
      <c r="DH217" s="220"/>
      <c r="DI217" s="220"/>
      <c r="DJ217" s="220"/>
      <c r="DK217" s="220"/>
      <c r="DL217" s="220"/>
      <c r="DM217" s="220"/>
      <c r="DN217" s="220"/>
      <c r="DO217" s="220"/>
      <c r="DP217" s="220"/>
      <c r="DQ217" s="220"/>
      <c r="DR217" s="220"/>
      <c r="DS217" s="220"/>
      <c r="DT217" s="220"/>
      <c r="DU217" s="220"/>
      <c r="DV217" s="220"/>
      <c r="DW217" s="220"/>
      <c r="DX217" s="220"/>
      <c r="DY217" s="220"/>
      <c r="DZ217" s="220"/>
      <c r="EA217" s="220"/>
      <c r="EB217" s="220"/>
      <c r="EC217" s="220"/>
      <c r="ED217" s="220"/>
    </row>
    <row r="218" spans="1:134" x14ac:dyDescent="0.2">
      <c r="A218" s="220"/>
      <c r="B218" s="220"/>
      <c r="C218" s="141" t="s">
        <v>195</v>
      </c>
      <c r="D218" s="82"/>
      <c r="E218" s="121">
        <f t="shared" ref="E218:Q218" si="543">E217+E216+E215</f>
        <v>0.94900000000000873</v>
      </c>
      <c r="F218" s="122">
        <f t="shared" si="543"/>
        <v>5.4200000000000053</v>
      </c>
      <c r="G218" s="122">
        <f t="shared" si="543"/>
        <v>9.1750000000000203</v>
      </c>
      <c r="H218" s="123">
        <f t="shared" si="543"/>
        <v>0.92300000000000004</v>
      </c>
      <c r="I218" s="127">
        <f t="shared" si="543"/>
        <v>0.92299999999999827</v>
      </c>
      <c r="J218" s="121">
        <f t="shared" si="543"/>
        <v>0.9179999999999886</v>
      </c>
      <c r="K218" s="122">
        <f t="shared" si="543"/>
        <v>1.9409999999999847</v>
      </c>
      <c r="L218" s="122">
        <f t="shared" si="543"/>
        <v>3.8979999999999624</v>
      </c>
      <c r="M218" s="123">
        <f t="shared" si="543"/>
        <v>6.444999999999995</v>
      </c>
      <c r="N218" s="127">
        <f t="shared" si="543"/>
        <v>6.4450000000000038</v>
      </c>
      <c r="O218" s="121">
        <f t="shared" si="543"/>
        <v>4.5009999999999941</v>
      </c>
      <c r="P218" s="122">
        <f t="shared" si="543"/>
        <v>1.4189999999999827</v>
      </c>
      <c r="Q218" s="122">
        <f t="shared" si="543"/>
        <v>1.4799999999999969</v>
      </c>
      <c r="R218" s="123">
        <f t="shared" ref="R218:Y218" si="544">R217+R216+R215</f>
        <v>1.5710000000000264</v>
      </c>
      <c r="S218" s="127">
        <f t="shared" si="544"/>
        <v>1.5710000000000406</v>
      </c>
      <c r="T218" s="121">
        <f t="shared" si="544"/>
        <v>1.4430000000000405</v>
      </c>
      <c r="U218" s="122">
        <f t="shared" si="544"/>
        <v>1.7920000000000371</v>
      </c>
      <c r="V218" s="122">
        <f t="shared" si="544"/>
        <v>1.4950000000000472</v>
      </c>
      <c r="W218" s="123">
        <f t="shared" si="544"/>
        <v>4.4590000000000494</v>
      </c>
      <c r="X218" s="127">
        <f t="shared" si="544"/>
        <v>4.4590000000000884</v>
      </c>
      <c r="Y218" s="121">
        <f t="shared" si="544"/>
        <v>4.1700000000000994</v>
      </c>
      <c r="Z218" s="122">
        <f t="shared" ref="Z218:AF218" si="545">Z217+Z216+Z215</f>
        <v>1.3680000000001158</v>
      </c>
      <c r="AA218" s="122">
        <f t="shared" si="545"/>
        <v>1.5260000000001241</v>
      </c>
      <c r="AB218" s="123">
        <f t="shared" si="545"/>
        <v>1.3490000000001316</v>
      </c>
      <c r="AC218" s="127">
        <f t="shared" si="545"/>
        <v>1.3490000000000677</v>
      </c>
      <c r="AD218" s="121">
        <f t="shared" si="545"/>
        <v>2.3470000000000759</v>
      </c>
      <c r="AE218" s="122">
        <f t="shared" si="545"/>
        <v>0.66400000000006898</v>
      </c>
      <c r="AF218" s="122">
        <f t="shared" si="545"/>
        <v>1.7410000000000458</v>
      </c>
      <c r="AG218" s="123">
        <f t="shared" ref="AG218:AM218" si="546">AG217+AG216+AG215</f>
        <v>1.285000000000057</v>
      </c>
      <c r="AH218" s="127">
        <f t="shared" si="546"/>
        <v>1.2850000000000747</v>
      </c>
      <c r="AI218" s="121">
        <f t="shared" si="546"/>
        <v>0.99000000000005883</v>
      </c>
      <c r="AJ218" s="122">
        <f t="shared" si="546"/>
        <v>18.031000000000049</v>
      </c>
      <c r="AK218" s="122">
        <f t="shared" si="546"/>
        <v>10.802000000000046</v>
      </c>
      <c r="AL218" s="123">
        <f t="shared" si="546"/>
        <v>1.0790000000000326</v>
      </c>
      <c r="AM218" s="127">
        <f t="shared" si="546"/>
        <v>1.0790000000000717</v>
      </c>
      <c r="AN218" s="121">
        <f t="shared" ref="AN218:AR218" si="547">AN217+AN216+AN215</f>
        <v>1.1290000000000688</v>
      </c>
      <c r="AO218" s="122">
        <f t="shared" si="547"/>
        <v>1.5920000000000645</v>
      </c>
      <c r="AP218" s="122">
        <f t="shared" si="547"/>
        <v>1.021000000000031</v>
      </c>
      <c r="AQ218" s="123">
        <f t="shared" si="547"/>
        <v>1.5460000000000793</v>
      </c>
      <c r="AR218" s="127">
        <f t="shared" si="547"/>
        <v>1.5460000000000702</v>
      </c>
      <c r="AS218" s="121">
        <f t="shared" ref="AS218:AW218" si="548">AS217+AS216+AS215</f>
        <v>1.668000000000063</v>
      </c>
      <c r="AT218" s="122">
        <f t="shared" si="548"/>
        <v>1.1440000000000656</v>
      </c>
      <c r="AU218" s="122">
        <f t="shared" si="548"/>
        <v>1.231000000000076</v>
      </c>
      <c r="AV218" s="123">
        <f t="shared" si="548"/>
        <v>1.4030000000000802</v>
      </c>
      <c r="AW218" s="127">
        <f t="shared" si="548"/>
        <v>1.4030000000000837</v>
      </c>
      <c r="AX218" s="121">
        <f t="shared" ref="AX218:BG218" si="549">AX217+AX216+AX215</f>
        <v>0</v>
      </c>
      <c r="AY218" s="122">
        <f t="shared" si="549"/>
        <v>0</v>
      </c>
      <c r="AZ218" s="122">
        <f t="shared" si="549"/>
        <v>0</v>
      </c>
      <c r="BA218" s="123">
        <f t="shared" si="549"/>
        <v>0</v>
      </c>
      <c r="BB218" s="86">
        <f t="shared" si="549"/>
        <v>-1.4210854715202004E-14</v>
      </c>
      <c r="BC218" s="121">
        <f t="shared" si="549"/>
        <v>0</v>
      </c>
      <c r="BD218" s="122">
        <f t="shared" si="549"/>
        <v>0</v>
      </c>
      <c r="BE218" s="122">
        <f t="shared" si="549"/>
        <v>0</v>
      </c>
      <c r="BF218" s="123">
        <f t="shared" si="549"/>
        <v>0</v>
      </c>
      <c r="BG218" s="86">
        <f t="shared" si="549"/>
        <v>7.1054273576010019E-15</v>
      </c>
      <c r="BH218" s="121">
        <f t="shared" ref="BH218:BQ218" si="550">BH217+BH216+BH215</f>
        <v>0</v>
      </c>
      <c r="BI218" s="122">
        <f t="shared" si="550"/>
        <v>0</v>
      </c>
      <c r="BJ218" s="122">
        <f t="shared" si="550"/>
        <v>4.2912146455486067</v>
      </c>
      <c r="BK218" s="123">
        <f t="shared" si="550"/>
        <v>0</v>
      </c>
      <c r="BL218" s="86">
        <f t="shared" si="550"/>
        <v>0</v>
      </c>
      <c r="BM218" s="121">
        <f t="shared" si="550"/>
        <v>0</v>
      </c>
      <c r="BN218" s="122">
        <f t="shared" si="550"/>
        <v>0</v>
      </c>
      <c r="BO218" s="122">
        <f t="shared" si="550"/>
        <v>9.2318188295585202</v>
      </c>
      <c r="BP218" s="123">
        <f t="shared" si="550"/>
        <v>0</v>
      </c>
      <c r="BQ218" s="86">
        <f t="shared" si="550"/>
        <v>4.2632564145606011E-14</v>
      </c>
      <c r="BR218" s="220"/>
      <c r="BS218" s="220"/>
      <c r="BT218" s="220"/>
      <c r="BU218" s="220"/>
      <c r="BV218" s="220"/>
      <c r="BW218" s="220"/>
      <c r="BX218" s="220"/>
      <c r="BY218" s="220"/>
      <c r="BZ218" s="220"/>
      <c r="CA218" s="220"/>
      <c r="CB218" s="220"/>
      <c r="CC218" s="220"/>
      <c r="CD218" s="220"/>
      <c r="CE218" s="220"/>
      <c r="CF218" s="220"/>
      <c r="CG218" s="220"/>
      <c r="CH218" s="220"/>
      <c r="CI218" s="220"/>
      <c r="CJ218" s="220"/>
      <c r="CK218" s="220"/>
      <c r="CL218" s="127">
        <f t="shared" ref="CL218:CX218" si="551">CL215+CL216+CL217</f>
        <v>0.94900000000000873</v>
      </c>
      <c r="CM218" s="127">
        <f t="shared" si="551"/>
        <v>5.4199999999999982</v>
      </c>
      <c r="CN218" s="127">
        <f t="shared" si="551"/>
        <v>9.175000000000022</v>
      </c>
      <c r="CO218" s="127">
        <f t="shared" si="551"/>
        <v>0.92300000000000182</v>
      </c>
      <c r="CP218" s="127">
        <f t="shared" si="551"/>
        <v>0.92299999999999827</v>
      </c>
      <c r="CQ218" s="127">
        <f t="shared" si="551"/>
        <v>0.9179999999999886</v>
      </c>
      <c r="CR218" s="127">
        <f t="shared" si="551"/>
        <v>1.9409999999999847</v>
      </c>
      <c r="CS218" s="127">
        <f t="shared" si="551"/>
        <v>3.8979999999999642</v>
      </c>
      <c r="CT218" s="127">
        <f t="shared" si="551"/>
        <v>6.4449999999999967</v>
      </c>
      <c r="CU218" s="127">
        <f t="shared" si="551"/>
        <v>6.4450000000000038</v>
      </c>
      <c r="CV218" s="127">
        <f t="shared" si="551"/>
        <v>4.5009999999999941</v>
      </c>
      <c r="CW218" s="127">
        <f t="shared" si="551"/>
        <v>1.4189999999999863</v>
      </c>
      <c r="CX218" s="127">
        <f t="shared" si="551"/>
        <v>1.4799999999999862</v>
      </c>
      <c r="CY218" s="127">
        <f t="shared" ref="CY218:DH218" si="552">CY215+CY216+CY217</f>
        <v>1.5710000000000157</v>
      </c>
      <c r="CZ218" s="127">
        <f t="shared" si="552"/>
        <v>1.5710000000000406</v>
      </c>
      <c r="DA218" s="127">
        <f t="shared" si="552"/>
        <v>1.4430000000000405</v>
      </c>
      <c r="DB218" s="127">
        <f t="shared" si="552"/>
        <v>1.7920000000000293</v>
      </c>
      <c r="DC218" s="127">
        <f t="shared" si="552"/>
        <v>1.4950000000000436</v>
      </c>
      <c r="DD218" s="127">
        <f t="shared" si="552"/>
        <v>4.4590000000000458</v>
      </c>
      <c r="DE218" s="127">
        <f t="shared" si="552"/>
        <v>4.4590000000000884</v>
      </c>
      <c r="DF218" s="127">
        <f t="shared" si="552"/>
        <v>4.1700000000000994</v>
      </c>
      <c r="DG218" s="127">
        <f>DG215+DG216+DG217</f>
        <v>1.3680000000000856</v>
      </c>
      <c r="DH218" s="127">
        <f t="shared" si="552"/>
        <v>1.5260000000001046</v>
      </c>
      <c r="DI218" s="127">
        <f t="shared" ref="DI218:DQ218" si="553">DI215+DI216+DI217</f>
        <v>1.3490000000001121</v>
      </c>
      <c r="DJ218" s="127">
        <f t="shared" si="553"/>
        <v>1.3490000000000677</v>
      </c>
      <c r="DK218" s="127">
        <f t="shared" si="553"/>
        <v>2.3470000000000759</v>
      </c>
      <c r="DL218" s="127">
        <f t="shared" si="553"/>
        <v>0.66400000000006543</v>
      </c>
      <c r="DM218" s="127">
        <f t="shared" si="553"/>
        <v>1.741000000000021</v>
      </c>
      <c r="DN218" s="127">
        <f t="shared" si="553"/>
        <v>1.2850000000000321</v>
      </c>
      <c r="DO218" s="127">
        <f t="shared" si="553"/>
        <v>1.2850000000000747</v>
      </c>
      <c r="DP218" s="127">
        <f t="shared" si="553"/>
        <v>0.99000000000005883</v>
      </c>
      <c r="DQ218" s="127">
        <f t="shared" si="553"/>
        <v>18.031000000000045</v>
      </c>
      <c r="DR218" s="127">
        <f t="shared" ref="DR218:DW218" si="554">DR215+DR216+DR217</f>
        <v>10.802000000000039</v>
      </c>
      <c r="DS218" s="127">
        <f t="shared" si="554"/>
        <v>1.0790000000000255</v>
      </c>
      <c r="DT218" s="127">
        <f t="shared" si="554"/>
        <v>1.0790000000000717</v>
      </c>
      <c r="DU218" s="127">
        <f t="shared" si="554"/>
        <v>1.1290000000000688</v>
      </c>
      <c r="DV218" s="127">
        <f t="shared" si="554"/>
        <v>1.5920000000000663</v>
      </c>
      <c r="DW218" s="127">
        <f t="shared" si="554"/>
        <v>1.0210000000000719</v>
      </c>
      <c r="DX218" s="127">
        <f t="shared" ref="DX218:ED218" si="555">DX215+DX216+DX217</f>
        <v>1.5460000000001202</v>
      </c>
      <c r="DY218" s="127">
        <f t="shared" si="555"/>
        <v>1.5460000000000702</v>
      </c>
      <c r="DZ218" s="127">
        <f t="shared" si="555"/>
        <v>1.668000000000063</v>
      </c>
      <c r="EA218" s="127">
        <f t="shared" si="555"/>
        <v>1.1440000000000692</v>
      </c>
      <c r="EB218" s="127">
        <f t="shared" si="555"/>
        <v>1.231000000000076</v>
      </c>
      <c r="EC218" s="127">
        <f t="shared" si="555"/>
        <v>1.4030000000000802</v>
      </c>
      <c r="ED218" s="127">
        <f t="shared" si="555"/>
        <v>1.4030000000000837</v>
      </c>
    </row>
    <row r="219" spans="1:134" x14ac:dyDescent="0.2">
      <c r="A219" s="289"/>
      <c r="B219" s="289"/>
      <c r="C219" s="289"/>
      <c r="D219" s="289"/>
      <c r="E219" s="291"/>
      <c r="F219" s="292"/>
      <c r="G219" s="292"/>
      <c r="H219" s="293"/>
      <c r="I219" s="289"/>
      <c r="J219" s="291"/>
      <c r="K219" s="292"/>
      <c r="L219" s="292"/>
      <c r="M219" s="293"/>
      <c r="N219" s="289"/>
      <c r="O219" s="291"/>
      <c r="P219" s="292"/>
      <c r="Q219" s="292"/>
      <c r="R219" s="293"/>
      <c r="S219" s="289"/>
      <c r="T219" s="291"/>
      <c r="U219" s="292"/>
      <c r="V219" s="292"/>
      <c r="W219" s="293"/>
      <c r="X219" s="289"/>
      <c r="Y219" s="774"/>
      <c r="Z219" s="292"/>
      <c r="AA219" s="292"/>
      <c r="AB219" s="293"/>
      <c r="AC219" s="289"/>
      <c r="AD219" s="291"/>
      <c r="AE219" s="292"/>
      <c r="AF219" s="292"/>
      <c r="AG219" s="293"/>
      <c r="AH219" s="289"/>
      <c r="AI219" s="291"/>
      <c r="AJ219" s="292"/>
      <c r="AK219" s="292"/>
      <c r="AL219" s="293"/>
      <c r="AM219" s="289"/>
      <c r="AN219" s="291"/>
      <c r="AO219" s="292"/>
      <c r="AP219" s="292"/>
      <c r="AQ219" s="293"/>
      <c r="AR219" s="289"/>
      <c r="AS219" s="291"/>
      <c r="AT219" s="292"/>
      <c r="AU219" s="292"/>
      <c r="AV219" s="293"/>
      <c r="AW219" s="289"/>
      <c r="AX219" s="291"/>
      <c r="AY219" s="292"/>
      <c r="AZ219" s="292"/>
      <c r="BA219" s="293"/>
      <c r="BB219" s="289"/>
      <c r="BC219" s="291"/>
      <c r="BD219" s="292"/>
      <c r="BE219" s="292"/>
      <c r="BF219" s="293"/>
      <c r="BG219" s="289"/>
      <c r="BH219" s="291"/>
      <c r="BI219" s="292"/>
      <c r="BJ219" s="292"/>
      <c r="BK219" s="293"/>
      <c r="BL219" s="289"/>
      <c r="BM219" s="291"/>
      <c r="BN219" s="292"/>
      <c r="BO219" s="292"/>
      <c r="BP219" s="293"/>
      <c r="BQ219" s="289"/>
      <c r="BR219" s="289"/>
      <c r="BS219" s="289"/>
      <c r="BT219" s="289"/>
      <c r="BU219" s="289"/>
      <c r="BV219" s="289"/>
      <c r="BW219" s="289"/>
      <c r="BX219" s="289"/>
      <c r="BY219" s="289"/>
      <c r="BZ219" s="289"/>
      <c r="CA219" s="289"/>
      <c r="CB219" s="289"/>
      <c r="CC219" s="289"/>
      <c r="CD219" s="289"/>
      <c r="CE219" s="289"/>
      <c r="CF219" s="289"/>
      <c r="CG219" s="289"/>
      <c r="CH219" s="289"/>
      <c r="CI219" s="289"/>
      <c r="CJ219" s="289"/>
      <c r="CK219" s="289"/>
      <c r="CL219" s="289"/>
      <c r="CM219" s="289"/>
      <c r="CN219" s="289"/>
      <c r="CO219" s="289"/>
      <c r="CP219" s="289"/>
      <c r="CQ219" s="289"/>
      <c r="CR219" s="289"/>
      <c r="CS219" s="289"/>
      <c r="CT219" s="289"/>
      <c r="CU219" s="289"/>
      <c r="CV219" s="289"/>
      <c r="CW219" s="289"/>
      <c r="CX219" s="289"/>
      <c r="CY219" s="289"/>
      <c r="CZ219" s="289"/>
    </row>
    <row r="220" spans="1:134" x14ac:dyDescent="0.2">
      <c r="A220" s="289"/>
      <c r="B220" s="289"/>
      <c r="C220" s="289"/>
      <c r="D220" s="289"/>
      <c r="E220" s="291"/>
      <c r="F220" s="292"/>
      <c r="G220" s="292"/>
      <c r="H220" s="293"/>
      <c r="I220" s="289"/>
      <c r="J220" s="291"/>
      <c r="K220" s="292"/>
      <c r="L220" s="292"/>
      <c r="M220" s="293"/>
      <c r="N220" s="289"/>
      <c r="O220" s="291"/>
      <c r="P220" s="292"/>
      <c r="Q220" s="292"/>
      <c r="R220" s="293"/>
      <c r="S220" s="289"/>
      <c r="T220" s="701"/>
      <c r="U220" s="292"/>
      <c r="V220" s="292"/>
      <c r="W220" s="293"/>
      <c r="X220" s="289"/>
      <c r="Y220" s="291"/>
      <c r="Z220" s="292"/>
      <c r="AA220" s="292"/>
      <c r="AB220" s="293"/>
      <c r="AC220" s="289"/>
      <c r="AD220" s="291"/>
      <c r="AE220" s="794"/>
      <c r="AF220" s="794"/>
      <c r="AG220" s="293"/>
      <c r="AH220" s="289"/>
      <c r="AI220" s="291"/>
      <c r="AJ220" s="292"/>
      <c r="AK220" s="292"/>
      <c r="AL220" s="293"/>
      <c r="AM220" s="289"/>
      <c r="AN220" s="291"/>
      <c r="AO220" s="292"/>
      <c r="AP220" s="292"/>
      <c r="AQ220" s="293"/>
      <c r="AR220" s="289"/>
      <c r="AS220" s="291"/>
      <c r="AT220" s="292"/>
      <c r="AU220" s="292"/>
      <c r="AV220" s="293"/>
      <c r="AW220" s="289"/>
      <c r="AX220" s="291"/>
      <c r="AY220" s="292"/>
      <c r="AZ220" s="292"/>
      <c r="BA220" s="293"/>
      <c r="BB220" s="289"/>
      <c r="BC220" s="291"/>
      <c r="BD220" s="292"/>
      <c r="BE220" s="292"/>
      <c r="BF220" s="293"/>
      <c r="BG220" s="289"/>
      <c r="BH220" s="291"/>
      <c r="BI220" s="292"/>
      <c r="BJ220" s="292"/>
      <c r="BK220" s="293"/>
      <c r="BL220" s="289"/>
      <c r="BM220" s="291"/>
      <c r="BN220" s="292"/>
      <c r="BO220" s="292"/>
      <c r="BP220" s="293"/>
      <c r="BQ220" s="289"/>
      <c r="BR220" s="289"/>
      <c r="BS220" s="289"/>
      <c r="BT220" s="289"/>
      <c r="BU220" s="289"/>
      <c r="BV220" s="289"/>
      <c r="BW220" s="289"/>
      <c r="BX220" s="289"/>
      <c r="BY220" s="289"/>
      <c r="BZ220" s="289"/>
      <c r="CA220" s="289"/>
      <c r="CB220" s="289"/>
      <c r="CC220" s="289"/>
      <c r="CD220" s="289"/>
      <c r="CE220" s="289"/>
      <c r="CF220" s="289"/>
      <c r="CG220" s="289"/>
      <c r="CH220" s="289"/>
      <c r="CI220" s="289"/>
      <c r="CJ220" s="289"/>
      <c r="CK220" s="289"/>
      <c r="CL220" s="289"/>
      <c r="CM220" s="289"/>
      <c r="CN220" s="289"/>
      <c r="CO220" s="289"/>
      <c r="CP220" s="289"/>
      <c r="CQ220" s="289"/>
      <c r="CR220" s="289"/>
      <c r="CS220" s="289"/>
      <c r="CT220" s="289"/>
      <c r="CU220" s="289"/>
      <c r="CV220" s="289"/>
      <c r="CW220" s="289"/>
      <c r="CX220" s="289"/>
      <c r="CY220" s="289"/>
      <c r="CZ220" s="289"/>
    </row>
    <row r="221" spans="1:134" x14ac:dyDescent="0.2">
      <c r="A221" s="289"/>
      <c r="B221" s="347" t="s">
        <v>230</v>
      </c>
      <c r="C221" s="347"/>
      <c r="D221" s="348"/>
      <c r="E221" s="291"/>
      <c r="F221" s="292"/>
      <c r="G221" s="292"/>
      <c r="H221" s="293"/>
      <c r="I221" s="289"/>
      <c r="J221" s="291"/>
      <c r="K221" s="292"/>
      <c r="L221" s="292"/>
      <c r="M221" s="293"/>
      <c r="N221" s="289"/>
      <c r="O221" s="291"/>
      <c r="P221" s="292"/>
      <c r="Q221" s="292"/>
      <c r="R221" s="293"/>
      <c r="S221" s="289"/>
      <c r="T221" s="291"/>
      <c r="U221" s="292"/>
      <c r="V221" s="292"/>
      <c r="W221" s="293"/>
      <c r="X221" s="289"/>
      <c r="Y221" s="291"/>
      <c r="Z221" s="292"/>
      <c r="AA221" s="292"/>
      <c r="AB221" s="293"/>
      <c r="AC221" s="289"/>
      <c r="AD221" s="291"/>
      <c r="AE221" s="292"/>
      <c r="AF221" s="292"/>
      <c r="AG221" s="293"/>
      <c r="AH221" s="289"/>
      <c r="AI221" s="291"/>
      <c r="AJ221" s="292"/>
      <c r="AK221" s="292"/>
      <c r="AL221" s="293"/>
      <c r="AM221" s="289"/>
      <c r="AN221" s="291"/>
      <c r="AO221" s="292"/>
      <c r="AP221" s="292"/>
      <c r="AQ221" s="293"/>
      <c r="AR221" s="289"/>
      <c r="AS221" s="291"/>
      <c r="AT221" s="292"/>
      <c r="AU221" s="292"/>
      <c r="AV221" s="293"/>
      <c r="AW221" s="289"/>
      <c r="AX221" s="291"/>
      <c r="AY221" s="292"/>
      <c r="AZ221" s="292"/>
      <c r="BA221" s="293"/>
      <c r="BB221" s="289"/>
      <c r="BC221" s="291"/>
      <c r="BD221" s="292"/>
      <c r="BE221" s="292"/>
      <c r="BF221" s="293"/>
      <c r="BG221" s="289"/>
      <c r="BH221" s="291"/>
      <c r="BI221" s="292"/>
      <c r="BJ221" s="292"/>
      <c r="BK221" s="293"/>
      <c r="BL221" s="289"/>
      <c r="BM221" s="291"/>
      <c r="BN221" s="292"/>
      <c r="BO221" s="292"/>
      <c r="BP221" s="293"/>
      <c r="BQ221" s="289"/>
      <c r="BR221" s="289"/>
      <c r="BS221" s="289"/>
      <c r="BT221" s="289"/>
      <c r="BU221" s="289"/>
      <c r="BV221" s="289"/>
      <c r="BW221" s="289"/>
      <c r="BX221" s="289"/>
      <c r="BY221" s="289"/>
      <c r="BZ221" s="289"/>
      <c r="CA221" s="289"/>
      <c r="CB221" s="289"/>
      <c r="CC221" s="289"/>
      <c r="CD221" s="289"/>
      <c r="CE221" s="289"/>
      <c r="CF221" s="289"/>
      <c r="CG221" s="289"/>
      <c r="CH221" s="289"/>
      <c r="CI221" s="289"/>
      <c r="CJ221" s="289"/>
      <c r="CK221" s="289"/>
      <c r="CL221" s="289"/>
      <c r="CM221" s="289"/>
      <c r="CN221" s="289"/>
      <c r="CO221" s="289"/>
      <c r="CP221" s="289"/>
      <c r="CQ221" s="289"/>
      <c r="CR221" s="289"/>
      <c r="CS221" s="289"/>
      <c r="CT221" s="289"/>
      <c r="CU221" s="289"/>
      <c r="CV221" s="289"/>
      <c r="CW221" s="289"/>
      <c r="CX221" s="289"/>
      <c r="CY221" s="289"/>
      <c r="CZ221" s="289"/>
    </row>
    <row r="222" spans="1:134" x14ac:dyDescent="0.2">
      <c r="A222" s="220"/>
      <c r="B222" s="220"/>
      <c r="C222" s="70" t="s">
        <v>231</v>
      </c>
      <c r="D222" s="82"/>
      <c r="E222" s="114">
        <v>0.94899999999999995</v>
      </c>
      <c r="F222" s="115">
        <v>5.42</v>
      </c>
      <c r="G222" s="115">
        <v>9.1750000000000007</v>
      </c>
      <c r="H222" s="119">
        <f>I222</f>
        <v>0.92300000000000004</v>
      </c>
      <c r="I222" s="117">
        <v>0.92300000000000004</v>
      </c>
      <c r="J222" s="114">
        <v>0.91800000000000004</v>
      </c>
      <c r="K222" s="115">
        <v>1.9410000000000001</v>
      </c>
      <c r="L222" s="115">
        <v>3.8980000000000001</v>
      </c>
      <c r="M222" s="119">
        <f>N222</f>
        <v>6.4450000000000003</v>
      </c>
      <c r="N222" s="117">
        <v>6.4450000000000003</v>
      </c>
      <c r="O222" s="114">
        <v>4.5010000000000003</v>
      </c>
      <c r="P222" s="115">
        <v>1.419</v>
      </c>
      <c r="Q222" s="115">
        <v>1.48</v>
      </c>
      <c r="R222" s="119">
        <f>S222</f>
        <v>1.571</v>
      </c>
      <c r="S222" s="117">
        <v>1.571</v>
      </c>
      <c r="T222" s="114">
        <v>1.4430000000000001</v>
      </c>
      <c r="U222" s="115">
        <v>1.792</v>
      </c>
      <c r="V222" s="115">
        <v>1.4950000000000001</v>
      </c>
      <c r="W222" s="119">
        <f>X222</f>
        <v>4.4589999999999996</v>
      </c>
      <c r="X222" s="117">
        <v>4.4589999999999996</v>
      </c>
      <c r="Y222" s="114">
        <v>4.17</v>
      </c>
      <c r="Z222" s="115">
        <v>1.3680000000000001</v>
      </c>
      <c r="AA222" s="115">
        <v>1.526</v>
      </c>
      <c r="AB222" s="119">
        <f>AC222</f>
        <v>1.349</v>
      </c>
      <c r="AC222" s="117">
        <v>1.349</v>
      </c>
      <c r="AD222" s="114">
        <v>2.347</v>
      </c>
      <c r="AE222" s="115">
        <v>0.66400000000000003</v>
      </c>
      <c r="AF222" s="115">
        <v>1.7410000000000001</v>
      </c>
      <c r="AG222" s="119">
        <f>AH222</f>
        <v>1.2849999999999999</v>
      </c>
      <c r="AH222" s="117">
        <v>1.2849999999999999</v>
      </c>
      <c r="AI222" s="114">
        <v>0.99</v>
      </c>
      <c r="AJ222" s="115">
        <v>18.030999999999999</v>
      </c>
      <c r="AK222" s="115">
        <v>10.802</v>
      </c>
      <c r="AL222" s="119">
        <f>AM222</f>
        <v>1.079</v>
      </c>
      <c r="AM222" s="117">
        <v>1.079</v>
      </c>
      <c r="AN222" s="114">
        <v>1.129</v>
      </c>
      <c r="AO222" s="115">
        <v>1.5920000000000001</v>
      </c>
      <c r="AP222" s="115">
        <v>1.0209999999999999</v>
      </c>
      <c r="AQ222" s="119">
        <f>AR222</f>
        <v>1.546</v>
      </c>
      <c r="AR222" s="117">
        <v>1.546</v>
      </c>
      <c r="AS222" s="114">
        <v>1.6679999999999999</v>
      </c>
      <c r="AT222" s="115">
        <v>1.1439999999999999</v>
      </c>
      <c r="AU222" s="115">
        <v>1.2310000000000001</v>
      </c>
      <c r="AV222" s="119">
        <f>AW222</f>
        <v>1.403</v>
      </c>
      <c r="AW222" s="117">
        <v>1.403</v>
      </c>
      <c r="AX222" s="136">
        <f t="shared" ref="AX222:BG222" si="556">+AX218</f>
        <v>0</v>
      </c>
      <c r="AY222" s="135">
        <f t="shared" si="556"/>
        <v>0</v>
      </c>
      <c r="AZ222" s="135">
        <f t="shared" si="556"/>
        <v>0</v>
      </c>
      <c r="BA222" s="116">
        <f t="shared" si="556"/>
        <v>0</v>
      </c>
      <c r="BB222" s="82">
        <f t="shared" si="556"/>
        <v>-1.4210854715202004E-14</v>
      </c>
      <c r="BC222" s="136">
        <f t="shared" si="556"/>
        <v>0</v>
      </c>
      <c r="BD222" s="135">
        <f t="shared" si="556"/>
        <v>0</v>
      </c>
      <c r="BE222" s="135">
        <f t="shared" si="556"/>
        <v>0</v>
      </c>
      <c r="BF222" s="116">
        <f t="shared" si="556"/>
        <v>0</v>
      </c>
      <c r="BG222" s="82">
        <f t="shared" si="556"/>
        <v>7.1054273576010019E-15</v>
      </c>
      <c r="BH222" s="136">
        <f t="shared" ref="BH222:BQ222" si="557">+BH218</f>
        <v>0</v>
      </c>
      <c r="BI222" s="135">
        <f t="shared" si="557"/>
        <v>0</v>
      </c>
      <c r="BJ222" s="135">
        <f t="shared" si="557"/>
        <v>4.2912146455486067</v>
      </c>
      <c r="BK222" s="116">
        <f t="shared" si="557"/>
        <v>0</v>
      </c>
      <c r="BL222" s="82">
        <f t="shared" si="557"/>
        <v>0</v>
      </c>
      <c r="BM222" s="136">
        <f t="shared" si="557"/>
        <v>0</v>
      </c>
      <c r="BN222" s="135">
        <f t="shared" si="557"/>
        <v>0</v>
      </c>
      <c r="BO222" s="135">
        <f t="shared" si="557"/>
        <v>9.2318188295585202</v>
      </c>
      <c r="BP222" s="116">
        <f t="shared" si="557"/>
        <v>0</v>
      </c>
      <c r="BQ222" s="82">
        <f t="shared" si="557"/>
        <v>4.2632564145606011E-14</v>
      </c>
      <c r="BR222" s="220"/>
      <c r="BS222" s="220"/>
      <c r="BT222" s="220"/>
      <c r="BU222" s="220"/>
      <c r="BV222" s="220"/>
      <c r="BW222" s="220"/>
      <c r="BX222" s="220"/>
      <c r="BY222" s="220"/>
      <c r="BZ222" s="220"/>
      <c r="CA222" s="220"/>
      <c r="CB222" s="220"/>
      <c r="CC222" s="220"/>
      <c r="CD222" s="220"/>
      <c r="CE222" s="220"/>
      <c r="CF222" s="220"/>
      <c r="CG222" s="220"/>
      <c r="CH222" s="220"/>
      <c r="CI222" s="220"/>
      <c r="CJ222" s="220"/>
      <c r="CK222" s="220"/>
      <c r="CL222" s="220"/>
      <c r="CM222" s="220"/>
      <c r="CN222" s="220"/>
      <c r="CO222" s="220"/>
      <c r="CP222" s="220"/>
      <c r="CQ222" s="220"/>
      <c r="CR222" s="220"/>
      <c r="CS222" s="220"/>
      <c r="CT222" s="220"/>
      <c r="CU222" s="220"/>
      <c r="CV222" s="220"/>
      <c r="CW222" s="220"/>
      <c r="CX222" s="220"/>
      <c r="CY222" s="220"/>
      <c r="CZ222" s="220"/>
    </row>
    <row r="223" spans="1:134" x14ac:dyDescent="0.2">
      <c r="A223" s="220"/>
      <c r="B223" s="220"/>
      <c r="C223" s="70"/>
      <c r="D223" s="82"/>
      <c r="E223" s="351"/>
      <c r="F223" s="352"/>
      <c r="G223" s="352"/>
      <c r="H223" s="353"/>
      <c r="I223" s="354"/>
      <c r="J223" s="351"/>
      <c r="K223" s="352"/>
      <c r="L223" s="352"/>
      <c r="M223" s="353"/>
      <c r="N223" s="354"/>
      <c r="O223" s="351"/>
      <c r="P223" s="337"/>
      <c r="Q223" s="337"/>
      <c r="R223" s="353"/>
      <c r="S223" s="354"/>
      <c r="T223" s="351"/>
      <c r="U223" s="337"/>
      <c r="V223" s="337"/>
      <c r="W223" s="353"/>
      <c r="X223" s="354"/>
      <c r="Y223" s="351"/>
      <c r="Z223" s="337"/>
      <c r="AA223" s="337"/>
      <c r="AB223" s="353"/>
      <c r="AC223" s="354"/>
      <c r="AD223" s="351"/>
      <c r="AE223" s="337"/>
      <c r="AF223" s="337"/>
      <c r="AG223" s="353"/>
      <c r="AH223" s="354"/>
      <c r="AI223" s="351"/>
      <c r="AJ223" s="337"/>
      <c r="AK223" s="337"/>
      <c r="AL223" s="353"/>
      <c r="AM223" s="354"/>
      <c r="AN223" s="351"/>
      <c r="AO223" s="337"/>
      <c r="AP223" s="137"/>
      <c r="AQ223" s="353"/>
      <c r="AR223" s="354"/>
      <c r="AS223" s="351"/>
      <c r="AT223" s="337"/>
      <c r="AU223" s="137"/>
      <c r="AV223" s="353"/>
      <c r="AW223" s="354"/>
      <c r="AX223" s="136"/>
      <c r="AY223" s="137"/>
      <c r="AZ223" s="137"/>
      <c r="BA223" s="116"/>
      <c r="BB223" s="220"/>
      <c r="BC223" s="136"/>
      <c r="BD223" s="137"/>
      <c r="BE223" s="137"/>
      <c r="BF223" s="116"/>
      <c r="BG223" s="220"/>
      <c r="BH223" s="136"/>
      <c r="BI223" s="137"/>
      <c r="BJ223" s="137"/>
      <c r="BK223" s="116"/>
      <c r="BL223" s="220"/>
      <c r="BM223" s="136"/>
      <c r="BN223" s="137"/>
      <c r="BO223" s="137"/>
      <c r="BP223" s="116"/>
      <c r="BQ223" s="220"/>
      <c r="BR223" s="220"/>
      <c r="BS223" s="220"/>
      <c r="BT223" s="220"/>
      <c r="BU223" s="220"/>
      <c r="BV223" s="220"/>
      <c r="BW223" s="220"/>
      <c r="BX223" s="220"/>
      <c r="BY223" s="220"/>
      <c r="BZ223" s="220"/>
      <c r="CA223" s="220"/>
      <c r="CB223" s="220"/>
      <c r="CC223" s="220"/>
      <c r="CD223" s="220"/>
      <c r="CE223" s="220"/>
      <c r="CF223" s="220"/>
      <c r="CG223" s="220"/>
      <c r="CH223" s="220"/>
      <c r="CI223" s="220"/>
      <c r="CJ223" s="220"/>
      <c r="CK223" s="220"/>
      <c r="CL223" s="220"/>
      <c r="CM223" s="220"/>
      <c r="CN223" s="220"/>
      <c r="CO223" s="220"/>
      <c r="CP223" s="220"/>
      <c r="CQ223" s="220"/>
      <c r="CR223" s="220"/>
      <c r="CS223" s="220"/>
      <c r="CT223" s="220"/>
      <c r="CU223" s="220"/>
      <c r="CV223" s="220"/>
      <c r="CW223" s="220"/>
      <c r="CX223" s="220"/>
      <c r="CY223" s="220"/>
      <c r="CZ223" s="220"/>
    </row>
    <row r="224" spans="1:134" x14ac:dyDescent="0.2">
      <c r="A224" s="220"/>
      <c r="B224" s="220"/>
      <c r="C224" s="70" t="s">
        <v>232</v>
      </c>
      <c r="D224" s="82"/>
      <c r="E224" s="114">
        <v>0.65</v>
      </c>
      <c r="F224" s="115">
        <v>0.65</v>
      </c>
      <c r="G224" s="115">
        <v>0.65</v>
      </c>
      <c r="H224" s="119">
        <f>I224</f>
        <v>16.100000000000001</v>
      </c>
      <c r="I224" s="117">
        <v>16.100000000000001</v>
      </c>
      <c r="J224" s="114">
        <v>18.2</v>
      </c>
      <c r="K224" s="115">
        <v>0.6</v>
      </c>
      <c r="L224" s="115">
        <v>4.5</v>
      </c>
      <c r="M224" s="119">
        <f>N224</f>
        <v>37.549999999999997</v>
      </c>
      <c r="N224" s="117">
        <v>37.549999999999997</v>
      </c>
      <c r="O224" s="114">
        <v>31.55</v>
      </c>
      <c r="P224" s="115">
        <v>35.549999999999997</v>
      </c>
      <c r="Q224" s="115">
        <v>28</v>
      </c>
      <c r="R224" s="119">
        <f>S224</f>
        <v>66.5</v>
      </c>
      <c r="S224" s="117">
        <f>66+0.5</f>
        <v>66.5</v>
      </c>
      <c r="T224" s="114">
        <f>71+0.55</f>
        <v>71.55</v>
      </c>
      <c r="U224" s="115">
        <f>79+0.55</f>
        <v>79.55</v>
      </c>
      <c r="V224" s="115">
        <f>99+0.55</f>
        <v>99.55</v>
      </c>
      <c r="W224" s="119">
        <f>X224</f>
        <v>39.549999999999997</v>
      </c>
      <c r="X224" s="117">
        <f>39+0.55</f>
        <v>39.549999999999997</v>
      </c>
      <c r="Y224" s="114">
        <f>21+0.55</f>
        <v>21.55</v>
      </c>
      <c r="Z224" s="115">
        <f>2+0.47</f>
        <v>2.4699999999999998</v>
      </c>
      <c r="AA224" s="115">
        <f>11+0.47</f>
        <v>11.47</v>
      </c>
      <c r="AB224" s="119">
        <f>AC224</f>
        <v>68.47</v>
      </c>
      <c r="AC224" s="117">
        <f>68+0.47</f>
        <v>68.47</v>
      </c>
      <c r="AD224" s="114">
        <f>79+0.47</f>
        <v>79.47</v>
      </c>
      <c r="AE224" s="115">
        <v>11</v>
      </c>
      <c r="AF224" s="115">
        <f>8+0.5</f>
        <v>8.5</v>
      </c>
      <c r="AG224" s="119">
        <f>AH224</f>
        <v>78.5</v>
      </c>
      <c r="AH224" s="117">
        <f>78+0.5</f>
        <v>78.5</v>
      </c>
      <c r="AI224" s="114">
        <f>80+0.5</f>
        <v>80.5</v>
      </c>
      <c r="AJ224" s="115">
        <v>0.5</v>
      </c>
      <c r="AK224" s="115">
        <v>0.5</v>
      </c>
      <c r="AL224" s="119">
        <f>AM224</f>
        <v>10.5</v>
      </c>
      <c r="AM224" s="117">
        <f>10+0.5</f>
        <v>10.5</v>
      </c>
      <c r="AN224" s="114">
        <f>5+0.5</f>
        <v>5.5</v>
      </c>
      <c r="AO224" s="115">
        <f>8+0.5</f>
        <v>8.5</v>
      </c>
      <c r="AP224" s="115">
        <f>4+0.5</f>
        <v>4.5</v>
      </c>
      <c r="AQ224" s="119">
        <f>AR224</f>
        <v>60.5</v>
      </c>
      <c r="AR224" s="117">
        <f>60+0.5</f>
        <v>60.5</v>
      </c>
      <c r="AS224" s="114">
        <f>33+0.5</f>
        <v>33.5</v>
      </c>
      <c r="AT224" s="115">
        <f>46+0.5</f>
        <v>46.5</v>
      </c>
      <c r="AU224" s="115">
        <f>92+0.5</f>
        <v>92.5</v>
      </c>
      <c r="AV224" s="119">
        <f>AW224</f>
        <v>11.5</v>
      </c>
      <c r="AW224" s="117">
        <f>11+0.5</f>
        <v>11.5</v>
      </c>
      <c r="AX224" s="136">
        <f>+AW224+AX217</f>
        <v>19.622914979534862</v>
      </c>
      <c r="AY224" s="135">
        <f>+AX224+AY217</f>
        <v>43.552456162291222</v>
      </c>
      <c r="AZ224" s="135">
        <f>+AY224+AZ217</f>
        <v>59.029893202649376</v>
      </c>
      <c r="BA224" s="116">
        <f>+AZ224+BA217</f>
        <v>22.612481051346244</v>
      </c>
      <c r="BB224" s="82">
        <f>+BA224</f>
        <v>22.612481051346244</v>
      </c>
      <c r="BC224" s="136">
        <f>+BB224+BC217</f>
        <v>26.740164265405397</v>
      </c>
      <c r="BD224" s="135">
        <f>+BC224+BD217</f>
        <v>46.52844850937548</v>
      </c>
      <c r="BE224" s="135">
        <f>+BD224+BE217</f>
        <v>8.2756993735357014</v>
      </c>
      <c r="BF224" s="116">
        <f>+BE224+BF217</f>
        <v>17.426764487462293</v>
      </c>
      <c r="BG224" s="82">
        <f>+BF224</f>
        <v>17.426764487462293</v>
      </c>
      <c r="BH224" s="136">
        <f>+BG224+BH217</f>
        <v>18.326911791118995</v>
      </c>
      <c r="BI224" s="135">
        <f>+BH224+BI217</f>
        <v>36.105969878934303</v>
      </c>
      <c r="BJ224" s="135">
        <f>+BI224+BJ217</f>
        <v>0</v>
      </c>
      <c r="BK224" s="116">
        <f>+BJ224+BK217</f>
        <v>2.1021420330963991</v>
      </c>
      <c r="BL224" s="82">
        <f>+BK224</f>
        <v>2.1021420330963991</v>
      </c>
      <c r="BM224" s="136">
        <f>+BL224+BM217</f>
        <v>5.6510162748128607</v>
      </c>
      <c r="BN224" s="135">
        <f>+BM224+BN217</f>
        <v>27.327076157870437</v>
      </c>
      <c r="BO224" s="135">
        <f>+BN224+BO217</f>
        <v>0</v>
      </c>
      <c r="BP224" s="116">
        <f>+BO224+BP217</f>
        <v>18.791960095797954</v>
      </c>
      <c r="BQ224" s="82">
        <f>+BP224</f>
        <v>18.791960095797954</v>
      </c>
      <c r="BR224" s="220"/>
      <c r="BS224" s="220"/>
      <c r="BT224" s="220"/>
      <c r="BU224" s="220"/>
      <c r="BV224" s="220"/>
      <c r="BW224" s="220"/>
      <c r="BX224" s="220"/>
      <c r="BY224" s="220"/>
      <c r="BZ224" s="220"/>
      <c r="CA224" s="220"/>
      <c r="CB224" s="220"/>
      <c r="CC224" s="220"/>
      <c r="CD224" s="220"/>
      <c r="CE224" s="220"/>
      <c r="CF224" s="220"/>
      <c r="CG224" s="220"/>
      <c r="CH224" s="220"/>
      <c r="CI224" s="220"/>
      <c r="CJ224" s="220"/>
      <c r="CK224" s="220"/>
      <c r="CL224" s="220"/>
      <c r="CM224" s="220"/>
      <c r="CN224" s="220"/>
      <c r="CO224" s="220"/>
      <c r="CP224" s="220"/>
      <c r="CQ224" s="220"/>
      <c r="CR224" s="220"/>
      <c r="CS224" s="220"/>
      <c r="CT224" s="220"/>
      <c r="CU224" s="220"/>
      <c r="CV224" s="220"/>
      <c r="CW224" s="220"/>
      <c r="CX224" s="220"/>
      <c r="CY224" s="220"/>
      <c r="CZ224" s="220"/>
    </row>
    <row r="225" spans="1:104" x14ac:dyDescent="0.2">
      <c r="A225" s="220"/>
      <c r="B225" s="220"/>
      <c r="C225" s="70" t="s">
        <v>299</v>
      </c>
      <c r="D225" s="82"/>
      <c r="E225" s="114">
        <f>369.302+0.034</f>
        <v>369.33600000000001</v>
      </c>
      <c r="F225" s="115">
        <f>369.314+0.034</f>
        <v>369.34800000000001</v>
      </c>
      <c r="G225" s="115">
        <f>369.328+0.034</f>
        <v>369.36199999999997</v>
      </c>
      <c r="H225" s="116">
        <f>+I225</f>
        <v>369.34300000000002</v>
      </c>
      <c r="I225" s="117">
        <f>367.978+1.365</f>
        <v>369.34300000000002</v>
      </c>
      <c r="J225" s="114">
        <f>367.999+1.36</f>
        <v>369.35900000000004</v>
      </c>
      <c r="K225" s="115">
        <f>368.021+1.341</f>
        <v>369.36200000000002</v>
      </c>
      <c r="L225" s="115">
        <f>368.044+1.333</f>
        <v>369.37700000000001</v>
      </c>
      <c r="M225" s="116">
        <f>+N225</f>
        <v>369.35599999999999</v>
      </c>
      <c r="N225" s="524">
        <f>367.854+1.502</f>
        <v>369.35599999999999</v>
      </c>
      <c r="O225" s="114">
        <f>367.881+1.488</f>
        <v>369.36899999999997</v>
      </c>
      <c r="P225" s="115">
        <f>367.907+1.473</f>
        <v>369.38</v>
      </c>
      <c r="Q225" s="115">
        <f>1.458+367.935</f>
        <v>369.39300000000003</v>
      </c>
      <c r="R225" s="116">
        <f>+S225</f>
        <v>369.36900000000003</v>
      </c>
      <c r="S225" s="524">
        <f>368.083+1.286</f>
        <v>369.36900000000003</v>
      </c>
      <c r="T225" s="114">
        <f>368.104+1.276</f>
        <v>369.38</v>
      </c>
      <c r="U225" s="115">
        <f>368.125+1.266</f>
        <v>369.39100000000002</v>
      </c>
      <c r="V225" s="115">
        <f>368.147+1.256</f>
        <v>369.40299999999996</v>
      </c>
      <c r="W225" s="116">
        <f>+X225</f>
        <v>468.56299999999999</v>
      </c>
      <c r="X225" s="524">
        <f>467.317+1.246</f>
        <v>468.56299999999999</v>
      </c>
      <c r="Y225" s="114">
        <f>468.479+0.103</f>
        <v>468.58199999999999</v>
      </c>
      <c r="Z225" s="115">
        <f>0.103+468.494</f>
        <v>468.59700000000004</v>
      </c>
      <c r="AA225" s="115">
        <f>0.103+468.511</f>
        <v>468.61400000000003</v>
      </c>
      <c r="AB225" s="116">
        <f>+AC225</f>
        <v>468.59700000000004</v>
      </c>
      <c r="AC225" s="524">
        <f>468.49+0.107</f>
        <v>468.59700000000004</v>
      </c>
      <c r="AD225" s="114">
        <f>467.394+1.218</f>
        <v>468.61200000000002</v>
      </c>
      <c r="AE225" s="115">
        <f>567.07+1.207</f>
        <v>568.27700000000004</v>
      </c>
      <c r="AF225" s="115">
        <f>1.195+567.106</f>
        <v>568.30100000000004</v>
      </c>
      <c r="AG225" s="116">
        <f>+AH225</f>
        <v>568.29100000000005</v>
      </c>
      <c r="AH225" s="524">
        <f>567.056+1.235</f>
        <v>568.29100000000005</v>
      </c>
      <c r="AI225" s="114">
        <f>1.224+567.099</f>
        <v>568.32300000000009</v>
      </c>
      <c r="AJ225" s="115">
        <f>1.21+666.313</f>
        <v>667.52300000000002</v>
      </c>
      <c r="AK225" s="115">
        <f>666.379+1.196</f>
        <v>667.57500000000005</v>
      </c>
      <c r="AL225" s="116">
        <f>+AM225</f>
        <v>667.59299999999996</v>
      </c>
      <c r="AM225" s="117">
        <f>1.131+666.462</f>
        <v>667.59299999999996</v>
      </c>
      <c r="AN225" s="114">
        <f>1.168+661.448</f>
        <v>662.61599999999999</v>
      </c>
      <c r="AO225" s="115">
        <f>1.153+661.629</f>
        <v>662.78200000000004</v>
      </c>
      <c r="AP225" s="115">
        <f>661.796+1.138</f>
        <v>662.93400000000008</v>
      </c>
      <c r="AQ225" s="116">
        <f>+AR225</f>
        <v>663.06900000000007</v>
      </c>
      <c r="AR225" s="117">
        <f>1.123+661.946</f>
        <v>663.06900000000007</v>
      </c>
      <c r="AS225" s="114">
        <f>1.11+662.125</f>
        <v>663.23500000000001</v>
      </c>
      <c r="AT225" s="115">
        <f>1.096+662.306</f>
        <v>663.40200000000004</v>
      </c>
      <c r="AU225" s="115">
        <f>1.086+662.455</f>
        <v>663.54100000000005</v>
      </c>
      <c r="AV225" s="116">
        <f>+AW225</f>
        <v>761.18000000000006</v>
      </c>
      <c r="AW225" s="117">
        <f>151.08+610.1</f>
        <v>761.18000000000006</v>
      </c>
      <c r="AX225" s="136">
        <f>+AW225+AX208+AX209</f>
        <v>761.18000000000006</v>
      </c>
      <c r="AY225" s="135">
        <f>+AX225+AY208+AY209</f>
        <v>761.18000000000006</v>
      </c>
      <c r="AZ225" s="135">
        <f>+AY225+AZ208+AZ209</f>
        <v>761.18000000000006</v>
      </c>
      <c r="BA225" s="116">
        <f>+AZ225+BA208+BA209</f>
        <v>811.18000000000006</v>
      </c>
      <c r="BB225" s="82">
        <f>+BA225</f>
        <v>811.18000000000006</v>
      </c>
      <c r="BC225" s="136">
        <f>+BB225+BC208+BC209</f>
        <v>811.18000000000006</v>
      </c>
      <c r="BD225" s="135">
        <f>+BC225+BD208+BD209</f>
        <v>811.18000000000006</v>
      </c>
      <c r="BE225" s="135">
        <f>+BD225+BE208+BE209</f>
        <v>861.18000000000006</v>
      </c>
      <c r="BF225" s="116">
        <f>+BE225+BF208+BF209</f>
        <v>861.18000000000006</v>
      </c>
      <c r="BG225" s="82">
        <f>+BF225</f>
        <v>861.18000000000006</v>
      </c>
      <c r="BH225" s="136">
        <f>+BG225+BH208+BH209</f>
        <v>861.18000000000006</v>
      </c>
      <c r="BI225" s="135">
        <f>+BH225+BI208+BI209</f>
        <v>861.18000000000006</v>
      </c>
      <c r="BJ225" s="135">
        <f>+BI225+BJ208+BJ209</f>
        <v>911.18000000000006</v>
      </c>
      <c r="BK225" s="116">
        <f>+BJ225+BK208+BK209</f>
        <v>911.18000000000006</v>
      </c>
      <c r="BL225" s="82">
        <f>+BK225</f>
        <v>911.18000000000006</v>
      </c>
      <c r="BM225" s="136">
        <f>+BL225+BM208+BM209</f>
        <v>911.18000000000006</v>
      </c>
      <c r="BN225" s="135">
        <f>+BM225+BN208+BN209</f>
        <v>911.18000000000006</v>
      </c>
      <c r="BO225" s="135">
        <f>+BN225+BO208+BO209</f>
        <v>961.18000000000006</v>
      </c>
      <c r="BP225" s="116">
        <f>+BO225+BP208+BP209</f>
        <v>942.58</v>
      </c>
      <c r="BQ225" s="82">
        <f>+BP225</f>
        <v>942.58</v>
      </c>
      <c r="BR225" s="220"/>
      <c r="BS225" s="220"/>
      <c r="BT225" s="220"/>
      <c r="BU225" s="220"/>
      <c r="BV225" s="220"/>
      <c r="BW225" s="220"/>
      <c r="BX225" s="220"/>
      <c r="BY225" s="220"/>
      <c r="BZ225" s="220"/>
      <c r="CA225" s="220"/>
      <c r="CB225" s="220"/>
      <c r="CC225" s="220"/>
      <c r="CD225" s="220"/>
      <c r="CE225" s="220"/>
      <c r="CF225" s="220"/>
      <c r="CG225" s="220"/>
      <c r="CH225" s="220"/>
      <c r="CI225" s="220"/>
      <c r="CJ225" s="220"/>
      <c r="CK225" s="220"/>
      <c r="CL225" s="220"/>
      <c r="CM225" s="220"/>
      <c r="CN225" s="220"/>
      <c r="CO225" s="220"/>
      <c r="CP225" s="220"/>
      <c r="CQ225" s="220"/>
      <c r="CR225" s="220"/>
      <c r="CS225" s="220"/>
      <c r="CT225" s="220"/>
      <c r="CU225" s="220"/>
      <c r="CV225" s="220"/>
      <c r="CW225" s="220"/>
      <c r="CX225" s="220"/>
      <c r="CY225" s="220"/>
      <c r="CZ225" s="220"/>
    </row>
    <row r="226" spans="1:104" x14ac:dyDescent="0.2">
      <c r="A226" s="220"/>
      <c r="B226" s="220"/>
      <c r="C226" s="141" t="s">
        <v>48</v>
      </c>
      <c r="D226" s="82"/>
      <c r="E226" s="121">
        <f>SUM(E224:E225)</f>
        <v>369.98599999999999</v>
      </c>
      <c r="F226" s="122">
        <f>SUM(F224:F225)</f>
        <v>369.99799999999999</v>
      </c>
      <c r="G226" s="122">
        <f>SUM(G224:G225)</f>
        <v>370.01199999999994</v>
      </c>
      <c r="H226" s="123">
        <f>+I226</f>
        <v>385.44300000000004</v>
      </c>
      <c r="I226" s="86">
        <f>SUM(I224:I225)</f>
        <v>385.44300000000004</v>
      </c>
      <c r="J226" s="121">
        <f>SUM(J224:J225)</f>
        <v>387.55900000000003</v>
      </c>
      <c r="K226" s="122">
        <f>SUM(K224:K225)</f>
        <v>369.96200000000005</v>
      </c>
      <c r="L226" s="122">
        <f>SUM(L224:L225)</f>
        <v>373.87700000000001</v>
      </c>
      <c r="M226" s="123">
        <f>+N226</f>
        <v>406.90600000000001</v>
      </c>
      <c r="N226" s="86">
        <f>SUM(N224:N225)</f>
        <v>406.90600000000001</v>
      </c>
      <c r="O226" s="121">
        <f>SUM(O224:O225)</f>
        <v>400.91899999999998</v>
      </c>
      <c r="P226" s="122">
        <f>SUM(P224:P225)</f>
        <v>404.93</v>
      </c>
      <c r="Q226" s="122">
        <f>SUM(Q224:Q225)</f>
        <v>397.39300000000003</v>
      </c>
      <c r="R226" s="123">
        <f>+S226</f>
        <v>435.86900000000003</v>
      </c>
      <c r="S226" s="86">
        <f>SUM(S224:S225)</f>
        <v>435.86900000000003</v>
      </c>
      <c r="T226" s="121">
        <f>SUM(T224:T225)</f>
        <v>440.93</v>
      </c>
      <c r="U226" s="122">
        <f>SUM(U224:U225)</f>
        <v>448.94100000000003</v>
      </c>
      <c r="V226" s="122">
        <f>SUM(V224:V225)</f>
        <v>468.95299999999997</v>
      </c>
      <c r="W226" s="123">
        <f>+X226</f>
        <v>508.113</v>
      </c>
      <c r="X226" s="86">
        <f>SUM(X224:X225)</f>
        <v>508.113</v>
      </c>
      <c r="Y226" s="121">
        <f>SUM(Y224:Y225)</f>
        <v>490.13200000000001</v>
      </c>
      <c r="Z226" s="122">
        <f>SUM(Z224:Z225)</f>
        <v>471.06700000000006</v>
      </c>
      <c r="AA226" s="122">
        <f>SUM(AA224:AA225)</f>
        <v>480.08400000000006</v>
      </c>
      <c r="AB226" s="123">
        <f>+AC226</f>
        <v>537.06700000000001</v>
      </c>
      <c r="AC226" s="86">
        <f>SUM(AC224:AC225)</f>
        <v>537.06700000000001</v>
      </c>
      <c r="AD226" s="121">
        <f>SUM(AD224:AD225)</f>
        <v>548.08199999999999</v>
      </c>
      <c r="AE226" s="122">
        <f>SUM(AE224:AE225)</f>
        <v>579.27700000000004</v>
      </c>
      <c r="AF226" s="122">
        <f>SUM(AF224:AF225)</f>
        <v>576.80100000000004</v>
      </c>
      <c r="AG226" s="123">
        <f>+AH226</f>
        <v>646.79100000000005</v>
      </c>
      <c r="AH226" s="86">
        <f>SUM(AH224:AH225)</f>
        <v>646.79100000000005</v>
      </c>
      <c r="AI226" s="121">
        <f>SUM(AI224:AI225)</f>
        <v>648.82300000000009</v>
      </c>
      <c r="AJ226" s="122">
        <f>SUM(AJ224:AJ225)</f>
        <v>668.02300000000002</v>
      </c>
      <c r="AK226" s="122">
        <f>SUM(AK224:AK225)</f>
        <v>668.07500000000005</v>
      </c>
      <c r="AL226" s="123">
        <f>+AM226</f>
        <v>678.09299999999996</v>
      </c>
      <c r="AM226" s="86">
        <f>SUM(AM224:AM225)</f>
        <v>678.09299999999996</v>
      </c>
      <c r="AN226" s="121">
        <f>SUM(AN224:AN225)</f>
        <v>668.11599999999999</v>
      </c>
      <c r="AO226" s="122">
        <f>SUM(AO224:AO225)</f>
        <v>671.28200000000004</v>
      </c>
      <c r="AP226" s="122">
        <f>SUM(AP224:AP225)</f>
        <v>667.43400000000008</v>
      </c>
      <c r="AQ226" s="123">
        <f>+AR226</f>
        <v>723.56900000000007</v>
      </c>
      <c r="AR226" s="86">
        <f t="shared" ref="AR226:AU226" si="558">SUM(AR224:AR225)</f>
        <v>723.56900000000007</v>
      </c>
      <c r="AS226" s="121">
        <f t="shared" si="558"/>
        <v>696.73500000000001</v>
      </c>
      <c r="AT226" s="122">
        <f t="shared" si="558"/>
        <v>709.90200000000004</v>
      </c>
      <c r="AU226" s="122">
        <f t="shared" si="558"/>
        <v>756.04100000000005</v>
      </c>
      <c r="AV226" s="123">
        <f>+AW226</f>
        <v>772.68000000000006</v>
      </c>
      <c r="AW226" s="86">
        <f t="shared" ref="AW226" si="559">SUM(AW224:AW225)</f>
        <v>772.68000000000006</v>
      </c>
      <c r="AX226" s="121">
        <f t="shared" ref="AX226:BG226" si="560">SUM(AX224:AX225)</f>
        <v>780.80291497953488</v>
      </c>
      <c r="AY226" s="122">
        <f t="shared" si="560"/>
        <v>804.73245616229133</v>
      </c>
      <c r="AZ226" s="122">
        <f t="shared" si="560"/>
        <v>820.20989320264948</v>
      </c>
      <c r="BA226" s="123">
        <f t="shared" si="560"/>
        <v>833.79248105134627</v>
      </c>
      <c r="BB226" s="86">
        <f t="shared" si="560"/>
        <v>833.79248105134627</v>
      </c>
      <c r="BC226" s="121">
        <f t="shared" si="560"/>
        <v>837.92016426540545</v>
      </c>
      <c r="BD226" s="122">
        <f t="shared" si="560"/>
        <v>857.70844850937556</v>
      </c>
      <c r="BE226" s="122">
        <f t="shared" si="560"/>
        <v>869.45569937353571</v>
      </c>
      <c r="BF226" s="123">
        <f t="shared" si="560"/>
        <v>878.60676448746233</v>
      </c>
      <c r="BG226" s="86">
        <f t="shared" si="560"/>
        <v>878.60676448746233</v>
      </c>
      <c r="BH226" s="121">
        <f t="shared" ref="BH226:BQ226" si="561">SUM(BH224:BH225)</f>
        <v>879.50691179111902</v>
      </c>
      <c r="BI226" s="122">
        <f t="shared" si="561"/>
        <v>897.28596987893434</v>
      </c>
      <c r="BJ226" s="122">
        <f t="shared" si="561"/>
        <v>911.18000000000006</v>
      </c>
      <c r="BK226" s="123">
        <f t="shared" si="561"/>
        <v>913.28214203309642</v>
      </c>
      <c r="BL226" s="86">
        <f t="shared" si="561"/>
        <v>913.28214203309642</v>
      </c>
      <c r="BM226" s="121">
        <f t="shared" si="561"/>
        <v>916.8310162748129</v>
      </c>
      <c r="BN226" s="122">
        <f t="shared" si="561"/>
        <v>938.50707615787053</v>
      </c>
      <c r="BO226" s="122">
        <f t="shared" si="561"/>
        <v>961.18000000000006</v>
      </c>
      <c r="BP226" s="123">
        <f t="shared" si="561"/>
        <v>961.37196009579804</v>
      </c>
      <c r="BQ226" s="86">
        <f t="shared" si="561"/>
        <v>961.37196009579804</v>
      </c>
      <c r="BR226" s="220"/>
      <c r="BS226" s="220"/>
      <c r="BT226" s="220"/>
      <c r="BU226" s="220"/>
      <c r="BV226" s="220"/>
      <c r="BW226" s="220"/>
      <c r="BX226" s="220"/>
      <c r="BY226" s="220"/>
      <c r="BZ226" s="220"/>
      <c r="CA226" s="220"/>
      <c r="CB226" s="220"/>
      <c r="CC226" s="220"/>
      <c r="CD226" s="220"/>
      <c r="CE226" s="220"/>
      <c r="CF226" s="220"/>
      <c r="CG226" s="220"/>
      <c r="CH226" s="220"/>
      <c r="CI226" s="220"/>
      <c r="CJ226" s="220"/>
      <c r="CK226" s="220"/>
      <c r="CL226" s="220"/>
      <c r="CM226" s="220"/>
      <c r="CN226" s="220"/>
      <c r="CO226" s="220"/>
      <c r="CP226" s="220"/>
      <c r="CQ226" s="220"/>
      <c r="CR226" s="220"/>
      <c r="CS226" s="220"/>
      <c r="CT226" s="220"/>
      <c r="CU226" s="220"/>
      <c r="CV226" s="220"/>
      <c r="CW226" s="220"/>
      <c r="CX226" s="220"/>
      <c r="CY226" s="220"/>
      <c r="CZ226" s="220"/>
    </row>
    <row r="227" spans="1:104" x14ac:dyDescent="0.2">
      <c r="A227" s="45"/>
      <c r="B227" s="45"/>
      <c r="C227" s="248" t="s">
        <v>234</v>
      </c>
      <c r="D227" s="45"/>
      <c r="E227" s="249">
        <f t="shared" ref="E227:T227" si="562">+E226/E235</f>
        <v>0.43982701067987939</v>
      </c>
      <c r="F227" s="250">
        <f t="shared" si="562"/>
        <v>0.44182875102695884</v>
      </c>
      <c r="G227" s="250">
        <f t="shared" si="562"/>
        <v>0.43914689580687655</v>
      </c>
      <c r="H227" s="251">
        <f t="shared" si="562"/>
        <v>0.43874279040701547</v>
      </c>
      <c r="I227" s="252">
        <f t="shared" si="562"/>
        <v>0.43874279040701547</v>
      </c>
      <c r="J227" s="249">
        <f t="shared" si="562"/>
        <v>0.45842076501439522</v>
      </c>
      <c r="K227" s="250">
        <f t="shared" si="562"/>
        <v>0.42699287656560903</v>
      </c>
      <c r="L227" s="250">
        <f t="shared" si="562"/>
        <v>0.42508194615145861</v>
      </c>
      <c r="M227" s="251">
        <f t="shared" si="562"/>
        <v>0.44735395521469151</v>
      </c>
      <c r="N227" s="252">
        <f t="shared" si="562"/>
        <v>0.44735395521469151</v>
      </c>
      <c r="O227" s="249">
        <f t="shared" si="562"/>
        <v>0.44058388609759419</v>
      </c>
      <c r="P227" s="250">
        <f t="shared" si="562"/>
        <v>0.4428523307902289</v>
      </c>
      <c r="Q227" s="250">
        <f>+Q226/Q235</f>
        <v>0.43254978110897535</v>
      </c>
      <c r="R227" s="251">
        <f t="shared" si="562"/>
        <v>0.45544303056774033</v>
      </c>
      <c r="S227" s="252">
        <f>+S226/S235</f>
        <v>0.45544303056774033</v>
      </c>
      <c r="T227" s="249">
        <f t="shared" si="562"/>
        <v>0.45510140257477588</v>
      </c>
      <c r="U227" s="250">
        <f t="shared" ref="U227:AJ227" si="563">+U226/U235</f>
        <v>0.45964380602325144</v>
      </c>
      <c r="V227" s="250">
        <f t="shared" si="563"/>
        <v>0.47563954066263531</v>
      </c>
      <c r="W227" s="251">
        <f t="shared" si="563"/>
        <v>0.49561410781501314</v>
      </c>
      <c r="X227" s="252">
        <f t="shared" si="563"/>
        <v>0.49561410781501314</v>
      </c>
      <c r="Y227" s="249">
        <f t="shared" si="563"/>
        <v>0.47154238457297942</v>
      </c>
      <c r="Z227" s="250">
        <f t="shared" si="563"/>
        <v>0.44938078221201272</v>
      </c>
      <c r="AA227" s="250">
        <f t="shared" si="563"/>
        <v>0.44924007493510565</v>
      </c>
      <c r="AB227" s="251">
        <f t="shared" si="563"/>
        <v>0.47055458058840893</v>
      </c>
      <c r="AC227" s="252">
        <f t="shared" si="563"/>
        <v>0.47055458058840893</v>
      </c>
      <c r="AD227" s="249">
        <f t="shared" si="563"/>
        <v>0.46902301206355501</v>
      </c>
      <c r="AE227" s="250">
        <f t="shared" si="563"/>
        <v>0.47636657587958209</v>
      </c>
      <c r="AF227" s="250">
        <f t="shared" si="563"/>
        <v>0.45429850069152811</v>
      </c>
      <c r="AG227" s="251">
        <f t="shared" si="563"/>
        <v>0.48107149232416996</v>
      </c>
      <c r="AH227" s="252">
        <f t="shared" si="563"/>
        <v>0.48107149232416996</v>
      </c>
      <c r="AI227" s="249">
        <f t="shared" si="563"/>
        <v>0.46992560982057563</v>
      </c>
      <c r="AJ227" s="250">
        <f t="shared" si="563"/>
        <v>0.47550893007768041</v>
      </c>
      <c r="AK227" s="250">
        <f t="shared" ref="AK227:AU227" si="564">+AK226/AK235</f>
        <v>0.47157724881095409</v>
      </c>
      <c r="AL227" s="251">
        <f t="shared" si="564"/>
        <v>0.46176585553205424</v>
      </c>
      <c r="AM227" s="252">
        <f t="shared" si="564"/>
        <v>0.46176585553205424</v>
      </c>
      <c r="AN227" s="249">
        <f t="shared" si="564"/>
        <v>0.45648124994021683</v>
      </c>
      <c r="AO227" s="250">
        <f t="shared" si="564"/>
        <v>0.45618210261212544</v>
      </c>
      <c r="AP227" s="250">
        <f t="shared" si="564"/>
        <v>0.45156266279851753</v>
      </c>
      <c r="AQ227" s="251">
        <f t="shared" si="564"/>
        <v>0.47125182116412523</v>
      </c>
      <c r="AR227" s="252">
        <f t="shared" si="564"/>
        <v>0.47125182116412523</v>
      </c>
      <c r="AS227" s="249">
        <f t="shared" si="564"/>
        <v>0.45450572131790251</v>
      </c>
      <c r="AT227" s="250">
        <f t="shared" si="564"/>
        <v>0.46351774963060377</v>
      </c>
      <c r="AU227" s="250">
        <f t="shared" si="564"/>
        <v>0.47569643907672077</v>
      </c>
      <c r="AV227" s="251">
        <f t="shared" ref="AV227:AW227" si="565">+AV226/AV235</f>
        <v>0.4684984681092047</v>
      </c>
      <c r="AW227" s="252">
        <f t="shared" si="565"/>
        <v>0.4684984681092047</v>
      </c>
      <c r="AX227" s="249">
        <f t="shared" ref="AX227:BG227" si="566">+AX226/AX235</f>
        <v>0.46687211943452905</v>
      </c>
      <c r="AY227" s="250">
        <f t="shared" si="566"/>
        <v>0.4732147384481859</v>
      </c>
      <c r="AZ227" s="250">
        <f t="shared" si="566"/>
        <v>0.47516749764544763</v>
      </c>
      <c r="BA227" s="251">
        <f t="shared" si="566"/>
        <v>0.47621596113403131</v>
      </c>
      <c r="BB227" s="252">
        <f t="shared" si="566"/>
        <v>0.47621596113403131</v>
      </c>
      <c r="BC227" s="249">
        <f t="shared" si="566"/>
        <v>0.47256990093440454</v>
      </c>
      <c r="BD227" s="250">
        <f t="shared" si="566"/>
        <v>0.47675031075792673</v>
      </c>
      <c r="BE227" s="250">
        <f t="shared" si="566"/>
        <v>0.47704359336643193</v>
      </c>
      <c r="BF227" s="251">
        <f t="shared" si="566"/>
        <v>0.47618710410547216</v>
      </c>
      <c r="BG227" s="252">
        <f t="shared" si="566"/>
        <v>0.47618710410547216</v>
      </c>
      <c r="BH227" s="249">
        <f t="shared" ref="BH227:BQ227" si="567">+BH226/BH235</f>
        <v>0.47227716000597247</v>
      </c>
      <c r="BI227" s="250">
        <f t="shared" si="567"/>
        <v>0.47640414536828596</v>
      </c>
      <c r="BJ227" s="250">
        <f t="shared" si="567"/>
        <v>0.4779316030748314</v>
      </c>
      <c r="BK227" s="251">
        <f t="shared" si="567"/>
        <v>0.47570708112326543</v>
      </c>
      <c r="BL227" s="252">
        <f t="shared" si="567"/>
        <v>0.47570708112326543</v>
      </c>
      <c r="BM227" s="249">
        <f t="shared" si="567"/>
        <v>0.47148023231321273</v>
      </c>
      <c r="BN227" s="250">
        <f t="shared" si="567"/>
        <v>0.47545028539320655</v>
      </c>
      <c r="BO227" s="250">
        <f t="shared" si="567"/>
        <v>0.47820366582285179</v>
      </c>
      <c r="BP227" s="251">
        <f t="shared" si="567"/>
        <v>0.47448813143662366</v>
      </c>
      <c r="BQ227" s="252">
        <f t="shared" si="567"/>
        <v>0.47448813143662366</v>
      </c>
      <c r="BR227" s="45"/>
      <c r="BS227" s="45"/>
      <c r="BT227" s="45"/>
      <c r="BU227" s="45"/>
      <c r="BV227" s="45"/>
      <c r="BW227" s="45"/>
      <c r="BX227" s="45"/>
      <c r="BY227" s="45"/>
      <c r="BZ227" s="45"/>
      <c r="CA227" s="45"/>
      <c r="CB227" s="45"/>
      <c r="CC227" s="45"/>
      <c r="CD227" s="45"/>
      <c r="CE227" s="45"/>
      <c r="CF227" s="45"/>
      <c r="CG227" s="45"/>
      <c r="CH227" s="45"/>
      <c r="CI227" s="45"/>
      <c r="CJ227" s="45"/>
      <c r="CK227" s="45"/>
      <c r="CL227" s="45"/>
      <c r="CM227" s="45"/>
      <c r="CN227" s="45"/>
      <c r="CO227" s="45"/>
      <c r="CP227" s="45"/>
      <c r="CQ227" s="45"/>
      <c r="CR227" s="45"/>
      <c r="CS227" s="45"/>
      <c r="CT227" s="45"/>
      <c r="CU227" s="45"/>
      <c r="CV227" s="45"/>
      <c r="CW227" s="45"/>
      <c r="CX227" s="45"/>
      <c r="CY227" s="45"/>
      <c r="CZ227" s="45"/>
    </row>
    <row r="228" spans="1:104" x14ac:dyDescent="0.2">
      <c r="A228" s="289"/>
      <c r="B228" s="289"/>
      <c r="C228" s="355"/>
      <c r="D228" s="289"/>
      <c r="E228" s="291"/>
      <c r="F228" s="292"/>
      <c r="G228" s="292"/>
      <c r="H228" s="293"/>
      <c r="I228" s="289"/>
      <c r="J228" s="291"/>
      <c r="K228" s="292"/>
      <c r="L228" s="292"/>
      <c r="M228" s="293"/>
      <c r="N228" s="289"/>
      <c r="O228" s="291"/>
      <c r="P228" s="292"/>
      <c r="Q228" s="292"/>
      <c r="R228" s="293"/>
      <c r="S228" s="289"/>
      <c r="T228" s="291"/>
      <c r="U228" s="292"/>
      <c r="V228" s="292"/>
      <c r="W228" s="293"/>
      <c r="X228" s="289"/>
      <c r="Y228" s="291"/>
      <c r="Z228" s="292"/>
      <c r="AA228" s="292"/>
      <c r="AB228" s="293"/>
      <c r="AC228" s="289"/>
      <c r="AD228" s="291"/>
      <c r="AE228" s="292"/>
      <c r="AF228" s="292"/>
      <c r="AG228" s="293"/>
      <c r="AH228" s="289"/>
      <c r="AI228" s="291"/>
      <c r="AJ228" s="292"/>
      <c r="AK228" s="292"/>
      <c r="AL228" s="293"/>
      <c r="AM228" s="289"/>
      <c r="AN228" s="291"/>
      <c r="AO228" s="292"/>
      <c r="AP228" s="292"/>
      <c r="AQ228" s="293"/>
      <c r="AR228" s="289"/>
      <c r="AS228" s="291"/>
      <c r="AT228" s="292"/>
      <c r="AU228" s="292"/>
      <c r="AV228" s="293"/>
      <c r="AW228" s="289"/>
      <c r="AX228" s="291"/>
      <c r="AY228" s="292"/>
      <c r="AZ228" s="292"/>
      <c r="BA228" s="293"/>
      <c r="BB228" s="289"/>
      <c r="BC228" s="291"/>
      <c r="BD228" s="292"/>
      <c r="BE228" s="292"/>
      <c r="BF228" s="293"/>
      <c r="BG228" s="289"/>
      <c r="BH228" s="291"/>
      <c r="BI228" s="292"/>
      <c r="BJ228" s="292"/>
      <c r="BK228" s="293"/>
      <c r="BL228" s="289"/>
      <c r="BM228" s="291"/>
      <c r="BN228" s="292"/>
      <c r="BO228" s="292"/>
      <c r="BP228" s="293"/>
      <c r="BQ228" s="289"/>
      <c r="BR228" s="289"/>
      <c r="BS228" s="289"/>
      <c r="BT228" s="289"/>
      <c r="BU228" s="289"/>
      <c r="BV228" s="289"/>
      <c r="BW228" s="289"/>
      <c r="BX228" s="289"/>
      <c r="BY228" s="289"/>
      <c r="BZ228" s="289"/>
      <c r="CA228" s="289"/>
      <c r="CB228" s="289"/>
      <c r="CC228" s="289"/>
      <c r="CD228" s="289"/>
      <c r="CE228" s="289"/>
      <c r="CF228" s="289"/>
      <c r="CG228" s="289"/>
      <c r="CH228" s="289"/>
      <c r="CI228" s="289"/>
      <c r="CJ228" s="289"/>
      <c r="CK228" s="289"/>
      <c r="CL228" s="289"/>
      <c r="CM228" s="289"/>
      <c r="CN228" s="289"/>
      <c r="CO228" s="289"/>
      <c r="CP228" s="289"/>
      <c r="CQ228" s="289"/>
      <c r="CR228" s="289"/>
      <c r="CS228" s="289"/>
      <c r="CT228" s="289"/>
      <c r="CU228" s="289"/>
      <c r="CV228" s="289"/>
      <c r="CW228" s="289"/>
      <c r="CX228" s="289"/>
      <c r="CY228" s="289"/>
      <c r="CZ228" s="289"/>
    </row>
    <row r="229" spans="1:104" x14ac:dyDescent="0.2">
      <c r="A229" s="220"/>
      <c r="B229" s="220"/>
      <c r="C229" s="141" t="s">
        <v>235</v>
      </c>
      <c r="D229" s="82"/>
      <c r="E229" s="235">
        <v>0</v>
      </c>
      <c r="F229" s="236">
        <v>0</v>
      </c>
      <c r="G229" s="236">
        <v>0</v>
      </c>
      <c r="H229" s="119">
        <f>I229</f>
        <v>0</v>
      </c>
      <c r="I229" s="237">
        <v>0</v>
      </c>
      <c r="J229" s="235">
        <v>0</v>
      </c>
      <c r="K229" s="236">
        <v>0</v>
      </c>
      <c r="L229" s="236">
        <v>0</v>
      </c>
      <c r="M229" s="119">
        <f>N229</f>
        <v>0</v>
      </c>
      <c r="N229" s="237">
        <v>0</v>
      </c>
      <c r="O229" s="235">
        <v>0</v>
      </c>
      <c r="P229" s="236">
        <v>0</v>
      </c>
      <c r="Q229" s="236">
        <v>0</v>
      </c>
      <c r="R229" s="119">
        <f>S229</f>
        <v>0</v>
      </c>
      <c r="S229" s="237">
        <v>0</v>
      </c>
      <c r="T229" s="235">
        <v>0</v>
      </c>
      <c r="U229" s="236">
        <v>0</v>
      </c>
      <c r="V229" s="236">
        <v>0</v>
      </c>
      <c r="W229" s="119">
        <f>X229</f>
        <v>0</v>
      </c>
      <c r="X229" s="237">
        <v>0</v>
      </c>
      <c r="Y229" s="235">
        <v>0</v>
      </c>
      <c r="Z229" s="236">
        <v>0</v>
      </c>
      <c r="AA229" s="236">
        <v>0</v>
      </c>
      <c r="AB229" s="119">
        <f>AC229</f>
        <v>0</v>
      </c>
      <c r="AC229" s="237">
        <v>0</v>
      </c>
      <c r="AD229" s="235">
        <v>0</v>
      </c>
      <c r="AE229" s="236">
        <v>0</v>
      </c>
      <c r="AF229" s="236">
        <v>0</v>
      </c>
      <c r="AG229" s="119">
        <f>AH229</f>
        <v>0</v>
      </c>
      <c r="AH229" s="237">
        <v>0</v>
      </c>
      <c r="AI229" s="235">
        <v>0</v>
      </c>
      <c r="AJ229" s="236">
        <v>0</v>
      </c>
      <c r="AK229" s="236">
        <v>0</v>
      </c>
      <c r="AL229" s="119">
        <f>AM229</f>
        <v>0</v>
      </c>
      <c r="AM229" s="237">
        <v>0</v>
      </c>
      <c r="AN229" s="235">
        <v>0</v>
      </c>
      <c r="AO229" s="236">
        <v>0</v>
      </c>
      <c r="AP229" s="236">
        <v>0</v>
      </c>
      <c r="AQ229" s="119">
        <f>AR229</f>
        <v>0</v>
      </c>
      <c r="AR229" s="237">
        <v>0</v>
      </c>
      <c r="AS229" s="235">
        <v>0</v>
      </c>
      <c r="AT229" s="236">
        <v>0</v>
      </c>
      <c r="AU229" s="236">
        <v>0</v>
      </c>
      <c r="AV229" s="119">
        <f>AW229</f>
        <v>0</v>
      </c>
      <c r="AW229" s="237">
        <v>0</v>
      </c>
      <c r="AX229" s="121">
        <f t="shared" ref="AX229:BG229" si="568">+AW229</f>
        <v>0</v>
      </c>
      <c r="AY229" s="122">
        <f t="shared" si="568"/>
        <v>0</v>
      </c>
      <c r="AZ229" s="122">
        <f t="shared" si="568"/>
        <v>0</v>
      </c>
      <c r="BA229" s="123">
        <f t="shared" si="568"/>
        <v>0</v>
      </c>
      <c r="BB229" s="86">
        <f t="shared" si="568"/>
        <v>0</v>
      </c>
      <c r="BC229" s="121">
        <f t="shared" si="568"/>
        <v>0</v>
      </c>
      <c r="BD229" s="122">
        <f t="shared" si="568"/>
        <v>0</v>
      </c>
      <c r="BE229" s="122">
        <f t="shared" si="568"/>
        <v>0</v>
      </c>
      <c r="BF229" s="123">
        <f t="shared" si="568"/>
        <v>0</v>
      </c>
      <c r="BG229" s="86">
        <f t="shared" si="568"/>
        <v>0</v>
      </c>
      <c r="BH229" s="121">
        <f t="shared" ref="BH229:BQ229" si="569">+BG229</f>
        <v>0</v>
      </c>
      <c r="BI229" s="122">
        <f t="shared" si="569"/>
        <v>0</v>
      </c>
      <c r="BJ229" s="122">
        <f t="shared" si="569"/>
        <v>0</v>
      </c>
      <c r="BK229" s="123">
        <f t="shared" si="569"/>
        <v>0</v>
      </c>
      <c r="BL229" s="86">
        <f t="shared" si="569"/>
        <v>0</v>
      </c>
      <c r="BM229" s="121">
        <f t="shared" si="569"/>
        <v>0</v>
      </c>
      <c r="BN229" s="122">
        <f t="shared" si="569"/>
        <v>0</v>
      </c>
      <c r="BO229" s="122">
        <f t="shared" si="569"/>
        <v>0</v>
      </c>
      <c r="BP229" s="123">
        <f t="shared" si="569"/>
        <v>0</v>
      </c>
      <c r="BQ229" s="86">
        <f t="shared" si="569"/>
        <v>0</v>
      </c>
      <c r="BR229" s="220"/>
      <c r="BS229" s="220"/>
      <c r="BT229" s="220"/>
      <c r="BU229" s="220"/>
      <c r="BV229" s="220"/>
      <c r="BW229" s="220"/>
      <c r="BX229" s="220"/>
      <c r="BY229" s="220"/>
      <c r="BZ229" s="220"/>
      <c r="CA229" s="220"/>
      <c r="CB229" s="220"/>
      <c r="CC229" s="220"/>
      <c r="CD229" s="220"/>
      <c r="CE229" s="220"/>
      <c r="CF229" s="220"/>
      <c r="CG229" s="220"/>
      <c r="CH229" s="220"/>
      <c r="CI229" s="220"/>
      <c r="CJ229" s="220"/>
      <c r="CK229" s="220"/>
      <c r="CL229" s="220"/>
      <c r="CM229" s="220"/>
      <c r="CN229" s="220"/>
      <c r="CO229" s="220"/>
      <c r="CP229" s="220"/>
      <c r="CQ229" s="220"/>
      <c r="CR229" s="220"/>
      <c r="CS229" s="220"/>
      <c r="CT229" s="220"/>
      <c r="CU229" s="220"/>
      <c r="CV229" s="220"/>
      <c r="CW229" s="220"/>
      <c r="CX229" s="220"/>
      <c r="CY229" s="220"/>
      <c r="CZ229" s="220"/>
    </row>
    <row r="230" spans="1:104" x14ac:dyDescent="0.2">
      <c r="A230" s="45"/>
      <c r="B230" s="45"/>
      <c r="C230" s="248" t="s">
        <v>234</v>
      </c>
      <c r="D230" s="45"/>
      <c r="E230" s="249">
        <f t="shared" ref="E230:T230" si="570">+E229/E235</f>
        <v>0</v>
      </c>
      <c r="F230" s="250">
        <f t="shared" si="570"/>
        <v>0</v>
      </c>
      <c r="G230" s="250">
        <f t="shared" si="570"/>
        <v>0</v>
      </c>
      <c r="H230" s="251">
        <f t="shared" si="570"/>
        <v>0</v>
      </c>
      <c r="I230" s="252">
        <f t="shared" si="570"/>
        <v>0</v>
      </c>
      <c r="J230" s="249">
        <f t="shared" si="570"/>
        <v>0</v>
      </c>
      <c r="K230" s="250">
        <f t="shared" si="570"/>
        <v>0</v>
      </c>
      <c r="L230" s="250">
        <f t="shared" si="570"/>
        <v>0</v>
      </c>
      <c r="M230" s="251">
        <f t="shared" si="570"/>
        <v>0</v>
      </c>
      <c r="N230" s="252">
        <f t="shared" si="570"/>
        <v>0</v>
      </c>
      <c r="O230" s="249">
        <f t="shared" si="570"/>
        <v>0</v>
      </c>
      <c r="P230" s="250">
        <f t="shared" si="570"/>
        <v>0</v>
      </c>
      <c r="Q230" s="250">
        <f>+Q229/Q235</f>
        <v>0</v>
      </c>
      <c r="R230" s="251">
        <f t="shared" si="570"/>
        <v>0</v>
      </c>
      <c r="S230" s="252">
        <f>+S229/S235</f>
        <v>0</v>
      </c>
      <c r="T230" s="249">
        <f t="shared" si="570"/>
        <v>0</v>
      </c>
      <c r="U230" s="250">
        <f t="shared" ref="U230:AJ230" si="571">+U229/U235</f>
        <v>0</v>
      </c>
      <c r="V230" s="250">
        <f t="shared" si="571"/>
        <v>0</v>
      </c>
      <c r="W230" s="251">
        <f t="shared" si="571"/>
        <v>0</v>
      </c>
      <c r="X230" s="252">
        <f t="shared" si="571"/>
        <v>0</v>
      </c>
      <c r="Y230" s="249">
        <f t="shared" si="571"/>
        <v>0</v>
      </c>
      <c r="Z230" s="250">
        <f t="shared" si="571"/>
        <v>0</v>
      </c>
      <c r="AA230" s="250">
        <f t="shared" si="571"/>
        <v>0</v>
      </c>
      <c r="AB230" s="251">
        <f t="shared" si="571"/>
        <v>0</v>
      </c>
      <c r="AC230" s="252">
        <f t="shared" si="571"/>
        <v>0</v>
      </c>
      <c r="AD230" s="249">
        <f t="shared" si="571"/>
        <v>0</v>
      </c>
      <c r="AE230" s="250">
        <f t="shared" si="571"/>
        <v>0</v>
      </c>
      <c r="AF230" s="250">
        <f t="shared" si="571"/>
        <v>0</v>
      </c>
      <c r="AG230" s="251">
        <f t="shared" si="571"/>
        <v>0</v>
      </c>
      <c r="AH230" s="252">
        <f t="shared" si="571"/>
        <v>0</v>
      </c>
      <c r="AI230" s="249">
        <f t="shared" si="571"/>
        <v>0</v>
      </c>
      <c r="AJ230" s="250">
        <f t="shared" si="571"/>
        <v>0</v>
      </c>
      <c r="AK230" s="250">
        <f t="shared" ref="AK230:AU230" si="572">+AK229/AK235</f>
        <v>0</v>
      </c>
      <c r="AL230" s="251">
        <f t="shared" si="572"/>
        <v>0</v>
      </c>
      <c r="AM230" s="252">
        <f t="shared" si="572"/>
        <v>0</v>
      </c>
      <c r="AN230" s="249">
        <f t="shared" si="572"/>
        <v>0</v>
      </c>
      <c r="AO230" s="250">
        <f t="shared" si="572"/>
        <v>0</v>
      </c>
      <c r="AP230" s="250">
        <f t="shared" si="572"/>
        <v>0</v>
      </c>
      <c r="AQ230" s="251">
        <f t="shared" si="572"/>
        <v>0</v>
      </c>
      <c r="AR230" s="252">
        <f t="shared" si="572"/>
        <v>0</v>
      </c>
      <c r="AS230" s="249">
        <f t="shared" si="572"/>
        <v>0</v>
      </c>
      <c r="AT230" s="250">
        <f t="shared" si="572"/>
        <v>0</v>
      </c>
      <c r="AU230" s="250">
        <f t="shared" si="572"/>
        <v>0</v>
      </c>
      <c r="AV230" s="251">
        <f t="shared" ref="AV230:AW230" si="573">+AV229/AV235</f>
        <v>0</v>
      </c>
      <c r="AW230" s="252">
        <f t="shared" si="573"/>
        <v>0</v>
      </c>
      <c r="AX230" s="249">
        <f t="shared" ref="AX230:BG230" si="574">+AX229/AX235</f>
        <v>0</v>
      </c>
      <c r="AY230" s="250">
        <f t="shared" si="574"/>
        <v>0</v>
      </c>
      <c r="AZ230" s="250">
        <f t="shared" si="574"/>
        <v>0</v>
      </c>
      <c r="BA230" s="251">
        <f t="shared" si="574"/>
        <v>0</v>
      </c>
      <c r="BB230" s="252">
        <f t="shared" si="574"/>
        <v>0</v>
      </c>
      <c r="BC230" s="249">
        <f t="shared" si="574"/>
        <v>0</v>
      </c>
      <c r="BD230" s="250">
        <f t="shared" si="574"/>
        <v>0</v>
      </c>
      <c r="BE230" s="250">
        <f t="shared" si="574"/>
        <v>0</v>
      </c>
      <c r="BF230" s="251">
        <f t="shared" si="574"/>
        <v>0</v>
      </c>
      <c r="BG230" s="252">
        <f t="shared" si="574"/>
        <v>0</v>
      </c>
      <c r="BH230" s="249">
        <f t="shared" ref="BH230:BQ230" si="575">+BH229/BH235</f>
        <v>0</v>
      </c>
      <c r="BI230" s="250">
        <f t="shared" si="575"/>
        <v>0</v>
      </c>
      <c r="BJ230" s="250">
        <f t="shared" si="575"/>
        <v>0</v>
      </c>
      <c r="BK230" s="251">
        <f t="shared" si="575"/>
        <v>0</v>
      </c>
      <c r="BL230" s="252">
        <f t="shared" si="575"/>
        <v>0</v>
      </c>
      <c r="BM230" s="249">
        <f t="shared" si="575"/>
        <v>0</v>
      </c>
      <c r="BN230" s="250">
        <f t="shared" si="575"/>
        <v>0</v>
      </c>
      <c r="BO230" s="250">
        <f t="shared" si="575"/>
        <v>0</v>
      </c>
      <c r="BP230" s="251">
        <f t="shared" si="575"/>
        <v>0</v>
      </c>
      <c r="BQ230" s="252">
        <f t="shared" si="575"/>
        <v>0</v>
      </c>
      <c r="BR230" s="45"/>
      <c r="BS230" s="45"/>
      <c r="BT230" s="45"/>
      <c r="BU230" s="45"/>
      <c r="BV230" s="45"/>
      <c r="BW230" s="45"/>
      <c r="BX230" s="45"/>
      <c r="BY230" s="45"/>
      <c r="BZ230" s="45"/>
      <c r="CA230" s="45"/>
      <c r="CB230" s="45"/>
      <c r="CC230" s="45"/>
      <c r="CD230" s="45"/>
      <c r="CE230" s="45"/>
      <c r="CF230" s="45"/>
      <c r="CG230" s="45"/>
      <c r="CH230" s="45"/>
      <c r="CI230" s="45"/>
      <c r="CJ230" s="45"/>
      <c r="CK230" s="45"/>
      <c r="CL230" s="45"/>
      <c r="CM230" s="45"/>
      <c r="CN230" s="45"/>
      <c r="CO230" s="45"/>
      <c r="CP230" s="45"/>
      <c r="CQ230" s="45"/>
      <c r="CR230" s="45"/>
      <c r="CS230" s="45"/>
      <c r="CT230" s="45"/>
      <c r="CU230" s="45"/>
      <c r="CV230" s="45"/>
      <c r="CW230" s="45"/>
      <c r="CX230" s="45"/>
      <c r="CY230" s="45"/>
      <c r="CZ230" s="45"/>
    </row>
    <row r="231" spans="1:104" x14ac:dyDescent="0.2">
      <c r="A231" s="20"/>
      <c r="B231" s="20"/>
      <c r="C231" s="70"/>
      <c r="D231" s="20"/>
      <c r="E231" s="203"/>
      <c r="F231" s="204"/>
      <c r="G231" s="204"/>
      <c r="H231" s="205"/>
      <c r="I231" s="206"/>
      <c r="J231" s="203"/>
      <c r="K231" s="204"/>
      <c r="L231" s="204"/>
      <c r="M231" s="205"/>
      <c r="N231" s="206"/>
      <c r="O231" s="203"/>
      <c r="P231" s="204"/>
      <c r="Q231" s="204"/>
      <c r="R231" s="205"/>
      <c r="S231" s="206"/>
      <c r="T231" s="203"/>
      <c r="U231" s="204"/>
      <c r="V231" s="204"/>
      <c r="W231" s="205"/>
      <c r="X231" s="206"/>
      <c r="Y231" s="203"/>
      <c r="Z231" s="204"/>
      <c r="AA231" s="204"/>
      <c r="AB231" s="205"/>
      <c r="AC231" s="206"/>
      <c r="AD231" s="203"/>
      <c r="AE231" s="204"/>
      <c r="AF231" s="204"/>
      <c r="AG231" s="205"/>
      <c r="AH231" s="206"/>
      <c r="AI231" s="203"/>
      <c r="AJ231" s="204"/>
      <c r="AK231" s="204"/>
      <c r="AL231" s="205"/>
      <c r="AM231" s="206"/>
      <c r="AN231" s="203"/>
      <c r="AO231" s="204"/>
      <c r="AP231" s="204"/>
      <c r="AQ231" s="205"/>
      <c r="AR231" s="206"/>
      <c r="AS231" s="203"/>
      <c r="AT231" s="204"/>
      <c r="AU231" s="204"/>
      <c r="AV231" s="205"/>
      <c r="AW231" s="206"/>
      <c r="AX231" s="203"/>
      <c r="AY231" s="204"/>
      <c r="AZ231" s="204"/>
      <c r="BA231" s="205"/>
      <c r="BB231" s="206"/>
      <c r="BC231" s="203"/>
      <c r="BD231" s="204"/>
      <c r="BE231" s="204"/>
      <c r="BF231" s="205"/>
      <c r="BG231" s="206"/>
      <c r="BH231" s="203"/>
      <c r="BI231" s="204"/>
      <c r="BJ231" s="204"/>
      <c r="BK231" s="205"/>
      <c r="BL231" s="206"/>
      <c r="BM231" s="203"/>
      <c r="BN231" s="204"/>
      <c r="BO231" s="204"/>
      <c r="BP231" s="205"/>
      <c r="BQ231" s="206"/>
      <c r="BR231" s="20"/>
      <c r="BS231" s="20"/>
      <c r="BT231" s="20"/>
      <c r="BU231" s="20"/>
      <c r="BV231" s="20"/>
      <c r="BW231" s="20"/>
      <c r="BX231" s="20"/>
      <c r="BY231" s="20"/>
      <c r="BZ231" s="20"/>
      <c r="CA231" s="20"/>
      <c r="CB231" s="20"/>
      <c r="CC231" s="20"/>
      <c r="CD231" s="20"/>
      <c r="CE231" s="20"/>
      <c r="CF231" s="20"/>
      <c r="CG231" s="20"/>
      <c r="CH231" s="20"/>
      <c r="CI231" s="20"/>
      <c r="CJ231" s="20"/>
      <c r="CK231" s="20"/>
      <c r="CL231" s="20"/>
      <c r="CM231" s="20"/>
      <c r="CN231" s="20"/>
      <c r="CO231" s="20"/>
      <c r="CP231" s="20"/>
      <c r="CQ231" s="20"/>
      <c r="CR231" s="20"/>
      <c r="CS231" s="20"/>
      <c r="CT231" s="20"/>
      <c r="CU231" s="20"/>
      <c r="CV231" s="20"/>
      <c r="CW231" s="20"/>
      <c r="CX231" s="20"/>
      <c r="CY231" s="20"/>
      <c r="CZ231" s="20"/>
    </row>
    <row r="232" spans="1:104" x14ac:dyDescent="0.2">
      <c r="A232" s="220"/>
      <c r="B232" s="220"/>
      <c r="C232" s="141" t="s">
        <v>51</v>
      </c>
      <c r="D232" s="117"/>
      <c r="E232" s="235">
        <v>471.22199999999998</v>
      </c>
      <c r="F232" s="236">
        <v>467.42599999999999</v>
      </c>
      <c r="G232" s="236">
        <v>472.55799999999999</v>
      </c>
      <c r="H232" s="123">
        <f>+I232</f>
        <v>493.07400000000001</v>
      </c>
      <c r="I232" s="237">
        <v>493.07400000000001</v>
      </c>
      <c r="J232" s="235">
        <v>457.863</v>
      </c>
      <c r="K232" s="236">
        <v>496.47399999999999</v>
      </c>
      <c r="L232" s="236">
        <v>505.66399999999999</v>
      </c>
      <c r="M232" s="123">
        <f>+N232</f>
        <v>502.678</v>
      </c>
      <c r="N232" s="237">
        <v>502.678</v>
      </c>
      <c r="O232" s="235">
        <v>509.053</v>
      </c>
      <c r="P232" s="236">
        <v>509.43799999999999</v>
      </c>
      <c r="Q232" s="236">
        <v>521.32899999999995</v>
      </c>
      <c r="R232" s="123">
        <f>+S232</f>
        <v>521.15300000000002</v>
      </c>
      <c r="S232" s="237">
        <v>521.15300000000002</v>
      </c>
      <c r="T232" s="235">
        <v>527.93100000000004</v>
      </c>
      <c r="U232" s="236">
        <v>527.774</v>
      </c>
      <c r="V232" s="236">
        <v>516.98900000000003</v>
      </c>
      <c r="W232" s="123">
        <f>+X232</f>
        <v>517.10599999999999</v>
      </c>
      <c r="X232" s="237">
        <v>517.10599999999999</v>
      </c>
      <c r="Y232" s="235">
        <v>549.29100000000005</v>
      </c>
      <c r="Z232" s="236">
        <v>577.19100000000003</v>
      </c>
      <c r="AA232" s="236">
        <v>588.57399999999996</v>
      </c>
      <c r="AB232" s="123">
        <f>+AC232</f>
        <v>604.28200000000004</v>
      </c>
      <c r="AC232" s="237">
        <v>604.28200000000004</v>
      </c>
      <c r="AD232" s="235">
        <v>620.47900000000004</v>
      </c>
      <c r="AE232" s="236">
        <v>636.755</v>
      </c>
      <c r="AF232" s="236">
        <v>692.851</v>
      </c>
      <c r="AG232" s="123">
        <f>+AH232</f>
        <v>697.68899999999996</v>
      </c>
      <c r="AH232" s="237">
        <v>697.68899999999996</v>
      </c>
      <c r="AI232" s="235">
        <v>731.87</v>
      </c>
      <c r="AJ232" s="236">
        <v>736.83600000000001</v>
      </c>
      <c r="AK232" s="236">
        <v>748.60699999999997</v>
      </c>
      <c r="AL232" s="123">
        <f>+AM232</f>
        <v>790.38499999999999</v>
      </c>
      <c r="AM232" s="237">
        <v>790.38499999999999</v>
      </c>
      <c r="AN232" s="235">
        <v>795.50599999999997</v>
      </c>
      <c r="AO232" s="236">
        <v>800.24</v>
      </c>
      <c r="AP232" s="236">
        <v>810.62</v>
      </c>
      <c r="AQ232" s="123">
        <f>+AR232</f>
        <v>811.85</v>
      </c>
      <c r="AR232" s="237">
        <v>811.85</v>
      </c>
      <c r="AS232" s="235">
        <v>836.21600000000001</v>
      </c>
      <c r="AT232" s="236">
        <v>821.65099999999995</v>
      </c>
      <c r="AU232" s="236">
        <v>833.29399999999998</v>
      </c>
      <c r="AV232" s="123">
        <f>+AW232</f>
        <v>876.58900000000006</v>
      </c>
      <c r="AW232" s="237">
        <v>876.58900000000006</v>
      </c>
      <c r="AX232" s="121">
        <f>+AW232+AX195+AX211</f>
        <v>891.60989888743086</v>
      </c>
      <c r="AY232" s="122">
        <f>+AX232+AY195+AY211</f>
        <v>895.83261668656405</v>
      </c>
      <c r="AZ232" s="122">
        <f>+AY232+AZ195+AZ211</f>
        <v>905.93909061244244</v>
      </c>
      <c r="BA232" s="123">
        <f>+AZ232+BA195+BA211</f>
        <v>917.07802540081946</v>
      </c>
      <c r="BB232" s="86">
        <f>+BA232</f>
        <v>917.07802540081946</v>
      </c>
      <c r="BC232" s="121">
        <f>+BB232+BC195+BC211</f>
        <v>935.19353300689227</v>
      </c>
      <c r="BD232" s="122">
        <f>+BC232+BD195+BD211</f>
        <v>941.36420892803721</v>
      </c>
      <c r="BE232" s="122">
        <f>+BD232+BE195+BE211</f>
        <v>953.13601229353583</v>
      </c>
      <c r="BF232" s="123">
        <f>+BE232+BF195+BF211</f>
        <v>966.48050669755685</v>
      </c>
      <c r="BG232" s="86">
        <f>+BF232</f>
        <v>966.48050669755685</v>
      </c>
      <c r="BH232" s="121">
        <f>+BG232+BH195+BH211</f>
        <v>982.76165902013224</v>
      </c>
      <c r="BI232" s="122">
        <f>+BH232+BI195+BI211</f>
        <v>986.1694504874946</v>
      </c>
      <c r="BJ232" s="122">
        <f>+BI232+BJ195+BJ211</f>
        <v>995.32711134775798</v>
      </c>
      <c r="BK232" s="123">
        <f>+BJ232+BK195+BK211</f>
        <v>1006.5592441337964</v>
      </c>
      <c r="BL232" s="86">
        <f>+BK232</f>
        <v>1006.5592441337964</v>
      </c>
      <c r="BM232" s="121">
        <f>+BL232+BM195+BM211</f>
        <v>1027.7489542927458</v>
      </c>
      <c r="BN232" s="122">
        <f>+BM232+BN195+BN211</f>
        <v>1035.4260667819997</v>
      </c>
      <c r="BO232" s="122">
        <f>+BN232+BO195+BO211</f>
        <v>1048.8004093849513</v>
      </c>
      <c r="BP232" s="123">
        <f>+BO232+BP195+BP211</f>
        <v>1064.7523966610715</v>
      </c>
      <c r="BQ232" s="86">
        <f>+BP232</f>
        <v>1064.7523966610715</v>
      </c>
      <c r="BR232" s="220"/>
      <c r="BS232" s="220"/>
      <c r="BT232" s="220"/>
      <c r="BU232" s="220"/>
      <c r="BV232" s="220"/>
      <c r="BW232" s="220"/>
      <c r="BX232" s="220"/>
      <c r="BY232" s="220"/>
      <c r="BZ232" s="220"/>
      <c r="CA232" s="220"/>
      <c r="CB232" s="220"/>
      <c r="CC232" s="220"/>
      <c r="CD232" s="220"/>
      <c r="CE232" s="220"/>
      <c r="CF232" s="220"/>
      <c r="CG232" s="220"/>
      <c r="CH232" s="220"/>
      <c r="CI232" s="220"/>
      <c r="CJ232" s="220"/>
      <c r="CK232" s="220"/>
      <c r="CL232" s="220"/>
      <c r="CM232" s="220"/>
      <c r="CN232" s="220"/>
      <c r="CO232" s="220"/>
      <c r="CP232" s="220"/>
      <c r="CQ232" s="220"/>
      <c r="CR232" s="220"/>
      <c r="CS232" s="220"/>
      <c r="CT232" s="220"/>
      <c r="CU232" s="220"/>
      <c r="CV232" s="220"/>
      <c r="CW232" s="220"/>
      <c r="CX232" s="220"/>
      <c r="CY232" s="220"/>
      <c r="CZ232" s="220"/>
    </row>
    <row r="233" spans="1:104" x14ac:dyDescent="0.2">
      <c r="A233" s="45"/>
      <c r="B233" s="45"/>
      <c r="C233" s="248" t="s">
        <v>234</v>
      </c>
      <c r="D233" s="45"/>
      <c r="E233" s="249">
        <f t="shared" ref="E233:T233" si="576">+E232/E235</f>
        <v>0.56017298932012061</v>
      </c>
      <c r="F233" s="250">
        <f t="shared" si="576"/>
        <v>0.55817124897304116</v>
      </c>
      <c r="G233" s="250">
        <f t="shared" si="576"/>
        <v>0.56085310419312351</v>
      </c>
      <c r="H233" s="251">
        <f t="shared" si="576"/>
        <v>0.56125720959298453</v>
      </c>
      <c r="I233" s="252">
        <f t="shared" si="576"/>
        <v>0.56125720959298453</v>
      </c>
      <c r="J233" s="249">
        <f t="shared" si="576"/>
        <v>0.54157923498560478</v>
      </c>
      <c r="K233" s="250">
        <f t="shared" si="576"/>
        <v>0.57300712343439097</v>
      </c>
      <c r="L233" s="250">
        <f t="shared" si="576"/>
        <v>0.57491805384854144</v>
      </c>
      <c r="M233" s="251">
        <f t="shared" si="576"/>
        <v>0.55264604478530843</v>
      </c>
      <c r="N233" s="252">
        <f t="shared" si="576"/>
        <v>0.55264604478530843</v>
      </c>
      <c r="O233" s="249">
        <f t="shared" si="576"/>
        <v>0.55941611390240575</v>
      </c>
      <c r="P233" s="250">
        <f t="shared" si="576"/>
        <v>0.5571476692097711</v>
      </c>
      <c r="Q233" s="250">
        <f>+Q232/Q235</f>
        <v>0.56745021889102465</v>
      </c>
      <c r="R233" s="251">
        <f t="shared" si="576"/>
        <v>0.54455696943225962</v>
      </c>
      <c r="S233" s="252">
        <f>+S232/S235</f>
        <v>0.54455696943225962</v>
      </c>
      <c r="T233" s="249">
        <f t="shared" si="576"/>
        <v>0.54489859742522406</v>
      </c>
      <c r="U233" s="250">
        <f t="shared" ref="U233:AJ233" si="577">+U232/U235</f>
        <v>0.54035619397674861</v>
      </c>
      <c r="V233" s="250">
        <f t="shared" si="577"/>
        <v>0.52436045933736475</v>
      </c>
      <c r="W233" s="251">
        <f t="shared" si="577"/>
        <v>0.50438589218498675</v>
      </c>
      <c r="X233" s="252">
        <f t="shared" si="577"/>
        <v>0.50438589218498675</v>
      </c>
      <c r="Y233" s="249">
        <f t="shared" si="577"/>
        <v>0.52845761542702063</v>
      </c>
      <c r="Z233" s="250">
        <f t="shared" si="577"/>
        <v>0.55061921778798728</v>
      </c>
      <c r="AA233" s="250">
        <f t="shared" si="577"/>
        <v>0.55075992506489446</v>
      </c>
      <c r="AB233" s="251">
        <f t="shared" si="577"/>
        <v>0.52944541941159096</v>
      </c>
      <c r="AC233" s="252">
        <f t="shared" si="577"/>
        <v>0.52944541941159096</v>
      </c>
      <c r="AD233" s="249">
        <f t="shared" si="577"/>
        <v>0.53097698793644488</v>
      </c>
      <c r="AE233" s="250">
        <f t="shared" si="577"/>
        <v>0.5236334241204178</v>
      </c>
      <c r="AF233" s="250">
        <f t="shared" si="577"/>
        <v>0.54570149930847189</v>
      </c>
      <c r="AG233" s="251">
        <f t="shared" si="577"/>
        <v>0.51892850767582999</v>
      </c>
      <c r="AH233" s="252">
        <f t="shared" si="577"/>
        <v>0.51892850767582999</v>
      </c>
      <c r="AI233" s="249">
        <f t="shared" si="577"/>
        <v>0.53007439017942426</v>
      </c>
      <c r="AJ233" s="250">
        <f t="shared" si="577"/>
        <v>0.52449106992231964</v>
      </c>
      <c r="AK233" s="250">
        <f t="shared" ref="AK233:AU233" si="578">+AK232/AK235</f>
        <v>0.52842275118904591</v>
      </c>
      <c r="AL233" s="251">
        <f t="shared" si="578"/>
        <v>0.53823414446794571</v>
      </c>
      <c r="AM233" s="252">
        <f t="shared" si="578"/>
        <v>0.53823414446794571</v>
      </c>
      <c r="AN233" s="249">
        <f t="shared" si="578"/>
        <v>0.54351875005978323</v>
      </c>
      <c r="AO233" s="250">
        <f t="shared" si="578"/>
        <v>0.54381789738787467</v>
      </c>
      <c r="AP233" s="250">
        <f t="shared" si="578"/>
        <v>0.54843733720148247</v>
      </c>
      <c r="AQ233" s="251">
        <f t="shared" si="578"/>
        <v>0.52874817883587477</v>
      </c>
      <c r="AR233" s="252">
        <f t="shared" si="578"/>
        <v>0.52874817883587477</v>
      </c>
      <c r="AS233" s="249">
        <f t="shared" si="578"/>
        <v>0.54549427868209743</v>
      </c>
      <c r="AT233" s="250">
        <f t="shared" si="578"/>
        <v>0.53648225036939634</v>
      </c>
      <c r="AU233" s="250">
        <f t="shared" si="578"/>
        <v>0.52430356092327923</v>
      </c>
      <c r="AV233" s="251">
        <f t="shared" ref="AV233:AW233" si="579">+AV232/AV235</f>
        <v>0.53150153189079519</v>
      </c>
      <c r="AW233" s="252">
        <f t="shared" si="579"/>
        <v>0.53150153189079519</v>
      </c>
      <c r="AX233" s="249">
        <f t="shared" ref="AX233:BG233" si="580">+AX232/AX235</f>
        <v>0.53312788056547089</v>
      </c>
      <c r="AY233" s="250">
        <f t="shared" si="580"/>
        <v>0.52678526155181404</v>
      </c>
      <c r="AZ233" s="250">
        <f t="shared" si="580"/>
        <v>0.52483250235455237</v>
      </c>
      <c r="BA233" s="251">
        <f t="shared" si="580"/>
        <v>0.52378403886596869</v>
      </c>
      <c r="BB233" s="252">
        <f t="shared" si="580"/>
        <v>0.52378403886596869</v>
      </c>
      <c r="BC233" s="249">
        <f t="shared" si="580"/>
        <v>0.52743009906559546</v>
      </c>
      <c r="BD233" s="250">
        <f t="shared" si="580"/>
        <v>0.52324968924207327</v>
      </c>
      <c r="BE233" s="250">
        <f t="shared" si="580"/>
        <v>0.52295640663356802</v>
      </c>
      <c r="BF233" s="251">
        <f t="shared" si="580"/>
        <v>0.52381289589452773</v>
      </c>
      <c r="BG233" s="252">
        <f t="shared" si="580"/>
        <v>0.52381289589452773</v>
      </c>
      <c r="BH233" s="249">
        <f t="shared" ref="BH233:BQ233" si="581">+BH232/BH235</f>
        <v>0.52772283999402747</v>
      </c>
      <c r="BI233" s="250">
        <f t="shared" si="581"/>
        <v>0.5235958546317141</v>
      </c>
      <c r="BJ233" s="250">
        <f t="shared" si="581"/>
        <v>0.5220683969251686</v>
      </c>
      <c r="BK233" s="251">
        <f t="shared" si="581"/>
        <v>0.52429291887673457</v>
      </c>
      <c r="BL233" s="252">
        <f t="shared" si="581"/>
        <v>0.52429291887673457</v>
      </c>
      <c r="BM233" s="249">
        <f t="shared" si="581"/>
        <v>0.52851976768678732</v>
      </c>
      <c r="BN233" s="250">
        <f t="shared" si="581"/>
        <v>0.52454971460679334</v>
      </c>
      <c r="BO233" s="250">
        <f t="shared" si="581"/>
        <v>0.52179633417714821</v>
      </c>
      <c r="BP233" s="251">
        <f t="shared" si="581"/>
        <v>0.52551186856337639</v>
      </c>
      <c r="BQ233" s="252">
        <f t="shared" si="581"/>
        <v>0.52551186856337639</v>
      </c>
      <c r="BR233" s="45"/>
      <c r="BS233" s="45"/>
      <c r="BT233" s="45"/>
      <c r="BU233" s="45"/>
      <c r="BV233" s="45"/>
      <c r="BW233" s="45"/>
      <c r="BX233" s="45"/>
      <c r="BY233" s="45"/>
      <c r="BZ233" s="45"/>
      <c r="CA233" s="45"/>
      <c r="CB233" s="45"/>
      <c r="CC233" s="45"/>
      <c r="CD233" s="45"/>
      <c r="CE233" s="45"/>
      <c r="CF233" s="45"/>
      <c r="CG233" s="45"/>
      <c r="CH233" s="45"/>
      <c r="CI233" s="45"/>
      <c r="CJ233" s="45"/>
      <c r="CK233" s="45"/>
      <c r="CL233" s="45"/>
      <c r="CM233" s="45"/>
      <c r="CN233" s="45"/>
      <c r="CO233" s="45"/>
      <c r="CP233" s="45"/>
      <c r="CQ233" s="45"/>
      <c r="CR233" s="45"/>
      <c r="CS233" s="45"/>
      <c r="CT233" s="45"/>
      <c r="CU233" s="45"/>
      <c r="CV233" s="45"/>
      <c r="CW233" s="45"/>
      <c r="CX233" s="45"/>
      <c r="CY233" s="45"/>
      <c r="CZ233" s="45"/>
    </row>
    <row r="234" spans="1:104" x14ac:dyDescent="0.2">
      <c r="A234" s="20"/>
      <c r="B234" s="20"/>
      <c r="C234" s="70"/>
      <c r="D234" s="20"/>
      <c r="E234" s="203"/>
      <c r="F234" s="204"/>
      <c r="G234" s="204"/>
      <c r="H234" s="205"/>
      <c r="I234" s="206"/>
      <c r="J234" s="203"/>
      <c r="K234" s="204"/>
      <c r="L234" s="204"/>
      <c r="M234" s="205"/>
      <c r="N234" s="206"/>
      <c r="O234" s="203"/>
      <c r="P234" s="204"/>
      <c r="Q234" s="204"/>
      <c r="R234" s="205"/>
      <c r="S234" s="206"/>
      <c r="T234" s="203"/>
      <c r="U234" s="204"/>
      <c r="V234" s="204"/>
      <c r="W234" s="205"/>
      <c r="X234" s="206"/>
      <c r="Y234" s="203"/>
      <c r="Z234" s="204"/>
      <c r="AA234" s="204"/>
      <c r="AB234" s="205"/>
      <c r="AC234" s="206"/>
      <c r="AD234" s="203"/>
      <c r="AE234" s="204"/>
      <c r="AF234" s="204"/>
      <c r="AG234" s="205"/>
      <c r="AH234" s="206"/>
      <c r="AI234" s="203"/>
      <c r="AJ234" s="204"/>
      <c r="AK234" s="204"/>
      <c r="AL234" s="205"/>
      <c r="AM234" s="206"/>
      <c r="AN234" s="203"/>
      <c r="AO234" s="204"/>
      <c r="AP234" s="204"/>
      <c r="AQ234" s="205"/>
      <c r="AR234" s="206"/>
      <c r="AS234" s="203"/>
      <c r="AT234" s="204"/>
      <c r="AU234" s="204"/>
      <c r="AV234" s="205"/>
      <c r="AW234" s="206"/>
      <c r="AX234" s="203"/>
      <c r="AY234" s="204"/>
      <c r="AZ234" s="204"/>
      <c r="BA234" s="205"/>
      <c r="BB234" s="206"/>
      <c r="BC234" s="203"/>
      <c r="BD234" s="204"/>
      <c r="BE234" s="204"/>
      <c r="BF234" s="205"/>
      <c r="BG234" s="206"/>
      <c r="BH234" s="203"/>
      <c r="BI234" s="204"/>
      <c r="BJ234" s="204"/>
      <c r="BK234" s="205"/>
      <c r="BL234" s="206"/>
      <c r="BM234" s="203"/>
      <c r="BN234" s="204"/>
      <c r="BO234" s="204"/>
      <c r="BP234" s="205"/>
      <c r="BQ234" s="206"/>
      <c r="BR234" s="20"/>
      <c r="BS234" s="20"/>
      <c r="BT234" s="20"/>
      <c r="BU234" s="20"/>
      <c r="BV234" s="20"/>
      <c r="BW234" s="20"/>
      <c r="BX234" s="20"/>
      <c r="BY234" s="20"/>
      <c r="BZ234" s="20"/>
      <c r="CA234" s="20"/>
      <c r="CB234" s="20"/>
      <c r="CC234" s="20"/>
      <c r="CD234" s="20"/>
      <c r="CE234" s="20"/>
      <c r="CF234" s="20"/>
      <c r="CG234" s="20"/>
      <c r="CH234" s="20"/>
      <c r="CI234" s="20"/>
      <c r="CJ234" s="20"/>
      <c r="CK234" s="20"/>
      <c r="CL234" s="20"/>
      <c r="CM234" s="20"/>
      <c r="CN234" s="20"/>
      <c r="CO234" s="20"/>
      <c r="CP234" s="20"/>
      <c r="CQ234" s="20"/>
      <c r="CR234" s="20"/>
      <c r="CS234" s="20"/>
      <c r="CT234" s="20"/>
      <c r="CU234" s="20"/>
      <c r="CV234" s="20"/>
      <c r="CW234" s="20"/>
      <c r="CX234" s="20"/>
      <c r="CY234" s="20"/>
      <c r="CZ234" s="20"/>
    </row>
    <row r="235" spans="1:104" x14ac:dyDescent="0.2">
      <c r="A235" s="220"/>
      <c r="B235" s="220"/>
      <c r="C235" s="141" t="s">
        <v>54</v>
      </c>
      <c r="D235" s="82"/>
      <c r="E235" s="121">
        <f>+E232+E229+E226</f>
        <v>841.20799999999997</v>
      </c>
      <c r="F235" s="122">
        <f>+F232+F229+F226</f>
        <v>837.42399999999998</v>
      </c>
      <c r="G235" s="122">
        <f>+G232+G229+G226</f>
        <v>842.56999999999994</v>
      </c>
      <c r="H235" s="123">
        <f>+I235</f>
        <v>878.51700000000005</v>
      </c>
      <c r="I235" s="86">
        <f>+I232+I229+I226</f>
        <v>878.51700000000005</v>
      </c>
      <c r="J235" s="121">
        <f>+J232+J229+J226</f>
        <v>845.42200000000003</v>
      </c>
      <c r="K235" s="122">
        <f>+K232+K229+K226</f>
        <v>866.43600000000004</v>
      </c>
      <c r="L235" s="122">
        <f>+L232+L229+L226</f>
        <v>879.54099999999994</v>
      </c>
      <c r="M235" s="123">
        <f>+N235</f>
        <v>909.58400000000006</v>
      </c>
      <c r="N235" s="86">
        <f>+N232+N229+N226</f>
        <v>909.58400000000006</v>
      </c>
      <c r="O235" s="121">
        <f>+O232+O229+O226</f>
        <v>909.97199999999998</v>
      </c>
      <c r="P235" s="122">
        <f>+P232+P229+P226</f>
        <v>914.36799999999994</v>
      </c>
      <c r="Q235" s="122">
        <f>+Q232+Q229+Q226</f>
        <v>918.72199999999998</v>
      </c>
      <c r="R235" s="123">
        <f>+S235</f>
        <v>957.02200000000005</v>
      </c>
      <c r="S235" s="86">
        <f>+S232+S229+S226</f>
        <v>957.02200000000005</v>
      </c>
      <c r="T235" s="121">
        <f>+T232+T229+T226</f>
        <v>968.8610000000001</v>
      </c>
      <c r="U235" s="122">
        <f>+U232+U229+U226</f>
        <v>976.71500000000003</v>
      </c>
      <c r="V235" s="122">
        <f>+V232+V229+V226</f>
        <v>985.94200000000001</v>
      </c>
      <c r="W235" s="123">
        <f>+X235</f>
        <v>1025.2190000000001</v>
      </c>
      <c r="X235" s="86">
        <f>+X232+X229+X226</f>
        <v>1025.2190000000001</v>
      </c>
      <c r="Y235" s="121">
        <f>+Y232+Y229+Y226</f>
        <v>1039.423</v>
      </c>
      <c r="Z235" s="122">
        <f>+Z232+Z229+Z226</f>
        <v>1048.258</v>
      </c>
      <c r="AA235" s="122">
        <f>+AA232+AA229+AA226</f>
        <v>1068.6579999999999</v>
      </c>
      <c r="AB235" s="123">
        <f>+AC235</f>
        <v>1141.3490000000002</v>
      </c>
      <c r="AC235" s="86">
        <f>+AC232+AC229+AC226</f>
        <v>1141.3490000000002</v>
      </c>
      <c r="AD235" s="121">
        <f>+AD232+AD229+AD226</f>
        <v>1168.5610000000001</v>
      </c>
      <c r="AE235" s="122">
        <f>+AE232+AE229+AE226</f>
        <v>1216.0320000000002</v>
      </c>
      <c r="AF235" s="122">
        <f>+AF232+AF229+AF226</f>
        <v>1269.652</v>
      </c>
      <c r="AG235" s="123">
        <f>+AH235</f>
        <v>1344.48</v>
      </c>
      <c r="AH235" s="86">
        <f>+AH232+AH229+AH226</f>
        <v>1344.48</v>
      </c>
      <c r="AI235" s="121">
        <f>+AI232+AI229+AI226</f>
        <v>1380.6930000000002</v>
      </c>
      <c r="AJ235" s="122">
        <f>+AJ232+AJ229+AJ226</f>
        <v>1404.8589999999999</v>
      </c>
      <c r="AK235" s="122">
        <f>+AK232+AK229+AK226</f>
        <v>1416.682</v>
      </c>
      <c r="AL235" s="123">
        <f>+AM235</f>
        <v>1468.4780000000001</v>
      </c>
      <c r="AM235" s="86">
        <f>+AM232+AM229+AM226</f>
        <v>1468.4780000000001</v>
      </c>
      <c r="AN235" s="121">
        <f>+AN232+AN229+AN226</f>
        <v>1463.6219999999998</v>
      </c>
      <c r="AO235" s="122">
        <f>+AO232+AO229+AO226</f>
        <v>1471.5219999999999</v>
      </c>
      <c r="AP235" s="122">
        <f>+AP232+AP229+AP226</f>
        <v>1478.0540000000001</v>
      </c>
      <c r="AQ235" s="123">
        <f>+AR235</f>
        <v>1535.4190000000001</v>
      </c>
      <c r="AR235" s="86">
        <f>+AR232+AR229+AR226</f>
        <v>1535.4190000000001</v>
      </c>
      <c r="AS235" s="121">
        <f>+AS232+AS229+AS226</f>
        <v>1532.951</v>
      </c>
      <c r="AT235" s="122">
        <f>+AT232+AT229+AT226</f>
        <v>1531.5529999999999</v>
      </c>
      <c r="AU235" s="122">
        <f>+AU232+AU229+AU226</f>
        <v>1589.335</v>
      </c>
      <c r="AV235" s="123">
        <f>+AW235</f>
        <v>1649.2690000000002</v>
      </c>
      <c r="AW235" s="86">
        <f>+AW232+AW229+AW226</f>
        <v>1649.2690000000002</v>
      </c>
      <c r="AX235" s="121">
        <f>+AX232+AX229+AX226</f>
        <v>1672.4128138669657</v>
      </c>
      <c r="AY235" s="122">
        <f>+AY232+AY229+AY226</f>
        <v>1700.5650728488554</v>
      </c>
      <c r="AZ235" s="122">
        <f>+AZ232+AZ229+AZ226</f>
        <v>1726.1489838150919</v>
      </c>
      <c r="BA235" s="123">
        <f>+BB235</f>
        <v>1750.8705064521657</v>
      </c>
      <c r="BB235" s="86">
        <f>+BB232+BB229+BB226</f>
        <v>1750.8705064521657</v>
      </c>
      <c r="BC235" s="121">
        <f>+BC232+BC229+BC226</f>
        <v>1773.1136972722977</v>
      </c>
      <c r="BD235" s="122">
        <f>+BD232+BD229+BD226</f>
        <v>1799.0726574374128</v>
      </c>
      <c r="BE235" s="122">
        <f>+BE232+BE229+BE226</f>
        <v>1822.5917116670716</v>
      </c>
      <c r="BF235" s="123">
        <f>+BG235</f>
        <v>1845.0872711850193</v>
      </c>
      <c r="BG235" s="86">
        <f>+BG232+BG229+BG226</f>
        <v>1845.0872711850193</v>
      </c>
      <c r="BH235" s="121">
        <f>+BH232+BH229+BH226</f>
        <v>1862.2685708112513</v>
      </c>
      <c r="BI235" s="122">
        <f>+BI232+BI229+BI226</f>
        <v>1883.4554203664288</v>
      </c>
      <c r="BJ235" s="122">
        <f>+BJ232+BJ229+BJ226</f>
        <v>1906.5071113477579</v>
      </c>
      <c r="BK235" s="123">
        <f>+BL235</f>
        <v>1919.8413861668928</v>
      </c>
      <c r="BL235" s="86">
        <f>+BL232+BL229+BL226</f>
        <v>1919.8413861668928</v>
      </c>
      <c r="BM235" s="121">
        <f>+BM232+BM229+BM226</f>
        <v>1944.5799705675586</v>
      </c>
      <c r="BN235" s="122">
        <f>+BN232+BN229+BN226</f>
        <v>1973.9331429398703</v>
      </c>
      <c r="BO235" s="122">
        <f>+BO232+BO229+BO226</f>
        <v>2009.9804093849514</v>
      </c>
      <c r="BP235" s="123">
        <f>+BQ235</f>
        <v>2026.1243567568695</v>
      </c>
      <c r="BQ235" s="86">
        <f>+BQ232+BQ229+BQ226</f>
        <v>2026.1243567568695</v>
      </c>
      <c r="BR235" s="220"/>
      <c r="BS235" s="220"/>
      <c r="BT235" s="220"/>
      <c r="BU235" s="220"/>
      <c r="BV235" s="220"/>
      <c r="BW235" s="220"/>
      <c r="BX235" s="220"/>
      <c r="BY235" s="220"/>
      <c r="BZ235" s="220"/>
      <c r="CA235" s="220"/>
      <c r="CB235" s="220"/>
      <c r="CC235" s="220"/>
      <c r="CD235" s="220"/>
      <c r="CE235" s="220"/>
      <c r="CF235" s="220"/>
      <c r="CG235" s="220"/>
      <c r="CH235" s="220"/>
      <c r="CI235" s="220"/>
      <c r="CJ235" s="220"/>
      <c r="CK235" s="220"/>
      <c r="CL235" s="220"/>
      <c r="CM235" s="220"/>
      <c r="CN235" s="220"/>
      <c r="CO235" s="220"/>
      <c r="CP235" s="220"/>
      <c r="CQ235" s="220"/>
      <c r="CR235" s="220"/>
      <c r="CS235" s="220"/>
      <c r="CT235" s="220"/>
      <c r="CU235" s="220"/>
      <c r="CV235" s="220"/>
      <c r="CW235" s="220"/>
      <c r="CX235" s="220"/>
      <c r="CY235" s="220"/>
      <c r="CZ235" s="220"/>
    </row>
    <row r="236" spans="1:104" x14ac:dyDescent="0.2">
      <c r="A236" s="45"/>
      <c r="B236" s="45"/>
      <c r="C236" s="248" t="s">
        <v>234</v>
      </c>
      <c r="D236" s="45"/>
      <c r="E236" s="249">
        <f t="shared" ref="E236:T236" si="582">(E226+E229+E232)/E235</f>
        <v>1</v>
      </c>
      <c r="F236" s="250">
        <f t="shared" si="582"/>
        <v>1</v>
      </c>
      <c r="G236" s="250">
        <f t="shared" si="582"/>
        <v>1</v>
      </c>
      <c r="H236" s="251">
        <f t="shared" si="582"/>
        <v>1</v>
      </c>
      <c r="I236" s="252">
        <f t="shared" si="582"/>
        <v>1</v>
      </c>
      <c r="J236" s="249">
        <f t="shared" si="582"/>
        <v>1</v>
      </c>
      <c r="K236" s="250">
        <f t="shared" si="582"/>
        <v>1</v>
      </c>
      <c r="L236" s="250">
        <f t="shared" si="582"/>
        <v>1</v>
      </c>
      <c r="M236" s="251">
        <f t="shared" si="582"/>
        <v>1</v>
      </c>
      <c r="N236" s="252">
        <f t="shared" si="582"/>
        <v>1</v>
      </c>
      <c r="O236" s="249">
        <f t="shared" si="582"/>
        <v>1</v>
      </c>
      <c r="P236" s="250">
        <f t="shared" si="582"/>
        <v>1</v>
      </c>
      <c r="Q236" s="250">
        <f>(Q226+Q229+Q232)/Q235</f>
        <v>1</v>
      </c>
      <c r="R236" s="251">
        <f t="shared" si="582"/>
        <v>1</v>
      </c>
      <c r="S236" s="252">
        <f>(S226+S229+S232)/S235</f>
        <v>1</v>
      </c>
      <c r="T236" s="249">
        <f t="shared" si="582"/>
        <v>1</v>
      </c>
      <c r="U236" s="250">
        <f t="shared" ref="U236:AJ236" si="583">(U226+U229+U232)/U235</f>
        <v>1</v>
      </c>
      <c r="V236" s="250">
        <f t="shared" si="583"/>
        <v>1</v>
      </c>
      <c r="W236" s="251">
        <f t="shared" si="583"/>
        <v>1</v>
      </c>
      <c r="X236" s="252">
        <f t="shared" si="583"/>
        <v>1</v>
      </c>
      <c r="Y236" s="249">
        <f t="shared" si="583"/>
        <v>1</v>
      </c>
      <c r="Z236" s="250">
        <f t="shared" si="583"/>
        <v>1</v>
      </c>
      <c r="AA236" s="250">
        <f t="shared" si="583"/>
        <v>1</v>
      </c>
      <c r="AB236" s="251">
        <f t="shared" si="583"/>
        <v>1</v>
      </c>
      <c r="AC236" s="252">
        <f t="shared" si="583"/>
        <v>1</v>
      </c>
      <c r="AD236" s="249">
        <f t="shared" si="583"/>
        <v>1</v>
      </c>
      <c r="AE236" s="250">
        <f t="shared" si="583"/>
        <v>1</v>
      </c>
      <c r="AF236" s="250">
        <f t="shared" si="583"/>
        <v>1</v>
      </c>
      <c r="AG236" s="251">
        <f t="shared" si="583"/>
        <v>1</v>
      </c>
      <c r="AH236" s="252">
        <f t="shared" si="583"/>
        <v>1</v>
      </c>
      <c r="AI236" s="249">
        <f t="shared" si="583"/>
        <v>1</v>
      </c>
      <c r="AJ236" s="250">
        <f t="shared" si="583"/>
        <v>1</v>
      </c>
      <c r="AK236" s="250">
        <f t="shared" ref="AK236:AU236" si="584">(AK226+AK229+AK232)/AK235</f>
        <v>1</v>
      </c>
      <c r="AL236" s="251">
        <f t="shared" si="584"/>
        <v>1</v>
      </c>
      <c r="AM236" s="252">
        <f t="shared" si="584"/>
        <v>1</v>
      </c>
      <c r="AN236" s="249">
        <f t="shared" si="584"/>
        <v>1</v>
      </c>
      <c r="AO236" s="250">
        <f t="shared" si="584"/>
        <v>1</v>
      </c>
      <c r="AP236" s="250">
        <f t="shared" si="584"/>
        <v>1</v>
      </c>
      <c r="AQ236" s="251">
        <f t="shared" si="584"/>
        <v>1</v>
      </c>
      <c r="AR236" s="252">
        <f t="shared" si="584"/>
        <v>1</v>
      </c>
      <c r="AS236" s="249">
        <f t="shared" si="584"/>
        <v>1</v>
      </c>
      <c r="AT236" s="250">
        <f t="shared" si="584"/>
        <v>1</v>
      </c>
      <c r="AU236" s="250">
        <f t="shared" si="584"/>
        <v>1</v>
      </c>
      <c r="AV236" s="251">
        <f t="shared" ref="AV236:AW236" si="585">(AV226+AV229+AV232)/AV235</f>
        <v>1</v>
      </c>
      <c r="AW236" s="252">
        <f t="shared" si="585"/>
        <v>1</v>
      </c>
      <c r="AX236" s="249">
        <f t="shared" ref="AX236:BG236" si="586">(AX226+AX229+AX232)/AX235</f>
        <v>1</v>
      </c>
      <c r="AY236" s="250">
        <f t="shared" si="586"/>
        <v>1</v>
      </c>
      <c r="AZ236" s="250">
        <f t="shared" si="586"/>
        <v>1</v>
      </c>
      <c r="BA236" s="251">
        <f t="shared" si="586"/>
        <v>1</v>
      </c>
      <c r="BB236" s="252">
        <f t="shared" si="586"/>
        <v>1</v>
      </c>
      <c r="BC236" s="249">
        <f t="shared" si="586"/>
        <v>1</v>
      </c>
      <c r="BD236" s="250">
        <f t="shared" si="586"/>
        <v>1</v>
      </c>
      <c r="BE236" s="250">
        <f t="shared" si="586"/>
        <v>1</v>
      </c>
      <c r="BF236" s="251">
        <f t="shared" si="586"/>
        <v>1</v>
      </c>
      <c r="BG236" s="252">
        <f t="shared" si="586"/>
        <v>1</v>
      </c>
      <c r="BH236" s="249">
        <f t="shared" ref="BH236:BQ236" si="587">(BH226+BH229+BH232)/BH235</f>
        <v>1</v>
      </c>
      <c r="BI236" s="250">
        <f t="shared" si="587"/>
        <v>1</v>
      </c>
      <c r="BJ236" s="250">
        <f t="shared" si="587"/>
        <v>1</v>
      </c>
      <c r="BK236" s="251">
        <f t="shared" si="587"/>
        <v>1</v>
      </c>
      <c r="BL236" s="252">
        <f t="shared" si="587"/>
        <v>1</v>
      </c>
      <c r="BM236" s="249">
        <f t="shared" si="587"/>
        <v>1</v>
      </c>
      <c r="BN236" s="250">
        <f t="shared" si="587"/>
        <v>1</v>
      </c>
      <c r="BO236" s="250">
        <f t="shared" si="587"/>
        <v>1</v>
      </c>
      <c r="BP236" s="251">
        <f t="shared" si="587"/>
        <v>1</v>
      </c>
      <c r="BQ236" s="252">
        <f t="shared" si="587"/>
        <v>1</v>
      </c>
      <c r="BR236" s="45"/>
      <c r="BS236" s="45"/>
      <c r="BT236" s="45"/>
      <c r="BU236" s="45"/>
      <c r="BV236" s="45"/>
      <c r="BW236" s="45"/>
      <c r="BX236" s="45"/>
      <c r="BY236" s="45"/>
      <c r="BZ236" s="45"/>
      <c r="CA236" s="45"/>
      <c r="CB236" s="45"/>
      <c r="CC236" s="45"/>
      <c r="CD236" s="45"/>
      <c r="CE236" s="45"/>
      <c r="CF236" s="45"/>
      <c r="CG236" s="45"/>
      <c r="CH236" s="45"/>
      <c r="CI236" s="45"/>
      <c r="CJ236" s="45"/>
      <c r="CK236" s="45"/>
      <c r="CL236" s="45"/>
      <c r="CM236" s="45"/>
      <c r="CN236" s="45"/>
      <c r="CO236" s="45"/>
      <c r="CP236" s="45"/>
      <c r="CQ236" s="45"/>
      <c r="CR236" s="45"/>
      <c r="CS236" s="45"/>
      <c r="CT236" s="45"/>
      <c r="CU236" s="45"/>
      <c r="CV236" s="45"/>
      <c r="CW236" s="45"/>
      <c r="CX236" s="45"/>
      <c r="CY236" s="45"/>
      <c r="CZ236" s="45"/>
    </row>
    <row r="237" spans="1:104" x14ac:dyDescent="0.2">
      <c r="A237" s="20"/>
      <c r="B237" s="20"/>
      <c r="C237" s="20"/>
      <c r="D237" s="20"/>
      <c r="E237" s="203"/>
      <c r="F237" s="204"/>
      <c r="G237" s="204"/>
      <c r="H237" s="205"/>
      <c r="I237" s="206"/>
      <c r="J237" s="203"/>
      <c r="K237" s="204"/>
      <c r="L237" s="204"/>
      <c r="M237" s="205"/>
      <c r="N237" s="206"/>
      <c r="O237" s="203"/>
      <c r="P237" s="204"/>
      <c r="Q237" s="204"/>
      <c r="R237" s="205"/>
      <c r="S237" s="206"/>
      <c r="T237" s="203"/>
      <c r="U237" s="204"/>
      <c r="V237" s="204"/>
      <c r="W237" s="205"/>
      <c r="X237" s="206"/>
      <c r="Y237" s="203"/>
      <c r="Z237" s="204"/>
      <c r="AA237" s="204"/>
      <c r="AB237" s="205"/>
      <c r="AC237" s="206"/>
      <c r="AD237" s="203"/>
      <c r="AE237" s="204"/>
      <c r="AF237" s="204"/>
      <c r="AG237" s="205"/>
      <c r="AH237" s="206"/>
      <c r="AI237" s="203"/>
      <c r="AJ237" s="204"/>
      <c r="AK237" s="204"/>
      <c r="AL237" s="205"/>
      <c r="AM237" s="206"/>
      <c r="AN237" s="203"/>
      <c r="AO237" s="204"/>
      <c r="AP237" s="204"/>
      <c r="AQ237" s="205"/>
      <c r="AR237" s="206"/>
      <c r="AS237" s="203"/>
      <c r="AT237" s="204"/>
      <c r="AU237" s="204"/>
      <c r="AV237" s="205"/>
      <c r="AW237" s="206"/>
      <c r="AX237" s="203"/>
      <c r="AY237" s="204"/>
      <c r="AZ237" s="204"/>
      <c r="BA237" s="205"/>
      <c r="BB237" s="206"/>
      <c r="BC237" s="203"/>
      <c r="BD237" s="204"/>
      <c r="BE237" s="204"/>
      <c r="BF237" s="205"/>
      <c r="BG237" s="206"/>
      <c r="BH237" s="203"/>
      <c r="BI237" s="204"/>
      <c r="BJ237" s="204"/>
      <c r="BK237" s="205"/>
      <c r="BL237" s="206"/>
      <c r="BM237" s="203"/>
      <c r="BN237" s="204"/>
      <c r="BO237" s="204"/>
      <c r="BP237" s="205"/>
      <c r="BQ237" s="206"/>
      <c r="BR237" s="20"/>
      <c r="BS237" s="20"/>
      <c r="BT237" s="20"/>
      <c r="BU237" s="20"/>
      <c r="BV237" s="20"/>
      <c r="BW237" s="20"/>
      <c r="BX237" s="20"/>
      <c r="BY237" s="20"/>
      <c r="BZ237" s="20"/>
      <c r="CA237" s="20"/>
      <c r="CB237" s="20"/>
      <c r="CC237" s="20"/>
      <c r="CD237" s="20"/>
      <c r="CE237" s="20"/>
      <c r="CF237" s="20"/>
      <c r="CG237" s="20"/>
      <c r="CH237" s="20"/>
      <c r="CI237" s="20"/>
      <c r="CJ237" s="20"/>
      <c r="CK237" s="20"/>
      <c r="CL237" s="20"/>
      <c r="CM237" s="20"/>
      <c r="CN237" s="20"/>
      <c r="CO237" s="20"/>
      <c r="CP237" s="20"/>
      <c r="CQ237" s="20"/>
      <c r="CR237" s="20"/>
      <c r="CS237" s="20"/>
      <c r="CT237" s="20"/>
      <c r="CU237" s="20"/>
      <c r="CV237" s="20"/>
      <c r="CW237" s="20"/>
      <c r="CX237" s="20"/>
      <c r="CY237" s="20"/>
      <c r="CZ237" s="20"/>
    </row>
    <row r="238" spans="1:104" x14ac:dyDescent="0.2">
      <c r="A238" s="20"/>
      <c r="B238" s="20"/>
      <c r="C238" s="20"/>
      <c r="D238" s="20"/>
      <c r="E238" s="203"/>
      <c r="F238" s="204"/>
      <c r="G238" s="204"/>
      <c r="H238" s="205"/>
      <c r="I238" s="206"/>
      <c r="J238" s="203"/>
      <c r="K238" s="204"/>
      <c r="L238" s="204"/>
      <c r="M238" s="205"/>
      <c r="N238" s="206"/>
      <c r="O238" s="203"/>
      <c r="P238" s="204"/>
      <c r="Q238" s="204"/>
      <c r="R238" s="205"/>
      <c r="S238" s="206"/>
      <c r="T238" s="203"/>
      <c r="U238" s="204"/>
      <c r="V238" s="204"/>
      <c r="W238" s="205"/>
      <c r="X238" s="206"/>
      <c r="Y238" s="203"/>
      <c r="Z238" s="204"/>
      <c r="AA238" s="204"/>
      <c r="AB238" s="205"/>
      <c r="AC238" s="206"/>
      <c r="AD238" s="203"/>
      <c r="AE238" s="204"/>
      <c r="AF238" s="204"/>
      <c r="AG238" s="205"/>
      <c r="AH238" s="206"/>
      <c r="AI238" s="203"/>
      <c r="AJ238" s="204"/>
      <c r="AK238" s="204"/>
      <c r="AL238" s="205"/>
      <c r="AM238" s="206"/>
      <c r="AN238" s="203"/>
      <c r="AO238" s="204"/>
      <c r="AP238" s="204"/>
      <c r="AQ238" s="205"/>
      <c r="AR238" s="206"/>
      <c r="AS238" s="203"/>
      <c r="AT238" s="204"/>
      <c r="AU238" s="204"/>
      <c r="AV238" s="205"/>
      <c r="AW238" s="206"/>
      <c r="AX238" s="203"/>
      <c r="AY238" s="204"/>
      <c r="AZ238" s="204"/>
      <c r="BA238" s="205"/>
      <c r="BB238" s="206"/>
      <c r="BC238" s="203"/>
      <c r="BD238" s="204"/>
      <c r="BE238" s="204"/>
      <c r="BF238" s="205"/>
      <c r="BG238" s="206"/>
      <c r="BH238" s="203"/>
      <c r="BI238" s="204"/>
      <c r="BJ238" s="204"/>
      <c r="BK238" s="205"/>
      <c r="BL238" s="206"/>
      <c r="BM238" s="203"/>
      <c r="BN238" s="204"/>
      <c r="BO238" s="204"/>
      <c r="BP238" s="205"/>
      <c r="BQ238" s="206"/>
      <c r="BR238" s="20"/>
      <c r="BS238" s="20"/>
      <c r="BT238" s="20"/>
      <c r="BU238" s="20"/>
      <c r="BV238" s="20"/>
      <c r="BW238" s="20"/>
      <c r="BX238" s="20"/>
      <c r="BY238" s="20"/>
      <c r="BZ238" s="20"/>
      <c r="CA238" s="20"/>
      <c r="CB238" s="20"/>
      <c r="CC238" s="20"/>
      <c r="CD238" s="20"/>
      <c r="CE238" s="20"/>
      <c r="CF238" s="20"/>
      <c r="CG238" s="20"/>
      <c r="CH238" s="20"/>
      <c r="CI238" s="20"/>
      <c r="CJ238" s="20"/>
      <c r="CK238" s="20"/>
      <c r="CL238" s="20"/>
      <c r="CM238" s="20"/>
      <c r="CN238" s="20"/>
      <c r="CO238" s="20"/>
      <c r="CP238" s="20"/>
      <c r="CQ238" s="20"/>
      <c r="CR238" s="20"/>
      <c r="CS238" s="20"/>
      <c r="CT238" s="20"/>
      <c r="CU238" s="20"/>
      <c r="CV238" s="20"/>
      <c r="CW238" s="20"/>
      <c r="CX238" s="20"/>
      <c r="CY238" s="20"/>
      <c r="CZ238" s="20"/>
    </row>
    <row r="239" spans="1:104" x14ac:dyDescent="0.2">
      <c r="A239" s="20"/>
      <c r="B239" s="16" t="s">
        <v>236</v>
      </c>
      <c r="C239" s="16"/>
      <c r="D239" s="17"/>
      <c r="E239" s="203"/>
      <c r="F239" s="204"/>
      <c r="G239" s="204"/>
      <c r="H239" s="205"/>
      <c r="I239" s="206"/>
      <c r="J239" s="203"/>
      <c r="K239" s="204"/>
      <c r="L239" s="204"/>
      <c r="M239" s="205"/>
      <c r="N239" s="206"/>
      <c r="O239" s="203"/>
      <c r="P239" s="204"/>
      <c r="Q239" s="204"/>
      <c r="R239" s="205"/>
      <c r="S239" s="206"/>
      <c r="T239" s="203"/>
      <c r="U239" s="204"/>
      <c r="V239" s="204"/>
      <c r="W239" s="205"/>
      <c r="X239" s="206"/>
      <c r="Y239" s="203"/>
      <c r="Z239" s="204"/>
      <c r="AA239" s="204"/>
      <c r="AB239" s="205"/>
      <c r="AC239" s="206"/>
      <c r="AD239" s="203"/>
      <c r="AE239" s="204"/>
      <c r="AF239" s="204"/>
      <c r="AG239" s="205"/>
      <c r="AH239" s="206"/>
      <c r="AI239" s="203"/>
      <c r="AJ239" s="204"/>
      <c r="AK239" s="204"/>
      <c r="AL239" s="205"/>
      <c r="AM239" s="206"/>
      <c r="AN239" s="203"/>
      <c r="AO239" s="204"/>
      <c r="AP239" s="204"/>
      <c r="AQ239" s="205"/>
      <c r="AR239" s="206"/>
      <c r="AS239" s="203"/>
      <c r="AT239" s="204"/>
      <c r="AU239" s="204"/>
      <c r="AV239" s="205"/>
      <c r="AW239" s="206"/>
      <c r="AX239" s="203"/>
      <c r="AY239" s="204"/>
      <c r="AZ239" s="204"/>
      <c r="BA239" s="205"/>
      <c r="BB239" s="206"/>
      <c r="BC239" s="203"/>
      <c r="BD239" s="204"/>
      <c r="BE239" s="204"/>
      <c r="BF239" s="205"/>
      <c r="BG239" s="206"/>
      <c r="BH239" s="203"/>
      <c r="BI239" s="204"/>
      <c r="BJ239" s="204"/>
      <c r="BK239" s="205"/>
      <c r="BL239" s="206"/>
      <c r="BM239" s="203"/>
      <c r="BN239" s="204"/>
      <c r="BO239" s="204"/>
      <c r="BP239" s="205"/>
      <c r="BQ239" s="206"/>
      <c r="BR239" s="20"/>
      <c r="BS239" s="20"/>
      <c r="BT239" s="20"/>
      <c r="BU239" s="20"/>
      <c r="BV239" s="20"/>
      <c r="BW239" s="20"/>
      <c r="BX239" s="20"/>
      <c r="BY239" s="20"/>
      <c r="BZ239" s="20"/>
      <c r="CA239" s="20"/>
      <c r="CB239" s="20"/>
      <c r="CC239" s="20"/>
      <c r="CD239" s="20"/>
      <c r="CE239" s="20"/>
      <c r="CF239" s="20"/>
      <c r="CG239" s="20"/>
      <c r="CH239" s="20"/>
      <c r="CI239" s="20"/>
      <c r="CJ239" s="20"/>
      <c r="CK239" s="20"/>
      <c r="CL239" s="20"/>
      <c r="CM239" s="20"/>
      <c r="CN239" s="20"/>
      <c r="CO239" s="20"/>
      <c r="CP239" s="20"/>
      <c r="CQ239" s="20"/>
      <c r="CR239" s="20"/>
      <c r="CS239" s="20"/>
      <c r="CT239" s="20"/>
      <c r="CU239" s="20"/>
      <c r="CV239" s="20"/>
      <c r="CW239" s="20"/>
      <c r="CX239" s="20"/>
      <c r="CY239" s="20"/>
      <c r="CZ239" s="20"/>
    </row>
    <row r="240" spans="1:104" x14ac:dyDescent="0.2">
      <c r="A240" s="220"/>
      <c r="B240" s="220"/>
      <c r="C240" s="70" t="s">
        <v>237</v>
      </c>
      <c r="D240" s="82"/>
      <c r="E240" s="136"/>
      <c r="F240" s="135"/>
      <c r="G240" s="122"/>
      <c r="H240" s="116">
        <f>SUM(E48:H48)+SUM(E20:H20)</f>
        <v>109.12000000000015</v>
      </c>
      <c r="I240" s="82">
        <f>I48+I20</f>
        <v>109.12000000000015</v>
      </c>
      <c r="J240" s="136">
        <f>SUM(J48,F48:H48)+SUM(J20,F20:H20)</f>
        <v>101.43000000000012</v>
      </c>
      <c r="K240" s="135">
        <f>SUM(J48:K48,G48:H48)+SUM(J20:K20,G20:H20)</f>
        <v>101.12300000000013</v>
      </c>
      <c r="L240" s="135">
        <f>SUM(J48:L48,H48)+SUM(J20:L20,H20)</f>
        <v>105.46500000000015</v>
      </c>
      <c r="M240" s="116">
        <f>SUM(J48:M48)+SUM(J20:M20)</f>
        <v>106.41799999999992</v>
      </c>
      <c r="N240" s="82">
        <f>N48+N20</f>
        <v>106.41799999999992</v>
      </c>
      <c r="O240" s="136">
        <f>SUM(O48,K48:M48)+SUM(O20,K20:M20)</f>
        <v>108.5259999999999</v>
      </c>
      <c r="P240" s="135">
        <f>SUM(O48:P48,L48:M48)+SUM(O20:P20,L20:M20)</f>
        <v>115.34799999999987</v>
      </c>
      <c r="Q240" s="135">
        <f>SUM(O48:Q48,M48)+SUM(O20:Q20,M20)</f>
        <v>119.24099999999987</v>
      </c>
      <c r="R240" s="116">
        <f>SUM(O48:R48)+SUM(O20:R20)</f>
        <v>119.58000000000004</v>
      </c>
      <c r="S240" s="82">
        <f>S48+S20</f>
        <v>119.58000000000004</v>
      </c>
      <c r="T240" s="136">
        <f>SUM(T48,P48:R48)+SUM(T20,P20:R20)</f>
        <v>120.08500000000006</v>
      </c>
      <c r="U240" s="135">
        <f>SUM(T48:U48,Q48:R48)+SUM(T20:U20,Q20:R20)</f>
        <v>117.53600000000012</v>
      </c>
      <c r="V240" s="135">
        <f>SUM(T48:V48,R48)+SUM(T20:V20,R20)</f>
        <v>119.79000000000008</v>
      </c>
      <c r="W240" s="116">
        <f>SUM(T48:W48)+SUM(T20:W20)</f>
        <v>119.18500000000009</v>
      </c>
      <c r="X240" s="82">
        <f>X48+X20</f>
        <v>119.18500000000009</v>
      </c>
      <c r="Y240" s="136">
        <f>SUM(Y48,U48:W48)+SUM(Y20,U20:W20)</f>
        <v>125.83800000000008</v>
      </c>
      <c r="Z240" s="135">
        <f>SUM(Y48:Z48,V48:W48)+SUM(Y20:Z20,V20:W20)</f>
        <v>132.5980000000001</v>
      </c>
      <c r="AA240" s="135">
        <f>SUM(Y48:AA48,W48)+SUM(Y20:AA20,W20)</f>
        <v>134.43200000000013</v>
      </c>
      <c r="AB240" s="116">
        <f>SUM(Y48:AB48)+SUM(Y20:AB20)</f>
        <v>136.36500000000004</v>
      </c>
      <c r="AC240" s="82">
        <f>AC48+AC20</f>
        <v>136.36500000000004</v>
      </c>
      <c r="AD240" s="136">
        <f>SUM(AD48,Z48:AB48)+SUM(AD20,Z20:AB20)</f>
        <v>141.36700000000013</v>
      </c>
      <c r="AE240" s="135">
        <f>SUM(AD48:AE48,AA48:AB48)+SUM(AD20:AE20,AA20:AB20)</f>
        <v>143.66800000000003</v>
      </c>
      <c r="AF240" s="135">
        <f>SUM(AD48:AF48,AB48)+SUM(AD20:AF20,AB20)</f>
        <v>142.26600000000008</v>
      </c>
      <c r="AG240" s="116">
        <f>SUM(AD48:AG48)+SUM(AD20:AG20)</f>
        <v>150.29600000000016</v>
      </c>
      <c r="AH240" s="82">
        <f>AH48+AH20</f>
        <v>150.29600000000016</v>
      </c>
      <c r="AI240" s="136">
        <f>SUM(AI48,AE48:AG48)+SUM(AI20,AE20:AG20)</f>
        <v>150.38200000000006</v>
      </c>
      <c r="AJ240" s="135">
        <f>SUM(AI48:AJ48,AF48:AG48)+SUM(AI20:AJ20,AF20:AG20)</f>
        <v>153.52600000000012</v>
      </c>
      <c r="AK240" s="135">
        <f>SUM(AI48:AK48,AG48)+SUM(AI20:AK20,AG20)</f>
        <v>162.80700000000007</v>
      </c>
      <c r="AL240" s="116">
        <f>SUM(AI48:AL48)+SUM(AI20:AL20)</f>
        <v>165.88100000000003</v>
      </c>
      <c r="AM240" s="82">
        <f>AM48+AM20</f>
        <v>165.88100000000003</v>
      </c>
      <c r="AN240" s="136">
        <f>SUM(AN48,AJ48:AL48)+SUM(AN20,AJ20:AL20)</f>
        <v>164.33300000000011</v>
      </c>
      <c r="AO240" s="135">
        <f>SUM(AN48:AO48,AK48:AL48)+SUM(AN20:AO20,AK20:AL20)</f>
        <v>165.63800000000006</v>
      </c>
      <c r="AP240" s="135">
        <f>SUM(AN48:AP48,AL48)+SUM(AN20:AP20,AL20)</f>
        <v>165.30800000000016</v>
      </c>
      <c r="AQ240" s="116">
        <f>SUM(AN48:AQ48)+SUM(AN20:AQ20)</f>
        <v>167.429</v>
      </c>
      <c r="AR240" s="82">
        <f>AR48+AR20</f>
        <v>167.429</v>
      </c>
      <c r="AS240" s="136">
        <f>SUM(AS48,AO48:AQ48)+SUM(AS20,AO20:AQ20)</f>
        <v>174.81699999999995</v>
      </c>
      <c r="AT240" s="135">
        <f>SUM(AS48:AT48,AP48:AQ48)+SUM(AS20:AT20,AP20:AQ20)</f>
        <v>180.34099999999995</v>
      </c>
      <c r="AU240" s="135">
        <f>SUM(AS48:AU48,AQ48)+SUM(AS20:AU20,AQ20)</f>
        <v>181.72399999999993</v>
      </c>
      <c r="AV240" s="116">
        <f>SUM(AS48:AV48)+SUM(AS20:AV20)</f>
        <v>190.63199999999995</v>
      </c>
      <c r="AW240" s="82">
        <f>AW48+AW20</f>
        <v>190.63199999999995</v>
      </c>
      <c r="AX240" s="136">
        <f>SUM(AX48,AT48:AV48)+SUM(AX20,AT20:AV20)</f>
        <v>196.45366235501029</v>
      </c>
      <c r="AY240" s="135">
        <f>SUM(AX48:AY48,AU48:AV48)+SUM(AX20:AY20,AU20:AV20)</f>
        <v>199.25965402430921</v>
      </c>
      <c r="AZ240" s="135">
        <f>SUM(AX48:AZ48,AV48)+SUM(AX20:AZ20,AV20)</f>
        <v>200.01248416985257</v>
      </c>
      <c r="BA240" s="116">
        <f>SUM(AX48:BA48)+SUM(AX20:BA20)</f>
        <v>203.60140698780106</v>
      </c>
      <c r="BB240" s="82">
        <f>BB48+BB20</f>
        <v>203.60140698780106</v>
      </c>
      <c r="BC240" s="136">
        <f>SUM(BC48,AY48:BA48)+SUM(BC20,AY20:BA20)</f>
        <v>207.10153298726752</v>
      </c>
      <c r="BD240" s="135">
        <f>SUM(BC48:BD48,AZ48:BA48)+SUM(BC20:BD20,AZ20:BA20)</f>
        <v>209.74756139669836</v>
      </c>
      <c r="BE240" s="135">
        <f>SUM(BC48:BE48,BA48)+SUM(BC20:BE20,BA20)</f>
        <v>212.0818210130297</v>
      </c>
      <c r="BF240" s="116">
        <f>SUM(BC48:BF48)+SUM(BC20:BF20)</f>
        <v>214.92760658554664</v>
      </c>
      <c r="BG240" s="82">
        <f>BG48+BG20</f>
        <v>214.92760658554664</v>
      </c>
      <c r="BH240" s="136">
        <f>SUM(BH48,BD48:BF48)+SUM(BH20,BD20:BF20)</f>
        <v>218.70520240970242</v>
      </c>
      <c r="BI240" s="135">
        <f>SUM(BH48:BI48,BE48:BF48)+SUM(BH20:BI20,BE20:BF20)</f>
        <v>221.59072845835942</v>
      </c>
      <c r="BJ240" s="135">
        <f>SUM(BH48:BJ48,BF48)+SUM(BH20:BJ20,BF20)</f>
        <v>224.55920305488002</v>
      </c>
      <c r="BK240" s="116">
        <f>SUM(BH48:BK48)+SUM(BH20:BK20)</f>
        <v>227.96464930522066</v>
      </c>
      <c r="BL240" s="82">
        <f>BL48+BL20</f>
        <v>227.96464930522066</v>
      </c>
      <c r="BM240" s="136">
        <f>SUM(BM48,BI48:BK48)+SUM(BM20,BI20:BK20)</f>
        <v>232.07717522212045</v>
      </c>
      <c r="BN240" s="135">
        <f>SUM(BM48:BN48,BJ48:BK48)+SUM(BM20:BN20,BJ20:BK20)</f>
        <v>235.16602300043962</v>
      </c>
      <c r="BO240" s="135">
        <f>SUM(BM48:BO48,BK48)+SUM(BM20:BO20,BK20)</f>
        <v>238.33207791882938</v>
      </c>
      <c r="BP240" s="116">
        <f>SUM(BM48:BP48)+SUM(BM20:BP20)</f>
        <v>242.12920970280177</v>
      </c>
      <c r="BQ240" s="82">
        <f>BQ48+BQ20</f>
        <v>242.12920970280177</v>
      </c>
      <c r="BR240" s="220"/>
      <c r="BS240" s="220"/>
      <c r="BT240" s="220"/>
      <c r="BU240" s="220"/>
      <c r="BV240" s="220"/>
      <c r="BW240" s="220"/>
      <c r="BX240" s="220"/>
      <c r="BY240" s="220"/>
      <c r="BZ240" s="220"/>
      <c r="CA240" s="220"/>
      <c r="CB240" s="220"/>
      <c r="CC240" s="220"/>
      <c r="CD240" s="220"/>
      <c r="CE240" s="220"/>
      <c r="CF240" s="220"/>
      <c r="CG240" s="220"/>
      <c r="CH240" s="220"/>
      <c r="CI240" s="220"/>
      <c r="CJ240" s="220"/>
      <c r="CK240" s="220"/>
      <c r="CL240" s="220"/>
      <c r="CM240" s="220"/>
      <c r="CN240" s="220"/>
      <c r="CO240" s="220"/>
      <c r="CP240" s="220"/>
      <c r="CQ240" s="220"/>
      <c r="CR240" s="220"/>
      <c r="CS240" s="220"/>
      <c r="CT240" s="220"/>
      <c r="CU240" s="220"/>
      <c r="CV240" s="220"/>
      <c r="CW240" s="220"/>
      <c r="CX240" s="220"/>
      <c r="CY240" s="220"/>
      <c r="CZ240" s="220"/>
    </row>
    <row r="241" spans="1:104" x14ac:dyDescent="0.2">
      <c r="A241" s="220"/>
      <c r="B241" s="220"/>
      <c r="C241" s="70" t="s">
        <v>238</v>
      </c>
      <c r="D241" s="82"/>
      <c r="E241" s="136"/>
      <c r="F241" s="135"/>
      <c r="G241" s="122"/>
      <c r="H241" s="116">
        <f>SUM(E31:H31)</f>
        <v>96.945000000000022</v>
      </c>
      <c r="I241" s="82">
        <f>+I31</f>
        <v>96.945000000000135</v>
      </c>
      <c r="J241" s="136">
        <f>SUM(J31,F31:H31)</f>
        <v>85.273000000000025</v>
      </c>
      <c r="K241" s="135">
        <f>SUM(J31:K31,G31:H31)</f>
        <v>83.864000000000019</v>
      </c>
      <c r="L241" s="135">
        <f>SUM(J31:L31,H31)</f>
        <v>91.358000000000047</v>
      </c>
      <c r="M241" s="116">
        <f>SUM(J31:M31)</f>
        <v>92.339000000000013</v>
      </c>
      <c r="N241" s="82">
        <f>+N31</f>
        <v>92.338999999999913</v>
      </c>
      <c r="O241" s="136">
        <f>SUM(O31,K31:M31)</f>
        <v>92.451999999999984</v>
      </c>
      <c r="P241" s="135">
        <f>SUM(O31:P31,L31:M31)</f>
        <v>103.08299999999996</v>
      </c>
      <c r="Q241" s="135">
        <f>SUM(O31:Q31,M31)</f>
        <v>108.56299999999999</v>
      </c>
      <c r="R241" s="116">
        <f>SUM(O31:R31)</f>
        <v>108.61299999999997</v>
      </c>
      <c r="S241" s="82">
        <f>+S31</f>
        <v>108.61300000000004</v>
      </c>
      <c r="T241" s="136">
        <f>SUM(T31,P31:R31)</f>
        <v>108.949</v>
      </c>
      <c r="U241" s="135">
        <f>SUM(T31:U31,Q31:R31)</f>
        <v>103.66200000000002</v>
      </c>
      <c r="V241" s="135">
        <f>SUM(T31:V31,R31)</f>
        <v>104.47299999999994</v>
      </c>
      <c r="W241" s="116">
        <f>SUM(T31:W31)</f>
        <v>102.44600000000008</v>
      </c>
      <c r="X241" s="82">
        <f>+X31</f>
        <v>102.4460000000001</v>
      </c>
      <c r="Y241" s="136">
        <f>SUM(Y31,U31:W31)</f>
        <v>110.49500000000009</v>
      </c>
      <c r="Z241" s="135">
        <f>SUM(Y31:Z31,V31:W31)</f>
        <v>118.82300000000012</v>
      </c>
      <c r="AA241" s="135">
        <f>SUM(Y31:AA31,W31)</f>
        <v>120.29500000000013</v>
      </c>
      <c r="AB241" s="116">
        <f>SUM(Y31:AB31)</f>
        <v>121.69299999999993</v>
      </c>
      <c r="AC241" s="82">
        <f>+AC31</f>
        <v>121.69300000000004</v>
      </c>
      <c r="AD241" s="136">
        <f>SUM(AD31,Z31:AB31)</f>
        <v>127.498</v>
      </c>
      <c r="AE241" s="135">
        <f>SUM(AD31:AE31,AA31:AB31)</f>
        <v>129.52399999999994</v>
      </c>
      <c r="AF241" s="135">
        <f>SUM(AD31:AF31,AB31)</f>
        <v>126.89399999999998</v>
      </c>
      <c r="AG241" s="116">
        <f>SUM(AD31:AG31)</f>
        <v>138.958</v>
      </c>
      <c r="AH241" s="82">
        <f>+AH31</f>
        <v>138.95800000000017</v>
      </c>
      <c r="AI241" s="136">
        <f>SUM(AI31,AE31:AG31)</f>
        <v>136.70799999999988</v>
      </c>
      <c r="AJ241" s="135">
        <f>SUM(AI31:AJ31,AF31:AG31)</f>
        <v>138.16299999999993</v>
      </c>
      <c r="AK241" s="135">
        <f>SUM(AI31:AK31,AG31)</f>
        <v>148.61699999999988</v>
      </c>
      <c r="AL241" s="116">
        <f>SUM(AI31:AL31)</f>
        <v>148.09500000000008</v>
      </c>
      <c r="AM241" s="82">
        <f>+AM31</f>
        <v>148.09500000000003</v>
      </c>
      <c r="AN241" s="136">
        <f>SUM(AN31,AJ31:AL31)</f>
        <v>142.78500000000014</v>
      </c>
      <c r="AO241" s="135">
        <f>SUM(AN31:AO31,AK31:AL31)</f>
        <v>144.67600000000013</v>
      </c>
      <c r="AP241" s="135">
        <f>SUM(AN31:AP31,AL31)</f>
        <v>142.59600000000017</v>
      </c>
      <c r="AQ241" s="116">
        <f>SUM(AN31:AQ31)</f>
        <v>144.66600000000003</v>
      </c>
      <c r="AR241" s="82">
        <f>+AR31</f>
        <v>144.666</v>
      </c>
      <c r="AS241" s="136">
        <f>SUM(AS31,AO31:AQ31)</f>
        <v>152.26699999999997</v>
      </c>
      <c r="AT241" s="135">
        <f>SUM(AS31:AT31,AP31:AQ31)</f>
        <v>154.39499999999998</v>
      </c>
      <c r="AU241" s="135">
        <f>SUM(AS31:AU31,AQ31)</f>
        <v>147.10599999999994</v>
      </c>
      <c r="AV241" s="116">
        <f>SUM(AS31:AV31)</f>
        <v>155.76799999999997</v>
      </c>
      <c r="AW241" s="82">
        <f>+AW31</f>
        <v>155.76799999999994</v>
      </c>
      <c r="AX241" s="136">
        <f>SUM(AX31,AT31:AV31)</f>
        <v>154.82494077163912</v>
      </c>
      <c r="AY241" s="135">
        <f>SUM(AX31:AY31,AU31:AV31)</f>
        <v>152.64855701236829</v>
      </c>
      <c r="AZ241" s="135">
        <f>SUM(AX31:AZ31,AV31)</f>
        <v>149.01306025191019</v>
      </c>
      <c r="BA241" s="116">
        <f>SUM(AX31:BA31)</f>
        <v>146.60282805840865</v>
      </c>
      <c r="BB241" s="82">
        <f>+BB31</f>
        <v>146.60282805840876</v>
      </c>
      <c r="BC241" s="136">
        <f>SUM(BC31,AY31:BA31)</f>
        <v>149.14174037341905</v>
      </c>
      <c r="BD241" s="135">
        <f>SUM(BC31:BD31,AZ31:BA31)</f>
        <v>150.03211556530175</v>
      </c>
      <c r="BE241" s="135">
        <f>SUM(BC31:BE31,BA31)</f>
        <v>151.12461434132217</v>
      </c>
      <c r="BF241" s="116">
        <f>SUM(BC31:BF31)</f>
        <v>152.90672721083064</v>
      </c>
      <c r="BG241" s="82">
        <f>+BG31</f>
        <v>152.90672721083052</v>
      </c>
      <c r="BH241" s="136">
        <f>SUM(BH31,BD31:BF31)</f>
        <v>156.07640754594001</v>
      </c>
      <c r="BI241" s="135">
        <f>SUM(BH31:BI31,BE31:BF31)</f>
        <v>157.89687804731383</v>
      </c>
      <c r="BJ241" s="135">
        <f>SUM(BH31:BJ31,BF31)</f>
        <v>160.198510217978</v>
      </c>
      <c r="BK241" s="116">
        <f>SUM(BH31:BK31)</f>
        <v>162.9412114571349</v>
      </c>
      <c r="BL241" s="82">
        <f>+BL31</f>
        <v>162.94121145713493</v>
      </c>
      <c r="BM241" s="136">
        <f>SUM(BM31,BI31:BK31)</f>
        <v>166.41724246475982</v>
      </c>
      <c r="BN241" s="135">
        <f>SUM(BM31:BN31,BJ31:BK31)</f>
        <v>168.95828902006991</v>
      </c>
      <c r="BO241" s="135">
        <f>SUM(BM31:BO31,BK31)</f>
        <v>171.72783959971821</v>
      </c>
      <c r="BP241" s="116">
        <f>SUM(BM31:BP31)</f>
        <v>174.8103996768771</v>
      </c>
      <c r="BQ241" s="82">
        <f>+BQ31</f>
        <v>174.8103996768773</v>
      </c>
      <c r="BR241" s="220"/>
      <c r="BS241" s="220"/>
      <c r="BT241" s="220"/>
      <c r="BU241" s="220"/>
      <c r="BV241" s="220"/>
      <c r="BW241" s="220"/>
      <c r="BX241" s="220"/>
      <c r="BY241" s="220"/>
      <c r="BZ241" s="220"/>
      <c r="CA241" s="220"/>
      <c r="CB241" s="220"/>
      <c r="CC241" s="220"/>
      <c r="CD241" s="220"/>
      <c r="CE241" s="220"/>
      <c r="CF241" s="220"/>
      <c r="CG241" s="220"/>
      <c r="CH241" s="220"/>
      <c r="CI241" s="220"/>
      <c r="CJ241" s="220"/>
      <c r="CK241" s="220"/>
      <c r="CL241" s="220"/>
      <c r="CM241" s="220"/>
      <c r="CN241" s="220"/>
      <c r="CO241" s="220"/>
      <c r="CP241" s="220"/>
      <c r="CQ241" s="220"/>
      <c r="CR241" s="220"/>
      <c r="CS241" s="220"/>
      <c r="CT241" s="220"/>
      <c r="CU241" s="220"/>
      <c r="CV241" s="220"/>
      <c r="CW241" s="220"/>
      <c r="CX241" s="220"/>
      <c r="CY241" s="220"/>
      <c r="CZ241" s="220"/>
    </row>
    <row r="242" spans="1:104" x14ac:dyDescent="0.2">
      <c r="A242" s="220"/>
      <c r="B242" s="220"/>
      <c r="C242" s="70" t="s">
        <v>239</v>
      </c>
      <c r="D242" s="82"/>
      <c r="E242" s="136"/>
      <c r="F242" s="135"/>
      <c r="G242" s="122"/>
      <c r="H242" s="116">
        <f>SUM(E32:H32)</f>
        <v>158.702</v>
      </c>
      <c r="I242" s="82">
        <f>+I32</f>
        <v>158.70200000000014</v>
      </c>
      <c r="J242" s="136">
        <f>SUM(J32,F32:H32)</f>
        <v>147.517</v>
      </c>
      <c r="K242" s="135">
        <f>SUM(J32:K32,G32:H32)</f>
        <v>146.59800000000001</v>
      </c>
      <c r="L242" s="135">
        <f>SUM(J32:L32,H32)</f>
        <v>154.43300000000002</v>
      </c>
      <c r="M242" s="116">
        <f>SUM(J32:M32)</f>
        <v>156.00799999999998</v>
      </c>
      <c r="N242" s="82">
        <f>+N32</f>
        <v>156.00799999999992</v>
      </c>
      <c r="O242" s="136">
        <f>SUM(O32,K32:M32)</f>
        <v>157.12999999999997</v>
      </c>
      <c r="P242" s="135">
        <f>SUM(O32:P32,L32:M32)</f>
        <v>168.78399999999996</v>
      </c>
      <c r="Q242" s="135">
        <f>SUM(O32:Q32,M32)</f>
        <v>175.80799999999999</v>
      </c>
      <c r="R242" s="116">
        <f>SUM(O32:R32)</f>
        <v>177.18699999999998</v>
      </c>
      <c r="S242" s="82">
        <f>+S32</f>
        <v>177.18700000000004</v>
      </c>
      <c r="T242" s="136">
        <f>SUM(T32,P32:R32)</f>
        <v>177.79300000000001</v>
      </c>
      <c r="U242" s="135">
        <f>SUM(T32:U32,Q32:R32)</f>
        <v>172.69300000000004</v>
      </c>
      <c r="V242" s="135">
        <f>SUM(T32:V32,R32)</f>
        <v>173.53099999999995</v>
      </c>
      <c r="W242" s="116">
        <f>SUM(T32:W32)</f>
        <v>171.68000000000006</v>
      </c>
      <c r="X242" s="82">
        <f>+X32</f>
        <v>171.68000000000009</v>
      </c>
      <c r="Y242" s="136">
        <f>SUM(Y32,U32:W32)</f>
        <v>181.5750000000001</v>
      </c>
      <c r="Z242" s="135">
        <f>SUM(Y32:Z32,V32:W32)</f>
        <v>191.8610000000001</v>
      </c>
      <c r="AA242" s="135">
        <f>SUM(Y32:AA32,W32)</f>
        <v>195.3540000000001</v>
      </c>
      <c r="AB242" s="116">
        <f>SUM(Y32:AB32)</f>
        <v>198.58999999999992</v>
      </c>
      <c r="AC242" s="82">
        <f>+AC32</f>
        <v>198.59000000000003</v>
      </c>
      <c r="AD242" s="136">
        <f>SUM(AD32,Z32:AB32)</f>
        <v>204.84700000000001</v>
      </c>
      <c r="AE242" s="135">
        <f>SUM(AD32:AE32,AA32:AB32)</f>
        <v>207.69599999999994</v>
      </c>
      <c r="AF242" s="135">
        <f>SUM(AD32:AF32,AB32)</f>
        <v>205.64699999999999</v>
      </c>
      <c r="AG242" s="116">
        <f>SUM(AD32:AG32)</f>
        <v>218.61200000000002</v>
      </c>
      <c r="AH242" s="82">
        <f>+AH32</f>
        <v>218.61200000000017</v>
      </c>
      <c r="AI242" s="136">
        <f>SUM(AI32,AE32:AG32)</f>
        <v>218.41599999999988</v>
      </c>
      <c r="AJ242" s="135">
        <f>SUM(AI32:AJ32,AF32:AG32)</f>
        <v>222.52499999999992</v>
      </c>
      <c r="AK242" s="135">
        <f>SUM(AI32:AK32,AG32)</f>
        <v>236.05799999999988</v>
      </c>
      <c r="AL242" s="116">
        <f>SUM(AI32:AL32)</f>
        <v>239.34000000000009</v>
      </c>
      <c r="AM242" s="82">
        <f>+AM32</f>
        <v>239.34000000000003</v>
      </c>
      <c r="AN242" s="136">
        <f>SUM(AN32,AJ32:AL32)</f>
        <v>237.11800000000014</v>
      </c>
      <c r="AO242" s="135">
        <f>SUM(AN32:AO32,AK32:AL32)</f>
        <v>240.20100000000014</v>
      </c>
      <c r="AP242" s="135">
        <f>SUM(AN32:AP32,AL32)</f>
        <v>239.80200000000019</v>
      </c>
      <c r="AQ242" s="116">
        <f>SUM(AN32:AQ32)</f>
        <v>242.96000000000004</v>
      </c>
      <c r="AR242" s="82">
        <f>+AR32</f>
        <v>242.95999999999998</v>
      </c>
      <c r="AS242" s="136">
        <f>SUM(AS32,AO32:AQ32)</f>
        <v>253.16099999999994</v>
      </c>
      <c r="AT242" s="135">
        <f>SUM(AS32:AT32,AP32:AQ32)</f>
        <v>259.19699999999995</v>
      </c>
      <c r="AU242" s="135">
        <f>SUM(AS32:AU32,AQ32)</f>
        <v>255.1869999999999</v>
      </c>
      <c r="AV242" s="116">
        <f>SUM(AS32:AV32)</f>
        <v>266.98399999999992</v>
      </c>
      <c r="AW242" s="82">
        <f>+AW32</f>
        <v>266.98399999999992</v>
      </c>
      <c r="AX242" s="136">
        <f>SUM(AX32,AT32:AV32)</f>
        <v>268.01070423921863</v>
      </c>
      <c r="AY242" s="135">
        <f>SUM(AX32:AY32,AU32:AV32)</f>
        <v>267.4085943501135</v>
      </c>
      <c r="AZ242" s="135">
        <f>SUM(AX32:AZ32,AV32)</f>
        <v>265.49445380932036</v>
      </c>
      <c r="BA242" s="116">
        <f>SUM(AX32:BA32)</f>
        <v>264.71520964539013</v>
      </c>
      <c r="BB242" s="82">
        <f>+BB32</f>
        <v>264.7152096453903</v>
      </c>
      <c r="BC242" s="136">
        <f>SUM(BC32,AY32:BA32)</f>
        <v>268.90963924122502</v>
      </c>
      <c r="BD242" s="135">
        <f>SUM(BC32:BD32,AZ32:BA32)</f>
        <v>271.74808472052689</v>
      </c>
      <c r="BE242" s="135">
        <f>SUM(BC32:BE32,BA32)</f>
        <v>274.75951367325848</v>
      </c>
      <c r="BF242" s="116">
        <f>SUM(BC32:BF32)</f>
        <v>278.43185249963994</v>
      </c>
      <c r="BG242" s="82">
        <f>+BG32</f>
        <v>278.43185249963983</v>
      </c>
      <c r="BH242" s="136">
        <f>SUM(BH32,BD32:BF32)</f>
        <v>283.46348394240249</v>
      </c>
      <c r="BI242" s="135">
        <f>SUM(BH32:BI32,BE32:BF32)</f>
        <v>287.18236494621584</v>
      </c>
      <c r="BJ242" s="135">
        <f>SUM(BH32:BJ32,BF32)</f>
        <v>291.31661421863583</v>
      </c>
      <c r="BK242" s="116">
        <f>SUM(BH32:BK32)</f>
        <v>295.82712332611595</v>
      </c>
      <c r="BL242" s="82">
        <f>+BL32</f>
        <v>295.82712332611595</v>
      </c>
      <c r="BM242" s="136">
        <f>SUM(BM32,BI32:BK32)</f>
        <v>301.00712241426663</v>
      </c>
      <c r="BN242" s="135">
        <f>SUM(BM32:BN32,BJ32:BK32)</f>
        <v>304.86769572600434</v>
      </c>
      <c r="BO242" s="135">
        <f>SUM(BM32:BO32,BK32)</f>
        <v>309.08661948135421</v>
      </c>
      <c r="BP242" s="116">
        <f>SUM(BM32:BP32)</f>
        <v>313.7464568524037</v>
      </c>
      <c r="BQ242" s="82">
        <f>+BQ32</f>
        <v>313.74645685240392</v>
      </c>
      <c r="BR242" s="220"/>
      <c r="BS242" s="220"/>
      <c r="BT242" s="220"/>
      <c r="BU242" s="220"/>
      <c r="BV242" s="220"/>
      <c r="BW242" s="220"/>
      <c r="BX242" s="220"/>
      <c r="BY242" s="220"/>
      <c r="BZ242" s="220"/>
      <c r="CA242" s="220"/>
      <c r="CB242" s="220"/>
      <c r="CC242" s="220"/>
      <c r="CD242" s="220"/>
      <c r="CE242" s="220"/>
      <c r="CF242" s="220"/>
      <c r="CG242" s="220"/>
      <c r="CH242" s="220"/>
      <c r="CI242" s="220"/>
      <c r="CJ242" s="220"/>
      <c r="CK242" s="220"/>
      <c r="CL242" s="220"/>
      <c r="CM242" s="220"/>
      <c r="CN242" s="220"/>
      <c r="CO242" s="220"/>
      <c r="CP242" s="220"/>
      <c r="CQ242" s="220"/>
      <c r="CR242" s="220"/>
      <c r="CS242" s="220"/>
      <c r="CT242" s="220"/>
      <c r="CU242" s="220"/>
      <c r="CV242" s="220"/>
      <c r="CW242" s="220"/>
      <c r="CX242" s="220"/>
      <c r="CY242" s="220"/>
      <c r="CZ242" s="220"/>
    </row>
    <row r="243" spans="1:104" x14ac:dyDescent="0.2">
      <c r="A243" s="220"/>
      <c r="B243" s="220"/>
      <c r="C243" s="70" t="s">
        <v>240</v>
      </c>
      <c r="D243" s="82"/>
      <c r="E243" s="136"/>
      <c r="F243" s="135"/>
      <c r="G243" s="122"/>
      <c r="H243" s="116">
        <f>SUM(E34:H34)</f>
        <v>24.782</v>
      </c>
      <c r="I243" s="82">
        <f>+SUM(I34:I34)</f>
        <v>24.782</v>
      </c>
      <c r="J243" s="136">
        <f>SUM(J34:J34,F34:H34)</f>
        <v>24.486000000000001</v>
      </c>
      <c r="K243" s="135">
        <f>SUM(J34:K34,G34:H34)</f>
        <v>24.547000000000001</v>
      </c>
      <c r="L243" s="135">
        <f>SUM(J34:L34,H34:H34)</f>
        <v>24.327999999999999</v>
      </c>
      <c r="M243" s="116">
        <f>SUM(J34:M34)</f>
        <v>24.516999999999999</v>
      </c>
      <c r="N243" s="82">
        <f>+SUM(N34:N34)</f>
        <v>24.516999999999999</v>
      </c>
      <c r="O243" s="136">
        <f>SUM(O34:O34,K34:M34)</f>
        <v>24.163999999999998</v>
      </c>
      <c r="P243" s="135">
        <f>SUM(O34:P34,L34:M34)</f>
        <v>24.202999999999999</v>
      </c>
      <c r="Q243" s="135">
        <f>SUM(O34:Q34,M34:M34)</f>
        <v>24.215</v>
      </c>
      <c r="R243" s="116">
        <f>SUM(O34:R34)</f>
        <v>24.167999999999999</v>
      </c>
      <c r="S243" s="82">
        <f>+SUM(S34:S34)</f>
        <v>24.167999999999999</v>
      </c>
      <c r="T243" s="136">
        <f>SUM(T34:T34,P34:R34)</f>
        <v>24.18</v>
      </c>
      <c r="U243" s="135">
        <f>SUM(T34:U34,Q34:R34)</f>
        <v>24.141999999999999</v>
      </c>
      <c r="V243" s="135">
        <f>SUM(T34:V34,R34:R34)</f>
        <v>24.068999999999999</v>
      </c>
      <c r="W243" s="116">
        <f>SUM(T34:W34)</f>
        <v>24.798999999999999</v>
      </c>
      <c r="X243" s="82">
        <f>+SUM(X34:X34)</f>
        <v>24.798999999999999</v>
      </c>
      <c r="Y243" s="136">
        <f>SUM(Y34:Y34,U34:W34)</f>
        <v>25.638999999999999</v>
      </c>
      <c r="Z243" s="135">
        <f>SUM(Y34:Z34,V34:W34)</f>
        <v>26.408999999999999</v>
      </c>
      <c r="AA243" s="135">
        <f>SUM(Y34:AA34,W34:W34)</f>
        <v>27.655999999999999</v>
      </c>
      <c r="AB243" s="116">
        <f>SUM(Y34:AB34)</f>
        <v>27.797000000000001</v>
      </c>
      <c r="AC243" s="82">
        <f>+SUM(AC34:AC34)</f>
        <v>27.797000000000001</v>
      </c>
      <c r="AD243" s="136">
        <f>SUM(AD34:AD34,Z34:AB34)</f>
        <v>27.809000000000001</v>
      </c>
      <c r="AE243" s="135">
        <f>SUM(AD34:AE34,AA34:AB34)</f>
        <v>27.963000000000001</v>
      </c>
      <c r="AF243" s="135">
        <f>SUM(AD34:AF34,AB34:AB34)</f>
        <v>28.473000000000003</v>
      </c>
      <c r="AG243" s="116">
        <f>SUM(AD34:AG34)</f>
        <v>29.273</v>
      </c>
      <c r="AH243" s="82">
        <f>+SUM(AH34:AH34)</f>
        <v>29.273</v>
      </c>
      <c r="AI243" s="136">
        <f>SUM(AI34:AI34,AE34:AG34)</f>
        <v>30.161999999999999</v>
      </c>
      <c r="AJ243" s="135">
        <f>SUM(AI34:AJ34,AF34:AG34)</f>
        <v>30.965</v>
      </c>
      <c r="AK243" s="135">
        <f>SUM(AI34:AK34,AG34:AG34)</f>
        <v>31.888999999999999</v>
      </c>
      <c r="AL243" s="116">
        <f>SUM(AI34:AL34)</f>
        <v>32.731000000000002</v>
      </c>
      <c r="AM243" s="82">
        <f>+SUM(AM34:AM34)</f>
        <v>32.731000000000002</v>
      </c>
      <c r="AN243" s="136">
        <f>SUM(AN34:AN34,AJ34:AL34)</f>
        <v>33.579000000000001</v>
      </c>
      <c r="AO243" s="135">
        <f>SUM(AN34:AO34,AK34:AL34)</f>
        <v>34.390999999999998</v>
      </c>
      <c r="AP243" s="135">
        <f>SUM(AN34:AP34,AL34:AL34)</f>
        <v>34.378999999999998</v>
      </c>
      <c r="AQ243" s="116">
        <f>SUM(AN34:AQ34)</f>
        <v>34.451999999999998</v>
      </c>
      <c r="AR243" s="82">
        <f>+SUM(AR34:AR34)</f>
        <v>34.451999999999998</v>
      </c>
      <c r="AS243" s="136">
        <f>SUM(AS34:AS34,AO34:AQ34)</f>
        <v>34.53</v>
      </c>
      <c r="AT243" s="135">
        <f>SUM(AS34:AT34,AP34:AQ34)</f>
        <v>34.603000000000002</v>
      </c>
      <c r="AU243" s="135">
        <f>SUM(AS34:AU34,AQ34:AQ34)</f>
        <v>34.637</v>
      </c>
      <c r="AV243" s="116">
        <f>SUM(AS34:AV34)</f>
        <v>35.04</v>
      </c>
      <c r="AW243" s="82">
        <f>+SUM(AW34:AW34)</f>
        <v>35.04</v>
      </c>
      <c r="AX243" s="136">
        <f>SUM(AX34:AX34,AT34:AV34)</f>
        <v>35.847682499999998</v>
      </c>
      <c r="AY243" s="135">
        <f>SUM(AX34:AY34,AU34:AV34)</f>
        <v>36.633177074897674</v>
      </c>
      <c r="AZ243" s="135">
        <f>SUM(AX34:AZ34,AV34:AV34)</f>
        <v>37.308536855709136</v>
      </c>
      <c r="BA243" s="116">
        <f>SUM(AX34:BA34)</f>
        <v>37.580943821722379</v>
      </c>
      <c r="BB243" s="82">
        <f>+SUM(BB34:BB34)</f>
        <v>37.580943821722379</v>
      </c>
      <c r="BC243" s="136">
        <f>SUM(BC34:BC34,AY34:BA34)</f>
        <v>37.627141652081434</v>
      </c>
      <c r="BD243" s="135">
        <f>SUM(BC34:BD34,AZ34:BA34)</f>
        <v>37.574330192597003</v>
      </c>
      <c r="BE243" s="135">
        <f>SUM(BC34:BE34,BA34:BA34)</f>
        <v>38.105572969130634</v>
      </c>
      <c r="BF243" s="116">
        <f>SUM(BC34:BF34)</f>
        <v>38.596389060741586</v>
      </c>
      <c r="BG243" s="82">
        <f>+SUM(BG34:BG34)</f>
        <v>38.596389060741586</v>
      </c>
      <c r="BH243" s="136">
        <f>SUM(BH34:BH34,BD34:BF34)</f>
        <v>39.11232206185187</v>
      </c>
      <c r="BI243" s="135">
        <f>SUM(BH34:BI34,BE34:BF34)</f>
        <v>39.533814378260587</v>
      </c>
      <c r="BJ243" s="135">
        <f>SUM(BH34:BJ34,BF34:BF34)</f>
        <v>40.235465730787581</v>
      </c>
      <c r="BK243" s="116">
        <f>SUM(BH34:BK34)</f>
        <v>40.700103871736395</v>
      </c>
      <c r="BL243" s="82">
        <f>+SUM(BL34:BL34)</f>
        <v>40.700103871736395</v>
      </c>
      <c r="BM243" s="136">
        <f>SUM(BM34:BM34,BI34:BK34)</f>
        <v>41.181480022946282</v>
      </c>
      <c r="BN243" s="135">
        <f>SUM(BM34:BN34,BJ34:BK34)</f>
        <v>41.591705254925671</v>
      </c>
      <c r="BO243" s="135">
        <f>SUM(BM34:BO34,BK34:BK34)</f>
        <v>42.301568672328898</v>
      </c>
      <c r="BP243" s="116">
        <f>SUM(BM34:BP34)</f>
        <v>42.644478415089523</v>
      </c>
      <c r="BQ243" s="82">
        <f>+SUM(BQ34:BQ34)</f>
        <v>42.644478415089523</v>
      </c>
      <c r="BR243" s="220"/>
      <c r="BS243" s="220"/>
      <c r="BT243" s="220"/>
      <c r="BU243" s="220"/>
      <c r="BV243" s="220"/>
      <c r="BW243" s="220"/>
      <c r="BX243" s="220"/>
      <c r="BY243" s="220"/>
      <c r="BZ243" s="220"/>
      <c r="CA243" s="220"/>
      <c r="CB243" s="220"/>
      <c r="CC243" s="220"/>
      <c r="CD243" s="220"/>
      <c r="CE243" s="220"/>
      <c r="CF243" s="220"/>
      <c r="CG243" s="220"/>
      <c r="CH243" s="220"/>
      <c r="CI243" s="220"/>
      <c r="CJ243" s="220"/>
      <c r="CK243" s="220"/>
      <c r="CL243" s="220"/>
      <c r="CM243" s="220"/>
      <c r="CN243" s="220"/>
      <c r="CO243" s="220"/>
      <c r="CP243" s="220"/>
      <c r="CQ243" s="220"/>
      <c r="CR243" s="220"/>
      <c r="CS243" s="220"/>
      <c r="CT243" s="220"/>
      <c r="CU243" s="220"/>
      <c r="CV243" s="220"/>
      <c r="CW243" s="220"/>
      <c r="CX243" s="220"/>
      <c r="CY243" s="220"/>
      <c r="CZ243" s="220"/>
    </row>
    <row r="244" spans="1:104" x14ac:dyDescent="0.2">
      <c r="A244" s="220"/>
      <c r="B244" s="220"/>
      <c r="C244" s="70" t="s">
        <v>241</v>
      </c>
      <c r="D244" s="82"/>
      <c r="E244" s="136"/>
      <c r="F244" s="135"/>
      <c r="G244" s="122"/>
      <c r="H244" s="116">
        <f>SUM(E48:H48)</f>
        <v>47.363000000000142</v>
      </c>
      <c r="I244" s="82">
        <f>I48</f>
        <v>47.363000000000142</v>
      </c>
      <c r="J244" s="136">
        <f>SUM(J48,F48:H48)</f>
        <v>39.186000000000135</v>
      </c>
      <c r="K244" s="135">
        <f>SUM(J48:K48,G48:H48)</f>
        <v>38.389000000000138</v>
      </c>
      <c r="L244" s="135">
        <f>SUM(J48:L48,H48)</f>
        <v>42.390000000000157</v>
      </c>
      <c r="M244" s="116">
        <f>SUM(J48:M48)</f>
        <v>42.748999999999924</v>
      </c>
      <c r="N244" s="82">
        <f>N48</f>
        <v>42.748999999999924</v>
      </c>
      <c r="O244" s="136">
        <f>SUM(O48,K48:M48)</f>
        <v>43.8479999999999</v>
      </c>
      <c r="P244" s="135">
        <f>SUM(O48:P48,L48:M48)</f>
        <v>49.646999999999878</v>
      </c>
      <c r="Q244" s="135">
        <f>SUM(O48:Q48,M48)</f>
        <v>51.995999999999874</v>
      </c>
      <c r="R244" s="116">
        <f>SUM(O48:R48)</f>
        <v>51.00600000000005</v>
      </c>
      <c r="S244" s="82">
        <f>S48</f>
        <v>51.00600000000005</v>
      </c>
      <c r="T244" s="136">
        <f>SUM(T48,P48:R48)</f>
        <v>51.241000000000071</v>
      </c>
      <c r="U244" s="135">
        <f>SUM(T48:U48,Q48:R48)</f>
        <v>48.505000000000109</v>
      </c>
      <c r="V244" s="135">
        <f>SUM(T48:V48,R48)</f>
        <v>50.73200000000007</v>
      </c>
      <c r="W244" s="116">
        <f>SUM(T48:W48)</f>
        <v>49.9510000000001</v>
      </c>
      <c r="X244" s="82">
        <f>X48</f>
        <v>49.9510000000001</v>
      </c>
      <c r="Y244" s="136">
        <f>SUM(Y48,U48:W48)</f>
        <v>54.758000000000095</v>
      </c>
      <c r="Z244" s="135">
        <f>SUM(Y48:Z48,V48:W48)</f>
        <v>59.560000000000116</v>
      </c>
      <c r="AA244" s="135">
        <f>SUM(Y48:AA48,W48)</f>
        <v>59.37300000000014</v>
      </c>
      <c r="AB244" s="116">
        <f>SUM(Y48:AB48)</f>
        <v>59.468000000000039</v>
      </c>
      <c r="AC244" s="82">
        <f>AC48</f>
        <v>59.468000000000039</v>
      </c>
      <c r="AD244" s="136">
        <f>SUM(AD48,Z48:AB48)</f>
        <v>64.018000000000114</v>
      </c>
      <c r="AE244" s="135">
        <f>SUM(AD48:AE48,AA48:AB48)</f>
        <v>65.496000000000038</v>
      </c>
      <c r="AF244" s="135">
        <f>SUM(AD48:AF48,AB48)</f>
        <v>63.513000000000069</v>
      </c>
      <c r="AG244" s="116">
        <f>SUM(AD48:AG48)</f>
        <v>70.642000000000166</v>
      </c>
      <c r="AH244" s="82">
        <f>AH48</f>
        <v>70.642000000000166</v>
      </c>
      <c r="AI244" s="136">
        <f>SUM(AI48,AE48:AG48)</f>
        <v>68.674000000000063</v>
      </c>
      <c r="AJ244" s="135">
        <f>SUM(AI48:AJ48,AF48:AG48)</f>
        <v>69.164000000000115</v>
      </c>
      <c r="AK244" s="135">
        <f>SUM(AI48:AK48,AG48)</f>
        <v>75.366000000000071</v>
      </c>
      <c r="AL244" s="116">
        <f>SUM(AI48:AL48)</f>
        <v>74.636000000000024</v>
      </c>
      <c r="AM244" s="82">
        <f>AM48</f>
        <v>74.636000000000024</v>
      </c>
      <c r="AN244" s="136">
        <f>SUM(AN48,AJ48:AL48)</f>
        <v>70.000000000000085</v>
      </c>
      <c r="AO244" s="135">
        <f>SUM(AN48:AO48,AK48:AL48)</f>
        <v>70.113000000000056</v>
      </c>
      <c r="AP244" s="135">
        <f>SUM(AN48:AP48,AL48)</f>
        <v>68.102000000000132</v>
      </c>
      <c r="AQ244" s="116">
        <f>SUM(AN48:AQ48)</f>
        <v>69.135000000000005</v>
      </c>
      <c r="AR244" s="82">
        <f>AR48</f>
        <v>69.135000000000005</v>
      </c>
      <c r="AS244" s="136">
        <f>SUM(AS48,AO48:AQ48)</f>
        <v>73.922999999999945</v>
      </c>
      <c r="AT244" s="135">
        <f>SUM(AS48:AT48,AP48:AQ48)</f>
        <v>75.538999999999959</v>
      </c>
      <c r="AU244" s="135">
        <f>SUM(AS48:AU48,AQ48)</f>
        <v>73.642999999999915</v>
      </c>
      <c r="AV244" s="116">
        <f>SUM(AS48:AV48)</f>
        <v>79.41599999999994</v>
      </c>
      <c r="AW244" s="82">
        <f>AW48</f>
        <v>79.41599999999994</v>
      </c>
      <c r="AX244" s="136">
        <f>SUM(AX48,AT48:AV48)</f>
        <v>83.267898887430789</v>
      </c>
      <c r="AY244" s="135">
        <f>SUM(AX48:AY48,AU48:AV48)</f>
        <v>84.499616686563996</v>
      </c>
      <c r="AZ244" s="135">
        <f>SUM(AX48:AZ48,AV48)</f>
        <v>83.531090612442398</v>
      </c>
      <c r="BA244" s="116">
        <f>SUM(AX48:BA48)</f>
        <v>85.4890254008195</v>
      </c>
      <c r="BB244" s="82">
        <f>BB48</f>
        <v>85.4890254008195</v>
      </c>
      <c r="BC244" s="136">
        <f>SUM(BC48,AY48:BA48)</f>
        <v>87.333634119461493</v>
      </c>
      <c r="BD244" s="135">
        <f>SUM(BC48:BD48,AZ48:BA48)</f>
        <v>88.031592241473192</v>
      </c>
      <c r="BE244" s="135">
        <f>SUM(BC48:BE48,BA48)</f>
        <v>88.446921681093414</v>
      </c>
      <c r="BF244" s="116">
        <f>SUM(BC48:BF48)</f>
        <v>89.402481296737335</v>
      </c>
      <c r="BG244" s="82">
        <f>BG48</f>
        <v>89.402481296737335</v>
      </c>
      <c r="BH244" s="136">
        <f>SUM(BH48,BD48:BF48)</f>
        <v>91.318126013239961</v>
      </c>
      <c r="BI244" s="135">
        <f>SUM(BH48:BI48,BE48:BF48)</f>
        <v>92.3052415594574</v>
      </c>
      <c r="BJ244" s="135">
        <f>SUM(BH48:BJ48,BF48)</f>
        <v>93.441099054222192</v>
      </c>
      <c r="BK244" s="116">
        <f>SUM(BH48:BK48)</f>
        <v>95.078737436239606</v>
      </c>
      <c r="BL244" s="82">
        <f>BL48</f>
        <v>95.078737436239606</v>
      </c>
      <c r="BM244" s="136">
        <f>SUM(BM48,BI48:BK48)</f>
        <v>97.487295272613608</v>
      </c>
      <c r="BN244" s="135">
        <f>SUM(BM48:BN48,BJ48:BK48)</f>
        <v>99.256616294505193</v>
      </c>
      <c r="BO244" s="135">
        <f>SUM(BM48:BO48,BK48)</f>
        <v>100.97329803719339</v>
      </c>
      <c r="BP244" s="116">
        <f>SUM(BM48:BP48)</f>
        <v>103.19315252727515</v>
      </c>
      <c r="BQ244" s="82">
        <f>BQ48</f>
        <v>103.19315252727515</v>
      </c>
      <c r="BR244" s="220"/>
      <c r="BS244" s="220"/>
      <c r="BT244" s="220"/>
      <c r="BU244" s="220"/>
      <c r="BV244" s="220"/>
      <c r="BW244" s="220"/>
      <c r="BX244" s="220"/>
      <c r="BY244" s="220"/>
      <c r="BZ244" s="220"/>
      <c r="CA244" s="220"/>
      <c r="CB244" s="220"/>
      <c r="CC244" s="220"/>
      <c r="CD244" s="220"/>
      <c r="CE244" s="220"/>
      <c r="CF244" s="220"/>
      <c r="CG244" s="220"/>
      <c r="CH244" s="220"/>
      <c r="CI244" s="220"/>
      <c r="CJ244" s="220"/>
      <c r="CK244" s="220"/>
      <c r="CL244" s="220"/>
      <c r="CM244" s="220"/>
      <c r="CN244" s="220"/>
      <c r="CO244" s="220"/>
      <c r="CP244" s="220"/>
      <c r="CQ244" s="220"/>
      <c r="CR244" s="220"/>
      <c r="CS244" s="220"/>
      <c r="CT244" s="220"/>
      <c r="CU244" s="220"/>
      <c r="CV244" s="220"/>
      <c r="CW244" s="220"/>
      <c r="CX244" s="220"/>
      <c r="CY244" s="220"/>
      <c r="CZ244" s="220"/>
    </row>
    <row r="245" spans="1:104" x14ac:dyDescent="0.2">
      <c r="A245" s="289"/>
      <c r="B245" s="289"/>
      <c r="C245" s="289"/>
      <c r="D245" s="289"/>
      <c r="E245" s="291"/>
      <c r="F245" s="292"/>
      <c r="G245" s="292"/>
      <c r="H245" s="293"/>
      <c r="I245" s="289"/>
      <c r="J245" s="291"/>
      <c r="K245" s="292"/>
      <c r="L245" s="292"/>
      <c r="M245" s="293"/>
      <c r="N245" s="289"/>
      <c r="O245" s="291"/>
      <c r="P245" s="292"/>
      <c r="Q245" s="292"/>
      <c r="R245" s="293"/>
      <c r="S245" s="289"/>
      <c r="T245" s="291"/>
      <c r="U245" s="292"/>
      <c r="V245" s="292"/>
      <c r="W245" s="293"/>
      <c r="X245" s="289"/>
      <c r="Y245" s="291"/>
      <c r="Z245" s="292"/>
      <c r="AA245" s="292"/>
      <c r="AB245" s="293"/>
      <c r="AC245" s="289"/>
      <c r="AD245" s="291"/>
      <c r="AE245" s="292"/>
      <c r="AF245" s="292"/>
      <c r="AG245" s="293"/>
      <c r="AH245" s="289"/>
      <c r="AI245" s="291"/>
      <c r="AJ245" s="292"/>
      <c r="AK245" s="292"/>
      <c r="AL245" s="293"/>
      <c r="AM245" s="289"/>
      <c r="AN245" s="291"/>
      <c r="AO245" s="292"/>
      <c r="AP245" s="292"/>
      <c r="AQ245" s="293"/>
      <c r="AR245" s="289"/>
      <c r="AS245" s="291"/>
      <c r="AT245" s="292"/>
      <c r="AU245" s="292"/>
      <c r="AV245" s="293"/>
      <c r="AW245" s="289"/>
      <c r="AX245" s="291"/>
      <c r="AY245" s="292"/>
      <c r="AZ245" s="292"/>
      <c r="BA245" s="293"/>
      <c r="BB245" s="289"/>
      <c r="BC245" s="291"/>
      <c r="BD245" s="292"/>
      <c r="BE245" s="292"/>
      <c r="BF245" s="293"/>
      <c r="BG245" s="289"/>
      <c r="BH245" s="291"/>
      <c r="BI245" s="292"/>
      <c r="BJ245" s="292"/>
      <c r="BK245" s="293"/>
      <c r="BL245" s="289"/>
      <c r="BM245" s="291"/>
      <c r="BN245" s="292"/>
      <c r="BO245" s="292"/>
      <c r="BP245" s="293"/>
      <c r="BQ245" s="289"/>
      <c r="BR245" s="289"/>
      <c r="BS245" s="289"/>
      <c r="BT245" s="289"/>
      <c r="BU245" s="289"/>
      <c r="BV245" s="289"/>
      <c r="BW245" s="289"/>
      <c r="BX245" s="289"/>
      <c r="BY245" s="289"/>
      <c r="BZ245" s="289"/>
      <c r="CA245" s="289"/>
      <c r="CB245" s="289"/>
      <c r="CC245" s="289"/>
      <c r="CD245" s="289"/>
      <c r="CE245" s="289"/>
      <c r="CF245" s="289"/>
      <c r="CG245" s="289"/>
      <c r="CH245" s="289"/>
      <c r="CI245" s="289"/>
      <c r="CJ245" s="289"/>
      <c r="CK245" s="289"/>
      <c r="CL245" s="289"/>
      <c r="CM245" s="289"/>
      <c r="CN245" s="289"/>
      <c r="CO245" s="289"/>
      <c r="CP245" s="289"/>
      <c r="CQ245" s="289"/>
      <c r="CR245" s="289"/>
      <c r="CS245" s="289"/>
      <c r="CT245" s="289"/>
      <c r="CU245" s="289"/>
      <c r="CV245" s="289"/>
      <c r="CW245" s="289"/>
      <c r="CX245" s="289"/>
      <c r="CY245" s="289"/>
      <c r="CZ245" s="289"/>
    </row>
    <row r="246" spans="1:104" x14ac:dyDescent="0.2">
      <c r="A246" s="289"/>
      <c r="B246" s="289"/>
      <c r="C246" s="141" t="s">
        <v>57</v>
      </c>
      <c r="D246" s="289"/>
      <c r="E246" s="291"/>
      <c r="F246" s="292"/>
      <c r="G246" s="292"/>
      <c r="H246" s="293"/>
      <c r="I246" s="289"/>
      <c r="J246" s="291"/>
      <c r="K246" s="292"/>
      <c r="L246" s="292"/>
      <c r="M246" s="293"/>
      <c r="N246" s="289"/>
      <c r="O246" s="291"/>
      <c r="P246" s="292"/>
      <c r="Q246" s="292"/>
      <c r="R246" s="293"/>
      <c r="S246" s="289"/>
      <c r="T246" s="291"/>
      <c r="U246" s="292"/>
      <c r="V246" s="292"/>
      <c r="W246" s="293"/>
      <c r="X246" s="289"/>
      <c r="Y246" s="291"/>
      <c r="Z246" s="292"/>
      <c r="AA246" s="292"/>
      <c r="AB246" s="293"/>
      <c r="AC246" s="289"/>
      <c r="AD246" s="291"/>
      <c r="AE246" s="292"/>
      <c r="AF246" s="292"/>
      <c r="AG246" s="293"/>
      <c r="AH246" s="289"/>
      <c r="AI246" s="291"/>
      <c r="AJ246" s="292"/>
      <c r="AK246" s="292"/>
      <c r="AL246" s="293"/>
      <c r="AM246" s="289"/>
      <c r="AN246" s="291"/>
      <c r="AO246" s="292"/>
      <c r="AP246" s="292"/>
      <c r="AQ246" s="293"/>
      <c r="AR246" s="289"/>
      <c r="AS246" s="291"/>
      <c r="AT246" s="292"/>
      <c r="AU246" s="292"/>
      <c r="AV246" s="293"/>
      <c r="AW246" s="289"/>
      <c r="AX246" s="291"/>
      <c r="AY246" s="292"/>
      <c r="AZ246" s="292"/>
      <c r="BA246" s="293"/>
      <c r="BB246" s="289"/>
      <c r="BC246" s="291"/>
      <c r="BD246" s="292"/>
      <c r="BE246" s="292"/>
      <c r="BF246" s="293"/>
      <c r="BG246" s="289"/>
      <c r="BH246" s="291"/>
      <c r="BI246" s="292"/>
      <c r="BJ246" s="292"/>
      <c r="BK246" s="293"/>
      <c r="BL246" s="289"/>
      <c r="BM246" s="291"/>
      <c r="BN246" s="292"/>
      <c r="BO246" s="292"/>
      <c r="BP246" s="293"/>
      <c r="BQ246" s="289"/>
      <c r="BR246" s="289"/>
      <c r="BS246" s="289"/>
      <c r="BT246" s="289"/>
      <c r="BU246" s="289"/>
      <c r="BV246" s="289"/>
      <c r="BW246" s="289"/>
      <c r="BX246" s="289"/>
      <c r="BY246" s="289"/>
      <c r="BZ246" s="289"/>
      <c r="CA246" s="289"/>
      <c r="CB246" s="289"/>
      <c r="CC246" s="289"/>
      <c r="CD246" s="289"/>
      <c r="CE246" s="289"/>
      <c r="CF246" s="289"/>
      <c r="CG246" s="289"/>
      <c r="CH246" s="289"/>
      <c r="CI246" s="289"/>
      <c r="CJ246" s="289"/>
      <c r="CK246" s="289"/>
      <c r="CL246" s="289"/>
      <c r="CM246" s="289"/>
      <c r="CN246" s="289"/>
      <c r="CO246" s="289"/>
      <c r="CP246" s="289"/>
      <c r="CQ246" s="289"/>
      <c r="CR246" s="289"/>
      <c r="CS246" s="289"/>
      <c r="CT246" s="289"/>
      <c r="CU246" s="289"/>
      <c r="CV246" s="289"/>
      <c r="CW246" s="289"/>
      <c r="CX246" s="289"/>
      <c r="CY246" s="289"/>
      <c r="CZ246" s="289"/>
    </row>
    <row r="247" spans="1:104" x14ac:dyDescent="0.2">
      <c r="A247" s="20"/>
      <c r="B247" s="20"/>
      <c r="C247" s="20" t="s">
        <v>242</v>
      </c>
      <c r="D247" s="20"/>
      <c r="E247" s="254">
        <f t="shared" ref="E247:AM247" si="588">E225/E235</f>
        <v>0.43905431236983006</v>
      </c>
      <c r="F247" s="255">
        <f t="shared" si="588"/>
        <v>0.44105256118764213</v>
      </c>
      <c r="G247" s="255">
        <f t="shared" si="588"/>
        <v>0.43837544655043498</v>
      </c>
      <c r="H247" s="256">
        <f t="shared" si="588"/>
        <v>0.42041645181595805</v>
      </c>
      <c r="I247" s="79">
        <f t="shared" si="588"/>
        <v>0.42041645181595805</v>
      </c>
      <c r="J247" s="254">
        <f t="shared" si="588"/>
        <v>0.43689305459285427</v>
      </c>
      <c r="K247" s="255">
        <f t="shared" si="588"/>
        <v>0.42630038456389163</v>
      </c>
      <c r="L247" s="255">
        <f t="shared" si="588"/>
        <v>0.41996564116965557</v>
      </c>
      <c r="M247" s="256">
        <f t="shared" si="588"/>
        <v>0.40607134690144064</v>
      </c>
      <c r="N247" s="79">
        <f t="shared" si="588"/>
        <v>0.40607134690144064</v>
      </c>
      <c r="O247" s="254">
        <f t="shared" si="588"/>
        <v>0.40591248961506504</v>
      </c>
      <c r="P247" s="255">
        <f t="shared" si="588"/>
        <v>0.40397301742843145</v>
      </c>
      <c r="Q247" s="255">
        <f t="shared" si="588"/>
        <v>0.40207266180629181</v>
      </c>
      <c r="R247" s="256">
        <f t="shared" si="588"/>
        <v>0.38595664467483509</v>
      </c>
      <c r="S247" s="79">
        <f t="shared" si="588"/>
        <v>0.38595664467483509</v>
      </c>
      <c r="T247" s="254">
        <f t="shared" si="588"/>
        <v>0.38125179979377843</v>
      </c>
      <c r="U247" s="255">
        <f>U225/U235</f>
        <v>0.37819732470577394</v>
      </c>
      <c r="V247" s="255">
        <f>V225/V235</f>
        <v>0.37467011244069121</v>
      </c>
      <c r="W247" s="256">
        <f>W225/W235</f>
        <v>0.45703698429311196</v>
      </c>
      <c r="X247" s="79">
        <f>X225/X235</f>
        <v>0.45703698429311196</v>
      </c>
      <c r="Y247" s="254">
        <f t="shared" si="588"/>
        <v>0.45080972808952657</v>
      </c>
      <c r="Z247" s="255">
        <f t="shared" si="588"/>
        <v>0.44702449206206873</v>
      </c>
      <c r="AA247" s="255">
        <f t="shared" si="588"/>
        <v>0.43850698726814386</v>
      </c>
      <c r="AB247" s="256">
        <f t="shared" si="588"/>
        <v>0.41056416573721094</v>
      </c>
      <c r="AC247" s="79">
        <f t="shared" si="588"/>
        <v>0.41056416573721094</v>
      </c>
      <c r="AD247" s="254">
        <f t="shared" si="588"/>
        <v>0.40101629268818656</v>
      </c>
      <c r="AE247" s="255">
        <f t="shared" si="588"/>
        <v>0.46732076129575534</v>
      </c>
      <c r="AF247" s="255">
        <f t="shared" si="588"/>
        <v>0.44760375283936071</v>
      </c>
      <c r="AG247" s="256">
        <f>AG225/AG235</f>
        <v>0.42268460668808761</v>
      </c>
      <c r="AH247" s="79">
        <f>AH225/AH235</f>
        <v>0.42268460668808761</v>
      </c>
      <c r="AI247" s="254">
        <f>AI225/AI235</f>
        <v>0.41162155526246602</v>
      </c>
      <c r="AJ247" s="255">
        <f>AJ225/AJ235</f>
        <v>0.4751530224741416</v>
      </c>
      <c r="AK247" s="255">
        <f t="shared" si="588"/>
        <v>0.47122431145451132</v>
      </c>
      <c r="AL247" s="256">
        <f t="shared" si="588"/>
        <v>0.45461559519448025</v>
      </c>
      <c r="AM247" s="79">
        <f t="shared" si="588"/>
        <v>0.45461559519448025</v>
      </c>
      <c r="AN247" s="254">
        <f>AN225/AN235</f>
        <v>0.45272344908726436</v>
      </c>
      <c r="AO247" s="255">
        <f t="shared" ref="AO247:AR247" si="589">AO225/AO235</f>
        <v>0.45040577035205731</v>
      </c>
      <c r="AP247" s="255">
        <f t="shared" si="589"/>
        <v>0.44851811909443096</v>
      </c>
      <c r="AQ247" s="256">
        <f t="shared" si="589"/>
        <v>0.43184889596911336</v>
      </c>
      <c r="AR247" s="79">
        <f t="shared" si="589"/>
        <v>0.43184889596911336</v>
      </c>
      <c r="AS247" s="254">
        <f>AS225/AS235</f>
        <v>0.4326524461642936</v>
      </c>
      <c r="AT247" s="255">
        <f t="shared" ref="AT247:AW247" si="590">AT225/AT235</f>
        <v>0.4331564105192573</v>
      </c>
      <c r="AU247" s="255">
        <f t="shared" si="590"/>
        <v>0.41749599675335913</v>
      </c>
      <c r="AV247" s="256">
        <f t="shared" si="590"/>
        <v>0.46152568198395771</v>
      </c>
      <c r="AW247" s="79">
        <f t="shared" si="590"/>
        <v>0.46152568198395771</v>
      </c>
      <c r="AX247" s="254">
        <f t="shared" ref="AX247:BG247" si="591">AX225/AX235</f>
        <v>0.45513882319520971</v>
      </c>
      <c r="AY247" s="255">
        <f t="shared" si="591"/>
        <v>0.44760415943674564</v>
      </c>
      <c r="AZ247" s="255">
        <f t="shared" si="591"/>
        <v>0.44097004785627414</v>
      </c>
      <c r="BA247" s="256">
        <f t="shared" si="591"/>
        <v>0.46330096772474344</v>
      </c>
      <c r="BB247" s="79">
        <f t="shared" si="591"/>
        <v>0.46330096772474344</v>
      </c>
      <c r="BC247" s="254">
        <f t="shared" si="591"/>
        <v>0.45748899309045654</v>
      </c>
      <c r="BD247" s="255">
        <f t="shared" si="591"/>
        <v>0.45088784860720382</v>
      </c>
      <c r="BE247" s="255">
        <f t="shared" si="591"/>
        <v>0.47250297172278027</v>
      </c>
      <c r="BF247" s="256">
        <f t="shared" si="591"/>
        <v>0.46674215005933112</v>
      </c>
      <c r="BG247" s="79">
        <f t="shared" si="591"/>
        <v>0.46674215005933112</v>
      </c>
      <c r="BH247" s="254">
        <f t="shared" ref="BH247:BQ247" si="592">BH225/BH235</f>
        <v>0.46243598452872364</v>
      </c>
      <c r="BI247" s="255">
        <f t="shared" si="592"/>
        <v>0.45723407662733867</v>
      </c>
      <c r="BJ247" s="255">
        <f t="shared" si="592"/>
        <v>0.4779316030748314</v>
      </c>
      <c r="BK247" s="256">
        <f t="shared" si="592"/>
        <v>0.47461212502520284</v>
      </c>
      <c r="BL247" s="79">
        <f t="shared" si="592"/>
        <v>0.47461212502520284</v>
      </c>
      <c r="BM247" s="254">
        <f t="shared" si="592"/>
        <v>0.46857419792000465</v>
      </c>
      <c r="BN247" s="255">
        <f t="shared" si="592"/>
        <v>0.46160631288805321</v>
      </c>
      <c r="BO247" s="255">
        <f t="shared" si="592"/>
        <v>0.47820366582285179</v>
      </c>
      <c r="BP247" s="256">
        <f t="shared" si="592"/>
        <v>0.46521330087988649</v>
      </c>
      <c r="BQ247" s="79">
        <f t="shared" si="592"/>
        <v>0.46521330087988649</v>
      </c>
      <c r="BR247" s="20"/>
      <c r="BS247" s="20"/>
      <c r="BT247" s="20"/>
      <c r="BU247" s="20"/>
      <c r="BV247" s="20"/>
      <c r="BW247" s="20"/>
      <c r="BX247" s="20"/>
      <c r="BY247" s="20"/>
      <c r="BZ247" s="20"/>
      <c r="CA247" s="20"/>
      <c r="CB247" s="20"/>
      <c r="CC247" s="20"/>
      <c r="CD247" s="20"/>
      <c r="CE247" s="20"/>
      <c r="CF247" s="20"/>
      <c r="CG247" s="20"/>
      <c r="CH247" s="20"/>
      <c r="CI247" s="20"/>
      <c r="CJ247" s="20"/>
      <c r="CK247" s="20"/>
      <c r="CL247" s="20"/>
      <c r="CM247" s="20"/>
      <c r="CN247" s="20"/>
      <c r="CO247" s="20"/>
      <c r="CP247" s="20"/>
      <c r="CQ247" s="20"/>
      <c r="CR247" s="20"/>
      <c r="CS247" s="20"/>
      <c r="CT247" s="20"/>
      <c r="CU247" s="20"/>
      <c r="CV247" s="20"/>
      <c r="CW247" s="20"/>
      <c r="CX247" s="20"/>
      <c r="CY247" s="20"/>
      <c r="CZ247" s="20"/>
    </row>
    <row r="248" spans="1:104" x14ac:dyDescent="0.2">
      <c r="A248" s="20"/>
      <c r="B248" s="20"/>
      <c r="C248" s="20" t="s">
        <v>243</v>
      </c>
      <c r="D248" s="20"/>
      <c r="E248" s="254">
        <f t="shared" ref="E248:AM248" si="593">+E226/E235</f>
        <v>0.43982701067987939</v>
      </c>
      <c r="F248" s="255">
        <f t="shared" si="593"/>
        <v>0.44182875102695884</v>
      </c>
      <c r="G248" s="255">
        <f t="shared" si="593"/>
        <v>0.43914689580687655</v>
      </c>
      <c r="H248" s="256">
        <f t="shared" si="593"/>
        <v>0.43874279040701547</v>
      </c>
      <c r="I248" s="79">
        <f t="shared" si="593"/>
        <v>0.43874279040701547</v>
      </c>
      <c r="J248" s="254">
        <f t="shared" si="593"/>
        <v>0.45842076501439522</v>
      </c>
      <c r="K248" s="255">
        <f t="shared" si="593"/>
        <v>0.42699287656560903</v>
      </c>
      <c r="L248" s="255">
        <f t="shared" si="593"/>
        <v>0.42508194615145861</v>
      </c>
      <c r="M248" s="256">
        <f t="shared" si="593"/>
        <v>0.44735395521469151</v>
      </c>
      <c r="N248" s="79">
        <f t="shared" si="593"/>
        <v>0.44735395521469151</v>
      </c>
      <c r="O248" s="254">
        <f t="shared" si="593"/>
        <v>0.44058388609759419</v>
      </c>
      <c r="P248" s="255">
        <f t="shared" si="593"/>
        <v>0.4428523307902289</v>
      </c>
      <c r="Q248" s="255">
        <f t="shared" si="593"/>
        <v>0.43254978110897535</v>
      </c>
      <c r="R248" s="256">
        <f t="shared" si="593"/>
        <v>0.45544303056774033</v>
      </c>
      <c r="S248" s="79">
        <f t="shared" si="593"/>
        <v>0.45544303056774033</v>
      </c>
      <c r="T248" s="254">
        <f t="shared" si="593"/>
        <v>0.45510140257477588</v>
      </c>
      <c r="U248" s="255">
        <f>+U226/U235</f>
        <v>0.45964380602325144</v>
      </c>
      <c r="V248" s="255">
        <f>+V226/V235</f>
        <v>0.47563954066263531</v>
      </c>
      <c r="W248" s="256">
        <f>+W226/W235</f>
        <v>0.49561410781501314</v>
      </c>
      <c r="X248" s="79">
        <f>+X226/X235</f>
        <v>0.49561410781501314</v>
      </c>
      <c r="Y248" s="254">
        <f t="shared" si="593"/>
        <v>0.47154238457297942</v>
      </c>
      <c r="Z248" s="255">
        <f t="shared" si="593"/>
        <v>0.44938078221201272</v>
      </c>
      <c r="AA248" s="255">
        <f t="shared" si="593"/>
        <v>0.44924007493510565</v>
      </c>
      <c r="AB248" s="256">
        <f t="shared" si="593"/>
        <v>0.47055458058840893</v>
      </c>
      <c r="AC248" s="79">
        <f t="shared" si="593"/>
        <v>0.47055458058840893</v>
      </c>
      <c r="AD248" s="254">
        <f t="shared" si="593"/>
        <v>0.46902301206355501</v>
      </c>
      <c r="AE248" s="255">
        <f t="shared" si="593"/>
        <v>0.47636657587958209</v>
      </c>
      <c r="AF248" s="255">
        <f t="shared" si="593"/>
        <v>0.45429850069152811</v>
      </c>
      <c r="AG248" s="256">
        <f>+AG226/AG235</f>
        <v>0.48107149232416996</v>
      </c>
      <c r="AH248" s="79">
        <f>+AH226/AH235</f>
        <v>0.48107149232416996</v>
      </c>
      <c r="AI248" s="254">
        <f>+AI226/AI235</f>
        <v>0.46992560982057563</v>
      </c>
      <c r="AJ248" s="255">
        <f>+AJ226/AJ235</f>
        <v>0.47550893007768041</v>
      </c>
      <c r="AK248" s="255">
        <f t="shared" si="593"/>
        <v>0.47157724881095409</v>
      </c>
      <c r="AL248" s="256">
        <f t="shared" si="593"/>
        <v>0.46176585553205424</v>
      </c>
      <c r="AM248" s="79">
        <f t="shared" si="593"/>
        <v>0.46176585553205424</v>
      </c>
      <c r="AN248" s="254">
        <f>+AN226/AN235</f>
        <v>0.45648124994021683</v>
      </c>
      <c r="AO248" s="255">
        <f t="shared" ref="AO248:AR248" si="594">+AO226/AO235</f>
        <v>0.45618210261212544</v>
      </c>
      <c r="AP248" s="255">
        <f t="shared" si="594"/>
        <v>0.45156266279851753</v>
      </c>
      <c r="AQ248" s="256">
        <f t="shared" si="594"/>
        <v>0.47125182116412523</v>
      </c>
      <c r="AR248" s="79">
        <f t="shared" si="594"/>
        <v>0.47125182116412523</v>
      </c>
      <c r="AS248" s="254">
        <f>+AS226/AS235</f>
        <v>0.45450572131790251</v>
      </c>
      <c r="AT248" s="255">
        <f t="shared" ref="AT248:AW248" si="595">+AT226/AT235</f>
        <v>0.46351774963060377</v>
      </c>
      <c r="AU248" s="255">
        <f t="shared" si="595"/>
        <v>0.47569643907672077</v>
      </c>
      <c r="AV248" s="256">
        <f t="shared" si="595"/>
        <v>0.4684984681092047</v>
      </c>
      <c r="AW248" s="79">
        <f t="shared" si="595"/>
        <v>0.4684984681092047</v>
      </c>
      <c r="AX248" s="254">
        <f t="shared" ref="AX248:BG248" si="596">+AX226/AX235</f>
        <v>0.46687211943452905</v>
      </c>
      <c r="AY248" s="255">
        <f t="shared" si="596"/>
        <v>0.4732147384481859</v>
      </c>
      <c r="AZ248" s="255">
        <f t="shared" si="596"/>
        <v>0.47516749764544763</v>
      </c>
      <c r="BA248" s="256">
        <f t="shared" si="596"/>
        <v>0.47621596113403131</v>
      </c>
      <c r="BB248" s="79">
        <f t="shared" si="596"/>
        <v>0.47621596113403131</v>
      </c>
      <c r="BC248" s="254">
        <f t="shared" si="596"/>
        <v>0.47256990093440454</v>
      </c>
      <c r="BD248" s="255">
        <f t="shared" si="596"/>
        <v>0.47675031075792673</v>
      </c>
      <c r="BE248" s="255">
        <f t="shared" si="596"/>
        <v>0.47704359336643193</v>
      </c>
      <c r="BF248" s="256">
        <f t="shared" si="596"/>
        <v>0.47618710410547216</v>
      </c>
      <c r="BG248" s="79">
        <f t="shared" si="596"/>
        <v>0.47618710410547216</v>
      </c>
      <c r="BH248" s="254">
        <f t="shared" ref="BH248:BQ248" si="597">+BH226/BH235</f>
        <v>0.47227716000597247</v>
      </c>
      <c r="BI248" s="255">
        <f t="shared" si="597"/>
        <v>0.47640414536828596</v>
      </c>
      <c r="BJ248" s="255">
        <f t="shared" si="597"/>
        <v>0.4779316030748314</v>
      </c>
      <c r="BK248" s="256">
        <f t="shared" si="597"/>
        <v>0.47570708112326543</v>
      </c>
      <c r="BL248" s="79">
        <f t="shared" si="597"/>
        <v>0.47570708112326543</v>
      </c>
      <c r="BM248" s="254">
        <f t="shared" si="597"/>
        <v>0.47148023231321273</v>
      </c>
      <c r="BN248" s="255">
        <f t="shared" si="597"/>
        <v>0.47545028539320655</v>
      </c>
      <c r="BO248" s="255">
        <f t="shared" si="597"/>
        <v>0.47820366582285179</v>
      </c>
      <c r="BP248" s="256">
        <f t="shared" si="597"/>
        <v>0.47448813143662366</v>
      </c>
      <c r="BQ248" s="79">
        <f t="shared" si="597"/>
        <v>0.47448813143662366</v>
      </c>
      <c r="BR248" s="20"/>
      <c r="BS248" s="20"/>
      <c r="BT248" s="20"/>
      <c r="BU248" s="20"/>
      <c r="BV248" s="20"/>
      <c r="BW248" s="20"/>
      <c r="BX248" s="20"/>
      <c r="BY248" s="20"/>
      <c r="BZ248" s="20"/>
      <c r="CA248" s="20"/>
      <c r="CB248" s="20"/>
      <c r="CC248" s="20"/>
      <c r="CD248" s="20"/>
      <c r="CE248" s="20"/>
      <c r="CF248" s="20"/>
      <c r="CG248" s="20"/>
      <c r="CH248" s="20"/>
      <c r="CI248" s="20"/>
      <c r="CJ248" s="20"/>
      <c r="CK248" s="20"/>
      <c r="CL248" s="20"/>
      <c r="CM248" s="20"/>
      <c r="CN248" s="20"/>
      <c r="CO248" s="20"/>
      <c r="CP248" s="20"/>
      <c r="CQ248" s="20"/>
      <c r="CR248" s="20"/>
      <c r="CS248" s="20"/>
      <c r="CT248" s="20"/>
      <c r="CU248" s="20"/>
      <c r="CV248" s="20"/>
      <c r="CW248" s="20"/>
      <c r="CX248" s="20"/>
      <c r="CY248" s="20"/>
      <c r="CZ248" s="20"/>
    </row>
    <row r="249" spans="1:104" x14ac:dyDescent="0.2">
      <c r="A249" s="20"/>
      <c r="B249" s="20"/>
      <c r="C249" s="20" t="s">
        <v>61</v>
      </c>
      <c r="D249" s="20"/>
      <c r="E249" s="203"/>
      <c r="F249" s="204"/>
      <c r="G249" s="204"/>
      <c r="H249" s="257">
        <f>(H226-H222)/H242</f>
        <v>2.422905823493088</v>
      </c>
      <c r="I249" s="81">
        <f>(I226-I222)/I32</f>
        <v>2.4229058234930858</v>
      </c>
      <c r="J249" s="258">
        <f t="shared" ref="J249:AM249" si="598">(J226-J222)/J242</f>
        <v>2.6209928347241336</v>
      </c>
      <c r="K249" s="259">
        <f t="shared" si="598"/>
        <v>2.5104094189552386</v>
      </c>
      <c r="L249" s="259">
        <f t="shared" si="598"/>
        <v>2.395725006960947</v>
      </c>
      <c r="M249" s="257">
        <f t="shared" si="598"/>
        <v>2.5669260550740991</v>
      </c>
      <c r="N249" s="81">
        <f t="shared" si="598"/>
        <v>2.5669260550741</v>
      </c>
      <c r="O249" s="258">
        <f t="shared" si="598"/>
        <v>2.522866416343156</v>
      </c>
      <c r="P249" s="259">
        <f t="shared" si="598"/>
        <v>2.3906946156033753</v>
      </c>
      <c r="Q249" s="259">
        <f t="shared" si="598"/>
        <v>2.2519623680378595</v>
      </c>
      <c r="R249" s="257">
        <f t="shared" si="598"/>
        <v>2.4510714668683371</v>
      </c>
      <c r="S249" s="81">
        <f t="shared" si="598"/>
        <v>2.4510714668683362</v>
      </c>
      <c r="T249" s="258">
        <f t="shared" si="598"/>
        <v>2.4719027183297428</v>
      </c>
      <c r="U249" s="259">
        <f>(U226-U222)/U242</f>
        <v>2.5892711343250738</v>
      </c>
      <c r="V249" s="259">
        <f>(V226-V222)/V242</f>
        <v>2.6938011075830839</v>
      </c>
      <c r="W249" s="257">
        <f>(W226-W222)/W242</f>
        <v>2.9336789375582466</v>
      </c>
      <c r="X249" s="81">
        <f>(X226-X222)/X242</f>
        <v>2.9336789375582462</v>
      </c>
      <c r="Y249" s="258">
        <f t="shared" si="598"/>
        <v>2.676370645738674</v>
      </c>
      <c r="Z249" s="259">
        <f t="shared" si="598"/>
        <v>2.4481212961466885</v>
      </c>
      <c r="AA249" s="259">
        <f t="shared" si="598"/>
        <v>2.4496964484986221</v>
      </c>
      <c r="AB249" s="257">
        <f t="shared" si="598"/>
        <v>2.6976081373684484</v>
      </c>
      <c r="AC249" s="81">
        <f t="shared" si="598"/>
        <v>2.6976081373684471</v>
      </c>
      <c r="AD249" s="258">
        <f t="shared" si="598"/>
        <v>2.6641102871899514</v>
      </c>
      <c r="AE249" s="259">
        <f t="shared" si="598"/>
        <v>2.785864917957015</v>
      </c>
      <c r="AF249" s="259">
        <f t="shared" si="598"/>
        <v>2.7963451934625843</v>
      </c>
      <c r="AG249" s="257">
        <f>(AG226-AG222)/AG242</f>
        <v>2.9527473331747571</v>
      </c>
      <c r="AH249" s="81">
        <f>(AH226-AH222)/AH242</f>
        <v>2.9527473331747554</v>
      </c>
      <c r="AI249" s="258">
        <f>(AI226-AI222)/AI242</f>
        <v>2.9660510219031591</v>
      </c>
      <c r="AJ249" s="259">
        <f>(AJ226-AJ222)/AJ242</f>
        <v>2.9209841590832504</v>
      </c>
      <c r="AK249" s="259">
        <f t="shared" si="598"/>
        <v>2.7843707902295214</v>
      </c>
      <c r="AL249" s="257">
        <f t="shared" si="598"/>
        <v>2.8286705105707353</v>
      </c>
      <c r="AM249" s="81">
        <f t="shared" si="598"/>
        <v>2.8286705105707357</v>
      </c>
      <c r="AN249" s="258">
        <f>(AN226-AN222)/AN242</f>
        <v>2.8128906282947712</v>
      </c>
      <c r="AO249" s="259">
        <f t="shared" ref="AO249:AR249" si="599">(AO226-AO222)/AO242</f>
        <v>2.7880400164861916</v>
      </c>
      <c r="AP249" s="259">
        <f t="shared" si="599"/>
        <v>2.7790135194869086</v>
      </c>
      <c r="AQ249" s="257">
        <f t="shared" si="599"/>
        <v>2.9717772472835029</v>
      </c>
      <c r="AR249" s="81">
        <f t="shared" si="599"/>
        <v>2.9717772472835038</v>
      </c>
      <c r="AS249" s="258">
        <f>(AS226-AS222)/AS242</f>
        <v>2.7455532250228121</v>
      </c>
      <c r="AT249" s="259">
        <f t="shared" ref="AT249:AW249" si="600">(AT226-AT222)/AT242</f>
        <v>2.7344375127798553</v>
      </c>
      <c r="AU249" s="259">
        <f t="shared" si="600"/>
        <v>2.9578701109382544</v>
      </c>
      <c r="AV249" s="257">
        <f t="shared" si="600"/>
        <v>2.8888510172894266</v>
      </c>
      <c r="AW249" s="81">
        <f t="shared" si="600"/>
        <v>2.8888510172894266</v>
      </c>
      <c r="AX249" s="258">
        <f t="shared" ref="AX249:BG249" si="601">(AX226-AX222)/AX242</f>
        <v>2.913327350845706</v>
      </c>
      <c r="AY249" s="259">
        <f t="shared" si="601"/>
        <v>3.0093739437135252</v>
      </c>
      <c r="AZ249" s="259">
        <f t="shared" si="601"/>
        <v>3.0893673349264348</v>
      </c>
      <c r="BA249" s="257">
        <f t="shared" si="601"/>
        <v>3.1497717194576254</v>
      </c>
      <c r="BB249" s="81">
        <f t="shared" si="601"/>
        <v>3.1497717194576236</v>
      </c>
      <c r="BC249" s="258">
        <f t="shared" si="601"/>
        <v>3.1159915525145987</v>
      </c>
      <c r="BD249" s="259">
        <f t="shared" si="601"/>
        <v>3.1562630860543734</v>
      </c>
      <c r="BE249" s="259">
        <f t="shared" si="601"/>
        <v>3.1644243642368814</v>
      </c>
      <c r="BF249" s="257">
        <f t="shared" si="601"/>
        <v>3.1555540668199895</v>
      </c>
      <c r="BG249" s="81">
        <f t="shared" si="601"/>
        <v>3.1555540668199908</v>
      </c>
      <c r="BH249" s="258">
        <f t="shared" ref="BH249:BQ249" si="602">(BH226-BH222)/BH242</f>
        <v>3.1027167928615023</v>
      </c>
      <c r="BI249" s="259">
        <f t="shared" si="602"/>
        <v>3.1244466213897919</v>
      </c>
      <c r="BJ249" s="259">
        <f t="shared" si="602"/>
        <v>3.113069221221358</v>
      </c>
      <c r="BK249" s="257">
        <f t="shared" si="602"/>
        <v>3.0872157081631291</v>
      </c>
      <c r="BL249" s="81">
        <f t="shared" si="602"/>
        <v>3.0872157081631291</v>
      </c>
      <c r="BM249" s="258">
        <f t="shared" si="602"/>
        <v>3.0458781470725707</v>
      </c>
      <c r="BN249" s="259">
        <f t="shared" si="602"/>
        <v>3.0784077464256523</v>
      </c>
      <c r="BO249" s="259">
        <f t="shared" si="602"/>
        <v>3.079875093809644</v>
      </c>
      <c r="BP249" s="257">
        <f t="shared" si="602"/>
        <v>3.0641683407059412</v>
      </c>
      <c r="BQ249" s="81">
        <f t="shared" si="602"/>
        <v>3.064168340705939</v>
      </c>
      <c r="BR249" s="20"/>
      <c r="BS249" s="20"/>
      <c r="BT249" s="20"/>
      <c r="BU249" s="20"/>
      <c r="BV249" s="20"/>
      <c r="BW249" s="20"/>
      <c r="BX249" s="20"/>
      <c r="BY249" s="20"/>
      <c r="BZ249" s="20"/>
      <c r="CA249" s="20"/>
      <c r="CB249" s="20"/>
      <c r="CC249" s="20"/>
      <c r="CD249" s="20"/>
      <c r="CE249" s="20"/>
      <c r="CF249" s="20"/>
      <c r="CG249" s="20"/>
      <c r="CH249" s="20"/>
      <c r="CI249" s="20"/>
      <c r="CJ249" s="20"/>
      <c r="CK249" s="20"/>
      <c r="CL249" s="20"/>
      <c r="CM249" s="20"/>
      <c r="CN249" s="20"/>
      <c r="CO249" s="20"/>
      <c r="CP249" s="20"/>
      <c r="CQ249" s="20"/>
      <c r="CR249" s="20"/>
      <c r="CS249" s="20"/>
      <c r="CT249" s="20"/>
      <c r="CU249" s="20"/>
      <c r="CV249" s="20"/>
      <c r="CW249" s="20"/>
      <c r="CX249" s="20"/>
      <c r="CY249" s="20"/>
      <c r="CZ249" s="20"/>
    </row>
    <row r="250" spans="1:104" x14ac:dyDescent="0.2">
      <c r="A250" s="20"/>
      <c r="B250" s="20"/>
      <c r="C250" s="20" t="s">
        <v>62</v>
      </c>
      <c r="D250" s="20"/>
      <c r="E250" s="203"/>
      <c r="F250" s="204"/>
      <c r="G250" s="204"/>
      <c r="H250" s="256">
        <f t="shared" ref="H250:AM250" si="603">H240/H226</f>
        <v>0.28310281935331588</v>
      </c>
      <c r="I250" s="79">
        <f t="shared" si="603"/>
        <v>0.28310281935331588</v>
      </c>
      <c r="J250" s="254">
        <f t="shared" si="603"/>
        <v>0.2617149904917706</v>
      </c>
      <c r="K250" s="255">
        <f t="shared" si="603"/>
        <v>0.27333347749228332</v>
      </c>
      <c r="L250" s="255">
        <f t="shared" si="603"/>
        <v>0.28208474979739362</v>
      </c>
      <c r="M250" s="256">
        <f t="shared" si="603"/>
        <v>0.26152968990381054</v>
      </c>
      <c r="N250" s="79">
        <f t="shared" si="603"/>
        <v>0.26152968990381054</v>
      </c>
      <c r="O250" s="254">
        <f t="shared" si="603"/>
        <v>0.27069308264262831</v>
      </c>
      <c r="P250" s="255">
        <f t="shared" si="603"/>
        <v>0.28485911145136161</v>
      </c>
      <c r="Q250" s="255">
        <f t="shared" si="603"/>
        <v>0.30005812885481087</v>
      </c>
      <c r="R250" s="256">
        <f t="shared" si="603"/>
        <v>0.27434848543943258</v>
      </c>
      <c r="S250" s="79">
        <f t="shared" si="603"/>
        <v>0.27434848543943258</v>
      </c>
      <c r="T250" s="254">
        <f t="shared" si="603"/>
        <v>0.27234481663756166</v>
      </c>
      <c r="U250" s="255">
        <f>U240/U226</f>
        <v>0.26180723079424717</v>
      </c>
      <c r="V250" s="255">
        <f>V240/V226</f>
        <v>0.25544137685439711</v>
      </c>
      <c r="W250" s="256">
        <f>W240/W226</f>
        <v>0.23456396510225105</v>
      </c>
      <c r="X250" s="79">
        <f>X240/X226</f>
        <v>0.23456396510225105</v>
      </c>
      <c r="Y250" s="254">
        <f t="shared" si="603"/>
        <v>0.25674308145560804</v>
      </c>
      <c r="Z250" s="255">
        <f t="shared" si="603"/>
        <v>0.28148437483415328</v>
      </c>
      <c r="AA250" s="255">
        <f t="shared" si="603"/>
        <v>0.2800176635755412</v>
      </c>
      <c r="AB250" s="256">
        <f t="shared" si="603"/>
        <v>0.25390686823059327</v>
      </c>
      <c r="AC250" s="79">
        <f t="shared" si="603"/>
        <v>0.25390686823059327</v>
      </c>
      <c r="AD250" s="254">
        <f t="shared" si="603"/>
        <v>0.25793038267996421</v>
      </c>
      <c r="AE250" s="255">
        <f t="shared" si="603"/>
        <v>0.24801260882099588</v>
      </c>
      <c r="AF250" s="255">
        <f t="shared" si="603"/>
        <v>0.24664659041853268</v>
      </c>
      <c r="AG250" s="256">
        <f>AG240/AG226</f>
        <v>0.23237181717123484</v>
      </c>
      <c r="AH250" s="79">
        <f>AH240/AH226</f>
        <v>0.23237181717123484</v>
      </c>
      <c r="AI250" s="254">
        <f>AI240/AI226</f>
        <v>0.23177661704347724</v>
      </c>
      <c r="AJ250" s="255">
        <f>AJ240/AJ226</f>
        <v>0.22982142830411545</v>
      </c>
      <c r="AK250" s="255">
        <f t="shared" si="603"/>
        <v>0.24369569284885689</v>
      </c>
      <c r="AL250" s="256">
        <f t="shared" si="603"/>
        <v>0.2446286866255809</v>
      </c>
      <c r="AM250" s="79">
        <f t="shared" si="603"/>
        <v>0.2446286866255809</v>
      </c>
      <c r="AN250" s="254">
        <f>AN240/AN226</f>
        <v>0.24596477258440169</v>
      </c>
      <c r="AO250" s="255">
        <f t="shared" ref="AO250:AR250" si="604">AO240/AO226</f>
        <v>0.24674875834597093</v>
      </c>
      <c r="AP250" s="255">
        <f t="shared" si="604"/>
        <v>0.24767692386063661</v>
      </c>
      <c r="AQ250" s="256">
        <f t="shared" si="604"/>
        <v>0.23139327417288466</v>
      </c>
      <c r="AR250" s="79">
        <f t="shared" si="604"/>
        <v>0.23139327417288466</v>
      </c>
      <c r="AS250" s="254">
        <f>AS240/AS226</f>
        <v>0.250908882143139</v>
      </c>
      <c r="AT250" s="255">
        <f t="shared" ref="AT250:AW250" si="605">AT240/AT226</f>
        <v>0.25403647263988544</v>
      </c>
      <c r="AU250" s="255">
        <f t="shared" si="605"/>
        <v>0.24036262583642939</v>
      </c>
      <c r="AV250" s="256">
        <f t="shared" si="605"/>
        <v>0.24671532846715319</v>
      </c>
      <c r="AW250" s="79">
        <f t="shared" si="605"/>
        <v>0.24671532846715319</v>
      </c>
      <c r="AX250" s="254">
        <f t="shared" ref="AX250:BG250" si="606">AX240/AX226</f>
        <v>0.25160467332548242</v>
      </c>
      <c r="AY250" s="255">
        <f t="shared" si="606"/>
        <v>0.24760981429102977</v>
      </c>
      <c r="AZ250" s="255">
        <f t="shared" si="606"/>
        <v>0.24385524464825667</v>
      </c>
      <c r="BA250" s="256">
        <f t="shared" si="606"/>
        <v>0.24418714681988474</v>
      </c>
      <c r="BB250" s="79">
        <f t="shared" si="606"/>
        <v>0.24418714681988474</v>
      </c>
      <c r="BC250" s="254">
        <f t="shared" si="606"/>
        <v>0.24716141443956172</v>
      </c>
      <c r="BD250" s="255">
        <f t="shared" si="606"/>
        <v>0.24454412424317587</v>
      </c>
      <c r="BE250" s="255">
        <f t="shared" si="606"/>
        <v>0.24392481545159792</v>
      </c>
      <c r="BF250" s="256">
        <f t="shared" si="606"/>
        <v>0.2446232094638211</v>
      </c>
      <c r="BG250" s="79">
        <f t="shared" si="606"/>
        <v>0.2446232094638211</v>
      </c>
      <c r="BH250" s="254">
        <f t="shared" ref="BH250:BQ250" si="607">BH240/BH226</f>
        <v>0.24866797460898685</v>
      </c>
      <c r="BI250" s="255">
        <f t="shared" si="607"/>
        <v>0.24695664024286193</v>
      </c>
      <c r="BJ250" s="255">
        <f t="shared" si="607"/>
        <v>0.24644878405461051</v>
      </c>
      <c r="BK250" s="256">
        <f t="shared" si="607"/>
        <v>0.24961032173227302</v>
      </c>
      <c r="BL250" s="79">
        <f t="shared" si="607"/>
        <v>0.24961032173227302</v>
      </c>
      <c r="BM250" s="254">
        <f t="shared" si="607"/>
        <v>0.25312971649353228</v>
      </c>
      <c r="BN250" s="255">
        <f t="shared" si="607"/>
        <v>0.2505745869953156</v>
      </c>
      <c r="BO250" s="255">
        <f t="shared" si="607"/>
        <v>0.24795779970331194</v>
      </c>
      <c r="BP250" s="256">
        <f t="shared" si="607"/>
        <v>0.25185799019837679</v>
      </c>
      <c r="BQ250" s="79">
        <f t="shared" si="607"/>
        <v>0.25185799019837679</v>
      </c>
      <c r="BR250" s="20"/>
      <c r="BS250" s="20"/>
      <c r="BT250" s="20"/>
      <c r="BU250" s="20"/>
      <c r="BV250" s="20"/>
      <c r="BW250" s="20"/>
      <c r="BX250" s="20"/>
      <c r="BY250" s="20"/>
      <c r="BZ250" s="20"/>
      <c r="CA250" s="20"/>
      <c r="CB250" s="20"/>
      <c r="CC250" s="20"/>
      <c r="CD250" s="20"/>
      <c r="CE250" s="20"/>
      <c r="CF250" s="20"/>
      <c r="CG250" s="20"/>
      <c r="CH250" s="20"/>
      <c r="CI250" s="20"/>
      <c r="CJ250" s="20"/>
      <c r="CK250" s="20"/>
      <c r="CL250" s="20"/>
      <c r="CM250" s="20"/>
      <c r="CN250" s="20"/>
      <c r="CO250" s="20"/>
      <c r="CP250" s="20"/>
      <c r="CQ250" s="20"/>
      <c r="CR250" s="20"/>
      <c r="CS250" s="20"/>
      <c r="CT250" s="20"/>
      <c r="CU250" s="20"/>
      <c r="CV250" s="20"/>
      <c r="CW250" s="20"/>
      <c r="CX250" s="20"/>
      <c r="CY250" s="20"/>
      <c r="CZ250" s="20"/>
    </row>
    <row r="251" spans="1:104" x14ac:dyDescent="0.2">
      <c r="A251" s="289"/>
      <c r="B251" s="289"/>
      <c r="C251" s="289"/>
      <c r="D251" s="289"/>
      <c r="E251" s="291"/>
      <c r="F251" s="292"/>
      <c r="G251" s="292"/>
      <c r="H251" s="293"/>
      <c r="I251" s="289"/>
      <c r="J251" s="291"/>
      <c r="K251" s="292"/>
      <c r="L251" s="292"/>
      <c r="M251" s="293"/>
      <c r="N251" s="289"/>
      <c r="O251" s="291"/>
      <c r="P251" s="292"/>
      <c r="Q251" s="292"/>
      <c r="R251" s="293"/>
      <c r="S251" s="289"/>
      <c r="T251" s="291"/>
      <c r="U251" s="292"/>
      <c r="V251" s="292"/>
      <c r="W251" s="293"/>
      <c r="X251" s="289"/>
      <c r="Y251" s="291"/>
      <c r="Z251" s="292"/>
      <c r="AA251" s="292"/>
      <c r="AB251" s="293"/>
      <c r="AC251" s="289"/>
      <c r="AD251" s="291"/>
      <c r="AE251" s="292"/>
      <c r="AF251" s="292"/>
      <c r="AG251" s="293"/>
      <c r="AH251" s="289"/>
      <c r="AI251" s="291"/>
      <c r="AJ251" s="292"/>
      <c r="AK251" s="292"/>
      <c r="AL251" s="293"/>
      <c r="AM251" s="289"/>
      <c r="AN251" s="291"/>
      <c r="AO251" s="292"/>
      <c r="AP251" s="292"/>
      <c r="AQ251" s="293"/>
      <c r="AR251" s="289"/>
      <c r="AS251" s="291"/>
      <c r="AT251" s="292"/>
      <c r="AU251" s="292"/>
      <c r="AV251" s="293"/>
      <c r="AW251" s="289"/>
      <c r="AX251" s="291"/>
      <c r="AY251" s="292"/>
      <c r="AZ251" s="292"/>
      <c r="BA251" s="293"/>
      <c r="BB251" s="289"/>
      <c r="BC251" s="291"/>
      <c r="BD251" s="292"/>
      <c r="BE251" s="292"/>
      <c r="BF251" s="293"/>
      <c r="BG251" s="289"/>
      <c r="BH251" s="291"/>
      <c r="BI251" s="292"/>
      <c r="BJ251" s="292"/>
      <c r="BK251" s="293"/>
      <c r="BL251" s="289"/>
      <c r="BM251" s="291"/>
      <c r="BN251" s="292"/>
      <c r="BO251" s="292"/>
      <c r="BP251" s="293"/>
      <c r="BQ251" s="289"/>
      <c r="BR251" s="289"/>
      <c r="BS251" s="289"/>
      <c r="BT251" s="289"/>
      <c r="BU251" s="289"/>
      <c r="BV251" s="289"/>
      <c r="BW251" s="289"/>
      <c r="BX251" s="289"/>
      <c r="BY251" s="289"/>
      <c r="BZ251" s="289"/>
      <c r="CA251" s="289"/>
      <c r="CB251" s="289"/>
      <c r="CC251" s="289"/>
      <c r="CD251" s="289"/>
      <c r="CE251" s="289"/>
      <c r="CF251" s="289"/>
      <c r="CG251" s="289"/>
      <c r="CH251" s="289"/>
      <c r="CI251" s="289"/>
      <c r="CJ251" s="289"/>
      <c r="CK251" s="289"/>
      <c r="CL251" s="289"/>
      <c r="CM251" s="289"/>
      <c r="CN251" s="289"/>
      <c r="CO251" s="289"/>
      <c r="CP251" s="289"/>
      <c r="CQ251" s="289"/>
      <c r="CR251" s="289"/>
      <c r="CS251" s="289"/>
      <c r="CT251" s="289"/>
      <c r="CU251" s="289"/>
      <c r="CV251" s="289"/>
      <c r="CW251" s="289"/>
      <c r="CX251" s="289"/>
      <c r="CY251" s="289"/>
      <c r="CZ251" s="289"/>
    </row>
    <row r="252" spans="1:104" x14ac:dyDescent="0.2">
      <c r="A252" s="289"/>
      <c r="B252" s="289"/>
      <c r="C252" s="141" t="s">
        <v>63</v>
      </c>
      <c r="D252" s="289"/>
      <c r="E252" s="291"/>
      <c r="F252" s="292"/>
      <c r="G252" s="292"/>
      <c r="H252" s="293"/>
      <c r="I252" s="289"/>
      <c r="J252" s="291"/>
      <c r="K252" s="292"/>
      <c r="L252" s="292"/>
      <c r="M252" s="293"/>
      <c r="N252" s="289"/>
      <c r="O252" s="291"/>
      <c r="P252" s="292"/>
      <c r="Q252" s="292"/>
      <c r="R252" s="293"/>
      <c r="S252" s="289"/>
      <c r="T252" s="291"/>
      <c r="U252" s="292"/>
      <c r="V252" s="292"/>
      <c r="W252" s="293"/>
      <c r="X252" s="289"/>
      <c r="Y252" s="291"/>
      <c r="Z252" s="292"/>
      <c r="AA252" s="292"/>
      <c r="AB252" s="293"/>
      <c r="AC252" s="289"/>
      <c r="AD252" s="291"/>
      <c r="AE252" s="292"/>
      <c r="AF252" s="292"/>
      <c r="AG252" s="293"/>
      <c r="AH252" s="289"/>
      <c r="AI252" s="291"/>
      <c r="AJ252" s="292"/>
      <c r="AK252" s="292"/>
      <c r="AL252" s="293"/>
      <c r="AM252" s="289"/>
      <c r="AN252" s="291"/>
      <c r="AO252" s="292"/>
      <c r="AP252" s="292"/>
      <c r="AQ252" s="293"/>
      <c r="AR252" s="289"/>
      <c r="AS252" s="291"/>
      <c r="AT252" s="292"/>
      <c r="AU252" s="292"/>
      <c r="AV252" s="293"/>
      <c r="AW252" s="289"/>
      <c r="AX252" s="291"/>
      <c r="AY252" s="292"/>
      <c r="AZ252" s="292"/>
      <c r="BA252" s="293"/>
      <c r="BB252" s="289"/>
      <c r="BC252" s="291"/>
      <c r="BD252" s="292"/>
      <c r="BE252" s="292"/>
      <c r="BF252" s="293"/>
      <c r="BG252" s="289"/>
      <c r="BH252" s="291"/>
      <c r="BI252" s="292"/>
      <c r="BJ252" s="292"/>
      <c r="BK252" s="293"/>
      <c r="BL252" s="289"/>
      <c r="BM252" s="291"/>
      <c r="BN252" s="292"/>
      <c r="BO252" s="292"/>
      <c r="BP252" s="293"/>
      <c r="BQ252" s="289"/>
      <c r="BR252" s="289"/>
      <c r="BS252" s="289"/>
      <c r="BT252" s="289"/>
      <c r="BU252" s="289"/>
      <c r="BV252" s="289"/>
      <c r="BW252" s="289"/>
      <c r="BX252" s="289"/>
      <c r="BY252" s="289"/>
      <c r="BZ252" s="289"/>
      <c r="CA252" s="289"/>
      <c r="CB252" s="289"/>
      <c r="CC252" s="289"/>
      <c r="CD252" s="289"/>
      <c r="CE252" s="289"/>
      <c r="CF252" s="289"/>
      <c r="CG252" s="289"/>
      <c r="CH252" s="289"/>
      <c r="CI252" s="289"/>
      <c r="CJ252" s="289"/>
      <c r="CK252" s="289"/>
      <c r="CL252" s="289"/>
      <c r="CM252" s="289"/>
      <c r="CN252" s="289"/>
      <c r="CO252" s="289"/>
      <c r="CP252" s="289"/>
      <c r="CQ252" s="289"/>
      <c r="CR252" s="289"/>
      <c r="CS252" s="289"/>
      <c r="CT252" s="289"/>
      <c r="CU252" s="289"/>
      <c r="CV252" s="289"/>
      <c r="CW252" s="289"/>
      <c r="CX252" s="289"/>
      <c r="CY252" s="289"/>
      <c r="CZ252" s="289"/>
    </row>
    <row r="253" spans="1:104" x14ac:dyDescent="0.2">
      <c r="A253" s="289"/>
      <c r="B253" s="289"/>
      <c r="C253" s="289" t="s">
        <v>65</v>
      </c>
      <c r="D253" s="289"/>
      <c r="E253" s="291"/>
      <c r="F253" s="292"/>
      <c r="G253" s="292"/>
      <c r="H253" s="257">
        <f t="shared" ref="H253:AM253" si="608">(H240+H243)/H243</f>
        <v>5.4031958679686936</v>
      </c>
      <c r="I253" s="81">
        <f t="shared" si="608"/>
        <v>5.4031958679686936</v>
      </c>
      <c r="J253" s="258">
        <f t="shared" si="608"/>
        <v>5.1423670668953738</v>
      </c>
      <c r="K253" s="259">
        <f t="shared" si="608"/>
        <v>5.1195665458100841</v>
      </c>
      <c r="L253" s="259">
        <f t="shared" si="608"/>
        <v>5.3351282472870825</v>
      </c>
      <c r="M253" s="257">
        <f t="shared" si="608"/>
        <v>5.3405800057103203</v>
      </c>
      <c r="N253" s="81">
        <f t="shared" si="608"/>
        <v>5.3405800057103203</v>
      </c>
      <c r="O253" s="258">
        <f t="shared" si="608"/>
        <v>5.4912266181095806</v>
      </c>
      <c r="P253" s="259">
        <f t="shared" si="608"/>
        <v>5.7658554724620865</v>
      </c>
      <c r="Q253" s="259">
        <f t="shared" si="608"/>
        <v>5.9242618211852109</v>
      </c>
      <c r="R253" s="257">
        <f t="shared" si="608"/>
        <v>5.9478649453823262</v>
      </c>
      <c r="S253" s="81">
        <f t="shared" si="608"/>
        <v>5.9478649453823262</v>
      </c>
      <c r="T253" s="258">
        <f t="shared" si="608"/>
        <v>5.9662944582299451</v>
      </c>
      <c r="U253" s="259">
        <f>(U240+U243)/U243</f>
        <v>5.8685278767293561</v>
      </c>
      <c r="V253" s="259">
        <f>(V240+V243)/V243</f>
        <v>5.9769412937803841</v>
      </c>
      <c r="W253" s="257">
        <f>(W240+W243)/W243</f>
        <v>5.8060405661518653</v>
      </c>
      <c r="X253" s="81">
        <f>(X240+X243)/X243</f>
        <v>5.8060405661518653</v>
      </c>
      <c r="Y253" s="258">
        <f t="shared" si="608"/>
        <v>5.9080697375092672</v>
      </c>
      <c r="Z253" s="259">
        <f t="shared" si="608"/>
        <v>6.0209398311181834</v>
      </c>
      <c r="AA253" s="259">
        <f t="shared" si="608"/>
        <v>5.8608620190917033</v>
      </c>
      <c r="AB253" s="257">
        <f t="shared" si="608"/>
        <v>5.9057452243047823</v>
      </c>
      <c r="AC253" s="81">
        <f t="shared" si="608"/>
        <v>5.9057452243047823</v>
      </c>
      <c r="AD253" s="258">
        <f t="shared" si="608"/>
        <v>6.0834981480815609</v>
      </c>
      <c r="AE253" s="259">
        <f t="shared" si="608"/>
        <v>6.1377892214712304</v>
      </c>
      <c r="AF253" s="259">
        <f t="shared" si="608"/>
        <v>5.9965230218101384</v>
      </c>
      <c r="AG253" s="257">
        <f>(AG240+AG243)/AG243</f>
        <v>6.1342875687493645</v>
      </c>
      <c r="AH253" s="81">
        <f>(AH240+AH243)/AH243</f>
        <v>6.1342875687493645</v>
      </c>
      <c r="AI253" s="258">
        <f>(AI240+AI243)/AI243</f>
        <v>5.985809959551756</v>
      </c>
      <c r="AJ253" s="259">
        <f>(AJ240+AJ243)/AJ243</f>
        <v>5.9580494106249029</v>
      </c>
      <c r="AK253" s="259">
        <f t="shared" si="608"/>
        <v>6.1054282040829158</v>
      </c>
      <c r="AL253" s="257">
        <f t="shared" si="608"/>
        <v>6.0680089212061965</v>
      </c>
      <c r="AM253" s="81">
        <f t="shared" si="608"/>
        <v>6.0680089212061965</v>
      </c>
      <c r="AN253" s="258">
        <f>(AN240+AN243)/AN243</f>
        <v>5.8939217963608241</v>
      </c>
      <c r="AO253" s="259">
        <f t="shared" ref="AO253:AR253" si="609">(AO240+AO243)/AO243</f>
        <v>5.8163182227908479</v>
      </c>
      <c r="AP253" s="259">
        <f t="shared" si="609"/>
        <v>5.8084004770354047</v>
      </c>
      <c r="AQ253" s="257">
        <f t="shared" si="609"/>
        <v>5.8597759201207484</v>
      </c>
      <c r="AR253" s="81">
        <f t="shared" si="609"/>
        <v>5.8597759201207484</v>
      </c>
      <c r="AS253" s="258">
        <f>(AS240+AS243)/AS243</f>
        <v>6.0627570228786549</v>
      </c>
      <c r="AT253" s="259">
        <f t="shared" ref="AT253:AW253" si="610">(AT240+AT243)/AT243</f>
        <v>6.2117157471895483</v>
      </c>
      <c r="AU253" s="259">
        <f t="shared" si="610"/>
        <v>6.246528279007995</v>
      </c>
      <c r="AV253" s="257">
        <f t="shared" si="610"/>
        <v>6.4404109589041081</v>
      </c>
      <c r="AW253" s="81">
        <f t="shared" si="610"/>
        <v>6.4404109589041081</v>
      </c>
      <c r="AX253" s="258">
        <f t="shared" ref="AX253:BG253" si="611">(AX240+AX243)/AX243</f>
        <v>6.4802332718442903</v>
      </c>
      <c r="AY253" s="259">
        <f t="shared" si="611"/>
        <v>6.4393222192253932</v>
      </c>
      <c r="AZ253" s="259">
        <f t="shared" si="611"/>
        <v>6.3610380097027495</v>
      </c>
      <c r="BA253" s="257">
        <f t="shared" si="611"/>
        <v>6.4176767873008078</v>
      </c>
      <c r="BB253" s="81">
        <f t="shared" si="611"/>
        <v>6.4176767873008078</v>
      </c>
      <c r="BC253" s="258">
        <f t="shared" si="611"/>
        <v>6.5040463849799552</v>
      </c>
      <c r="BD253" s="259">
        <f t="shared" si="611"/>
        <v>6.5822036034064393</v>
      </c>
      <c r="BE253" s="259">
        <f t="shared" si="611"/>
        <v>6.5656378972397924</v>
      </c>
      <c r="BF253" s="257">
        <f t="shared" si="611"/>
        <v>6.5685936383142325</v>
      </c>
      <c r="BG253" s="81">
        <f t="shared" si="611"/>
        <v>6.5685936383142325</v>
      </c>
      <c r="BH253" s="258">
        <f t="shared" ref="BH253:BQ253" si="612">(BH240+BH243)/BH243</f>
        <v>6.5917212499898117</v>
      </c>
      <c r="BI253" s="259">
        <f t="shared" si="612"/>
        <v>6.6050935621383102</v>
      </c>
      <c r="BJ253" s="259">
        <f t="shared" si="612"/>
        <v>6.581125978692242</v>
      </c>
      <c r="BK253" s="257">
        <f t="shared" si="612"/>
        <v>6.6010827398287661</v>
      </c>
      <c r="BL253" s="81">
        <f t="shared" si="612"/>
        <v>6.6010827398287661</v>
      </c>
      <c r="BM253" s="258">
        <f t="shared" si="612"/>
        <v>6.6354743708290052</v>
      </c>
      <c r="BN253" s="259">
        <f t="shared" si="612"/>
        <v>6.6541567978290361</v>
      </c>
      <c r="BO253" s="259">
        <f t="shared" si="612"/>
        <v>6.634119144965223</v>
      </c>
      <c r="BP253" s="257">
        <f t="shared" si="612"/>
        <v>6.6778560484661869</v>
      </c>
      <c r="BQ253" s="81">
        <f t="shared" si="612"/>
        <v>6.6778560484661869</v>
      </c>
      <c r="BR253" s="289"/>
      <c r="BS253" s="289"/>
      <c r="BT253" s="289"/>
      <c r="BU253" s="289"/>
      <c r="BV253" s="289"/>
      <c r="BW253" s="289"/>
      <c r="BX253" s="289"/>
      <c r="BY253" s="289"/>
      <c r="BZ253" s="289"/>
      <c r="CA253" s="289"/>
      <c r="CB253" s="289"/>
      <c r="CC253" s="289"/>
      <c r="CD253" s="289"/>
      <c r="CE253" s="289"/>
      <c r="CF253" s="289"/>
      <c r="CG253" s="289"/>
      <c r="CH253" s="289"/>
      <c r="CI253" s="289"/>
      <c r="CJ253" s="289"/>
      <c r="CK253" s="289"/>
      <c r="CL253" s="289"/>
      <c r="CM253" s="289"/>
      <c r="CN253" s="289"/>
      <c r="CO253" s="289"/>
      <c r="CP253" s="289"/>
      <c r="CQ253" s="289"/>
      <c r="CR253" s="289"/>
      <c r="CS253" s="289"/>
      <c r="CT253" s="289"/>
      <c r="CU253" s="289"/>
      <c r="CV253" s="289"/>
      <c r="CW253" s="289"/>
      <c r="CX253" s="289"/>
      <c r="CY253" s="289"/>
      <c r="CZ253" s="289"/>
    </row>
    <row r="254" spans="1:104" x14ac:dyDescent="0.2">
      <c r="A254" s="289"/>
      <c r="B254" s="289"/>
      <c r="C254" s="289" t="s">
        <v>66</v>
      </c>
      <c r="D254" s="289"/>
      <c r="E254" s="291"/>
      <c r="F254" s="292"/>
      <c r="G254" s="292"/>
      <c r="H254" s="257">
        <f t="shared" ref="H254:AM254" si="613">H241/H243</f>
        <v>3.9119118715196524</v>
      </c>
      <c r="I254" s="81">
        <f t="shared" si="613"/>
        <v>3.9119118715196568</v>
      </c>
      <c r="J254" s="258">
        <f t="shared" si="613"/>
        <v>3.4825206240300588</v>
      </c>
      <c r="K254" s="259">
        <f t="shared" si="613"/>
        <v>3.4164663706359235</v>
      </c>
      <c r="L254" s="259">
        <f t="shared" si="613"/>
        <v>3.7552614271621199</v>
      </c>
      <c r="M254" s="257">
        <f t="shared" si="613"/>
        <v>3.7663254068605463</v>
      </c>
      <c r="N254" s="81">
        <f t="shared" si="613"/>
        <v>3.7663254068605423</v>
      </c>
      <c r="O254" s="258">
        <f t="shared" si="613"/>
        <v>3.8260221817579869</v>
      </c>
      <c r="P254" s="259">
        <f t="shared" si="613"/>
        <v>4.2591001115564167</v>
      </c>
      <c r="Q254" s="259">
        <f t="shared" si="613"/>
        <v>4.4832954780094978</v>
      </c>
      <c r="R254" s="257">
        <f t="shared" si="613"/>
        <v>4.4940830850711677</v>
      </c>
      <c r="S254" s="81">
        <f t="shared" si="613"/>
        <v>4.4940830850711704</v>
      </c>
      <c r="T254" s="258">
        <f t="shared" si="613"/>
        <v>4.5057485525227463</v>
      </c>
      <c r="U254" s="259">
        <f>U241/U243</f>
        <v>4.2938447518846834</v>
      </c>
      <c r="V254" s="259">
        <f>V241/V243</f>
        <v>4.3405625493373199</v>
      </c>
      <c r="W254" s="257">
        <f>W241/W243</f>
        <v>4.131053671519016</v>
      </c>
      <c r="X254" s="81">
        <f>X241/X243</f>
        <v>4.1310536715190169</v>
      </c>
      <c r="Y254" s="258">
        <f t="shared" si="613"/>
        <v>4.3096454619915008</v>
      </c>
      <c r="Z254" s="259">
        <f t="shared" si="613"/>
        <v>4.4993373471165183</v>
      </c>
      <c r="AA254" s="259">
        <f t="shared" si="613"/>
        <v>4.3496890367370602</v>
      </c>
      <c r="AB254" s="257">
        <f t="shared" si="613"/>
        <v>4.3779184804115525</v>
      </c>
      <c r="AC254" s="81">
        <f t="shared" si="613"/>
        <v>4.377918480411557</v>
      </c>
      <c r="AD254" s="258">
        <f t="shared" si="613"/>
        <v>4.5847747132223384</v>
      </c>
      <c r="AE254" s="259">
        <f t="shared" si="613"/>
        <v>4.6319779708901025</v>
      </c>
      <c r="AF254" s="259">
        <f t="shared" si="613"/>
        <v>4.4566431356021479</v>
      </c>
      <c r="AG254" s="257">
        <f>AG241/AG243</f>
        <v>4.7469681959484848</v>
      </c>
      <c r="AH254" s="81">
        <f>AH241/AH243</f>
        <v>4.7469681959484911</v>
      </c>
      <c r="AI254" s="258">
        <f>AI241/AI243</f>
        <v>4.5324580598103541</v>
      </c>
      <c r="AJ254" s="259">
        <f>AJ241/AJ243</f>
        <v>4.461908606491197</v>
      </c>
      <c r="AK254" s="259">
        <f t="shared" si="613"/>
        <v>4.6604471761422399</v>
      </c>
      <c r="AL254" s="257">
        <f t="shared" si="613"/>
        <v>4.5246096972289287</v>
      </c>
      <c r="AM254" s="81">
        <f t="shared" si="613"/>
        <v>4.5246096972289269</v>
      </c>
      <c r="AN254" s="258">
        <f>AN241/AN243</f>
        <v>4.2522112034307193</v>
      </c>
      <c r="AO254" s="259">
        <f t="shared" ref="AO254:AR254" si="614">AO241/AO243</f>
        <v>4.2067982902503598</v>
      </c>
      <c r="AP254" s="259">
        <f t="shared" si="614"/>
        <v>4.1477646237528774</v>
      </c>
      <c r="AQ254" s="257">
        <f t="shared" si="614"/>
        <v>4.1990595611285277</v>
      </c>
      <c r="AR254" s="81">
        <f t="shared" si="614"/>
        <v>4.1990595611285269</v>
      </c>
      <c r="AS254" s="258">
        <f>AS241/AS243</f>
        <v>4.4097017086591359</v>
      </c>
      <c r="AT254" s="259">
        <f t="shared" ref="AT254:AW254" si="615">AT241/AT243</f>
        <v>4.4618963673669905</v>
      </c>
      <c r="AU254" s="259">
        <f t="shared" si="615"/>
        <v>4.2470768253601623</v>
      </c>
      <c r="AV254" s="257">
        <f t="shared" si="615"/>
        <v>4.445433789954337</v>
      </c>
      <c r="AW254" s="81">
        <f t="shared" si="615"/>
        <v>4.4454337899543361</v>
      </c>
      <c r="AX254" s="258">
        <f t="shared" ref="AX254:BG254" si="616">AX241/AX243</f>
        <v>4.3189665265429396</v>
      </c>
      <c r="AY254" s="259">
        <f t="shared" si="616"/>
        <v>4.1669483566842578</v>
      </c>
      <c r="AZ254" s="259">
        <f t="shared" si="616"/>
        <v>3.9940740862665987</v>
      </c>
      <c r="BA254" s="257">
        <f t="shared" si="616"/>
        <v>3.9009884571783933</v>
      </c>
      <c r="BB254" s="81">
        <f t="shared" si="616"/>
        <v>3.9009884571783964</v>
      </c>
      <c r="BC254" s="258">
        <f t="shared" si="616"/>
        <v>3.9636744601132605</v>
      </c>
      <c r="BD254" s="259">
        <f t="shared" si="616"/>
        <v>3.9929418514255111</v>
      </c>
      <c r="BE254" s="259">
        <f t="shared" si="616"/>
        <v>3.9659452034417217</v>
      </c>
      <c r="BF254" s="257">
        <f t="shared" si="616"/>
        <v>3.9616847827446144</v>
      </c>
      <c r="BG254" s="81">
        <f t="shared" si="616"/>
        <v>3.9616847827446113</v>
      </c>
      <c r="BH254" s="258">
        <f t="shared" ref="BH254:BQ254" si="617">BH241/BH243</f>
        <v>3.9904664136054668</v>
      </c>
      <c r="BI254" s="259">
        <f t="shared" si="617"/>
        <v>3.993970238655757</v>
      </c>
      <c r="BJ254" s="259">
        <f t="shared" si="617"/>
        <v>3.9815249384673201</v>
      </c>
      <c r="BK254" s="257">
        <f t="shared" si="617"/>
        <v>4.0034593516181927</v>
      </c>
      <c r="BL254" s="81">
        <f t="shared" si="617"/>
        <v>4.0034593516181936</v>
      </c>
      <c r="BM254" s="258">
        <f t="shared" si="617"/>
        <v>4.0410699754363444</v>
      </c>
      <c r="BN254" s="259">
        <f t="shared" si="617"/>
        <v>4.0623073274943522</v>
      </c>
      <c r="BO254" s="259">
        <f t="shared" si="617"/>
        <v>4.0596092530264034</v>
      </c>
      <c r="BP254" s="257">
        <f t="shared" si="617"/>
        <v>4.0992505049615371</v>
      </c>
      <c r="BQ254" s="81">
        <f t="shared" si="617"/>
        <v>4.0992505049615415</v>
      </c>
      <c r="BR254" s="289"/>
      <c r="BS254" s="289"/>
      <c r="BT254" s="289"/>
      <c r="BU254" s="289"/>
      <c r="BV254" s="289"/>
      <c r="BW254" s="289"/>
      <c r="BX254" s="289"/>
      <c r="BY254" s="289"/>
      <c r="BZ254" s="289"/>
      <c r="CA254" s="289"/>
      <c r="CB254" s="289"/>
      <c r="CC254" s="289"/>
      <c r="CD254" s="289"/>
      <c r="CE254" s="289"/>
      <c r="CF254" s="289"/>
      <c r="CG254" s="289"/>
      <c r="CH254" s="289"/>
      <c r="CI254" s="289"/>
      <c r="CJ254" s="289"/>
      <c r="CK254" s="289"/>
      <c r="CL254" s="289"/>
      <c r="CM254" s="289"/>
      <c r="CN254" s="289"/>
      <c r="CO254" s="289"/>
      <c r="CP254" s="289"/>
      <c r="CQ254" s="289"/>
      <c r="CR254" s="289"/>
      <c r="CS254" s="289"/>
      <c r="CT254" s="289"/>
      <c r="CU254" s="289"/>
      <c r="CV254" s="289"/>
      <c r="CW254" s="289"/>
      <c r="CX254" s="289"/>
      <c r="CY254" s="289"/>
      <c r="CZ254" s="289"/>
    </row>
    <row r="255" spans="1:104" x14ac:dyDescent="0.2">
      <c r="A255" s="289"/>
      <c r="B255" s="289"/>
      <c r="C255" s="289"/>
      <c r="D255" s="289"/>
      <c r="E255" s="291"/>
      <c r="F255" s="292"/>
      <c r="G255" s="292"/>
      <c r="H255" s="293"/>
      <c r="I255" s="289"/>
      <c r="J255" s="291"/>
      <c r="K255" s="292"/>
      <c r="L255" s="292"/>
      <c r="M255" s="293"/>
      <c r="N255" s="289"/>
      <c r="O255" s="291"/>
      <c r="P255" s="292"/>
      <c r="Q255" s="292"/>
      <c r="R255" s="293"/>
      <c r="S255" s="289"/>
      <c r="T255" s="291"/>
      <c r="U255" s="292"/>
      <c r="V255" s="292"/>
      <c r="W255" s="293"/>
      <c r="X255" s="289"/>
      <c r="Y255" s="291"/>
      <c r="Z255" s="292"/>
      <c r="AA255" s="292"/>
      <c r="AB255" s="293"/>
      <c r="AC255" s="289"/>
      <c r="AD255" s="291"/>
      <c r="AE255" s="292"/>
      <c r="AF255" s="292"/>
      <c r="AG255" s="293"/>
      <c r="AH255" s="289"/>
      <c r="AI255" s="291"/>
      <c r="AJ255" s="292"/>
      <c r="AK255" s="292"/>
      <c r="AL255" s="293"/>
      <c r="AM255" s="289"/>
      <c r="AN255" s="291"/>
      <c r="AO255" s="292"/>
      <c r="AP255" s="292"/>
      <c r="AQ255" s="293"/>
      <c r="AR255" s="289"/>
      <c r="AS255" s="291"/>
      <c r="AT255" s="292"/>
      <c r="AU255" s="292"/>
      <c r="AV255" s="293"/>
      <c r="AW255" s="289"/>
      <c r="AX255" s="291"/>
      <c r="AY255" s="292"/>
      <c r="AZ255" s="292"/>
      <c r="BA255" s="293"/>
      <c r="BB255" s="289"/>
      <c r="BC255" s="291"/>
      <c r="BD255" s="292"/>
      <c r="BE255" s="292"/>
      <c r="BF255" s="293"/>
      <c r="BG255" s="289"/>
      <c r="BH255" s="291"/>
      <c r="BI255" s="292"/>
      <c r="BJ255" s="292"/>
      <c r="BK255" s="293"/>
      <c r="BL255" s="289"/>
      <c r="BM255" s="291"/>
      <c r="BN255" s="292"/>
      <c r="BO255" s="292"/>
      <c r="BP255" s="293"/>
      <c r="BQ255" s="289"/>
      <c r="BR255" s="289"/>
      <c r="BS255" s="289"/>
      <c r="BT255" s="289"/>
      <c r="BU255" s="289"/>
      <c r="BV255" s="289"/>
      <c r="BW255" s="289"/>
      <c r="BX255" s="289"/>
      <c r="BY255" s="289"/>
      <c r="BZ255" s="289"/>
      <c r="CA255" s="289"/>
      <c r="CB255" s="289"/>
      <c r="CC255" s="289"/>
      <c r="CD255" s="289"/>
      <c r="CE255" s="289"/>
      <c r="CF255" s="289"/>
      <c r="CG255" s="289"/>
      <c r="CH255" s="289"/>
      <c r="CI255" s="289"/>
      <c r="CJ255" s="289"/>
      <c r="CK255" s="289"/>
      <c r="CL255" s="289"/>
      <c r="CM255" s="289"/>
      <c r="CN255" s="289"/>
      <c r="CO255" s="289"/>
      <c r="CP255" s="289"/>
      <c r="CQ255" s="289"/>
      <c r="CR255" s="289"/>
      <c r="CS255" s="289"/>
      <c r="CT255" s="289"/>
      <c r="CU255" s="289"/>
      <c r="CV255" s="289"/>
      <c r="CW255" s="289"/>
      <c r="CX255" s="289"/>
      <c r="CY255" s="289"/>
      <c r="CZ255" s="289"/>
    </row>
    <row r="256" spans="1:104" x14ac:dyDescent="0.2">
      <c r="A256" s="289"/>
      <c r="B256" s="289"/>
      <c r="C256" s="289"/>
      <c r="D256" s="289"/>
      <c r="E256" s="291"/>
      <c r="F256" s="292"/>
      <c r="G256" s="292"/>
      <c r="H256" s="293"/>
      <c r="I256" s="289"/>
      <c r="J256" s="291"/>
      <c r="K256" s="292"/>
      <c r="L256" s="292"/>
      <c r="M256" s="293"/>
      <c r="N256" s="289"/>
      <c r="O256" s="291"/>
      <c r="P256" s="292"/>
      <c r="Q256" s="292"/>
      <c r="R256" s="293"/>
      <c r="S256" s="289"/>
      <c r="T256" s="291"/>
      <c r="U256" s="292"/>
      <c r="V256" s="292"/>
      <c r="W256" s="293"/>
      <c r="X256" s="289"/>
      <c r="Y256" s="291"/>
      <c r="Z256" s="292"/>
      <c r="AA256" s="292"/>
      <c r="AB256" s="293"/>
      <c r="AC256" s="289"/>
      <c r="AD256" s="291"/>
      <c r="AE256" s="292"/>
      <c r="AF256" s="292"/>
      <c r="AG256" s="293"/>
      <c r="AH256" s="289"/>
      <c r="AI256" s="291"/>
      <c r="AJ256" s="292"/>
      <c r="AK256" s="292"/>
      <c r="AL256" s="293"/>
      <c r="AM256" s="289"/>
      <c r="AN256" s="291"/>
      <c r="AO256" s="292"/>
      <c r="AP256" s="292"/>
      <c r="AQ256" s="293"/>
      <c r="AR256" s="289"/>
      <c r="AS256" s="291"/>
      <c r="AT256" s="292"/>
      <c r="AU256" s="292"/>
      <c r="AV256" s="293"/>
      <c r="AW256" s="289"/>
      <c r="AX256" s="291"/>
      <c r="AY256" s="292"/>
      <c r="AZ256" s="292"/>
      <c r="BA256" s="293"/>
      <c r="BB256" s="289"/>
      <c r="BC256" s="291"/>
      <c r="BD256" s="292"/>
      <c r="BE256" s="292"/>
      <c r="BF256" s="293"/>
      <c r="BG256" s="289"/>
      <c r="BH256" s="291"/>
      <c r="BI256" s="292"/>
      <c r="BJ256" s="292"/>
      <c r="BK256" s="293"/>
      <c r="BL256" s="289"/>
      <c r="BM256" s="291"/>
      <c r="BN256" s="292"/>
      <c r="BO256" s="292"/>
      <c r="BP256" s="293"/>
      <c r="BQ256" s="289"/>
      <c r="BR256" s="289"/>
      <c r="BS256" s="289"/>
      <c r="BT256" s="289"/>
      <c r="BU256" s="289"/>
      <c r="BV256" s="289"/>
      <c r="BW256" s="289"/>
      <c r="BX256" s="289"/>
      <c r="BY256" s="289"/>
      <c r="BZ256" s="289"/>
      <c r="CA256" s="289"/>
      <c r="CB256" s="289"/>
      <c r="CC256" s="289"/>
      <c r="CD256" s="289"/>
      <c r="CE256" s="289"/>
      <c r="CF256" s="289"/>
      <c r="CG256" s="289"/>
      <c r="CH256" s="289"/>
      <c r="CI256" s="289"/>
      <c r="CJ256" s="289"/>
      <c r="CK256" s="289"/>
      <c r="CL256" s="289"/>
      <c r="CM256" s="289"/>
      <c r="CN256" s="289"/>
      <c r="CO256" s="289"/>
      <c r="CP256" s="289"/>
      <c r="CQ256" s="289"/>
      <c r="CR256" s="289"/>
      <c r="CS256" s="289"/>
      <c r="CT256" s="289"/>
      <c r="CU256" s="289"/>
      <c r="CV256" s="289"/>
      <c r="CW256" s="289"/>
      <c r="CX256" s="289"/>
      <c r="CY256" s="289"/>
      <c r="CZ256" s="289"/>
    </row>
    <row r="257" spans="1:104" x14ac:dyDescent="0.2">
      <c r="A257" s="289"/>
      <c r="B257" s="347" t="s">
        <v>300</v>
      </c>
      <c r="C257" s="347"/>
      <c r="D257" s="348"/>
      <c r="E257" s="291"/>
      <c r="F257" s="292"/>
      <c r="G257" s="292"/>
      <c r="H257" s="293"/>
      <c r="I257" s="289"/>
      <c r="J257" s="291"/>
      <c r="K257" s="292"/>
      <c r="L257" s="292"/>
      <c r="M257" s="293"/>
      <c r="N257" s="289"/>
      <c r="O257" s="563"/>
      <c r="P257" s="292"/>
      <c r="Q257" s="292"/>
      <c r="R257" s="293"/>
      <c r="S257" s="289"/>
      <c r="T257" s="291"/>
      <c r="U257" s="292"/>
      <c r="V257" s="292"/>
      <c r="W257" s="293"/>
      <c r="X257" s="289"/>
      <c r="Y257" s="291"/>
      <c r="Z257" s="292"/>
      <c r="AA257" s="292"/>
      <c r="AB257" s="293"/>
      <c r="AC257" s="289"/>
      <c r="AD257" s="291"/>
      <c r="AE257" s="292"/>
      <c r="AF257" s="292"/>
      <c r="AG257" s="293"/>
      <c r="AH257" s="289"/>
      <c r="AI257" s="291"/>
      <c r="AJ257" s="292"/>
      <c r="AK257" s="292"/>
      <c r="AL257" s="293"/>
      <c r="AM257" s="289"/>
      <c r="AN257" s="291"/>
      <c r="AO257" s="292"/>
      <c r="AP257" s="292"/>
      <c r="AQ257" s="293"/>
      <c r="AR257" s="289"/>
      <c r="AS257" s="291"/>
      <c r="AT257" s="292"/>
      <c r="AU257" s="292"/>
      <c r="AV257" s="293"/>
      <c r="AW257" s="289"/>
      <c r="AX257" s="291"/>
      <c r="AY257" s="292"/>
      <c r="AZ257" s="292"/>
      <c r="BA257" s="293"/>
      <c r="BB257" s="289"/>
      <c r="BC257" s="291"/>
      <c r="BD257" s="292"/>
      <c r="BE257" s="292"/>
      <c r="BF257" s="293"/>
      <c r="BG257" s="289"/>
      <c r="BH257" s="291"/>
      <c r="BI257" s="292"/>
      <c r="BJ257" s="292"/>
      <c r="BK257" s="293"/>
      <c r="BL257" s="289"/>
      <c r="BM257" s="291"/>
      <c r="BN257" s="292"/>
      <c r="BO257" s="292"/>
      <c r="BP257" s="293"/>
      <c r="BQ257" s="289"/>
      <c r="BR257" s="289"/>
      <c r="BS257" s="289"/>
      <c r="BT257" s="289"/>
      <c r="BU257" s="289"/>
      <c r="BV257" s="289"/>
      <c r="BW257" s="289"/>
      <c r="BX257" s="289"/>
      <c r="BY257" s="289"/>
      <c r="BZ257" s="289"/>
      <c r="CA257" s="289"/>
      <c r="CB257" s="289"/>
      <c r="CC257" s="289"/>
      <c r="CD257" s="289"/>
      <c r="CE257" s="289"/>
      <c r="CF257" s="289"/>
      <c r="CG257" s="289"/>
      <c r="CH257" s="289"/>
      <c r="CI257" s="289"/>
      <c r="CJ257" s="289"/>
      <c r="CK257" s="289"/>
      <c r="CL257" s="289"/>
      <c r="CM257" s="289"/>
      <c r="CN257" s="289"/>
      <c r="CO257" s="289"/>
      <c r="CP257" s="289"/>
      <c r="CQ257" s="289"/>
      <c r="CR257" s="289"/>
      <c r="CS257" s="289"/>
      <c r="CT257" s="289"/>
      <c r="CU257" s="289"/>
      <c r="CV257" s="289"/>
      <c r="CW257" s="289"/>
      <c r="CX257" s="289"/>
      <c r="CY257" s="289"/>
      <c r="CZ257" s="289"/>
    </row>
    <row r="258" spans="1:104" x14ac:dyDescent="0.2">
      <c r="A258" s="220"/>
      <c r="B258" s="220"/>
      <c r="C258" s="141" t="s">
        <v>301</v>
      </c>
      <c r="D258" s="82"/>
      <c r="E258" s="356">
        <v>650</v>
      </c>
      <c r="F258" s="122">
        <f>+E263</f>
        <v>654.53599999999994</v>
      </c>
      <c r="G258" s="122">
        <f>+F263</f>
        <v>663.16599999999994</v>
      </c>
      <c r="H258" s="123">
        <f>+G263</f>
        <v>671.58699999999988</v>
      </c>
      <c r="I258" s="86">
        <f>E258</f>
        <v>650</v>
      </c>
      <c r="J258" s="121">
        <f>H263</f>
        <v>684.92599999999993</v>
      </c>
      <c r="K258" s="122">
        <f>+J263</f>
        <v>691.71899999999994</v>
      </c>
      <c r="L258" s="122">
        <f>+K263</f>
        <v>702.11699999999985</v>
      </c>
      <c r="M258" s="123">
        <f>+L263</f>
        <v>716.68899999999974</v>
      </c>
      <c r="N258" s="86">
        <f>I263</f>
        <v>684.92599999999993</v>
      </c>
      <c r="O258" s="121">
        <f>+N263</f>
        <v>729.47599999999977</v>
      </c>
      <c r="P258" s="122">
        <f>+O263</f>
        <v>730.48399999999981</v>
      </c>
      <c r="Q258" s="122">
        <f>+P263</f>
        <v>739.55599999999981</v>
      </c>
      <c r="R258" s="123">
        <f>+Q263</f>
        <v>742.20699999999977</v>
      </c>
      <c r="S258" s="86">
        <f>+N263</f>
        <v>729.47599999999977</v>
      </c>
      <c r="T258" s="121">
        <f>+S263</f>
        <v>766.27399999999977</v>
      </c>
      <c r="U258" s="122">
        <f>+T263</f>
        <v>780.70899999999983</v>
      </c>
      <c r="V258" s="122">
        <f>+U263</f>
        <v>789.7639999999999</v>
      </c>
      <c r="W258" s="123">
        <f>+V263</f>
        <v>801.7829999999999</v>
      </c>
      <c r="X258" s="86">
        <f>+S263</f>
        <v>766.27399999999977</v>
      </c>
      <c r="Y258" s="121">
        <f>+X263</f>
        <v>819.69199999999978</v>
      </c>
      <c r="Z258" s="122">
        <f>+Y263</f>
        <v>833.0709999999998</v>
      </c>
      <c r="AA258" s="122">
        <f>+Z263</f>
        <v>847.98199999999974</v>
      </c>
      <c r="AB258" s="123">
        <f>+AA263</f>
        <v>877.57699999999977</v>
      </c>
      <c r="AC258" s="86">
        <f>+X263</f>
        <v>819.69199999999978</v>
      </c>
      <c r="AD258" s="121">
        <f>+AC263</f>
        <v>882.28399999999976</v>
      </c>
      <c r="AE258" s="122">
        <f>+AD263</f>
        <v>912.60699999999974</v>
      </c>
      <c r="AF258" s="122">
        <f>+AE263</f>
        <v>950.84999999999968</v>
      </c>
      <c r="AG258" s="123">
        <f>+AF263</f>
        <v>989.35799999999961</v>
      </c>
      <c r="AH258" s="86">
        <f>+AC263</f>
        <v>882.28399999999976</v>
      </c>
      <c r="AI258" s="121">
        <f>+AH263</f>
        <v>1028.4429999999998</v>
      </c>
      <c r="AJ258" s="122">
        <f>+AI263</f>
        <v>1078.7669999999996</v>
      </c>
      <c r="AK258" s="122">
        <f>+AJ263</f>
        <v>1114.7779999999996</v>
      </c>
      <c r="AL258" s="123">
        <f>+AK263</f>
        <v>1094.5259999999996</v>
      </c>
      <c r="AM258" s="86">
        <f>+AH263</f>
        <v>1028.4429999999998</v>
      </c>
      <c r="AN258" s="121">
        <f>+AM263</f>
        <v>1159.1619999999998</v>
      </c>
      <c r="AO258" s="122">
        <f>+AN263</f>
        <v>1181.3339999999996</v>
      </c>
      <c r="AP258" s="122">
        <f>+AO263</f>
        <v>1198.0959999999995</v>
      </c>
      <c r="AQ258" s="123">
        <f>+AP263</f>
        <v>1218.8899999999996</v>
      </c>
      <c r="AR258" s="86">
        <f>+AM263</f>
        <v>1159.1619999999998</v>
      </c>
      <c r="AS258" s="121">
        <f>+AR263</f>
        <v>1256.9269999999997</v>
      </c>
      <c r="AT258" s="122">
        <f>+AS263</f>
        <v>1274.7789999999998</v>
      </c>
      <c r="AU258" s="122">
        <f>+AT263</f>
        <v>1286.8969999999999</v>
      </c>
      <c r="AV258" s="123">
        <f>+AU263</f>
        <v>1307.2349999999999</v>
      </c>
      <c r="AW258" s="86">
        <f>+AR263</f>
        <v>1256.9269999999997</v>
      </c>
      <c r="AX258" s="121">
        <f>+AW263</f>
        <v>1351.9549999999997</v>
      </c>
      <c r="AY258" s="122">
        <f>+AX263</f>
        <v>1376.3778138669654</v>
      </c>
      <c r="AZ258" s="122">
        <f>+AY263</f>
        <v>1404.4110728488549</v>
      </c>
      <c r="BA258" s="123">
        <f>+AZ263</f>
        <v>1429.8789838150915</v>
      </c>
      <c r="BB258" s="86">
        <f>+AW263</f>
        <v>1351.9549999999997</v>
      </c>
      <c r="BC258" s="121">
        <f>+BB263</f>
        <v>1454.4935064521655</v>
      </c>
      <c r="BD258" s="122">
        <f>+BC263</f>
        <v>1481.1126972722975</v>
      </c>
      <c r="BE258" s="122">
        <f>+BD263</f>
        <v>1511.4526574374124</v>
      </c>
      <c r="BF258" s="123">
        <f>+BE263</f>
        <v>1539.3557116670713</v>
      </c>
      <c r="BG258" s="86">
        <f>+BB263</f>
        <v>1454.4935064521655</v>
      </c>
      <c r="BH258" s="121">
        <f>+BG263</f>
        <v>1566.244271185019</v>
      </c>
      <c r="BI258" s="122">
        <f>+BH263</f>
        <v>1594.3015708112512</v>
      </c>
      <c r="BJ258" s="122">
        <f>+BI263</f>
        <v>1626.3694203664288</v>
      </c>
      <c r="BK258" s="123">
        <f>+BJ263</f>
        <v>1656.0138967022092</v>
      </c>
      <c r="BL258" s="86">
        <f>+BG263</f>
        <v>1566.244271185019</v>
      </c>
      <c r="BM258" s="121">
        <f>+BL263</f>
        <v>1684.5323861668926</v>
      </c>
      <c r="BN258" s="122">
        <f>+BM263</f>
        <v>1714.3969705675586</v>
      </c>
      <c r="BO258" s="122">
        <f>+BN263</f>
        <v>1748.8811429398702</v>
      </c>
      <c r="BP258" s="123">
        <f>+BO263</f>
        <v>1780.8305905553927</v>
      </c>
      <c r="BQ258" s="86">
        <f>+BL263</f>
        <v>1684.5323861668926</v>
      </c>
      <c r="BR258" s="220"/>
      <c r="BS258" s="220"/>
      <c r="BT258" s="220"/>
      <c r="BU258" s="220"/>
      <c r="BV258" s="220"/>
      <c r="BW258" s="220"/>
      <c r="BX258" s="220"/>
      <c r="BY258" s="220"/>
      <c r="BZ258" s="220"/>
      <c r="CA258" s="220"/>
      <c r="CB258" s="220"/>
      <c r="CC258" s="220"/>
      <c r="CD258" s="220"/>
      <c r="CE258" s="220"/>
      <c r="CF258" s="220"/>
      <c r="CG258" s="220"/>
      <c r="CH258" s="220"/>
      <c r="CI258" s="220"/>
      <c r="CJ258" s="220"/>
      <c r="CK258" s="220"/>
      <c r="CL258" s="220"/>
      <c r="CM258" s="220"/>
      <c r="CN258" s="220"/>
      <c r="CO258" s="220"/>
      <c r="CP258" s="220"/>
      <c r="CQ258" s="220"/>
      <c r="CR258" s="220"/>
      <c r="CS258" s="220"/>
      <c r="CT258" s="220"/>
      <c r="CU258" s="220"/>
      <c r="CV258" s="220"/>
      <c r="CW258" s="220"/>
      <c r="CX258" s="220"/>
      <c r="CY258" s="220"/>
      <c r="CZ258" s="220"/>
    </row>
    <row r="259" spans="1:104" x14ac:dyDescent="0.2">
      <c r="A259" s="220"/>
      <c r="B259" s="220"/>
      <c r="C259" s="70" t="s">
        <v>302</v>
      </c>
      <c r="D259" s="82"/>
      <c r="E259" s="136">
        <f t="shared" ref="E259:N259" si="618">E169</f>
        <v>20.959</v>
      </c>
      <c r="F259" s="135">
        <f t="shared" si="618"/>
        <v>24.702999999999999</v>
      </c>
      <c r="G259" s="135">
        <f t="shared" si="618"/>
        <v>24.298999999999999</v>
      </c>
      <c r="H259" s="116">
        <f t="shared" si="618"/>
        <v>35.447000000000003</v>
      </c>
      <c r="I259" s="82">
        <f t="shared" si="618"/>
        <v>105.408</v>
      </c>
      <c r="J259" s="136">
        <f t="shared" si="618"/>
        <v>26.170999999999999</v>
      </c>
      <c r="K259" s="135">
        <f t="shared" si="618"/>
        <v>29.856999999999999</v>
      </c>
      <c r="L259" s="135">
        <f t="shared" si="618"/>
        <v>34.121000000000002</v>
      </c>
      <c r="M259" s="116">
        <f t="shared" si="618"/>
        <v>38.783999999999992</v>
      </c>
      <c r="N259" s="82">
        <f t="shared" si="618"/>
        <v>128.93299999999999</v>
      </c>
      <c r="O259" s="136">
        <f t="shared" ref="O259:AM259" si="619">O169</f>
        <v>26.2</v>
      </c>
      <c r="P259" s="135">
        <f t="shared" si="619"/>
        <v>32.019000000000005</v>
      </c>
      <c r="Q259" s="135">
        <f t="shared" si="619"/>
        <v>34.467999999999996</v>
      </c>
      <c r="R259" s="116">
        <f t="shared" si="619"/>
        <v>48.295000000000002</v>
      </c>
      <c r="S259" s="82">
        <f t="shared" si="619"/>
        <v>140.982</v>
      </c>
      <c r="T259" s="136">
        <f t="shared" si="619"/>
        <v>36.747999999999998</v>
      </c>
      <c r="U259" s="135">
        <f>U169</f>
        <v>35.482000000000006</v>
      </c>
      <c r="V259" s="135">
        <f>V169</f>
        <v>34.322999999999993</v>
      </c>
      <c r="W259" s="116">
        <f>W169</f>
        <v>46.205999999999989</v>
      </c>
      <c r="X259" s="82">
        <f>X169</f>
        <v>152.75899999999999</v>
      </c>
      <c r="Y259" s="136">
        <f t="shared" si="619"/>
        <v>39.369999999999997</v>
      </c>
      <c r="Z259" s="135">
        <f t="shared" si="619"/>
        <v>42.232999999999997</v>
      </c>
      <c r="AA259" s="135">
        <f t="shared" si="619"/>
        <v>53.037999999999997</v>
      </c>
      <c r="AB259" s="116">
        <f t="shared" si="619"/>
        <v>66.637</v>
      </c>
      <c r="AC259" s="82">
        <f t="shared" si="619"/>
        <v>201.27799999999999</v>
      </c>
      <c r="AD259" s="136">
        <f t="shared" si="619"/>
        <v>59.698999999999998</v>
      </c>
      <c r="AE259" s="135">
        <f t="shared" si="619"/>
        <v>64.924999999999997</v>
      </c>
      <c r="AF259" s="135">
        <f t="shared" si="619"/>
        <v>70.262</v>
      </c>
      <c r="AG259" s="116">
        <f>AG169</f>
        <v>93.323000000000008</v>
      </c>
      <c r="AH259" s="82">
        <f>AH169</f>
        <v>288.209</v>
      </c>
      <c r="AI259" s="136">
        <f>AI169</f>
        <v>79.926000000000002</v>
      </c>
      <c r="AJ259" s="135">
        <f>AJ169</f>
        <v>70.51700000000001</v>
      </c>
      <c r="AK259" s="135">
        <f t="shared" si="619"/>
        <v>21.143000000000001</v>
      </c>
      <c r="AL259" s="116">
        <f t="shared" si="619"/>
        <v>80.210999999999984</v>
      </c>
      <c r="AM259" s="82">
        <f t="shared" si="619"/>
        <v>251.797</v>
      </c>
      <c r="AN259" s="136">
        <f>AN169</f>
        <v>44.655000000000001</v>
      </c>
      <c r="AO259" s="135">
        <f t="shared" ref="AO259:AR259" si="620">AO169</f>
        <v>43.135999999999996</v>
      </c>
      <c r="AP259" s="135">
        <f t="shared" si="620"/>
        <v>50.825000000000017</v>
      </c>
      <c r="AQ259" s="116">
        <f t="shared" si="620"/>
        <v>65.810999999999979</v>
      </c>
      <c r="AR259" s="82">
        <f t="shared" si="620"/>
        <v>204.42699999999999</v>
      </c>
      <c r="AS259" s="136">
        <f>AS169</f>
        <v>47.999000000000002</v>
      </c>
      <c r="AT259" s="135">
        <f t="shared" ref="AT259:AW259" si="621">AT169</f>
        <v>42.735999999999997</v>
      </c>
      <c r="AU259" s="135">
        <f t="shared" si="621"/>
        <v>54.704999999999998</v>
      </c>
      <c r="AV259" s="116">
        <f t="shared" si="621"/>
        <v>73.36099999999999</v>
      </c>
      <c r="AW259" s="82">
        <f t="shared" si="621"/>
        <v>218.80099999999999</v>
      </c>
      <c r="AX259" s="136">
        <f t="shared" ref="AX259:BG259" si="622">AX169</f>
        <v>62.5</v>
      </c>
      <c r="AY259" s="135">
        <f t="shared" si="622"/>
        <v>62.5</v>
      </c>
      <c r="AZ259" s="135">
        <f t="shared" si="622"/>
        <v>62.5</v>
      </c>
      <c r="BA259" s="116">
        <f t="shared" si="622"/>
        <v>62.5</v>
      </c>
      <c r="BB259" s="82">
        <f t="shared" si="622"/>
        <v>250</v>
      </c>
      <c r="BC259" s="136">
        <f t="shared" si="622"/>
        <v>62.5</v>
      </c>
      <c r="BD259" s="135">
        <f t="shared" si="622"/>
        <v>62.5</v>
      </c>
      <c r="BE259" s="135">
        <f t="shared" si="622"/>
        <v>62.5</v>
      </c>
      <c r="BF259" s="116">
        <f t="shared" si="622"/>
        <v>62.5</v>
      </c>
      <c r="BG259" s="82">
        <f t="shared" si="622"/>
        <v>250</v>
      </c>
      <c r="BH259" s="136">
        <f t="shared" ref="BH259:BQ259" si="623">BH169</f>
        <v>60</v>
      </c>
      <c r="BI259" s="135">
        <f t="shared" si="623"/>
        <v>60</v>
      </c>
      <c r="BJ259" s="135">
        <f t="shared" si="623"/>
        <v>60</v>
      </c>
      <c r="BK259" s="116">
        <f t="shared" si="623"/>
        <v>60</v>
      </c>
      <c r="BL259" s="82">
        <f t="shared" si="623"/>
        <v>240</v>
      </c>
      <c r="BM259" s="136">
        <f t="shared" si="623"/>
        <v>70</v>
      </c>
      <c r="BN259" s="135">
        <f t="shared" si="623"/>
        <v>70</v>
      </c>
      <c r="BO259" s="135">
        <f t="shared" si="623"/>
        <v>70</v>
      </c>
      <c r="BP259" s="116">
        <f t="shared" si="623"/>
        <v>70</v>
      </c>
      <c r="BQ259" s="82">
        <f t="shared" si="623"/>
        <v>280</v>
      </c>
      <c r="BR259" s="220"/>
      <c r="BS259" s="220"/>
      <c r="BT259" s="220"/>
      <c r="BU259" s="220"/>
      <c r="BV259" s="220"/>
      <c r="BW259" s="220"/>
      <c r="BX259" s="220"/>
      <c r="BY259" s="220"/>
      <c r="BZ259" s="220"/>
      <c r="CA259" s="220"/>
      <c r="CB259" s="220"/>
      <c r="CC259" s="220"/>
      <c r="CD259" s="220"/>
      <c r="CE259" s="220"/>
      <c r="CF259" s="220"/>
      <c r="CG259" s="220"/>
      <c r="CH259" s="220"/>
      <c r="CI259" s="220"/>
      <c r="CJ259" s="220"/>
      <c r="CK259" s="220"/>
      <c r="CL259" s="220"/>
      <c r="CM259" s="220"/>
      <c r="CN259" s="220"/>
      <c r="CO259" s="220"/>
      <c r="CP259" s="220"/>
      <c r="CQ259" s="220"/>
      <c r="CR259" s="220"/>
      <c r="CS259" s="220"/>
      <c r="CT259" s="220"/>
      <c r="CU259" s="220"/>
      <c r="CV259" s="220"/>
      <c r="CW259" s="220"/>
      <c r="CX259" s="220"/>
      <c r="CY259" s="220"/>
      <c r="CZ259" s="220"/>
    </row>
    <row r="260" spans="1:104" x14ac:dyDescent="0.2">
      <c r="A260" s="220"/>
      <c r="B260" s="220"/>
      <c r="C260" s="70" t="s">
        <v>178</v>
      </c>
      <c r="D260" s="82"/>
      <c r="E260" s="136">
        <f t="shared" ref="E260:N260" si="624">+-E20</f>
        <v>-15.243</v>
      </c>
      <c r="F260" s="135">
        <f t="shared" si="624"/>
        <v>-15.393000000000001</v>
      </c>
      <c r="G260" s="135">
        <f t="shared" si="624"/>
        <v>-15.426</v>
      </c>
      <c r="H260" s="116">
        <f t="shared" si="624"/>
        <v>-15.694999999999993</v>
      </c>
      <c r="I260" s="82">
        <f t="shared" si="624"/>
        <v>-61.756999999999998</v>
      </c>
      <c r="J260" s="136">
        <f t="shared" si="624"/>
        <v>-15.73</v>
      </c>
      <c r="K260" s="135">
        <f t="shared" si="624"/>
        <v>-15.882999999999999</v>
      </c>
      <c r="L260" s="135">
        <f t="shared" si="624"/>
        <v>-15.766999999999999</v>
      </c>
      <c r="M260" s="116">
        <f t="shared" si="624"/>
        <v>-16.289000000000001</v>
      </c>
      <c r="N260" s="82">
        <f t="shared" si="624"/>
        <v>-63.668999999999997</v>
      </c>
      <c r="O260" s="136">
        <f t="shared" ref="O260:AM260" si="625">+-O20</f>
        <v>-16.739000000000001</v>
      </c>
      <c r="P260" s="135">
        <f t="shared" si="625"/>
        <v>-16.905999999999999</v>
      </c>
      <c r="Q260" s="135">
        <f t="shared" si="625"/>
        <v>-17.311</v>
      </c>
      <c r="R260" s="116">
        <f t="shared" si="625"/>
        <v>-17.618000000000002</v>
      </c>
      <c r="S260" s="82">
        <f t="shared" si="625"/>
        <v>-68.573999999999998</v>
      </c>
      <c r="T260" s="136">
        <f t="shared" si="625"/>
        <v>-17.009</v>
      </c>
      <c r="U260" s="135">
        <f>+-U20</f>
        <v>-17.093</v>
      </c>
      <c r="V260" s="135">
        <f>+-V20</f>
        <v>-17.338000000000001</v>
      </c>
      <c r="W260" s="116">
        <f>+-W20</f>
        <v>-17.79399999999999</v>
      </c>
      <c r="X260" s="82">
        <f>+-X20</f>
        <v>-69.233999999999995</v>
      </c>
      <c r="Y260" s="136">
        <f t="shared" si="625"/>
        <v>-18.855</v>
      </c>
      <c r="Z260" s="135">
        <f t="shared" si="625"/>
        <v>-19.050999999999998</v>
      </c>
      <c r="AA260" s="135">
        <f t="shared" si="625"/>
        <v>-19.359000000000002</v>
      </c>
      <c r="AB260" s="116">
        <f t="shared" si="625"/>
        <v>-19.632000000000005</v>
      </c>
      <c r="AC260" s="82">
        <f t="shared" si="625"/>
        <v>-76.897000000000006</v>
      </c>
      <c r="AD260" s="136">
        <f t="shared" si="625"/>
        <v>-19.306999999999999</v>
      </c>
      <c r="AE260" s="135">
        <f t="shared" si="625"/>
        <v>-19.873999999999999</v>
      </c>
      <c r="AF260" s="135">
        <f t="shared" si="625"/>
        <v>-19.940000000000001</v>
      </c>
      <c r="AG260" s="116">
        <f>+-AG20</f>
        <v>-20.533000000000001</v>
      </c>
      <c r="AH260" s="82">
        <f>+-AH20</f>
        <v>-79.653999999999996</v>
      </c>
      <c r="AI260" s="136">
        <f>+-AI20</f>
        <v>-21.361000000000001</v>
      </c>
      <c r="AJ260" s="135">
        <f>+-AJ20</f>
        <v>-22.527999999999999</v>
      </c>
      <c r="AK260" s="135">
        <f t="shared" si="625"/>
        <v>-23.018999999999998</v>
      </c>
      <c r="AL260" s="116">
        <f t="shared" si="625"/>
        <v>-24.337000000000018</v>
      </c>
      <c r="AM260" s="82">
        <f t="shared" si="625"/>
        <v>-91.245000000000005</v>
      </c>
      <c r="AN260" s="136">
        <f>+-AN20</f>
        <v>-24.449000000000002</v>
      </c>
      <c r="AO260" s="135">
        <f t="shared" ref="AO260:AR260" si="626">+-AO20</f>
        <v>-23.72</v>
      </c>
      <c r="AP260" s="135">
        <f t="shared" si="626"/>
        <v>-24.7</v>
      </c>
      <c r="AQ260" s="116">
        <f t="shared" si="626"/>
        <v>-25.424999999999997</v>
      </c>
      <c r="AR260" s="82">
        <f t="shared" si="626"/>
        <v>-98.293999999999997</v>
      </c>
      <c r="AS260" s="136">
        <f>+-AS20</f>
        <v>-27.048999999999999</v>
      </c>
      <c r="AT260" s="135">
        <f t="shared" ref="AT260:AW260" si="627">+-AT20</f>
        <v>-27.628</v>
      </c>
      <c r="AU260" s="135">
        <f t="shared" si="627"/>
        <v>-27.978999999999999</v>
      </c>
      <c r="AV260" s="116">
        <f t="shared" si="627"/>
        <v>-28.559999999999988</v>
      </c>
      <c r="AW260" s="82">
        <f t="shared" si="627"/>
        <v>-111.21599999999999</v>
      </c>
      <c r="AX260" s="136">
        <f t="shared" ref="AX260:BG260" si="628">+-AX20</f>
        <v>-29.018763467579504</v>
      </c>
      <c r="AY260" s="135">
        <f t="shared" si="628"/>
        <v>-29.202273870165705</v>
      </c>
      <c r="AZ260" s="135">
        <f t="shared" si="628"/>
        <v>-29.700356219664972</v>
      </c>
      <c r="BA260" s="116">
        <f t="shared" si="628"/>
        <v>-30.190988029571376</v>
      </c>
      <c r="BB260" s="82">
        <f t="shared" si="628"/>
        <v>-118.11238158698156</v>
      </c>
      <c r="BC260" s="136">
        <f t="shared" si="628"/>
        <v>-30.67428074840398</v>
      </c>
      <c r="BD260" s="135">
        <f t="shared" si="628"/>
        <v>-31.150344157584829</v>
      </c>
      <c r="BE260" s="135">
        <f t="shared" si="628"/>
        <v>-31.619286396376111</v>
      </c>
      <c r="BF260" s="116">
        <f t="shared" si="628"/>
        <v>-32.081213986444368</v>
      </c>
      <c r="BG260" s="82">
        <f t="shared" si="628"/>
        <v>-125.52512528880929</v>
      </c>
      <c r="BH260" s="136">
        <f t="shared" ref="BH260:BQ260" si="629">+-BH20</f>
        <v>-32.536231856057157</v>
      </c>
      <c r="BI260" s="135">
        <f t="shared" si="629"/>
        <v>-33.048754660024379</v>
      </c>
      <c r="BJ260" s="135">
        <f t="shared" si="629"/>
        <v>-33.451903498131934</v>
      </c>
      <c r="BK260" s="116">
        <f t="shared" si="629"/>
        <v>-33.849021854767585</v>
      </c>
      <c r="BL260" s="82">
        <f t="shared" si="629"/>
        <v>-132.88591186898105</v>
      </c>
      <c r="BM260" s="136">
        <f t="shared" si="629"/>
        <v>-34.240199936582933</v>
      </c>
      <c r="BN260" s="135">
        <f t="shared" si="629"/>
        <v>-34.368281416451971</v>
      </c>
      <c r="BO260" s="135">
        <f t="shared" si="629"/>
        <v>-34.901276673833493</v>
      </c>
      <c r="BP260" s="116">
        <f t="shared" si="629"/>
        <v>-35.426299148658224</v>
      </c>
      <c r="BQ260" s="82">
        <f t="shared" si="629"/>
        <v>-138.93605717552663</v>
      </c>
      <c r="BR260" s="220"/>
      <c r="BS260" s="220"/>
      <c r="BT260" s="220"/>
      <c r="BU260" s="220"/>
      <c r="BV260" s="220"/>
      <c r="BW260" s="220"/>
      <c r="BX260" s="220"/>
      <c r="BY260" s="220"/>
      <c r="BZ260" s="220"/>
      <c r="CA260" s="220"/>
      <c r="CB260" s="220"/>
      <c r="CC260" s="220"/>
      <c r="CD260" s="220"/>
      <c r="CE260" s="220"/>
      <c r="CF260" s="220"/>
      <c r="CG260" s="220"/>
      <c r="CH260" s="220"/>
      <c r="CI260" s="220"/>
      <c r="CJ260" s="220"/>
      <c r="CK260" s="220"/>
      <c r="CL260" s="220"/>
      <c r="CM260" s="220"/>
      <c r="CN260" s="220"/>
      <c r="CO260" s="220"/>
      <c r="CP260" s="220"/>
      <c r="CQ260" s="220"/>
      <c r="CR260" s="220"/>
      <c r="CS260" s="220"/>
      <c r="CT260" s="220"/>
      <c r="CU260" s="220"/>
      <c r="CV260" s="220"/>
      <c r="CW260" s="220"/>
      <c r="CX260" s="220"/>
      <c r="CY260" s="220"/>
      <c r="CZ260" s="220"/>
    </row>
    <row r="261" spans="1:104" x14ac:dyDescent="0.2">
      <c r="A261" s="220"/>
      <c r="B261" s="220"/>
      <c r="C261" s="70" t="s">
        <v>303</v>
      </c>
      <c r="D261" s="82"/>
      <c r="E261" s="136">
        <f>+-E198</f>
        <v>-1.18</v>
      </c>
      <c r="F261" s="135">
        <f>+-F198</f>
        <v>-0.68000000000000016</v>
      </c>
      <c r="G261" s="135">
        <f>+-G198</f>
        <v>-0.45199999999999974</v>
      </c>
      <c r="H261" s="116">
        <f>+-H198</f>
        <v>-6.4130000000000003</v>
      </c>
      <c r="I261" s="82">
        <f>SUM(E261:H261)</f>
        <v>-8.7249999999999996</v>
      </c>
      <c r="J261" s="136">
        <f>+-J198</f>
        <v>-3.6480000000000001</v>
      </c>
      <c r="K261" s="135">
        <f>+-K198</f>
        <v>-3.5760000000000001</v>
      </c>
      <c r="L261" s="135">
        <f>+-L198</f>
        <v>-3.782</v>
      </c>
      <c r="M261" s="116">
        <f>+-M198</f>
        <v>-9.7079999999999984</v>
      </c>
      <c r="N261" s="82">
        <f>SUM(J261:M261)</f>
        <v>-20.713999999999999</v>
      </c>
      <c r="O261" s="136">
        <f>+-O198</f>
        <v>-8.4529999999999994</v>
      </c>
      <c r="P261" s="135">
        <f>+-P198</f>
        <v>-6.0410000000000004</v>
      </c>
      <c r="Q261" s="135">
        <f>+-Q198</f>
        <v>-14.506</v>
      </c>
      <c r="R261" s="116">
        <f>+-R198</f>
        <v>-6.6099999999999994</v>
      </c>
      <c r="S261" s="82">
        <f>SUM(O261:R261)</f>
        <v>-35.61</v>
      </c>
      <c r="T261" s="136">
        <f t="shared" ref="T261:AM261" si="630">+-T198</f>
        <v>-5.3040000000000003</v>
      </c>
      <c r="U261" s="135">
        <f>+-U198</f>
        <v>-9.3339999999999996</v>
      </c>
      <c r="V261" s="135">
        <f>+-V198</f>
        <v>-4.9659999999999993</v>
      </c>
      <c r="W261" s="116">
        <f>+-W198</f>
        <v>-7.5030000000000001</v>
      </c>
      <c r="X261" s="82">
        <f>SUM(T261:W261)</f>
        <v>-27.106999999999999</v>
      </c>
      <c r="Y261" s="136">
        <f t="shared" si="630"/>
        <v>-7.1360000000000001</v>
      </c>
      <c r="Z261" s="135">
        <f t="shared" si="630"/>
        <v>-8.2710000000000008</v>
      </c>
      <c r="AA261" s="135">
        <f t="shared" si="630"/>
        <v>-4.0839999999999996</v>
      </c>
      <c r="AB261" s="116">
        <f t="shared" si="630"/>
        <v>-6.2980000000000018</v>
      </c>
      <c r="AC261" s="82">
        <f t="shared" si="630"/>
        <v>-25.789000000000001</v>
      </c>
      <c r="AD261" s="136">
        <f t="shared" si="630"/>
        <v>-10.069000000000001</v>
      </c>
      <c r="AE261" s="135">
        <f t="shared" si="630"/>
        <v>-6.8079999999999981</v>
      </c>
      <c r="AF261" s="135">
        <f t="shared" si="630"/>
        <v>-11.814</v>
      </c>
      <c r="AG261" s="116">
        <f>+-AG198</f>
        <v>-16.705000000000002</v>
      </c>
      <c r="AH261" s="82">
        <f>+-AH198</f>
        <v>-45.396000000000001</v>
      </c>
      <c r="AI261" s="136">
        <f>+-AI198</f>
        <v>-8.2409999999999997</v>
      </c>
      <c r="AJ261" s="135">
        <f>+-AJ198</f>
        <v>-11.978000000000002</v>
      </c>
      <c r="AK261" s="135">
        <f t="shared" si="630"/>
        <v>-18.375999999999998</v>
      </c>
      <c r="AL261" s="116">
        <f t="shared" si="630"/>
        <v>-7.2379999999999995</v>
      </c>
      <c r="AM261" s="82">
        <f t="shared" si="630"/>
        <v>-45.832999999999998</v>
      </c>
      <c r="AN261" s="136">
        <f>+-AN198</f>
        <v>-5.2839999999999998</v>
      </c>
      <c r="AO261" s="135">
        <f t="shared" ref="AO261:AR261" si="631">+-AO198</f>
        <v>-9.9039999999999999</v>
      </c>
      <c r="AP261" s="135">
        <f t="shared" si="631"/>
        <v>-12.580999999999998</v>
      </c>
      <c r="AQ261" s="116">
        <f t="shared" si="631"/>
        <v>-9.5990000000000038</v>
      </c>
      <c r="AR261" s="82">
        <f t="shared" si="631"/>
        <v>-37.368000000000002</v>
      </c>
      <c r="AS261" s="136">
        <f>+-AS198</f>
        <v>-11.348000000000001</v>
      </c>
      <c r="AT261" s="135">
        <f t="shared" ref="AT261:AW261" si="632">+-AT198</f>
        <v>-11.24</v>
      </c>
      <c r="AU261" s="135">
        <f t="shared" si="632"/>
        <v>-14.637999999999998</v>
      </c>
      <c r="AV261" s="116">
        <f t="shared" si="632"/>
        <v>-8.3310000000000031</v>
      </c>
      <c r="AW261" s="82">
        <f t="shared" si="632"/>
        <v>-45.557000000000002</v>
      </c>
      <c r="AX261" s="136">
        <f t="shared" ref="AX261:BG261" si="633">+-AX198</f>
        <v>-8.5584226654547138</v>
      </c>
      <c r="AY261" s="135">
        <f t="shared" si="633"/>
        <v>-4.7644671479447362</v>
      </c>
      <c r="AZ261" s="135">
        <f t="shared" si="633"/>
        <v>-6.8317328140984577</v>
      </c>
      <c r="BA261" s="116">
        <f t="shared" si="633"/>
        <v>-7.1944893333546913</v>
      </c>
      <c r="BB261" s="82">
        <f t="shared" si="633"/>
        <v>-27.3491119608526</v>
      </c>
      <c r="BC261" s="136">
        <f t="shared" si="633"/>
        <v>-9.2065284314640632</v>
      </c>
      <c r="BD261" s="135">
        <f t="shared" si="633"/>
        <v>-5.0096956773001962</v>
      </c>
      <c r="BE261" s="135">
        <f t="shared" si="633"/>
        <v>-6.9776593739650226</v>
      </c>
      <c r="BF261" s="116">
        <f t="shared" si="633"/>
        <v>-7.530226495608046</v>
      </c>
      <c r="BG261" s="82">
        <f t="shared" si="633"/>
        <v>-28.724109978337324</v>
      </c>
      <c r="BH261" s="136">
        <f t="shared" ref="BH261:BQ261" si="634">+-BH198</f>
        <v>-9.906468517710687</v>
      </c>
      <c r="BI261" s="135">
        <f t="shared" si="634"/>
        <v>-5.3833957847979761</v>
      </c>
      <c r="BJ261" s="135">
        <f t="shared" si="634"/>
        <v>-7.4036201660875456</v>
      </c>
      <c r="BK261" s="116">
        <f t="shared" si="634"/>
        <v>-8.1324886805490078</v>
      </c>
      <c r="BL261" s="82">
        <f t="shared" si="634"/>
        <v>-30.82597314914522</v>
      </c>
      <c r="BM261" s="136">
        <f t="shared" si="634"/>
        <v>-10.645215662751166</v>
      </c>
      <c r="BN261" s="135">
        <f t="shared" si="634"/>
        <v>-5.8975462112365244</v>
      </c>
      <c r="BO261" s="135">
        <f t="shared" si="634"/>
        <v>-7.8992757106438249</v>
      </c>
      <c r="BP261" s="116">
        <f t="shared" si="634"/>
        <v>-8.8049346498651264</v>
      </c>
      <c r="BQ261" s="82">
        <f t="shared" si="634"/>
        <v>-33.246972234496639</v>
      </c>
      <c r="BR261" s="220"/>
      <c r="BS261" s="220"/>
      <c r="BT261" s="220"/>
      <c r="BU261" s="220"/>
      <c r="BV261" s="220"/>
      <c r="BW261" s="220"/>
      <c r="BX261" s="220"/>
      <c r="BY261" s="220"/>
      <c r="BZ261" s="220"/>
      <c r="CA261" s="220"/>
      <c r="CB261" s="220"/>
      <c r="CC261" s="220"/>
      <c r="CD261" s="220"/>
      <c r="CE261" s="220"/>
      <c r="CF261" s="220"/>
      <c r="CG261" s="220"/>
      <c r="CH261" s="220"/>
      <c r="CI261" s="220"/>
      <c r="CJ261" s="220"/>
      <c r="CK261" s="220"/>
      <c r="CL261" s="220"/>
      <c r="CM261" s="220"/>
      <c r="CN261" s="220"/>
      <c r="CO261" s="220"/>
      <c r="CP261" s="220"/>
      <c r="CQ261" s="220"/>
      <c r="CR261" s="220"/>
      <c r="CS261" s="220"/>
      <c r="CT261" s="220"/>
      <c r="CU261" s="220"/>
      <c r="CV261" s="220"/>
      <c r="CW261" s="220"/>
      <c r="CX261" s="220"/>
      <c r="CY261" s="220"/>
      <c r="CZ261" s="220"/>
    </row>
    <row r="262" spans="1:104" x14ac:dyDescent="0.2">
      <c r="A262" s="220"/>
      <c r="B262" s="220"/>
      <c r="C262" s="70" t="s">
        <v>304</v>
      </c>
      <c r="D262" s="82"/>
      <c r="E262" s="148">
        <v>0</v>
      </c>
      <c r="F262" s="149">
        <v>0</v>
      </c>
      <c r="G262" s="149">
        <v>0</v>
      </c>
      <c r="H262" s="150">
        <v>0</v>
      </c>
      <c r="I262" s="82">
        <f>SUM(E262:H262)</f>
        <v>0</v>
      </c>
      <c r="J262" s="148">
        <v>0</v>
      </c>
      <c r="K262" s="149">
        <v>0</v>
      </c>
      <c r="L262" s="149">
        <v>0</v>
      </c>
      <c r="M262" s="150">
        <v>0</v>
      </c>
      <c r="N262" s="82">
        <f>SUM(J262:M262)</f>
        <v>0</v>
      </c>
      <c r="O262" s="148">
        <v>0</v>
      </c>
      <c r="P262" s="149">
        <v>0</v>
      </c>
      <c r="Q262" s="149">
        <v>0</v>
      </c>
      <c r="R262" s="150">
        <v>0</v>
      </c>
      <c r="S262" s="82">
        <f>SUM(O262:R262)</f>
        <v>0</v>
      </c>
      <c r="T262" s="148">
        <v>0</v>
      </c>
      <c r="U262" s="149">
        <v>0</v>
      </c>
      <c r="V262" s="149">
        <v>0</v>
      </c>
      <c r="W262" s="150">
        <v>0</v>
      </c>
      <c r="X262" s="860">
        <v>-3</v>
      </c>
      <c r="Y262" s="148">
        <v>0</v>
      </c>
      <c r="Z262" s="149">
        <v>0</v>
      </c>
      <c r="AA262" s="149">
        <v>0</v>
      </c>
      <c r="AB262" s="150">
        <v>0</v>
      </c>
      <c r="AC262" s="860">
        <v>-36</v>
      </c>
      <c r="AD262" s="148">
        <v>0</v>
      </c>
      <c r="AE262" s="149">
        <v>0</v>
      </c>
      <c r="AF262" s="149">
        <v>0</v>
      </c>
      <c r="AG262" s="150">
        <v>0</v>
      </c>
      <c r="AH262" s="860">
        <v>-17</v>
      </c>
      <c r="AI262" s="148">
        <v>0</v>
      </c>
      <c r="AJ262" s="149">
        <v>0</v>
      </c>
      <c r="AK262" s="149">
        <v>0</v>
      </c>
      <c r="AL262" s="150">
        <v>0</v>
      </c>
      <c r="AM262" s="860">
        <v>16</v>
      </c>
      <c r="AN262" s="148">
        <f>AR262/4</f>
        <v>7.25</v>
      </c>
      <c r="AO262" s="883">
        <f>AR262/4</f>
        <v>7.25</v>
      </c>
      <c r="AP262" s="883">
        <f>AR262/4</f>
        <v>7.25</v>
      </c>
      <c r="AQ262" s="849">
        <f>AR262/4</f>
        <v>7.25</v>
      </c>
      <c r="AR262" s="910">
        <v>29</v>
      </c>
      <c r="AS262" s="148">
        <f>AW262/4</f>
        <v>8.25</v>
      </c>
      <c r="AT262" s="883">
        <f>AW262/4</f>
        <v>8.25</v>
      </c>
      <c r="AU262" s="883">
        <f>AW262/4</f>
        <v>8.25</v>
      </c>
      <c r="AV262" s="849">
        <f>AW262/4</f>
        <v>8.25</v>
      </c>
      <c r="AW262" s="910">
        <v>33</v>
      </c>
      <c r="AX262" s="867">
        <f>BB262/4</f>
        <v>-0.5</v>
      </c>
      <c r="AY262" s="883">
        <f>BB262/4</f>
        <v>-0.5</v>
      </c>
      <c r="AZ262" s="883">
        <f>BB262/4</f>
        <v>-0.5</v>
      </c>
      <c r="BA262" s="849">
        <f>BB262/4</f>
        <v>-0.5</v>
      </c>
      <c r="BB262" s="860">
        <v>-2</v>
      </c>
      <c r="BC262" s="867">
        <f>BG262/4</f>
        <v>4</v>
      </c>
      <c r="BD262" s="883">
        <f>BG262/4</f>
        <v>4</v>
      </c>
      <c r="BE262" s="883">
        <f>BG262/4</f>
        <v>4</v>
      </c>
      <c r="BF262" s="849">
        <f>BG262/4</f>
        <v>4</v>
      </c>
      <c r="BG262" s="860">
        <v>16</v>
      </c>
      <c r="BH262" s="867">
        <f>BL262/4</f>
        <v>10.5</v>
      </c>
      <c r="BI262" s="883">
        <f>BL262/4</f>
        <v>10.5</v>
      </c>
      <c r="BJ262" s="883">
        <f>BL262/4</f>
        <v>10.5</v>
      </c>
      <c r="BK262" s="849">
        <f>BL262/4</f>
        <v>10.5</v>
      </c>
      <c r="BL262" s="860">
        <v>42</v>
      </c>
      <c r="BM262" s="867">
        <f>BQ262/4</f>
        <v>4.75</v>
      </c>
      <c r="BN262" s="883">
        <f>BQ262/4</f>
        <v>4.75</v>
      </c>
      <c r="BO262" s="883">
        <f>BQ262/4</f>
        <v>4.75</v>
      </c>
      <c r="BP262" s="849">
        <f>BQ262/4</f>
        <v>4.75</v>
      </c>
      <c r="BQ262" s="860">
        <v>19</v>
      </c>
      <c r="BR262" s="34"/>
      <c r="BS262" s="220"/>
      <c r="BT262" s="220"/>
      <c r="BU262" s="220"/>
      <c r="BV262" s="220"/>
      <c r="BW262" s="220"/>
      <c r="BX262" s="220"/>
      <c r="BY262" s="220"/>
      <c r="BZ262" s="220"/>
      <c r="CA262" s="220"/>
      <c r="CB262" s="220"/>
      <c r="CC262" s="220"/>
      <c r="CD262" s="220"/>
      <c r="CE262" s="220"/>
      <c r="CF262" s="220"/>
      <c r="CG262" s="220"/>
      <c r="CH262" s="220"/>
      <c r="CI262" s="220"/>
      <c r="CJ262" s="220"/>
      <c r="CK262" s="220"/>
      <c r="CL262" s="220"/>
      <c r="CM262" s="220"/>
      <c r="CN262" s="220"/>
      <c r="CO262" s="220"/>
      <c r="CP262" s="220"/>
      <c r="CQ262" s="220"/>
      <c r="CR262" s="220"/>
      <c r="CS262" s="220"/>
      <c r="CT262" s="220"/>
      <c r="CU262" s="220"/>
      <c r="CV262" s="220"/>
      <c r="CW262" s="220"/>
      <c r="CX262" s="220"/>
      <c r="CY262" s="220"/>
      <c r="CZ262" s="220"/>
    </row>
    <row r="263" spans="1:104" x14ac:dyDescent="0.2">
      <c r="A263" s="220"/>
      <c r="B263" s="220"/>
      <c r="C263" s="141" t="s">
        <v>305</v>
      </c>
      <c r="D263" s="82"/>
      <c r="E263" s="121">
        <f>SUM(E258:E262)</f>
        <v>654.53599999999994</v>
      </c>
      <c r="F263" s="122">
        <f>SUM(F258:F262)</f>
        <v>663.16599999999994</v>
      </c>
      <c r="G263" s="122">
        <f>SUM(G258:G262)</f>
        <v>671.58699999999988</v>
      </c>
      <c r="H263" s="123">
        <f>SUM(H258:H262)</f>
        <v>684.92599999999993</v>
      </c>
      <c r="I263" s="86">
        <f>H263</f>
        <v>684.92599999999993</v>
      </c>
      <c r="J263" s="121">
        <f>SUM(J258:J262)</f>
        <v>691.71899999999994</v>
      </c>
      <c r="K263" s="122">
        <f>SUM(K258:K262)</f>
        <v>702.11699999999985</v>
      </c>
      <c r="L263" s="122">
        <f>SUM(L258:L262)</f>
        <v>716.68899999999974</v>
      </c>
      <c r="M263" s="123">
        <f>SUM(M258:M262)</f>
        <v>729.47599999999977</v>
      </c>
      <c r="N263" s="86">
        <f>M263</f>
        <v>729.47599999999977</v>
      </c>
      <c r="O263" s="121">
        <f t="shared" ref="O263:AM263" si="635">SUM(O258:O262)</f>
        <v>730.48399999999981</v>
      </c>
      <c r="P263" s="122">
        <f t="shared" si="635"/>
        <v>739.55599999999981</v>
      </c>
      <c r="Q263" s="122">
        <f t="shared" si="635"/>
        <v>742.20699999999977</v>
      </c>
      <c r="R263" s="123">
        <f t="shared" si="635"/>
        <v>766.27399999999966</v>
      </c>
      <c r="S263" s="86">
        <f t="shared" si="635"/>
        <v>766.27399999999977</v>
      </c>
      <c r="T263" s="121">
        <f t="shared" si="635"/>
        <v>780.70899999999983</v>
      </c>
      <c r="U263" s="122">
        <f>SUM(U258:U262)</f>
        <v>789.7639999999999</v>
      </c>
      <c r="V263" s="122">
        <f>SUM(V258:V262)</f>
        <v>801.7829999999999</v>
      </c>
      <c r="W263" s="123">
        <f>SUM(W258:W262)</f>
        <v>822.69199999999989</v>
      </c>
      <c r="X263" s="86">
        <f>SUM(X258:X262)</f>
        <v>819.69199999999978</v>
      </c>
      <c r="Y263" s="121">
        <f t="shared" si="635"/>
        <v>833.0709999999998</v>
      </c>
      <c r="Z263" s="122">
        <f t="shared" si="635"/>
        <v>847.98199999999974</v>
      </c>
      <c r="AA263" s="122">
        <f t="shared" si="635"/>
        <v>877.57699999999977</v>
      </c>
      <c r="AB263" s="123">
        <f t="shared" si="635"/>
        <v>918.28399999999965</v>
      </c>
      <c r="AC263" s="86">
        <f t="shared" si="635"/>
        <v>882.28399999999976</v>
      </c>
      <c r="AD263" s="121">
        <f t="shared" si="635"/>
        <v>912.60699999999974</v>
      </c>
      <c r="AE263" s="122">
        <f t="shared" si="635"/>
        <v>950.84999999999968</v>
      </c>
      <c r="AF263" s="122">
        <f t="shared" si="635"/>
        <v>989.35799999999961</v>
      </c>
      <c r="AG263" s="123">
        <f>SUM(AG258:AG262)</f>
        <v>1045.4429999999998</v>
      </c>
      <c r="AH263" s="86">
        <f>SUM(AH258:AH262)</f>
        <v>1028.4429999999998</v>
      </c>
      <c r="AI263" s="121">
        <f>SUM(AI258:AI262)</f>
        <v>1078.7669999999996</v>
      </c>
      <c r="AJ263" s="122">
        <f>SUM(AJ258:AJ262)</f>
        <v>1114.7779999999996</v>
      </c>
      <c r="AK263" s="122">
        <f t="shared" si="635"/>
        <v>1094.5259999999996</v>
      </c>
      <c r="AL263" s="123">
        <f t="shared" si="635"/>
        <v>1143.1619999999996</v>
      </c>
      <c r="AM263" s="86">
        <f t="shared" si="635"/>
        <v>1159.1619999999998</v>
      </c>
      <c r="AN263" s="121">
        <f>SUM(AN258:AN262)</f>
        <v>1181.3339999999996</v>
      </c>
      <c r="AO263" s="122">
        <f t="shared" ref="AO263:AR263" si="636">SUM(AO258:AO262)</f>
        <v>1198.0959999999995</v>
      </c>
      <c r="AP263" s="122">
        <f t="shared" si="636"/>
        <v>1218.8899999999996</v>
      </c>
      <c r="AQ263" s="123">
        <f t="shared" si="636"/>
        <v>1256.9269999999997</v>
      </c>
      <c r="AR263" s="86">
        <f t="shared" si="636"/>
        <v>1256.9269999999997</v>
      </c>
      <c r="AS263" s="121">
        <f>SUM(AS258:AS262)</f>
        <v>1274.7789999999998</v>
      </c>
      <c r="AT263" s="122">
        <f t="shared" ref="AT263:AW263" si="637">SUM(AT258:AT262)</f>
        <v>1286.8969999999999</v>
      </c>
      <c r="AU263" s="122">
        <f t="shared" si="637"/>
        <v>1307.2349999999999</v>
      </c>
      <c r="AV263" s="123">
        <f t="shared" si="637"/>
        <v>1351.9550000000002</v>
      </c>
      <c r="AW263" s="86">
        <f t="shared" si="637"/>
        <v>1351.9549999999997</v>
      </c>
      <c r="AX263" s="121">
        <f t="shared" ref="AX263:BG263" si="638">SUM(AX258:AX262)</f>
        <v>1376.3778138669654</v>
      </c>
      <c r="AY263" s="122">
        <f t="shared" si="638"/>
        <v>1404.4110728488549</v>
      </c>
      <c r="AZ263" s="122">
        <f t="shared" si="638"/>
        <v>1429.8789838150915</v>
      </c>
      <c r="BA263" s="123">
        <f t="shared" si="638"/>
        <v>1454.4935064521653</v>
      </c>
      <c r="BB263" s="86">
        <f t="shared" si="638"/>
        <v>1454.4935064521655</v>
      </c>
      <c r="BC263" s="121">
        <f t="shared" si="638"/>
        <v>1481.1126972722975</v>
      </c>
      <c r="BD263" s="122">
        <f t="shared" si="638"/>
        <v>1511.4526574374124</v>
      </c>
      <c r="BE263" s="122">
        <f t="shared" si="638"/>
        <v>1539.3557116670713</v>
      </c>
      <c r="BF263" s="123">
        <f t="shared" si="638"/>
        <v>1566.244271185019</v>
      </c>
      <c r="BG263" s="86">
        <f t="shared" si="638"/>
        <v>1566.244271185019</v>
      </c>
      <c r="BH263" s="121">
        <f t="shared" ref="BH263:BQ263" si="639">SUM(BH258:BH262)</f>
        <v>1594.3015708112512</v>
      </c>
      <c r="BI263" s="122">
        <f t="shared" si="639"/>
        <v>1626.3694203664288</v>
      </c>
      <c r="BJ263" s="122">
        <f t="shared" si="639"/>
        <v>1656.0138967022092</v>
      </c>
      <c r="BK263" s="123">
        <f t="shared" si="639"/>
        <v>1684.5323861668926</v>
      </c>
      <c r="BL263" s="86">
        <f t="shared" si="639"/>
        <v>1684.5323861668926</v>
      </c>
      <c r="BM263" s="121">
        <f t="shared" si="639"/>
        <v>1714.3969705675586</v>
      </c>
      <c r="BN263" s="122">
        <f t="shared" si="639"/>
        <v>1748.8811429398702</v>
      </c>
      <c r="BO263" s="122">
        <f t="shared" si="639"/>
        <v>1780.8305905553927</v>
      </c>
      <c r="BP263" s="123">
        <f t="shared" si="639"/>
        <v>1811.3493567568694</v>
      </c>
      <c r="BQ263" s="86">
        <f t="shared" si="639"/>
        <v>1811.3493567568694</v>
      </c>
      <c r="BR263" s="220"/>
      <c r="BS263" s="220"/>
      <c r="BT263" s="220"/>
      <c r="BU263" s="220"/>
      <c r="BV263" s="220"/>
      <c r="BW263" s="220"/>
      <c r="BX263" s="220"/>
      <c r="BY263" s="220"/>
      <c r="BZ263" s="220"/>
      <c r="CA263" s="220"/>
      <c r="CB263" s="220"/>
      <c r="CC263" s="220"/>
      <c r="CD263" s="220"/>
      <c r="CE263" s="220"/>
      <c r="CF263" s="220"/>
      <c r="CG263" s="220"/>
      <c r="CH263" s="220"/>
      <c r="CI263" s="220"/>
      <c r="CJ263" s="220"/>
      <c r="CK263" s="220"/>
      <c r="CL263" s="220"/>
      <c r="CM263" s="220"/>
      <c r="CN263" s="220"/>
      <c r="CO263" s="220"/>
      <c r="CP263" s="220"/>
      <c r="CQ263" s="220"/>
      <c r="CR263" s="220"/>
      <c r="CS263" s="220"/>
      <c r="CT263" s="220"/>
      <c r="CU263" s="220"/>
      <c r="CV263" s="220"/>
      <c r="CW263" s="220"/>
      <c r="CX263" s="220"/>
      <c r="CY263" s="220"/>
      <c r="CZ263" s="220"/>
    </row>
    <row r="264" spans="1:104" x14ac:dyDescent="0.2">
      <c r="A264" s="220"/>
      <c r="B264" s="220"/>
      <c r="C264" s="141"/>
      <c r="D264" s="82"/>
      <c r="E264" s="121"/>
      <c r="F264" s="122"/>
      <c r="G264" s="122"/>
      <c r="H264" s="123"/>
      <c r="I264" s="86"/>
      <c r="J264" s="121"/>
      <c r="K264" s="122"/>
      <c r="L264" s="122"/>
      <c r="M264" s="123"/>
      <c r="N264" s="86"/>
      <c r="O264" s="121"/>
      <c r="P264" s="122"/>
      <c r="Q264" s="122"/>
      <c r="R264" s="123"/>
      <c r="S264" s="86"/>
      <c r="T264" s="121"/>
      <c r="U264" s="122"/>
      <c r="V264" s="122"/>
      <c r="W264" s="123"/>
      <c r="X264" s="86"/>
      <c r="Y264" s="121"/>
      <c r="Z264" s="122"/>
      <c r="AA264" s="122"/>
      <c r="AB264" s="123"/>
      <c r="AC264" s="86"/>
      <c r="AD264" s="121"/>
      <c r="AE264" s="122"/>
      <c r="AF264" s="122"/>
      <c r="AG264" s="123"/>
      <c r="AH264" s="86"/>
      <c r="AI264" s="121"/>
      <c r="AJ264" s="122"/>
      <c r="AK264" s="122"/>
      <c r="AL264" s="123"/>
      <c r="AM264" s="86"/>
      <c r="AN264" s="121"/>
      <c r="AO264" s="122"/>
      <c r="AP264" s="122"/>
      <c r="AQ264" s="123"/>
      <c r="AR264" s="86"/>
      <c r="AS264" s="121"/>
      <c r="AT264" s="122"/>
      <c r="AU264" s="122"/>
      <c r="AV264" s="123"/>
      <c r="AW264" s="86"/>
      <c r="AX264" s="121"/>
      <c r="AY264" s="122"/>
      <c r="AZ264" s="122"/>
      <c r="BA264" s="123"/>
      <c r="BB264" s="86"/>
      <c r="BC264" s="121"/>
      <c r="BD264" s="122"/>
      <c r="BE264" s="122"/>
      <c r="BF264" s="123"/>
      <c r="BG264" s="86"/>
      <c r="BH264" s="121"/>
      <c r="BI264" s="122"/>
      <c r="BJ264" s="122"/>
      <c r="BK264" s="123"/>
      <c r="BL264" s="86"/>
      <c r="BM264" s="121"/>
      <c r="BN264" s="122"/>
      <c r="BO264" s="122"/>
      <c r="BP264" s="123"/>
      <c r="BQ264" s="86"/>
      <c r="BR264" s="220"/>
      <c r="BS264" s="220"/>
      <c r="BT264" s="220"/>
      <c r="BU264" s="220"/>
      <c r="BV264" s="220"/>
      <c r="BW264" s="220"/>
      <c r="BX264" s="220"/>
      <c r="BY264" s="220"/>
      <c r="BZ264" s="220"/>
      <c r="CA264" s="220"/>
      <c r="CB264" s="220"/>
      <c r="CC264" s="220"/>
      <c r="CD264" s="220"/>
      <c r="CE264" s="220"/>
      <c r="CF264" s="220"/>
      <c r="CG264" s="220"/>
      <c r="CH264" s="220"/>
      <c r="CI264" s="220"/>
      <c r="CJ264" s="220"/>
      <c r="CK264" s="220"/>
      <c r="CL264" s="220"/>
      <c r="CM264" s="220"/>
      <c r="CN264" s="220"/>
      <c r="CO264" s="220"/>
      <c r="CP264" s="220"/>
      <c r="CQ264" s="220"/>
      <c r="CR264" s="220"/>
      <c r="CS264" s="220"/>
      <c r="CT264" s="220"/>
      <c r="CU264" s="220"/>
      <c r="CV264" s="220"/>
      <c r="CW264" s="220"/>
      <c r="CX264" s="220"/>
      <c r="CY264" s="220"/>
      <c r="CZ264" s="220"/>
    </row>
    <row r="265" spans="1:104" x14ac:dyDescent="0.2">
      <c r="A265" s="220"/>
      <c r="B265" s="220"/>
      <c r="C265" s="141" t="s">
        <v>517</v>
      </c>
      <c r="D265" s="82"/>
      <c r="E265" s="121"/>
      <c r="F265" s="122"/>
      <c r="G265" s="122"/>
      <c r="H265" s="123"/>
      <c r="I265" s="86">
        <f>AVERAGE(I263,I258)</f>
        <v>667.46299999999997</v>
      </c>
      <c r="J265" s="121"/>
      <c r="K265" s="122"/>
      <c r="L265" s="122"/>
      <c r="M265" s="123"/>
      <c r="N265" s="86">
        <f>AVERAGE(N263,N258)</f>
        <v>707.20099999999979</v>
      </c>
      <c r="O265" s="121"/>
      <c r="P265" s="122"/>
      <c r="Q265" s="122"/>
      <c r="R265" s="123"/>
      <c r="S265" s="86">
        <f>AVERAGE(S263,S258)</f>
        <v>747.87499999999977</v>
      </c>
      <c r="T265" s="121"/>
      <c r="U265" s="122"/>
      <c r="V265" s="122"/>
      <c r="W265" s="123"/>
      <c r="X265" s="86">
        <f>AVERAGE(X263,X258)</f>
        <v>792.98299999999972</v>
      </c>
      <c r="Y265" s="121"/>
      <c r="Z265" s="122"/>
      <c r="AA265" s="122"/>
      <c r="AB265" s="123"/>
      <c r="AC265" s="86">
        <f>AVERAGE(AC263,AC258)</f>
        <v>850.98799999999983</v>
      </c>
      <c r="AD265" s="121"/>
      <c r="AE265" s="122"/>
      <c r="AF265" s="122"/>
      <c r="AG265" s="123"/>
      <c r="AH265" s="86">
        <f>AVERAGE(AH263,AH258)</f>
        <v>955.3634999999997</v>
      </c>
      <c r="AI265" s="121"/>
      <c r="AJ265" s="122"/>
      <c r="AK265" s="122"/>
      <c r="AL265" s="123"/>
      <c r="AM265" s="86">
        <f>AVERAGE(AM263,AM258)</f>
        <v>1093.8024999999998</v>
      </c>
      <c r="AN265" s="121"/>
      <c r="AO265" s="122"/>
      <c r="AP265" s="122"/>
      <c r="AQ265" s="123"/>
      <c r="AR265" s="86">
        <f>AVERAGE(AR263,AR258)</f>
        <v>1208.0444999999997</v>
      </c>
      <c r="AS265" s="121"/>
      <c r="AT265" s="122"/>
      <c r="AU265" s="122"/>
      <c r="AV265" s="123"/>
      <c r="AW265" s="86">
        <f>AVERAGE(AW263,AW258)</f>
        <v>1304.4409999999998</v>
      </c>
      <c r="AX265" s="121"/>
      <c r="AY265" s="122"/>
      <c r="AZ265" s="122"/>
      <c r="BA265" s="123"/>
      <c r="BB265" s="86">
        <f>AVERAGE(BB263,BB258)</f>
        <v>1403.2242532260825</v>
      </c>
      <c r="BC265" s="121"/>
      <c r="BD265" s="122"/>
      <c r="BE265" s="122"/>
      <c r="BF265" s="123"/>
      <c r="BG265" s="86">
        <f>AVERAGE(BG263,BG258)</f>
        <v>1510.3688888185923</v>
      </c>
      <c r="BH265" s="121"/>
      <c r="BI265" s="122"/>
      <c r="BJ265" s="122"/>
      <c r="BK265" s="123"/>
      <c r="BL265" s="86">
        <f>AVERAGE(BL263,BL258)</f>
        <v>1625.3883286759558</v>
      </c>
      <c r="BM265" s="121"/>
      <c r="BN265" s="122"/>
      <c r="BO265" s="122"/>
      <c r="BP265" s="123"/>
      <c r="BQ265" s="86">
        <f>AVERAGE(BQ263,BQ258)</f>
        <v>1747.940871461881</v>
      </c>
      <c r="BR265" s="220"/>
      <c r="BS265" s="220"/>
      <c r="BT265" s="220"/>
      <c r="BU265" s="220"/>
      <c r="BV265" s="220"/>
      <c r="BW265" s="220"/>
      <c r="BX265" s="220"/>
      <c r="BY265" s="220"/>
      <c r="BZ265" s="220"/>
      <c r="CA265" s="220"/>
      <c r="CB265" s="220"/>
      <c r="CC265" s="220"/>
      <c r="CD265" s="220"/>
      <c r="CE265" s="220"/>
      <c r="CF265" s="220"/>
      <c r="CG265" s="220"/>
      <c r="CH265" s="220"/>
      <c r="CI265" s="220"/>
      <c r="CJ265" s="220"/>
      <c r="CK265" s="220"/>
      <c r="CL265" s="220"/>
      <c r="CM265" s="220"/>
      <c r="CN265" s="220"/>
      <c r="CO265" s="220"/>
      <c r="CP265" s="220"/>
      <c r="CQ265" s="220"/>
      <c r="CR265" s="220"/>
      <c r="CS265" s="220"/>
      <c r="CT265" s="220"/>
      <c r="CU265" s="220"/>
      <c r="CV265" s="220"/>
      <c r="CW265" s="220"/>
      <c r="CX265" s="220"/>
      <c r="CY265" s="220"/>
      <c r="CZ265" s="220"/>
    </row>
    <row r="266" spans="1:104" x14ac:dyDescent="0.2">
      <c r="A266" s="220"/>
      <c r="B266" s="220"/>
      <c r="C266" s="1001" t="s">
        <v>680</v>
      </c>
      <c r="D266" s="82"/>
      <c r="E266" s="121"/>
      <c r="F266" s="122"/>
      <c r="G266" s="122"/>
      <c r="H266" s="123"/>
      <c r="I266" s="86"/>
      <c r="J266" s="121"/>
      <c r="K266" s="122"/>
      <c r="L266" s="122"/>
      <c r="M266" s="123"/>
      <c r="N266" s="86"/>
      <c r="O266" s="121"/>
      <c r="P266" s="122"/>
      <c r="Q266" s="122"/>
      <c r="R266" s="123"/>
      <c r="S266" s="86"/>
      <c r="T266" s="121"/>
      <c r="U266" s="122"/>
      <c r="V266" s="122"/>
      <c r="W266" s="123"/>
      <c r="X266" s="86"/>
      <c r="Y266" s="121"/>
      <c r="Z266" s="122"/>
      <c r="AA266" s="122"/>
      <c r="AB266" s="123"/>
      <c r="AC266" s="86"/>
      <c r="AD266" s="121"/>
      <c r="AE266" s="122"/>
      <c r="AF266" s="122"/>
      <c r="AG266" s="123"/>
      <c r="AH266" s="86"/>
      <c r="AI266" s="121"/>
      <c r="AJ266" s="122"/>
      <c r="AK266" s="122"/>
      <c r="AL266" s="123"/>
      <c r="AM266" s="86"/>
      <c r="AN266" s="121"/>
      <c r="AO266" s="122"/>
      <c r="AP266" s="122"/>
      <c r="AQ266" s="123"/>
      <c r="AR266" s="86"/>
      <c r="AS266" s="121"/>
      <c r="AT266" s="122"/>
      <c r="AU266" s="122"/>
      <c r="AV266" s="123"/>
      <c r="AW266" s="859">
        <f>AR263*1.076</f>
        <v>1352.4534519999997</v>
      </c>
      <c r="AX266" s="121"/>
      <c r="AY266" s="122"/>
      <c r="AZ266" s="122"/>
      <c r="BA266" s="123"/>
      <c r="BB266" s="859">
        <f>AW266*1.076</f>
        <v>1455.2399143519999</v>
      </c>
      <c r="BC266" s="121"/>
      <c r="BD266" s="122"/>
      <c r="BE266" s="122"/>
      <c r="BF266" s="123"/>
      <c r="BG266" s="859">
        <f>BB266*1.076</f>
        <v>1565.8381478427521</v>
      </c>
      <c r="BH266" s="121"/>
      <c r="BI266" s="122"/>
      <c r="BJ266" s="122"/>
      <c r="BK266" s="123"/>
      <c r="BL266" s="859">
        <f>BG266*1.076</f>
        <v>1684.8418470788013</v>
      </c>
      <c r="BM266" s="121"/>
      <c r="BN266" s="122"/>
      <c r="BO266" s="122"/>
      <c r="BP266" s="123"/>
      <c r="BQ266" s="859">
        <f>BL266*1.076</f>
        <v>1812.8898274567903</v>
      </c>
      <c r="BR266" s="220"/>
      <c r="BS266" s="220"/>
      <c r="BT266" s="220"/>
      <c r="BU266" s="220"/>
      <c r="BV266" s="220"/>
      <c r="BW266" s="220"/>
      <c r="BX266" s="220"/>
      <c r="BY266" s="220"/>
      <c r="BZ266" s="220"/>
      <c r="CA266" s="220"/>
      <c r="CB266" s="220"/>
      <c r="CC266" s="220"/>
      <c r="CD266" s="220"/>
      <c r="CE266" s="220"/>
      <c r="CF266" s="220"/>
      <c r="CG266" s="220"/>
      <c r="CH266" s="220"/>
      <c r="CI266" s="220"/>
      <c r="CJ266" s="220"/>
      <c r="CK266" s="220"/>
      <c r="CL266" s="220"/>
      <c r="CM266" s="220"/>
      <c r="CN266" s="220"/>
      <c r="CO266" s="220"/>
      <c r="CP266" s="220"/>
      <c r="CQ266" s="220"/>
      <c r="CR266" s="220"/>
      <c r="CS266" s="220"/>
      <c r="CT266" s="220"/>
      <c r="CU266" s="220"/>
      <c r="CV266" s="220"/>
      <c r="CW266" s="220"/>
      <c r="CX266" s="220"/>
      <c r="CY266" s="220"/>
      <c r="CZ266" s="220"/>
    </row>
    <row r="267" spans="1:104" x14ac:dyDescent="0.2">
      <c r="A267" s="220"/>
      <c r="B267" s="220"/>
      <c r="C267" s="393"/>
      <c r="D267" s="220"/>
      <c r="E267" s="136">
        <f>AVERAGE(E258,H263)</f>
        <v>667.46299999999997</v>
      </c>
      <c r="F267" s="137"/>
      <c r="G267" s="137"/>
      <c r="H267" s="116"/>
      <c r="I267" s="82"/>
      <c r="J267" s="136">
        <f>AVERAGE(J258,M263)</f>
        <v>707.20099999999979</v>
      </c>
      <c r="K267" s="137"/>
      <c r="L267" s="137"/>
      <c r="M267" s="116"/>
      <c r="N267" s="82"/>
      <c r="O267" s="136"/>
      <c r="P267" s="137"/>
      <c r="Q267" s="137"/>
      <c r="R267" s="116"/>
      <c r="S267" s="82"/>
      <c r="T267" s="136"/>
      <c r="U267" s="137"/>
      <c r="V267" s="137"/>
      <c r="W267" s="116"/>
      <c r="X267" s="82"/>
      <c r="Y267" s="136"/>
      <c r="Z267" s="137"/>
      <c r="AA267" s="137"/>
      <c r="AB267" s="116"/>
      <c r="AC267" s="82"/>
      <c r="AD267" s="136"/>
      <c r="AE267" s="137"/>
      <c r="AF267" s="137"/>
      <c r="AG267" s="116"/>
      <c r="AH267" s="82"/>
      <c r="AI267" s="136"/>
      <c r="AJ267" s="137"/>
      <c r="AK267" s="137"/>
      <c r="AL267" s="116"/>
      <c r="AM267" s="220"/>
      <c r="AN267" s="136"/>
      <c r="AO267" s="137"/>
      <c r="AP267" s="137"/>
      <c r="AQ267" s="116"/>
      <c r="AR267" s="220"/>
      <c r="AS267" s="136"/>
      <c r="AT267" s="137"/>
      <c r="AU267" s="137"/>
      <c r="AV267" s="116"/>
      <c r="AW267" s="220"/>
      <c r="AX267" s="136"/>
      <c r="AY267" s="137"/>
      <c r="AZ267" s="137"/>
      <c r="BA267" s="116"/>
      <c r="BB267" s="220"/>
      <c r="BC267" s="136"/>
      <c r="BD267" s="137"/>
      <c r="BE267" s="137"/>
      <c r="BF267" s="116"/>
      <c r="BG267" s="220"/>
      <c r="BH267" s="136"/>
      <c r="BI267" s="137"/>
      <c r="BJ267" s="137"/>
      <c r="BK267" s="116"/>
      <c r="BL267" s="220"/>
      <c r="BM267" s="136"/>
      <c r="BN267" s="137"/>
      <c r="BO267" s="137"/>
      <c r="BP267" s="116"/>
      <c r="BQ267" s="220"/>
      <c r="BR267" s="220"/>
      <c r="BS267" s="220"/>
      <c r="BT267" s="220"/>
      <c r="BU267" s="220"/>
      <c r="BV267" s="220"/>
      <c r="BW267" s="220"/>
      <c r="BX267" s="220"/>
      <c r="BY267" s="220"/>
      <c r="BZ267" s="220"/>
      <c r="CA267" s="220"/>
      <c r="CB267" s="220"/>
      <c r="CC267" s="220"/>
      <c r="CD267" s="220"/>
      <c r="CE267" s="220"/>
      <c r="CF267" s="220"/>
      <c r="CG267" s="220"/>
      <c r="CH267" s="220"/>
      <c r="CI267" s="220"/>
      <c r="CJ267" s="220"/>
      <c r="CK267" s="220"/>
      <c r="CL267" s="220"/>
      <c r="CM267" s="220"/>
      <c r="CN267" s="220"/>
      <c r="CO267" s="220"/>
      <c r="CP267" s="220"/>
      <c r="CQ267" s="220"/>
      <c r="CR267" s="220"/>
      <c r="CS267" s="220"/>
      <c r="CT267" s="220"/>
      <c r="CU267" s="220"/>
      <c r="CV267" s="220"/>
      <c r="CW267" s="220"/>
      <c r="CX267" s="220"/>
      <c r="CY267" s="220"/>
      <c r="CZ267" s="220"/>
    </row>
    <row r="268" spans="1:104" x14ac:dyDescent="0.2">
      <c r="A268" s="220"/>
      <c r="B268" s="220"/>
      <c r="C268" s="141" t="s">
        <v>306</v>
      </c>
      <c r="D268" s="82"/>
      <c r="E268" s="136"/>
      <c r="F268" s="137"/>
      <c r="G268" s="137"/>
      <c r="H268" s="116"/>
      <c r="I268" s="82"/>
      <c r="J268" s="136"/>
      <c r="K268" s="137"/>
      <c r="L268" s="137"/>
      <c r="M268" s="116"/>
      <c r="N268" s="82"/>
      <c r="O268" s="136"/>
      <c r="P268" s="137"/>
      <c r="Q268" s="137"/>
      <c r="R268" s="116"/>
      <c r="S268" s="82"/>
      <c r="T268" s="136"/>
      <c r="U268" s="137"/>
      <c r="V268" s="137"/>
      <c r="W268" s="116"/>
      <c r="X268" s="82"/>
      <c r="Y268" s="136"/>
      <c r="Z268" s="137"/>
      <c r="AA268" s="137"/>
      <c r="AB268" s="116"/>
      <c r="AC268" s="82"/>
      <c r="AD268" s="136"/>
      <c r="AE268" s="137"/>
      <c r="AF268" s="137"/>
      <c r="AG268" s="116"/>
      <c r="AH268" s="82"/>
      <c r="AI268" s="136"/>
      <c r="AJ268" s="137"/>
      <c r="AK268" s="137"/>
      <c r="AL268" s="116"/>
      <c r="AM268" s="220"/>
      <c r="AN268" s="136"/>
      <c r="AO268" s="137"/>
      <c r="AP268" s="137"/>
      <c r="AQ268" s="116"/>
      <c r="AR268" s="220"/>
      <c r="AS268" s="136"/>
      <c r="AT268" s="137"/>
      <c r="AU268" s="137"/>
      <c r="AV268" s="116"/>
      <c r="AW268" s="220"/>
      <c r="AX268" s="136"/>
      <c r="AY268" s="137"/>
      <c r="AZ268" s="137"/>
      <c r="BA268" s="116"/>
      <c r="BB268" s="220"/>
      <c r="BC268" s="136"/>
      <c r="BD268" s="137"/>
      <c r="BE268" s="137"/>
      <c r="BF268" s="116"/>
      <c r="BG268" s="220"/>
      <c r="BH268" s="136"/>
      <c r="BI268" s="137"/>
      <c r="BJ268" s="137"/>
      <c r="BK268" s="116"/>
      <c r="BL268" s="220"/>
      <c r="BM268" s="136"/>
      <c r="BN268" s="137"/>
      <c r="BO268" s="137"/>
      <c r="BP268" s="116"/>
      <c r="BQ268" s="220"/>
      <c r="BR268" s="220"/>
      <c r="BS268" s="220"/>
      <c r="BT268" s="220"/>
      <c r="BU268" s="220"/>
      <c r="BV268" s="220"/>
      <c r="BW268" s="220"/>
      <c r="BX268" s="220"/>
      <c r="BY268" s="220"/>
      <c r="BZ268" s="220"/>
      <c r="CA268" s="220"/>
      <c r="CB268" s="220"/>
      <c r="CC268" s="220"/>
      <c r="CD268" s="220"/>
      <c r="CE268" s="220"/>
      <c r="CF268" s="220"/>
      <c r="CG268" s="220"/>
      <c r="CH268" s="220"/>
      <c r="CI268" s="220"/>
      <c r="CJ268" s="220"/>
      <c r="CK268" s="220"/>
      <c r="CL268" s="220"/>
      <c r="CM268" s="220"/>
      <c r="CN268" s="220"/>
      <c r="CO268" s="220"/>
      <c r="CP268" s="220"/>
      <c r="CQ268" s="220"/>
      <c r="CR268" s="220"/>
      <c r="CS268" s="220"/>
      <c r="CT268" s="220"/>
      <c r="CU268" s="220"/>
      <c r="CV268" s="220"/>
      <c r="CW268" s="220"/>
      <c r="CX268" s="220"/>
      <c r="CY268" s="220"/>
      <c r="CZ268" s="220"/>
    </row>
    <row r="269" spans="1:104" x14ac:dyDescent="0.2">
      <c r="A269" s="289"/>
      <c r="B269" s="289"/>
      <c r="C269" s="70" t="s">
        <v>307</v>
      </c>
      <c r="D269" s="289"/>
      <c r="E269" s="357">
        <v>0.52500000000000002</v>
      </c>
      <c r="F269" s="210">
        <v>0.52500000000000002</v>
      </c>
      <c r="G269" s="210">
        <v>0.52500000000000002</v>
      </c>
      <c r="H269" s="211">
        <v>0.52500000000000002</v>
      </c>
      <c r="I269" s="36">
        <v>0.52500000000000002</v>
      </c>
      <c r="J269" s="357">
        <v>0.52500000000000002</v>
      </c>
      <c r="K269" s="210">
        <v>0.52500000000000002</v>
      </c>
      <c r="L269" s="210">
        <v>0.52500000000000002</v>
      </c>
      <c r="M269" s="211">
        <v>0.52500000000000002</v>
      </c>
      <c r="N269" s="36">
        <v>0.52500000000000002</v>
      </c>
      <c r="O269" s="357">
        <v>0.52300000000000002</v>
      </c>
      <c r="P269" s="210">
        <v>0.52300000000000002</v>
      </c>
      <c r="Q269" s="210">
        <v>0.52300000000000002</v>
      </c>
      <c r="R269" s="211">
        <v>0.52300000000000002</v>
      </c>
      <c r="S269" s="36">
        <v>0.52300000000000002</v>
      </c>
      <c r="T269" s="357">
        <v>0.52590000000000003</v>
      </c>
      <c r="U269" s="210">
        <v>0.52590000000000003</v>
      </c>
      <c r="V269" s="210">
        <v>0.52590000000000003</v>
      </c>
      <c r="W269" s="211">
        <v>0.52590000000000003</v>
      </c>
      <c r="X269" s="36">
        <v>0.52590000000000003</v>
      </c>
      <c r="Y269" s="357">
        <v>0.52390000000000003</v>
      </c>
      <c r="Z269" s="210">
        <v>0.52390000000000003</v>
      </c>
      <c r="AA269" s="210">
        <v>0.52390000000000003</v>
      </c>
      <c r="AB269" s="211">
        <v>0.52390000000000003</v>
      </c>
      <c r="AC269" s="36">
        <v>0.52390000000000003</v>
      </c>
      <c r="AD269" s="357">
        <v>0.52390000000000003</v>
      </c>
      <c r="AE269" s="210">
        <v>0.52390000000000003</v>
      </c>
      <c r="AF269" s="210">
        <v>0.52390000000000003</v>
      </c>
      <c r="AG269" s="211">
        <v>0.52390000000000003</v>
      </c>
      <c r="AH269" s="36">
        <v>0.52390000000000003</v>
      </c>
      <c r="AI269" s="357">
        <v>0.52390000000000003</v>
      </c>
      <c r="AJ269" s="210">
        <v>0.52390000000000003</v>
      </c>
      <c r="AK269" s="210">
        <v>0.52390000000000003</v>
      </c>
      <c r="AL269" s="211">
        <v>0.52390000000000003</v>
      </c>
      <c r="AM269" s="36">
        <v>0.52390000000000003</v>
      </c>
      <c r="AN269" s="357">
        <f>$AR$269</f>
        <v>0.52490000000000003</v>
      </c>
      <c r="AO269" s="210">
        <f>$AR$269</f>
        <v>0.52490000000000003</v>
      </c>
      <c r="AP269" s="210">
        <f>$AR$269</f>
        <v>0.52490000000000003</v>
      </c>
      <c r="AQ269" s="211">
        <f>$AR$269</f>
        <v>0.52490000000000003</v>
      </c>
      <c r="AR269" s="36">
        <v>0.52490000000000003</v>
      </c>
      <c r="AS269" s="357">
        <f>$AW$269</f>
        <v>0.52490000000000003</v>
      </c>
      <c r="AT269" s="210">
        <f>$AW$269</f>
        <v>0.52490000000000003</v>
      </c>
      <c r="AU269" s="210">
        <f>$AW$269</f>
        <v>0.52490000000000003</v>
      </c>
      <c r="AV269" s="211">
        <f>$AW$269</f>
        <v>0.52490000000000003</v>
      </c>
      <c r="AW269" s="36">
        <f>AR269</f>
        <v>0.52490000000000003</v>
      </c>
      <c r="AX269" s="357">
        <f>$BB$269</f>
        <v>0.52490000000000003</v>
      </c>
      <c r="AY269" s="210">
        <f>$BB$269</f>
        <v>0.52490000000000003</v>
      </c>
      <c r="AZ269" s="210">
        <f>$BB$269</f>
        <v>0.52490000000000003</v>
      </c>
      <c r="BA269" s="211">
        <f>$BB$269</f>
        <v>0.52490000000000003</v>
      </c>
      <c r="BB269" s="36">
        <f>AW269</f>
        <v>0.52490000000000003</v>
      </c>
      <c r="BC269" s="357">
        <f>$BG$269</f>
        <v>0.52490000000000003</v>
      </c>
      <c r="BD269" s="210">
        <f>$BG$269</f>
        <v>0.52490000000000003</v>
      </c>
      <c r="BE269" s="210">
        <f>$BG$269</f>
        <v>0.52490000000000003</v>
      </c>
      <c r="BF269" s="211">
        <f>$BG$269</f>
        <v>0.52490000000000003</v>
      </c>
      <c r="BG269" s="36">
        <f>BB269</f>
        <v>0.52490000000000003</v>
      </c>
      <c r="BH269" s="357">
        <f>$BG$269</f>
        <v>0.52490000000000003</v>
      </c>
      <c r="BI269" s="210">
        <f>$BG$269</f>
        <v>0.52490000000000003</v>
      </c>
      <c r="BJ269" s="210">
        <f>$BG$269</f>
        <v>0.52490000000000003</v>
      </c>
      <c r="BK269" s="211">
        <f>$BG$269</f>
        <v>0.52490000000000003</v>
      </c>
      <c r="BL269" s="36">
        <f>BG269</f>
        <v>0.52490000000000003</v>
      </c>
      <c r="BM269" s="357">
        <f>$BG$269</f>
        <v>0.52490000000000003</v>
      </c>
      <c r="BN269" s="210">
        <f>$BG$269</f>
        <v>0.52490000000000003</v>
      </c>
      <c r="BO269" s="210">
        <f>$BG$269</f>
        <v>0.52490000000000003</v>
      </c>
      <c r="BP269" s="211">
        <f>$BG$269</f>
        <v>0.52490000000000003</v>
      </c>
      <c r="BQ269" s="36">
        <f>BL269</f>
        <v>0.52490000000000003</v>
      </c>
      <c r="BR269" s="289"/>
      <c r="BS269" s="289"/>
      <c r="BT269" s="289"/>
      <c r="BU269" s="289"/>
      <c r="BV269" s="289"/>
      <c r="BW269" s="289"/>
      <c r="BX269" s="289"/>
      <c r="BY269" s="289"/>
      <c r="BZ269" s="289"/>
      <c r="CA269" s="289"/>
      <c r="CB269" s="289"/>
      <c r="CC269" s="289"/>
      <c r="CD269" s="289"/>
      <c r="CE269" s="289"/>
      <c r="CF269" s="289"/>
      <c r="CG269" s="289"/>
      <c r="CH269" s="289"/>
      <c r="CI269" s="289"/>
      <c r="CJ269" s="289"/>
      <c r="CK269" s="289"/>
      <c r="CL269" s="289"/>
      <c r="CM269" s="289"/>
      <c r="CN269" s="289"/>
      <c r="CO269" s="289"/>
      <c r="CP269" s="289"/>
      <c r="CQ269" s="289"/>
      <c r="CR269" s="289"/>
      <c r="CS269" s="289"/>
      <c r="CT269" s="289"/>
      <c r="CU269" s="289"/>
      <c r="CV269" s="289"/>
      <c r="CW269" s="289"/>
      <c r="CX269" s="289"/>
      <c r="CY269" s="289"/>
      <c r="CZ269" s="289"/>
    </row>
    <row r="270" spans="1:104" x14ac:dyDescent="0.2">
      <c r="A270" s="289"/>
      <c r="B270" s="289"/>
      <c r="C270" s="70" t="s">
        <v>308</v>
      </c>
      <c r="D270" s="289"/>
      <c r="E270" s="344">
        <f t="shared" ref="E270:AM270" si="640">+E233</f>
        <v>0.56017298932012061</v>
      </c>
      <c r="F270" s="342">
        <f t="shared" si="640"/>
        <v>0.55817124897304116</v>
      </c>
      <c r="G270" s="342">
        <f t="shared" si="640"/>
        <v>0.56085310419312351</v>
      </c>
      <c r="H270" s="343">
        <f t="shared" si="640"/>
        <v>0.56125720959298453</v>
      </c>
      <c r="I270" s="358">
        <f t="shared" si="640"/>
        <v>0.56125720959298453</v>
      </c>
      <c r="J270" s="344">
        <f t="shared" si="640"/>
        <v>0.54157923498560478</v>
      </c>
      <c r="K270" s="342">
        <f t="shared" si="640"/>
        <v>0.57300712343439097</v>
      </c>
      <c r="L270" s="342">
        <f t="shared" si="640"/>
        <v>0.57491805384854144</v>
      </c>
      <c r="M270" s="343">
        <f t="shared" si="640"/>
        <v>0.55264604478530843</v>
      </c>
      <c r="N270" s="358">
        <f t="shared" si="640"/>
        <v>0.55264604478530843</v>
      </c>
      <c r="O270" s="344">
        <f t="shared" si="640"/>
        <v>0.55941611390240575</v>
      </c>
      <c r="P270" s="342">
        <f t="shared" si="640"/>
        <v>0.5571476692097711</v>
      </c>
      <c r="Q270" s="342">
        <f t="shared" si="640"/>
        <v>0.56745021889102465</v>
      </c>
      <c r="R270" s="343">
        <f t="shared" si="640"/>
        <v>0.54455696943225962</v>
      </c>
      <c r="S270" s="358">
        <f t="shared" si="640"/>
        <v>0.54455696943225962</v>
      </c>
      <c r="T270" s="344">
        <f t="shared" si="640"/>
        <v>0.54489859742522406</v>
      </c>
      <c r="U270" s="342">
        <f t="shared" si="640"/>
        <v>0.54035619397674861</v>
      </c>
      <c r="V270" s="342">
        <f t="shared" si="640"/>
        <v>0.52436045933736475</v>
      </c>
      <c r="W270" s="343">
        <f t="shared" si="640"/>
        <v>0.50438589218498675</v>
      </c>
      <c r="X270" s="358">
        <f t="shared" si="640"/>
        <v>0.50438589218498675</v>
      </c>
      <c r="Y270" s="344">
        <f t="shared" si="640"/>
        <v>0.52845761542702063</v>
      </c>
      <c r="Z270" s="342">
        <f t="shared" si="640"/>
        <v>0.55061921778798728</v>
      </c>
      <c r="AA270" s="342">
        <f t="shared" si="640"/>
        <v>0.55075992506489446</v>
      </c>
      <c r="AB270" s="343">
        <f t="shared" si="640"/>
        <v>0.52944541941159096</v>
      </c>
      <c r="AC270" s="358">
        <f t="shared" si="640"/>
        <v>0.52944541941159096</v>
      </c>
      <c r="AD270" s="344">
        <f t="shared" si="640"/>
        <v>0.53097698793644488</v>
      </c>
      <c r="AE270" s="342">
        <f t="shared" si="640"/>
        <v>0.5236334241204178</v>
      </c>
      <c r="AF270" s="342">
        <f t="shared" si="640"/>
        <v>0.54570149930847189</v>
      </c>
      <c r="AG270" s="343">
        <f t="shared" si="640"/>
        <v>0.51892850767582999</v>
      </c>
      <c r="AH270" s="358">
        <f t="shared" si="640"/>
        <v>0.51892850767582999</v>
      </c>
      <c r="AI270" s="344">
        <f t="shared" si="640"/>
        <v>0.53007439017942426</v>
      </c>
      <c r="AJ270" s="342">
        <f t="shared" si="640"/>
        <v>0.52449106992231964</v>
      </c>
      <c r="AK270" s="342">
        <f t="shared" si="640"/>
        <v>0.52842275118904591</v>
      </c>
      <c r="AL270" s="343">
        <f t="shared" si="640"/>
        <v>0.53823414446794571</v>
      </c>
      <c r="AM270" s="358">
        <f t="shared" si="640"/>
        <v>0.53823414446794571</v>
      </c>
      <c r="AN270" s="344">
        <f>+AN233</f>
        <v>0.54351875005978323</v>
      </c>
      <c r="AO270" s="342">
        <f t="shared" ref="AO270:AW270" si="641">+AO233</f>
        <v>0.54381789738787467</v>
      </c>
      <c r="AP270" s="342">
        <f t="shared" si="641"/>
        <v>0.54843733720148247</v>
      </c>
      <c r="AQ270" s="343">
        <f t="shared" si="641"/>
        <v>0.52874817883587477</v>
      </c>
      <c r="AR270" s="358">
        <f t="shared" si="641"/>
        <v>0.52874817883587477</v>
      </c>
      <c r="AS270" s="344">
        <f>+AS233</f>
        <v>0.54549427868209743</v>
      </c>
      <c r="AT270" s="342">
        <f t="shared" si="641"/>
        <v>0.53648225036939634</v>
      </c>
      <c r="AU270" s="342">
        <f t="shared" si="641"/>
        <v>0.52430356092327923</v>
      </c>
      <c r="AV270" s="343">
        <f t="shared" si="641"/>
        <v>0.53150153189079519</v>
      </c>
      <c r="AW270" s="358">
        <f t="shared" si="641"/>
        <v>0.53150153189079519</v>
      </c>
      <c r="AX270" s="344">
        <f t="shared" ref="AX270:BG270" si="642">+AX233</f>
        <v>0.53312788056547089</v>
      </c>
      <c r="AY270" s="342">
        <f t="shared" si="642"/>
        <v>0.52678526155181404</v>
      </c>
      <c r="AZ270" s="342">
        <f t="shared" si="642"/>
        <v>0.52483250235455237</v>
      </c>
      <c r="BA270" s="343">
        <f t="shared" si="642"/>
        <v>0.52378403886596869</v>
      </c>
      <c r="BB270" s="358">
        <f t="shared" si="642"/>
        <v>0.52378403886596869</v>
      </c>
      <c r="BC270" s="344">
        <f t="shared" si="642"/>
        <v>0.52743009906559546</v>
      </c>
      <c r="BD270" s="342">
        <f t="shared" si="642"/>
        <v>0.52324968924207327</v>
      </c>
      <c r="BE270" s="342">
        <f t="shared" si="642"/>
        <v>0.52295640663356802</v>
      </c>
      <c r="BF270" s="343">
        <f t="shared" si="642"/>
        <v>0.52381289589452773</v>
      </c>
      <c r="BG270" s="358">
        <f t="shared" si="642"/>
        <v>0.52381289589452773</v>
      </c>
      <c r="BH270" s="344">
        <f t="shared" ref="BH270:BQ270" si="643">+BH233</f>
        <v>0.52772283999402747</v>
      </c>
      <c r="BI270" s="342">
        <f t="shared" si="643"/>
        <v>0.5235958546317141</v>
      </c>
      <c r="BJ270" s="342">
        <f t="shared" si="643"/>
        <v>0.5220683969251686</v>
      </c>
      <c r="BK270" s="343">
        <f t="shared" si="643"/>
        <v>0.52429291887673457</v>
      </c>
      <c r="BL270" s="358">
        <f t="shared" si="643"/>
        <v>0.52429291887673457</v>
      </c>
      <c r="BM270" s="344">
        <f t="shared" si="643"/>
        <v>0.52851976768678732</v>
      </c>
      <c r="BN270" s="342">
        <f t="shared" si="643"/>
        <v>0.52454971460679334</v>
      </c>
      <c r="BO270" s="342">
        <f t="shared" si="643"/>
        <v>0.52179633417714821</v>
      </c>
      <c r="BP270" s="343">
        <f t="shared" si="643"/>
        <v>0.52551186856337639</v>
      </c>
      <c r="BQ270" s="358">
        <f t="shared" si="643"/>
        <v>0.52551186856337639</v>
      </c>
      <c r="BR270" s="289"/>
      <c r="BS270" s="289"/>
      <c r="BT270" s="289"/>
      <c r="BU270" s="289"/>
      <c r="BV270" s="289"/>
      <c r="BW270" s="289"/>
      <c r="BX270" s="289"/>
      <c r="BY270" s="289"/>
      <c r="BZ270" s="289"/>
      <c r="CA270" s="289"/>
      <c r="CB270" s="289"/>
      <c r="CC270" s="289"/>
      <c r="CD270" s="289"/>
      <c r="CE270" s="289"/>
      <c r="CF270" s="289"/>
      <c r="CG270" s="289"/>
      <c r="CH270" s="289"/>
      <c r="CI270" s="289"/>
      <c r="CJ270" s="289"/>
      <c r="CK270" s="289"/>
      <c r="CL270" s="289"/>
      <c r="CM270" s="289"/>
      <c r="CN270" s="289"/>
      <c r="CO270" s="289"/>
      <c r="CP270" s="289"/>
      <c r="CQ270" s="289"/>
      <c r="CR270" s="289"/>
      <c r="CS270" s="289"/>
      <c r="CT270" s="289"/>
      <c r="CU270" s="289"/>
      <c r="CV270" s="289"/>
      <c r="CW270" s="289"/>
      <c r="CX270" s="289"/>
      <c r="CY270" s="289"/>
      <c r="CZ270" s="289"/>
    </row>
    <row r="271" spans="1:104" x14ac:dyDescent="0.2">
      <c r="A271" s="289"/>
      <c r="B271" s="289"/>
      <c r="C271" s="289"/>
      <c r="D271" s="289"/>
      <c r="E271" s="291"/>
      <c r="F271" s="292"/>
      <c r="G271" s="292"/>
      <c r="H271" s="293"/>
      <c r="I271" s="88"/>
      <c r="J271" s="207"/>
      <c r="K271" s="208"/>
      <c r="L271" s="208"/>
      <c r="M271" s="209"/>
      <c r="N271" s="88"/>
      <c r="O271" s="207"/>
      <c r="P271" s="208"/>
      <c r="Q271" s="208"/>
      <c r="R271" s="209"/>
      <c r="S271" s="88"/>
      <c r="T271" s="207"/>
      <c r="U271" s="208"/>
      <c r="V271" s="208"/>
      <c r="W271" s="209"/>
      <c r="X271" s="88"/>
      <c r="Y271" s="207"/>
      <c r="Z271" s="208"/>
      <c r="AA271" s="208"/>
      <c r="AB271" s="209"/>
      <c r="AC271" s="88"/>
      <c r="AD271" s="207"/>
      <c r="AE271" s="208"/>
      <c r="AF271" s="208"/>
      <c r="AG271" s="209"/>
      <c r="AH271" s="88"/>
      <c r="AI271" s="207"/>
      <c r="AJ271" s="208"/>
      <c r="AK271" s="208"/>
      <c r="AL271" s="209"/>
      <c r="AM271" s="88"/>
      <c r="AN271" s="207"/>
      <c r="AO271" s="208"/>
      <c r="AP271" s="208"/>
      <c r="AQ271" s="209"/>
      <c r="AR271" s="88"/>
      <c r="AS271" s="207"/>
      <c r="AT271" s="208"/>
      <c r="AU271" s="208"/>
      <c r="AV271" s="209"/>
      <c r="AW271" s="88"/>
      <c r="AX271" s="207"/>
      <c r="AY271" s="208"/>
      <c r="AZ271" s="208"/>
      <c r="BA271" s="209"/>
      <c r="BB271" s="88"/>
      <c r="BC271" s="207"/>
      <c r="BD271" s="208"/>
      <c r="BE271" s="208"/>
      <c r="BF271" s="209"/>
      <c r="BG271" s="88"/>
      <c r="BH271" s="207"/>
      <c r="BI271" s="208"/>
      <c r="BJ271" s="208"/>
      <c r="BK271" s="209"/>
      <c r="BL271" s="88"/>
      <c r="BM271" s="207"/>
      <c r="BN271" s="208"/>
      <c r="BO271" s="208"/>
      <c r="BP271" s="209"/>
      <c r="BQ271" s="88"/>
      <c r="BR271" s="289"/>
      <c r="BS271" s="289"/>
      <c r="BT271" s="289"/>
      <c r="BU271" s="289"/>
      <c r="BV271" s="289"/>
      <c r="BW271" s="289"/>
      <c r="BX271" s="289"/>
      <c r="BY271" s="289"/>
      <c r="BZ271" s="289"/>
      <c r="CA271" s="289"/>
      <c r="CB271" s="289"/>
      <c r="CC271" s="289"/>
      <c r="CD271" s="289"/>
      <c r="CE271" s="289"/>
      <c r="CF271" s="289"/>
      <c r="CG271" s="289"/>
      <c r="CH271" s="289"/>
      <c r="CI271" s="289"/>
      <c r="CJ271" s="289"/>
      <c r="CK271" s="289"/>
      <c r="CL271" s="289"/>
      <c r="CM271" s="289"/>
      <c r="CN271" s="289"/>
      <c r="CO271" s="289"/>
      <c r="CP271" s="289"/>
      <c r="CQ271" s="289"/>
      <c r="CR271" s="289"/>
      <c r="CS271" s="289"/>
      <c r="CT271" s="289"/>
      <c r="CU271" s="289"/>
      <c r="CV271" s="289"/>
      <c r="CW271" s="289"/>
      <c r="CX271" s="289"/>
      <c r="CY271" s="289"/>
      <c r="CZ271" s="289"/>
    </row>
    <row r="272" spans="1:104" x14ac:dyDescent="0.2">
      <c r="A272" s="289"/>
      <c r="B272" s="289"/>
      <c r="C272" s="141" t="s">
        <v>309</v>
      </c>
      <c r="D272" s="289"/>
      <c r="E272" s="291"/>
      <c r="F272" s="292"/>
      <c r="G272" s="292"/>
      <c r="H272" s="293"/>
      <c r="I272" s="36"/>
      <c r="J272" s="357"/>
      <c r="K272" s="210"/>
      <c r="L272" s="210"/>
      <c r="M272" s="211"/>
      <c r="N272" s="36"/>
      <c r="O272" s="357"/>
      <c r="P272" s="210"/>
      <c r="Q272" s="210"/>
      <c r="R272" s="211"/>
      <c r="S272" s="36"/>
      <c r="T272" s="357"/>
      <c r="U272" s="210"/>
      <c r="V272" s="210"/>
      <c r="W272" s="211"/>
      <c r="X272" s="36"/>
      <c r="Y272" s="357"/>
      <c r="Z272" s="210"/>
      <c r="AA272" s="210"/>
      <c r="AB272" s="211"/>
      <c r="AC272" s="36"/>
      <c r="AD272" s="357"/>
      <c r="AE272" s="210"/>
      <c r="AF272" s="210"/>
      <c r="AG272" s="211"/>
      <c r="AH272" s="36"/>
      <c r="AI272" s="357"/>
      <c r="AJ272" s="210"/>
      <c r="AK272" s="210"/>
      <c r="AL272" s="211"/>
      <c r="AM272" s="36"/>
      <c r="AN272" s="357"/>
      <c r="AO272" s="210"/>
      <c r="AP272" s="210"/>
      <c r="AQ272" s="211"/>
      <c r="AR272" s="36"/>
      <c r="AS272" s="357"/>
      <c r="AT272" s="210"/>
      <c r="AU272" s="210"/>
      <c r="AV272" s="211"/>
      <c r="AW272" s="36"/>
      <c r="AX272" s="357"/>
      <c r="AY272" s="210"/>
      <c r="AZ272" s="210"/>
      <c r="BA272" s="211"/>
      <c r="BB272" s="36"/>
      <c r="BC272" s="357"/>
      <c r="BD272" s="210"/>
      <c r="BE272" s="210"/>
      <c r="BF272" s="211"/>
      <c r="BG272" s="36"/>
      <c r="BH272" s="357"/>
      <c r="BI272" s="210"/>
      <c r="BJ272" s="210"/>
      <c r="BK272" s="211"/>
      <c r="BL272" s="36"/>
      <c r="BM272" s="357"/>
      <c r="BN272" s="210"/>
      <c r="BO272" s="210"/>
      <c r="BP272" s="211"/>
      <c r="BQ272" s="36"/>
      <c r="BR272" s="289"/>
      <c r="BS272" s="289"/>
      <c r="BT272" s="289"/>
      <c r="BU272" s="289"/>
      <c r="BV272" s="289"/>
      <c r="BW272" s="289"/>
      <c r="BX272" s="289"/>
      <c r="BY272" s="289"/>
      <c r="BZ272" s="289"/>
      <c r="CA272" s="289"/>
      <c r="CB272" s="289"/>
      <c r="CC272" s="289"/>
      <c r="CD272" s="289"/>
      <c r="CE272" s="289"/>
      <c r="CF272" s="289"/>
      <c r="CG272" s="289"/>
      <c r="CH272" s="289"/>
      <c r="CI272" s="289"/>
      <c r="CJ272" s="289"/>
      <c r="CK272" s="289"/>
      <c r="CL272" s="289"/>
      <c r="CM272" s="289"/>
      <c r="CN272" s="289"/>
      <c r="CO272" s="289"/>
      <c r="CP272" s="289"/>
      <c r="CQ272" s="289"/>
      <c r="CR272" s="289"/>
      <c r="CS272" s="289"/>
      <c r="CT272" s="289"/>
      <c r="CU272" s="289"/>
      <c r="CV272" s="289"/>
      <c r="CW272" s="289"/>
      <c r="CX272" s="289"/>
      <c r="CY272" s="289"/>
      <c r="CZ272" s="289"/>
    </row>
    <row r="273" spans="1:104" x14ac:dyDescent="0.2">
      <c r="A273" s="289"/>
      <c r="B273" s="289"/>
      <c r="C273" s="289" t="s">
        <v>310</v>
      </c>
      <c r="D273" s="289"/>
      <c r="E273" s="291"/>
      <c r="F273" s="292"/>
      <c r="G273" s="292"/>
      <c r="H273" s="293"/>
      <c r="I273" s="36">
        <v>0.1075</v>
      </c>
      <c r="J273" s="357">
        <v>0.1075</v>
      </c>
      <c r="K273" s="210">
        <v>0.1075</v>
      </c>
      <c r="L273" s="210">
        <v>0.1075</v>
      </c>
      <c r="M273" s="211">
        <v>0.1075</v>
      </c>
      <c r="N273" s="36">
        <v>0.1075</v>
      </c>
      <c r="O273" s="357">
        <v>0.104</v>
      </c>
      <c r="P273" s="210">
        <v>0.104</v>
      </c>
      <c r="Q273" s="210">
        <v>0.104</v>
      </c>
      <c r="R273" s="211">
        <v>0.104</v>
      </c>
      <c r="S273" s="36">
        <v>0.104</v>
      </c>
      <c r="T273" s="357">
        <v>0.104</v>
      </c>
      <c r="U273" s="210">
        <v>0.104</v>
      </c>
      <c r="V273" s="210">
        <v>0.104</v>
      </c>
      <c r="W273" s="211">
        <v>0.104</v>
      </c>
      <c r="X273" s="36">
        <v>0.104</v>
      </c>
      <c r="Y273" s="357">
        <v>0.104</v>
      </c>
      <c r="Z273" s="210">
        <v>0.104</v>
      </c>
      <c r="AA273" s="210">
        <v>0.104</v>
      </c>
      <c r="AB273" s="211">
        <v>0.104</v>
      </c>
      <c r="AC273" s="36">
        <v>0.104</v>
      </c>
      <c r="AD273" s="357">
        <v>0.104</v>
      </c>
      <c r="AE273" s="210">
        <v>0.104</v>
      </c>
      <c r="AF273" s="210">
        <v>0.104</v>
      </c>
      <c r="AG273" s="211">
        <v>0.104</v>
      </c>
      <c r="AH273" s="36">
        <v>0.10199999999999999</v>
      </c>
      <c r="AI273" s="357">
        <v>0.10199999999999999</v>
      </c>
      <c r="AJ273" s="210">
        <v>0.10199999999999999</v>
      </c>
      <c r="AK273" s="210">
        <v>0.10199999999999999</v>
      </c>
      <c r="AL273" s="211">
        <v>0.10199999999999999</v>
      </c>
      <c r="AM273" s="36">
        <v>0.10199999999999999</v>
      </c>
      <c r="AN273" s="357">
        <f>$AR$273</f>
        <v>0.1</v>
      </c>
      <c r="AO273" s="210">
        <f>$AR$273</f>
        <v>0.1</v>
      </c>
      <c r="AP273" s="210">
        <f>$AR$273</f>
        <v>0.1</v>
      </c>
      <c r="AQ273" s="211">
        <f>$AR$273</f>
        <v>0.1</v>
      </c>
      <c r="AR273" s="36">
        <v>0.1</v>
      </c>
      <c r="AS273" s="357">
        <f>$AW$273</f>
        <v>0.1</v>
      </c>
      <c r="AT273" s="210">
        <f>$AW$273</f>
        <v>0.1</v>
      </c>
      <c r="AU273" s="210">
        <f>$AW$273</f>
        <v>0.1</v>
      </c>
      <c r="AV273" s="211">
        <f>$AW$273</f>
        <v>0.1</v>
      </c>
      <c r="AW273" s="36">
        <f>AR273</f>
        <v>0.1</v>
      </c>
      <c r="AX273" s="357">
        <f>$BB$273</f>
        <v>0.1</v>
      </c>
      <c r="AY273" s="210">
        <f>$BB$273</f>
        <v>0.1</v>
      </c>
      <c r="AZ273" s="210">
        <f>$BB$273</f>
        <v>0.1</v>
      </c>
      <c r="BA273" s="211">
        <f>$BB$273</f>
        <v>0.1</v>
      </c>
      <c r="BB273" s="36">
        <f>AW273</f>
        <v>0.1</v>
      </c>
      <c r="BC273" s="357">
        <f>$BG$273</f>
        <v>0.1</v>
      </c>
      <c r="BD273" s="210">
        <f>$BG$273</f>
        <v>0.1</v>
      </c>
      <c r="BE273" s="210">
        <f>$BG$273</f>
        <v>0.1</v>
      </c>
      <c r="BF273" s="211">
        <f>$BG$273</f>
        <v>0.1</v>
      </c>
      <c r="BG273" s="36">
        <f>BB273</f>
        <v>0.1</v>
      </c>
      <c r="BH273" s="357">
        <f>$BG$273</f>
        <v>0.1</v>
      </c>
      <c r="BI273" s="210">
        <f>$BG$273</f>
        <v>0.1</v>
      </c>
      <c r="BJ273" s="210">
        <f>$BG$273</f>
        <v>0.1</v>
      </c>
      <c r="BK273" s="211">
        <f>$BG$273</f>
        <v>0.1</v>
      </c>
      <c r="BL273" s="36">
        <f>BG273</f>
        <v>0.1</v>
      </c>
      <c r="BM273" s="357">
        <f>$BG$273</f>
        <v>0.1</v>
      </c>
      <c r="BN273" s="210">
        <f>$BG$273</f>
        <v>0.1</v>
      </c>
      <c r="BO273" s="210">
        <f>$BG$273</f>
        <v>0.1</v>
      </c>
      <c r="BP273" s="211">
        <f>$BG$273</f>
        <v>0.1</v>
      </c>
      <c r="BQ273" s="36">
        <f>BL273</f>
        <v>0.1</v>
      </c>
      <c r="BR273" s="289"/>
      <c r="BS273" s="289"/>
      <c r="BT273" s="289"/>
      <c r="BU273" s="289"/>
      <c r="BV273" s="289"/>
      <c r="BW273" s="289"/>
      <c r="BX273" s="289"/>
      <c r="BY273" s="289"/>
      <c r="BZ273" s="289"/>
      <c r="CA273" s="289"/>
      <c r="CB273" s="289"/>
      <c r="CC273" s="289"/>
      <c r="CD273" s="289"/>
      <c r="CE273" s="289"/>
      <c r="CF273" s="289"/>
      <c r="CG273" s="289"/>
      <c r="CH273" s="289"/>
      <c r="CI273" s="289"/>
      <c r="CJ273" s="289"/>
      <c r="CK273" s="289"/>
      <c r="CL273" s="289"/>
      <c r="CM273" s="289"/>
      <c r="CN273" s="289"/>
      <c r="CO273" s="289"/>
      <c r="CP273" s="289"/>
      <c r="CQ273" s="289"/>
      <c r="CR273" s="289"/>
      <c r="CS273" s="289"/>
      <c r="CT273" s="289"/>
      <c r="CU273" s="289"/>
      <c r="CV273" s="289"/>
      <c r="CW273" s="289"/>
      <c r="CX273" s="289"/>
      <c r="CY273" s="289"/>
      <c r="CZ273" s="289"/>
    </row>
    <row r="274" spans="1:104" x14ac:dyDescent="0.2">
      <c r="A274" s="289"/>
      <c r="B274" s="289"/>
      <c r="C274" s="289" t="s">
        <v>311</v>
      </c>
      <c r="D274" s="289"/>
      <c r="E274" s="291"/>
      <c r="F274" s="292"/>
      <c r="G274" s="292"/>
      <c r="H274" s="293"/>
      <c r="I274" s="358">
        <f t="shared" ref="I274:AM274" si="644">I244/(I270*(AVERAGE(I263,I258)))</f>
        <v>0.12642998144061388</v>
      </c>
      <c r="J274" s="344">
        <f t="shared" si="644"/>
        <v>0.10511796957835767</v>
      </c>
      <c r="K274" s="342">
        <f t="shared" si="644"/>
        <v>9.6131362255288746E-2</v>
      </c>
      <c r="L274" s="342">
        <f t="shared" si="644"/>
        <v>0.10393562909237933</v>
      </c>
      <c r="M274" s="343">
        <f t="shared" si="644"/>
        <v>0.10697715476672676</v>
      </c>
      <c r="N274" s="358">
        <f t="shared" si="644"/>
        <v>0.10937952365962675</v>
      </c>
      <c r="O274" s="344">
        <f t="shared" si="644"/>
        <v>0.10737516781167288</v>
      </c>
      <c r="P274" s="342">
        <f t="shared" si="644"/>
        <v>0.12123374923094549</v>
      </c>
      <c r="Q274" s="342">
        <f t="shared" si="644"/>
        <v>0.12367827426783164</v>
      </c>
      <c r="R274" s="343">
        <f t="shared" si="644"/>
        <v>0.12418470132868895</v>
      </c>
      <c r="S274" s="358">
        <f t="shared" si="644"/>
        <v>0.12524169309376701</v>
      </c>
      <c r="T274" s="344">
        <f t="shared" si="644"/>
        <v>0.12157558307414369</v>
      </c>
      <c r="U274" s="342">
        <f t="shared" si="644"/>
        <v>0.11431570426445387</v>
      </c>
      <c r="V274" s="342">
        <f t="shared" si="644"/>
        <v>0.12158012229849745</v>
      </c>
      <c r="W274" s="343">
        <f t="shared" si="644"/>
        <v>0.12192653163158611</v>
      </c>
      <c r="X274" s="358">
        <f t="shared" si="644"/>
        <v>0.12488704201238923</v>
      </c>
      <c r="Y274" s="344">
        <f t="shared" si="644"/>
        <v>0.12538824693185827</v>
      </c>
      <c r="Z274" s="342">
        <f t="shared" si="644"/>
        <v>0.12869210765256903</v>
      </c>
      <c r="AA274" s="342">
        <f t="shared" si="644"/>
        <v>0.12494729078358606</v>
      </c>
      <c r="AB274" s="343">
        <f t="shared" si="644"/>
        <v>0.12508908448835934</v>
      </c>
      <c r="AC274" s="358">
        <f t="shared" si="644"/>
        <v>0.131989292656506</v>
      </c>
      <c r="AD274" s="344">
        <f t="shared" si="644"/>
        <v>0.13434401341020011</v>
      </c>
      <c r="AE274" s="342">
        <f t="shared" si="644"/>
        <v>0.13424497460621698</v>
      </c>
      <c r="AF274" s="342">
        <f t="shared" si="644"/>
        <v>0.11997456516887431</v>
      </c>
      <c r="AG274" s="343">
        <f>AG244/(AG270*(AVERAGE(AG263,AG258)))</f>
        <v>0.13380227881590206</v>
      </c>
      <c r="AH274" s="358">
        <f>AH244/(AH270*(AVERAGE(AH263,AH258)))</f>
        <v>0.14249079577400453</v>
      </c>
      <c r="AI274" s="344">
        <f>AI244/(AI270*(AVERAGE(AI263,AI258)))</f>
        <v>0.12296391974347107</v>
      </c>
      <c r="AJ274" s="342">
        <f>AJ244/(AJ270*(AVERAGE(AJ263,AJ258)))</f>
        <v>0.1202334893922873</v>
      </c>
      <c r="AK274" s="342">
        <f t="shared" si="644"/>
        <v>0.12911255485544307</v>
      </c>
      <c r="AL274" s="343">
        <f t="shared" si="644"/>
        <v>0.12393888185674623</v>
      </c>
      <c r="AM274" s="358">
        <f t="shared" si="644"/>
        <v>0.12677633698234311</v>
      </c>
      <c r="AN274" s="344">
        <f>AN244/(AN270*(AVERAGE(AN263,AN258)))</f>
        <v>0.11005394164369699</v>
      </c>
      <c r="AO274" s="342">
        <f t="shared" ref="AO274:AR274" si="645">AO244/(AO270*(AVERAGE(AO263,AO258)))</f>
        <v>0.10836826406132292</v>
      </c>
      <c r="AP274" s="342">
        <f t="shared" si="645"/>
        <v>0.10275162847832567</v>
      </c>
      <c r="AQ274" s="343">
        <f t="shared" si="645"/>
        <v>0.10562349591846193</v>
      </c>
      <c r="AR274" s="358">
        <f t="shared" si="645"/>
        <v>0.10823460840819964</v>
      </c>
      <c r="AS274" s="344">
        <f>AS244/(AS270*(AVERAGE(AS263,AS258)))</f>
        <v>0.10705479108996993</v>
      </c>
      <c r="AT274" s="342">
        <f t="shared" ref="AT274:AW274" si="646">AT244/(AT270*(AVERAGE(AT263,AT258)))</f>
        <v>0.10993137742584171</v>
      </c>
      <c r="AU274" s="342">
        <f t="shared" si="646"/>
        <v>0.10828956008171398</v>
      </c>
      <c r="AV274" s="343">
        <f t="shared" si="646"/>
        <v>0.11237872876714171</v>
      </c>
      <c r="AW274" s="358">
        <f t="shared" si="646"/>
        <v>0.11454576778493454</v>
      </c>
      <c r="AX274" s="344">
        <f t="shared" ref="AX274:BG274" si="647">AX244/(AX270*(AVERAGE(AX263,AX258)))</f>
        <v>0.11449298031057303</v>
      </c>
      <c r="AY274" s="342">
        <f t="shared" si="647"/>
        <v>0.11536739853850389</v>
      </c>
      <c r="AZ274" s="342">
        <f t="shared" si="647"/>
        <v>0.11230863053883476</v>
      </c>
      <c r="BA274" s="343">
        <f t="shared" si="647"/>
        <v>0.11317141780131508</v>
      </c>
      <c r="BB274" s="358">
        <f t="shared" si="647"/>
        <v>0.11631374081519039</v>
      </c>
      <c r="BC274" s="344">
        <f t="shared" si="647"/>
        <v>0.11281031735966693</v>
      </c>
      <c r="BD274" s="342">
        <f t="shared" si="647"/>
        <v>0.11243872956560691</v>
      </c>
      <c r="BE274" s="342">
        <f t="shared" si="647"/>
        <v>0.1108746599866105</v>
      </c>
      <c r="BF274" s="343">
        <f t="shared" si="647"/>
        <v>0.10991522828898564</v>
      </c>
      <c r="BG274" s="358">
        <f t="shared" si="647"/>
        <v>0.11300309931452006</v>
      </c>
      <c r="BH274" s="344">
        <f t="shared" ref="BH274:BQ274" si="648">BH244/(BH270*(AVERAGE(BH263,BH258)))</f>
        <v>0.10950123095283146</v>
      </c>
      <c r="BI274" s="342">
        <f t="shared" si="648"/>
        <v>0.10947470856594574</v>
      </c>
      <c r="BJ274" s="342">
        <f t="shared" si="648"/>
        <v>0.10905641893297524</v>
      </c>
      <c r="BK274" s="343">
        <f t="shared" si="648"/>
        <v>0.10857301956414511</v>
      </c>
      <c r="BL274" s="358">
        <f t="shared" si="648"/>
        <v>0.11157124439927835</v>
      </c>
      <c r="BM274" s="344">
        <f t="shared" si="648"/>
        <v>0.10853620774139895</v>
      </c>
      <c r="BN274" s="342">
        <f t="shared" si="648"/>
        <v>0.10927364704849224</v>
      </c>
      <c r="BO274" s="342">
        <f t="shared" si="648"/>
        <v>0.10964687914753567</v>
      </c>
      <c r="BP274" s="343">
        <f t="shared" si="648"/>
        <v>0.10933023027619343</v>
      </c>
      <c r="BQ274" s="358">
        <f t="shared" si="648"/>
        <v>0.11234186099919763</v>
      </c>
      <c r="BR274" s="289"/>
      <c r="BS274" s="289"/>
      <c r="BT274" s="289"/>
      <c r="BU274" s="289"/>
      <c r="BV274" s="289"/>
      <c r="BW274" s="289"/>
      <c r="BX274" s="289"/>
      <c r="BY274" s="289"/>
      <c r="BZ274" s="289"/>
      <c r="CA274" s="289"/>
      <c r="CB274" s="289"/>
      <c r="CC274" s="289"/>
      <c r="CD274" s="289"/>
      <c r="CE274" s="289"/>
      <c r="CF274" s="289"/>
      <c r="CG274" s="289"/>
      <c r="CH274" s="289"/>
      <c r="CI274" s="289"/>
      <c r="CJ274" s="289"/>
      <c r="CK274" s="289"/>
      <c r="CL274" s="289"/>
      <c r="CM274" s="289"/>
      <c r="CN274" s="289"/>
      <c r="CO274" s="289"/>
      <c r="CP274" s="289"/>
      <c r="CQ274" s="289"/>
      <c r="CR274" s="289"/>
      <c r="CS274" s="289"/>
      <c r="CT274" s="289"/>
      <c r="CU274" s="289"/>
      <c r="CV274" s="289"/>
      <c r="CW274" s="289"/>
      <c r="CX274" s="289"/>
      <c r="CY274" s="289"/>
      <c r="CZ274" s="289"/>
    </row>
    <row r="275" spans="1:104" x14ac:dyDescent="0.2">
      <c r="A275" s="289"/>
      <c r="B275" s="289"/>
      <c r="C275" s="289" t="s">
        <v>312</v>
      </c>
      <c r="D275" s="289"/>
      <c r="E275" s="291"/>
      <c r="F275" s="292"/>
      <c r="G275" s="292"/>
      <c r="H275" s="293"/>
      <c r="I275" s="358">
        <f t="shared" ref="I275:BB275" si="649">(I244-I27+0.65*I35)/(I270*(AVERAGE(I263,I258)))</f>
        <v>0.12064089078439999</v>
      </c>
      <c r="J275" s="344">
        <f t="shared" si="649"/>
        <v>0.10363117238959627</v>
      </c>
      <c r="K275" s="342">
        <f t="shared" si="649"/>
        <v>9.4021124974491346E-2</v>
      </c>
      <c r="L275" s="342">
        <f t="shared" si="649"/>
        <v>0.10188119022433251</v>
      </c>
      <c r="M275" s="343">
        <f t="shared" si="649"/>
        <v>0.10524170699413032</v>
      </c>
      <c r="N275" s="358">
        <f t="shared" si="649"/>
        <v>0.1018869149878761</v>
      </c>
      <c r="O275" s="344">
        <f t="shared" si="649"/>
        <v>0.10705510909900672</v>
      </c>
      <c r="P275" s="342">
        <f t="shared" si="649"/>
        <v>0.12042706264246193</v>
      </c>
      <c r="Q275" s="342">
        <f t="shared" si="649"/>
        <v>0.12330007506772804</v>
      </c>
      <c r="R275" s="343">
        <f t="shared" si="649"/>
        <v>0.12296564317954424</v>
      </c>
      <c r="S275" s="358">
        <f t="shared" si="649"/>
        <v>0.1224897692507909</v>
      </c>
      <c r="T275" s="344">
        <f t="shared" si="649"/>
        <v>0.119072702908165</v>
      </c>
      <c r="U275" s="342">
        <f t="shared" si="649"/>
        <v>0.11229983089794318</v>
      </c>
      <c r="V275" s="342">
        <f t="shared" si="649"/>
        <v>0.12023387863175496</v>
      </c>
      <c r="W275" s="343">
        <f t="shared" si="649"/>
        <v>0.11987054241028354</v>
      </c>
      <c r="X275" s="358">
        <f t="shared" si="649"/>
        <v>0.11660065889009619</v>
      </c>
      <c r="Y275" s="344">
        <f t="shared" si="649"/>
        <v>0.12261327803152641</v>
      </c>
      <c r="Z275" s="342">
        <f t="shared" si="649"/>
        <v>0.12644496541014674</v>
      </c>
      <c r="AA275" s="342">
        <f t="shared" si="649"/>
        <v>0.12213753929234078</v>
      </c>
      <c r="AB275" s="343">
        <f t="shared" si="649"/>
        <v>0.12096702179215948</v>
      </c>
      <c r="AC275" s="358">
        <f t="shared" si="649"/>
        <v>0.11967849676437564</v>
      </c>
      <c r="AD275" s="344">
        <f t="shared" si="649"/>
        <v>0.13001116820278907</v>
      </c>
      <c r="AE275" s="342">
        <f t="shared" si="649"/>
        <v>0.1294907725389286</v>
      </c>
      <c r="AF275" s="342">
        <f t="shared" si="649"/>
        <v>0.11609753532804085</v>
      </c>
      <c r="AG275" s="343">
        <f>(AG244-AG27+0.65*AG35)/(AG270*(AVERAGE(AG263,AG258)))</f>
        <v>0.12848490632596943</v>
      </c>
      <c r="AH275" s="358">
        <f>(AH244-AH27+0.65*AH35)/(AH270*(AVERAGE(AH263,AH258)))</f>
        <v>0.12384487810271982</v>
      </c>
      <c r="AI275" s="344">
        <f>(AI244-AI27+0.65*AI35)/(AI270*(AVERAGE(AI263,AI258)))</f>
        <v>0.11774537496535498</v>
      </c>
      <c r="AJ275" s="342">
        <f>(AJ244-AJ27+0.65*AJ35)/(AJ270*(AVERAGE(AJ263,AJ258)))</f>
        <v>0.11616636962214394</v>
      </c>
      <c r="AK275" s="342">
        <f t="shared" si="649"/>
        <v>0.12477119959064302</v>
      </c>
      <c r="AL275" s="343">
        <f t="shared" si="649"/>
        <v>0.12103909793957029</v>
      </c>
      <c r="AM275" s="358">
        <f t="shared" si="649"/>
        <v>0.11058108288300567</v>
      </c>
      <c r="AN275" s="344">
        <f>(AN244-AN27+0.65*AN35)/(AN270*(AVERAGE(AN263,AN258)))</f>
        <v>0.10842585079699513</v>
      </c>
      <c r="AO275" s="342">
        <f t="shared" si="649"/>
        <v>0.10655555742929862</v>
      </c>
      <c r="AP275" s="342">
        <f t="shared" si="649"/>
        <v>0.10036434522438555</v>
      </c>
      <c r="AQ275" s="343">
        <f t="shared" si="649"/>
        <v>0.10307003052606559</v>
      </c>
      <c r="AR275" s="358">
        <f t="shared" si="649"/>
        <v>9.9683628160927393E-2</v>
      </c>
      <c r="AS275" s="344">
        <f>(AS244-AS27+0.65*AS35)/(AS270*(AVERAGE(AS263,AS258)))</f>
        <v>0.10467323725763822</v>
      </c>
      <c r="AT275" s="342">
        <f t="shared" ref="AT275:AW275" si="650">(AT244-AT27+0.65*AT35)/(AT270*(AVERAGE(AT263,AT258)))</f>
        <v>0.10667465000063855</v>
      </c>
      <c r="AU275" s="342">
        <f t="shared" si="650"/>
        <v>0.10508850168727209</v>
      </c>
      <c r="AV275" s="343">
        <f t="shared" si="650"/>
        <v>0.10883151689123469</v>
      </c>
      <c r="AW275" s="358">
        <f t="shared" si="650"/>
        <v>0.10219058687874752</v>
      </c>
      <c r="AX275" s="344">
        <f t="shared" si="649"/>
        <v>0.11101086979101597</v>
      </c>
      <c r="AY275" s="342">
        <f t="shared" si="649"/>
        <v>0.11190983907630335</v>
      </c>
      <c r="AZ275" s="342">
        <f t="shared" si="649"/>
        <v>0.10890371552244993</v>
      </c>
      <c r="BA275" s="343">
        <f t="shared" si="649"/>
        <v>0.10981892628418279</v>
      </c>
      <c r="BB275" s="358">
        <f t="shared" si="649"/>
        <v>0.1025314329857194</v>
      </c>
      <c r="BC275" s="344">
        <f t="shared" ref="BC275:BL275" si="651">(BC244-BC27+0.65*BC35)/(BC270*(AVERAGE(BC263,BC258)))</f>
        <v>0.1095391061516114</v>
      </c>
      <c r="BD275" s="342">
        <f t="shared" si="651"/>
        <v>0.10920414380942468</v>
      </c>
      <c r="BE275" s="342">
        <f t="shared" si="651"/>
        <v>0.10770004636287667</v>
      </c>
      <c r="BF275" s="343">
        <f t="shared" si="651"/>
        <v>0.10680172312256447</v>
      </c>
      <c r="BG275" s="358">
        <f t="shared" si="651"/>
        <v>0.10019920529494612</v>
      </c>
      <c r="BH275" s="344">
        <f t="shared" si="651"/>
        <v>0.10658598943271738</v>
      </c>
      <c r="BI275" s="342">
        <f t="shared" si="651"/>
        <v>0.10659134129470065</v>
      </c>
      <c r="BJ275" s="342">
        <f t="shared" si="651"/>
        <v>0.10621898456517191</v>
      </c>
      <c r="BK275" s="343">
        <f t="shared" si="651"/>
        <v>0.10579681770800518</v>
      </c>
      <c r="BL275" s="358">
        <f t="shared" si="651"/>
        <v>0.10015977967124358</v>
      </c>
      <c r="BM275" s="344">
        <f t="shared" ref="BM275:BQ275" si="652">(BM244-BM27+0.65*BM35)/(BM270*(AVERAGE(BM263,BM258)))</f>
        <v>0.10537839813532536</v>
      </c>
      <c r="BN275" s="342">
        <f t="shared" si="652"/>
        <v>0.10615105469528643</v>
      </c>
      <c r="BO275" s="342">
        <f t="shared" si="652"/>
        <v>0.10656689094536842</v>
      </c>
      <c r="BP275" s="343">
        <f t="shared" si="652"/>
        <v>0.1063252010363223</v>
      </c>
      <c r="BQ275" s="358">
        <f t="shared" si="652"/>
        <v>9.9990635677114442E-2</v>
      </c>
      <c r="BR275" s="289"/>
      <c r="BS275" s="289"/>
      <c r="BT275" s="289"/>
      <c r="BU275" s="289"/>
      <c r="BV275" s="289"/>
      <c r="BW275" s="289"/>
      <c r="BX275" s="289"/>
      <c r="BY275" s="289"/>
      <c r="BZ275" s="289"/>
      <c r="CA275" s="289"/>
      <c r="CB275" s="289"/>
      <c r="CC275" s="289"/>
      <c r="CD275" s="289"/>
      <c r="CE275" s="289"/>
      <c r="CF275" s="289"/>
      <c r="CG275" s="289"/>
      <c r="CH275" s="289"/>
      <c r="CI275" s="289"/>
      <c r="CJ275" s="289"/>
      <c r="CK275" s="289"/>
      <c r="CL275" s="289"/>
      <c r="CM275" s="289"/>
      <c r="CN275" s="289"/>
      <c r="CO275" s="289"/>
      <c r="CP275" s="289"/>
      <c r="CQ275" s="289"/>
      <c r="CR275" s="289"/>
      <c r="CS275" s="289"/>
      <c r="CT275" s="289"/>
      <c r="CU275" s="289"/>
      <c r="CV275" s="289"/>
      <c r="CW275" s="289"/>
      <c r="CX275" s="289"/>
      <c r="CY275" s="289"/>
      <c r="CZ275" s="289"/>
    </row>
    <row r="276" spans="1:104" x14ac:dyDescent="0.2">
      <c r="A276" s="289"/>
      <c r="B276" s="289"/>
      <c r="C276" s="289"/>
      <c r="D276" s="289"/>
      <c r="E276" s="291"/>
      <c r="F276" s="292"/>
      <c r="G276" s="292"/>
      <c r="H276" s="293"/>
      <c r="I276" s="289"/>
      <c r="J276" s="291"/>
      <c r="K276" s="292"/>
      <c r="L276" s="292"/>
      <c r="M276" s="293"/>
      <c r="N276" s="289"/>
      <c r="O276" s="291"/>
      <c r="P276" s="292"/>
      <c r="Q276" s="292"/>
      <c r="R276" s="293"/>
      <c r="S276" s="289"/>
      <c r="T276" s="291"/>
      <c r="U276" s="292"/>
      <c r="V276" s="292"/>
      <c r="W276" s="293"/>
      <c r="X276" s="289"/>
      <c r="Y276" s="291"/>
      <c r="Z276" s="292"/>
      <c r="AA276" s="292"/>
      <c r="AB276" s="293"/>
      <c r="AC276" s="289"/>
      <c r="AD276" s="291"/>
      <c r="AE276" s="292"/>
      <c r="AF276" s="292"/>
      <c r="AG276" s="293"/>
      <c r="AH276" s="289"/>
      <c r="AI276" s="291"/>
      <c r="AJ276" s="292"/>
      <c r="AK276" s="292"/>
      <c r="AL276" s="293"/>
      <c r="AM276" s="289"/>
      <c r="AN276" s="291"/>
      <c r="AO276" s="292"/>
      <c r="AP276" s="292"/>
      <c r="AQ276" s="293"/>
      <c r="AR276" s="289"/>
      <c r="AS276" s="291"/>
      <c r="AT276" s="292"/>
      <c r="AU276" s="292"/>
      <c r="AV276" s="293"/>
      <c r="AW276" s="289"/>
      <c r="AX276" s="291"/>
      <c r="AY276" s="292"/>
      <c r="AZ276" s="292"/>
      <c r="BA276" s="293"/>
      <c r="BB276" s="289"/>
      <c r="BC276" s="291"/>
      <c r="BD276" s="292"/>
      <c r="BE276" s="292"/>
      <c r="BF276" s="293"/>
      <c r="BG276" s="289"/>
      <c r="BH276" s="291"/>
      <c r="BI276" s="292"/>
      <c r="BJ276" s="292"/>
      <c r="BK276" s="293"/>
      <c r="BL276" s="289"/>
      <c r="BM276" s="291"/>
      <c r="BN276" s="292"/>
      <c r="BO276" s="292"/>
      <c r="BP276" s="293"/>
      <c r="BQ276" s="289"/>
      <c r="BR276" s="289"/>
      <c r="BS276" s="289"/>
      <c r="BT276" s="289"/>
      <c r="BU276" s="289"/>
      <c r="BV276" s="289"/>
      <c r="BW276" s="289"/>
      <c r="BX276" s="289"/>
      <c r="BY276" s="289"/>
      <c r="BZ276" s="289"/>
      <c r="CA276" s="289"/>
      <c r="CB276" s="289"/>
      <c r="CC276" s="289"/>
      <c r="CD276" s="289"/>
      <c r="CE276" s="289"/>
      <c r="CF276" s="289"/>
      <c r="CG276" s="289"/>
      <c r="CH276" s="289"/>
      <c r="CI276" s="289"/>
      <c r="CJ276" s="289"/>
      <c r="CK276" s="289"/>
      <c r="CL276" s="289"/>
      <c r="CM276" s="289"/>
      <c r="CN276" s="289"/>
      <c r="CO276" s="289"/>
      <c r="CP276" s="289"/>
      <c r="CQ276" s="289"/>
      <c r="CR276" s="289"/>
      <c r="CS276" s="289"/>
      <c r="CT276" s="289"/>
      <c r="CU276" s="289"/>
      <c r="CV276" s="289"/>
      <c r="CW276" s="289"/>
      <c r="CX276" s="289"/>
      <c r="CY276" s="289"/>
      <c r="CZ276" s="289"/>
    </row>
    <row r="277" spans="1:104" x14ac:dyDescent="0.2">
      <c r="A277" s="289"/>
      <c r="B277" s="289"/>
      <c r="C277" s="289"/>
      <c r="D277" s="289"/>
      <c r="E277" s="556"/>
      <c r="F277" s="557"/>
      <c r="G277" s="557"/>
      <c r="H277" s="558"/>
      <c r="I277" s="127"/>
      <c r="J277" s="559"/>
      <c r="K277" s="560"/>
      <c r="L277" s="560"/>
      <c r="M277" s="561"/>
      <c r="N277" s="127"/>
      <c r="O277" s="559"/>
      <c r="P277" s="560"/>
      <c r="Q277" s="560"/>
      <c r="R277" s="561"/>
      <c r="S277" s="127"/>
      <c r="T277" s="559"/>
      <c r="U277" s="560"/>
      <c r="V277" s="560"/>
      <c r="W277" s="561"/>
      <c r="X277" s="127"/>
      <c r="Y277" s="559"/>
      <c r="Z277" s="560"/>
      <c r="AA277" s="560"/>
      <c r="AB277" s="561"/>
      <c r="AC277" s="358"/>
      <c r="AD277" s="559"/>
      <c r="AE277" s="560"/>
      <c r="AF277" s="560"/>
      <c r="AG277" s="561"/>
      <c r="AH277" s="358"/>
      <c r="AI277" s="559"/>
      <c r="AJ277" s="560"/>
      <c r="AK277" s="560"/>
      <c r="AL277" s="561"/>
      <c r="AM277" s="358"/>
      <c r="AN277" s="559"/>
      <c r="AO277" s="560"/>
      <c r="AP277" s="560"/>
      <c r="AQ277" s="561"/>
      <c r="AR277" s="358"/>
      <c r="AS277" s="559"/>
      <c r="AT277" s="560"/>
      <c r="AU277" s="560"/>
      <c r="AV277" s="561"/>
      <c r="AW277" s="358"/>
      <c r="AX277" s="559"/>
      <c r="AY277" s="560"/>
      <c r="AZ277" s="560"/>
      <c r="BA277" s="561"/>
      <c r="BB277" s="358"/>
      <c r="BC277" s="559"/>
      <c r="BD277" s="560"/>
      <c r="BE277" s="560"/>
      <c r="BF277" s="561"/>
      <c r="BG277" s="358"/>
      <c r="BH277" s="559"/>
      <c r="BI277" s="560"/>
      <c r="BJ277" s="560"/>
      <c r="BK277" s="561"/>
      <c r="BL277" s="358"/>
      <c r="BM277" s="559"/>
      <c r="BN277" s="560"/>
      <c r="BO277" s="560"/>
      <c r="BP277" s="561"/>
      <c r="BQ277" s="358"/>
      <c r="BR277" s="289"/>
      <c r="BS277" s="289"/>
      <c r="BT277" s="289"/>
      <c r="BU277" s="289"/>
      <c r="BV277" s="289"/>
      <c r="BW277" s="289"/>
      <c r="BX277" s="289"/>
      <c r="BY277" s="289"/>
      <c r="BZ277" s="289"/>
      <c r="CA277" s="289"/>
      <c r="CB277" s="289"/>
      <c r="CC277" s="289"/>
      <c r="CD277" s="289"/>
      <c r="CE277" s="289"/>
      <c r="CF277" s="289"/>
      <c r="CG277" s="289"/>
      <c r="CH277" s="289"/>
      <c r="CI277" s="289"/>
      <c r="CJ277" s="289"/>
      <c r="CK277" s="289"/>
      <c r="CL277" s="289"/>
      <c r="CM277" s="289"/>
      <c r="CN277" s="289"/>
      <c r="CO277" s="289"/>
      <c r="CP277" s="289"/>
      <c r="CQ277" s="289"/>
      <c r="CR277" s="289"/>
      <c r="CS277" s="289"/>
      <c r="CT277" s="289"/>
      <c r="CU277" s="289"/>
      <c r="CV277" s="289"/>
      <c r="CW277" s="289"/>
      <c r="CX277" s="289"/>
      <c r="CY277" s="289"/>
      <c r="CZ277" s="289"/>
    </row>
    <row r="279" spans="1:104" x14ac:dyDescent="0.2">
      <c r="AH279" s="795"/>
    </row>
    <row r="280" spans="1:104" x14ac:dyDescent="0.2">
      <c r="C280" s="846" t="s">
        <v>586</v>
      </c>
      <c r="X280">
        <v>715</v>
      </c>
      <c r="AC280">
        <v>777</v>
      </c>
      <c r="AH280">
        <v>906</v>
      </c>
      <c r="AM280">
        <v>1034</v>
      </c>
      <c r="AR280" s="894">
        <v>1118</v>
      </c>
    </row>
    <row r="281" spans="1:104" x14ac:dyDescent="0.2">
      <c r="C281" s="846" t="s">
        <v>587</v>
      </c>
      <c r="X281">
        <v>86</v>
      </c>
      <c r="AC281">
        <v>85</v>
      </c>
      <c r="AH281">
        <v>98</v>
      </c>
      <c r="AM281">
        <v>96</v>
      </c>
      <c r="AR281" s="894">
        <v>108</v>
      </c>
    </row>
    <row r="282" spans="1:104" x14ac:dyDescent="0.2">
      <c r="C282" s="846" t="s">
        <v>588</v>
      </c>
      <c r="X282">
        <v>19</v>
      </c>
      <c r="AC282">
        <v>20</v>
      </c>
      <c r="AH282">
        <v>24</v>
      </c>
      <c r="AM282">
        <v>29</v>
      </c>
      <c r="AR282">
        <v>31</v>
      </c>
    </row>
    <row r="283" spans="1:104" x14ac:dyDescent="0.2">
      <c r="U283" s="224"/>
      <c r="X283">
        <f>SUM(X280:X282)</f>
        <v>820</v>
      </c>
      <c r="AC283">
        <f t="shared" ref="AC283:AM283" si="653">SUM(AC280:AC282)</f>
        <v>882</v>
      </c>
      <c r="AD283">
        <f t="shared" si="653"/>
        <v>0</v>
      </c>
      <c r="AE283">
        <f t="shared" si="653"/>
        <v>0</v>
      </c>
      <c r="AF283">
        <f t="shared" si="653"/>
        <v>0</v>
      </c>
      <c r="AG283">
        <f t="shared" si="653"/>
        <v>0</v>
      </c>
      <c r="AH283">
        <f t="shared" si="653"/>
        <v>1028</v>
      </c>
      <c r="AI283">
        <f t="shared" si="653"/>
        <v>0</v>
      </c>
      <c r="AJ283">
        <f t="shared" si="653"/>
        <v>0</v>
      </c>
      <c r="AK283">
        <f t="shared" si="653"/>
        <v>0</v>
      </c>
      <c r="AL283">
        <f t="shared" si="653"/>
        <v>0</v>
      </c>
      <c r="AM283">
        <f t="shared" si="653"/>
        <v>1159</v>
      </c>
      <c r="AR283" s="894">
        <f>SUM(AR280:AR282)</f>
        <v>1257</v>
      </c>
    </row>
  </sheetData>
  <phoneticPr fontId="45" type="noConversion"/>
  <pageMargins left="0.5" right="0.5" top="0.5" bottom="0.5" header="0" footer="0"/>
  <pageSetup scale="55" fitToHeight="4" orientation="landscape" r:id="rId1"/>
  <headerFooter alignWithMargins="0"/>
  <rowBreaks count="4" manualBreakCount="4">
    <brk id="77" max="69" man="1"/>
    <brk id="138" max="69" man="1"/>
    <brk id="193" max="69" man="1"/>
    <brk id="238" max="69" man="1"/>
  </rowBreak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S69"/>
  <sheetViews>
    <sheetView zoomScale="80" zoomScaleNormal="80" workbookViewId="0">
      <pane xSplit="4" ySplit="5" topLeftCell="I6" activePane="bottomRight" state="frozen"/>
      <selection activeCell="E59" sqref="E59"/>
      <selection pane="topRight" activeCell="E59" sqref="E59"/>
      <selection pane="bottomLeft" activeCell="E59" sqref="E59"/>
      <selection pane="bottomRight" activeCell="I6" sqref="I6"/>
    </sheetView>
  </sheetViews>
  <sheetFormatPr defaultRowHeight="12.75" outlineLevelCol="1" x14ac:dyDescent="0.2"/>
  <cols>
    <col min="1" max="2" width="2.7109375" customWidth="1"/>
    <col min="3" max="3" width="39.7109375" customWidth="1"/>
    <col min="4" max="4" width="2.7109375" customWidth="1"/>
    <col min="5" max="8" width="9" hidden="1" customWidth="1" outlineLevel="1"/>
    <col min="9" max="9" width="9" customWidth="1" collapsed="1"/>
    <col min="10" max="13" width="9" hidden="1" customWidth="1" outlineLevel="1"/>
    <col min="14" max="14" width="9" customWidth="1" collapsed="1"/>
    <col min="15" max="18" width="9" hidden="1" customWidth="1" outlineLevel="1"/>
    <col min="19" max="19" width="9" customWidth="1" collapsed="1"/>
    <col min="20" max="23" width="9" hidden="1" customWidth="1" outlineLevel="1"/>
    <col min="24" max="24" width="9" customWidth="1" collapsed="1"/>
    <col min="25" max="28" width="9" hidden="1" customWidth="1" outlineLevel="1"/>
    <col min="29" max="29" width="9" customWidth="1" collapsed="1"/>
    <col min="30" max="33" width="9" hidden="1" customWidth="1" outlineLevel="1"/>
    <col min="34" max="34" width="9" customWidth="1" collapsed="1"/>
    <col min="35" max="38" width="9" hidden="1" customWidth="1" outlineLevel="1"/>
    <col min="39" max="39" width="9" customWidth="1" collapsed="1"/>
    <col min="40" max="43" width="9" hidden="1" customWidth="1" outlineLevel="1"/>
    <col min="44" max="44" width="9" customWidth="1" collapsed="1"/>
    <col min="45" max="48" width="9" hidden="1" customWidth="1" outlineLevel="1"/>
    <col min="49" max="49" width="9" customWidth="1" collapsed="1"/>
    <col min="50" max="53" width="9" hidden="1" customWidth="1" outlineLevel="1"/>
    <col min="54" max="54" width="9" customWidth="1" collapsed="1"/>
    <col min="55" max="58" width="9" hidden="1" customWidth="1" outlineLevel="1"/>
    <col min="59" max="59" width="9" customWidth="1" collapsed="1"/>
    <col min="60" max="63" width="9" hidden="1" customWidth="1" outlineLevel="1"/>
    <col min="64" max="64" width="9" customWidth="1" collapsed="1"/>
    <col min="65" max="68" width="9" hidden="1" customWidth="1" outlineLevel="1"/>
    <col min="69" max="69" width="9" customWidth="1" collapsed="1"/>
    <col min="70" max="70" width="6.5703125" bestFit="1" customWidth="1"/>
    <col min="71" max="72" width="8.140625" bestFit="1" customWidth="1"/>
  </cols>
  <sheetData>
    <row r="1" spans="1:69" ht="15" customHeight="1" x14ac:dyDescent="0.25">
      <c r="A1" s="2"/>
      <c r="B1" s="2"/>
      <c r="C1" s="2"/>
      <c r="D1" s="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</row>
    <row r="2" spans="1:69" ht="15" customHeight="1" x14ac:dyDescent="0.25">
      <c r="A2" s="2"/>
      <c r="B2" s="2" t="str">
        <f>Cover!$B$2</f>
        <v>Xcel Energy</v>
      </c>
      <c r="C2" s="2"/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</row>
    <row r="3" spans="1:69" ht="15" customHeight="1" x14ac:dyDescent="0.25">
      <c r="A3" s="5"/>
      <c r="B3" s="6" t="s">
        <v>34</v>
      </c>
      <c r="C3" s="6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</row>
    <row r="4" spans="1:69" x14ac:dyDescent="0.2">
      <c r="A4" s="8"/>
      <c r="B4" s="9" t="s">
        <v>1</v>
      </c>
      <c r="C4" s="9"/>
      <c r="D4" s="8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</row>
    <row r="5" spans="1:69" x14ac:dyDescent="0.2">
      <c r="B5" s="264" t="s">
        <v>41</v>
      </c>
      <c r="C5" s="264"/>
      <c r="D5" s="265"/>
      <c r="E5" s="104" t="s">
        <v>101</v>
      </c>
      <c r="F5" s="105" t="s">
        <v>102</v>
      </c>
      <c r="G5" s="105" t="s">
        <v>103</v>
      </c>
      <c r="H5" s="106" t="s">
        <v>104</v>
      </c>
      <c r="I5" s="266">
        <v>2009</v>
      </c>
      <c r="J5" s="104" t="s">
        <v>105</v>
      </c>
      <c r="K5" s="105" t="s">
        <v>106</v>
      </c>
      <c r="L5" s="105" t="s">
        <v>107</v>
      </c>
      <c r="M5" s="106" t="s">
        <v>108</v>
      </c>
      <c r="N5" s="266" t="s">
        <v>3</v>
      </c>
      <c r="O5" s="104" t="s">
        <v>109</v>
      </c>
      <c r="P5" s="105" t="s">
        <v>110</v>
      </c>
      <c r="Q5" s="105" t="s">
        <v>479</v>
      </c>
      <c r="R5" s="106" t="s">
        <v>175</v>
      </c>
      <c r="S5" s="266">
        <v>2011</v>
      </c>
      <c r="T5" s="104" t="s">
        <v>508</v>
      </c>
      <c r="U5" s="105" t="s">
        <v>509</v>
      </c>
      <c r="V5" s="105" t="s">
        <v>510</v>
      </c>
      <c r="W5" s="106" t="s">
        <v>522</v>
      </c>
      <c r="X5" s="267" t="s">
        <v>523</v>
      </c>
      <c r="Y5" s="104" t="s">
        <v>524</v>
      </c>
      <c r="Z5" s="105" t="s">
        <v>527</v>
      </c>
      <c r="AA5" s="105" t="s">
        <v>528</v>
      </c>
      <c r="AB5" s="101" t="s">
        <v>537</v>
      </c>
      <c r="AC5" s="103" t="s">
        <v>538</v>
      </c>
      <c r="AD5" s="99" t="s">
        <v>539</v>
      </c>
      <c r="AE5" s="100" t="s">
        <v>543</v>
      </c>
      <c r="AF5" s="100" t="s">
        <v>544</v>
      </c>
      <c r="AG5" s="106" t="s">
        <v>550</v>
      </c>
      <c r="AH5" s="267" t="s">
        <v>551</v>
      </c>
      <c r="AI5" s="104" t="s">
        <v>553</v>
      </c>
      <c r="AJ5" s="105" t="s">
        <v>554</v>
      </c>
      <c r="AK5" s="105" t="s">
        <v>569</v>
      </c>
      <c r="AL5" s="106" t="s">
        <v>570</v>
      </c>
      <c r="AM5" s="267" t="s">
        <v>571</v>
      </c>
      <c r="AN5" s="372" t="s">
        <v>574</v>
      </c>
      <c r="AO5" s="373" t="s">
        <v>589</v>
      </c>
      <c r="AP5" s="105" t="s">
        <v>597</v>
      </c>
      <c r="AQ5" s="374" t="s">
        <v>605</v>
      </c>
      <c r="AR5" s="103" t="s">
        <v>604</v>
      </c>
      <c r="AS5" s="372" t="s">
        <v>631</v>
      </c>
      <c r="AT5" s="373" t="s">
        <v>638</v>
      </c>
      <c r="AU5" s="373" t="s">
        <v>640</v>
      </c>
      <c r="AV5" s="374" t="s">
        <v>664</v>
      </c>
      <c r="AW5" s="103" t="s">
        <v>665</v>
      </c>
      <c r="AX5" s="372" t="s">
        <v>529</v>
      </c>
      <c r="AY5" s="373" t="s">
        <v>530</v>
      </c>
      <c r="AZ5" s="373" t="s">
        <v>531</v>
      </c>
      <c r="BA5" s="374" t="s">
        <v>532</v>
      </c>
      <c r="BB5" s="375">
        <v>2018</v>
      </c>
      <c r="BC5" s="372" t="s">
        <v>555</v>
      </c>
      <c r="BD5" s="373" t="s">
        <v>556</v>
      </c>
      <c r="BE5" s="373" t="s">
        <v>557</v>
      </c>
      <c r="BF5" s="374" t="s">
        <v>558</v>
      </c>
      <c r="BG5" s="375">
        <v>2019</v>
      </c>
      <c r="BH5" s="372" t="s">
        <v>599</v>
      </c>
      <c r="BI5" s="373" t="s">
        <v>600</v>
      </c>
      <c r="BJ5" s="373" t="s">
        <v>601</v>
      </c>
      <c r="BK5" s="374" t="s">
        <v>602</v>
      </c>
      <c r="BL5" s="375">
        <v>2020</v>
      </c>
      <c r="BM5" s="372" t="s">
        <v>670</v>
      </c>
      <c r="BN5" s="373" t="s">
        <v>671</v>
      </c>
      <c r="BO5" s="373" t="s">
        <v>672</v>
      </c>
      <c r="BP5" s="374" t="s">
        <v>673</v>
      </c>
      <c r="BQ5" s="375">
        <v>2021</v>
      </c>
    </row>
    <row r="6" spans="1:69" x14ac:dyDescent="0.2">
      <c r="E6" s="120"/>
      <c r="F6" s="139"/>
      <c r="G6" s="139"/>
      <c r="H6" s="119"/>
      <c r="I6" s="42"/>
      <c r="J6" s="120"/>
      <c r="K6" s="139"/>
      <c r="L6" s="139"/>
      <c r="M6" s="119"/>
      <c r="N6" s="42"/>
      <c r="O6" s="120"/>
      <c r="P6" s="139"/>
      <c r="Q6" s="139"/>
      <c r="R6" s="119"/>
      <c r="S6" s="42"/>
      <c r="T6" s="120"/>
      <c r="U6" s="139"/>
      <c r="V6" s="139"/>
      <c r="W6" s="119"/>
      <c r="X6" s="42"/>
      <c r="Y6" s="120"/>
      <c r="Z6" s="139"/>
      <c r="AA6" s="139"/>
      <c r="AB6" s="119"/>
      <c r="AC6" s="42"/>
      <c r="AD6" s="120"/>
      <c r="AE6" s="139"/>
      <c r="AF6" s="139"/>
      <c r="AG6" s="119"/>
      <c r="AH6" s="42"/>
      <c r="AI6" s="120"/>
      <c r="AJ6" s="139"/>
      <c r="AK6" s="139"/>
      <c r="AL6" s="119"/>
      <c r="AM6" s="42"/>
      <c r="AN6" s="120"/>
      <c r="AO6" s="139"/>
      <c r="AP6" s="139"/>
      <c r="AQ6" s="119"/>
      <c r="AR6" s="42"/>
      <c r="AS6" s="120"/>
      <c r="AT6" s="139"/>
      <c r="AU6" s="139"/>
      <c r="AV6" s="119"/>
      <c r="AW6" s="42"/>
      <c r="AX6" s="120"/>
      <c r="AY6" s="139"/>
      <c r="AZ6" s="139"/>
      <c r="BA6" s="119"/>
      <c r="BB6" s="42"/>
      <c r="BC6" s="120"/>
      <c r="BD6" s="139"/>
      <c r="BE6" s="139"/>
      <c r="BF6" s="119"/>
      <c r="BG6" s="42"/>
      <c r="BH6" s="120"/>
      <c r="BI6" s="139"/>
      <c r="BJ6" s="139"/>
      <c r="BK6" s="119"/>
      <c r="BL6" s="42"/>
      <c r="BM6" s="120"/>
      <c r="BN6" s="139"/>
      <c r="BO6" s="139"/>
      <c r="BP6" s="119"/>
      <c r="BQ6" s="42"/>
    </row>
    <row r="7" spans="1:69" x14ac:dyDescent="0.2">
      <c r="B7" s="16" t="s">
        <v>111</v>
      </c>
      <c r="C7" s="16"/>
      <c r="D7" s="17"/>
      <c r="E7" s="120"/>
      <c r="F7" s="139"/>
      <c r="G7" s="139"/>
      <c r="H7" s="119"/>
      <c r="I7" s="42"/>
      <c r="J7" s="120"/>
      <c r="K7" s="139"/>
      <c r="L7" s="139"/>
      <c r="M7" s="119"/>
      <c r="N7" s="42"/>
      <c r="O7" s="120"/>
      <c r="P7" s="139"/>
      <c r="Q7" s="139"/>
      <c r="R7" s="119"/>
      <c r="S7" s="42"/>
      <c r="T7" s="120"/>
      <c r="U7" s="139"/>
      <c r="V7" s="139"/>
      <c r="W7" s="119"/>
      <c r="X7" s="42"/>
      <c r="Y7" s="120"/>
      <c r="Z7" s="139"/>
      <c r="AA7" s="139"/>
      <c r="AB7" s="119"/>
      <c r="AC7" s="42"/>
      <c r="AD7" s="120"/>
      <c r="AE7" s="139"/>
      <c r="AF7" s="139"/>
      <c r="AG7" s="119"/>
      <c r="AH7" s="42"/>
      <c r="AI7" s="120"/>
      <c r="AJ7" s="139"/>
      <c r="AK7" s="139"/>
      <c r="AL7" s="119"/>
      <c r="AM7" s="42"/>
      <c r="AN7" s="120"/>
      <c r="AO7" s="139"/>
      <c r="AP7" s="139"/>
      <c r="AQ7" s="119"/>
      <c r="AR7" s="42"/>
      <c r="AS7" s="120"/>
      <c r="AT7" s="139"/>
      <c r="AU7" s="139"/>
      <c r="AV7" s="119"/>
      <c r="AW7" s="42"/>
      <c r="AX7" s="120"/>
      <c r="AY7" s="139"/>
      <c r="AZ7" s="139"/>
      <c r="BA7" s="119"/>
      <c r="BB7" s="42"/>
      <c r="BC7" s="120"/>
      <c r="BD7" s="139"/>
      <c r="BE7" s="139"/>
      <c r="BF7" s="119"/>
      <c r="BG7" s="42"/>
      <c r="BH7" s="120"/>
      <c r="BI7" s="139"/>
      <c r="BJ7" s="139"/>
      <c r="BK7" s="119"/>
      <c r="BL7" s="42"/>
      <c r="BM7" s="120"/>
      <c r="BN7" s="139"/>
      <c r="BO7" s="139"/>
      <c r="BP7" s="119"/>
      <c r="BQ7" s="42"/>
    </row>
    <row r="8" spans="1:69" x14ac:dyDescent="0.2">
      <c r="A8" s="20"/>
      <c r="B8" s="20"/>
      <c r="C8" s="20" t="s">
        <v>114</v>
      </c>
      <c r="D8" s="20"/>
      <c r="E8" s="222">
        <f>XEL!E11-'NSP-MN'!E11-'NSP-WI'!E11-PSCO!E11-SPS!E8</f>
        <v>-128.15599999999966</v>
      </c>
      <c r="F8" s="200">
        <f>XEL!F11-'NSP-MN'!F11-'NSP-WI'!F11-PSCO!F11-SPS!F8</f>
        <v>-118.7399999999999</v>
      </c>
      <c r="G8" s="200">
        <f>XEL!G11-'NSP-MN'!G11-'NSP-WI'!G11-PSCO!G11-SPS!G8</f>
        <v>-122.11599999999993</v>
      </c>
      <c r="H8" s="131">
        <f>XEL!H11-'NSP-MN'!H11-'NSP-WI'!H11-PSCO!H11-SPS!H8</f>
        <v>-125.0570000000007</v>
      </c>
      <c r="I8" s="223">
        <f>XEL!I11-'NSP-MN'!I11-'NSP-WI'!I11-PSCO!I11-SPS!I8</f>
        <v>-494.06900000000041</v>
      </c>
      <c r="J8" s="222">
        <f>XEL!J11-'NSP-MN'!J11-'NSP-WI'!J11-PSCO!J11-SPS!J8</f>
        <v>-128.5929999999999</v>
      </c>
      <c r="K8" s="200">
        <f>XEL!K11-'NSP-MN'!K11-'NSP-WI'!K11-PSCO!K11-SPS!K8</f>
        <v>-133.86799999999977</v>
      </c>
      <c r="L8" s="200">
        <f>XEL!L11-'NSP-MN'!L11-'NSP-WI'!L11-PSCO!L11-SPS!L8</f>
        <v>-135.58800000000008</v>
      </c>
      <c r="M8" s="131">
        <f>XEL!M11-'NSP-MN'!M11-'NSP-WI'!M11-PSCO!M11-SPS!M8</f>
        <v>-129.97100000000023</v>
      </c>
      <c r="N8" s="223">
        <f>XEL!N11-'NSP-MN'!N11-'NSP-WI'!N11-PSCO!N11-SPS!N8</f>
        <v>-528.01999999999975</v>
      </c>
      <c r="O8" s="222">
        <f>XEL!O11-'NSP-MN'!O11-'NSP-WI'!O11-PSCO!O11-SPS!O8</f>
        <v>-140.11599999999993</v>
      </c>
      <c r="P8" s="200">
        <f>XEL!P11-'NSP-MN'!P11-'NSP-WI'!P11-PSCO!P11-SPS!P8</f>
        <v>-137.54300000000023</v>
      </c>
      <c r="Q8" s="135">
        <f>XEL!Q11-'NSP-MN'!Q11-'NSP-WI'!Q11-PSCO!Q11-SPS!Q8</f>
        <v>-147.86300000000006</v>
      </c>
      <c r="R8" s="131">
        <f>XEL!R11-'NSP-MN'!R11-'NSP-WI'!R11-PSCO!R11-SPS!R8</f>
        <v>-142.38599999999906</v>
      </c>
      <c r="S8" s="223">
        <f>XEL!S11-'NSP-MN'!S11-'NSP-WI'!S11-PSCO!S11-SPS!S8</f>
        <v>-567.9079999999999</v>
      </c>
      <c r="T8" s="222">
        <f>XEL!T11-'NSP-MN'!T11-'NSP-WI'!T11-PSCO!T11-SPS!T8</f>
        <v>-139.03299999999984</v>
      </c>
      <c r="U8" s="200">
        <f>XEL!U11-'NSP-MN'!U11-'NSP-WI'!U11-PSCO!U11-SPS!U8</f>
        <v>-141.74300000000039</v>
      </c>
      <c r="V8" s="135">
        <f>XEL!V11-'NSP-MN'!V11-'NSP-WI'!V11-PSCO!V11-SPS!V8</f>
        <v>-151.71000000000015</v>
      </c>
      <c r="W8" s="131">
        <f>XEL!W11-'NSP-MN'!W11-'NSP-WI'!W11-PSCO!W11-SPS!W8</f>
        <v>-147.81999999999948</v>
      </c>
      <c r="X8" s="223">
        <f>XEL!X11-'NSP-MN'!X11-'NSP-WI'!X11-PSCO!X11-SPS!X8</f>
        <v>-580.30600000000027</v>
      </c>
      <c r="Y8" s="222">
        <f>XEL!Y11-'NSP-MN'!Y11-'NSP-WI'!Y11-PSCO!Y11-SPS!Y8</f>
        <v>-143.51500000000027</v>
      </c>
      <c r="Z8" s="200">
        <f>XEL!Z11-'NSP-MN'!Z11-'NSP-WI'!Z11-PSCO!Z11-SPS!Z8</f>
        <v>-144.36699999999985</v>
      </c>
      <c r="AA8" s="135">
        <f>XEL!AA11-'NSP-MN'!AA11-'NSP-WI'!AA11-PSCO!AA11-SPS!AA8</f>
        <v>-151.9049999999998</v>
      </c>
      <c r="AB8" s="131">
        <f>XEL!AB11-'NSP-MN'!AB11-'NSP-WI'!AB11-PSCO!AB11-SPS!AB8</f>
        <v>-157.65399999999954</v>
      </c>
      <c r="AC8" s="223">
        <f>XEL!AC11-'NSP-MN'!AC11-'NSP-WI'!AC11-PSCO!AC11-SPS!AC8</f>
        <v>-597.44099999999844</v>
      </c>
      <c r="AD8" s="222">
        <f>XEL!AD11-'NSP-MN'!AD11-'NSP-WI'!AD11-PSCO!AD11-SPS!AD8</f>
        <v>-158.80699999999968</v>
      </c>
      <c r="AE8" s="200">
        <f>XEL!AE11-'NSP-MN'!AE11-'NSP-WI'!AE11-PSCO!AE11-SPS!AE8</f>
        <v>-154.017</v>
      </c>
      <c r="AF8" s="135">
        <f>XEL!AF11-'NSP-MN'!AF11-'NSP-WI'!AF11-PSCO!AF11-SPS!AF8</f>
        <v>-153.3420000000001</v>
      </c>
      <c r="AG8" s="131">
        <f>XEL!AG11-'NSP-MN'!AG11-'NSP-WI'!AG11-PSCO!AG11-SPS!AG8</f>
        <v>-157.20500000000129</v>
      </c>
      <c r="AH8" s="223">
        <f>XEL!AH11-'NSP-MN'!AH11-'NSP-WI'!AH11-PSCO!AH11-SPS!AH8</f>
        <v>-623.37100000000191</v>
      </c>
      <c r="AI8" s="222">
        <f>XEL!AI11-'NSP-MN'!AI11-'NSP-WI'!AI11-PSCO!AI11-SPS!AI8</f>
        <v>-163.50200000000024</v>
      </c>
      <c r="AJ8" s="200">
        <f>XEL!AJ11-'NSP-MN'!AJ11-'NSP-WI'!AJ11-PSCO!AJ11-SPS!AJ8</f>
        <v>-159.15900000000022</v>
      </c>
      <c r="AK8" s="135">
        <f>XEL!AK11-'NSP-MN'!AK11-'NSP-WI'!AK11-PSCO!AK11-SPS!AK8</f>
        <v>-159.14500000000021</v>
      </c>
      <c r="AL8" s="131">
        <f>XEL!AL11-'NSP-MN'!AL11-'NSP-WI'!AL11-PSCO!AL11-SPS!AL8</f>
        <v>-157.7859999999996</v>
      </c>
      <c r="AM8" s="223">
        <f>XEL!AM11-'NSP-MN'!AM11-'NSP-WI'!AM11-PSCO!AM11-SPS!AM8</f>
        <v>-639.59199999999987</v>
      </c>
      <c r="AN8" s="222">
        <f>XEL!AN11-'NSP-MN'!AN11-'NSP-WI'!AN11-PSCO!AN11-SPS!AN8</f>
        <v>-165.89000000000016</v>
      </c>
      <c r="AO8" s="200">
        <f>XEL!AO11-'NSP-MN'!AO11-'NSP-WI'!AO11-PSCO!AO11-SPS!AO8</f>
        <v>-157.7210000000004</v>
      </c>
      <c r="AP8" s="135">
        <f>XEL!AP11-'NSP-MN'!AP11-'NSP-WI'!AP11-PSCO!AP11-SPS!AP8</f>
        <v>-165.47900000000016</v>
      </c>
      <c r="AQ8" s="131">
        <f>XEL!AQ11-'NSP-MN'!AQ11-'NSP-WI'!AQ11-PSCO!AQ11-SPS!AQ8</f>
        <v>-160.26499999999908</v>
      </c>
      <c r="AR8" s="223">
        <f>XEL!AR11-'NSP-MN'!AR11-'NSP-WI'!AR11-PSCO!AR11-SPS!AR8</f>
        <v>-649.35499999999843</v>
      </c>
      <c r="AS8" s="222">
        <f>XEL!AS11-'NSP-MN'!AS11-'NSP-WI'!AS11-PSCO!AS11-SPS!AS8</f>
        <v>-166.255</v>
      </c>
      <c r="AT8" s="200">
        <f>XEL!AT11-'NSP-MN'!AT11-'NSP-WI'!AT11-PSCO!AT11-SPS!AT8</f>
        <v>-160.75000000000017</v>
      </c>
      <c r="AU8" s="135">
        <f>XEL!AU11-'NSP-MN'!AU11-'NSP-WI'!AU11-PSCO!AU11-SPS!AU8</f>
        <v>-168.3090000000002</v>
      </c>
      <c r="AV8" s="131">
        <f>XEL!AV11-'NSP-MN'!AV11-'NSP-WI'!AV11-PSCO!AV11-SPS!AV8</f>
        <v>-168.67299999999898</v>
      </c>
      <c r="AW8" s="223">
        <f>XEL!AW11-'NSP-MN'!AW11-'NSP-WI'!AW11-PSCO!AW11-SPS!AW8</f>
        <v>-663.98700000000099</v>
      </c>
      <c r="AX8" s="148">
        <f t="shared" ref="AX8:BA9" si="0">AS8</f>
        <v>-166.255</v>
      </c>
      <c r="AY8" s="221">
        <f t="shared" si="0"/>
        <v>-160.75000000000017</v>
      </c>
      <c r="AZ8" s="221">
        <f t="shared" si="0"/>
        <v>-168.3090000000002</v>
      </c>
      <c r="BA8" s="150">
        <f t="shared" si="0"/>
        <v>-168.67299999999898</v>
      </c>
      <c r="BB8" s="223">
        <f>SUM(AX8:BA8)</f>
        <v>-663.9869999999994</v>
      </c>
      <c r="BC8" s="148">
        <f t="shared" ref="BC8:BF9" si="1">AX8</f>
        <v>-166.255</v>
      </c>
      <c r="BD8" s="221">
        <f t="shared" si="1"/>
        <v>-160.75000000000017</v>
      </c>
      <c r="BE8" s="221">
        <f t="shared" si="1"/>
        <v>-168.3090000000002</v>
      </c>
      <c r="BF8" s="150">
        <f t="shared" si="1"/>
        <v>-168.67299999999898</v>
      </c>
      <c r="BG8" s="223">
        <f>SUM(BC8:BF8)</f>
        <v>-663.9869999999994</v>
      </c>
      <c r="BH8" s="148">
        <f t="shared" ref="BH8:BK9" si="2">BC8</f>
        <v>-166.255</v>
      </c>
      <c r="BI8" s="221">
        <f t="shared" si="2"/>
        <v>-160.75000000000017</v>
      </c>
      <c r="BJ8" s="221">
        <f t="shared" si="2"/>
        <v>-168.3090000000002</v>
      </c>
      <c r="BK8" s="150">
        <f t="shared" si="2"/>
        <v>-168.67299999999898</v>
      </c>
      <c r="BL8" s="223">
        <f>SUM(BH8:BK8)</f>
        <v>-663.9869999999994</v>
      </c>
      <c r="BM8" s="148">
        <f t="shared" ref="BM8:BM9" si="3">BH8</f>
        <v>-166.255</v>
      </c>
      <c r="BN8" s="221">
        <f t="shared" ref="BN8:BN9" si="4">BI8</f>
        <v>-160.75000000000017</v>
      </c>
      <c r="BO8" s="221">
        <f t="shared" ref="BO8:BO9" si="5">BJ8</f>
        <v>-168.3090000000002</v>
      </c>
      <c r="BP8" s="150">
        <f t="shared" ref="BP8:BP9" si="6">BK8</f>
        <v>-168.67299999999898</v>
      </c>
      <c r="BQ8" s="223">
        <f>SUM(BM8:BP8)</f>
        <v>-663.9869999999994</v>
      </c>
    </row>
    <row r="9" spans="1:69" x14ac:dyDescent="0.2">
      <c r="A9" s="20"/>
      <c r="B9" s="20"/>
      <c r="C9" s="20" t="s">
        <v>316</v>
      </c>
      <c r="D9" s="20"/>
      <c r="E9" s="136">
        <f>XEL!E16-'NSP-MN'!E16-'NSP-WI'!E15-PSCO!E16-SPS!E9</f>
        <v>-114.43600000000012</v>
      </c>
      <c r="F9" s="135">
        <f>XEL!F16-'NSP-MN'!F16-'NSP-WI'!F15-PSCO!F16-SPS!F9</f>
        <v>-104.84999999999997</v>
      </c>
      <c r="G9" s="135">
        <f>XEL!G16-'NSP-MN'!G16-'NSP-WI'!G15-PSCO!G16-SPS!G9</f>
        <v>-107.44399999999993</v>
      </c>
      <c r="H9" s="116">
        <f>XEL!H16-'NSP-MN'!H16-'NSP-WI'!H15-PSCO!H16-SPS!H9</f>
        <v>-108.72700000000077</v>
      </c>
      <c r="I9" s="223">
        <f>XEL!I16-'NSP-MN'!I16-'NSP-WI'!I15-PSCO!I16-SPS!I9</f>
        <v>-435.45699999999954</v>
      </c>
      <c r="J9" s="136">
        <f>XEL!J16-'NSP-MN'!J16-'NSP-WI'!J15-PSCO!J16-SPS!J9</f>
        <v>-113.07900000000001</v>
      </c>
      <c r="K9" s="135">
        <f>XEL!K16-'NSP-MN'!K16-'NSP-WI'!K15-PSCO!K16-SPS!K9</f>
        <v>-117.81900000000016</v>
      </c>
      <c r="L9" s="135">
        <f>XEL!L16-'NSP-MN'!L16-'NSP-WI'!L15-PSCO!L16-SPS!L9</f>
        <v>-118.61200000000025</v>
      </c>
      <c r="M9" s="116">
        <f>XEL!M16-'NSP-MN'!M16-'NSP-WI'!M15-PSCO!M16-SPS!M9</f>
        <v>-112.76200000000006</v>
      </c>
      <c r="N9" s="223">
        <f>XEL!N16-'NSP-MN'!N16-'NSP-WI'!N15-PSCO!N16-SPS!N9</f>
        <v>-462.27200000000073</v>
      </c>
      <c r="O9" s="136">
        <f>XEL!O16-'NSP-MN'!O16-'NSP-WI'!O15-PSCO!O16-SPS!O9</f>
        <v>-120.83799999999997</v>
      </c>
      <c r="P9" s="135">
        <f>XEL!P16-'NSP-MN'!P16-'NSP-WI'!P15-PSCO!P16-SPS!P9</f>
        <v>-116.96599999999989</v>
      </c>
      <c r="Q9" s="135">
        <f>XEL!Q16-'NSP-MN'!Q16-'NSP-WI'!Q15-PSCO!Q16-SPS!Q9</f>
        <v>-126.96200000000016</v>
      </c>
      <c r="R9" s="116">
        <f>XEL!R16-'NSP-MN'!R16-'NSP-WI'!R15-PSCO!R16-SPS!R9</f>
        <v>-121.38599999999974</v>
      </c>
      <c r="S9" s="223">
        <f>XEL!S16-'NSP-MN'!S16-'NSP-WI'!S15-PSCO!S16-SPS!S9</f>
        <v>-486.15200000000004</v>
      </c>
      <c r="T9" s="136">
        <f>XEL!T16-'NSP-MN'!T16-'NSP-WI'!T15-PSCO!T16-SPS!T9</f>
        <v>-118.102</v>
      </c>
      <c r="U9" s="135">
        <f>XEL!U16-'NSP-MN'!U16-'NSP-WI'!U15-PSCO!U16-SPS!U9</f>
        <v>-118.74199999999999</v>
      </c>
      <c r="V9" s="135">
        <f>XEL!V16-'NSP-MN'!V16-'NSP-WI'!V15-PSCO!V16-SPS!V9</f>
        <v>-128.0200000000001</v>
      </c>
      <c r="W9" s="116">
        <f>XEL!W16-'NSP-MN'!W16-'NSP-WI'!W15-PSCO!W16-SPS!W9</f>
        <v>-122.72900000000038</v>
      </c>
      <c r="X9" s="223">
        <f>XEL!X16-'NSP-MN'!X16-'NSP-WI'!X15-PSCO!X16-SPS!X9</f>
        <v>-487.59300000000076</v>
      </c>
      <c r="Y9" s="136">
        <f>XEL!Y16-'NSP-MN'!Y16-'NSP-WI'!Y15-PSCO!Y16-SPS!Y9</f>
        <v>-118.05399999999983</v>
      </c>
      <c r="Z9" s="135">
        <f>XEL!Z16-'NSP-MN'!Z16-'NSP-WI'!Z15-PSCO!Z16-SPS!Z9</f>
        <v>-118.80499999999989</v>
      </c>
      <c r="AA9" s="135">
        <f>XEL!AA16-'NSP-MN'!AA16-'NSP-WI'!AA15-PSCO!AA16-SPS!AA9</f>
        <v>-128.22000000000014</v>
      </c>
      <c r="AB9" s="116">
        <f>XEL!AB16-'NSP-MN'!AB16-'NSP-WI'!AB15-PSCO!AB16-SPS!AB9</f>
        <v>-129.54500000000007</v>
      </c>
      <c r="AC9" s="223">
        <f>XEL!AC16-'NSP-MN'!AC16-'NSP-WI'!AC15-PSCO!AC16-SPS!AC9</f>
        <v>-494.62400000000002</v>
      </c>
      <c r="AD9" s="136">
        <f>XEL!AD16-'NSP-MN'!AD16-'NSP-WI'!AD15-PSCO!AD16-SPS!AD9</f>
        <v>-132.83400000000012</v>
      </c>
      <c r="AE9" s="135">
        <f>XEL!AE16-'NSP-MN'!AE16-'NSP-WI'!AE15-PSCO!AE16-SPS!AE9</f>
        <v>-124.20799999999997</v>
      </c>
      <c r="AF9" s="135">
        <f>XEL!AF16-'NSP-MN'!AF16-'NSP-WI'!AF15-PSCO!AF16-SPS!AF9</f>
        <v>-123.90899999999999</v>
      </c>
      <c r="AG9" s="116">
        <f>XEL!AG16-'NSP-MN'!AG16-'NSP-WI'!AG15-PSCO!AG16-SPS!AG9</f>
        <v>-127.97100000000034</v>
      </c>
      <c r="AH9" s="223">
        <f>XEL!AH16-'NSP-MN'!AH16-'NSP-WI'!AH15-PSCO!AH16-SPS!AH9</f>
        <v>-508.92200000000048</v>
      </c>
      <c r="AI9" s="136">
        <f>XEL!AI16-'NSP-MN'!AI16-'NSP-WI'!AI15-PSCO!AI16-SPS!AI9</f>
        <v>-130.23100000000002</v>
      </c>
      <c r="AJ9" s="135">
        <f>XEL!AJ16-'NSP-MN'!AJ16-'NSP-WI'!AJ15-PSCO!AJ16-SPS!AJ9</f>
        <v>-124.32599999999996</v>
      </c>
      <c r="AK9" s="135">
        <f>XEL!AK16-'NSP-MN'!AK16-'NSP-WI'!AK15-PSCO!AK16-SPS!AK9</f>
        <v>-122.96600000000001</v>
      </c>
      <c r="AL9" s="116">
        <f>XEL!AL16-'NSP-MN'!AL16-'NSP-WI'!AL15-PSCO!AL16-SPS!AL9</f>
        <v>-120.53100000000001</v>
      </c>
      <c r="AM9" s="223">
        <f>XEL!AM16-'NSP-MN'!AM16-'NSP-WI'!AM15-PSCO!AM16-SPS!AM9</f>
        <v>-498.05399999999929</v>
      </c>
      <c r="AN9" s="136">
        <f>XEL!AN16-'NSP-MN'!AN16-'NSP-WI'!AN15-PSCO!AN16-SPS!AN9</f>
        <v>-126.31000000000003</v>
      </c>
      <c r="AO9" s="135">
        <f>XEL!AO16-'NSP-MN'!AO16-'NSP-WI'!AO15-PSCO!AO16-SPS!AO9</f>
        <v>-114.08299999999994</v>
      </c>
      <c r="AP9" s="135">
        <f>XEL!AP16-'NSP-MN'!AP16-'NSP-WI'!AP15-PSCO!AP16-SPS!AP9</f>
        <v>-124.39300000000026</v>
      </c>
      <c r="AQ9" s="116">
        <f>XEL!AQ16-'NSP-MN'!AQ16-'NSP-WI'!AQ15-PSCO!AQ16-SPS!AQ9</f>
        <v>-120.45099999999968</v>
      </c>
      <c r="AR9" s="223">
        <f>XEL!AR16-'NSP-MN'!AR16-'NSP-WI'!AR15-PSCO!AR16-SPS!AR9</f>
        <v>-485.23700000000076</v>
      </c>
      <c r="AS9" s="136">
        <f>XEL!AS16-'NSP-MN'!AS16-'NSP-WI'!AS15-PSCO!AS16-SPS!AS9</f>
        <v>-122.71999999999997</v>
      </c>
      <c r="AT9" s="135">
        <f>XEL!AT16-'NSP-MN'!AT16-'NSP-WI'!AT15-PSCO!AT16-SPS!AT9</f>
        <v>-117.61199999999974</v>
      </c>
      <c r="AU9" s="135">
        <f>XEL!AU16-'NSP-MN'!AU16-'NSP-WI'!AU15-PSCO!AU16-SPS!AU9</f>
        <v>-125.07800000000003</v>
      </c>
      <c r="AV9" s="116">
        <f>XEL!AV16-'NSP-MN'!AV16-'NSP-WI'!AV15-PSCO!AV16-SPS!AV9</f>
        <v>-124.25800000000027</v>
      </c>
      <c r="AW9" s="223">
        <f>XEL!AW16-'NSP-MN'!AW16-'NSP-WI'!AW15-PSCO!AW16-SPS!AW9</f>
        <v>-489.66800000000035</v>
      </c>
      <c r="AX9" s="148">
        <f t="shared" si="0"/>
        <v>-122.71999999999997</v>
      </c>
      <c r="AY9" s="221">
        <f t="shared" si="0"/>
        <v>-117.61199999999974</v>
      </c>
      <c r="AZ9" s="221">
        <f t="shared" si="0"/>
        <v>-125.07800000000003</v>
      </c>
      <c r="BA9" s="150">
        <f t="shared" si="0"/>
        <v>-124.25800000000027</v>
      </c>
      <c r="BB9" s="223">
        <f>SUM(AX9:BA9)</f>
        <v>-489.66800000000001</v>
      </c>
      <c r="BC9" s="148">
        <f t="shared" si="1"/>
        <v>-122.71999999999997</v>
      </c>
      <c r="BD9" s="221">
        <f t="shared" si="1"/>
        <v>-117.61199999999974</v>
      </c>
      <c r="BE9" s="221">
        <f t="shared" si="1"/>
        <v>-125.07800000000003</v>
      </c>
      <c r="BF9" s="150">
        <f t="shared" si="1"/>
        <v>-124.25800000000027</v>
      </c>
      <c r="BG9" s="223">
        <f>SUM(BC9:BF9)</f>
        <v>-489.66800000000001</v>
      </c>
      <c r="BH9" s="148">
        <f t="shared" si="2"/>
        <v>-122.71999999999997</v>
      </c>
      <c r="BI9" s="221">
        <f t="shared" si="2"/>
        <v>-117.61199999999974</v>
      </c>
      <c r="BJ9" s="221">
        <f t="shared" si="2"/>
        <v>-125.07800000000003</v>
      </c>
      <c r="BK9" s="150">
        <f t="shared" si="2"/>
        <v>-124.25800000000027</v>
      </c>
      <c r="BL9" s="223">
        <f>SUM(BH9:BK9)</f>
        <v>-489.66800000000001</v>
      </c>
      <c r="BM9" s="148">
        <f t="shared" si="3"/>
        <v>-122.71999999999997</v>
      </c>
      <c r="BN9" s="221">
        <f t="shared" si="4"/>
        <v>-117.61199999999974</v>
      </c>
      <c r="BO9" s="221">
        <f t="shared" si="5"/>
        <v>-125.07800000000003</v>
      </c>
      <c r="BP9" s="150">
        <f t="shared" si="6"/>
        <v>-124.25800000000027</v>
      </c>
      <c r="BQ9" s="223">
        <f>SUM(BM9:BP9)</f>
        <v>-489.66800000000001</v>
      </c>
    </row>
    <row r="10" spans="1:69" x14ac:dyDescent="0.2">
      <c r="A10" s="26"/>
      <c r="B10" s="26"/>
      <c r="C10" s="26" t="s">
        <v>119</v>
      </c>
      <c r="D10" s="26"/>
      <c r="E10" s="121">
        <f>+E8-E9</f>
        <v>-13.719999999999544</v>
      </c>
      <c r="F10" s="122">
        <f t="shared" ref="F10:Q10" si="7">+F8-F9</f>
        <v>-13.88999999999993</v>
      </c>
      <c r="G10" s="122">
        <f t="shared" si="7"/>
        <v>-14.671999999999997</v>
      </c>
      <c r="H10" s="123">
        <f t="shared" si="7"/>
        <v>-16.329999999999927</v>
      </c>
      <c r="I10" s="86">
        <f t="shared" si="7"/>
        <v>-58.612000000000876</v>
      </c>
      <c r="J10" s="121">
        <f t="shared" si="7"/>
        <v>-15.513999999999896</v>
      </c>
      <c r="K10" s="122">
        <f t="shared" si="7"/>
        <v>-16.048999999999609</v>
      </c>
      <c r="L10" s="122">
        <f t="shared" si="7"/>
        <v>-16.975999999999829</v>
      </c>
      <c r="M10" s="123">
        <f t="shared" si="7"/>
        <v>-17.209000000000174</v>
      </c>
      <c r="N10" s="86">
        <f t="shared" si="7"/>
        <v>-65.747999999999024</v>
      </c>
      <c r="O10" s="121">
        <f t="shared" si="7"/>
        <v>-19.277999999999963</v>
      </c>
      <c r="P10" s="122">
        <f t="shared" si="7"/>
        <v>-20.577000000000339</v>
      </c>
      <c r="Q10" s="122">
        <f t="shared" si="7"/>
        <v>-20.900999999999897</v>
      </c>
      <c r="R10" s="123">
        <f t="shared" ref="R10:Y10" si="8">+R8-R9</f>
        <v>-20.999999999999318</v>
      </c>
      <c r="S10" s="86">
        <f t="shared" si="8"/>
        <v>-81.755999999999858</v>
      </c>
      <c r="T10" s="121">
        <f t="shared" si="8"/>
        <v>-20.930999999999841</v>
      </c>
      <c r="U10" s="122">
        <f t="shared" si="8"/>
        <v>-23.001000000000403</v>
      </c>
      <c r="V10" s="122">
        <f t="shared" si="8"/>
        <v>-23.690000000000055</v>
      </c>
      <c r="W10" s="123">
        <f t="shared" si="8"/>
        <v>-25.090999999999099</v>
      </c>
      <c r="X10" s="86">
        <f t="shared" si="8"/>
        <v>-92.712999999999511</v>
      </c>
      <c r="Y10" s="121">
        <f t="shared" si="8"/>
        <v>-25.461000000000439</v>
      </c>
      <c r="Z10" s="122">
        <f t="shared" ref="Z10:AF10" si="9">+Z8-Z9</f>
        <v>-25.561999999999955</v>
      </c>
      <c r="AA10" s="122">
        <f t="shared" si="9"/>
        <v>-23.684999999999661</v>
      </c>
      <c r="AB10" s="123">
        <f t="shared" si="9"/>
        <v>-28.108999999999469</v>
      </c>
      <c r="AC10" s="86">
        <f t="shared" si="9"/>
        <v>-102.81699999999842</v>
      </c>
      <c r="AD10" s="121">
        <f t="shared" si="9"/>
        <v>-25.972999999999558</v>
      </c>
      <c r="AE10" s="122">
        <f t="shared" si="9"/>
        <v>-29.809000000000026</v>
      </c>
      <c r="AF10" s="122">
        <f t="shared" si="9"/>
        <v>-29.433000000000106</v>
      </c>
      <c r="AG10" s="123">
        <f t="shared" ref="AG10:AM10" si="10">+AG8-AG9</f>
        <v>-29.234000000000947</v>
      </c>
      <c r="AH10" s="86">
        <f t="shared" si="10"/>
        <v>-114.44900000000143</v>
      </c>
      <c r="AI10" s="121">
        <f t="shared" si="10"/>
        <v>-33.271000000000214</v>
      </c>
      <c r="AJ10" s="122">
        <f t="shared" si="10"/>
        <v>-34.833000000000254</v>
      </c>
      <c r="AK10" s="122">
        <f t="shared" si="10"/>
        <v>-36.179000000000201</v>
      </c>
      <c r="AL10" s="123">
        <f t="shared" si="10"/>
        <v>-37.254999999999598</v>
      </c>
      <c r="AM10" s="86">
        <f t="shared" si="10"/>
        <v>-141.53800000000058</v>
      </c>
      <c r="AN10" s="121">
        <f t="shared" ref="AN10:AR10" si="11">+AN8-AN9</f>
        <v>-39.580000000000126</v>
      </c>
      <c r="AO10" s="122">
        <f t="shared" si="11"/>
        <v>-43.63800000000046</v>
      </c>
      <c r="AP10" s="122">
        <f t="shared" si="11"/>
        <v>-41.085999999999899</v>
      </c>
      <c r="AQ10" s="123">
        <f t="shared" si="11"/>
        <v>-39.813999999999396</v>
      </c>
      <c r="AR10" s="86">
        <f t="shared" si="11"/>
        <v>-164.11799999999766</v>
      </c>
      <c r="AS10" s="121">
        <f t="shared" ref="AS10:AW10" si="12">+AS8-AS9</f>
        <v>-43.535000000000025</v>
      </c>
      <c r="AT10" s="122">
        <f t="shared" si="12"/>
        <v>-43.138000000000432</v>
      </c>
      <c r="AU10" s="122">
        <f t="shared" si="12"/>
        <v>-43.231000000000165</v>
      </c>
      <c r="AV10" s="123">
        <f t="shared" si="12"/>
        <v>-44.414999999998713</v>
      </c>
      <c r="AW10" s="86">
        <f t="shared" si="12"/>
        <v>-174.31900000000064</v>
      </c>
      <c r="AX10" s="121">
        <f t="shared" ref="AX10:BG10" si="13">+AX8-AX9</f>
        <v>-43.535000000000025</v>
      </c>
      <c r="AY10" s="122">
        <f t="shared" si="13"/>
        <v>-43.138000000000432</v>
      </c>
      <c r="AZ10" s="122">
        <f t="shared" si="13"/>
        <v>-43.231000000000165</v>
      </c>
      <c r="BA10" s="123">
        <f t="shared" si="13"/>
        <v>-44.414999999998713</v>
      </c>
      <c r="BB10" s="86">
        <f t="shared" si="13"/>
        <v>-174.31899999999939</v>
      </c>
      <c r="BC10" s="121">
        <f t="shared" si="13"/>
        <v>-43.535000000000025</v>
      </c>
      <c r="BD10" s="122">
        <f t="shared" si="13"/>
        <v>-43.138000000000432</v>
      </c>
      <c r="BE10" s="122">
        <f t="shared" si="13"/>
        <v>-43.231000000000165</v>
      </c>
      <c r="BF10" s="123">
        <f t="shared" si="13"/>
        <v>-44.414999999998713</v>
      </c>
      <c r="BG10" s="86">
        <f t="shared" si="13"/>
        <v>-174.31899999999939</v>
      </c>
      <c r="BH10" s="121">
        <f t="shared" ref="BH10:BQ10" si="14">+BH8-BH9</f>
        <v>-43.535000000000025</v>
      </c>
      <c r="BI10" s="122">
        <f t="shared" si="14"/>
        <v>-43.138000000000432</v>
      </c>
      <c r="BJ10" s="122">
        <f t="shared" si="14"/>
        <v>-43.231000000000165</v>
      </c>
      <c r="BK10" s="123">
        <f t="shared" si="14"/>
        <v>-44.414999999998713</v>
      </c>
      <c r="BL10" s="86">
        <f t="shared" si="14"/>
        <v>-174.31899999999939</v>
      </c>
      <c r="BM10" s="121">
        <f t="shared" si="14"/>
        <v>-43.535000000000025</v>
      </c>
      <c r="BN10" s="122">
        <f t="shared" si="14"/>
        <v>-43.138000000000432</v>
      </c>
      <c r="BO10" s="122">
        <f t="shared" si="14"/>
        <v>-43.231000000000165</v>
      </c>
      <c r="BP10" s="123">
        <f t="shared" si="14"/>
        <v>-44.414999999998713</v>
      </c>
      <c r="BQ10" s="86">
        <f t="shared" si="14"/>
        <v>-174.31899999999939</v>
      </c>
    </row>
    <row r="11" spans="1:69" x14ac:dyDescent="0.2">
      <c r="E11" s="120"/>
      <c r="F11" s="139"/>
      <c r="G11" s="139"/>
      <c r="H11" s="119"/>
      <c r="I11" s="42"/>
      <c r="J11" s="120"/>
      <c r="K11" s="139"/>
      <c r="L11" s="139"/>
      <c r="M11" s="119"/>
      <c r="N11" s="42"/>
      <c r="O11" s="120"/>
      <c r="P11" s="139"/>
      <c r="Q11" s="139"/>
      <c r="R11" s="119"/>
      <c r="S11" s="42"/>
      <c r="T11" s="120"/>
      <c r="U11" s="139"/>
      <c r="V11" s="139"/>
      <c r="W11" s="119"/>
      <c r="X11" s="42"/>
      <c r="Y11" s="120"/>
      <c r="Z11" s="139"/>
      <c r="AA11" s="139"/>
      <c r="AB11" s="119"/>
      <c r="AC11" s="42"/>
      <c r="AD11" s="120"/>
      <c r="AE11" s="139"/>
      <c r="AF11" s="139"/>
      <c r="AG11" s="119"/>
      <c r="AH11" s="42"/>
      <c r="AI11" s="120"/>
      <c r="AJ11" s="139"/>
      <c r="AK11" s="139"/>
      <c r="AL11" s="119"/>
      <c r="AM11" s="42"/>
      <c r="AN11" s="120"/>
      <c r="AO11" s="139"/>
      <c r="AP11" s="139"/>
      <c r="AQ11" s="119"/>
      <c r="AR11" s="42"/>
      <c r="AS11" s="120"/>
      <c r="AT11" s="139"/>
      <c r="AU11" s="139"/>
      <c r="AV11" s="119"/>
      <c r="AW11" s="42"/>
      <c r="AX11" s="120"/>
      <c r="AY11" s="139"/>
      <c r="AZ11" s="139"/>
      <c r="BA11" s="119"/>
      <c r="BB11" s="42"/>
      <c r="BC11" s="120"/>
      <c r="BD11" s="139"/>
      <c r="BE11" s="139"/>
      <c r="BF11" s="119"/>
      <c r="BG11" s="42"/>
      <c r="BH11" s="120"/>
      <c r="BI11" s="139"/>
      <c r="BJ11" s="139"/>
      <c r="BK11" s="119"/>
      <c r="BL11" s="42"/>
      <c r="BM11" s="120"/>
      <c r="BN11" s="139"/>
      <c r="BO11" s="139"/>
      <c r="BP11" s="119"/>
      <c r="BQ11" s="42"/>
    </row>
    <row r="12" spans="1:69" x14ac:dyDescent="0.2">
      <c r="C12" t="s">
        <v>120</v>
      </c>
      <c r="E12" s="120">
        <f>XEL!E20-'NSP-MN'!E20-'NSP-WI'!E19-PSCO!E20-SPS!E12</f>
        <v>-14.705999999999968</v>
      </c>
      <c r="F12" s="118">
        <f>XEL!F20-'NSP-MN'!F20-'NSP-WI'!F19-PSCO!F20-SPS!F12</f>
        <v>-12.35599999999998</v>
      </c>
      <c r="G12" s="118">
        <f>XEL!G20-'NSP-MN'!G20-'NSP-WI'!G19-PSCO!G20-SPS!G12</f>
        <v>-12.914000000000009</v>
      </c>
      <c r="H12" s="119">
        <f>XEL!H20-'NSP-MN'!H20-'NSP-WI'!H19-PSCO!H20-SPS!H12</f>
        <v>-16.725000000000023</v>
      </c>
      <c r="I12" s="223">
        <f>XEL!I20-'NSP-MN'!I20-'NSP-WI'!I19-PSCO!I20-SPS!I12</f>
        <v>-56.700999999999993</v>
      </c>
      <c r="J12" s="120">
        <f>XEL!J20-'NSP-MN'!J20-'NSP-WI'!J19-PSCO!J20-SPS!J12</f>
        <v>-18.322999999999993</v>
      </c>
      <c r="K12" s="118">
        <f>XEL!K20-'NSP-MN'!K20-'NSP-WI'!K19-PSCO!K20-SPS!K12</f>
        <v>-16.177000000000035</v>
      </c>
      <c r="L12" s="118">
        <f>XEL!L20-'NSP-MN'!L20-'NSP-WI'!L19-PSCO!L20-SPS!L12</f>
        <v>-16.761999999999986</v>
      </c>
      <c r="M12" s="119">
        <f>XEL!M20-'NSP-MN'!M20-'NSP-WI'!M19-PSCO!M20-SPS!M12</f>
        <v>-16.495000000000317</v>
      </c>
      <c r="N12" s="223">
        <f>XEL!N20-'NSP-MN'!N20-'NSP-WI'!N19-PSCO!N20-SPS!N12</f>
        <v>-67.757000000000261</v>
      </c>
      <c r="O12" s="120">
        <f>XEL!O20-'NSP-MN'!O20-'NSP-WI'!O19-PSCO!O20-SPS!O12</f>
        <v>-18.198999999999998</v>
      </c>
      <c r="P12" s="118">
        <f>XEL!P20-'NSP-MN'!P20-'NSP-WI'!P19-PSCO!P20-SPS!P12</f>
        <v>-19.16500000000002</v>
      </c>
      <c r="Q12" s="135">
        <f>XEL!Q20-'NSP-MN'!Q20-'NSP-WI'!Q19-PSCO!Q20-SPS!Q12</f>
        <v>-19.911000000000023</v>
      </c>
      <c r="R12" s="119">
        <f>XEL!R20-'NSP-MN'!R20-'NSP-WI'!R19-PSCO!R20-SPS!R12</f>
        <v>-18.03899999999976</v>
      </c>
      <c r="S12" s="223">
        <f>XEL!S20-'NSP-MN'!S20-'NSP-WI'!S19-PSCO!S20-SPS!S12</f>
        <v>-75.313999999999766</v>
      </c>
      <c r="T12" s="120">
        <f>XEL!T20-'NSP-MN'!T20-'NSP-WI'!T19-PSCO!T20-SPS!T12</f>
        <v>-20.367999999999952</v>
      </c>
      <c r="U12" s="118">
        <f>XEL!U20-'NSP-MN'!U20-'NSP-WI'!U19-PSCO!U20-SPS!U12</f>
        <v>-22.333999999999968</v>
      </c>
      <c r="V12" s="135">
        <f>XEL!V20-'NSP-MN'!V20-'NSP-WI'!V19-PSCO!V20-SPS!V12</f>
        <v>-22.319000000000003</v>
      </c>
      <c r="W12" s="119">
        <f>XEL!W20-'NSP-MN'!W20-'NSP-WI'!W19-PSCO!W20-SPS!W12</f>
        <v>-23.517000000000252</v>
      </c>
      <c r="X12" s="223">
        <f>XEL!X20-'NSP-MN'!X20-'NSP-WI'!X19-PSCO!X20-SPS!X12</f>
        <v>-88.538000000000068</v>
      </c>
      <c r="Y12" s="120">
        <f>XEL!Y20-'NSP-MN'!Y20-'NSP-WI'!Y19-PSCO!Y20-SPS!Y12</f>
        <v>-23.335999999999956</v>
      </c>
      <c r="Z12" s="118">
        <f>XEL!Z20-'NSP-MN'!Z20-'NSP-WI'!Z19-PSCO!Z20-SPS!Z12</f>
        <v>-22.45999999999998</v>
      </c>
      <c r="AA12" s="135">
        <f>XEL!AA20-'NSP-MN'!AA20-'NSP-WI'!AA19-PSCO!AA20-SPS!AA12</f>
        <v>-20.408000000000087</v>
      </c>
      <c r="AB12" s="119">
        <f>XEL!AB20-'NSP-MN'!AB20-'NSP-WI'!AB19-PSCO!AB20-SPS!AB12</f>
        <v>-23.842999999999734</v>
      </c>
      <c r="AC12" s="223">
        <f>XEL!AC20-'NSP-MN'!AC20-'NSP-WI'!AC19-PSCO!AC20-SPS!AC12</f>
        <v>-90.046999999999798</v>
      </c>
      <c r="AD12" s="120">
        <f>XEL!AD20-'NSP-MN'!AD20-'NSP-WI'!AD19-PSCO!AD20-SPS!AD12</f>
        <v>-26.59099999999998</v>
      </c>
      <c r="AE12" s="118">
        <f>XEL!AE20-'NSP-MN'!AE20-'NSP-WI'!AE19-PSCO!AE20-SPS!AE12</f>
        <v>-29.212999999999937</v>
      </c>
      <c r="AF12" s="135">
        <f>XEL!AF20-'NSP-MN'!AF20-'NSP-WI'!AF19-PSCO!AF20-SPS!AF12</f>
        <v>-28.558000000000021</v>
      </c>
      <c r="AG12" s="119">
        <f>XEL!AG20-'NSP-MN'!AG20-'NSP-WI'!AG19-PSCO!AG20-SPS!AG12</f>
        <v>-25.303999999999974</v>
      </c>
      <c r="AH12" s="223">
        <f>XEL!AH20-'NSP-MN'!AH20-'NSP-WI'!AH19-PSCO!AH20-SPS!AH12</f>
        <v>-109.66599999999994</v>
      </c>
      <c r="AI12" s="120">
        <f>XEL!AI20-'NSP-MN'!AI20-'NSP-WI'!AI19-PSCO!AI20-SPS!AI12</f>
        <v>-26.706999999999979</v>
      </c>
      <c r="AJ12" s="118">
        <f>XEL!AJ20-'NSP-MN'!AJ20-'NSP-WI'!AJ19-PSCO!AJ20-SPS!AJ12</f>
        <v>-27.945999999999998</v>
      </c>
      <c r="AK12" s="135">
        <f>XEL!AK20-'NSP-MN'!AK20-'NSP-WI'!AK19-PSCO!AK20-SPS!AK12</f>
        <v>-29.587999999999965</v>
      </c>
      <c r="AL12" s="119">
        <f>XEL!AL20-'NSP-MN'!AL20-'NSP-WI'!AL19-PSCO!AL20-SPS!AL12</f>
        <v>-29.765999999999821</v>
      </c>
      <c r="AM12" s="223">
        <f>XEL!AM20-'NSP-MN'!AM20-'NSP-WI'!AM19-PSCO!AM20-SPS!AM12</f>
        <v>-114.00699999999995</v>
      </c>
      <c r="AN12" s="120">
        <f>XEL!AN20-'NSP-MN'!AN20-'NSP-WI'!AN19-PSCO!AN20-SPS!AN12</f>
        <v>-34.214000000000013</v>
      </c>
      <c r="AO12" s="118">
        <f>XEL!AO20-'NSP-MN'!AO20-'NSP-WI'!AO19-PSCO!AO20-SPS!AO12</f>
        <v>-39.612000000000052</v>
      </c>
      <c r="AP12" s="135">
        <f>XEL!AP20-'NSP-MN'!AP20-'NSP-WI'!AP19-PSCO!AP20-SPS!AP12</f>
        <v>-37.233999999999995</v>
      </c>
      <c r="AQ12" s="119">
        <f>XEL!AQ20-'NSP-MN'!AQ20-'NSP-WI'!AQ19-PSCO!AQ20-SPS!AQ12</f>
        <v>-34.983999999999952</v>
      </c>
      <c r="AR12" s="223">
        <f>XEL!AR20-'NSP-MN'!AR20-'NSP-WI'!AR19-PSCO!AR20-SPS!AR12</f>
        <v>-146.0440000000001</v>
      </c>
      <c r="AS12" s="120">
        <f>XEL!AS20-'NSP-MN'!AS20-'NSP-WI'!AS19-PSCO!AS20-SPS!AS12</f>
        <v>-37.946000000000041</v>
      </c>
      <c r="AT12" s="118">
        <f>XEL!AT20-'NSP-MN'!AT20-'NSP-WI'!AT19-PSCO!AT20-SPS!AT12</f>
        <v>-37.740999999999971</v>
      </c>
      <c r="AU12" s="135">
        <f>XEL!AU20-'NSP-MN'!AU20-'NSP-WI'!AU19-PSCO!AU20-SPS!AU12</f>
        <v>-39.23299999999999</v>
      </c>
      <c r="AV12" s="119">
        <f>XEL!AV20-'NSP-MN'!AV20-'NSP-WI'!AV19-PSCO!AV20-SPS!AV12</f>
        <v>-53.081999999999994</v>
      </c>
      <c r="AW12" s="223">
        <f>XEL!AW20-'NSP-MN'!AW20-'NSP-WI'!AW19-PSCO!AW20-SPS!AW12</f>
        <v>-168.0019999999999</v>
      </c>
      <c r="AX12" s="148">
        <f>AS12</f>
        <v>-37.946000000000041</v>
      </c>
      <c r="AY12" s="221">
        <f>AT12</f>
        <v>-37.740999999999971</v>
      </c>
      <c r="AZ12" s="221">
        <f>AU12</f>
        <v>-39.23299999999999</v>
      </c>
      <c r="BA12" s="150">
        <f>AV12</f>
        <v>-53.081999999999994</v>
      </c>
      <c r="BB12" s="223">
        <f>SUM(AX12:BA12)</f>
        <v>-168.00200000000001</v>
      </c>
      <c r="BC12" s="148">
        <f>AX12</f>
        <v>-37.946000000000041</v>
      </c>
      <c r="BD12" s="221">
        <f>AY12</f>
        <v>-37.740999999999971</v>
      </c>
      <c r="BE12" s="221">
        <f>AZ12</f>
        <v>-39.23299999999999</v>
      </c>
      <c r="BF12" s="150">
        <f>BA12</f>
        <v>-53.081999999999994</v>
      </c>
      <c r="BG12" s="223">
        <f>SUM(BC12:BF12)</f>
        <v>-168.00200000000001</v>
      </c>
      <c r="BH12" s="148">
        <f>BC12</f>
        <v>-37.946000000000041</v>
      </c>
      <c r="BI12" s="221">
        <f>BD12</f>
        <v>-37.740999999999971</v>
      </c>
      <c r="BJ12" s="221">
        <f>BE12</f>
        <v>-39.23299999999999</v>
      </c>
      <c r="BK12" s="150">
        <f>BF12</f>
        <v>-53.081999999999994</v>
      </c>
      <c r="BL12" s="223">
        <f>SUM(BH12:BK12)</f>
        <v>-168.00200000000001</v>
      </c>
      <c r="BM12" s="148">
        <f>BH12</f>
        <v>-37.946000000000041</v>
      </c>
      <c r="BN12" s="221">
        <f>BI12</f>
        <v>-37.740999999999971</v>
      </c>
      <c r="BO12" s="221">
        <f>BJ12</f>
        <v>-39.23299999999999</v>
      </c>
      <c r="BP12" s="150">
        <f>BK12</f>
        <v>-53.081999999999994</v>
      </c>
      <c r="BQ12" s="223">
        <f>SUM(BM12:BP12)</f>
        <v>-168.00200000000001</v>
      </c>
    </row>
    <row r="13" spans="1:69" x14ac:dyDescent="0.2">
      <c r="C13" t="s">
        <v>121</v>
      </c>
      <c r="E13" s="120">
        <f>XEL!E21-'NSP-MN'!E21-'NSP-WI'!E20-PSCO!E21-SPS!E13</f>
        <v>1.6410000000000124</v>
      </c>
      <c r="F13" s="118">
        <f>XEL!F21-'NSP-MN'!F21-'NSP-WI'!F20-PSCO!F21-SPS!F13</f>
        <v>1.6530000000000094</v>
      </c>
      <c r="G13" s="118">
        <f>XEL!G21-'NSP-MN'!G21-'NSP-WI'!G20-PSCO!G21-SPS!G13</f>
        <v>1.6140000000000043</v>
      </c>
      <c r="H13" s="119">
        <f>XEL!H21-'NSP-MN'!H21-'NSP-WI'!H20-PSCO!H21-SPS!H13</f>
        <v>1.3560000000000514</v>
      </c>
      <c r="I13" s="223">
        <f>XEL!I21-'NSP-MN'!I21-'NSP-WI'!I20-PSCO!I21-SPS!I13</f>
        <v>6.2639999999999816</v>
      </c>
      <c r="J13" s="120">
        <f>XEL!J21-'NSP-MN'!J21-'NSP-WI'!J20-PSCO!J21-SPS!J13</f>
        <v>1.4940000000000104</v>
      </c>
      <c r="K13" s="118">
        <f>XEL!K21-'NSP-MN'!K21-'NSP-WI'!K20-PSCO!K21-SPS!K13</f>
        <v>1.4940000000000104</v>
      </c>
      <c r="L13" s="118">
        <f>XEL!L21-'NSP-MN'!L21-'NSP-WI'!L20-PSCO!L21-SPS!L13</f>
        <v>1.61099999999999</v>
      </c>
      <c r="M13" s="119">
        <f>XEL!M21-'NSP-MN'!M21-'NSP-WI'!M20-PSCO!M21-SPS!M13</f>
        <v>1.4039999999998969</v>
      </c>
      <c r="N13" s="223">
        <f>XEL!N21-'NSP-MN'!N21-'NSP-WI'!N20-PSCO!N21-SPS!N13</f>
        <v>6.0029999999999291</v>
      </c>
      <c r="O13" s="120">
        <f>XEL!O21-'NSP-MN'!O21-'NSP-WI'!O20-PSCO!O21-SPS!O13</f>
        <v>1.3840000000000146</v>
      </c>
      <c r="P13" s="118">
        <f>XEL!P21-'NSP-MN'!P21-'NSP-WI'!P20-PSCO!P21-SPS!P13</f>
        <v>1.3620000000000125</v>
      </c>
      <c r="Q13" s="135">
        <f>XEL!Q21-'NSP-MN'!Q21-'NSP-WI'!Q20-PSCO!Q21-SPS!Q13</f>
        <v>1.3689999999999927</v>
      </c>
      <c r="R13" s="119">
        <f>XEL!R21-'NSP-MN'!R21-'NSP-WI'!R20-PSCO!R21-SPS!R13</f>
        <v>1.3490000000000322</v>
      </c>
      <c r="S13" s="223">
        <f>XEL!S21-'NSP-MN'!S21-'NSP-WI'!S20-PSCO!S21-SPS!S13</f>
        <v>5.4640000000000413</v>
      </c>
      <c r="T13" s="120">
        <f>XEL!T21-'NSP-MN'!T21-'NSP-WI'!T20-PSCO!T21-SPS!T13</f>
        <v>1.2480000000000082</v>
      </c>
      <c r="U13" s="118">
        <f>XEL!U21-'NSP-MN'!U21-'NSP-WI'!U20-PSCO!U21-SPS!U13</f>
        <v>1.2249999999999908</v>
      </c>
      <c r="V13" s="135">
        <f>XEL!V21-'NSP-MN'!V21-'NSP-WI'!V20-PSCO!V21-SPS!V13</f>
        <v>1.2269999999999719</v>
      </c>
      <c r="W13" s="119">
        <f>XEL!W21-'NSP-MN'!W21-'NSP-WI'!W20-PSCO!W21-SPS!W13</f>
        <v>1.1170000000000186</v>
      </c>
      <c r="X13" s="223">
        <f>XEL!X21-'NSP-MN'!X21-'NSP-WI'!X20-PSCO!X21-SPS!X13</f>
        <v>4.8170000000000073</v>
      </c>
      <c r="Y13" s="120">
        <f>XEL!Y21-'NSP-MN'!Y21-'NSP-WI'!Y20-PSCO!Y21-SPS!Y13</f>
        <v>1.0109999999999815</v>
      </c>
      <c r="Z13" s="118">
        <f>XEL!Z21-'NSP-MN'!Z21-'NSP-WI'!Z20-PSCO!Z21-SPS!Z13</f>
        <v>1.0140000000000171</v>
      </c>
      <c r="AA13" s="135">
        <f>XEL!AA21-'NSP-MN'!AA21-'NSP-WI'!AA20-PSCO!AA21-SPS!AA13</f>
        <v>1.0120000000000253</v>
      </c>
      <c r="AB13" s="119">
        <f>XEL!AB21-'NSP-MN'!AB21-'NSP-WI'!AB20-PSCO!AB21-SPS!AB13</f>
        <v>1.0170000000001096</v>
      </c>
      <c r="AC13" s="223">
        <f>XEL!AC21-'NSP-MN'!AC21-'NSP-WI'!AC20-PSCO!AC21-SPS!AC13</f>
        <v>4.0540000000001299</v>
      </c>
      <c r="AD13" s="120">
        <f>XEL!AD21-'NSP-MN'!AD21-'NSP-WI'!AD20-PSCO!AD21-SPS!AD13</f>
        <v>3.6230000000000047</v>
      </c>
      <c r="AE13" s="118">
        <f>XEL!AE21-'NSP-MN'!AE21-'NSP-WI'!AE20-PSCO!AE21-SPS!AE13</f>
        <v>3.340999999999994</v>
      </c>
      <c r="AF13" s="135">
        <f>XEL!AF21-'NSP-MN'!AF21-'NSP-WI'!AF20-PSCO!AF21-SPS!AF13</f>
        <v>3.3320000000000292</v>
      </c>
      <c r="AG13" s="119">
        <f>XEL!AG21-'NSP-MN'!AG21-'NSP-WI'!AG20-PSCO!AG21-SPS!AG13</f>
        <v>3.4209999999999638</v>
      </c>
      <c r="AH13" s="223">
        <f>XEL!AH21-'NSP-MN'!AH21-'NSP-WI'!AH20-PSCO!AH21-SPS!AH13</f>
        <v>13.716999999999928</v>
      </c>
      <c r="AI13" s="120">
        <f>XEL!AI21-'NSP-MN'!AI21-'NSP-WI'!AI20-PSCO!AI21-SPS!AI13</f>
        <v>-2.119999999999969</v>
      </c>
      <c r="AJ13" s="118">
        <f>XEL!AJ21-'NSP-MN'!AJ21-'NSP-WI'!AJ20-PSCO!AJ21-SPS!AJ13</f>
        <v>-2.1670000000000158</v>
      </c>
      <c r="AK13" s="135">
        <f>XEL!AK21-'NSP-MN'!AK21-'NSP-WI'!AK20-PSCO!AK21-SPS!AK13</f>
        <v>-2.1780000000000115</v>
      </c>
      <c r="AL13" s="119">
        <f>XEL!AL21-'NSP-MN'!AL21-'NSP-WI'!AL20-PSCO!AL21-SPS!AL13</f>
        <v>-2.1780000000001394</v>
      </c>
      <c r="AM13" s="223">
        <f>XEL!AM21-'NSP-MN'!AM21-'NSP-WI'!AM20-PSCO!AM21-SPS!AM13</f>
        <v>-8.6430000000000859</v>
      </c>
      <c r="AN13" s="120">
        <f>XEL!AN21-'NSP-MN'!AN21-'NSP-WI'!AN20-PSCO!AN21-SPS!AN13</f>
        <v>0.56199999999996919</v>
      </c>
      <c r="AO13" s="118">
        <f>XEL!AO21-'NSP-MN'!AO21-'NSP-WI'!AO20-PSCO!AO21-SPS!AO13</f>
        <v>0.56799999999999784</v>
      </c>
      <c r="AP13" s="135">
        <f>XEL!AP21-'NSP-MN'!AP21-'NSP-WI'!AP20-PSCO!AP21-SPS!AP13</f>
        <v>0.56600000000000961</v>
      </c>
      <c r="AQ13" s="119">
        <f>XEL!AQ21-'NSP-MN'!AQ21-'NSP-WI'!AQ20-PSCO!AQ21-SPS!AQ13</f>
        <v>0.57099999999994111</v>
      </c>
      <c r="AR13" s="223">
        <f>XEL!AR21-'NSP-MN'!AR21-'NSP-WI'!AR20-PSCO!AR21-SPS!AR13</f>
        <v>2.2669999999999675</v>
      </c>
      <c r="AS13" s="120">
        <f>XEL!AS21-'NSP-MN'!AS21-'NSP-WI'!AS20-PSCO!AS21-SPS!AS13</f>
        <v>0.56400000000000006</v>
      </c>
      <c r="AT13" s="118">
        <f>XEL!AT21-'NSP-MN'!AT21-'NSP-WI'!AT20-PSCO!AT21-SPS!AT13</f>
        <v>0.61200000000005161</v>
      </c>
      <c r="AU13" s="135">
        <f>XEL!AU21-'NSP-MN'!AU21-'NSP-WI'!AU20-PSCO!AU21-SPS!AU13</f>
        <v>0.53599999999998715</v>
      </c>
      <c r="AV13" s="119">
        <f>XEL!AV21-'NSP-MN'!AV21-'NSP-WI'!AV20-PSCO!AV21-SPS!AV13</f>
        <v>5.0000000002512479E-3</v>
      </c>
      <c r="AW13" s="223">
        <f>XEL!AW21-'NSP-MN'!AW21-'NSP-WI'!AW20-PSCO!AW21-SPS!AW13</f>
        <v>1.7170000000000698</v>
      </c>
      <c r="AX13" s="136">
        <f t="shared" ref="AX13:BA14" si="15">+AS13</f>
        <v>0.56400000000000006</v>
      </c>
      <c r="AY13" s="135">
        <f t="shared" si="15"/>
        <v>0.61200000000005161</v>
      </c>
      <c r="AZ13" s="135">
        <f t="shared" si="15"/>
        <v>0.53599999999998715</v>
      </c>
      <c r="BA13" s="116">
        <f t="shared" si="15"/>
        <v>5.0000000002512479E-3</v>
      </c>
      <c r="BB13" s="223">
        <f>SUM(AX13:BA13)</f>
        <v>1.7170000000002901</v>
      </c>
      <c r="BC13" s="136">
        <f t="shared" ref="BC13:BF14" si="16">+AX13</f>
        <v>0.56400000000000006</v>
      </c>
      <c r="BD13" s="135">
        <f t="shared" si="16"/>
        <v>0.61200000000005161</v>
      </c>
      <c r="BE13" s="135">
        <f t="shared" si="16"/>
        <v>0.53599999999998715</v>
      </c>
      <c r="BF13" s="116">
        <f t="shared" si="16"/>
        <v>5.0000000002512479E-3</v>
      </c>
      <c r="BG13" s="223">
        <f>SUM(BC13:BF13)</f>
        <v>1.7170000000002901</v>
      </c>
      <c r="BH13" s="136">
        <f t="shared" ref="BH13:BK14" si="17">+BC13</f>
        <v>0.56400000000000006</v>
      </c>
      <c r="BI13" s="135">
        <f t="shared" si="17"/>
        <v>0.61200000000005161</v>
      </c>
      <c r="BJ13" s="135">
        <f t="shared" si="17"/>
        <v>0.53599999999998715</v>
      </c>
      <c r="BK13" s="116">
        <f t="shared" si="17"/>
        <v>5.0000000002512479E-3</v>
      </c>
      <c r="BL13" s="223">
        <f>SUM(BH13:BK13)</f>
        <v>1.7170000000002901</v>
      </c>
      <c r="BM13" s="136">
        <f t="shared" ref="BM13:BM14" si="18">+BH13</f>
        <v>0.56400000000000006</v>
      </c>
      <c r="BN13" s="135">
        <f t="shared" ref="BN13:BN14" si="19">+BI13</f>
        <v>0.61200000000005161</v>
      </c>
      <c r="BO13" s="135">
        <f t="shared" ref="BO13:BO14" si="20">+BJ13</f>
        <v>0.53599999999998715</v>
      </c>
      <c r="BP13" s="116">
        <f t="shared" ref="BP13:BP14" si="21">+BK13</f>
        <v>5.0000000002512479E-3</v>
      </c>
      <c r="BQ13" s="223">
        <f>SUM(BM13:BP13)</f>
        <v>1.7170000000002901</v>
      </c>
    </row>
    <row r="14" spans="1:69" x14ac:dyDescent="0.2">
      <c r="C14" t="s">
        <v>122</v>
      </c>
      <c r="E14" s="120">
        <f>XEL!E22-'NSP-MN'!E22-'NSP-WI'!E21-PSCO!E22-SPS!E14</f>
        <v>0.46399999999999331</v>
      </c>
      <c r="F14" s="118">
        <f>XEL!F22-'NSP-MN'!F22-'NSP-WI'!F21-PSCO!F22-SPS!F14</f>
        <v>0.58299999999999308</v>
      </c>
      <c r="G14" s="118">
        <f>XEL!G22-'NSP-MN'!G22-'NSP-WI'!G21-PSCO!G22-SPS!G14</f>
        <v>0.38200000000000678</v>
      </c>
      <c r="H14" s="119">
        <f>XEL!H22-'NSP-MN'!H22-'NSP-WI'!H21-PSCO!H22-SPS!H14</f>
        <v>0.41200000000000614</v>
      </c>
      <c r="I14" s="223">
        <f>XEL!I22-'NSP-MN'!I22-'NSP-WI'!I21-PSCO!I22-SPS!I14</f>
        <v>1.840999999999994</v>
      </c>
      <c r="J14" s="120">
        <f>XEL!J22-'NSP-MN'!J22-'NSP-WI'!J21-PSCO!J22-SPS!J14</f>
        <v>0.4230000000000036</v>
      </c>
      <c r="K14" s="118">
        <f>XEL!K22-'NSP-MN'!K22-'NSP-WI'!K21-PSCO!K22-SPS!K14</f>
        <v>0.4139999999999926</v>
      </c>
      <c r="L14" s="118">
        <f>XEL!L22-'NSP-MN'!L22-'NSP-WI'!L21-PSCO!L22-SPS!L14</f>
        <v>0.3409999999999993</v>
      </c>
      <c r="M14" s="119">
        <f>XEL!M22-'NSP-MN'!M22-'NSP-WI'!M21-PSCO!M22-SPS!M14</f>
        <v>0.39299999999998647</v>
      </c>
      <c r="N14" s="223">
        <f>XEL!N22-'NSP-MN'!N22-'NSP-WI'!N21-PSCO!N22-SPS!N14</f>
        <v>1.5709999999999908</v>
      </c>
      <c r="O14" s="120">
        <f>XEL!O22-'NSP-MN'!O22-'NSP-WI'!O21-PSCO!O22-SPS!O14</f>
        <v>0.39899999999999913</v>
      </c>
      <c r="P14" s="118">
        <f>XEL!P22-'NSP-MN'!P22-'NSP-WI'!P21-PSCO!P22-SPS!P14</f>
        <v>0.36099999999999888</v>
      </c>
      <c r="Q14" s="135">
        <f>XEL!Q22-'NSP-MN'!Q22-'NSP-WI'!Q21-PSCO!Q22-SPS!Q14</f>
        <v>0.35500000000000398</v>
      </c>
      <c r="R14" s="119">
        <f>XEL!R22-'NSP-MN'!R22-'NSP-WI'!R21-PSCO!R22-SPS!R14</f>
        <v>0.34799999999998832</v>
      </c>
      <c r="S14" s="223">
        <f>XEL!S22-'NSP-MN'!S22-'NSP-WI'!S21-PSCO!S22-SPS!S14</f>
        <v>1.4630000000000152</v>
      </c>
      <c r="T14" s="120">
        <f>XEL!T22-'NSP-MN'!T22-'NSP-WI'!T21-PSCO!T22-SPS!T14</f>
        <v>0.36799999999999677</v>
      </c>
      <c r="U14" s="118">
        <f>XEL!U22-'NSP-MN'!U22-'NSP-WI'!U21-PSCO!U22-SPS!U14</f>
        <v>0.44500000000000384</v>
      </c>
      <c r="V14" s="135">
        <f>XEL!V22-'NSP-MN'!V22-'NSP-WI'!V21-PSCO!V22-SPS!V14</f>
        <v>0.35100000000000264</v>
      </c>
      <c r="W14" s="119">
        <f>XEL!W22-'NSP-MN'!W22-'NSP-WI'!W21-PSCO!W22-SPS!W14</f>
        <v>0.28699999999997061</v>
      </c>
      <c r="X14" s="223">
        <f>XEL!X22-'NSP-MN'!X22-'NSP-WI'!X21-PSCO!X22-SPS!X14</f>
        <v>1.4509999999999721</v>
      </c>
      <c r="Y14" s="120">
        <f>XEL!Y22-'NSP-MN'!Y22-'NSP-WI'!Y21-PSCO!Y22-SPS!Y14</f>
        <v>0.28900000000001036</v>
      </c>
      <c r="Z14" s="118">
        <f>XEL!Z22-'NSP-MN'!Z22-'NSP-WI'!Z21-PSCO!Z22-SPS!Z14</f>
        <v>0.30299999999999727</v>
      </c>
      <c r="AA14" s="135">
        <f>XEL!AA22-'NSP-MN'!AA22-'NSP-WI'!AA21-PSCO!AA22-SPS!AA14</f>
        <v>0.28400000000000603</v>
      </c>
      <c r="AB14" s="119">
        <f>XEL!AB22-'NSP-MN'!AB22-'NSP-WI'!AB21-PSCO!AB22-SPS!AB14</f>
        <v>0.30299999999999727</v>
      </c>
      <c r="AC14" s="223">
        <f>XEL!AC22-'NSP-MN'!AC22-'NSP-WI'!AC21-PSCO!AC22-SPS!AC14</f>
        <v>1.1789999999999878</v>
      </c>
      <c r="AD14" s="120">
        <f>XEL!AD22-'NSP-MN'!AD22-'NSP-WI'!AD21-PSCO!AD22-SPS!AD14</f>
        <v>0.28100000000000591</v>
      </c>
      <c r="AE14" s="118">
        <f>XEL!AE22-'NSP-MN'!AE22-'NSP-WI'!AE21-PSCO!AE22-SPS!AE14</f>
        <v>0.3170000000000055</v>
      </c>
      <c r="AF14" s="135">
        <f>XEL!AF22-'NSP-MN'!AF22-'NSP-WI'!AF21-PSCO!AF22-SPS!AF14</f>
        <v>0.23699999999999477</v>
      </c>
      <c r="AG14" s="119">
        <f>XEL!AG22-'NSP-MN'!AG22-'NSP-WI'!AG21-PSCO!AG22-SPS!AG14</f>
        <v>0.25</v>
      </c>
      <c r="AH14" s="223">
        <f>XEL!AH22-'NSP-MN'!AH22-'NSP-WI'!AH21-PSCO!AH22-SPS!AH14</f>
        <v>1.0850000000000151</v>
      </c>
      <c r="AI14" s="120">
        <f>XEL!AI22-'NSP-MN'!AI22-'NSP-WI'!AI21-PSCO!AI22-SPS!AI14</f>
        <v>0.27000000000001201</v>
      </c>
      <c r="AJ14" s="118">
        <f>XEL!AJ22-'NSP-MN'!AJ22-'NSP-WI'!AJ21-PSCO!AJ22-SPS!AJ14</f>
        <v>0.2980000000000036</v>
      </c>
      <c r="AK14" s="135">
        <f>XEL!AK22-'NSP-MN'!AK22-'NSP-WI'!AK21-PSCO!AK22-SPS!AK14</f>
        <v>0.24899999999999345</v>
      </c>
      <c r="AL14" s="119">
        <f>XEL!AL22-'NSP-MN'!AL22-'NSP-WI'!AL21-PSCO!AL22-SPS!AL14</f>
        <v>0.25400000000004042</v>
      </c>
      <c r="AM14" s="223">
        <f>XEL!AM22-'NSP-MN'!AM22-'NSP-WI'!AM21-PSCO!AM22-SPS!AM14</f>
        <v>1.0709999999999695</v>
      </c>
      <c r="AN14" s="120">
        <f>XEL!AN22-'NSP-MN'!AN22-'NSP-WI'!AN21-PSCO!AN22-SPS!AN14</f>
        <v>0.30600000000000449</v>
      </c>
      <c r="AO14" s="118">
        <f>XEL!AO22-'NSP-MN'!AO22-'NSP-WI'!AO21-PSCO!AO22-SPS!AO14</f>
        <v>0.29499999999998927</v>
      </c>
      <c r="AP14" s="135">
        <f>XEL!AP22-'NSP-MN'!AP22-'NSP-WI'!AP21-PSCO!AP22-SPS!AP14</f>
        <v>0.25599999999999135</v>
      </c>
      <c r="AQ14" s="119">
        <f>XEL!AQ22-'NSP-MN'!AQ22-'NSP-WI'!AQ21-PSCO!AQ22-SPS!AQ14</f>
        <v>0.25199999999998113</v>
      </c>
      <c r="AR14" s="223">
        <f>XEL!AR22-'NSP-MN'!AR22-'NSP-WI'!AR21-PSCO!AR22-SPS!AR14</f>
        <v>1.1089999999999662</v>
      </c>
      <c r="AS14" s="120">
        <f>XEL!AS22-'NSP-MN'!AS22-'NSP-WI'!AS21-PSCO!AS22-SPS!AS14</f>
        <v>0.30899999999999039</v>
      </c>
      <c r="AT14" s="118">
        <f>XEL!AT22-'NSP-MN'!AT22-'NSP-WI'!AT21-PSCO!AT22-SPS!AT14</f>
        <v>0.31700000000000017</v>
      </c>
      <c r="AU14" s="135">
        <f>XEL!AU22-'NSP-MN'!AU22-'NSP-WI'!AU21-PSCO!AU22-SPS!AU14</f>
        <v>0.27100000000000435</v>
      </c>
      <c r="AV14" s="119">
        <f>XEL!AV22-'NSP-MN'!AV22-'NSP-WI'!AV21-PSCO!AV22-SPS!AV14</f>
        <v>0.19999999999997442</v>
      </c>
      <c r="AW14" s="223">
        <f>XEL!AW22-'NSP-MN'!AW22-'NSP-WI'!AW21-PSCO!AW22-SPS!AW14</f>
        <v>1.09699999999998</v>
      </c>
      <c r="AX14" s="136">
        <f t="shared" si="15"/>
        <v>0.30899999999999039</v>
      </c>
      <c r="AY14" s="135">
        <f t="shared" si="15"/>
        <v>0.31700000000000017</v>
      </c>
      <c r="AZ14" s="135">
        <f t="shared" si="15"/>
        <v>0.27100000000000435</v>
      </c>
      <c r="BA14" s="116">
        <f t="shared" si="15"/>
        <v>0.19999999999997442</v>
      </c>
      <c r="BB14" s="223">
        <f>SUM(AX14:BA14)</f>
        <v>1.0969999999999693</v>
      </c>
      <c r="BC14" s="136">
        <f t="shared" si="16"/>
        <v>0.30899999999999039</v>
      </c>
      <c r="BD14" s="135">
        <f t="shared" si="16"/>
        <v>0.31700000000000017</v>
      </c>
      <c r="BE14" s="135">
        <f t="shared" si="16"/>
        <v>0.27100000000000435</v>
      </c>
      <c r="BF14" s="116">
        <f t="shared" si="16"/>
        <v>0.19999999999997442</v>
      </c>
      <c r="BG14" s="223">
        <f>SUM(BC14:BF14)</f>
        <v>1.0969999999999693</v>
      </c>
      <c r="BH14" s="136">
        <f t="shared" si="17"/>
        <v>0.30899999999999039</v>
      </c>
      <c r="BI14" s="135">
        <f t="shared" si="17"/>
        <v>0.31700000000000017</v>
      </c>
      <c r="BJ14" s="135">
        <f t="shared" si="17"/>
        <v>0.27100000000000435</v>
      </c>
      <c r="BK14" s="116">
        <f t="shared" si="17"/>
        <v>0.19999999999997442</v>
      </c>
      <c r="BL14" s="223">
        <f>SUM(BH14:BK14)</f>
        <v>1.0969999999999693</v>
      </c>
      <c r="BM14" s="136">
        <f t="shared" si="18"/>
        <v>0.30899999999999039</v>
      </c>
      <c r="BN14" s="135">
        <f t="shared" si="19"/>
        <v>0.31700000000000017</v>
      </c>
      <c r="BO14" s="135">
        <f t="shared" si="20"/>
        <v>0.27100000000000435</v>
      </c>
      <c r="BP14" s="116">
        <f t="shared" si="21"/>
        <v>0.19999999999997442</v>
      </c>
      <c r="BQ14" s="223">
        <f>SUM(BM14:BP14)</f>
        <v>1.0969999999999693</v>
      </c>
    </row>
    <row r="15" spans="1:69" x14ac:dyDescent="0.2">
      <c r="C15" t="s">
        <v>442</v>
      </c>
      <c r="E15" s="120">
        <f>XEL!E23-'NSP-MN'!E23-'NSP-WI'!E22-PSCO!E23-SPS!E15</f>
        <v>-9.999999999985576E-4</v>
      </c>
      <c r="F15" s="118">
        <f>XEL!F23-'NSP-MN'!F23-'NSP-WI'!F22-PSCO!F23-SPS!F15</f>
        <v>9.9999999999988987E-4</v>
      </c>
      <c r="G15" s="118">
        <f>XEL!G23-'NSP-MN'!G23-'NSP-WI'!G22-PSCO!G23-SPS!G15</f>
        <v>1.9999999999971152E-3</v>
      </c>
      <c r="H15" s="119">
        <f>XEL!H23-'NSP-MN'!H23-'NSP-WI'!H22-PSCO!H23-SPS!H15</f>
        <v>-2.0000000000095497E-3</v>
      </c>
      <c r="I15" s="223">
        <f>XEL!I23-'NSP-MN'!I23-'NSP-WI'!I22-PSCO!I23-SPS!I15</f>
        <v>0</v>
      </c>
      <c r="J15" s="120">
        <f>XEL!J23-'NSP-MN'!J23-'NSP-WI'!J22-PSCO!J23-SPS!J15</f>
        <v>-1.9984014443252818E-15</v>
      </c>
      <c r="K15" s="118">
        <f>XEL!K23-'NSP-MN'!K23-'NSP-WI'!K22-PSCO!K23-SPS!K15</f>
        <v>3.9968028886505635E-15</v>
      </c>
      <c r="L15" s="118">
        <f>XEL!L23-'NSP-MN'!L23-'NSP-WI'!L22-PSCO!L23-SPS!L15</f>
        <v>9.9999999999145217E-4</v>
      </c>
      <c r="M15" s="119">
        <f>XEL!M23-'NSP-MN'!M23-'NSP-WI'!M22-PSCO!M23-SPS!M15</f>
        <v>-9.9999999998701128E-4</v>
      </c>
      <c r="N15" s="223">
        <f>XEL!N23-'NSP-MN'!N23-'NSP-WI'!N22-PSCO!N23-SPS!N15</f>
        <v>0</v>
      </c>
      <c r="O15" s="120">
        <f>XEL!O23-'NSP-MN'!O23-'NSP-WI'!O22-PSCO!O23-SPS!O15</f>
        <v>5.773159728050814E-15</v>
      </c>
      <c r="P15" s="118">
        <f>XEL!P23-'NSP-MN'!P23-'NSP-WI'!P22-PSCO!P23-SPS!P15</f>
        <v>0</v>
      </c>
      <c r="Q15" s="135">
        <f>XEL!Q23-'NSP-MN'!Q23-'NSP-WI'!Q22-PSCO!Q23-SPS!Q15</f>
        <v>0</v>
      </c>
      <c r="R15" s="119">
        <f>XEL!R23-'NSP-MN'!R23-'NSP-WI'!R22-PSCO!R23-SPS!R15</f>
        <v>9.9999999995503686E-4</v>
      </c>
      <c r="S15" s="223">
        <f>XEL!S23-'NSP-MN'!S23-'NSP-WI'!S22-PSCO!S23-SPS!S15</f>
        <v>9.9999999996924771E-4</v>
      </c>
      <c r="T15" s="120">
        <f>XEL!T23-'NSP-MN'!T23-'NSP-WI'!T22-PSCO!T23-SPS!T15</f>
        <v>-5.3290705182007514E-15</v>
      </c>
      <c r="U15" s="118">
        <f>XEL!U23-'NSP-MN'!U23-'NSP-WI'!U22-PSCO!U23-SPS!U15</f>
        <v>3.5527136788005009E-15</v>
      </c>
      <c r="V15" s="135">
        <f>XEL!V23-'NSP-MN'!V23-'NSP-WI'!V22-PSCO!V23-SPS!V15</f>
        <v>-9.9999999999988987E-4</v>
      </c>
      <c r="W15" s="119">
        <f>XEL!W23-'NSP-MN'!W23-'NSP-WI'!W22-PSCO!W23-SPS!W15</f>
        <v>9.9999999997457678E-4</v>
      </c>
      <c r="X15" s="223">
        <f>XEL!X23-'NSP-MN'!X23-'NSP-WI'!X22-PSCO!X23-SPS!X15</f>
        <v>-2.3092638912203256E-14</v>
      </c>
      <c r="Y15" s="120">
        <f>XEL!Y23-'NSP-MN'!Y23-'NSP-WI'!Y22-PSCO!Y23-SPS!Y15</f>
        <v>-7.9936057773011271E-15</v>
      </c>
      <c r="Z15" s="118">
        <f>XEL!Z23-'NSP-MN'!Z23-'NSP-WI'!Z22-PSCO!Z23-SPS!Z15</f>
        <v>9.9999999999145217E-4</v>
      </c>
      <c r="AA15" s="135">
        <f>XEL!AA23-'NSP-MN'!AA23-'NSP-WI'!AA22-PSCO!AA23-SPS!AA15</f>
        <v>-2.9999999999921201E-3</v>
      </c>
      <c r="AB15" s="119">
        <f>XEL!AB23-'NSP-MN'!AB23-'NSP-WI'!AB22-PSCO!AB23-SPS!AB15</f>
        <v>2.9999999999805738E-3</v>
      </c>
      <c r="AC15" s="223">
        <f>XEL!AC23-'NSP-MN'!AC23-'NSP-WI'!AC22-PSCO!AC23-SPS!AC15</f>
        <v>1.0000000000207621E-3</v>
      </c>
      <c r="AD15" s="120">
        <f>XEL!AD23-'NSP-MN'!AD23-'NSP-WI'!AD22-PSCO!AD23-SPS!AD15</f>
        <v>-1.9999999999882334E-3</v>
      </c>
      <c r="AE15" s="118">
        <f>XEL!AE23-'NSP-MN'!AE23-'NSP-WI'!AE22-PSCO!AE23-SPS!AE15</f>
        <v>1.0000000000083276E-3</v>
      </c>
      <c r="AF15" s="135">
        <f>XEL!AF23-'NSP-MN'!AF23-'NSP-WI'!AF22-PSCO!AF23-SPS!AF15</f>
        <v>2.9999999999983373E-3</v>
      </c>
      <c r="AG15" s="119">
        <f>XEL!AG23-'NSP-MN'!AG23-'NSP-WI'!AG22-PSCO!AG23-SPS!AG15</f>
        <v>-1.9999999999953388E-3</v>
      </c>
      <c r="AH15" s="223">
        <f>XEL!AH23-'NSP-MN'!AH23-'NSP-WI'!AH22-PSCO!AH23-SPS!AH15</f>
        <v>0</v>
      </c>
      <c r="AI15" s="120">
        <f>XEL!AI23-'NSP-MN'!AI23-'NSP-WI'!AI22-PSCO!AI23-SPS!AI15</f>
        <v>7.5495165674510645E-15</v>
      </c>
      <c r="AJ15" s="118">
        <f>XEL!AJ23-'NSP-MN'!AJ23-'NSP-WI'!AJ22-PSCO!AJ23-SPS!AJ15</f>
        <v>2.0000000000006679E-3</v>
      </c>
      <c r="AK15" s="135">
        <f>XEL!AK23-'NSP-MN'!AK23-'NSP-WI'!AK22-PSCO!AK23-SPS!AK15</f>
        <v>-1.999999999996227E-3</v>
      </c>
      <c r="AL15" s="119">
        <f>XEL!AL23-'NSP-MN'!AL23-'NSP-WI'!AL22-PSCO!AL23-SPS!AL15</f>
        <v>-1.9539925233402755E-14</v>
      </c>
      <c r="AM15" s="223">
        <f>XEL!AM23-'NSP-MN'!AM23-'NSP-WI'!AM22-PSCO!AM23-SPS!AM15</f>
        <v>-1.9539925233402755E-14</v>
      </c>
      <c r="AN15" s="120">
        <f>XEL!AN23-'NSP-MN'!AN23-'NSP-WI'!AN22-PSCO!AN23-SPS!AN15</f>
        <v>1.0000000000038867E-3</v>
      </c>
      <c r="AO15" s="118">
        <f>XEL!AO23-'NSP-MN'!AO23-'NSP-WI'!AO22-PSCO!AO23-SPS!AO15</f>
        <v>-2.0000000000051088E-3</v>
      </c>
      <c r="AP15" s="135">
        <f>XEL!AP23-'NSP-MN'!AP23-'NSP-WI'!AP22-PSCO!AP23-SPS!AP15</f>
        <v>1.9999999999988916E-3</v>
      </c>
      <c r="AQ15" s="119">
        <f>XEL!AQ23-'NSP-MN'!AQ23-'NSP-WI'!AQ22-PSCO!AQ23-SPS!AQ15</f>
        <v>-1.0000000000438547E-3</v>
      </c>
      <c r="AR15" s="223">
        <f>XEL!AR23-'NSP-MN'!AR23-'NSP-WI'!AR22-PSCO!AR23-SPS!AR15</f>
        <v>0</v>
      </c>
      <c r="AS15" s="120">
        <f>XEL!AS23-'NSP-MN'!AS23-'NSP-WI'!AS22-PSCO!AS23-SPS!AS15</f>
        <v>1.0000000000012221E-3</v>
      </c>
      <c r="AT15" s="118">
        <f>XEL!AT23-'NSP-MN'!AT23-'NSP-WI'!AT22-PSCO!AT23-SPS!AT15</f>
        <v>-9.999999999985576E-4</v>
      </c>
      <c r="AU15" s="135">
        <f>XEL!AU23-'NSP-MN'!AU23-'NSP-WI'!AU22-PSCO!AU23-SPS!AU15</f>
        <v>-9.7699626167013776E-15</v>
      </c>
      <c r="AV15" s="119">
        <f>XEL!AV23-'NSP-MN'!AV23-'NSP-WI'!AV22-PSCO!AV23-SPS!AV15</f>
        <v>-0.19399999999998307</v>
      </c>
      <c r="AW15" s="223">
        <f>XEL!AW23-'NSP-MN'!AW23-'NSP-WI'!AW22-PSCO!AW23-SPS!AW15</f>
        <v>-0.19399999999998307</v>
      </c>
      <c r="AX15" s="148">
        <v>0</v>
      </c>
      <c r="AY15" s="149">
        <v>0</v>
      </c>
      <c r="AZ15" s="149">
        <v>0</v>
      </c>
      <c r="BA15" s="150">
        <v>0</v>
      </c>
      <c r="BB15" s="223">
        <f>SUM(AX15:BA15)</f>
        <v>0</v>
      </c>
      <c r="BC15" s="148">
        <v>0</v>
      </c>
      <c r="BD15" s="149">
        <v>0</v>
      </c>
      <c r="BE15" s="149">
        <v>0</v>
      </c>
      <c r="BF15" s="150">
        <v>0</v>
      </c>
      <c r="BG15" s="223">
        <f>SUM(BC15:BF15)</f>
        <v>0</v>
      </c>
      <c r="BH15" s="148">
        <v>0</v>
      </c>
      <c r="BI15" s="149">
        <v>0</v>
      </c>
      <c r="BJ15" s="149">
        <v>0</v>
      </c>
      <c r="BK15" s="150">
        <v>0</v>
      </c>
      <c r="BL15" s="223">
        <f>SUM(BH15:BK15)</f>
        <v>0</v>
      </c>
      <c r="BM15" s="148">
        <v>0</v>
      </c>
      <c r="BN15" s="149">
        <v>0</v>
      </c>
      <c r="BO15" s="149">
        <v>0</v>
      </c>
      <c r="BP15" s="150">
        <v>0</v>
      </c>
      <c r="BQ15" s="223">
        <f>SUM(BM15:BP15)</f>
        <v>0</v>
      </c>
    </row>
    <row r="16" spans="1:69" x14ac:dyDescent="0.2">
      <c r="C16" s="26" t="s">
        <v>123</v>
      </c>
      <c r="E16" s="121">
        <f>SUM(E12:E15)+E9</f>
        <v>-127.03800000000008</v>
      </c>
      <c r="F16" s="122">
        <f t="shared" ref="F16:Q16" si="22">SUM(F12:F15)+F9</f>
        <v>-114.96899999999994</v>
      </c>
      <c r="G16" s="122">
        <f t="shared" si="22"/>
        <v>-118.35999999999993</v>
      </c>
      <c r="H16" s="123">
        <f t="shared" si="22"/>
        <v>-123.68600000000075</v>
      </c>
      <c r="I16" s="86">
        <f t="shared" si="22"/>
        <v>-484.05299999999954</v>
      </c>
      <c r="J16" s="121">
        <f t="shared" si="22"/>
        <v>-129.48499999999999</v>
      </c>
      <c r="K16" s="122">
        <f t="shared" si="22"/>
        <v>-132.08800000000019</v>
      </c>
      <c r="L16" s="122">
        <f t="shared" si="22"/>
        <v>-133.42100000000025</v>
      </c>
      <c r="M16" s="123">
        <f t="shared" si="22"/>
        <v>-127.46100000000048</v>
      </c>
      <c r="N16" s="86">
        <f t="shared" si="22"/>
        <v>-522.45500000000106</v>
      </c>
      <c r="O16" s="121">
        <f t="shared" si="22"/>
        <v>-137.25399999999993</v>
      </c>
      <c r="P16" s="122">
        <f t="shared" si="22"/>
        <v>-134.4079999999999</v>
      </c>
      <c r="Q16" s="122">
        <f t="shared" si="22"/>
        <v>-145.14900000000017</v>
      </c>
      <c r="R16" s="123">
        <f t="shared" ref="R16:Y16" si="23">SUM(R12:R15)+R9</f>
        <v>-137.72699999999952</v>
      </c>
      <c r="S16" s="86">
        <f t="shared" si="23"/>
        <v>-554.53799999999978</v>
      </c>
      <c r="T16" s="121">
        <f t="shared" si="23"/>
        <v>-136.85399999999996</v>
      </c>
      <c r="U16" s="122">
        <f t="shared" si="23"/>
        <v>-139.40599999999995</v>
      </c>
      <c r="V16" s="122">
        <f t="shared" si="23"/>
        <v>-148.76200000000011</v>
      </c>
      <c r="W16" s="123">
        <f t="shared" si="23"/>
        <v>-144.84100000000066</v>
      </c>
      <c r="X16" s="86">
        <f t="shared" si="23"/>
        <v>-569.86300000000085</v>
      </c>
      <c r="Y16" s="121">
        <f t="shared" si="23"/>
        <v>-140.0899999999998</v>
      </c>
      <c r="Z16" s="122">
        <f t="shared" ref="Z16:AF16" si="24">SUM(Z12:Z15)+Z9</f>
        <v>-139.94699999999986</v>
      </c>
      <c r="AA16" s="122">
        <f t="shared" si="24"/>
        <v>-147.33500000000018</v>
      </c>
      <c r="AB16" s="123">
        <f t="shared" si="24"/>
        <v>-152.06499999999971</v>
      </c>
      <c r="AC16" s="86">
        <f t="shared" si="24"/>
        <v>-579.43699999999967</v>
      </c>
      <c r="AD16" s="121">
        <f t="shared" si="24"/>
        <v>-155.52300000000008</v>
      </c>
      <c r="AE16" s="122">
        <f t="shared" si="24"/>
        <v>-149.76199999999989</v>
      </c>
      <c r="AF16" s="122">
        <f t="shared" si="24"/>
        <v>-148.89499999999998</v>
      </c>
      <c r="AG16" s="123">
        <f t="shared" ref="AG16:AM16" si="25">SUM(AG12:AG15)+AG9</f>
        <v>-149.60600000000034</v>
      </c>
      <c r="AH16" s="86">
        <f t="shared" si="25"/>
        <v>-603.78600000000051</v>
      </c>
      <c r="AI16" s="121">
        <f t="shared" si="25"/>
        <v>-158.78799999999995</v>
      </c>
      <c r="AJ16" s="122">
        <f t="shared" si="25"/>
        <v>-154.13899999999998</v>
      </c>
      <c r="AK16" s="122">
        <f t="shared" si="25"/>
        <v>-154.48499999999999</v>
      </c>
      <c r="AL16" s="123">
        <f t="shared" si="25"/>
        <v>-152.22099999999995</v>
      </c>
      <c r="AM16" s="86">
        <f t="shared" si="25"/>
        <v>-619.63299999999936</v>
      </c>
      <c r="AN16" s="121">
        <f t="shared" ref="AN16:AR16" si="26">SUM(AN12:AN15)+AN9</f>
        <v>-159.65500000000006</v>
      </c>
      <c r="AO16" s="122">
        <f t="shared" si="26"/>
        <v>-152.834</v>
      </c>
      <c r="AP16" s="122">
        <f t="shared" si="26"/>
        <v>-160.80300000000025</v>
      </c>
      <c r="AQ16" s="123">
        <f t="shared" si="26"/>
        <v>-154.61299999999977</v>
      </c>
      <c r="AR16" s="86">
        <f t="shared" si="26"/>
        <v>-627.90500000000088</v>
      </c>
      <c r="AS16" s="121">
        <f t="shared" ref="AS16:AW16" si="27">SUM(AS12:AS15)+AS9</f>
        <v>-159.79200000000003</v>
      </c>
      <c r="AT16" s="122">
        <f t="shared" si="27"/>
        <v>-154.42499999999967</v>
      </c>
      <c r="AU16" s="122">
        <f t="shared" si="27"/>
        <v>-163.50400000000005</v>
      </c>
      <c r="AV16" s="123">
        <f t="shared" si="27"/>
        <v>-177.32900000000001</v>
      </c>
      <c r="AW16" s="86">
        <f t="shared" si="27"/>
        <v>-655.05000000000018</v>
      </c>
      <c r="AX16" s="121">
        <f t="shared" ref="AX16:BG16" si="28">SUM(AX12:AX15)+AX9</f>
        <v>-159.79300000000001</v>
      </c>
      <c r="AY16" s="122">
        <f t="shared" si="28"/>
        <v>-154.42399999999967</v>
      </c>
      <c r="AZ16" s="122">
        <f t="shared" si="28"/>
        <v>-163.50400000000002</v>
      </c>
      <c r="BA16" s="123">
        <f t="shared" si="28"/>
        <v>-177.13500000000005</v>
      </c>
      <c r="BB16" s="86">
        <f t="shared" si="28"/>
        <v>-654.85599999999977</v>
      </c>
      <c r="BC16" s="121">
        <f t="shared" si="28"/>
        <v>-159.79300000000001</v>
      </c>
      <c r="BD16" s="122">
        <f t="shared" si="28"/>
        <v>-154.42399999999967</v>
      </c>
      <c r="BE16" s="122">
        <f t="shared" si="28"/>
        <v>-163.50400000000002</v>
      </c>
      <c r="BF16" s="123">
        <f t="shared" si="28"/>
        <v>-177.13500000000005</v>
      </c>
      <c r="BG16" s="86">
        <f t="shared" si="28"/>
        <v>-654.85599999999977</v>
      </c>
      <c r="BH16" s="121">
        <f t="shared" ref="BH16:BQ16" si="29">SUM(BH12:BH15)+BH9</f>
        <v>-159.79300000000001</v>
      </c>
      <c r="BI16" s="122">
        <f t="shared" si="29"/>
        <v>-154.42399999999967</v>
      </c>
      <c r="BJ16" s="122">
        <f t="shared" si="29"/>
        <v>-163.50400000000002</v>
      </c>
      <c r="BK16" s="123">
        <f t="shared" si="29"/>
        <v>-177.13500000000005</v>
      </c>
      <c r="BL16" s="86">
        <f t="shared" si="29"/>
        <v>-654.85599999999977</v>
      </c>
      <c r="BM16" s="121">
        <f t="shared" si="29"/>
        <v>-159.79300000000001</v>
      </c>
      <c r="BN16" s="122">
        <f t="shared" si="29"/>
        <v>-154.42399999999967</v>
      </c>
      <c r="BO16" s="122">
        <f t="shared" si="29"/>
        <v>-163.50400000000002</v>
      </c>
      <c r="BP16" s="123">
        <f t="shared" si="29"/>
        <v>-177.13500000000005</v>
      </c>
      <c r="BQ16" s="86">
        <f t="shared" si="29"/>
        <v>-654.85599999999977</v>
      </c>
    </row>
    <row r="17" spans="1:69" x14ac:dyDescent="0.2">
      <c r="C17" s="45"/>
      <c r="E17" s="136"/>
      <c r="F17" s="137"/>
      <c r="G17" s="137"/>
      <c r="H17" s="116"/>
      <c r="I17" s="82"/>
      <c r="J17" s="136"/>
      <c r="K17" s="137"/>
      <c r="L17" s="137"/>
      <c r="M17" s="116"/>
      <c r="N17" s="82"/>
      <c r="O17" s="136"/>
      <c r="P17" s="135"/>
      <c r="Q17" s="118"/>
      <c r="R17" s="116"/>
      <c r="S17" s="82"/>
      <c r="T17" s="136"/>
      <c r="U17" s="135"/>
      <c r="V17" s="118"/>
      <c r="W17" s="116"/>
      <c r="X17" s="82"/>
      <c r="Y17" s="136"/>
      <c r="Z17" s="135"/>
      <c r="AA17" s="118"/>
      <c r="AB17" s="116"/>
      <c r="AC17" s="82"/>
      <c r="AD17" s="136"/>
      <c r="AE17" s="135"/>
      <c r="AF17" s="118"/>
      <c r="AG17" s="116"/>
      <c r="AH17" s="82"/>
      <c r="AI17" s="136"/>
      <c r="AJ17" s="135"/>
      <c r="AK17" s="118"/>
      <c r="AL17" s="116"/>
      <c r="AM17" s="82"/>
      <c r="AN17" s="136"/>
      <c r="AO17" s="135"/>
      <c r="AP17" s="118"/>
      <c r="AQ17" s="116"/>
      <c r="AR17" s="82"/>
      <c r="AS17" s="136"/>
      <c r="AT17" s="135"/>
      <c r="AU17" s="118"/>
      <c r="AV17" s="116"/>
      <c r="AW17" s="82"/>
      <c r="AX17" s="120"/>
      <c r="AY17" s="139"/>
      <c r="AZ17" s="139"/>
      <c r="BA17" s="119"/>
      <c r="BB17" s="82"/>
      <c r="BC17" s="120"/>
      <c r="BD17" s="139"/>
      <c r="BE17" s="139"/>
      <c r="BF17" s="119"/>
      <c r="BG17" s="82"/>
      <c r="BH17" s="120"/>
      <c r="BI17" s="139"/>
      <c r="BJ17" s="139"/>
      <c r="BK17" s="119"/>
      <c r="BL17" s="82"/>
      <c r="BM17" s="120"/>
      <c r="BN17" s="139"/>
      <c r="BO17" s="139"/>
      <c r="BP17" s="119"/>
      <c r="BQ17" s="82"/>
    </row>
    <row r="18" spans="1:69" x14ac:dyDescent="0.2">
      <c r="C18" s="26" t="s">
        <v>245</v>
      </c>
      <c r="E18" s="121">
        <f>+E8-E16</f>
        <v>-1.1179999999995829</v>
      </c>
      <c r="F18" s="122">
        <f t="shared" ref="F18:P18" si="30">+F8-F16</f>
        <v>-3.7709999999999582</v>
      </c>
      <c r="G18" s="122">
        <f t="shared" si="30"/>
        <v>-3.7560000000000002</v>
      </c>
      <c r="H18" s="123">
        <f t="shared" si="30"/>
        <v>-1.3709999999999525</v>
      </c>
      <c r="I18" s="86">
        <f t="shared" si="30"/>
        <v>-10.016000000000872</v>
      </c>
      <c r="J18" s="121">
        <f t="shared" si="30"/>
        <v>0.89200000000008117</v>
      </c>
      <c r="K18" s="122">
        <f t="shared" si="30"/>
        <v>-1.7799999999995748</v>
      </c>
      <c r="L18" s="122">
        <f t="shared" si="30"/>
        <v>-2.1669999999998311</v>
      </c>
      <c r="M18" s="123">
        <f t="shared" si="30"/>
        <v>-2.5099999999997493</v>
      </c>
      <c r="N18" s="86">
        <f t="shared" si="30"/>
        <v>-5.5649999999986903</v>
      </c>
      <c r="O18" s="121">
        <f t="shared" si="30"/>
        <v>-2.8619999999999948</v>
      </c>
      <c r="P18" s="122">
        <f t="shared" si="30"/>
        <v>-3.135000000000332</v>
      </c>
      <c r="Q18" s="122">
        <f t="shared" ref="Q18:V18" si="31">+Q8-Q16</f>
        <v>-2.7139999999998849</v>
      </c>
      <c r="R18" s="123">
        <f t="shared" si="31"/>
        <v>-4.6589999999995371</v>
      </c>
      <c r="S18" s="86">
        <f t="shared" si="31"/>
        <v>-13.370000000000118</v>
      </c>
      <c r="T18" s="121">
        <f t="shared" si="31"/>
        <v>-2.1789999999998884</v>
      </c>
      <c r="U18" s="122">
        <f t="shared" si="31"/>
        <v>-2.3370000000004438</v>
      </c>
      <c r="V18" s="122">
        <f t="shared" si="31"/>
        <v>-2.9480000000000359</v>
      </c>
      <c r="W18" s="123">
        <f t="shared" ref="W18:AC18" si="32">+W8-W16</f>
        <v>-2.9789999999988197</v>
      </c>
      <c r="X18" s="86">
        <f t="shared" si="32"/>
        <v>-10.442999999999415</v>
      </c>
      <c r="Y18" s="121">
        <f t="shared" si="32"/>
        <v>-3.4250000000004661</v>
      </c>
      <c r="Z18" s="122">
        <f t="shared" si="32"/>
        <v>-4.4199999999999875</v>
      </c>
      <c r="AA18" s="122">
        <f t="shared" si="32"/>
        <v>-4.5699999999996237</v>
      </c>
      <c r="AB18" s="123">
        <f t="shared" si="32"/>
        <v>-5.5889999999998281</v>
      </c>
      <c r="AC18" s="86">
        <f t="shared" si="32"/>
        <v>-18.003999999998769</v>
      </c>
      <c r="AD18" s="121">
        <f t="shared" ref="AD18:AJ18" si="33">+AD8-AD16</f>
        <v>-3.2839999999995939</v>
      </c>
      <c r="AE18" s="122">
        <f t="shared" si="33"/>
        <v>-4.2550000000001091</v>
      </c>
      <c r="AF18" s="122">
        <f t="shared" si="33"/>
        <v>-4.4470000000001164</v>
      </c>
      <c r="AG18" s="123">
        <f t="shared" si="33"/>
        <v>-7.5990000000009559</v>
      </c>
      <c r="AH18" s="86">
        <f t="shared" si="33"/>
        <v>-19.585000000001401</v>
      </c>
      <c r="AI18" s="121">
        <f t="shared" si="33"/>
        <v>-4.7140000000002829</v>
      </c>
      <c r="AJ18" s="122">
        <f t="shared" si="33"/>
        <v>-5.0200000000002376</v>
      </c>
      <c r="AK18" s="122">
        <f t="shared" ref="AK18:AP18" si="34">+AK8-AK16</f>
        <v>-4.660000000000224</v>
      </c>
      <c r="AL18" s="123">
        <f t="shared" si="34"/>
        <v>-5.5649999999996567</v>
      </c>
      <c r="AM18" s="86">
        <f t="shared" si="34"/>
        <v>-19.959000000000515</v>
      </c>
      <c r="AN18" s="121">
        <f t="shared" si="34"/>
        <v>-6.2350000000000989</v>
      </c>
      <c r="AO18" s="122">
        <f t="shared" si="34"/>
        <v>-4.8870000000003984</v>
      </c>
      <c r="AP18" s="122">
        <f t="shared" si="34"/>
        <v>-4.6759999999999025</v>
      </c>
      <c r="AQ18" s="123">
        <f t="shared" ref="AQ18:AU18" si="35">+AQ8-AQ16</f>
        <v>-5.6519999999993047</v>
      </c>
      <c r="AR18" s="86">
        <f t="shared" si="35"/>
        <v>-21.449999999997544</v>
      </c>
      <c r="AS18" s="121">
        <f t="shared" si="35"/>
        <v>-6.4629999999999654</v>
      </c>
      <c r="AT18" s="122">
        <f t="shared" si="35"/>
        <v>-6.3250000000005002</v>
      </c>
      <c r="AU18" s="122">
        <f t="shared" si="35"/>
        <v>-4.8050000000001489</v>
      </c>
      <c r="AV18" s="123">
        <f t="shared" ref="AV18:AW18" si="36">+AV8-AV16</f>
        <v>8.6560000000010291</v>
      </c>
      <c r="AW18" s="86">
        <f t="shared" si="36"/>
        <v>-8.9370000000008076</v>
      </c>
      <c r="AX18" s="121">
        <f t="shared" ref="AX18:BG18" si="37">+AX8-AX16</f>
        <v>-6.4619999999999891</v>
      </c>
      <c r="AY18" s="122">
        <f t="shared" si="37"/>
        <v>-6.326000000000505</v>
      </c>
      <c r="AZ18" s="122">
        <f t="shared" si="37"/>
        <v>-4.8050000000001774</v>
      </c>
      <c r="BA18" s="123">
        <f t="shared" si="37"/>
        <v>8.4620000000010691</v>
      </c>
      <c r="BB18" s="86">
        <f t="shared" si="37"/>
        <v>-9.1309999999996307</v>
      </c>
      <c r="BC18" s="121">
        <f t="shared" si="37"/>
        <v>-6.4619999999999891</v>
      </c>
      <c r="BD18" s="122">
        <f t="shared" si="37"/>
        <v>-6.326000000000505</v>
      </c>
      <c r="BE18" s="122">
        <f t="shared" si="37"/>
        <v>-4.8050000000001774</v>
      </c>
      <c r="BF18" s="123">
        <f t="shared" si="37"/>
        <v>8.4620000000010691</v>
      </c>
      <c r="BG18" s="86">
        <f t="shared" si="37"/>
        <v>-9.1309999999996307</v>
      </c>
      <c r="BH18" s="121">
        <f t="shared" ref="BH18:BQ18" si="38">+BH8-BH16</f>
        <v>-6.4619999999999891</v>
      </c>
      <c r="BI18" s="122">
        <f t="shared" si="38"/>
        <v>-6.326000000000505</v>
      </c>
      <c r="BJ18" s="122">
        <f t="shared" si="38"/>
        <v>-4.8050000000001774</v>
      </c>
      <c r="BK18" s="123">
        <f t="shared" si="38"/>
        <v>8.4620000000010691</v>
      </c>
      <c r="BL18" s="86">
        <f t="shared" si="38"/>
        <v>-9.1309999999996307</v>
      </c>
      <c r="BM18" s="121">
        <f t="shared" si="38"/>
        <v>-6.4619999999999891</v>
      </c>
      <c r="BN18" s="122">
        <f t="shared" si="38"/>
        <v>-6.326000000000505</v>
      </c>
      <c r="BO18" s="122">
        <f t="shared" si="38"/>
        <v>-4.8050000000001774</v>
      </c>
      <c r="BP18" s="123">
        <f t="shared" si="38"/>
        <v>8.4620000000010691</v>
      </c>
      <c r="BQ18" s="86">
        <f t="shared" si="38"/>
        <v>-9.1309999999996307</v>
      </c>
    </row>
    <row r="19" spans="1:69" x14ac:dyDescent="0.2">
      <c r="C19" s="26"/>
      <c r="E19" s="136"/>
      <c r="F19" s="137"/>
      <c r="G19" s="137"/>
      <c r="H19" s="116"/>
      <c r="I19" s="82"/>
      <c r="J19" s="136"/>
      <c r="K19" s="137"/>
      <c r="L19" s="137"/>
      <c r="M19" s="116"/>
      <c r="N19" s="82"/>
      <c r="O19" s="136"/>
      <c r="P19" s="135"/>
      <c r="Q19" s="118"/>
      <c r="R19" s="116"/>
      <c r="S19" s="82"/>
      <c r="T19" s="136"/>
      <c r="U19" s="135"/>
      <c r="V19" s="118"/>
      <c r="W19" s="116"/>
      <c r="X19" s="82"/>
      <c r="Y19" s="136"/>
      <c r="Z19" s="135"/>
      <c r="AA19" s="118"/>
      <c r="AB19" s="116"/>
      <c r="AC19" s="82"/>
      <c r="AD19" s="136"/>
      <c r="AE19" s="135"/>
      <c r="AF19" s="118"/>
      <c r="AG19" s="116"/>
      <c r="AH19" s="82"/>
      <c r="AI19" s="136"/>
      <c r="AJ19" s="135"/>
      <c r="AK19" s="118"/>
      <c r="AL19" s="116"/>
      <c r="AM19" s="82"/>
      <c r="AN19" s="136"/>
      <c r="AO19" s="135"/>
      <c r="AP19" s="118"/>
      <c r="AQ19" s="116"/>
      <c r="AR19" s="82"/>
      <c r="AS19" s="136"/>
      <c r="AT19" s="135"/>
      <c r="AU19" s="118"/>
      <c r="AV19" s="116"/>
      <c r="AW19" s="82"/>
      <c r="AX19" s="120"/>
      <c r="AY19" s="139"/>
      <c r="AZ19" s="139"/>
      <c r="BA19" s="119"/>
      <c r="BB19" s="82"/>
      <c r="BC19" s="120"/>
      <c r="BD19" s="139"/>
      <c r="BE19" s="139"/>
      <c r="BF19" s="119"/>
      <c r="BG19" s="82"/>
      <c r="BH19" s="120"/>
      <c r="BI19" s="139"/>
      <c r="BJ19" s="139"/>
      <c r="BK19" s="119"/>
      <c r="BL19" s="82"/>
      <c r="BM19" s="120"/>
      <c r="BN19" s="139"/>
      <c r="BO19" s="139"/>
      <c r="BP19" s="119"/>
      <c r="BQ19" s="82"/>
    </row>
    <row r="20" spans="1:69" x14ac:dyDescent="0.2">
      <c r="B20" s="20"/>
      <c r="C20" s="20" t="s">
        <v>129</v>
      </c>
      <c r="D20" s="20"/>
      <c r="E20" s="120">
        <f>XEL!E37-'NSP-MN'!E30-'NSP-WI'!E29-PSCO!E30-SPS!E22</f>
        <v>4.0290000000000017</v>
      </c>
      <c r="F20" s="118">
        <f>XEL!F37-'NSP-MN'!F30-'NSP-WI'!F29-PSCO!F30-SPS!F22</f>
        <v>4.5179999999999998</v>
      </c>
      <c r="G20" s="118">
        <f>XEL!G37-'NSP-MN'!G30-'NSP-WI'!G29-PSCO!G30-SPS!G22</f>
        <v>4.455999999999996</v>
      </c>
      <c r="H20" s="119">
        <f>XEL!H37-'NSP-MN'!H30-'NSP-WI'!H29-PSCO!H30-SPS!H22</f>
        <v>14.174000000000012</v>
      </c>
      <c r="I20" s="223">
        <f>XEL!I37-'NSP-MN'!I30-'NSP-WI'!I29-PSCO!I30-SPS!I22</f>
        <v>27.177000000000003</v>
      </c>
      <c r="J20" s="120">
        <f>XEL!J37-'NSP-MN'!J30-'NSP-WI'!J29-PSCO!J30-SPS!J22</f>
        <v>7.5410000000000004</v>
      </c>
      <c r="K20" s="118">
        <f>XEL!K37-'NSP-MN'!K30-'NSP-WI'!K29-PSCO!K30-SPS!K22</f>
        <v>7.5200000000000005</v>
      </c>
      <c r="L20" s="118">
        <f>XEL!L37-'NSP-MN'!L30-'NSP-WI'!L29-PSCO!L30-SPS!L22</f>
        <v>7.2820000000000036</v>
      </c>
      <c r="M20" s="119">
        <f>XEL!M37-'NSP-MN'!M30-'NSP-WI'!M29-PSCO!M30-SPS!M22</f>
        <v>7.1880000000000006</v>
      </c>
      <c r="N20" s="223">
        <f>XEL!N37-'NSP-MN'!N30-'NSP-WI'!N29-PSCO!N30-SPS!N22</f>
        <v>29.530999999999988</v>
      </c>
      <c r="O20" s="120">
        <f>XEL!O37-'NSP-MN'!O30-'NSP-WI'!O29-PSCO!O30-SPS!O22</f>
        <v>7.7959999999999994</v>
      </c>
      <c r="P20" s="118">
        <f>XEL!P37-'NSP-MN'!P30-'NSP-WI'!P29-PSCO!P30-SPS!P22</f>
        <v>7.6010000000000009</v>
      </c>
      <c r="Q20" s="135">
        <f>XEL!Q37-'NSP-MN'!Q30-'NSP-WI'!Q29-PSCO!Q30-SPS!Q22</f>
        <v>7.6469999999999985</v>
      </c>
      <c r="R20" s="119">
        <f>XEL!R37-'NSP-MN'!R30-'NSP-WI'!R29-PSCO!R30-SPS!R22</f>
        <v>7.516</v>
      </c>
      <c r="S20" s="223">
        <f>XEL!S37-'NSP-MN'!S30-'NSP-WI'!S29-PSCO!S30-SPS!S22</f>
        <v>30.560000000000002</v>
      </c>
      <c r="T20" s="120">
        <f>XEL!T37-'NSP-MN'!T30-'NSP-WI'!T29-PSCO!T30-SPS!T22</f>
        <v>7.08</v>
      </c>
      <c r="U20" s="118">
        <f>XEL!U37-'NSP-MN'!U30-'NSP-WI'!U29-PSCO!U30-SPS!U22</f>
        <v>7.4600000000000026</v>
      </c>
      <c r="V20" s="135">
        <f>XEL!V37-'NSP-MN'!V30-'NSP-WI'!V29-PSCO!V30-SPS!V22</f>
        <v>7.4660000000000029</v>
      </c>
      <c r="W20" s="119">
        <f>XEL!W37-'NSP-MN'!W30-'NSP-WI'!W29-PSCO!W30-SPS!W22</f>
        <v>7.9040000000000052</v>
      </c>
      <c r="X20" s="223">
        <f>XEL!X37-'NSP-MN'!X30-'NSP-WI'!X29-PSCO!X30-SPS!X22</f>
        <v>29.910000000000007</v>
      </c>
      <c r="Y20" s="120">
        <f>XEL!Y37-'NSP-MN'!Y30-'NSP-WI'!Y29-PSCO!Y30-SPS!Y22</f>
        <v>7.7030000000000012</v>
      </c>
      <c r="Z20" s="118">
        <f>XEL!Z37-'NSP-MN'!Z30-'NSP-WI'!Z29-PSCO!Z30-SPS!Z22</f>
        <v>7.3620000000000054</v>
      </c>
      <c r="AA20" s="135">
        <f>XEL!AA37-'NSP-MN'!AA30-'NSP-WI'!AA29-PSCO!AA30-SPS!AA22</f>
        <v>7.245000000000001</v>
      </c>
      <c r="AB20" s="119">
        <f>XEL!AB37-'NSP-MN'!AB30-'NSP-WI'!AB29-PSCO!AB30-SPS!AB22</f>
        <v>7.8070000000000004</v>
      </c>
      <c r="AC20" s="223">
        <f>XEL!AC37-'NSP-MN'!AC30-'NSP-WI'!AC29-PSCO!AC30-SPS!AC22</f>
        <v>30.11699999999999</v>
      </c>
      <c r="AD20" s="120">
        <f>XEL!AD37-'NSP-MN'!AD30-'NSP-WI'!AD29-PSCO!AD30-SPS!AD22</f>
        <v>7.6739999999999968</v>
      </c>
      <c r="AE20" s="118">
        <f>XEL!AE37-'NSP-MN'!AE30-'NSP-WI'!AE29-PSCO!AE30-SPS!AE22</f>
        <v>7.65</v>
      </c>
      <c r="AF20" s="135">
        <f>XEL!AF37-'NSP-MN'!AF30-'NSP-WI'!AF29-PSCO!AF30-SPS!AF22</f>
        <v>7.5149999999999952</v>
      </c>
      <c r="AG20" s="119">
        <f>XEL!AG37-'NSP-MN'!AG30-'NSP-WI'!AG29-PSCO!AG30-SPS!AG22</f>
        <v>7.5519999999999969</v>
      </c>
      <c r="AH20" s="223">
        <f>XEL!AH37-'NSP-MN'!AH30-'NSP-WI'!AH29-PSCO!AH30-SPS!AH22</f>
        <v>30.391000000000009</v>
      </c>
      <c r="AI20" s="120">
        <f>XEL!AI37-'NSP-MN'!AI30-'NSP-WI'!AI29-PSCO!AI30-SPS!AI22</f>
        <v>8.0950000000000166</v>
      </c>
      <c r="AJ20" s="118">
        <f>XEL!AJ37-'NSP-MN'!AJ30-'NSP-WI'!AJ29-PSCO!AJ30-SPS!AJ22</f>
        <v>8.7029999999999994</v>
      </c>
      <c r="AK20" s="135">
        <f>XEL!AK37-'NSP-MN'!AK30-'NSP-WI'!AK29-PSCO!AK30-SPS!AK22</f>
        <v>8.6579999999999995</v>
      </c>
      <c r="AL20" s="119">
        <f>XEL!AL37-'NSP-MN'!AL30-'NSP-WI'!AL29-PSCO!AL30-SPS!AL22</f>
        <v>10.048000000000007</v>
      </c>
      <c r="AM20" s="223">
        <f>XEL!AM37-'NSP-MN'!AM30-'NSP-WI'!AM29-PSCO!AM30-SPS!AM22</f>
        <v>35.504000000000005</v>
      </c>
      <c r="AN20" s="120">
        <f>XEL!AN37-'NSP-MN'!AN30-'NSP-WI'!AN29-PSCO!AN30-SPS!AN22</f>
        <v>13.640000000000002</v>
      </c>
      <c r="AO20" s="118">
        <f>XEL!AO37-'NSP-MN'!AO30-'NSP-WI'!AO29-PSCO!AO30-SPS!AO22</f>
        <v>10.451000000000001</v>
      </c>
      <c r="AP20" s="135">
        <f>XEL!AP37-'NSP-MN'!AP30-'NSP-WI'!AP29-PSCO!AP30-SPS!AP22</f>
        <v>10.139000000000001</v>
      </c>
      <c r="AQ20" s="119">
        <f>XEL!AQ37-'NSP-MN'!AQ30-'NSP-WI'!AQ29-PSCO!AQ30-SPS!AQ22</f>
        <v>10.441999999999991</v>
      </c>
      <c r="AR20" s="223">
        <f>XEL!AR37-'NSP-MN'!AR30-'NSP-WI'!AR29-PSCO!AR30-SPS!AR22</f>
        <v>44.671999999999997</v>
      </c>
      <c r="AS20" s="120">
        <f>XEL!AS37-'NSP-MN'!AS30-'NSP-WI'!AS29-PSCO!AS30-SPS!AS22</f>
        <v>8.463000000000001</v>
      </c>
      <c r="AT20" s="118">
        <f>XEL!AT37-'NSP-MN'!AT30-'NSP-WI'!AT29-PSCO!AT30-SPS!AT22</f>
        <v>8.3320000000000007</v>
      </c>
      <c r="AU20" s="135">
        <f>XEL!AU37-'NSP-MN'!AU30-'NSP-WI'!AU29-PSCO!AU30-SPS!AU22</f>
        <v>8.1330000000000009</v>
      </c>
      <c r="AV20" s="119">
        <f>XEL!AV37-'NSP-MN'!AV30-'NSP-WI'!AV29-PSCO!AV30-SPS!AV22</f>
        <v>9.0309999999999953</v>
      </c>
      <c r="AW20" s="223">
        <f>XEL!AW37-'NSP-MN'!AW30-'NSP-WI'!AW29-PSCO!AW30-SPS!AW22</f>
        <v>33.959000000000003</v>
      </c>
      <c r="AX20" s="136">
        <f>+AS20</f>
        <v>8.463000000000001</v>
      </c>
      <c r="AY20" s="135">
        <f>+AT20</f>
        <v>8.3320000000000007</v>
      </c>
      <c r="AZ20" s="135">
        <f>+AU20</f>
        <v>8.1330000000000009</v>
      </c>
      <c r="BA20" s="116">
        <f>+AV20</f>
        <v>9.0309999999999953</v>
      </c>
      <c r="BB20" s="223">
        <f>SUM(AX20:BA20)</f>
        <v>33.959000000000003</v>
      </c>
      <c r="BC20" s="136">
        <f>+AX20</f>
        <v>8.463000000000001</v>
      </c>
      <c r="BD20" s="135">
        <f>+AY20</f>
        <v>8.3320000000000007</v>
      </c>
      <c r="BE20" s="135">
        <f>+AZ20</f>
        <v>8.1330000000000009</v>
      </c>
      <c r="BF20" s="116">
        <f>+BA20</f>
        <v>9.0309999999999953</v>
      </c>
      <c r="BG20" s="223">
        <f>SUM(BC20:BF20)</f>
        <v>33.959000000000003</v>
      </c>
      <c r="BH20" s="136">
        <f>+BC20</f>
        <v>8.463000000000001</v>
      </c>
      <c r="BI20" s="135">
        <f>+BD20</f>
        <v>8.3320000000000007</v>
      </c>
      <c r="BJ20" s="135">
        <f>+BE20</f>
        <v>8.1330000000000009</v>
      </c>
      <c r="BK20" s="116">
        <f>+BF20</f>
        <v>9.0309999999999953</v>
      </c>
      <c r="BL20" s="223">
        <f>SUM(BH20:BK20)</f>
        <v>33.959000000000003</v>
      </c>
      <c r="BM20" s="136">
        <f>+BH20</f>
        <v>8.463000000000001</v>
      </c>
      <c r="BN20" s="135">
        <f>+BI20</f>
        <v>8.3320000000000007</v>
      </c>
      <c r="BO20" s="135">
        <f>+BJ20</f>
        <v>8.1330000000000009</v>
      </c>
      <c r="BP20" s="116">
        <f>+BK20</f>
        <v>9.0309999999999953</v>
      </c>
      <c r="BQ20" s="223">
        <f>SUM(BM20:BP20)</f>
        <v>33.959000000000003</v>
      </c>
    </row>
    <row r="21" spans="1:69" x14ac:dyDescent="0.2">
      <c r="A21" s="20"/>
      <c r="C21" s="20"/>
      <c r="E21" s="120"/>
      <c r="F21" s="139"/>
      <c r="G21" s="139"/>
      <c r="H21" s="119"/>
      <c r="I21" s="42"/>
      <c r="J21" s="120"/>
      <c r="K21" s="139"/>
      <c r="L21" s="139"/>
      <c r="M21" s="119"/>
      <c r="N21" s="42"/>
      <c r="O21" s="120"/>
      <c r="P21" s="139"/>
      <c r="Q21" s="139"/>
      <c r="R21" s="119"/>
      <c r="S21" s="42"/>
      <c r="T21" s="120"/>
      <c r="U21" s="139"/>
      <c r="V21" s="139"/>
      <c r="W21" s="119"/>
      <c r="X21" s="42"/>
      <c r="Y21" s="120"/>
      <c r="Z21" s="139"/>
      <c r="AA21" s="139"/>
      <c r="AB21" s="119"/>
      <c r="AC21" s="42"/>
      <c r="AD21" s="120"/>
      <c r="AE21" s="139"/>
      <c r="AF21" s="139"/>
      <c r="AG21" s="119"/>
      <c r="AH21" s="42"/>
      <c r="AI21" s="120"/>
      <c r="AJ21" s="139"/>
      <c r="AK21" s="139"/>
      <c r="AL21" s="119"/>
      <c r="AM21" s="42"/>
      <c r="AN21" s="120"/>
      <c r="AO21" s="139"/>
      <c r="AP21" s="139"/>
      <c r="AQ21" s="119"/>
      <c r="AR21" s="42"/>
      <c r="AS21" s="120"/>
      <c r="AT21" s="139"/>
      <c r="AU21" s="139"/>
      <c r="AV21" s="119"/>
      <c r="AW21" s="42"/>
      <c r="AX21" s="120"/>
      <c r="AY21" s="139"/>
      <c r="AZ21" s="139"/>
      <c r="BA21" s="119"/>
      <c r="BB21" s="42"/>
      <c r="BC21" s="120"/>
      <c r="BD21" s="139"/>
      <c r="BE21" s="139"/>
      <c r="BF21" s="119"/>
      <c r="BG21" s="42"/>
      <c r="BH21" s="120"/>
      <c r="BI21" s="139"/>
      <c r="BJ21" s="139"/>
      <c r="BK21" s="119"/>
      <c r="BL21" s="42"/>
      <c r="BM21" s="120"/>
      <c r="BN21" s="139"/>
      <c r="BO21" s="139"/>
      <c r="BP21" s="119"/>
      <c r="BQ21" s="42"/>
    </row>
    <row r="22" spans="1:69" x14ac:dyDescent="0.2">
      <c r="C22" s="26" t="s">
        <v>130</v>
      </c>
      <c r="E22" s="121">
        <f>E18+E20</f>
        <v>2.9110000000004188</v>
      </c>
      <c r="F22" s="122">
        <f t="shared" ref="F22:P22" si="39">F18+F20</f>
        <v>0.74700000000004163</v>
      </c>
      <c r="G22" s="122">
        <f t="shared" si="39"/>
        <v>0.69999999999999574</v>
      </c>
      <c r="H22" s="123">
        <f t="shared" si="39"/>
        <v>12.803000000000059</v>
      </c>
      <c r="I22" s="86">
        <f t="shared" si="39"/>
        <v>17.160999999999131</v>
      </c>
      <c r="J22" s="121">
        <f t="shared" si="39"/>
        <v>8.4330000000000815</v>
      </c>
      <c r="K22" s="122">
        <f t="shared" si="39"/>
        <v>5.7400000000004257</v>
      </c>
      <c r="L22" s="122">
        <f t="shared" si="39"/>
        <v>5.1150000000001725</v>
      </c>
      <c r="M22" s="123">
        <f t="shared" si="39"/>
        <v>4.6780000000002513</v>
      </c>
      <c r="N22" s="86">
        <f t="shared" si="39"/>
        <v>23.966000000001298</v>
      </c>
      <c r="O22" s="121">
        <f t="shared" si="39"/>
        <v>4.9340000000000046</v>
      </c>
      <c r="P22" s="122">
        <f t="shared" si="39"/>
        <v>4.4659999999996689</v>
      </c>
      <c r="Q22" s="122">
        <f t="shared" ref="Q22:V22" si="40">Q18+Q20</f>
        <v>4.9330000000001135</v>
      </c>
      <c r="R22" s="123">
        <f t="shared" si="40"/>
        <v>2.8570000000004629</v>
      </c>
      <c r="S22" s="86">
        <f t="shared" si="40"/>
        <v>17.189999999999884</v>
      </c>
      <c r="T22" s="121">
        <f t="shared" si="40"/>
        <v>4.9010000000001117</v>
      </c>
      <c r="U22" s="122">
        <f t="shared" si="40"/>
        <v>5.1229999999995588</v>
      </c>
      <c r="V22" s="122">
        <f t="shared" si="40"/>
        <v>4.5179999999999669</v>
      </c>
      <c r="W22" s="123">
        <f>W18+W20</f>
        <v>4.9250000000011855</v>
      </c>
      <c r="X22" s="86">
        <f>X18+X20</f>
        <v>19.467000000000592</v>
      </c>
      <c r="Y22" s="121">
        <f>Y18+Y20</f>
        <v>4.2779999999995351</v>
      </c>
      <c r="Z22" s="122">
        <f>Z18+Z20</f>
        <v>2.9420000000000179</v>
      </c>
      <c r="AA22" s="122">
        <f>AA18+AA20</f>
        <v>2.6750000000003773</v>
      </c>
      <c r="AB22" s="123">
        <f t="shared" ref="AB22:AH22" si="41">AB18+AB20</f>
        <v>2.2180000000001723</v>
      </c>
      <c r="AC22" s="86">
        <f t="shared" si="41"/>
        <v>12.113000000001222</v>
      </c>
      <c r="AD22" s="121">
        <f t="shared" si="41"/>
        <v>4.3900000000004029</v>
      </c>
      <c r="AE22" s="122">
        <f t="shared" si="41"/>
        <v>3.3949999999998912</v>
      </c>
      <c r="AF22" s="122">
        <f t="shared" si="41"/>
        <v>3.0679999999998788</v>
      </c>
      <c r="AG22" s="123">
        <f t="shared" si="41"/>
        <v>-4.7000000000958941E-2</v>
      </c>
      <c r="AH22" s="86">
        <f t="shared" si="41"/>
        <v>10.805999999998608</v>
      </c>
      <c r="AI22" s="121">
        <f t="shared" ref="AI22:AR22" si="42">AI18+AI20</f>
        <v>3.3809999999997338</v>
      </c>
      <c r="AJ22" s="122">
        <f t="shared" si="42"/>
        <v>3.6829999999997618</v>
      </c>
      <c r="AK22" s="122">
        <f t="shared" si="42"/>
        <v>3.9979999999997755</v>
      </c>
      <c r="AL22" s="123">
        <f t="shared" si="42"/>
        <v>4.4830000000003505</v>
      </c>
      <c r="AM22" s="86">
        <f t="shared" si="42"/>
        <v>15.54499999999949</v>
      </c>
      <c r="AN22" s="121">
        <f t="shared" si="42"/>
        <v>7.4049999999999034</v>
      </c>
      <c r="AO22" s="122">
        <f t="shared" si="42"/>
        <v>5.5639999999996022</v>
      </c>
      <c r="AP22" s="122">
        <f t="shared" si="42"/>
        <v>5.4630000000000987</v>
      </c>
      <c r="AQ22" s="123">
        <f t="shared" si="42"/>
        <v>4.7900000000006866</v>
      </c>
      <c r="AR22" s="86">
        <f t="shared" si="42"/>
        <v>23.222000000002453</v>
      </c>
      <c r="AS22" s="121">
        <f t="shared" ref="AS22:AW22" si="43">AS18+AS20</f>
        <v>2.0000000000000355</v>
      </c>
      <c r="AT22" s="122">
        <f t="shared" si="43"/>
        <v>2.0069999999995005</v>
      </c>
      <c r="AU22" s="122">
        <f t="shared" si="43"/>
        <v>3.327999999999852</v>
      </c>
      <c r="AV22" s="123">
        <f t="shared" si="43"/>
        <v>17.687000000001024</v>
      </c>
      <c r="AW22" s="86">
        <f t="shared" si="43"/>
        <v>25.021999999999196</v>
      </c>
      <c r="AX22" s="121">
        <f t="shared" ref="AX22:BB22" si="44">AX18+AX20</f>
        <v>2.0010000000000119</v>
      </c>
      <c r="AY22" s="122">
        <f t="shared" si="44"/>
        <v>2.0059999999994957</v>
      </c>
      <c r="AZ22" s="122">
        <f t="shared" si="44"/>
        <v>3.3279999999998235</v>
      </c>
      <c r="BA22" s="123">
        <f t="shared" si="44"/>
        <v>17.493000000001064</v>
      </c>
      <c r="BB22" s="86">
        <f t="shared" si="44"/>
        <v>24.828000000000372</v>
      </c>
      <c r="BC22" s="121">
        <f t="shared" ref="BC22:BL22" si="45">BC18+BC20</f>
        <v>2.0010000000000119</v>
      </c>
      <c r="BD22" s="122">
        <f t="shared" si="45"/>
        <v>2.0059999999994957</v>
      </c>
      <c r="BE22" s="122">
        <f t="shared" si="45"/>
        <v>3.3279999999998235</v>
      </c>
      <c r="BF22" s="123">
        <f t="shared" si="45"/>
        <v>17.493000000001064</v>
      </c>
      <c r="BG22" s="86">
        <f t="shared" si="45"/>
        <v>24.828000000000372</v>
      </c>
      <c r="BH22" s="121">
        <f t="shared" si="45"/>
        <v>2.0010000000000119</v>
      </c>
      <c r="BI22" s="122">
        <f t="shared" si="45"/>
        <v>2.0059999999994957</v>
      </c>
      <c r="BJ22" s="122">
        <f t="shared" si="45"/>
        <v>3.3279999999998235</v>
      </c>
      <c r="BK22" s="123">
        <f t="shared" si="45"/>
        <v>17.493000000001064</v>
      </c>
      <c r="BL22" s="86">
        <f t="shared" si="45"/>
        <v>24.828000000000372</v>
      </c>
      <c r="BM22" s="121">
        <f t="shared" ref="BM22:BQ22" si="46">BM18+BM20</f>
        <v>2.0010000000000119</v>
      </c>
      <c r="BN22" s="122">
        <f t="shared" si="46"/>
        <v>2.0059999999994957</v>
      </c>
      <c r="BO22" s="122">
        <f t="shared" si="46"/>
        <v>3.3279999999998235</v>
      </c>
      <c r="BP22" s="123">
        <f t="shared" si="46"/>
        <v>17.493000000001064</v>
      </c>
      <c r="BQ22" s="86">
        <f t="shared" si="46"/>
        <v>24.828000000000372</v>
      </c>
    </row>
    <row r="23" spans="1:69" x14ac:dyDescent="0.2">
      <c r="C23" s="26" t="s">
        <v>131</v>
      </c>
      <c r="E23" s="121">
        <f>+E22+E13</f>
        <v>4.5520000000004313</v>
      </c>
      <c r="F23" s="122">
        <f t="shared" ref="F23:Q23" si="47">+F22+F13</f>
        <v>2.400000000000051</v>
      </c>
      <c r="G23" s="122">
        <f t="shared" si="47"/>
        <v>2.3140000000000001</v>
      </c>
      <c r="H23" s="123">
        <f t="shared" si="47"/>
        <v>14.159000000000111</v>
      </c>
      <c r="I23" s="86">
        <f t="shared" si="47"/>
        <v>23.424999999999113</v>
      </c>
      <c r="J23" s="121">
        <f t="shared" si="47"/>
        <v>9.927000000000092</v>
      </c>
      <c r="K23" s="122">
        <f t="shared" si="47"/>
        <v>7.2340000000004361</v>
      </c>
      <c r="L23" s="122">
        <f t="shared" si="47"/>
        <v>6.7260000000001625</v>
      </c>
      <c r="M23" s="123">
        <f t="shared" si="47"/>
        <v>6.0820000000001482</v>
      </c>
      <c r="N23" s="86">
        <f t="shared" si="47"/>
        <v>29.969000000001227</v>
      </c>
      <c r="O23" s="121">
        <f t="shared" si="47"/>
        <v>6.3180000000000192</v>
      </c>
      <c r="P23" s="122">
        <f t="shared" si="47"/>
        <v>5.8279999999996814</v>
      </c>
      <c r="Q23" s="122">
        <f t="shared" si="47"/>
        <v>6.3020000000001062</v>
      </c>
      <c r="R23" s="123">
        <f t="shared" ref="R23:AD23" si="48">+R22+R13</f>
        <v>4.2060000000004951</v>
      </c>
      <c r="S23" s="86">
        <f t="shared" si="48"/>
        <v>22.653999999999925</v>
      </c>
      <c r="T23" s="121">
        <f t="shared" si="48"/>
        <v>6.1490000000001199</v>
      </c>
      <c r="U23" s="122">
        <f t="shared" si="48"/>
        <v>6.3479999999995496</v>
      </c>
      <c r="V23" s="122">
        <f t="shared" si="48"/>
        <v>5.7449999999999388</v>
      </c>
      <c r="W23" s="123">
        <f t="shared" si="48"/>
        <v>6.0420000000012042</v>
      </c>
      <c r="X23" s="86">
        <f t="shared" si="48"/>
        <v>24.284000000000599</v>
      </c>
      <c r="Y23" s="121">
        <f t="shared" si="48"/>
        <v>5.2889999999995165</v>
      </c>
      <c r="Z23" s="122">
        <f t="shared" si="48"/>
        <v>3.956000000000035</v>
      </c>
      <c r="AA23" s="122">
        <f t="shared" si="48"/>
        <v>3.6870000000004026</v>
      </c>
      <c r="AB23" s="123">
        <f t="shared" si="48"/>
        <v>3.2350000000002819</v>
      </c>
      <c r="AC23" s="86">
        <f t="shared" si="48"/>
        <v>16.167000000001352</v>
      </c>
      <c r="AD23" s="121">
        <f t="shared" si="48"/>
        <v>8.0130000000004067</v>
      </c>
      <c r="AE23" s="122">
        <f t="shared" ref="AE23:AJ23" si="49">+AE22+AE13</f>
        <v>6.7359999999998852</v>
      </c>
      <c r="AF23" s="122">
        <f t="shared" si="49"/>
        <v>6.399999999999908</v>
      </c>
      <c r="AG23" s="123">
        <f t="shared" si="49"/>
        <v>3.3739999999990049</v>
      </c>
      <c r="AH23" s="86">
        <f t="shared" si="49"/>
        <v>24.522999999998536</v>
      </c>
      <c r="AI23" s="121">
        <f t="shared" si="49"/>
        <v>1.2609999999997648</v>
      </c>
      <c r="AJ23" s="122">
        <f t="shared" si="49"/>
        <v>1.515999999999746</v>
      </c>
      <c r="AK23" s="122">
        <f t="shared" ref="AK23:AR23" si="50">+AK22+AK13</f>
        <v>1.819999999999764</v>
      </c>
      <c r="AL23" s="123">
        <f t="shared" si="50"/>
        <v>2.3050000000002111</v>
      </c>
      <c r="AM23" s="86">
        <f t="shared" si="50"/>
        <v>6.9019999999994042</v>
      </c>
      <c r="AN23" s="121">
        <f t="shared" si="50"/>
        <v>7.9669999999998726</v>
      </c>
      <c r="AO23" s="122">
        <f t="shared" si="50"/>
        <v>6.1319999999996</v>
      </c>
      <c r="AP23" s="122">
        <f t="shared" si="50"/>
        <v>6.0290000000001083</v>
      </c>
      <c r="AQ23" s="123">
        <f t="shared" si="50"/>
        <v>5.3610000000006277</v>
      </c>
      <c r="AR23" s="86">
        <f t="shared" si="50"/>
        <v>25.48900000000242</v>
      </c>
      <c r="AS23" s="121">
        <f t="shared" ref="AS23:AW23" si="51">+AS22+AS13</f>
        <v>2.5640000000000356</v>
      </c>
      <c r="AT23" s="122">
        <f t="shared" si="51"/>
        <v>2.6189999999995521</v>
      </c>
      <c r="AU23" s="122">
        <f t="shared" si="51"/>
        <v>3.8639999999998391</v>
      </c>
      <c r="AV23" s="123">
        <f t="shared" si="51"/>
        <v>17.692000000001276</v>
      </c>
      <c r="AW23" s="86">
        <f t="shared" si="51"/>
        <v>26.738999999999265</v>
      </c>
      <c r="AX23" s="121">
        <f t="shared" ref="AX23:BB23" si="52">+AX22+AX13</f>
        <v>2.5650000000000119</v>
      </c>
      <c r="AY23" s="122">
        <f t="shared" si="52"/>
        <v>2.6179999999995474</v>
      </c>
      <c r="AZ23" s="122">
        <f t="shared" si="52"/>
        <v>3.8639999999998107</v>
      </c>
      <c r="BA23" s="123">
        <f t="shared" si="52"/>
        <v>17.498000000001316</v>
      </c>
      <c r="BB23" s="86">
        <f t="shared" si="52"/>
        <v>26.545000000000663</v>
      </c>
      <c r="BC23" s="121">
        <f t="shared" ref="BC23:BL23" si="53">+BC22+BC13</f>
        <v>2.5650000000000119</v>
      </c>
      <c r="BD23" s="122">
        <f t="shared" si="53"/>
        <v>2.6179999999995474</v>
      </c>
      <c r="BE23" s="122">
        <f t="shared" si="53"/>
        <v>3.8639999999998107</v>
      </c>
      <c r="BF23" s="123">
        <f t="shared" si="53"/>
        <v>17.498000000001316</v>
      </c>
      <c r="BG23" s="86">
        <f t="shared" si="53"/>
        <v>26.545000000000663</v>
      </c>
      <c r="BH23" s="121">
        <f t="shared" si="53"/>
        <v>2.5650000000000119</v>
      </c>
      <c r="BI23" s="122">
        <f t="shared" si="53"/>
        <v>2.6179999999995474</v>
      </c>
      <c r="BJ23" s="122">
        <f t="shared" si="53"/>
        <v>3.8639999999998107</v>
      </c>
      <c r="BK23" s="123">
        <f t="shared" si="53"/>
        <v>17.498000000001316</v>
      </c>
      <c r="BL23" s="86">
        <f t="shared" si="53"/>
        <v>26.545000000000663</v>
      </c>
      <c r="BM23" s="121">
        <f t="shared" ref="BM23:BQ23" si="54">+BM22+BM13</f>
        <v>2.5650000000000119</v>
      </c>
      <c r="BN23" s="122">
        <f t="shared" si="54"/>
        <v>2.6179999999995474</v>
      </c>
      <c r="BO23" s="122">
        <f t="shared" si="54"/>
        <v>3.8639999999998107</v>
      </c>
      <c r="BP23" s="123">
        <f t="shared" si="54"/>
        <v>17.498000000001316</v>
      </c>
      <c r="BQ23" s="86">
        <f t="shared" si="54"/>
        <v>26.545000000000663</v>
      </c>
    </row>
    <row r="24" spans="1:69" x14ac:dyDescent="0.2">
      <c r="C24" s="20"/>
      <c r="E24" s="136"/>
      <c r="F24" s="137"/>
      <c r="G24" s="137"/>
      <c r="H24" s="116"/>
      <c r="I24" s="82"/>
      <c r="J24" s="136"/>
      <c r="K24" s="137"/>
      <c r="L24" s="137"/>
      <c r="M24" s="116"/>
      <c r="N24" s="82"/>
      <c r="O24" s="136"/>
      <c r="P24" s="135"/>
      <c r="Q24" s="118"/>
      <c r="R24" s="116"/>
      <c r="S24" s="82"/>
      <c r="T24" s="136"/>
      <c r="U24" s="135"/>
      <c r="V24" s="118"/>
      <c r="W24" s="116"/>
      <c r="X24" s="82"/>
      <c r="Y24" s="136"/>
      <c r="Z24" s="135"/>
      <c r="AA24" s="118"/>
      <c r="AB24" s="116"/>
      <c r="AC24" s="82"/>
      <c r="AD24" s="136"/>
      <c r="AE24" s="135"/>
      <c r="AF24" s="118"/>
      <c r="AG24" s="116"/>
      <c r="AH24" s="82"/>
      <c r="AI24" s="136"/>
      <c r="AJ24" s="135"/>
      <c r="AK24" s="118"/>
      <c r="AL24" s="116"/>
      <c r="AM24" s="82"/>
      <c r="AN24" s="136"/>
      <c r="AO24" s="135"/>
      <c r="AP24" s="118"/>
      <c r="AQ24" s="116"/>
      <c r="AR24" s="82"/>
      <c r="AS24" s="136"/>
      <c r="AT24" s="135"/>
      <c r="AU24" s="118"/>
      <c r="AV24" s="116"/>
      <c r="AW24" s="82"/>
      <c r="AX24" s="148"/>
      <c r="AY24" s="139"/>
      <c r="AZ24" s="139"/>
      <c r="BA24" s="119"/>
      <c r="BB24" s="82"/>
      <c r="BC24" s="148"/>
      <c r="BD24" s="139"/>
      <c r="BE24" s="139"/>
      <c r="BF24" s="119"/>
      <c r="BG24" s="82"/>
      <c r="BH24" s="148"/>
      <c r="BI24" s="139"/>
      <c r="BJ24" s="139"/>
      <c r="BK24" s="119"/>
      <c r="BL24" s="82"/>
      <c r="BM24" s="148"/>
      <c r="BN24" s="139"/>
      <c r="BO24" s="139"/>
      <c r="BP24" s="119"/>
      <c r="BQ24" s="82"/>
    </row>
    <row r="25" spans="1:69" x14ac:dyDescent="0.2">
      <c r="B25" s="20"/>
      <c r="C25" s="20" t="s">
        <v>134</v>
      </c>
      <c r="D25" s="20"/>
      <c r="E25" s="136">
        <f>XEL!E44-'NSP-MN'!E37-'NSP-WI'!E36-PSCO!E37-SPS!E29</f>
        <v>26.614999999999991</v>
      </c>
      <c r="F25" s="135">
        <f>XEL!F44-'NSP-MN'!F37-'NSP-WI'!F36-PSCO!F37-SPS!F29</f>
        <v>26.123999999999992</v>
      </c>
      <c r="G25" s="135">
        <f>XEL!G44-'NSP-MN'!G37-'NSP-WI'!G36-PSCO!G37-SPS!G29</f>
        <v>25.649999999999991</v>
      </c>
      <c r="H25" s="116">
        <f>XEL!H44-'NSP-MN'!H37-'NSP-WI'!H36-PSCO!H37-SPS!H29</f>
        <v>25.776000000000025</v>
      </c>
      <c r="I25" s="223">
        <f>XEL!I44-'NSP-MN'!I37-'NSP-WI'!I36-PSCO!I37-SPS!I29</f>
        <v>104.16500000000002</v>
      </c>
      <c r="J25" s="136">
        <f>XEL!J44-'NSP-MN'!J37-'NSP-WI'!J36-PSCO!J37-SPS!J29</f>
        <v>25.335000000000008</v>
      </c>
      <c r="K25" s="135">
        <f>XEL!K44-'NSP-MN'!K37-'NSP-WI'!K36-PSCO!K37-SPS!K29</f>
        <v>28.696000000000026</v>
      </c>
      <c r="L25" s="135">
        <f>XEL!L44-'NSP-MN'!L37-'NSP-WI'!L36-PSCO!L37-SPS!L29</f>
        <v>31.534999999999982</v>
      </c>
      <c r="M25" s="116">
        <f>XEL!M44-'NSP-MN'!M37-'NSP-WI'!M36-PSCO!M37-SPS!M29</f>
        <v>29.920000000000044</v>
      </c>
      <c r="N25" s="223">
        <f>XEL!N44-'NSP-MN'!N37-'NSP-WI'!N36-PSCO!N37-SPS!N29</f>
        <v>115.48600000000008</v>
      </c>
      <c r="O25" s="136">
        <f>XEL!O44-'NSP-MN'!O37-'NSP-WI'!O36-PSCO!O37-SPS!O29</f>
        <v>25.539000000000001</v>
      </c>
      <c r="P25" s="135">
        <f>XEL!P44-'NSP-MN'!P37-'NSP-WI'!P36-PSCO!P37-SPS!P29</f>
        <v>25.838999999999988</v>
      </c>
      <c r="Q25" s="135">
        <f>XEL!Q44-'NSP-MN'!Q37-'NSP-WI'!Q36-PSCO!Q37-SPS!Q29</f>
        <v>26.514000000000003</v>
      </c>
      <c r="R25" s="116">
        <f>XEL!R44-'NSP-MN'!R37-'NSP-WI'!R36-PSCO!R37-SPS!R29</f>
        <v>29.056000000000019</v>
      </c>
      <c r="S25" s="223">
        <f>XEL!S44-'NSP-MN'!S37-'NSP-WI'!S36-PSCO!S37-SPS!S29</f>
        <v>106.94799999999995</v>
      </c>
      <c r="T25" s="136">
        <f>XEL!T44-'NSP-MN'!T37-'NSP-WI'!T36-PSCO!T37-SPS!T29</f>
        <v>28.699000000000019</v>
      </c>
      <c r="U25" s="135">
        <f>XEL!U44-'NSP-MN'!U37-'NSP-WI'!U36-PSCO!U37-SPS!U29</f>
        <v>28.586000000000002</v>
      </c>
      <c r="V25" s="135">
        <f>XEL!V44-'NSP-MN'!V37-'NSP-WI'!V36-PSCO!V37-SPS!V29</f>
        <v>28.674999999999997</v>
      </c>
      <c r="W25" s="116">
        <f>XEL!W44-'NSP-MN'!W37-'NSP-WI'!W36-PSCO!W37-SPS!W29</f>
        <v>32.496999999999986</v>
      </c>
      <c r="X25" s="223">
        <f>XEL!X44-'NSP-MN'!X37-'NSP-WI'!X36-PSCO!X37-SPS!X29</f>
        <v>118.45700000000011</v>
      </c>
      <c r="Y25" s="136">
        <f>XEL!Y44-'NSP-MN'!Y37-'NSP-WI'!Y36-PSCO!Y37-SPS!Y29</f>
        <v>28.48299999999999</v>
      </c>
      <c r="Z25" s="135">
        <f>XEL!Z44-'NSP-MN'!Z37-'NSP-WI'!Z36-PSCO!Z37-SPS!Z29</f>
        <v>32.463000000000008</v>
      </c>
      <c r="AA25" s="135">
        <f>XEL!AA44-'NSP-MN'!AA37-'NSP-WI'!AA36-PSCO!AA37-SPS!AA29</f>
        <v>21.180000000000003</v>
      </c>
      <c r="AB25" s="116">
        <f>XEL!AB44-'NSP-MN'!AB37-'NSP-WI'!AB36-PSCO!AB37-SPS!AB29</f>
        <v>21.91799999999985</v>
      </c>
      <c r="AC25" s="223">
        <f>XEL!AC44-'NSP-MN'!AC37-'NSP-WI'!AC36-PSCO!AC37-SPS!AC29</f>
        <v>104.04400000000001</v>
      </c>
      <c r="AD25" s="136">
        <f>XEL!AD44-'NSP-MN'!AD37-'NSP-WI'!AD36-PSCO!AD37-SPS!AD29</f>
        <v>21.521999999999995</v>
      </c>
      <c r="AE25" s="135">
        <f>XEL!AE44-'NSP-MN'!AE37-'NSP-WI'!AE36-PSCO!AE37-SPS!AE29</f>
        <v>21.268999999999998</v>
      </c>
      <c r="AF25" s="135">
        <f>XEL!AF44-'NSP-MN'!AF37-'NSP-WI'!AF36-PSCO!AF37-SPS!AF29</f>
        <v>21.318999999999985</v>
      </c>
      <c r="AG25" s="116">
        <f>XEL!AG44-'NSP-MN'!AG37-'NSP-WI'!AG36-PSCO!AG37-SPS!AG29</f>
        <v>21.457999999999902</v>
      </c>
      <c r="AH25" s="223">
        <f>XEL!AH44-'NSP-MN'!AH37-'NSP-WI'!AH36-PSCO!AH37-SPS!AH29</f>
        <v>85.567999999999884</v>
      </c>
      <c r="AI25" s="136">
        <f>XEL!AI44-'NSP-MN'!AI37-'NSP-WI'!AI36-PSCO!AI37-SPS!AI29</f>
        <v>21.445999999999991</v>
      </c>
      <c r="AJ25" s="135">
        <f>XEL!AJ44-'NSP-MN'!AJ37-'NSP-WI'!AJ36-PSCO!AJ37-SPS!AJ29</f>
        <v>22.390000000000018</v>
      </c>
      <c r="AK25" s="135">
        <f>XEL!AK44-'NSP-MN'!AK37-'NSP-WI'!AK36-PSCO!AK37-SPS!AK29</f>
        <v>24.13399999999999</v>
      </c>
      <c r="AL25" s="116">
        <f>XEL!AL44-'NSP-MN'!AL37-'NSP-WI'!AL36-PSCO!AL37-SPS!AL29</f>
        <v>24.347999999999963</v>
      </c>
      <c r="AM25" s="223">
        <f>XEL!AM44-'NSP-MN'!AM37-'NSP-WI'!AM36-PSCO!AM37-SPS!AM29</f>
        <v>92.317999999999955</v>
      </c>
      <c r="AN25" s="136">
        <f>XEL!AN44-'NSP-MN'!AN37-'NSP-WI'!AN36-PSCO!AN37-SPS!AN29</f>
        <v>26.144000000000005</v>
      </c>
      <c r="AO25" s="135">
        <f>XEL!AO44-'NSP-MN'!AO37-'NSP-WI'!AO36-PSCO!AO37-SPS!AO29</f>
        <v>29.615999999999982</v>
      </c>
      <c r="AP25" s="135">
        <f>XEL!AP44-'NSP-MN'!AP37-'NSP-WI'!AP36-PSCO!AP37-SPS!AP29</f>
        <v>29.378999999999991</v>
      </c>
      <c r="AQ25" s="116">
        <f>XEL!AQ44-'NSP-MN'!AQ37-'NSP-WI'!AQ36-PSCO!AQ37-SPS!AQ29</f>
        <v>30.46700000000008</v>
      </c>
      <c r="AR25" s="223">
        <f>XEL!AR44-'NSP-MN'!AR37-'NSP-WI'!AR36-PSCO!AR37-SPS!AR29</f>
        <v>115.60599999999998</v>
      </c>
      <c r="AS25" s="136">
        <f>XEL!AS44-'NSP-MN'!AS37-'NSP-WI'!AS36-PSCO!AS37-SPS!AS29</f>
        <v>31.369</v>
      </c>
      <c r="AT25" s="135">
        <f>XEL!AT44-'NSP-MN'!AT37-'NSP-WI'!AT36-PSCO!AT37-SPS!AT29</f>
        <v>29.462000000000007</v>
      </c>
      <c r="AU25" s="135">
        <f>XEL!AU44-'NSP-MN'!AU37-'NSP-WI'!AU36-PSCO!AU37-SPS!AU29</f>
        <v>31.038000000000011</v>
      </c>
      <c r="AV25" s="116">
        <f>XEL!AV44-'NSP-MN'!AV37-'NSP-WI'!AV36-PSCO!AV37-SPS!AV29</f>
        <v>30.468999999999983</v>
      </c>
      <c r="AW25" s="223">
        <f>XEL!AW44-'NSP-MN'!AW37-'NSP-WI'!AW36-PSCO!AW37-SPS!AW29</f>
        <v>122.33800000000001</v>
      </c>
      <c r="AX25" s="136">
        <f>XEL!AX44-'NSP-MN'!AX37-'NSP-WI'!AX36-PSCO!AX37-SPS!AX29</f>
        <v>32.174257187500018</v>
      </c>
      <c r="AY25" s="135">
        <f>XEL!AY44-'NSP-MN'!AY37-'NSP-WI'!AY36-PSCO!AY37-SPS!AY29</f>
        <v>30.03741358867676</v>
      </c>
      <c r="AZ25" s="135">
        <f>XEL!AZ44-'NSP-MN'!AZ37-'NSP-WI'!AZ36-PSCO!AZ37-SPS!AZ29</f>
        <v>41.593976383092723</v>
      </c>
      <c r="BA25" s="116">
        <f>XEL!BA44-'NSP-MN'!BA37-'NSP-WI'!BA36-PSCO!BA37-SPS!BA29</f>
        <v>36.108893839910564</v>
      </c>
      <c r="BB25" s="223">
        <f>SUM(AX25:BA25)</f>
        <v>139.91454099918008</v>
      </c>
      <c r="BC25" s="136">
        <f>XEL!BC44-'NSP-MN'!BC37-'NSP-WI'!BC36-PSCO!BC37-SPS!BC29</f>
        <v>37.941105288086298</v>
      </c>
      <c r="BD25" s="135">
        <f>XEL!BD44-'NSP-MN'!BD37-'NSP-WI'!BD36-PSCO!BD37-SPS!BD29</f>
        <v>36.015696980989972</v>
      </c>
      <c r="BE25" s="135">
        <f>XEL!BE44-'NSP-MN'!BE37-'NSP-WI'!BE36-PSCO!BE37-SPS!BE29</f>
        <v>49.850788206965433</v>
      </c>
      <c r="BF25" s="116">
        <f>XEL!BF44-'NSP-MN'!BF37-'NSP-WI'!BF36-PSCO!BF37-SPS!BF29</f>
        <v>42.099271871329293</v>
      </c>
      <c r="BG25" s="223">
        <f>SUM(BC25:BF25)</f>
        <v>165.90686234737097</v>
      </c>
      <c r="BH25" s="136">
        <f>XEL!BH44-'NSP-MN'!BH37-'NSP-WI'!BH36-PSCO!BH37-SPS!BH29</f>
        <v>43.931755776388464</v>
      </c>
      <c r="BI25" s="135">
        <f>XEL!BI44-'NSP-MN'!BI37-'NSP-WI'!BI36-PSCO!BI37-SPS!BI29</f>
        <v>36.530707746718818</v>
      </c>
      <c r="BJ25" s="135">
        <f>XEL!BJ44-'NSP-MN'!BJ37-'NSP-WI'!BJ36-PSCO!BJ37-SPS!BJ29</f>
        <v>55.731219300085094</v>
      </c>
      <c r="BK25" s="116">
        <f>XEL!BK44-'NSP-MN'!BK37-'NSP-WI'!BK36-PSCO!BK37-SPS!BK29</f>
        <v>43.021484374050729</v>
      </c>
      <c r="BL25" s="223">
        <f>SUM(BH25:BK25)</f>
        <v>179.21516719724309</v>
      </c>
      <c r="BM25" s="136">
        <f>XEL!BM44-'NSP-MN'!BM37-'NSP-WI'!BM36-PSCO!BM37-SPS!BM29</f>
        <v>44.709797258526081</v>
      </c>
      <c r="BN25" s="135">
        <f>XEL!BN44-'NSP-MN'!BN37-'NSP-WI'!BN36-PSCO!BN37-SPS!BN29</f>
        <v>39.724258104744678</v>
      </c>
      <c r="BO25" s="135">
        <f>XEL!BO44-'NSP-MN'!BO37-'NSP-WI'!BO36-PSCO!BO37-SPS!BO29</f>
        <v>60.277551873997787</v>
      </c>
      <c r="BP25" s="116">
        <f>XEL!BP44-'NSP-MN'!BP37-'NSP-WI'!BP36-PSCO!BP37-SPS!BP29</f>
        <v>44.566892975643214</v>
      </c>
      <c r="BQ25" s="223">
        <f>SUM(BM25:BP25)</f>
        <v>189.27850021291175</v>
      </c>
    </row>
    <row r="26" spans="1:69" x14ac:dyDescent="0.2">
      <c r="A26" s="20"/>
      <c r="C26" s="20"/>
      <c r="E26" s="136"/>
      <c r="F26" s="137"/>
      <c r="G26" s="137"/>
      <c r="H26" s="116"/>
      <c r="I26" s="82"/>
      <c r="J26" s="136"/>
      <c r="K26" s="137"/>
      <c r="L26" s="137"/>
      <c r="M26" s="116"/>
      <c r="N26" s="82"/>
      <c r="O26" s="136"/>
      <c r="P26" s="135"/>
      <c r="Q26" s="118"/>
      <c r="R26" s="116"/>
      <c r="S26" s="82"/>
      <c r="T26" s="136"/>
      <c r="U26" s="135"/>
      <c r="V26" s="118"/>
      <c r="W26" s="116"/>
      <c r="X26" s="82"/>
      <c r="Y26" s="136"/>
      <c r="Z26" s="135"/>
      <c r="AA26" s="118"/>
      <c r="AB26" s="116"/>
      <c r="AC26" s="82"/>
      <c r="AD26" s="136"/>
      <c r="AE26" s="135"/>
      <c r="AF26" s="118"/>
      <c r="AG26" s="116"/>
      <c r="AH26" s="82"/>
      <c r="AI26" s="136"/>
      <c r="AJ26" s="135"/>
      <c r="AK26" s="118"/>
      <c r="AL26" s="116"/>
      <c r="AM26" s="82"/>
      <c r="AN26" s="136"/>
      <c r="AO26" s="135"/>
      <c r="AP26" s="118"/>
      <c r="AQ26" s="116"/>
      <c r="AR26" s="82"/>
      <c r="AS26" s="136"/>
      <c r="AT26" s="135"/>
      <c r="AU26" s="118"/>
      <c r="AV26" s="116"/>
      <c r="AW26" s="82"/>
      <c r="AX26" s="148"/>
      <c r="AY26" s="139"/>
      <c r="AZ26" s="139"/>
      <c r="BA26" s="119"/>
      <c r="BB26" s="82"/>
      <c r="BC26" s="148"/>
      <c r="BD26" s="139"/>
      <c r="BE26" s="139"/>
      <c r="BF26" s="119"/>
      <c r="BG26" s="82"/>
      <c r="BH26" s="148"/>
      <c r="BI26" s="139"/>
      <c r="BJ26" s="139"/>
      <c r="BK26" s="119"/>
      <c r="BL26" s="82"/>
      <c r="BM26" s="148"/>
      <c r="BN26" s="139"/>
      <c r="BO26" s="139"/>
      <c r="BP26" s="119"/>
      <c r="BQ26" s="82"/>
    </row>
    <row r="27" spans="1:69" x14ac:dyDescent="0.2">
      <c r="C27" s="26" t="s">
        <v>135</v>
      </c>
      <c r="D27" s="20"/>
      <c r="E27" s="121">
        <f>+E22-E25</f>
        <v>-23.703999999999574</v>
      </c>
      <c r="F27" s="122">
        <f t="shared" ref="F27:P27" si="55">+F22-F25</f>
        <v>-25.376999999999949</v>
      </c>
      <c r="G27" s="122">
        <f t="shared" si="55"/>
        <v>-24.949999999999996</v>
      </c>
      <c r="H27" s="123">
        <f t="shared" si="55"/>
        <v>-12.972999999999965</v>
      </c>
      <c r="I27" s="86">
        <f t="shared" si="55"/>
        <v>-87.004000000000886</v>
      </c>
      <c r="J27" s="121">
        <f t="shared" si="55"/>
        <v>-16.901999999999926</v>
      </c>
      <c r="K27" s="122">
        <f t="shared" si="55"/>
        <v>-22.955999999999602</v>
      </c>
      <c r="L27" s="122">
        <f t="shared" si="55"/>
        <v>-26.41999999999981</v>
      </c>
      <c r="M27" s="123">
        <f t="shared" si="55"/>
        <v>-25.241999999999791</v>
      </c>
      <c r="N27" s="86">
        <f t="shared" si="55"/>
        <v>-91.519999999998774</v>
      </c>
      <c r="O27" s="121">
        <f t="shared" si="55"/>
        <v>-20.604999999999997</v>
      </c>
      <c r="P27" s="122">
        <f t="shared" si="55"/>
        <v>-21.373000000000317</v>
      </c>
      <c r="Q27" s="122">
        <f t="shared" ref="Q27:V27" si="56">+Q22-Q25</f>
        <v>-21.580999999999889</v>
      </c>
      <c r="R27" s="123">
        <f t="shared" si="56"/>
        <v>-26.198999999999558</v>
      </c>
      <c r="S27" s="86">
        <f t="shared" si="56"/>
        <v>-89.758000000000067</v>
      </c>
      <c r="T27" s="121">
        <f t="shared" si="56"/>
        <v>-23.797999999999909</v>
      </c>
      <c r="U27" s="122">
        <f t="shared" si="56"/>
        <v>-23.463000000000442</v>
      </c>
      <c r="V27" s="122">
        <f t="shared" si="56"/>
        <v>-24.157000000000032</v>
      </c>
      <c r="W27" s="123">
        <f>+W22-W25</f>
        <v>-27.571999999998802</v>
      </c>
      <c r="X27" s="86">
        <f>+X22-X25</f>
        <v>-98.989999999999512</v>
      </c>
      <c r="Y27" s="121">
        <f>+Y22-Y25</f>
        <v>-24.205000000000453</v>
      </c>
      <c r="Z27" s="122">
        <f>+Z22-Z25</f>
        <v>-29.52099999999999</v>
      </c>
      <c r="AA27" s="122">
        <f>+AA22-AA25</f>
        <v>-18.504999999999626</v>
      </c>
      <c r="AB27" s="123">
        <f t="shared" ref="AB27:AH27" si="57">+AB22-AB25</f>
        <v>-19.699999999999676</v>
      </c>
      <c r="AC27" s="86">
        <f t="shared" si="57"/>
        <v>-91.930999999998789</v>
      </c>
      <c r="AD27" s="121">
        <f t="shared" si="57"/>
        <v>-17.131999999999593</v>
      </c>
      <c r="AE27" s="122">
        <f t="shared" si="57"/>
        <v>-17.874000000000109</v>
      </c>
      <c r="AF27" s="122">
        <f t="shared" si="57"/>
        <v>-18.251000000000104</v>
      </c>
      <c r="AG27" s="123">
        <f t="shared" si="57"/>
        <v>-21.505000000000862</v>
      </c>
      <c r="AH27" s="86">
        <f t="shared" si="57"/>
        <v>-74.762000000001279</v>
      </c>
      <c r="AI27" s="121">
        <f t="shared" ref="AI27:AR27" si="58">+AI22-AI25</f>
        <v>-18.065000000000257</v>
      </c>
      <c r="AJ27" s="122">
        <f t="shared" si="58"/>
        <v>-18.707000000000257</v>
      </c>
      <c r="AK27" s="122">
        <f t="shared" si="58"/>
        <v>-20.136000000000216</v>
      </c>
      <c r="AL27" s="123">
        <f t="shared" si="58"/>
        <v>-19.864999999999611</v>
      </c>
      <c r="AM27" s="86">
        <f t="shared" si="58"/>
        <v>-76.773000000000465</v>
      </c>
      <c r="AN27" s="121">
        <f t="shared" si="58"/>
        <v>-18.739000000000104</v>
      </c>
      <c r="AO27" s="122">
        <f t="shared" si="58"/>
        <v>-24.05200000000038</v>
      </c>
      <c r="AP27" s="122">
        <f t="shared" si="58"/>
        <v>-23.91599999999989</v>
      </c>
      <c r="AQ27" s="123">
        <f t="shared" si="58"/>
        <v>-25.676999999999396</v>
      </c>
      <c r="AR27" s="86">
        <f t="shared" si="58"/>
        <v>-92.383999999997528</v>
      </c>
      <c r="AS27" s="121">
        <f t="shared" ref="AS27:AW27" si="59">+AS22-AS25</f>
        <v>-29.368999999999964</v>
      </c>
      <c r="AT27" s="122">
        <f t="shared" si="59"/>
        <v>-27.455000000000506</v>
      </c>
      <c r="AU27" s="122">
        <f t="shared" si="59"/>
        <v>-27.710000000000157</v>
      </c>
      <c r="AV27" s="123">
        <f t="shared" si="59"/>
        <v>-12.781999999998959</v>
      </c>
      <c r="AW27" s="86">
        <f t="shared" si="59"/>
        <v>-97.316000000000813</v>
      </c>
      <c r="AX27" s="121">
        <f t="shared" ref="AX27:BB27" si="60">+AX22-AX25</f>
        <v>-30.173257187500006</v>
      </c>
      <c r="AY27" s="122">
        <f t="shared" si="60"/>
        <v>-28.031413588677264</v>
      </c>
      <c r="AZ27" s="122">
        <f t="shared" si="60"/>
        <v>-38.265976383092898</v>
      </c>
      <c r="BA27" s="123">
        <f t="shared" si="60"/>
        <v>-18.6158938399095</v>
      </c>
      <c r="BB27" s="86">
        <f t="shared" si="60"/>
        <v>-115.0865409991797</v>
      </c>
      <c r="BC27" s="121">
        <f t="shared" ref="BC27:BL27" si="61">+BC22-BC25</f>
        <v>-35.940105288086286</v>
      </c>
      <c r="BD27" s="122">
        <f t="shared" si="61"/>
        <v>-34.009696980990476</v>
      </c>
      <c r="BE27" s="122">
        <f t="shared" si="61"/>
        <v>-46.522788206965608</v>
      </c>
      <c r="BF27" s="123">
        <f t="shared" si="61"/>
        <v>-24.606271871328229</v>
      </c>
      <c r="BG27" s="86">
        <f t="shared" si="61"/>
        <v>-141.0788623473706</v>
      </c>
      <c r="BH27" s="121">
        <f t="shared" si="61"/>
        <v>-41.930755776388452</v>
      </c>
      <c r="BI27" s="122">
        <f t="shared" si="61"/>
        <v>-34.524707746719322</v>
      </c>
      <c r="BJ27" s="122">
        <f t="shared" si="61"/>
        <v>-52.403219300085269</v>
      </c>
      <c r="BK27" s="123">
        <f t="shared" si="61"/>
        <v>-25.528484374049665</v>
      </c>
      <c r="BL27" s="86">
        <f t="shared" si="61"/>
        <v>-154.38716719724272</v>
      </c>
      <c r="BM27" s="121">
        <f t="shared" ref="BM27:BQ27" si="62">+BM22-BM25</f>
        <v>-42.708797258526069</v>
      </c>
      <c r="BN27" s="122">
        <f t="shared" si="62"/>
        <v>-37.718258104745182</v>
      </c>
      <c r="BO27" s="122">
        <f t="shared" si="62"/>
        <v>-56.949551873997962</v>
      </c>
      <c r="BP27" s="123">
        <f t="shared" si="62"/>
        <v>-27.073892975642149</v>
      </c>
      <c r="BQ27" s="86">
        <f t="shared" si="62"/>
        <v>-164.45050021291138</v>
      </c>
    </row>
    <row r="28" spans="1:69" x14ac:dyDescent="0.2">
      <c r="E28" s="136"/>
      <c r="F28" s="137"/>
      <c r="G28" s="137"/>
      <c r="H28" s="116"/>
      <c r="I28" s="82"/>
      <c r="J28" s="136"/>
      <c r="K28" s="137"/>
      <c r="L28" s="137"/>
      <c r="M28" s="116"/>
      <c r="N28" s="82"/>
      <c r="O28" s="136"/>
      <c r="P28" s="135"/>
      <c r="Q28" s="118"/>
      <c r="R28" s="116"/>
      <c r="S28" s="82"/>
      <c r="T28" s="136"/>
      <c r="U28" s="135"/>
      <c r="V28" s="118"/>
      <c r="W28" s="116"/>
      <c r="X28" s="82"/>
      <c r="Y28" s="136"/>
      <c r="Z28" s="135"/>
      <c r="AA28" s="118"/>
      <c r="AB28" s="116"/>
      <c r="AC28" s="82"/>
      <c r="AD28" s="136"/>
      <c r="AE28" s="135"/>
      <c r="AF28" s="118"/>
      <c r="AG28" s="116"/>
      <c r="AH28" s="82"/>
      <c r="AI28" s="136"/>
      <c r="AJ28" s="135"/>
      <c r="AK28" s="118"/>
      <c r="AL28" s="116"/>
      <c r="AM28" s="82"/>
      <c r="AN28" s="136"/>
      <c r="AO28" s="135"/>
      <c r="AP28" s="118"/>
      <c r="AQ28" s="116"/>
      <c r="AR28" s="82"/>
      <c r="AS28" s="136"/>
      <c r="AT28" s="135"/>
      <c r="AU28" s="118"/>
      <c r="AV28" s="116"/>
      <c r="AW28" s="82"/>
      <c r="AX28" s="120"/>
      <c r="AY28" s="139"/>
      <c r="AZ28" s="139"/>
      <c r="BA28" s="119"/>
      <c r="BB28" s="82"/>
      <c r="BC28" s="120"/>
      <c r="BD28" s="139"/>
      <c r="BE28" s="139"/>
      <c r="BF28" s="119"/>
      <c r="BG28" s="82"/>
      <c r="BH28" s="120"/>
      <c r="BI28" s="139"/>
      <c r="BJ28" s="139"/>
      <c r="BK28" s="119"/>
      <c r="BL28" s="82"/>
      <c r="BM28" s="120"/>
      <c r="BN28" s="139"/>
      <c r="BO28" s="139"/>
      <c r="BP28" s="119"/>
      <c r="BQ28" s="82"/>
    </row>
    <row r="29" spans="1:69" x14ac:dyDescent="0.2">
      <c r="C29" t="s">
        <v>136</v>
      </c>
      <c r="E29" s="136">
        <f>XEL!E48-'NSP-MN'!E41-'NSP-WI'!E40-PSCO!E41-SPS!E33</f>
        <v>-14.131999999999994</v>
      </c>
      <c r="F29" s="135">
        <f>XEL!F48-'NSP-MN'!F41-'NSP-WI'!F40-PSCO!F41-SPS!F33</f>
        <v>-11.712000000000003</v>
      </c>
      <c r="G29" s="135">
        <f>XEL!G48-'NSP-MN'!G41-'NSP-WI'!G40-PSCO!G41-SPS!G33</f>
        <v>-11.931999999999984</v>
      </c>
      <c r="H29" s="116">
        <f>XEL!H48-'NSP-MN'!H41-'NSP-WI'!H40-PSCO!H41-SPS!H33</f>
        <v>-2.5489999999999995</v>
      </c>
      <c r="I29" s="223">
        <f>XEL!I48-'NSP-MN'!I41-'NSP-WI'!I40-PSCO!I41-SPS!I33</f>
        <v>-40.324999999999982</v>
      </c>
      <c r="J29" s="136">
        <f>XEL!J48-'NSP-MN'!J41-'NSP-WI'!J40-PSCO!J41-SPS!J33</f>
        <v>-14.609999999999996</v>
      </c>
      <c r="K29" s="135">
        <f>XEL!K48-'NSP-MN'!K41-'NSP-WI'!K40-PSCO!K41-SPS!K33</f>
        <v>-9.7810000000000006</v>
      </c>
      <c r="L29" s="135">
        <f>XEL!L48-'NSP-MN'!L41-'NSP-WI'!L40-PSCO!L41-SPS!L33</f>
        <v>-14.21700000000002</v>
      </c>
      <c r="M29" s="116">
        <f>XEL!M48-'NSP-MN'!M41-'NSP-WI'!M40-PSCO!M41-SPS!M33</f>
        <v>-10.107000000000017</v>
      </c>
      <c r="N29" s="223">
        <f>XEL!N48-'NSP-MN'!N41-'NSP-WI'!N40-PSCO!N41-SPS!N33</f>
        <v>-48.715000000000018</v>
      </c>
      <c r="O29" s="136">
        <f>XEL!O48-'NSP-MN'!O41-'NSP-WI'!O40-PSCO!O41-SPS!O33</f>
        <v>-10.385999999999999</v>
      </c>
      <c r="P29" s="135">
        <f>XEL!P48-'NSP-MN'!P41-'NSP-WI'!P40-PSCO!P41-SPS!P33</f>
        <v>-10.653</v>
      </c>
      <c r="Q29" s="118">
        <f>XEL!Q48-'NSP-MN'!Q41-'NSP-WI'!Q40-PSCO!Q41-SPS!Q33</f>
        <v>-8.7020000000000053</v>
      </c>
      <c r="R29" s="116">
        <f>XEL!R48-'NSP-MN'!R41-'NSP-WI'!R40-PSCO!R41-SPS!R33</f>
        <v>-10.699999999999989</v>
      </c>
      <c r="S29" s="223">
        <f>XEL!S48-'NSP-MN'!S41-'NSP-WI'!S40-PSCO!S41-SPS!S33</f>
        <v>-40.441000000000024</v>
      </c>
      <c r="T29" s="136">
        <f>XEL!T48-'NSP-MN'!T41-'NSP-WI'!T40-PSCO!T41-SPS!T33</f>
        <v>-11.058</v>
      </c>
      <c r="U29" s="135">
        <f>XEL!U48-'NSP-MN'!U41-'NSP-WI'!U40-PSCO!U41-SPS!U33</f>
        <v>-10.783000000000008</v>
      </c>
      <c r="V29" s="118">
        <f>XEL!V48-'NSP-MN'!V41-'NSP-WI'!V40-PSCO!V41-SPS!V33</f>
        <v>-13.403000000000006</v>
      </c>
      <c r="W29" s="116">
        <f>XEL!W48-'NSP-MN'!W41-'NSP-WI'!W40-PSCO!W41-SPS!W33</f>
        <v>-14.408000000000015</v>
      </c>
      <c r="X29" s="223">
        <f>XEL!X48-'NSP-MN'!X41-'NSP-WI'!X40-PSCO!X41-SPS!X33</f>
        <v>-49.652000000000029</v>
      </c>
      <c r="Y29" s="136">
        <f>XEL!Y48-'NSP-MN'!Y41-'NSP-WI'!Y40-PSCO!Y41-SPS!Y33</f>
        <v>-9.9540000000000095</v>
      </c>
      <c r="Z29" s="135">
        <f>XEL!Z48-'NSP-MN'!Z41-'NSP-WI'!Z40-PSCO!Z41-SPS!Z33</f>
        <v>-12.652999999999984</v>
      </c>
      <c r="AA29" s="118">
        <f>XEL!AA48-'NSP-MN'!AA41-'NSP-WI'!AA40-PSCO!AA41-SPS!AA33</f>
        <v>-4.619000000000014</v>
      </c>
      <c r="AB29" s="116">
        <f>XEL!AB48-'NSP-MN'!AB41-'NSP-WI'!AB40-PSCO!AB41-SPS!AB33</f>
        <v>-11.565000000000026</v>
      </c>
      <c r="AC29" s="223">
        <f>XEL!AC48-'NSP-MN'!AC41-'NSP-WI'!AC40-PSCO!AC41-SPS!AC33</f>
        <v>-38.790999999999976</v>
      </c>
      <c r="AD29" s="136">
        <f>XEL!AD48-'NSP-MN'!AD41-'NSP-WI'!AD40-PSCO!AD41-SPS!AD33</f>
        <v>-8.616000000000005</v>
      </c>
      <c r="AE29" s="135">
        <f>XEL!AE48-'NSP-MN'!AE41-'NSP-WI'!AE40-PSCO!AE41-SPS!AE33</f>
        <v>-7.9230000000000143</v>
      </c>
      <c r="AF29" s="118">
        <f>XEL!AF48-'NSP-MN'!AF41-'NSP-WI'!AF40-PSCO!AF41-SPS!AF33</f>
        <v>-11.237999999999992</v>
      </c>
      <c r="AG29" s="116">
        <f>XEL!AG48-'NSP-MN'!AG41-'NSP-WI'!AG40-PSCO!AG41-SPS!AG33</f>
        <v>-7.6939999999999102</v>
      </c>
      <c r="AH29" s="223">
        <f>XEL!AH48-'NSP-MN'!AH41-'NSP-WI'!AH40-PSCO!AH41-SPS!AH33</f>
        <v>-35.471000000000004</v>
      </c>
      <c r="AI29" s="136">
        <f>XEL!AI48-'NSP-MN'!AI41-'NSP-WI'!AI40-PSCO!AI41-SPS!AI33</f>
        <v>-9.7270000000000092</v>
      </c>
      <c r="AJ29" s="135">
        <f>XEL!AJ48-'NSP-MN'!AJ41-'NSP-WI'!AJ40-PSCO!AJ41-SPS!AJ33</f>
        <v>-7.868999999999998</v>
      </c>
      <c r="AK29" s="118">
        <f>XEL!AK48-'NSP-MN'!AK41-'NSP-WI'!AK40-PSCO!AK41-SPS!AK33</f>
        <v>-9.9219999999999899</v>
      </c>
      <c r="AL29" s="116">
        <f>XEL!AL48-'NSP-MN'!AL41-'NSP-WI'!AL40-PSCO!AL41-SPS!AL33</f>
        <v>-8.1999999999999957</v>
      </c>
      <c r="AM29" s="223">
        <f>XEL!AM48-'NSP-MN'!AM41-'NSP-WI'!AM40-PSCO!AM41-SPS!AM33</f>
        <v>-35.717999999999989</v>
      </c>
      <c r="AN29" s="136">
        <f>XEL!AN48-'NSP-MN'!AN41-'NSP-WI'!AN40-PSCO!AN41-SPS!AN33</f>
        <v>-9.393999999999993</v>
      </c>
      <c r="AO29" s="135">
        <f>XEL!AO48-'NSP-MN'!AO41-'NSP-WI'!AO40-PSCO!AO41-SPS!AO33</f>
        <v>-10.490999999999993</v>
      </c>
      <c r="AP29" s="118">
        <f>XEL!AP48-'NSP-MN'!AP41-'NSP-WI'!AP40-PSCO!AP41-SPS!AP33</f>
        <v>-8.9849999999999923</v>
      </c>
      <c r="AQ29" s="116">
        <f>XEL!AQ48-'NSP-MN'!AQ41-'NSP-WI'!AQ40-PSCO!AQ41-SPS!AQ33</f>
        <v>-13.36600000000012</v>
      </c>
      <c r="AR29" s="223">
        <f>XEL!AR48-'NSP-MN'!AR41-'NSP-WI'!AR40-PSCO!AR41-SPS!AR33</f>
        <v>-42.236000000000018</v>
      </c>
      <c r="AS29" s="136">
        <f>XEL!AS48-'NSP-MN'!AS41-'NSP-WI'!AS40-PSCO!AS41-SPS!AS33</f>
        <v>-15.459999999999992</v>
      </c>
      <c r="AT29" s="135">
        <f>XEL!AT48-'NSP-MN'!AT41-'NSP-WI'!AT40-PSCO!AT41-SPS!AT33</f>
        <v>-16.859000000000002</v>
      </c>
      <c r="AU29" s="118">
        <f>XEL!AU48-'NSP-MN'!AU41-'NSP-WI'!AU40-PSCO!AU41-SPS!AU33</f>
        <v>-14.664999999999985</v>
      </c>
      <c r="AV29" s="116">
        <f>XEL!AV48-'NSP-MN'!AV41-'NSP-WI'!AV40-PSCO!AV41-SPS!AV33</f>
        <v>24.537000000000013</v>
      </c>
      <c r="AW29" s="223">
        <f>XEL!AW48-'NSP-MN'!AW41-'NSP-WI'!AW40-PSCO!AW41-SPS!AW33</f>
        <v>-22.446999999999974</v>
      </c>
      <c r="AX29" s="120">
        <f>XEL!AX48-'NSP-MN'!AX41-'NSP-WI'!AX40-PSCO!AX41-SPS!AX33</f>
        <v>-11.128977928681641</v>
      </c>
      <c r="AY29" s="118">
        <f>XEL!AY48-'NSP-MN'!AY41-'NSP-WI'!AY40-PSCO!AY41-SPS!AY33</f>
        <v>-10.031607322869641</v>
      </c>
      <c r="AZ29" s="118">
        <f>XEL!AZ48-'NSP-MN'!AZ41-'NSP-WI'!AZ40-PSCO!AZ41-SPS!AZ33</f>
        <v>-14.686358945755785</v>
      </c>
      <c r="BA29" s="119">
        <f>XEL!BA48-'NSP-MN'!BA41-'NSP-WI'!BA40-PSCO!BA41-SPS!BA33</f>
        <v>-7.0859030397367757</v>
      </c>
      <c r="BB29" s="223">
        <f>SUM(AX29:BA29)</f>
        <v>-42.932847237043845</v>
      </c>
      <c r="BC29" s="120">
        <f>XEL!BC48-'NSP-MN'!BC41-'NSP-WI'!BC40-PSCO!BC41-SPS!BC33</f>
        <v>-12.997380592588879</v>
      </c>
      <c r="BD29" s="118">
        <f>XEL!BD48-'NSP-MN'!BD41-'NSP-WI'!BD40-PSCO!BD41-SPS!BD33</f>
        <v>-11.723738615232474</v>
      </c>
      <c r="BE29" s="118">
        <f>XEL!BE48-'NSP-MN'!BE41-'NSP-WI'!BE40-PSCO!BE41-SPS!BE33</f>
        <v>-16.999330732395798</v>
      </c>
      <c r="BF29" s="119">
        <f>XEL!BF48-'NSP-MN'!BF41-'NSP-WI'!BF40-PSCO!BF41-SPS!BF33</f>
        <v>-8.8097284460929597</v>
      </c>
      <c r="BG29" s="223">
        <f>SUM(BC29:BF29)</f>
        <v>-50.530178386310112</v>
      </c>
      <c r="BH29" s="120">
        <f>XEL!BH48-'NSP-MN'!BH41-'NSP-WI'!BH40-PSCO!BH41-SPS!BH33</f>
        <v>-14.765472753280743</v>
      </c>
      <c r="BI29" s="118">
        <f>XEL!BI48-'NSP-MN'!BI41-'NSP-WI'!BI40-PSCO!BI41-SPS!BI33</f>
        <v>-12.146397600091824</v>
      </c>
      <c r="BJ29" s="118">
        <f>XEL!BJ48-'NSP-MN'!BJ41-'NSP-WI'!BJ40-PSCO!BJ41-SPS!BJ33</f>
        <v>-18.848129066344445</v>
      </c>
      <c r="BK29" s="119">
        <f>XEL!BK48-'NSP-MN'!BK41-'NSP-WI'!BK40-PSCO!BK41-SPS!BK33</f>
        <v>-9.5154374969212547</v>
      </c>
      <c r="BL29" s="223">
        <f>SUM(BH29:BK29)</f>
        <v>-55.27543691663827</v>
      </c>
      <c r="BM29" s="120">
        <f>XEL!BM48-'NSP-MN'!BM41-'NSP-WI'!BM40-PSCO!BM41-SPS!BM33</f>
        <v>-15.457108990522304</v>
      </c>
      <c r="BN29" s="118">
        <f>XEL!BN48-'NSP-MN'!BN41-'NSP-WI'!BN40-PSCO!BN41-SPS!BN33</f>
        <v>-13.358684236750292</v>
      </c>
      <c r="BO29" s="118">
        <f>XEL!BO48-'NSP-MN'!BO41-'NSP-WI'!BO40-PSCO!BO41-SPS!BO33</f>
        <v>-20.508452520133098</v>
      </c>
      <c r="BP29" s="119">
        <f>XEL!BP48-'NSP-MN'!BP41-'NSP-WI'!BP40-PSCO!BP41-SPS!BP33</f>
        <v>-10.448239692371834</v>
      </c>
      <c r="BQ29" s="223">
        <f>SUM(BM29:BP29)</f>
        <v>-59.772485439777533</v>
      </c>
    </row>
    <row r="30" spans="1:69" x14ac:dyDescent="0.2">
      <c r="E30" s="136"/>
      <c r="F30" s="137"/>
      <c r="G30" s="137"/>
      <c r="H30" s="116"/>
      <c r="I30" s="82"/>
      <c r="J30" s="136"/>
      <c r="K30" s="137"/>
      <c r="L30" s="137"/>
      <c r="M30" s="116"/>
      <c r="N30" s="82"/>
      <c r="O30" s="136"/>
      <c r="P30" s="135"/>
      <c r="Q30" s="118"/>
      <c r="R30" s="116"/>
      <c r="S30" s="82"/>
      <c r="T30" s="136"/>
      <c r="U30" s="135"/>
      <c r="V30" s="118"/>
      <c r="W30" s="116"/>
      <c r="X30" s="82"/>
      <c r="Y30" s="136"/>
      <c r="Z30" s="135"/>
      <c r="AA30" s="118"/>
      <c r="AB30" s="116"/>
      <c r="AC30" s="82"/>
      <c r="AD30" s="136"/>
      <c r="AE30" s="135"/>
      <c r="AF30" s="118"/>
      <c r="AG30" s="116"/>
      <c r="AH30" s="82"/>
      <c r="AI30" s="136"/>
      <c r="AJ30" s="135"/>
      <c r="AK30" s="118"/>
      <c r="AL30" s="116"/>
      <c r="AM30" s="82"/>
      <c r="AN30" s="136"/>
      <c r="AO30" s="135"/>
      <c r="AP30" s="118"/>
      <c r="AQ30" s="116"/>
      <c r="AR30" s="82"/>
      <c r="AS30" s="136"/>
      <c r="AT30" s="135"/>
      <c r="AU30" s="118"/>
      <c r="AV30" s="116"/>
      <c r="AW30" s="82"/>
      <c r="AX30" s="120"/>
      <c r="AY30" s="139"/>
      <c r="AZ30" s="139"/>
      <c r="BA30" s="119"/>
      <c r="BB30" s="82"/>
      <c r="BC30" s="120"/>
      <c r="BD30" s="139"/>
      <c r="BE30" s="139"/>
      <c r="BF30" s="119"/>
      <c r="BG30" s="82"/>
      <c r="BH30" s="120"/>
      <c r="BI30" s="139"/>
      <c r="BJ30" s="139"/>
      <c r="BK30" s="119"/>
      <c r="BL30" s="82"/>
      <c r="BM30" s="120"/>
      <c r="BN30" s="139"/>
      <c r="BO30" s="139"/>
      <c r="BP30" s="119"/>
      <c r="BQ30" s="82"/>
    </row>
    <row r="31" spans="1:69" x14ac:dyDescent="0.2">
      <c r="C31" s="26" t="s">
        <v>137</v>
      </c>
      <c r="D31" s="26"/>
      <c r="E31" s="121">
        <f>+E27-E29</f>
        <v>-9.57199999999958</v>
      </c>
      <c r="F31" s="122">
        <f t="shared" ref="F31:P31" si="63">+F27-F29</f>
        <v>-13.664999999999946</v>
      </c>
      <c r="G31" s="122">
        <f t="shared" si="63"/>
        <v>-13.018000000000011</v>
      </c>
      <c r="H31" s="123">
        <f t="shared" si="63"/>
        <v>-10.423999999999966</v>
      </c>
      <c r="I31" s="86">
        <f t="shared" si="63"/>
        <v>-46.679000000000904</v>
      </c>
      <c r="J31" s="121">
        <f t="shared" si="63"/>
        <v>-2.2919999999999305</v>
      </c>
      <c r="K31" s="122">
        <f t="shared" si="63"/>
        <v>-13.174999999999601</v>
      </c>
      <c r="L31" s="122">
        <f t="shared" si="63"/>
        <v>-12.20299999999979</v>
      </c>
      <c r="M31" s="123">
        <f t="shared" si="63"/>
        <v>-15.134999999999774</v>
      </c>
      <c r="N31" s="86">
        <f t="shared" si="63"/>
        <v>-42.804999999998756</v>
      </c>
      <c r="O31" s="121">
        <f t="shared" si="63"/>
        <v>-10.218999999999998</v>
      </c>
      <c r="P31" s="122">
        <f t="shared" si="63"/>
        <v>-10.720000000000317</v>
      </c>
      <c r="Q31" s="122">
        <f t="shared" ref="Q31:V31" si="64">+Q27-Q29</f>
        <v>-12.878999999999884</v>
      </c>
      <c r="R31" s="123">
        <f t="shared" si="64"/>
        <v>-15.498999999999569</v>
      </c>
      <c r="S31" s="86">
        <f t="shared" si="64"/>
        <v>-49.317000000000043</v>
      </c>
      <c r="T31" s="121">
        <f t="shared" si="64"/>
        <v>-12.73999999999991</v>
      </c>
      <c r="U31" s="122">
        <f t="shared" si="64"/>
        <v>-12.680000000000433</v>
      </c>
      <c r="V31" s="122">
        <f t="shared" si="64"/>
        <v>-10.754000000000026</v>
      </c>
      <c r="W31" s="123">
        <f t="shared" ref="W31:AC31" si="65">+W27-W29</f>
        <v>-13.163999999998786</v>
      </c>
      <c r="X31" s="86">
        <f t="shared" si="65"/>
        <v>-49.337999999999482</v>
      </c>
      <c r="Y31" s="121">
        <f t="shared" si="65"/>
        <v>-14.251000000000444</v>
      </c>
      <c r="Z31" s="122">
        <f t="shared" si="65"/>
        <v>-16.868000000000006</v>
      </c>
      <c r="AA31" s="122">
        <f t="shared" si="65"/>
        <v>-13.885999999999612</v>
      </c>
      <c r="AB31" s="123">
        <f t="shared" si="65"/>
        <v>-8.1349999999996498</v>
      </c>
      <c r="AC31" s="86">
        <f t="shared" si="65"/>
        <v>-53.139999999998814</v>
      </c>
      <c r="AD31" s="121">
        <f t="shared" ref="AD31:AJ31" si="66">+AD27-AD29</f>
        <v>-8.5159999999995879</v>
      </c>
      <c r="AE31" s="122">
        <f t="shared" si="66"/>
        <v>-9.9510000000000947</v>
      </c>
      <c r="AF31" s="122">
        <f t="shared" si="66"/>
        <v>-7.0130000000001118</v>
      </c>
      <c r="AG31" s="123">
        <f t="shared" si="66"/>
        <v>-13.811000000000952</v>
      </c>
      <c r="AH31" s="86">
        <f t="shared" si="66"/>
        <v>-39.291000000001276</v>
      </c>
      <c r="AI31" s="121">
        <f t="shared" si="66"/>
        <v>-8.3380000000002479</v>
      </c>
      <c r="AJ31" s="122">
        <f t="shared" si="66"/>
        <v>-10.838000000000259</v>
      </c>
      <c r="AK31" s="122">
        <f t="shared" ref="AK31:AP31" si="67">+AK27-AK29</f>
        <v>-10.214000000000226</v>
      </c>
      <c r="AL31" s="123">
        <f t="shared" si="67"/>
        <v>-11.664999999999615</v>
      </c>
      <c r="AM31" s="86">
        <f t="shared" si="67"/>
        <v>-41.055000000000476</v>
      </c>
      <c r="AN31" s="121">
        <f t="shared" si="67"/>
        <v>-9.3450000000001108</v>
      </c>
      <c r="AO31" s="122">
        <f t="shared" si="67"/>
        <v>-13.561000000000387</v>
      </c>
      <c r="AP31" s="122">
        <f t="shared" si="67"/>
        <v>-14.930999999999898</v>
      </c>
      <c r="AQ31" s="123">
        <f t="shared" ref="AQ31:AU31" si="68">+AQ27-AQ29</f>
        <v>-12.310999999999275</v>
      </c>
      <c r="AR31" s="86">
        <f t="shared" si="68"/>
        <v>-50.147999999997509</v>
      </c>
      <c r="AS31" s="121">
        <f t="shared" si="68"/>
        <v>-13.908999999999972</v>
      </c>
      <c r="AT31" s="122">
        <f t="shared" si="68"/>
        <v>-10.596000000000505</v>
      </c>
      <c r="AU31" s="122">
        <f t="shared" si="68"/>
        <v>-13.045000000000172</v>
      </c>
      <c r="AV31" s="123">
        <f t="shared" ref="AV31:AW31" si="69">+AV27-AV29</f>
        <v>-37.318999999998972</v>
      </c>
      <c r="AW31" s="86">
        <f t="shared" si="69"/>
        <v>-74.869000000000838</v>
      </c>
      <c r="AX31" s="121">
        <f t="shared" ref="AX31:BG31" si="70">+AX27-AX29</f>
        <v>-19.044279258818364</v>
      </c>
      <c r="AY31" s="122">
        <f t="shared" si="70"/>
        <v>-17.999806265807621</v>
      </c>
      <c r="AZ31" s="122">
        <f t="shared" si="70"/>
        <v>-23.579617437337113</v>
      </c>
      <c r="BA31" s="123">
        <f t="shared" si="70"/>
        <v>-11.529990800172724</v>
      </c>
      <c r="BB31" s="86">
        <f t="shared" si="70"/>
        <v>-72.153693762135859</v>
      </c>
      <c r="BC31" s="121">
        <f t="shared" si="70"/>
        <v>-22.942724695497407</v>
      </c>
      <c r="BD31" s="122">
        <f t="shared" si="70"/>
        <v>-22.285958365758002</v>
      </c>
      <c r="BE31" s="122">
        <f t="shared" si="70"/>
        <v>-29.52345747456981</v>
      </c>
      <c r="BF31" s="123">
        <f t="shared" si="70"/>
        <v>-15.796543425235269</v>
      </c>
      <c r="BG31" s="86">
        <f t="shared" si="70"/>
        <v>-90.54868396106049</v>
      </c>
      <c r="BH31" s="121">
        <f t="shared" ref="BH31:BQ31" si="71">+BH27-BH29</f>
        <v>-27.165283023107708</v>
      </c>
      <c r="BI31" s="122">
        <f t="shared" si="71"/>
        <v>-22.378310146627499</v>
      </c>
      <c r="BJ31" s="122">
        <f t="shared" si="71"/>
        <v>-33.555090233740827</v>
      </c>
      <c r="BK31" s="123">
        <f t="shared" si="71"/>
        <v>-16.01304687712841</v>
      </c>
      <c r="BL31" s="86">
        <f t="shared" si="71"/>
        <v>-99.111730280604448</v>
      </c>
      <c r="BM31" s="121">
        <f t="shared" si="71"/>
        <v>-27.251688268003765</v>
      </c>
      <c r="BN31" s="122">
        <f t="shared" si="71"/>
        <v>-24.359573867994889</v>
      </c>
      <c r="BO31" s="122">
        <f t="shared" si="71"/>
        <v>-36.441099353864864</v>
      </c>
      <c r="BP31" s="123">
        <f t="shared" si="71"/>
        <v>-16.625653283270317</v>
      </c>
      <c r="BQ31" s="86">
        <f t="shared" si="71"/>
        <v>-104.67801477313384</v>
      </c>
    </row>
    <row r="32" spans="1:69" x14ac:dyDescent="0.2">
      <c r="C32" s="525" t="s">
        <v>435</v>
      </c>
      <c r="D32" s="26"/>
      <c r="E32" s="136">
        <f>XEL!E51-'NSP-MN'!E44-'NSP-WI'!E43-PSCO!E44-SPS!E36</f>
        <v>-1.7509999999999999</v>
      </c>
      <c r="F32" s="135">
        <f>XEL!F51-'NSP-MN'!F44-'NSP-WI'!F43-PSCO!F44-SPS!F36</f>
        <v>4.2999999999999997E-2</v>
      </c>
      <c r="G32" s="135">
        <f>XEL!G51-'NSP-MN'!G44-'NSP-WI'!G43-PSCO!G44-SPS!G36</f>
        <v>-0.96499999999999997</v>
      </c>
      <c r="H32" s="116">
        <f>XEL!H51-'NSP-MN'!H44-'NSP-WI'!H43-PSCO!H44-SPS!H36</f>
        <v>-1.9639999999999995</v>
      </c>
      <c r="I32" s="223">
        <f>XEL!I51-'NSP-MN'!I44-'NSP-WI'!I43-PSCO!I44-SPS!I36</f>
        <v>-4.6369999999999996</v>
      </c>
      <c r="J32" s="136">
        <f>XEL!J51-'NSP-MN'!J44-'NSP-WI'!J43-PSCO!J44-SPS!J36</f>
        <v>-0.222</v>
      </c>
      <c r="K32" s="135">
        <f>XEL!K51-'NSP-MN'!K44-'NSP-WI'!K43-PSCO!K44-SPS!K36</f>
        <v>4.1509999999999998</v>
      </c>
      <c r="L32" s="135">
        <f>XEL!L51-'NSP-MN'!L44-'NSP-WI'!L43-PSCO!L44-SPS!L36</f>
        <v>-0.182</v>
      </c>
      <c r="M32" s="116">
        <f>XEL!M51-'NSP-MN'!M44-'NSP-WI'!M43-PSCO!M44-SPS!M36</f>
        <v>0.13100000000000023</v>
      </c>
      <c r="N32" s="223">
        <f>XEL!N51-'NSP-MN'!N44-'NSP-WI'!N43-PSCO!N44-SPS!N36</f>
        <v>3.8780000000000001</v>
      </c>
      <c r="O32" s="136">
        <f>XEL!O51-'NSP-MN'!O44-'NSP-WI'!O43-PSCO!O44-SPS!O36</f>
        <v>0.10199999999999999</v>
      </c>
      <c r="P32" s="135">
        <f>XEL!P51-'NSP-MN'!P44-'NSP-WI'!P43-PSCO!P44-SPS!P36</f>
        <v>9.0999999999999998E-2</v>
      </c>
      <c r="Q32" s="135">
        <f>XEL!Q51-'NSP-MN'!Q44-'NSP-WI'!Q43-PSCO!Q44-SPS!Q36</f>
        <v>-3.2229999999999999</v>
      </c>
      <c r="R32" s="116">
        <f>XEL!R51-'NSP-MN'!R44-'NSP-WI'!R43-PSCO!R44-SPS!R36</f>
        <v>2.8279999999999998</v>
      </c>
      <c r="S32" s="223">
        <f>XEL!S51-'NSP-MN'!S44-'NSP-WI'!S43-PSCO!S44-SPS!S36</f>
        <v>-0.20200000000000001</v>
      </c>
      <c r="T32" s="136">
        <f>XEL!T51-'NSP-MN'!T44-'NSP-WI'!T43-PSCO!T44-SPS!T36</f>
        <v>0.124</v>
      </c>
      <c r="U32" s="135">
        <f>XEL!U51-'NSP-MN'!U44-'NSP-WI'!U43-PSCO!U44-SPS!U36</f>
        <v>-1.4999999999999999E-2</v>
      </c>
      <c r="V32" s="135">
        <f>XEL!V51-'NSP-MN'!V44-'NSP-WI'!V43-PSCO!V44-SPS!V36</f>
        <v>-4.1000000000000002E-2</v>
      </c>
      <c r="W32" s="116">
        <f>XEL!W51-'NSP-MN'!W44-'NSP-WI'!W43-PSCO!W44-SPS!W36</f>
        <v>-3.8000000000000006E-2</v>
      </c>
      <c r="X32" s="223">
        <f>XEL!X51-'NSP-MN'!X44-'NSP-WI'!X43-PSCO!X44-SPS!X36</f>
        <v>0.03</v>
      </c>
      <c r="Y32" s="136">
        <f>XEL!Y51-'NSP-MN'!Y44-'NSP-WI'!Y43-PSCO!Y44-SPS!Y36</f>
        <v>-1.7999999999999999E-2</v>
      </c>
      <c r="Z32" s="135">
        <f>XEL!Z51-'NSP-MN'!Z44-'NSP-WI'!Z43-PSCO!Z44-SPS!Z36</f>
        <v>-2.5000000000000001E-2</v>
      </c>
      <c r="AA32" s="135">
        <f>XEL!AA51-'NSP-MN'!AA44-'NSP-WI'!AA43-PSCO!AA44-SPS!AA36</f>
        <v>0.216</v>
      </c>
      <c r="AB32" s="116">
        <f>XEL!AB51-'NSP-MN'!AB44-'NSP-WI'!AB43-PSCO!AB44-SPS!AB36</f>
        <v>-0.17299999999999999</v>
      </c>
      <c r="AC32" s="223">
        <f>XEL!AC51-'NSP-MN'!AC44-'NSP-WI'!AC43-PSCO!AC44-SPS!AC36</f>
        <v>0</v>
      </c>
      <c r="AD32" s="136">
        <f>XEL!AD51-'NSP-MN'!AD44-'NSP-WI'!AD43-PSCO!AD44-SPS!AD36</f>
        <v>0</v>
      </c>
      <c r="AE32" s="135">
        <f>XEL!AE51-'NSP-MN'!AE44-'NSP-WI'!AE43-PSCO!AE44-SPS!AE36</f>
        <v>0</v>
      </c>
      <c r="AF32" s="135">
        <f>XEL!AF51-'NSP-MN'!AF44-'NSP-WI'!AF43-PSCO!AF44-SPS!AF36</f>
        <v>0</v>
      </c>
      <c r="AG32" s="116">
        <f>XEL!AG51-'NSP-MN'!AG44-'NSP-WI'!AG43-PSCO!AG44-SPS!AG36</f>
        <v>0</v>
      </c>
      <c r="AH32" s="223">
        <f>XEL!AH51-'NSP-MN'!AH44-'NSP-WI'!AH43-PSCO!AH44-SPS!AH36</f>
        <v>0</v>
      </c>
      <c r="AI32" s="136">
        <f>XEL!AI51-'NSP-MN'!AI44-'NSP-WI'!AI43-PSCO!AI44-SPS!AI36</f>
        <v>0</v>
      </c>
      <c r="AJ32" s="135">
        <f>XEL!AJ51-'NSP-MN'!AJ44-'NSP-WI'!AJ43-PSCO!AJ44-SPS!AJ36</f>
        <v>0</v>
      </c>
      <c r="AK32" s="135">
        <f>XEL!AK51-'NSP-MN'!AK44-'NSP-WI'!AK43-PSCO!AK44-SPS!AK36</f>
        <v>0</v>
      </c>
      <c r="AL32" s="116">
        <f>XEL!AL51-'NSP-MN'!AL44-'NSP-WI'!AL43-PSCO!AL44-SPS!AL36</f>
        <v>0</v>
      </c>
      <c r="AM32" s="223">
        <f>XEL!AM51-'NSP-MN'!AM44-'NSP-WI'!AM43-PSCO!AM44-SPS!AM36</f>
        <v>0</v>
      </c>
      <c r="AN32" s="136">
        <f>XEL!AN51-'NSP-MN'!AN44-'NSP-WI'!AN43-PSCO!AN44-SPS!AN36</f>
        <v>0</v>
      </c>
      <c r="AO32" s="135">
        <f>XEL!AO51-'NSP-MN'!AO44-'NSP-WI'!AO43-PSCO!AO44-SPS!AO36</f>
        <v>0</v>
      </c>
      <c r="AP32" s="135">
        <f>XEL!AP51-'NSP-MN'!AP44-'NSP-WI'!AP43-PSCO!AP44-SPS!AP36</f>
        <v>0</v>
      </c>
      <c r="AQ32" s="116">
        <f>XEL!AQ51-'NSP-MN'!AQ44-'NSP-WI'!AQ43-PSCO!AQ44-SPS!AQ36</f>
        <v>0</v>
      </c>
      <c r="AR32" s="223">
        <f>XEL!AR51-'NSP-MN'!AR44-'NSP-WI'!AR43-PSCO!AR44-SPS!AR36</f>
        <v>0</v>
      </c>
      <c r="AS32" s="136">
        <f>XEL!AS51-'NSP-MN'!AS44-'NSP-WI'!AS43-PSCO!AS44-SPS!AS36</f>
        <v>0</v>
      </c>
      <c r="AT32" s="135">
        <f>XEL!AT51-'NSP-MN'!AT44-'NSP-WI'!AT43-PSCO!AT44-SPS!AT36</f>
        <v>0</v>
      </c>
      <c r="AU32" s="135">
        <f>XEL!AU51-'NSP-MN'!AU44-'NSP-WI'!AU43-PSCO!AU44-SPS!AU36</f>
        <v>0</v>
      </c>
      <c r="AV32" s="116">
        <f>XEL!AV51-'NSP-MN'!AV44-'NSP-WI'!AV43-PSCO!AV44-SPS!AV36</f>
        <v>0</v>
      </c>
      <c r="AW32" s="223">
        <f>XEL!AW51-'NSP-MN'!AW44-'NSP-WI'!AW43-PSCO!AW44-SPS!AW36</f>
        <v>0</v>
      </c>
      <c r="AX32" s="148">
        <v>0</v>
      </c>
      <c r="AY32" s="221">
        <v>0</v>
      </c>
      <c r="AZ32" s="221">
        <v>0</v>
      </c>
      <c r="BA32" s="150">
        <v>0</v>
      </c>
      <c r="BB32" s="223">
        <f>SUM(AX32:BA32)</f>
        <v>0</v>
      </c>
      <c r="BC32" s="148">
        <v>0</v>
      </c>
      <c r="BD32" s="221">
        <v>0</v>
      </c>
      <c r="BE32" s="221">
        <v>0</v>
      </c>
      <c r="BF32" s="150">
        <v>0</v>
      </c>
      <c r="BG32" s="223">
        <f>SUM(BC32:BF32)</f>
        <v>0</v>
      </c>
      <c r="BH32" s="148">
        <v>0</v>
      </c>
      <c r="BI32" s="221">
        <v>0</v>
      </c>
      <c r="BJ32" s="221">
        <v>0</v>
      </c>
      <c r="BK32" s="150">
        <v>0</v>
      </c>
      <c r="BL32" s="223">
        <f>SUM(BH32:BK32)</f>
        <v>0</v>
      </c>
      <c r="BM32" s="148">
        <v>0</v>
      </c>
      <c r="BN32" s="221">
        <v>0</v>
      </c>
      <c r="BO32" s="221">
        <v>0</v>
      </c>
      <c r="BP32" s="150">
        <v>0</v>
      </c>
      <c r="BQ32" s="223">
        <f>SUM(BM32:BP32)</f>
        <v>0</v>
      </c>
    </row>
    <row r="33" spans="1:70" x14ac:dyDescent="0.2">
      <c r="C33" s="20" t="s">
        <v>138</v>
      </c>
      <c r="E33" s="136">
        <f>XEL!E52-'NSP-MN'!E45-'NSP-WI'!E44-PSCO!E45-SPS!E37</f>
        <v>1.06</v>
      </c>
      <c r="F33" s="135">
        <f>XEL!F52-'NSP-MN'!F45-'NSP-WI'!F44-PSCO!F45-SPS!F37</f>
        <v>1.06</v>
      </c>
      <c r="G33" s="135">
        <f>XEL!G52-'NSP-MN'!G45-'NSP-WI'!G44-PSCO!G45-SPS!G37</f>
        <v>1.06</v>
      </c>
      <c r="H33" s="116">
        <f>XEL!H52-'NSP-MN'!H45-'NSP-WI'!H44-PSCO!H45-SPS!H37</f>
        <v>1.0609999999999995</v>
      </c>
      <c r="I33" s="223">
        <f>XEL!I52-'NSP-MN'!I45-'NSP-WI'!I44-PSCO!I45-SPS!I37</f>
        <v>4.2409999999999997</v>
      </c>
      <c r="J33" s="136">
        <f>XEL!J52-'NSP-MN'!J45-'NSP-WI'!J44-PSCO!J45-SPS!J37</f>
        <v>1.06</v>
      </c>
      <c r="K33" s="135">
        <f>XEL!K52-'NSP-MN'!K45-'NSP-WI'!K44-PSCO!K45-SPS!K37</f>
        <v>1.06</v>
      </c>
      <c r="L33" s="135">
        <f>XEL!L52-'NSP-MN'!L45-'NSP-WI'!L44-PSCO!L45-SPS!L37</f>
        <v>1.06</v>
      </c>
      <c r="M33" s="116">
        <f>XEL!M52-'NSP-MN'!M45-'NSP-WI'!M44-PSCO!M45-SPS!M37</f>
        <v>1.0609999999999995</v>
      </c>
      <c r="N33" s="223">
        <f>XEL!N52-'NSP-MN'!N45-'NSP-WI'!N44-PSCO!N45-SPS!N37</f>
        <v>4.2409999999999997</v>
      </c>
      <c r="O33" s="136">
        <f>XEL!O52-'NSP-MN'!O45-'NSP-WI'!O44-PSCO!O45-SPS!O37</f>
        <v>1.06</v>
      </c>
      <c r="P33" s="135">
        <f>XEL!P52-'NSP-MN'!P45-'NSP-WI'!P44-PSCO!P45-SPS!P37</f>
        <v>1.06</v>
      </c>
      <c r="Q33" s="135">
        <f>XEL!Q52-'NSP-MN'!Q45-'NSP-WI'!Q44-PSCO!Q45-SPS!Q37</f>
        <v>1.4139999999999999</v>
      </c>
      <c r="R33" s="116">
        <f>XEL!R52-'NSP-MN'!R45-'NSP-WI'!R44-PSCO!R45-SPS!R37</f>
        <v>3.26</v>
      </c>
      <c r="S33" s="223">
        <f>XEL!S52-'NSP-MN'!S45-'NSP-WI'!S44-PSCO!S45-SPS!S37</f>
        <v>6.7939999999999996</v>
      </c>
      <c r="T33" s="136">
        <f>XEL!T52-'NSP-MN'!T45-'NSP-WI'!T44-PSCO!T45-SPS!T37</f>
        <v>0</v>
      </c>
      <c r="U33" s="135">
        <f>XEL!U52-'NSP-MN'!U45-'NSP-WI'!U44-PSCO!U45-SPS!U37</f>
        <v>0</v>
      </c>
      <c r="V33" s="135">
        <f>XEL!V52-'NSP-MN'!V45-'NSP-WI'!V44-PSCO!V45-SPS!V37</f>
        <v>0</v>
      </c>
      <c r="W33" s="116">
        <f>XEL!W52-'NSP-MN'!W45-'NSP-WI'!W44-PSCO!W45-SPS!W37</f>
        <v>0</v>
      </c>
      <c r="X33" s="223">
        <f>XEL!X52-'NSP-MN'!X45-'NSP-WI'!X44-PSCO!X45-SPS!X37</f>
        <v>0</v>
      </c>
      <c r="Y33" s="136">
        <f>XEL!Y52-'NSP-MN'!Y45-'NSP-WI'!Y44-PSCO!Y45-SPS!Y37</f>
        <v>0</v>
      </c>
      <c r="Z33" s="135">
        <f>XEL!Z52-'NSP-MN'!Z45-'NSP-WI'!Z44-PSCO!Z45-SPS!Z37</f>
        <v>0</v>
      </c>
      <c r="AA33" s="135">
        <f>XEL!AA52-'NSP-MN'!AA45-'NSP-WI'!AA44-PSCO!AA45-SPS!AA37</f>
        <v>0</v>
      </c>
      <c r="AB33" s="116">
        <f>XEL!AB52-'NSP-MN'!AB45-'NSP-WI'!AB44-PSCO!AB45-SPS!AB37</f>
        <v>0</v>
      </c>
      <c r="AC33" s="223">
        <f>XEL!AC52-'NSP-MN'!AC45-'NSP-WI'!AC44-PSCO!AC45-SPS!AC37</f>
        <v>0</v>
      </c>
      <c r="AD33" s="136">
        <f>XEL!AD52-'NSP-MN'!AD45-'NSP-WI'!AD44-PSCO!AD45-SPS!AD37</f>
        <v>0</v>
      </c>
      <c r="AE33" s="135">
        <f>XEL!AE52-'NSP-MN'!AE45-'NSP-WI'!AE44-PSCO!AE45-SPS!AE37</f>
        <v>0</v>
      </c>
      <c r="AF33" s="135">
        <f>XEL!AF52-'NSP-MN'!AF45-'NSP-WI'!AF44-PSCO!AF45-SPS!AF37</f>
        <v>0</v>
      </c>
      <c r="AG33" s="116">
        <f>XEL!AG52-'NSP-MN'!AG45-'NSP-WI'!AG44-PSCO!AG45-SPS!AG37</f>
        <v>0</v>
      </c>
      <c r="AH33" s="223">
        <f>XEL!AH52-'NSP-MN'!AH45-'NSP-WI'!AH44-PSCO!AH45-SPS!AH37</f>
        <v>0</v>
      </c>
      <c r="AI33" s="136">
        <f>XEL!AI52-'NSP-MN'!AI45-'NSP-WI'!AI44-PSCO!AI45-SPS!AI37</f>
        <v>0</v>
      </c>
      <c r="AJ33" s="135">
        <f>XEL!AJ52-'NSP-MN'!AJ45-'NSP-WI'!AJ44-PSCO!AJ45-SPS!AJ37</f>
        <v>0</v>
      </c>
      <c r="AK33" s="135">
        <f>XEL!AK52-'NSP-MN'!AK45-'NSP-WI'!AK44-PSCO!AK45-SPS!AK37</f>
        <v>0</v>
      </c>
      <c r="AL33" s="116">
        <f>XEL!AL52-'NSP-MN'!AL45-'NSP-WI'!AL44-PSCO!AL45-SPS!AL37</f>
        <v>0</v>
      </c>
      <c r="AM33" s="223">
        <f>XEL!AM52-'NSP-MN'!AM45-'NSP-WI'!AM44-PSCO!AM45-SPS!AM37</f>
        <v>0</v>
      </c>
      <c r="AN33" s="136">
        <f>XEL!AN52-'NSP-MN'!AN45-'NSP-WI'!AN44-PSCO!AN45-SPS!AN37</f>
        <v>0</v>
      </c>
      <c r="AO33" s="135">
        <f>XEL!AO52-'NSP-MN'!AO45-'NSP-WI'!AO44-PSCO!AO45-SPS!AO37</f>
        <v>0</v>
      </c>
      <c r="AP33" s="135">
        <f>XEL!AP52-'NSP-MN'!AP45-'NSP-WI'!AP44-PSCO!AP45-SPS!AP37</f>
        <v>0</v>
      </c>
      <c r="AQ33" s="116">
        <f>XEL!AQ52-'NSP-MN'!AQ45-'NSP-WI'!AQ44-PSCO!AQ45-SPS!AQ37</f>
        <v>0</v>
      </c>
      <c r="AR33" s="223">
        <f>XEL!AR52-'NSP-MN'!AR45-'NSP-WI'!AR44-PSCO!AR45-SPS!AR37</f>
        <v>0</v>
      </c>
      <c r="AS33" s="136">
        <f>XEL!AS52-'NSP-MN'!AS45-'NSP-WI'!AS44-PSCO!AS45-SPS!AS37</f>
        <v>0</v>
      </c>
      <c r="AT33" s="135">
        <f>XEL!AT52-'NSP-MN'!AT45-'NSP-WI'!AT44-PSCO!AT45-SPS!AT37</f>
        <v>0</v>
      </c>
      <c r="AU33" s="135">
        <f>XEL!AU52-'NSP-MN'!AU45-'NSP-WI'!AU44-PSCO!AU45-SPS!AU37</f>
        <v>0</v>
      </c>
      <c r="AV33" s="116">
        <f>XEL!AV52-'NSP-MN'!AV45-'NSP-WI'!AV44-PSCO!AV45-SPS!AV37</f>
        <v>0</v>
      </c>
      <c r="AW33" s="223">
        <f>XEL!AW52-'NSP-MN'!AW45-'NSP-WI'!AW44-PSCO!AW45-SPS!AW37</f>
        <v>0</v>
      </c>
      <c r="AX33" s="136">
        <f>XEL!AX52-'NSP-MN'!AX45-'NSP-WI'!AX44-PSCO!AX45-SPS!AX37</f>
        <v>0</v>
      </c>
      <c r="AY33" s="135">
        <f>XEL!AY52-'NSP-MN'!AY45-'NSP-WI'!AY44-PSCO!AY45-SPS!AY37</f>
        <v>0</v>
      </c>
      <c r="AZ33" s="135">
        <f>XEL!AZ52-'NSP-MN'!AZ45-'NSP-WI'!AZ44-PSCO!AZ45-SPS!AZ37</f>
        <v>0</v>
      </c>
      <c r="BA33" s="116">
        <f>XEL!BA52-'NSP-MN'!BA45-'NSP-WI'!BA44-PSCO!BA45-SPS!BA37</f>
        <v>0</v>
      </c>
      <c r="BB33" s="82">
        <f>SUM(AX33:BA33)</f>
        <v>0</v>
      </c>
      <c r="BC33" s="136">
        <f>XEL!BC52-'NSP-MN'!BC45-'NSP-WI'!BC44-PSCO!BC45-SPS!BC37</f>
        <v>0</v>
      </c>
      <c r="BD33" s="135">
        <f>XEL!BD52-'NSP-MN'!BD45-'NSP-WI'!BD44-PSCO!BD45-SPS!BD37</f>
        <v>0</v>
      </c>
      <c r="BE33" s="135">
        <f>XEL!BE52-'NSP-MN'!BE45-'NSP-WI'!BE44-PSCO!BE45-SPS!BE37</f>
        <v>0</v>
      </c>
      <c r="BF33" s="116">
        <f>XEL!BF52-'NSP-MN'!BF45-'NSP-WI'!BF44-PSCO!BF45-SPS!BF37</f>
        <v>0</v>
      </c>
      <c r="BG33" s="82">
        <f>SUM(BC33:BF33)</f>
        <v>0</v>
      </c>
      <c r="BH33" s="136">
        <f>XEL!BH52-'NSP-MN'!BH45-'NSP-WI'!BH44-PSCO!BH45-SPS!BH37</f>
        <v>0</v>
      </c>
      <c r="BI33" s="135">
        <f>XEL!BI52-'NSP-MN'!BI45-'NSP-WI'!BI44-PSCO!BI45-SPS!BI37</f>
        <v>0</v>
      </c>
      <c r="BJ33" s="135">
        <f>XEL!BJ52-'NSP-MN'!BJ45-'NSP-WI'!BJ44-PSCO!BJ45-SPS!BJ37</f>
        <v>0</v>
      </c>
      <c r="BK33" s="116">
        <f>XEL!BK52-'NSP-MN'!BK45-'NSP-WI'!BK44-PSCO!BK45-SPS!BK37</f>
        <v>0</v>
      </c>
      <c r="BL33" s="82">
        <f>SUM(BH33:BK33)</f>
        <v>0</v>
      </c>
      <c r="BM33" s="136">
        <f>XEL!BM52-'NSP-MN'!BM45-'NSP-WI'!BM44-PSCO!BM45-SPS!BM37</f>
        <v>0</v>
      </c>
      <c r="BN33" s="135">
        <f>XEL!BN52-'NSP-MN'!BN45-'NSP-WI'!BN44-PSCO!BN45-SPS!BN37</f>
        <v>0</v>
      </c>
      <c r="BO33" s="135">
        <f>XEL!BO52-'NSP-MN'!BO45-'NSP-WI'!BO44-PSCO!BO45-SPS!BO37</f>
        <v>0</v>
      </c>
      <c r="BP33" s="116">
        <f>XEL!BP52-'NSP-MN'!BP45-'NSP-WI'!BP44-PSCO!BP45-SPS!BP37</f>
        <v>0</v>
      </c>
      <c r="BQ33" s="82">
        <f>SUM(BM33:BP33)</f>
        <v>0</v>
      </c>
    </row>
    <row r="34" spans="1:70" x14ac:dyDescent="0.2">
      <c r="E34" s="136"/>
      <c r="F34" s="137"/>
      <c r="G34" s="137"/>
      <c r="H34" s="116"/>
      <c r="I34" s="82"/>
      <c r="J34" s="136"/>
      <c r="K34" s="137"/>
      <c r="L34" s="137"/>
      <c r="M34" s="116"/>
      <c r="N34" s="82"/>
      <c r="O34" s="136"/>
      <c r="P34" s="135"/>
      <c r="Q34" s="118"/>
      <c r="R34" s="116"/>
      <c r="S34" s="82"/>
      <c r="T34" s="136"/>
      <c r="U34" s="135"/>
      <c r="V34" s="118"/>
      <c r="W34" s="116"/>
      <c r="X34" s="82"/>
      <c r="Y34" s="136"/>
      <c r="Z34" s="135"/>
      <c r="AA34" s="118"/>
      <c r="AB34" s="116"/>
      <c r="AC34" s="82"/>
      <c r="AD34" s="136"/>
      <c r="AE34" s="135"/>
      <c r="AF34" s="118"/>
      <c r="AG34" s="116"/>
      <c r="AH34" s="82"/>
      <c r="AI34" s="136"/>
      <c r="AJ34" s="135"/>
      <c r="AK34" s="118"/>
      <c r="AL34" s="116"/>
      <c r="AM34" s="82"/>
      <c r="AN34" s="136"/>
      <c r="AO34" s="135"/>
      <c r="AP34" s="118"/>
      <c r="AQ34" s="116"/>
      <c r="AR34" s="82"/>
      <c r="AS34" s="136"/>
      <c r="AT34" s="135"/>
      <c r="AU34" s="118"/>
      <c r="AV34" s="116"/>
      <c r="AW34" s="82"/>
      <c r="AX34" s="120"/>
      <c r="AY34" s="139"/>
      <c r="AZ34" s="139"/>
      <c r="BA34" s="119"/>
      <c r="BB34" s="82"/>
      <c r="BC34" s="120"/>
      <c r="BD34" s="139"/>
      <c r="BE34" s="139"/>
      <c r="BF34" s="119"/>
      <c r="BG34" s="82"/>
      <c r="BH34" s="120"/>
      <c r="BI34" s="139"/>
      <c r="BJ34" s="139"/>
      <c r="BK34" s="119"/>
      <c r="BL34" s="82"/>
      <c r="BM34" s="120"/>
      <c r="BN34" s="139"/>
      <c r="BO34" s="139"/>
      <c r="BP34" s="119"/>
      <c r="BQ34" s="82"/>
    </row>
    <row r="35" spans="1:70" x14ac:dyDescent="0.2">
      <c r="B35" s="26"/>
      <c r="C35" s="26" t="s">
        <v>139</v>
      </c>
      <c r="D35" s="26"/>
      <c r="E35" s="121">
        <f t="shared" ref="E35:P35" si="72">+E31+E32-E33</f>
        <v>-12.38299999999958</v>
      </c>
      <c r="F35" s="122">
        <f t="shared" si="72"/>
        <v>-14.681999999999947</v>
      </c>
      <c r="G35" s="122">
        <f t="shared" si="72"/>
        <v>-15.043000000000012</v>
      </c>
      <c r="H35" s="123">
        <f t="shared" si="72"/>
        <v>-13.448999999999966</v>
      </c>
      <c r="I35" s="86">
        <f t="shared" si="72"/>
        <v>-55.557000000000905</v>
      </c>
      <c r="J35" s="121">
        <f t="shared" si="72"/>
        <v>-3.5739999999999306</v>
      </c>
      <c r="K35" s="122">
        <f t="shared" si="72"/>
        <v>-10.083999999999602</v>
      </c>
      <c r="L35" s="122">
        <f t="shared" si="72"/>
        <v>-13.444999999999791</v>
      </c>
      <c r="M35" s="123">
        <f t="shared" si="72"/>
        <v>-16.064999999999774</v>
      </c>
      <c r="N35" s="86">
        <f t="shared" si="72"/>
        <v>-43.167999999998756</v>
      </c>
      <c r="O35" s="121">
        <f t="shared" si="72"/>
        <v>-11.176999999999998</v>
      </c>
      <c r="P35" s="122">
        <f t="shared" si="72"/>
        <v>-11.689000000000318</v>
      </c>
      <c r="Q35" s="122">
        <f t="shared" ref="Q35:V35" si="73">+Q31+Q32-Q33</f>
        <v>-17.515999999999885</v>
      </c>
      <c r="R35" s="123">
        <f t="shared" si="73"/>
        <v>-15.930999999999569</v>
      </c>
      <c r="S35" s="86">
        <f t="shared" si="73"/>
        <v>-56.313000000000038</v>
      </c>
      <c r="T35" s="121">
        <f t="shared" si="73"/>
        <v>-12.615999999999909</v>
      </c>
      <c r="U35" s="122">
        <f t="shared" si="73"/>
        <v>-12.695000000000434</v>
      </c>
      <c r="V35" s="122">
        <f t="shared" si="73"/>
        <v>-10.795000000000027</v>
      </c>
      <c r="W35" s="123">
        <f t="shared" ref="W35:AC35" si="74">+W31+W32-W33</f>
        <v>-13.201999999998787</v>
      </c>
      <c r="X35" s="86">
        <f t="shared" si="74"/>
        <v>-49.307999999999481</v>
      </c>
      <c r="Y35" s="121">
        <f t="shared" si="74"/>
        <v>-14.269000000000444</v>
      </c>
      <c r="Z35" s="122">
        <f t="shared" si="74"/>
        <v>-16.893000000000004</v>
      </c>
      <c r="AA35" s="122">
        <f t="shared" si="74"/>
        <v>-13.669999999999613</v>
      </c>
      <c r="AB35" s="123">
        <f t="shared" si="74"/>
        <v>-8.3079999999996499</v>
      </c>
      <c r="AC35" s="86">
        <f t="shared" si="74"/>
        <v>-53.139999999998814</v>
      </c>
      <c r="AD35" s="121">
        <f t="shared" ref="AD35:AM35" si="75">+AD31+AD32-AD33</f>
        <v>-8.5159999999995879</v>
      </c>
      <c r="AE35" s="122">
        <f t="shared" si="75"/>
        <v>-9.9510000000000947</v>
      </c>
      <c r="AF35" s="122">
        <f t="shared" si="75"/>
        <v>-7.0130000000001118</v>
      </c>
      <c r="AG35" s="123">
        <f t="shared" si="75"/>
        <v>-13.811000000000952</v>
      </c>
      <c r="AH35" s="86">
        <f t="shared" si="75"/>
        <v>-39.291000000001276</v>
      </c>
      <c r="AI35" s="121">
        <f t="shared" si="75"/>
        <v>-8.3380000000002479</v>
      </c>
      <c r="AJ35" s="122">
        <f t="shared" si="75"/>
        <v>-10.838000000000259</v>
      </c>
      <c r="AK35" s="122">
        <f t="shared" si="75"/>
        <v>-10.214000000000226</v>
      </c>
      <c r="AL35" s="123">
        <f t="shared" si="75"/>
        <v>-11.664999999999615</v>
      </c>
      <c r="AM35" s="86">
        <f t="shared" si="75"/>
        <v>-41.055000000000476</v>
      </c>
      <c r="AN35" s="121">
        <f t="shared" ref="AN35:AR35" si="76">+AN31+AN32-AN33</f>
        <v>-9.3450000000001108</v>
      </c>
      <c r="AO35" s="122">
        <f t="shared" si="76"/>
        <v>-13.561000000000387</v>
      </c>
      <c r="AP35" s="122">
        <f t="shared" si="76"/>
        <v>-14.930999999999898</v>
      </c>
      <c r="AQ35" s="123">
        <f t="shared" si="76"/>
        <v>-12.310999999999275</v>
      </c>
      <c r="AR35" s="86">
        <f t="shared" si="76"/>
        <v>-50.147999999997509</v>
      </c>
      <c r="AS35" s="121">
        <f t="shared" ref="AS35:AW35" si="77">+AS31+AS32-AS33</f>
        <v>-13.908999999999972</v>
      </c>
      <c r="AT35" s="122">
        <f t="shared" si="77"/>
        <v>-10.596000000000505</v>
      </c>
      <c r="AU35" s="122">
        <f t="shared" si="77"/>
        <v>-13.045000000000172</v>
      </c>
      <c r="AV35" s="123">
        <f t="shared" si="77"/>
        <v>-37.318999999998972</v>
      </c>
      <c r="AW35" s="86">
        <f t="shared" si="77"/>
        <v>-74.869000000000838</v>
      </c>
      <c r="AX35" s="121">
        <f t="shared" ref="AX35:BG35" si="78">+AX31+AX32-AX33</f>
        <v>-19.044279258818364</v>
      </c>
      <c r="AY35" s="122">
        <f t="shared" si="78"/>
        <v>-17.999806265807621</v>
      </c>
      <c r="AZ35" s="122">
        <f t="shared" si="78"/>
        <v>-23.579617437337113</v>
      </c>
      <c r="BA35" s="123">
        <f t="shared" si="78"/>
        <v>-11.529990800172724</v>
      </c>
      <c r="BB35" s="86">
        <f t="shared" si="78"/>
        <v>-72.153693762135859</v>
      </c>
      <c r="BC35" s="121">
        <f t="shared" si="78"/>
        <v>-22.942724695497407</v>
      </c>
      <c r="BD35" s="122">
        <f t="shared" si="78"/>
        <v>-22.285958365758002</v>
      </c>
      <c r="BE35" s="122">
        <f t="shared" si="78"/>
        <v>-29.52345747456981</v>
      </c>
      <c r="BF35" s="123">
        <f t="shared" si="78"/>
        <v>-15.796543425235269</v>
      </c>
      <c r="BG35" s="86">
        <f t="shared" si="78"/>
        <v>-90.54868396106049</v>
      </c>
      <c r="BH35" s="121">
        <f t="shared" ref="BH35:BQ35" si="79">+BH31+BH32-BH33</f>
        <v>-27.165283023107708</v>
      </c>
      <c r="BI35" s="122">
        <f t="shared" si="79"/>
        <v>-22.378310146627499</v>
      </c>
      <c r="BJ35" s="122">
        <f t="shared" si="79"/>
        <v>-33.555090233740827</v>
      </c>
      <c r="BK35" s="123">
        <f t="shared" si="79"/>
        <v>-16.01304687712841</v>
      </c>
      <c r="BL35" s="86">
        <f t="shared" si="79"/>
        <v>-99.111730280604448</v>
      </c>
      <c r="BM35" s="121">
        <f t="shared" si="79"/>
        <v>-27.251688268003765</v>
      </c>
      <c r="BN35" s="122">
        <f t="shared" si="79"/>
        <v>-24.359573867994889</v>
      </c>
      <c r="BO35" s="122">
        <f t="shared" si="79"/>
        <v>-36.441099353864864</v>
      </c>
      <c r="BP35" s="123">
        <f t="shared" si="79"/>
        <v>-16.625653283270317</v>
      </c>
      <c r="BQ35" s="86">
        <f t="shared" si="79"/>
        <v>-104.67801477313384</v>
      </c>
    </row>
    <row r="36" spans="1:70" x14ac:dyDescent="0.2">
      <c r="A36" s="26"/>
      <c r="C36" t="s">
        <v>140</v>
      </c>
      <c r="E36" s="136">
        <f>XEL!E55-'NSP-MN'!E48-'NSP-WI'!E47-PSCO!E48-SPS!E40</f>
        <v>1.7509999999999999</v>
      </c>
      <c r="F36" s="135">
        <f>XEL!F55-'NSP-MN'!F48-'NSP-WI'!F47-PSCO!F48-SPS!F40</f>
        <v>-4.2999999999999997E-2</v>
      </c>
      <c r="G36" s="135">
        <f>XEL!G55-'NSP-MN'!G48-'NSP-WI'!G47-PSCO!G48-SPS!G40</f>
        <v>0.96499999999999997</v>
      </c>
      <c r="H36" s="116">
        <f>XEL!H55-'NSP-MN'!H48-'NSP-WI'!H47-PSCO!H48-SPS!H40</f>
        <v>1.9639999999999995</v>
      </c>
      <c r="I36" s="82">
        <f>XEL!I55-'NSP-MN'!I48-'NSP-WI'!I47-PSCO!I48-SPS!I40</f>
        <v>4.6369999999999996</v>
      </c>
      <c r="J36" s="136">
        <f>XEL!J55-'NSP-MN'!J48-'NSP-WI'!J47-PSCO!J48-SPS!J40</f>
        <v>0.222</v>
      </c>
      <c r="K36" s="135">
        <f>XEL!K55-'NSP-MN'!K48-'NSP-WI'!K47-PSCO!K48-SPS!K40</f>
        <v>-4.1509999999999998</v>
      </c>
      <c r="L36" s="135">
        <f>XEL!L55-'NSP-MN'!L48-'NSP-WI'!L47-PSCO!L48-SPS!L40</f>
        <v>0.182</v>
      </c>
      <c r="M36" s="116">
        <f>XEL!M55-'NSP-MN'!M48-'NSP-WI'!M47-PSCO!M48-SPS!M40</f>
        <v>-0.13100000000000023</v>
      </c>
      <c r="N36" s="82">
        <f>XEL!N55-'NSP-MN'!N48-'NSP-WI'!N47-PSCO!N48-SPS!N40</f>
        <v>-3.8780000000000001</v>
      </c>
      <c r="O36" s="136">
        <f>XEL!O55-'NSP-MN'!O48-'NSP-WI'!O47-PSCO!O48-SPS!O40</f>
        <v>-0.10199999999999999</v>
      </c>
      <c r="P36" s="135">
        <f>XEL!P55-'NSP-MN'!P48-'NSP-WI'!P47-PSCO!P48-SPS!P40</f>
        <v>-9.0999999999999998E-2</v>
      </c>
      <c r="Q36" s="135">
        <f>XEL!Q55-'NSP-MN'!Q48-'NSP-WI'!Q47-PSCO!Q48-SPS!Q40</f>
        <v>3.2229999999999999</v>
      </c>
      <c r="R36" s="116">
        <f>XEL!R55-'NSP-MN'!R48-'NSP-WI'!R47-PSCO!R48-SPS!R40</f>
        <v>-2.8279999999999998</v>
      </c>
      <c r="S36" s="82">
        <f>XEL!S55-'NSP-MN'!S48-'NSP-WI'!S47-PSCO!S48-SPS!S40</f>
        <v>0.20200000000000001</v>
      </c>
      <c r="T36" s="136">
        <f>XEL!T55-'NSP-MN'!T48-'NSP-WI'!T47-PSCO!T48-SPS!T40</f>
        <v>0</v>
      </c>
      <c r="U36" s="135">
        <f>XEL!U55-'NSP-MN'!U48-'NSP-WI'!U47-PSCO!U48-SPS!U40</f>
        <v>1.4999999999999999E-2</v>
      </c>
      <c r="V36" s="135">
        <f>XEL!V55-'NSP-MN'!V48-'NSP-WI'!V47-PSCO!V48-SPS!V40</f>
        <v>-16.902999999999999</v>
      </c>
      <c r="W36" s="116">
        <f>XEL!W55-'NSP-MN'!W48-'NSP-WI'!W47-PSCO!W48-SPS!W40</f>
        <v>-8.6000000000002075E-2</v>
      </c>
      <c r="X36" s="82">
        <f>XEL!X55-'NSP-MN'!X48-'NSP-WI'!X47-PSCO!X48-SPS!X40</f>
        <v>-16.974</v>
      </c>
      <c r="Y36" s="136">
        <f>XEL!Y55-'NSP-MN'!Y48-'NSP-WI'!Y47-PSCO!Y48-SPS!Y40</f>
        <v>1.7999999999999999E-2</v>
      </c>
      <c r="Z36" s="135">
        <f>XEL!Z55-'NSP-MN'!Z48-'NSP-WI'!Z47-PSCO!Z48-SPS!Z40</f>
        <v>2.5000000000000001E-2</v>
      </c>
      <c r="AA36" s="135">
        <f>XEL!AA55-'NSP-MN'!AA48-'NSP-WI'!AA47-PSCO!AA48-SPS!AA40</f>
        <v>19.303999999999998</v>
      </c>
      <c r="AB36" s="116">
        <f>XEL!AB55-'NSP-MN'!AB48-'NSP-WI'!AB47-PSCO!AB48-SPS!AB40</f>
        <v>0.84400000000000119</v>
      </c>
      <c r="AC36" s="82">
        <f>XEL!AC55-'NSP-MN'!AC48-'NSP-WI'!AC47-PSCO!AC48-SPS!AC40</f>
        <v>20.190999999999999</v>
      </c>
      <c r="AD36" s="136">
        <f>XEL!AD55-'NSP-MN'!AD48-'NSP-WI'!AD47-PSCO!AD48-SPS!AD40</f>
        <v>0</v>
      </c>
      <c r="AE36" s="135">
        <f>XEL!AE55-'NSP-MN'!AE48-'NSP-WI'!AE47-PSCO!AE48-SPS!AE40</f>
        <v>0</v>
      </c>
      <c r="AF36" s="135">
        <f>XEL!AF55-'NSP-MN'!AF48-'NSP-WI'!AF47-PSCO!AF48-SPS!AF40</f>
        <v>0</v>
      </c>
      <c r="AG36" s="116">
        <f>XEL!AG55-'NSP-MN'!AG48-'NSP-WI'!AG47-PSCO!AG48-SPS!AG40</f>
        <v>0</v>
      </c>
      <c r="AH36" s="82">
        <f>XEL!AH55-'NSP-MN'!AH48-'NSP-WI'!AH47-PSCO!AH48-SPS!AH40</f>
        <v>0</v>
      </c>
      <c r="AI36" s="136">
        <f>XEL!AI55-'NSP-MN'!AI48-'NSP-WI'!AI47-PSCO!AI48-SPS!AI40</f>
        <v>0</v>
      </c>
      <c r="AJ36" s="135">
        <f>XEL!AJ55-'NSP-MN'!AJ48-'NSP-WI'!AJ47-PSCO!AJ48-SPS!AJ40</f>
        <v>0</v>
      </c>
      <c r="AK36" s="135">
        <f>XEL!AK55-'NSP-MN'!AK48-'NSP-WI'!AK47-PSCO!AK48-SPS!AK40</f>
        <v>0</v>
      </c>
      <c r="AL36" s="116">
        <f>XEL!AL55-'NSP-MN'!AL48-'NSP-WI'!AL47-PSCO!AL48-SPS!AL40</f>
        <v>-9.9999999999056399E-4</v>
      </c>
      <c r="AM36" s="82">
        <f>XEL!AM55-'NSP-MN'!AM48-'NSP-WI'!AM47-PSCO!AM48-SPS!AM40</f>
        <v>-9.9999999999056399E-4</v>
      </c>
      <c r="AN36" s="136">
        <f>XEL!AN55-'NSP-MN'!AN48-'NSP-WI'!AN47-PSCO!AN48-SPS!AN40</f>
        <v>0</v>
      </c>
      <c r="AO36" s="135">
        <f>XEL!AO55-'NSP-MN'!AO48-'NSP-WI'!AO47-PSCO!AO48-SPS!AO40</f>
        <v>0</v>
      </c>
      <c r="AP36" s="135">
        <f>XEL!AP55-'NSP-MN'!AP48-'NSP-WI'!AP47-PSCO!AP48-SPS!AP40</f>
        <v>0</v>
      </c>
      <c r="AQ36" s="116">
        <f>XEL!AQ55-'NSP-MN'!AQ48-'NSP-WI'!AQ47-PSCO!AQ48-SPS!AQ40</f>
        <v>0</v>
      </c>
      <c r="AR36" s="82">
        <f>XEL!AR55-'NSP-MN'!AR48-'NSP-WI'!AR47-PSCO!AR48-SPS!AR40</f>
        <v>0</v>
      </c>
      <c r="AS36" s="136">
        <f>XEL!AS55-'NSP-MN'!AS48-'NSP-WI'!AS47-PSCO!AS48-SPS!AS40</f>
        <v>0</v>
      </c>
      <c r="AT36" s="135">
        <f>XEL!AT55-'NSP-MN'!AT48-'NSP-WI'!AT47-PSCO!AT48-SPS!AT40</f>
        <v>0</v>
      </c>
      <c r="AU36" s="135">
        <f>XEL!AU55-'NSP-MN'!AU48-'NSP-WI'!AU47-PSCO!AU48-SPS!AU40</f>
        <v>0</v>
      </c>
      <c r="AV36" s="116">
        <f>XEL!AV55-'NSP-MN'!AV48-'NSP-WI'!AV47-PSCO!AV48-SPS!AV40</f>
        <v>23</v>
      </c>
      <c r="AW36" s="82">
        <f>XEL!AW55-'NSP-MN'!AW48-'NSP-WI'!AW47-PSCO!AW48-SPS!AW40</f>
        <v>23</v>
      </c>
      <c r="AX36" s="136">
        <v>0</v>
      </c>
      <c r="AY36" s="135">
        <v>0</v>
      </c>
      <c r="AZ36" s="135">
        <v>0</v>
      </c>
      <c r="BA36" s="116">
        <v>0</v>
      </c>
      <c r="BB36" s="82">
        <f>SUM(AX36:BA36)</f>
        <v>0</v>
      </c>
      <c r="BC36" s="136">
        <v>0</v>
      </c>
      <c r="BD36" s="135">
        <v>0</v>
      </c>
      <c r="BE36" s="135">
        <v>0</v>
      </c>
      <c r="BF36" s="116">
        <v>0</v>
      </c>
      <c r="BG36" s="82">
        <f>SUM(BC36:BF36)</f>
        <v>0</v>
      </c>
      <c r="BH36" s="136">
        <v>0</v>
      </c>
      <c r="BI36" s="135">
        <v>0</v>
      </c>
      <c r="BJ36" s="135">
        <v>0</v>
      </c>
      <c r="BK36" s="116">
        <v>0</v>
      </c>
      <c r="BL36" s="82">
        <f>SUM(BH36:BK36)</f>
        <v>0</v>
      </c>
      <c r="BM36" s="136">
        <v>0</v>
      </c>
      <c r="BN36" s="135">
        <v>0</v>
      </c>
      <c r="BO36" s="135">
        <v>0</v>
      </c>
      <c r="BP36" s="116">
        <v>0</v>
      </c>
      <c r="BQ36" s="82">
        <f>SUM(BM36:BP36)</f>
        <v>0</v>
      </c>
    </row>
    <row r="37" spans="1:70" x14ac:dyDescent="0.2">
      <c r="C37" s="26" t="s">
        <v>141</v>
      </c>
      <c r="E37" s="121">
        <f>+E35+E36</f>
        <v>-10.63199999999958</v>
      </c>
      <c r="F37" s="122">
        <f t="shared" ref="F37:Q37" si="80">+F35+F36</f>
        <v>-14.724999999999946</v>
      </c>
      <c r="G37" s="122">
        <f t="shared" si="80"/>
        <v>-14.078000000000012</v>
      </c>
      <c r="H37" s="123">
        <f t="shared" si="80"/>
        <v>-11.484999999999967</v>
      </c>
      <c r="I37" s="86">
        <f t="shared" si="80"/>
        <v>-50.920000000000904</v>
      </c>
      <c r="J37" s="121">
        <f t="shared" si="80"/>
        <v>-3.3519999999999306</v>
      </c>
      <c r="K37" s="122">
        <f t="shared" si="80"/>
        <v>-14.234999999999602</v>
      </c>
      <c r="L37" s="122">
        <f t="shared" si="80"/>
        <v>-13.26299999999979</v>
      </c>
      <c r="M37" s="123">
        <f t="shared" si="80"/>
        <v>-16.195999999999774</v>
      </c>
      <c r="N37" s="86">
        <f t="shared" si="80"/>
        <v>-47.045999999998756</v>
      </c>
      <c r="O37" s="121">
        <f t="shared" si="80"/>
        <v>-11.278999999999998</v>
      </c>
      <c r="P37" s="122">
        <f t="shared" si="80"/>
        <v>-11.780000000000317</v>
      </c>
      <c r="Q37" s="122">
        <f t="shared" si="80"/>
        <v>-14.292999999999886</v>
      </c>
      <c r="R37" s="123">
        <f t="shared" ref="R37:AD37" si="81">+R35+R36</f>
        <v>-18.75899999999957</v>
      </c>
      <c r="S37" s="86">
        <f t="shared" si="81"/>
        <v>-56.11100000000004</v>
      </c>
      <c r="T37" s="121">
        <f t="shared" si="81"/>
        <v>-12.615999999999909</v>
      </c>
      <c r="U37" s="122">
        <f t="shared" si="81"/>
        <v>-12.680000000000433</v>
      </c>
      <c r="V37" s="122">
        <f t="shared" si="81"/>
        <v>-27.698000000000025</v>
      </c>
      <c r="W37" s="123">
        <f t="shared" si="81"/>
        <v>-13.287999999998789</v>
      </c>
      <c r="X37" s="86">
        <f t="shared" si="81"/>
        <v>-66.281999999999485</v>
      </c>
      <c r="Y37" s="121">
        <f t="shared" si="81"/>
        <v>-14.251000000000444</v>
      </c>
      <c r="Z37" s="122">
        <f t="shared" si="81"/>
        <v>-16.868000000000006</v>
      </c>
      <c r="AA37" s="122">
        <f t="shared" si="81"/>
        <v>5.6340000000003858</v>
      </c>
      <c r="AB37" s="123">
        <f t="shared" si="81"/>
        <v>-7.4639999999996487</v>
      </c>
      <c r="AC37" s="86">
        <f t="shared" si="81"/>
        <v>-32.948999999998819</v>
      </c>
      <c r="AD37" s="121">
        <f t="shared" si="81"/>
        <v>-8.5159999999995879</v>
      </c>
      <c r="AE37" s="122">
        <f t="shared" ref="AE37:AJ37" si="82">+AE35+AE36</f>
        <v>-9.9510000000000947</v>
      </c>
      <c r="AF37" s="122">
        <f t="shared" si="82"/>
        <v>-7.0130000000001118</v>
      </c>
      <c r="AG37" s="123">
        <f t="shared" si="82"/>
        <v>-13.811000000000952</v>
      </c>
      <c r="AH37" s="86">
        <f t="shared" si="82"/>
        <v>-39.291000000001276</v>
      </c>
      <c r="AI37" s="121">
        <f t="shared" si="82"/>
        <v>-8.3380000000002479</v>
      </c>
      <c r="AJ37" s="122">
        <f t="shared" si="82"/>
        <v>-10.838000000000259</v>
      </c>
      <c r="AK37" s="122">
        <f t="shared" ref="AK37:AR37" si="83">+AK35+AK36</f>
        <v>-10.214000000000226</v>
      </c>
      <c r="AL37" s="123">
        <f t="shared" si="83"/>
        <v>-11.665999999999606</v>
      </c>
      <c r="AM37" s="86">
        <f t="shared" si="83"/>
        <v>-41.056000000000466</v>
      </c>
      <c r="AN37" s="121">
        <f t="shared" si="83"/>
        <v>-9.3450000000001108</v>
      </c>
      <c r="AO37" s="122">
        <f t="shared" si="83"/>
        <v>-13.561000000000387</v>
      </c>
      <c r="AP37" s="122">
        <f t="shared" si="83"/>
        <v>-14.930999999999898</v>
      </c>
      <c r="AQ37" s="123">
        <f t="shared" si="83"/>
        <v>-12.310999999999275</v>
      </c>
      <c r="AR37" s="86">
        <f t="shared" si="83"/>
        <v>-50.147999999997509</v>
      </c>
      <c r="AS37" s="121">
        <f t="shared" ref="AS37:AW37" si="84">+AS35+AS36</f>
        <v>-13.908999999999972</v>
      </c>
      <c r="AT37" s="122">
        <f t="shared" si="84"/>
        <v>-10.596000000000505</v>
      </c>
      <c r="AU37" s="122">
        <f t="shared" si="84"/>
        <v>-13.045000000000172</v>
      </c>
      <c r="AV37" s="123">
        <f t="shared" si="84"/>
        <v>-14.318999999998972</v>
      </c>
      <c r="AW37" s="86">
        <f t="shared" si="84"/>
        <v>-51.869000000000838</v>
      </c>
      <c r="AX37" s="121">
        <f t="shared" ref="AX37:BB37" si="85">+AX35+AX36</f>
        <v>-19.044279258818364</v>
      </c>
      <c r="AY37" s="122">
        <f t="shared" si="85"/>
        <v>-17.999806265807621</v>
      </c>
      <c r="AZ37" s="122">
        <f t="shared" si="85"/>
        <v>-23.579617437337113</v>
      </c>
      <c r="BA37" s="123">
        <f t="shared" si="85"/>
        <v>-11.529990800172724</v>
      </c>
      <c r="BB37" s="86">
        <f t="shared" si="85"/>
        <v>-72.153693762135859</v>
      </c>
      <c r="BC37" s="121">
        <f t="shared" ref="BC37:BL37" si="86">+BC35+BC36</f>
        <v>-22.942724695497407</v>
      </c>
      <c r="BD37" s="122">
        <f t="shared" si="86"/>
        <v>-22.285958365758002</v>
      </c>
      <c r="BE37" s="122">
        <f t="shared" si="86"/>
        <v>-29.52345747456981</v>
      </c>
      <c r="BF37" s="123">
        <f t="shared" si="86"/>
        <v>-15.796543425235269</v>
      </c>
      <c r="BG37" s="86">
        <f t="shared" si="86"/>
        <v>-90.54868396106049</v>
      </c>
      <c r="BH37" s="121">
        <f t="shared" si="86"/>
        <v>-27.165283023107708</v>
      </c>
      <c r="BI37" s="122">
        <f t="shared" si="86"/>
        <v>-22.378310146627499</v>
      </c>
      <c r="BJ37" s="122">
        <f t="shared" si="86"/>
        <v>-33.555090233740827</v>
      </c>
      <c r="BK37" s="123">
        <f t="shared" si="86"/>
        <v>-16.01304687712841</v>
      </c>
      <c r="BL37" s="86">
        <f t="shared" si="86"/>
        <v>-99.111730280604448</v>
      </c>
      <c r="BM37" s="121">
        <f t="shared" ref="BM37:BQ37" si="87">+BM35+BM36</f>
        <v>-27.251688268003765</v>
      </c>
      <c r="BN37" s="122">
        <f t="shared" si="87"/>
        <v>-24.359573867994889</v>
      </c>
      <c r="BO37" s="122">
        <f t="shared" si="87"/>
        <v>-36.441099353864864</v>
      </c>
      <c r="BP37" s="123">
        <f t="shared" si="87"/>
        <v>-16.625653283270317</v>
      </c>
      <c r="BQ37" s="86">
        <f t="shared" si="87"/>
        <v>-104.67801477313384</v>
      </c>
    </row>
    <row r="38" spans="1:70" x14ac:dyDescent="0.2">
      <c r="E38" s="136"/>
      <c r="F38" s="137"/>
      <c r="G38" s="137"/>
      <c r="H38" s="116"/>
      <c r="I38" s="82"/>
      <c r="J38" s="136"/>
      <c r="K38" s="137"/>
      <c r="L38" s="137"/>
      <c r="M38" s="116"/>
      <c r="N38" s="82"/>
      <c r="O38" s="136"/>
      <c r="P38" s="135"/>
      <c r="Q38" s="118"/>
      <c r="R38" s="116"/>
      <c r="S38" s="82"/>
      <c r="T38" s="136"/>
      <c r="U38" s="135"/>
      <c r="V38" s="118"/>
      <c r="W38" s="116"/>
      <c r="X38" s="82"/>
      <c r="Y38" s="136"/>
      <c r="Z38" s="135"/>
      <c r="AA38" s="118"/>
      <c r="AB38" s="116"/>
      <c r="AC38" s="82"/>
      <c r="AD38" s="136"/>
      <c r="AE38" s="135"/>
      <c r="AF38" s="118"/>
      <c r="AG38" s="116"/>
      <c r="AH38" s="82"/>
      <c r="AI38" s="136"/>
      <c r="AJ38" s="135"/>
      <c r="AK38" s="118"/>
      <c r="AL38" s="116"/>
      <c r="AM38" s="82"/>
      <c r="AN38" s="136"/>
      <c r="AO38" s="135"/>
      <c r="AP38" s="118"/>
      <c r="AQ38" s="116"/>
      <c r="AR38" s="82"/>
      <c r="AS38" s="136"/>
      <c r="AT38" s="135"/>
      <c r="AU38" s="118"/>
      <c r="AV38" s="116"/>
      <c r="AW38" s="82"/>
      <c r="AX38" s="120"/>
      <c r="AY38" s="139"/>
      <c r="AZ38" s="139"/>
      <c r="BA38" s="119"/>
      <c r="BB38" s="82"/>
      <c r="BC38" s="120"/>
      <c r="BD38" s="139"/>
      <c r="BE38" s="139"/>
      <c r="BF38" s="119"/>
      <c r="BG38" s="82"/>
      <c r="BH38" s="120"/>
      <c r="BI38" s="139"/>
      <c r="BJ38" s="139"/>
      <c r="BK38" s="119"/>
      <c r="BL38" s="82"/>
      <c r="BM38" s="120"/>
      <c r="BN38" s="139"/>
      <c r="BO38" s="139"/>
      <c r="BP38" s="119"/>
      <c r="BQ38" s="82"/>
    </row>
    <row r="39" spans="1:70" x14ac:dyDescent="0.2">
      <c r="C39" s="87" t="s">
        <v>73</v>
      </c>
      <c r="E39" s="136">
        <f>XEL!E59</f>
        <v>455.19200000000001</v>
      </c>
      <c r="F39" s="135">
        <f>XEL!F59</f>
        <v>456.30700000000002</v>
      </c>
      <c r="G39" s="135">
        <f>XEL!G59</f>
        <v>456.76900000000001</v>
      </c>
      <c r="H39" s="116">
        <f>XEL!H59</f>
        <v>457.43400000000003</v>
      </c>
      <c r="I39" s="82">
        <f>XEL!I59</f>
        <v>456.43299999999999</v>
      </c>
      <c r="J39" s="136">
        <f>XEL!J59</f>
        <v>458.91800000000001</v>
      </c>
      <c r="K39" s="135">
        <f>XEL!K59</f>
        <v>460.041</v>
      </c>
      <c r="L39" s="135">
        <f>XEL!L59</f>
        <v>460.47</v>
      </c>
      <c r="M39" s="116">
        <f>XEL!M59</f>
        <v>468.68599999999998</v>
      </c>
      <c r="N39" s="82">
        <f>XEL!N59</f>
        <v>462.05200000000002</v>
      </c>
      <c r="O39" s="136">
        <f>XEL!O59</f>
        <v>483.64100000000002</v>
      </c>
      <c r="P39" s="135">
        <f>XEL!P59</f>
        <v>484.91800000000001</v>
      </c>
      <c r="Q39" s="135">
        <f>XEL!Q59</f>
        <v>485.34399999999999</v>
      </c>
      <c r="R39" s="116">
        <f>XEL!R59</f>
        <v>486.22300000000001</v>
      </c>
      <c r="S39" s="82">
        <f>XEL!S59</f>
        <v>485.03899999999999</v>
      </c>
      <c r="T39" s="136">
        <f>XEL!T59</f>
        <v>487.36</v>
      </c>
      <c r="U39" s="135">
        <f>XEL!U59</f>
        <v>487.71699999999998</v>
      </c>
      <c r="V39" s="135">
        <f>XEL!V59</f>
        <v>488.084</v>
      </c>
      <c r="W39" s="116">
        <f>XEL!W59</f>
        <v>488.428</v>
      </c>
      <c r="X39" s="82">
        <f>XEL!X59</f>
        <v>487.899</v>
      </c>
      <c r="Y39" s="136">
        <f>XEL!Y59</f>
        <v>489.78100000000001</v>
      </c>
      <c r="Z39" s="135">
        <f>XEL!Z59</f>
        <v>497.74700000000001</v>
      </c>
      <c r="AA39" s="135">
        <f>XEL!AA59</f>
        <v>498.149</v>
      </c>
      <c r="AB39" s="116">
        <f>XEL!AB59</f>
        <v>488.428</v>
      </c>
      <c r="AC39" s="82">
        <f>XEL!AC59</f>
        <v>496.07299999999998</v>
      </c>
      <c r="AD39" s="136">
        <f>XEL!AD59</f>
        <v>499.52300000000002</v>
      </c>
      <c r="AE39" s="135">
        <f>XEL!AE59</f>
        <v>503.27199999999999</v>
      </c>
      <c r="AF39" s="135">
        <f>XEL!AF59</f>
        <v>506.08199999999999</v>
      </c>
      <c r="AG39" s="116">
        <f>XEL!AG59</f>
        <v>506.411</v>
      </c>
      <c r="AH39" s="82">
        <f>XEL!AH59</f>
        <v>503.84699999999998</v>
      </c>
      <c r="AI39" s="136">
        <f>XEL!AI59</f>
        <v>506.983</v>
      </c>
      <c r="AJ39" s="135">
        <f>XEL!AJ59</f>
        <v>507.70699999999999</v>
      </c>
      <c r="AK39" s="135">
        <f>XEL!AK59</f>
        <v>508.03100000000001</v>
      </c>
      <c r="AL39" s="116">
        <f>XEL!AL59</f>
        <v>508.31200000000001</v>
      </c>
      <c r="AM39" s="82">
        <f>XEL!AM59</f>
        <v>507.76799999999997</v>
      </c>
      <c r="AN39" s="136">
        <f>XEL!AN59</f>
        <v>508.66699999999997</v>
      </c>
      <c r="AO39" s="135">
        <f>XEL!AO59</f>
        <v>508.93</v>
      </c>
      <c r="AP39" s="135">
        <f>XEL!AP59</f>
        <v>508.94099999999997</v>
      </c>
      <c r="AQ39" s="116">
        <f>XEL!AQ59</f>
        <v>508.65600000000001</v>
      </c>
      <c r="AR39" s="82">
        <f>XEL!AR59</f>
        <v>508.79399999999998</v>
      </c>
      <c r="AS39" s="136">
        <f>XEL!AS59</f>
        <v>508.27800000000002</v>
      </c>
      <c r="AT39" s="135">
        <f>XEL!AT59</f>
        <v>508.54199999999997</v>
      </c>
      <c r="AU39" s="135">
        <f>XEL!AU59</f>
        <v>508.58100000000002</v>
      </c>
      <c r="AV39" s="116">
        <f>XEL!AV59</f>
        <v>509</v>
      </c>
      <c r="AW39" s="82">
        <f>XEL!AW59</f>
        <v>509</v>
      </c>
      <c r="AX39" s="136">
        <f>XEL!AX59</f>
        <v>508.28363361335755</v>
      </c>
      <c r="AY39" s="135">
        <f>XEL!AY59</f>
        <v>508.72093484007269</v>
      </c>
      <c r="AZ39" s="135">
        <f>XEL!AZ59</f>
        <v>509.15823606678782</v>
      </c>
      <c r="BA39" s="116">
        <f>XEL!BA59</f>
        <v>509.59553729350296</v>
      </c>
      <c r="BB39" s="82">
        <f>XEL!BB59</f>
        <v>508.93958545343025</v>
      </c>
      <c r="BC39" s="136">
        <f>XEL!BC59</f>
        <v>510.03283852021809</v>
      </c>
      <c r="BD39" s="135">
        <f>XEL!BD59</f>
        <v>510.47013974693323</v>
      </c>
      <c r="BE39" s="135">
        <f>XEL!BE59</f>
        <v>510.90744097364836</v>
      </c>
      <c r="BF39" s="116">
        <f>XEL!BF59</f>
        <v>511.3447422003635</v>
      </c>
      <c r="BG39" s="82">
        <f>XEL!BG59</f>
        <v>510.6887903602908</v>
      </c>
      <c r="BH39" s="136">
        <f>XEL!BH59</f>
        <v>511.78204342707863</v>
      </c>
      <c r="BI39" s="135">
        <f>XEL!BI59</f>
        <v>512.21934465379377</v>
      </c>
      <c r="BJ39" s="135">
        <f>XEL!BJ59</f>
        <v>512.6566458805089</v>
      </c>
      <c r="BK39" s="116">
        <f>XEL!BK59</f>
        <v>513.09394710722404</v>
      </c>
      <c r="BL39" s="82">
        <f>XEL!BL59</f>
        <v>512.43799526715134</v>
      </c>
      <c r="BM39" s="136">
        <f>XEL!BM59</f>
        <v>513.53124833393917</v>
      </c>
      <c r="BN39" s="135">
        <f>XEL!BN59</f>
        <v>513.96854956065431</v>
      </c>
      <c r="BO39" s="135">
        <f>XEL!BO59</f>
        <v>514.40585078736945</v>
      </c>
      <c r="BP39" s="116">
        <f>XEL!BP59</f>
        <v>514.84315201408458</v>
      </c>
      <c r="BQ39" s="82">
        <f>XEL!BQ59</f>
        <v>514.18720017401188</v>
      </c>
    </row>
    <row r="40" spans="1:70" x14ac:dyDescent="0.2">
      <c r="C40" s="70" t="s">
        <v>75</v>
      </c>
      <c r="E40" s="136">
        <f>XEL!E60</f>
        <v>455.952</v>
      </c>
      <c r="F40" s="135">
        <f>XEL!F60</f>
        <v>456.76600000000002</v>
      </c>
      <c r="G40" s="135">
        <f>XEL!G60</f>
        <v>457.45299999999997</v>
      </c>
      <c r="H40" s="116">
        <f>XEL!H60</f>
        <v>458.35700000000003</v>
      </c>
      <c r="I40" s="82">
        <f>XEL!I60</f>
        <v>457.13900000000001</v>
      </c>
      <c r="J40" s="136">
        <f>XEL!J60</f>
        <v>459.697</v>
      </c>
      <c r="K40" s="135">
        <f>XEL!K60</f>
        <v>460.43200000000002</v>
      </c>
      <c r="L40" s="135">
        <f>XEL!L60</f>
        <v>462.01900000000001</v>
      </c>
      <c r="M40" s="116">
        <f>XEL!M60</f>
        <v>471.32499999999999</v>
      </c>
      <c r="N40" s="82">
        <f>XEL!N60</f>
        <v>463.39100000000002</v>
      </c>
      <c r="O40" s="136">
        <f>XEL!O60</f>
        <v>484.30099999999999</v>
      </c>
      <c r="P40" s="135">
        <f>XEL!P60</f>
        <v>485.24099999999999</v>
      </c>
      <c r="Q40" s="135">
        <f>XEL!Q60</f>
        <v>485.89400000000001</v>
      </c>
      <c r="R40" s="116">
        <f>XEL!R60</f>
        <v>486.99099999999999</v>
      </c>
      <c r="S40" s="82">
        <f>XEL!S60</f>
        <v>485.61500000000001</v>
      </c>
      <c r="T40" s="136">
        <f>XEL!T60</f>
        <v>487.995</v>
      </c>
      <c r="U40" s="135">
        <f>XEL!U60</f>
        <v>488.017</v>
      </c>
      <c r="V40" s="135">
        <f>XEL!V60</f>
        <v>488.57799999999997</v>
      </c>
      <c r="W40" s="116">
        <f>XEL!W60</f>
        <v>489.13600000000002</v>
      </c>
      <c r="X40" s="82">
        <f>XEL!X60</f>
        <v>488.43400000000003</v>
      </c>
      <c r="Y40" s="136">
        <f>XEL!Y60</f>
        <v>490.53100000000001</v>
      </c>
      <c r="Z40" s="135">
        <f>XEL!Z60</f>
        <v>498.036</v>
      </c>
      <c r="AA40" s="135">
        <f>XEL!AA60</f>
        <v>498.64100000000002</v>
      </c>
      <c r="AB40" s="116">
        <f>XEL!AB60</f>
        <v>489.13600000000002</v>
      </c>
      <c r="AC40" s="82">
        <f>XEL!AC60</f>
        <v>496.53199999999998</v>
      </c>
      <c r="AD40" s="136">
        <f>XEL!AD60</f>
        <v>499.74599999999998</v>
      </c>
      <c r="AE40" s="135">
        <f>XEL!AE60</f>
        <v>503.45600000000002</v>
      </c>
      <c r="AF40" s="135">
        <f>XEL!AF60</f>
        <v>506.36500000000001</v>
      </c>
      <c r="AG40" s="116">
        <f>XEL!AG60</f>
        <v>506.79899999999998</v>
      </c>
      <c r="AH40" s="82">
        <f>XEL!AH60</f>
        <v>504.11700000000002</v>
      </c>
      <c r="AI40" s="136">
        <f>XEL!AI60</f>
        <v>507.39299999999997</v>
      </c>
      <c r="AJ40" s="135">
        <f>XEL!AJ60</f>
        <v>508.07400000000001</v>
      </c>
      <c r="AK40" s="135">
        <f>XEL!AK60</f>
        <v>508.42700000000002</v>
      </c>
      <c r="AL40" s="116">
        <f>XEL!AL60</f>
        <v>508.738</v>
      </c>
      <c r="AM40" s="82">
        <f>XEL!AM60</f>
        <v>508.16800000000001</v>
      </c>
      <c r="AN40" s="136">
        <f>XEL!AN60</f>
        <v>509.15</v>
      </c>
      <c r="AO40" s="135">
        <f>XEL!AO60</f>
        <v>509.49</v>
      </c>
      <c r="AP40" s="135">
        <f>XEL!AP60</f>
        <v>509.56599999999997</v>
      </c>
      <c r="AQ40" s="116">
        <f>XEL!AQ60</f>
        <v>509.42099999999999</v>
      </c>
      <c r="AR40" s="82">
        <f>XEL!AR60</f>
        <v>509.46499999999997</v>
      </c>
      <c r="AS40" s="136">
        <f>XEL!AS60</f>
        <v>508.774</v>
      </c>
      <c r="AT40" s="135">
        <f>XEL!AT60</f>
        <v>509.13499999999999</v>
      </c>
      <c r="AU40" s="135">
        <f>XEL!AU60</f>
        <v>509.24200000000002</v>
      </c>
      <c r="AV40" s="116">
        <f>XEL!AV60</f>
        <v>509</v>
      </c>
      <c r="AW40" s="82">
        <f>XEL!AW60</f>
        <v>509</v>
      </c>
      <c r="AX40" s="136">
        <f>XEL!AX60</f>
        <v>508.28363361335755</v>
      </c>
      <c r="AY40" s="135">
        <f>XEL!AY60</f>
        <v>508.72093484007269</v>
      </c>
      <c r="AZ40" s="135">
        <f>XEL!AZ60</f>
        <v>509.15823606678782</v>
      </c>
      <c r="BA40" s="116">
        <f>XEL!BA60</f>
        <v>509.59553729350296</v>
      </c>
      <c r="BB40" s="82">
        <f>XEL!BB60</f>
        <v>508.93958545343025</v>
      </c>
      <c r="BC40" s="136">
        <f>XEL!BC60</f>
        <v>510.03283852021809</v>
      </c>
      <c r="BD40" s="135">
        <f>XEL!BD60</f>
        <v>510.47013974693323</v>
      </c>
      <c r="BE40" s="135">
        <f>XEL!BE60</f>
        <v>510.90744097364836</v>
      </c>
      <c r="BF40" s="116">
        <f>XEL!BF60</f>
        <v>511.3447422003635</v>
      </c>
      <c r="BG40" s="82">
        <f>XEL!BG60</f>
        <v>510.6887903602908</v>
      </c>
      <c r="BH40" s="136">
        <f>XEL!BH60</f>
        <v>511.78204342707863</v>
      </c>
      <c r="BI40" s="135">
        <f>XEL!BI60</f>
        <v>512.21934465379377</v>
      </c>
      <c r="BJ40" s="135">
        <f>XEL!BJ60</f>
        <v>512.6566458805089</v>
      </c>
      <c r="BK40" s="116">
        <f>XEL!BK60</f>
        <v>513.09394710722404</v>
      </c>
      <c r="BL40" s="82">
        <f>XEL!BL60</f>
        <v>512.43799526715134</v>
      </c>
      <c r="BM40" s="136">
        <f>XEL!BM60</f>
        <v>513.53124833393917</v>
      </c>
      <c r="BN40" s="135">
        <f>XEL!BN60</f>
        <v>513.96854956065431</v>
      </c>
      <c r="BO40" s="135">
        <f>XEL!BO60</f>
        <v>514.40585078736945</v>
      </c>
      <c r="BP40" s="116">
        <f>XEL!BP60</f>
        <v>514.84315201408458</v>
      </c>
      <c r="BQ40" s="82">
        <f>XEL!BQ60</f>
        <v>514.18720017401188</v>
      </c>
    </row>
    <row r="41" spans="1:70" x14ac:dyDescent="0.2">
      <c r="C41" s="26"/>
      <c r="E41" s="120"/>
      <c r="F41" s="139"/>
      <c r="G41" s="139"/>
      <c r="H41" s="119"/>
      <c r="I41" s="42"/>
      <c r="J41" s="120"/>
      <c r="K41" s="139"/>
      <c r="L41" s="139"/>
      <c r="M41" s="119"/>
      <c r="N41" s="42"/>
      <c r="O41" s="120"/>
      <c r="P41" s="139"/>
      <c r="Q41" s="139"/>
      <c r="R41" s="119"/>
      <c r="S41" s="42"/>
      <c r="T41" s="120"/>
      <c r="U41" s="139"/>
      <c r="V41" s="139"/>
      <c r="W41" s="119"/>
      <c r="X41" s="42"/>
      <c r="Y41" s="120"/>
      <c r="Z41" s="139"/>
      <c r="AA41" s="139"/>
      <c r="AB41" s="119"/>
      <c r="AC41" s="42"/>
      <c r="AD41" s="120"/>
      <c r="AE41" s="139"/>
      <c r="AF41" s="139"/>
      <c r="AG41" s="119"/>
      <c r="AH41" s="42"/>
      <c r="AI41" s="120"/>
      <c r="AJ41" s="139"/>
      <c r="AK41" s="139"/>
      <c r="AL41" s="119"/>
      <c r="AM41" s="42"/>
      <c r="AN41" s="120"/>
      <c r="AO41" s="139"/>
      <c r="AP41" s="139"/>
      <c r="AQ41" s="119"/>
      <c r="AR41" s="42"/>
      <c r="AS41" s="120"/>
      <c r="AT41" s="139"/>
      <c r="AU41" s="139"/>
      <c r="AV41" s="119"/>
      <c r="AW41" s="42"/>
      <c r="AX41" s="120"/>
      <c r="AY41" s="139"/>
      <c r="AZ41" s="139"/>
      <c r="BA41" s="119"/>
      <c r="BB41" s="42"/>
      <c r="BC41" s="120"/>
      <c r="BD41" s="139"/>
      <c r="BE41" s="139"/>
      <c r="BF41" s="119"/>
      <c r="BG41" s="42"/>
      <c r="BH41" s="120"/>
      <c r="BI41" s="139"/>
      <c r="BJ41" s="139"/>
      <c r="BK41" s="119"/>
      <c r="BL41" s="42"/>
      <c r="BM41" s="120"/>
      <c r="BN41" s="139"/>
      <c r="BO41" s="139"/>
      <c r="BP41" s="119"/>
      <c r="BQ41" s="42"/>
    </row>
    <row r="42" spans="1:70" x14ac:dyDescent="0.2">
      <c r="C42" t="s">
        <v>246</v>
      </c>
      <c r="E42" s="193">
        <f>+E35/E40</f>
        <v>-2.7158560550232438E-2</v>
      </c>
      <c r="F42" s="194">
        <f t="shared" ref="F42:P42" si="88">+F35/F40</f>
        <v>-3.2143373193276092E-2</v>
      </c>
      <c r="G42" s="194">
        <f t="shared" si="88"/>
        <v>-3.2884252589883575E-2</v>
      </c>
      <c r="H42" s="195">
        <f t="shared" si="88"/>
        <v>-2.9341757625606167E-2</v>
      </c>
      <c r="I42" s="56">
        <f t="shared" si="88"/>
        <v>-0.12153196292593917</v>
      </c>
      <c r="J42" s="193">
        <f t="shared" si="88"/>
        <v>-7.7746863694997583E-3</v>
      </c>
      <c r="K42" s="194">
        <f t="shared" si="88"/>
        <v>-2.1901171074120828E-2</v>
      </c>
      <c r="L42" s="194">
        <f t="shared" si="88"/>
        <v>-2.9100534826489367E-2</v>
      </c>
      <c r="M42" s="195">
        <f t="shared" si="88"/>
        <v>-3.40847610459869E-2</v>
      </c>
      <c r="N42" s="56">
        <f t="shared" si="88"/>
        <v>-9.3156750994298015E-2</v>
      </c>
      <c r="O42" s="193">
        <f t="shared" si="88"/>
        <v>-2.3078622592148268E-2</v>
      </c>
      <c r="P42" s="194">
        <f t="shared" si="88"/>
        <v>-2.4089060899636094E-2</v>
      </c>
      <c r="Q42" s="194">
        <f>+Q35/Q40</f>
        <v>-3.6049014805698124E-2</v>
      </c>
      <c r="R42" s="195">
        <f>+R35/R40</f>
        <v>-3.2713130222118213E-2</v>
      </c>
      <c r="S42" s="56">
        <f>+S35/S40</f>
        <v>-0.11596223345654487</v>
      </c>
      <c r="T42" s="193">
        <f>+T35/T40</f>
        <v>-2.5852723900859454E-2</v>
      </c>
      <c r="U42" s="194">
        <f>+U35/U40</f>
        <v>-2.6013438056462036E-2</v>
      </c>
      <c r="V42" s="194">
        <f t="shared" ref="V42:AA42" si="89">+V35/V40</f>
        <v>-2.2094732059159492E-2</v>
      </c>
      <c r="W42" s="195">
        <f t="shared" si="89"/>
        <v>-2.6990448464228326E-2</v>
      </c>
      <c r="X42" s="56">
        <f t="shared" si="89"/>
        <v>-0.10095120323318908</v>
      </c>
      <c r="Y42" s="193">
        <f t="shared" si="89"/>
        <v>-2.90888853100017E-2</v>
      </c>
      <c r="Z42" s="194">
        <f t="shared" si="89"/>
        <v>-3.3919234754114166E-2</v>
      </c>
      <c r="AA42" s="194">
        <f t="shared" si="89"/>
        <v>-2.741451264536934E-2</v>
      </c>
      <c r="AB42" s="195">
        <f>+AB35/AB40</f>
        <v>-1.6985051192305717E-2</v>
      </c>
      <c r="AC42" s="56">
        <f>+AC35/AC40</f>
        <v>-0.10702230671940341</v>
      </c>
      <c r="AD42" s="193">
        <f>+AD35/AD40</f>
        <v>-1.7040656653579195E-2</v>
      </c>
      <c r="AE42" s="194">
        <f>+AE35/AE40</f>
        <v>-1.9765381681815481E-2</v>
      </c>
      <c r="AF42" s="194">
        <f>+AF35/AF40</f>
        <v>-1.3849693402980284E-2</v>
      </c>
      <c r="AG42" s="195">
        <f t="shared" ref="AG42:AM42" si="90">+AG35/AG40</f>
        <v>-2.7251434987048025E-2</v>
      </c>
      <c r="AH42" s="56">
        <f t="shared" si="90"/>
        <v>-7.7940240063321162E-2</v>
      </c>
      <c r="AI42" s="193">
        <f t="shared" si="90"/>
        <v>-1.6433021346373027E-2</v>
      </c>
      <c r="AJ42" s="194">
        <f t="shared" si="90"/>
        <v>-2.1331538319221723E-2</v>
      </c>
      <c r="AK42" s="194">
        <f t="shared" si="90"/>
        <v>-2.0089413032746542E-2</v>
      </c>
      <c r="AL42" s="195">
        <f t="shared" si="90"/>
        <v>-2.2929287766983428E-2</v>
      </c>
      <c r="AM42" s="56">
        <f t="shared" si="90"/>
        <v>-8.0790211111286966E-2</v>
      </c>
      <c r="AN42" s="193">
        <f t="shared" ref="AN42:AR42" si="91">+AN35/AN40</f>
        <v>-1.8354119611116784E-2</v>
      </c>
      <c r="AO42" s="194">
        <f t="shared" si="91"/>
        <v>-2.6616812891323456E-2</v>
      </c>
      <c r="AP42" s="194">
        <f t="shared" si="91"/>
        <v>-2.9301405509786559E-2</v>
      </c>
      <c r="AQ42" s="195">
        <f t="shared" si="91"/>
        <v>-2.4166651944068415E-2</v>
      </c>
      <c r="AR42" s="56">
        <f t="shared" si="91"/>
        <v>-9.8432669565127168E-2</v>
      </c>
      <c r="AS42" s="193">
        <f t="shared" ref="AS42:AW42" si="92">+AS35/AS40</f>
        <v>-2.7338268071874689E-2</v>
      </c>
      <c r="AT42" s="194">
        <f t="shared" si="92"/>
        <v>-2.0811768980723198E-2</v>
      </c>
      <c r="AU42" s="194">
        <f t="shared" si="92"/>
        <v>-2.5616504530262964E-2</v>
      </c>
      <c r="AV42" s="195">
        <f t="shared" si="92"/>
        <v>-7.3318271119840808E-2</v>
      </c>
      <c r="AW42" s="56">
        <f t="shared" si="92"/>
        <v>-0.14709037328094468</v>
      </c>
      <c r="AX42" s="193">
        <f t="shared" ref="AX42:BG42" si="93">+AX35/AX40</f>
        <v>-3.7467819145451796E-2</v>
      </c>
      <c r="AY42" s="194">
        <f t="shared" si="93"/>
        <v>-3.5382475996326442E-2</v>
      </c>
      <c r="AZ42" s="194">
        <f t="shared" si="93"/>
        <v>-4.6310981080239469E-2</v>
      </c>
      <c r="BA42" s="195">
        <f t="shared" si="93"/>
        <v>-2.2625768784022914E-2</v>
      </c>
      <c r="BB42" s="56">
        <f t="shared" si="93"/>
        <v>-0.14177261078611494</v>
      </c>
      <c r="BC42" s="193">
        <f t="shared" si="93"/>
        <v>-4.4982838285593921E-2</v>
      </c>
      <c r="BD42" s="194">
        <f t="shared" si="93"/>
        <v>-4.3657712039349289E-2</v>
      </c>
      <c r="BE42" s="194">
        <f t="shared" si="93"/>
        <v>-5.7786313345341497E-2</v>
      </c>
      <c r="BF42" s="195">
        <f t="shared" si="93"/>
        <v>-3.0892159675410542E-2</v>
      </c>
      <c r="BG42" s="56">
        <f t="shared" si="93"/>
        <v>-0.17730697377786267</v>
      </c>
      <c r="BH42" s="193">
        <f t="shared" ref="BH42:BQ42" si="94">+BH35/BH40</f>
        <v>-5.3079789281388415E-2</v>
      </c>
      <c r="BI42" s="194">
        <f t="shared" si="94"/>
        <v>-4.3688920342813048E-2</v>
      </c>
      <c r="BJ42" s="194">
        <f t="shared" si="94"/>
        <v>-6.54533409512493E-2</v>
      </c>
      <c r="BK42" s="195">
        <f t="shared" si="94"/>
        <v>-3.1208800975744265E-2</v>
      </c>
      <c r="BL42" s="56">
        <f t="shared" si="94"/>
        <v>-0.1934121419488696</v>
      </c>
      <c r="BM42" s="193">
        <f t="shared" si="94"/>
        <v>-5.3067244410962375E-2</v>
      </c>
      <c r="BN42" s="194">
        <f t="shared" si="94"/>
        <v>-4.7395067049954144E-2</v>
      </c>
      <c r="BO42" s="194">
        <f t="shared" si="94"/>
        <v>-7.0841144784972235E-2</v>
      </c>
      <c r="BP42" s="195">
        <f t="shared" si="94"/>
        <v>-3.2292656934894005E-2</v>
      </c>
      <c r="BQ42" s="56">
        <f t="shared" si="94"/>
        <v>-0.20357958101195162</v>
      </c>
    </row>
    <row r="43" spans="1:70" x14ac:dyDescent="0.2">
      <c r="C43" s="155" t="s">
        <v>247</v>
      </c>
      <c r="D43" s="58"/>
      <c r="E43" s="157">
        <f>+E37/E40</f>
        <v>-2.3318244025685993E-2</v>
      </c>
      <c r="F43" s="76">
        <f t="shared" ref="F43:P43" si="95">+F37/F40</f>
        <v>-3.2237513300026589E-2</v>
      </c>
      <c r="G43" s="76">
        <f t="shared" si="95"/>
        <v>-3.0774746258085559E-2</v>
      </c>
      <c r="H43" s="77">
        <f t="shared" si="95"/>
        <v>-2.5056887971602847E-2</v>
      </c>
      <c r="I43" s="158">
        <f t="shared" si="95"/>
        <v>-0.11138843983996312</v>
      </c>
      <c r="J43" s="157">
        <f t="shared" si="95"/>
        <v>-7.2917595720657967E-3</v>
      </c>
      <c r="K43" s="76">
        <f t="shared" si="95"/>
        <v>-3.0916617437536056E-2</v>
      </c>
      <c r="L43" s="76">
        <f t="shared" si="95"/>
        <v>-2.870661163285447E-2</v>
      </c>
      <c r="M43" s="77">
        <f t="shared" si="95"/>
        <v>-3.4362700896408582E-2</v>
      </c>
      <c r="N43" s="158">
        <f t="shared" si="95"/>
        <v>-0.10152549358964406</v>
      </c>
      <c r="O43" s="157">
        <f t="shared" si="95"/>
        <v>-2.3289235413513493E-2</v>
      </c>
      <c r="P43" s="76">
        <f t="shared" si="95"/>
        <v>-2.4276596577783652E-2</v>
      </c>
      <c r="Q43" s="76">
        <f>+Q37/Q40</f>
        <v>-2.9415880829975025E-2</v>
      </c>
      <c r="R43" s="77">
        <f>+R37/R40</f>
        <v>-3.8520219059488922E-2</v>
      </c>
      <c r="S43" s="158">
        <f>+S37/S40</f>
        <v>-0.11554626607497717</v>
      </c>
      <c r="T43" s="157">
        <f>+T37/T40</f>
        <v>-2.5852723900859454E-2</v>
      </c>
      <c r="U43" s="76">
        <f>+U37/U40</f>
        <v>-2.5982701422287407E-2</v>
      </c>
      <c r="V43" s="76">
        <f t="shared" ref="V43:AA43" si="96">+V37/V40</f>
        <v>-5.6691050354293532E-2</v>
      </c>
      <c r="W43" s="77">
        <f t="shared" si="96"/>
        <v>-2.716626868600714E-2</v>
      </c>
      <c r="X43" s="158">
        <f t="shared" si="96"/>
        <v>-0.1357030837329086</v>
      </c>
      <c r="Y43" s="157">
        <f t="shared" si="96"/>
        <v>-2.9052190381444687E-2</v>
      </c>
      <c r="Z43" s="76">
        <f t="shared" si="96"/>
        <v>-3.386903757961273E-2</v>
      </c>
      <c r="AA43" s="76">
        <f t="shared" si="96"/>
        <v>1.129870989349128E-2</v>
      </c>
      <c r="AB43" s="77">
        <f>+AB37/AB40</f>
        <v>-1.5259559713453209E-2</v>
      </c>
      <c r="AC43" s="158">
        <f>+AC37/AC40</f>
        <v>-6.6358260897583274E-2</v>
      </c>
      <c r="AD43" s="157">
        <f>+AD37/AD40</f>
        <v>-1.7040656653579195E-2</v>
      </c>
      <c r="AE43" s="76">
        <f>+AE37/AE40</f>
        <v>-1.9765381681815481E-2</v>
      </c>
      <c r="AF43" s="76">
        <f>+AF37/AF40</f>
        <v>-1.3849693402980284E-2</v>
      </c>
      <c r="AG43" s="77">
        <f t="shared" ref="AG43:AM43" si="97">+AG37/AG40</f>
        <v>-2.7251434987048025E-2</v>
      </c>
      <c r="AH43" s="158">
        <f t="shared" si="97"/>
        <v>-7.7940240063321162E-2</v>
      </c>
      <c r="AI43" s="157">
        <f t="shared" si="97"/>
        <v>-1.6433021346373027E-2</v>
      </c>
      <c r="AJ43" s="76">
        <f t="shared" si="97"/>
        <v>-2.1331538319221723E-2</v>
      </c>
      <c r="AK43" s="76">
        <f t="shared" si="97"/>
        <v>-2.0089413032746542E-2</v>
      </c>
      <c r="AL43" s="77">
        <f t="shared" si="97"/>
        <v>-2.2931253415313199E-2</v>
      </c>
      <c r="AM43" s="158">
        <f t="shared" si="97"/>
        <v>-8.0792178964437869E-2</v>
      </c>
      <c r="AN43" s="157">
        <f t="shared" ref="AN43:AR43" si="98">+AN37/AN40</f>
        <v>-1.8354119611116784E-2</v>
      </c>
      <c r="AO43" s="76">
        <f t="shared" si="98"/>
        <v>-2.6616812891323456E-2</v>
      </c>
      <c r="AP43" s="76">
        <f t="shared" si="98"/>
        <v>-2.9301405509786559E-2</v>
      </c>
      <c r="AQ43" s="77">
        <f t="shared" si="98"/>
        <v>-2.4166651944068415E-2</v>
      </c>
      <c r="AR43" s="158">
        <f t="shared" si="98"/>
        <v>-9.8432669565127168E-2</v>
      </c>
      <c r="AS43" s="157">
        <f t="shared" ref="AS43:AW43" si="99">+AS37/AS40</f>
        <v>-2.7338268071874689E-2</v>
      </c>
      <c r="AT43" s="76">
        <f t="shared" si="99"/>
        <v>-2.0811768980723198E-2</v>
      </c>
      <c r="AU43" s="76">
        <f t="shared" si="99"/>
        <v>-2.5616504530262964E-2</v>
      </c>
      <c r="AV43" s="77">
        <f t="shared" si="99"/>
        <v>-2.8131630648328038E-2</v>
      </c>
      <c r="AW43" s="158">
        <f t="shared" si="99"/>
        <v>-0.10190373280943191</v>
      </c>
      <c r="AX43" s="157">
        <f t="shared" ref="AX43:BG43" si="100">+AX37/AX40</f>
        <v>-3.7467819145451796E-2</v>
      </c>
      <c r="AY43" s="76">
        <f t="shared" si="100"/>
        <v>-3.5382475996326442E-2</v>
      </c>
      <c r="AZ43" s="76">
        <f t="shared" si="100"/>
        <v>-4.6310981080239469E-2</v>
      </c>
      <c r="BA43" s="77">
        <f t="shared" si="100"/>
        <v>-2.2625768784022914E-2</v>
      </c>
      <c r="BB43" s="158">
        <f t="shared" si="100"/>
        <v>-0.14177261078611494</v>
      </c>
      <c r="BC43" s="157">
        <f t="shared" si="100"/>
        <v>-4.4982838285593921E-2</v>
      </c>
      <c r="BD43" s="76">
        <f t="shared" si="100"/>
        <v>-4.3657712039349289E-2</v>
      </c>
      <c r="BE43" s="76">
        <f t="shared" si="100"/>
        <v>-5.7786313345341497E-2</v>
      </c>
      <c r="BF43" s="77">
        <f t="shared" si="100"/>
        <v>-3.0892159675410542E-2</v>
      </c>
      <c r="BG43" s="158">
        <f t="shared" si="100"/>
        <v>-0.17730697377786267</v>
      </c>
      <c r="BH43" s="157">
        <f t="shared" ref="BH43:BQ43" si="101">+BH37/BH40</f>
        <v>-5.3079789281388415E-2</v>
      </c>
      <c r="BI43" s="76">
        <f t="shared" si="101"/>
        <v>-4.3688920342813048E-2</v>
      </c>
      <c r="BJ43" s="76">
        <f t="shared" si="101"/>
        <v>-6.54533409512493E-2</v>
      </c>
      <c r="BK43" s="77">
        <f t="shared" si="101"/>
        <v>-3.1208800975744265E-2</v>
      </c>
      <c r="BL43" s="158">
        <f t="shared" si="101"/>
        <v>-0.1934121419488696</v>
      </c>
      <c r="BM43" s="157">
        <f t="shared" si="101"/>
        <v>-5.3067244410962375E-2</v>
      </c>
      <c r="BN43" s="76">
        <f t="shared" si="101"/>
        <v>-4.7395067049954144E-2</v>
      </c>
      <c r="BO43" s="76">
        <f t="shared" si="101"/>
        <v>-7.0841144784972235E-2</v>
      </c>
      <c r="BP43" s="77">
        <f t="shared" si="101"/>
        <v>-3.2292656934894005E-2</v>
      </c>
      <c r="BQ43" s="158">
        <f t="shared" si="101"/>
        <v>-0.20357958101195162</v>
      </c>
      <c r="BR43" s="997"/>
    </row>
    <row r="44" spans="1:70" s="513" customFormat="1" x14ac:dyDescent="0.2">
      <c r="B44" s="514"/>
      <c r="C44" s="248" t="s">
        <v>144</v>
      </c>
      <c r="D44" s="514"/>
      <c r="E44" s="515"/>
      <c r="F44" s="516"/>
      <c r="G44" s="516"/>
      <c r="H44" s="517"/>
      <c r="I44" s="514"/>
      <c r="J44" s="515">
        <f t="shared" ref="J44:T44" si="102">J43/E43-1</f>
        <v>-0.68729379604940977</v>
      </c>
      <c r="K44" s="516">
        <f t="shared" si="102"/>
        <v>-4.0973875689395811E-2</v>
      </c>
      <c r="L44" s="516">
        <f t="shared" si="102"/>
        <v>-6.7202329074856904E-2</v>
      </c>
      <c r="M44" s="517">
        <f t="shared" si="102"/>
        <v>0.37138741791686503</v>
      </c>
      <c r="N44" s="518">
        <f t="shared" si="102"/>
        <v>-8.8545510328447041E-2</v>
      </c>
      <c r="O44" s="515">
        <f t="shared" si="102"/>
        <v>2.1939115906581543</v>
      </c>
      <c r="P44" s="516">
        <f t="shared" si="102"/>
        <v>-0.21477190618177766</v>
      </c>
      <c r="Q44" s="516">
        <f t="shared" si="102"/>
        <v>2.4707520559786422E-2</v>
      </c>
      <c r="R44" s="517">
        <f t="shared" si="102"/>
        <v>0.12098927193219744</v>
      </c>
      <c r="S44" s="518">
        <f t="shared" si="102"/>
        <v>0.13810100290675442</v>
      </c>
      <c r="T44" s="515">
        <f t="shared" si="102"/>
        <v>0.11007181823833112</v>
      </c>
      <c r="U44" s="516">
        <f t="shared" ref="U44:AA44" si="103">U43/P43-1</f>
        <v>7.0277760683516544E-2</v>
      </c>
      <c r="V44" s="516">
        <f t="shared" si="103"/>
        <v>0.92722600019935109</v>
      </c>
      <c r="W44" s="517">
        <f t="shared" si="103"/>
        <v>-0.29475300636134083</v>
      </c>
      <c r="X44" s="518">
        <f t="shared" si="103"/>
        <v>0.17444802279332694</v>
      </c>
      <c r="Y44" s="515">
        <f t="shared" si="103"/>
        <v>0.12375742273249846</v>
      </c>
      <c r="Z44" s="516">
        <f t="shared" si="103"/>
        <v>0.30352256407644318</v>
      </c>
      <c r="AA44" s="516">
        <f t="shared" si="103"/>
        <v>-1.1993032378634623</v>
      </c>
      <c r="AB44" s="517">
        <f t="shared" ref="AB44:AH44" si="104">AB43/W43-1</f>
        <v>-0.43829018663453267</v>
      </c>
      <c r="AC44" s="518">
        <f t="shared" si="104"/>
        <v>-0.51100403121133275</v>
      </c>
      <c r="AD44" s="515">
        <f t="shared" si="104"/>
        <v>-0.41344675117980523</v>
      </c>
      <c r="AE44" s="516">
        <f t="shared" si="104"/>
        <v>-0.4164173801704617</v>
      </c>
      <c r="AF44" s="516">
        <f t="shared" si="104"/>
        <v>-2.2257765296689778</v>
      </c>
      <c r="AG44" s="517">
        <f t="shared" si="104"/>
        <v>0.78585984777938767</v>
      </c>
      <c r="AH44" s="518">
        <f t="shared" si="104"/>
        <v>0.17453711126657478</v>
      </c>
      <c r="AI44" s="515">
        <f t="shared" ref="AI44:AP44" si="105">AI43/AD43-1</f>
        <v>-3.5657974898434586E-2</v>
      </c>
      <c r="AJ44" s="516">
        <f t="shared" si="105"/>
        <v>7.9237358661641055E-2</v>
      </c>
      <c r="AK44" s="516">
        <f t="shared" si="105"/>
        <v>0.4505312463035136</v>
      </c>
      <c r="AL44" s="517">
        <f t="shared" si="105"/>
        <v>-0.15853042505057469</v>
      </c>
      <c r="AM44" s="518">
        <f t="shared" si="105"/>
        <v>3.6591353821847417E-2</v>
      </c>
      <c r="AN44" s="515">
        <f t="shared" si="105"/>
        <v>0.11690475076074613</v>
      </c>
      <c r="AO44" s="516">
        <f t="shared" si="105"/>
        <v>0.24776809309337078</v>
      </c>
      <c r="AP44" s="516">
        <f t="shared" si="105"/>
        <v>0.45854960829488167</v>
      </c>
      <c r="AQ44" s="517">
        <f t="shared" ref="AQ44:AR44" si="106">AQ43/AL43-1</f>
        <v>5.3874007948044866E-2</v>
      </c>
      <c r="AR44" s="518">
        <f t="shared" si="106"/>
        <v>0.2183440380838606</v>
      </c>
      <c r="AS44" s="515">
        <f t="shared" ref="AS44" si="107">AS43/AN43-1</f>
        <v>0.48948947980683077</v>
      </c>
      <c r="AT44" s="516">
        <f t="shared" ref="AT44" si="108">AT43/AO43-1</f>
        <v>-0.21809688238416347</v>
      </c>
      <c r="AU44" s="516">
        <f t="shared" ref="AU44" si="109">AU43/AP43-1</f>
        <v>-0.12575850596289151</v>
      </c>
      <c r="AV44" s="517">
        <f t="shared" ref="AV44" si="110">AV43/AQ43-1</f>
        <v>0.16406818426632763</v>
      </c>
      <c r="AW44" s="518">
        <f t="shared" ref="AW44" si="111">AW43/AR43-1</f>
        <v>3.5263325272389734E-2</v>
      </c>
      <c r="AX44" s="515">
        <f t="shared" ref="AX44:BG44" si="112">AX43/AS43-1</f>
        <v>0.37052643740801838</v>
      </c>
      <c r="AY44" s="516">
        <f t="shared" si="112"/>
        <v>0.7001186217807478</v>
      </c>
      <c r="AZ44" s="516">
        <f t="shared" si="112"/>
        <v>0.80785715808838598</v>
      </c>
      <c r="BA44" s="517">
        <f t="shared" si="112"/>
        <v>-0.19571783566809897</v>
      </c>
      <c r="BB44" s="518">
        <f t="shared" si="112"/>
        <v>0.39124060402420202</v>
      </c>
      <c r="BC44" s="515">
        <f t="shared" si="112"/>
        <v>0.20057263303659267</v>
      </c>
      <c r="BD44" s="516">
        <f t="shared" si="112"/>
        <v>0.23387950701590299</v>
      </c>
      <c r="BE44" s="516">
        <f t="shared" si="112"/>
        <v>0.24778858053599873</v>
      </c>
      <c r="BF44" s="517">
        <f t="shared" si="112"/>
        <v>0.3653529287908619</v>
      </c>
      <c r="BG44" s="518">
        <f t="shared" si="112"/>
        <v>0.25064335624993594</v>
      </c>
      <c r="BH44" s="515">
        <f t="shared" ref="BH44:BQ44" si="113">BH43/BC43-1</f>
        <v>0.1800008915486242</v>
      </c>
      <c r="BI44" s="516">
        <f t="shared" si="113"/>
        <v>7.1484056323489753E-4</v>
      </c>
      <c r="BJ44" s="516">
        <f t="shared" si="113"/>
        <v>0.13267895392613571</v>
      </c>
      <c r="BK44" s="517">
        <f t="shared" si="113"/>
        <v>1.0249892000453453E-2</v>
      </c>
      <c r="BL44" s="518">
        <f t="shared" si="113"/>
        <v>9.083211916517242E-2</v>
      </c>
      <c r="BM44" s="515">
        <f t="shared" si="113"/>
        <v>-2.3633986863691447E-4</v>
      </c>
      <c r="BN44" s="516">
        <f t="shared" si="113"/>
        <v>8.4830356943136787E-2</v>
      </c>
      <c r="BO44" s="516">
        <f t="shared" si="113"/>
        <v>8.2315184456907442E-2</v>
      </c>
      <c r="BP44" s="517">
        <f t="shared" si="113"/>
        <v>3.4729176554784136E-2</v>
      </c>
      <c r="BQ44" s="518">
        <f t="shared" si="113"/>
        <v>5.2568773400843982E-2</v>
      </c>
    </row>
    <row r="45" spans="1:70" x14ac:dyDescent="0.2">
      <c r="A45" s="20"/>
      <c r="C45" s="26"/>
      <c r="E45" s="273"/>
      <c r="F45" s="274"/>
      <c r="G45" s="274"/>
      <c r="H45" s="275"/>
      <c r="I45" s="169"/>
      <c r="J45" s="273"/>
      <c r="K45" s="274"/>
      <c r="L45" s="274"/>
      <c r="M45" s="275"/>
      <c r="N45" s="169"/>
      <c r="O45" s="273"/>
      <c r="P45" s="274"/>
      <c r="Q45" s="274"/>
      <c r="R45" s="275"/>
      <c r="S45" s="169"/>
      <c r="T45" s="273"/>
      <c r="U45" s="274"/>
      <c r="V45" s="274"/>
      <c r="W45" s="275"/>
      <c r="X45" s="169"/>
      <c r="Y45" s="273"/>
      <c r="Z45" s="274"/>
      <c r="AA45" s="274"/>
      <c r="AB45" s="275"/>
      <c r="AC45" s="169"/>
      <c r="AD45" s="273"/>
      <c r="AE45" s="274"/>
      <c r="AF45" s="274"/>
      <c r="AG45" s="275"/>
      <c r="AH45" s="169"/>
      <c r="AI45" s="273"/>
      <c r="AJ45" s="274"/>
      <c r="AK45" s="274"/>
      <c r="AL45" s="275"/>
      <c r="AM45" s="169"/>
      <c r="AN45" s="273"/>
      <c r="AO45" s="274"/>
      <c r="AP45" s="274"/>
      <c r="AQ45" s="275"/>
      <c r="AR45" s="169"/>
      <c r="AS45" s="273"/>
      <c r="AT45" s="274"/>
      <c r="AU45" s="274"/>
      <c r="AV45" s="275"/>
      <c r="AW45" s="169"/>
      <c r="AX45" s="273"/>
      <c r="AY45" s="274"/>
      <c r="AZ45" s="274"/>
      <c r="BA45" s="275"/>
      <c r="BB45" s="169"/>
      <c r="BC45" s="273"/>
      <c r="BD45" s="274"/>
      <c r="BE45" s="274"/>
      <c r="BF45" s="275"/>
      <c r="BG45" s="169"/>
      <c r="BH45" s="273"/>
      <c r="BI45" s="274"/>
      <c r="BJ45" s="274"/>
      <c r="BK45" s="275"/>
      <c r="BL45" s="169"/>
      <c r="BM45" s="273"/>
      <c r="BN45" s="274"/>
      <c r="BO45" s="274"/>
      <c r="BP45" s="275"/>
      <c r="BQ45" s="169"/>
    </row>
    <row r="46" spans="1:70" x14ac:dyDescent="0.2">
      <c r="C46" s="26"/>
      <c r="E46" s="273"/>
      <c r="F46" s="274"/>
      <c r="G46" s="274"/>
      <c r="H46" s="275"/>
      <c r="I46" s="169"/>
      <c r="J46" s="273"/>
      <c r="K46" s="274"/>
      <c r="L46" s="274"/>
      <c r="M46" s="275"/>
      <c r="N46" s="169"/>
      <c r="O46" s="273"/>
      <c r="P46" s="274"/>
      <c r="Q46" s="274"/>
      <c r="R46" s="275"/>
      <c r="S46" s="169"/>
      <c r="T46" s="273"/>
      <c r="U46" s="274"/>
      <c r="V46" s="274"/>
      <c r="W46" s="275"/>
      <c r="X46" s="169"/>
      <c r="Y46" s="273"/>
      <c r="Z46" s="274"/>
      <c r="AA46" s="274"/>
      <c r="AB46" s="275"/>
      <c r="AC46" s="169"/>
      <c r="AD46" s="273"/>
      <c r="AE46" s="274"/>
      <c r="AF46" s="274"/>
      <c r="AG46" s="275"/>
      <c r="AH46" s="169"/>
      <c r="AI46" s="273"/>
      <c r="AJ46" s="274"/>
      <c r="AK46" s="274"/>
      <c r="AL46" s="275"/>
      <c r="AM46" s="169"/>
      <c r="AN46" s="273"/>
      <c r="AO46" s="274"/>
      <c r="AP46" s="274"/>
      <c r="AQ46" s="275"/>
      <c r="AR46" s="169"/>
      <c r="AS46" s="273"/>
      <c r="AT46" s="274"/>
      <c r="AU46" s="274"/>
      <c r="AV46" s="275"/>
      <c r="AW46" s="169"/>
      <c r="AX46" s="273"/>
      <c r="AY46" s="274"/>
      <c r="AZ46" s="274"/>
      <c r="BA46" s="275"/>
      <c r="BB46" s="169"/>
      <c r="BC46" s="273"/>
      <c r="BD46" s="274"/>
      <c r="BE46" s="274"/>
      <c r="BF46" s="275"/>
      <c r="BG46" s="169"/>
      <c r="BH46" s="273"/>
      <c r="BI46" s="274"/>
      <c r="BJ46" s="274"/>
      <c r="BK46" s="275"/>
      <c r="BL46" s="169"/>
      <c r="BM46" s="273"/>
      <c r="BN46" s="274"/>
      <c r="BO46" s="274"/>
      <c r="BP46" s="275"/>
      <c r="BQ46" s="169"/>
    </row>
    <row r="47" spans="1:70" x14ac:dyDescent="0.2">
      <c r="A47" s="86"/>
      <c r="B47" s="16" t="s">
        <v>317</v>
      </c>
      <c r="C47" s="16"/>
      <c r="D47" s="17"/>
      <c r="E47" s="273"/>
      <c r="F47" s="274"/>
      <c r="G47" s="274"/>
      <c r="H47" s="275"/>
      <c r="I47" s="169"/>
      <c r="J47" s="273"/>
      <c r="K47" s="274"/>
      <c r="L47" s="274"/>
      <c r="M47" s="275"/>
      <c r="N47" s="169"/>
      <c r="O47" s="273"/>
      <c r="P47" s="274"/>
      <c r="Q47" s="274"/>
      <c r="R47" s="275"/>
      <c r="S47" s="169"/>
      <c r="T47" s="273"/>
      <c r="U47" s="274"/>
      <c r="V47" s="274"/>
      <c r="W47" s="275"/>
      <c r="X47" s="169"/>
      <c r="Y47" s="273"/>
      <c r="Z47" s="274"/>
      <c r="AA47" s="274"/>
      <c r="AB47" s="275"/>
      <c r="AC47" s="169"/>
      <c r="AD47" s="273"/>
      <c r="AE47" s="274"/>
      <c r="AF47" s="274"/>
      <c r="AG47" s="275"/>
      <c r="AH47" s="169"/>
      <c r="AI47" s="273"/>
      <c r="AJ47" s="274"/>
      <c r="AK47" s="274"/>
      <c r="AL47" s="275"/>
      <c r="AM47" s="169"/>
      <c r="AN47" s="273"/>
      <c r="AO47" s="274"/>
      <c r="AP47" s="274"/>
      <c r="AQ47" s="275"/>
      <c r="AR47" s="169"/>
      <c r="AS47" s="273"/>
      <c r="AT47" s="274"/>
      <c r="AU47" s="274"/>
      <c r="AV47" s="275"/>
      <c r="AW47" s="169"/>
      <c r="AX47" s="273"/>
      <c r="AY47" s="274"/>
      <c r="AZ47" s="274"/>
      <c r="BA47" s="275"/>
      <c r="BB47" s="169"/>
      <c r="BC47" s="273"/>
      <c r="BD47" s="274"/>
      <c r="BE47" s="274"/>
      <c r="BF47" s="275"/>
      <c r="BG47" s="169"/>
      <c r="BH47" s="273"/>
      <c r="BI47" s="274"/>
      <c r="BJ47" s="274"/>
      <c r="BK47" s="275"/>
      <c r="BL47" s="169"/>
      <c r="BM47" s="273"/>
      <c r="BN47" s="274"/>
      <c r="BO47" s="274"/>
      <c r="BP47" s="275"/>
      <c r="BQ47" s="169"/>
    </row>
    <row r="48" spans="1:70" x14ac:dyDescent="0.2">
      <c r="B48" s="20"/>
      <c r="C48" s="141" t="s">
        <v>157</v>
      </c>
      <c r="D48" s="20"/>
      <c r="E48" s="203"/>
      <c r="F48" s="204"/>
      <c r="G48" s="204"/>
      <c r="H48" s="205"/>
      <c r="I48" s="206"/>
      <c r="J48" s="203"/>
      <c r="K48" s="204"/>
      <c r="L48" s="204"/>
      <c r="M48" s="205"/>
      <c r="N48" s="206"/>
      <c r="O48" s="203"/>
      <c r="P48" s="204"/>
      <c r="Q48" s="204"/>
      <c r="R48" s="205"/>
      <c r="S48" s="206"/>
      <c r="T48" s="203"/>
      <c r="U48" s="204"/>
      <c r="V48" s="204"/>
      <c r="W48" s="205"/>
      <c r="X48" s="206"/>
      <c r="Y48" s="203"/>
      <c r="Z48" s="204"/>
      <c r="AA48" s="204"/>
      <c r="AB48" s="205"/>
      <c r="AC48" s="206"/>
      <c r="AD48" s="203"/>
      <c r="AE48" s="204"/>
      <c r="AF48" s="204"/>
      <c r="AG48" s="205"/>
      <c r="AH48" s="206"/>
      <c r="AI48" s="203"/>
      <c r="AJ48" s="204"/>
      <c r="AK48" s="204"/>
      <c r="AL48" s="205"/>
      <c r="AM48" s="206"/>
      <c r="AN48" s="203"/>
      <c r="AO48" s="204"/>
      <c r="AP48" s="204"/>
      <c r="AQ48" s="205"/>
      <c r="AR48" s="206"/>
      <c r="AS48" s="203"/>
      <c r="AT48" s="204"/>
      <c r="AU48" s="204"/>
      <c r="AV48" s="205"/>
      <c r="AW48" s="206"/>
      <c r="AX48" s="203"/>
      <c r="AY48" s="204"/>
      <c r="AZ48" s="204"/>
      <c r="BA48" s="205"/>
      <c r="BB48" s="206"/>
      <c r="BC48" s="203"/>
      <c r="BD48" s="204"/>
      <c r="BE48" s="204"/>
      <c r="BF48" s="205"/>
      <c r="BG48" s="206"/>
      <c r="BH48" s="203"/>
      <c r="BI48" s="204"/>
      <c r="BJ48" s="204"/>
      <c r="BK48" s="205"/>
      <c r="BL48" s="206"/>
      <c r="BM48" s="203"/>
      <c r="BN48" s="204"/>
      <c r="BO48" s="204"/>
      <c r="BP48" s="205"/>
      <c r="BQ48" s="206"/>
    </row>
    <row r="49" spans="2:71" x14ac:dyDescent="0.2">
      <c r="B49" s="20"/>
      <c r="C49" s="70" t="s">
        <v>158</v>
      </c>
      <c r="D49" s="20"/>
      <c r="E49" s="136">
        <f t="shared" ref="E49:P49" si="114">E64</f>
        <v>0</v>
      </c>
      <c r="F49" s="135">
        <f t="shared" si="114"/>
        <v>5.2999999999997272E-2</v>
      </c>
      <c r="G49" s="135">
        <f t="shared" si="114"/>
        <v>0.11500000000000909</v>
      </c>
      <c r="H49" s="116">
        <f t="shared" si="114"/>
        <v>-0.16300000000001091</v>
      </c>
      <c r="I49" s="82">
        <f t="shared" si="114"/>
        <v>4.9999999999954525E-3</v>
      </c>
      <c r="J49" s="136">
        <f t="shared" si="114"/>
        <v>0</v>
      </c>
      <c r="K49" s="135">
        <f t="shared" si="114"/>
        <v>544.20500000000004</v>
      </c>
      <c r="L49" s="135">
        <f t="shared" si="114"/>
        <v>0.55399999999991678</v>
      </c>
      <c r="M49" s="116">
        <f t="shared" si="114"/>
        <v>-5.5999999999983174E-2</v>
      </c>
      <c r="N49" s="82">
        <f t="shared" si="114"/>
        <v>544.70299999999997</v>
      </c>
      <c r="O49" s="136">
        <f t="shared" si="114"/>
        <v>0</v>
      </c>
      <c r="P49" s="135">
        <f t="shared" si="114"/>
        <v>0</v>
      </c>
      <c r="Q49" s="135">
        <f t="shared" ref="Q49:U50" si="115">Q64</f>
        <v>248.93500000000006</v>
      </c>
      <c r="R49" s="116">
        <f t="shared" si="115"/>
        <v>0.22099999999991837</v>
      </c>
      <c r="S49" s="82">
        <f t="shared" si="115"/>
        <v>249.15599999999995</v>
      </c>
      <c r="T49" s="136">
        <f t="shared" si="115"/>
        <v>0.745</v>
      </c>
      <c r="U49" s="135">
        <f t="shared" si="115"/>
        <v>1.3190000000000026</v>
      </c>
      <c r="V49" s="135">
        <f t="shared" ref="V49:Z50" si="116">V64</f>
        <v>2.7079999999998563</v>
      </c>
      <c r="W49" s="116">
        <f t="shared" si="116"/>
        <v>2.023000000000053</v>
      </c>
      <c r="X49" s="82">
        <f t="shared" si="116"/>
        <v>6.7950000000000728</v>
      </c>
      <c r="Y49" s="136">
        <f t="shared" si="116"/>
        <v>1.0659999999999741</v>
      </c>
      <c r="Z49" s="135">
        <f t="shared" si="116"/>
        <v>448.4460000000002</v>
      </c>
      <c r="AA49" s="135">
        <f t="shared" ref="AA49:AE50" si="117">AA64</f>
        <v>3.4899999999999238</v>
      </c>
      <c r="AB49" s="116">
        <f t="shared" si="117"/>
        <v>-2.83400000000006</v>
      </c>
      <c r="AC49" s="82">
        <f t="shared" si="117"/>
        <v>450.16800000000001</v>
      </c>
      <c r="AD49" s="136">
        <f t="shared" si="117"/>
        <v>-4.5999999999992269E-2</v>
      </c>
      <c r="AE49" s="135">
        <f t="shared" si="117"/>
        <v>1.6000000000019554E-2</v>
      </c>
      <c r="AF49" s="135">
        <f t="shared" ref="AF49:AJ50" si="118">AF64</f>
        <v>9.9999999996214228E-4</v>
      </c>
      <c r="AG49" s="116">
        <f t="shared" si="118"/>
        <v>2.0999999999972374E-2</v>
      </c>
      <c r="AH49" s="82">
        <f t="shared" si="118"/>
        <v>-8.0000000000381988E-3</v>
      </c>
      <c r="AI49" s="136">
        <f t="shared" si="118"/>
        <v>0</v>
      </c>
      <c r="AJ49" s="135">
        <f t="shared" si="118"/>
        <v>496.09700000000004</v>
      </c>
      <c r="AK49" s="135">
        <f t="shared" ref="AK49:AO50" si="119">AK64</f>
        <v>-0.55800000000002115</v>
      </c>
      <c r="AL49" s="116">
        <f t="shared" si="119"/>
        <v>-8.8000000000008072E-2</v>
      </c>
      <c r="AM49" s="82">
        <f>AM64</f>
        <v>495.45099999999991</v>
      </c>
      <c r="AN49" s="136">
        <f t="shared" si="119"/>
        <v>747.12699999999995</v>
      </c>
      <c r="AO49" s="135">
        <f t="shared" si="119"/>
        <v>2.3700000000000898</v>
      </c>
      <c r="AP49" s="135">
        <f t="shared" ref="AP49:AT50" si="120">AP64</f>
        <v>-0.10399999999998499</v>
      </c>
      <c r="AQ49" s="116">
        <f t="shared" si="120"/>
        <v>791.37999999999988</v>
      </c>
      <c r="AR49" s="82">
        <f t="shared" si="120"/>
        <v>1540.7729999999997</v>
      </c>
      <c r="AS49" s="136">
        <f t="shared" si="120"/>
        <v>0</v>
      </c>
      <c r="AT49" s="135">
        <f t="shared" si="120"/>
        <v>-0.56499999999999773</v>
      </c>
      <c r="AU49" s="135">
        <f t="shared" ref="AU49:AW49" si="121">AU64</f>
        <v>1.7999999999915417E-2</v>
      </c>
      <c r="AV49" s="116">
        <f t="shared" si="121"/>
        <v>-0.28500000000003922</v>
      </c>
      <c r="AW49" s="82">
        <f t="shared" si="121"/>
        <v>-0.83200000000010732</v>
      </c>
      <c r="AX49" s="136">
        <f>Debt!AV40</f>
        <v>0</v>
      </c>
      <c r="AY49" s="135">
        <f>Debt!AW40</f>
        <v>0</v>
      </c>
      <c r="AZ49" s="135">
        <f>Debt!AX40</f>
        <v>750</v>
      </c>
      <c r="BA49" s="116">
        <f>Debt!AY40</f>
        <v>0</v>
      </c>
      <c r="BB49" s="34">
        <v>750</v>
      </c>
      <c r="BC49" s="136">
        <f>Debt!BA40</f>
        <v>0</v>
      </c>
      <c r="BD49" s="135">
        <f>Debt!BB40</f>
        <v>0</v>
      </c>
      <c r="BE49" s="135">
        <f>Debt!BC40</f>
        <v>500</v>
      </c>
      <c r="BF49" s="116">
        <f>Debt!BD40</f>
        <v>0</v>
      </c>
      <c r="BG49" s="34">
        <v>500</v>
      </c>
      <c r="BH49" s="136">
        <f>Debt!BF40</f>
        <v>0</v>
      </c>
      <c r="BI49" s="135">
        <f>Debt!BG40</f>
        <v>0</v>
      </c>
      <c r="BJ49" s="135">
        <f>Debt!BH40</f>
        <v>800</v>
      </c>
      <c r="BK49" s="116">
        <f>Debt!BI40</f>
        <v>0</v>
      </c>
      <c r="BL49" s="34">
        <v>800</v>
      </c>
      <c r="BM49" s="136">
        <f>Debt!BK40</f>
        <v>0</v>
      </c>
      <c r="BN49" s="135">
        <f>Debt!BL40</f>
        <v>0</v>
      </c>
      <c r="BO49" s="135">
        <f>Debt!BM40</f>
        <v>400</v>
      </c>
      <c r="BP49" s="116">
        <f>Debt!BN40</f>
        <v>0</v>
      </c>
      <c r="BQ49" s="34">
        <v>400</v>
      </c>
    </row>
    <row r="50" spans="2:71" x14ac:dyDescent="0.2">
      <c r="B50" s="20"/>
      <c r="C50" s="70" t="s">
        <v>159</v>
      </c>
      <c r="D50" s="20"/>
      <c r="E50" s="136">
        <f t="shared" ref="E50:P50" si="122">E65</f>
        <v>-0.70800000000002683</v>
      </c>
      <c r="F50" s="135">
        <f t="shared" si="122"/>
        <v>-0.61400000000000099</v>
      </c>
      <c r="G50" s="135">
        <f t="shared" si="122"/>
        <v>-1.8569999999999425</v>
      </c>
      <c r="H50" s="116">
        <f t="shared" si="122"/>
        <v>-1.1290000000000902</v>
      </c>
      <c r="I50" s="82">
        <f t="shared" si="122"/>
        <v>-4.3080000000000638</v>
      </c>
      <c r="J50" s="136">
        <f t="shared" si="122"/>
        <v>-0.25999999999999801</v>
      </c>
      <c r="K50" s="135">
        <f t="shared" si="122"/>
        <v>-0.47499999999999898</v>
      </c>
      <c r="L50" s="135">
        <f t="shared" si="122"/>
        <v>0.35900000000000365</v>
      </c>
      <c r="M50" s="116">
        <f t="shared" si="122"/>
        <v>-359.87800000000004</v>
      </c>
      <c r="N50" s="82">
        <f t="shared" si="122"/>
        <v>-360.25400000000002</v>
      </c>
      <c r="O50" s="136">
        <f t="shared" si="122"/>
        <v>-0.50800000000000001</v>
      </c>
      <c r="P50" s="135">
        <f t="shared" si="122"/>
        <v>-1.173</v>
      </c>
      <c r="Q50" s="135">
        <f t="shared" si="115"/>
        <v>-0.97000000000001307</v>
      </c>
      <c r="R50" s="116">
        <f t="shared" si="115"/>
        <v>-1.0419999999999989</v>
      </c>
      <c r="S50" s="82">
        <f t="shared" si="115"/>
        <v>-3.6929999999999978</v>
      </c>
      <c r="T50" s="136">
        <f t="shared" si="115"/>
        <v>-0.74199999999999999</v>
      </c>
      <c r="U50" s="135">
        <f t="shared" si="115"/>
        <v>-1.681</v>
      </c>
      <c r="V50" s="135">
        <f t="shared" si="116"/>
        <v>-2.19199999999997</v>
      </c>
      <c r="W50" s="116">
        <f t="shared" si="116"/>
        <v>-0.42699999999990723</v>
      </c>
      <c r="X50" s="82">
        <f t="shared" si="116"/>
        <v>-5.0419999999999163</v>
      </c>
      <c r="Y50" s="136">
        <f t="shared" si="116"/>
        <v>-1.2949999999999875</v>
      </c>
      <c r="Z50" s="135">
        <f t="shared" si="116"/>
        <v>-400.12900000000002</v>
      </c>
      <c r="AA50" s="135">
        <f t="shared" si="117"/>
        <v>-3.3310000000000701</v>
      </c>
      <c r="AB50" s="116">
        <f t="shared" si="117"/>
        <v>2.4640000000000111</v>
      </c>
      <c r="AC50" s="82">
        <f t="shared" si="117"/>
        <v>-402.29100000000005</v>
      </c>
      <c r="AD50" s="136">
        <f t="shared" si="117"/>
        <v>-0.20600000000000002</v>
      </c>
      <c r="AE50" s="135">
        <f t="shared" si="117"/>
        <v>-0.24200000000001864</v>
      </c>
      <c r="AF50" s="135">
        <f t="shared" si="118"/>
        <v>-0.20600000000004637</v>
      </c>
      <c r="AG50" s="116">
        <f t="shared" si="118"/>
        <v>-0.18699999999995226</v>
      </c>
      <c r="AH50" s="82">
        <f t="shared" si="118"/>
        <v>-0.84099999999995134</v>
      </c>
      <c r="AI50" s="136">
        <f t="shared" si="118"/>
        <v>-0.29400000000000004</v>
      </c>
      <c r="AJ50" s="135">
        <f t="shared" si="118"/>
        <v>-0.13500000000000001</v>
      </c>
      <c r="AK50" s="135">
        <f t="shared" si="119"/>
        <v>-0.20199999999999249</v>
      </c>
      <c r="AL50" s="116">
        <f t="shared" si="119"/>
        <v>-0.15099999999999955</v>
      </c>
      <c r="AM50" s="82">
        <f t="shared" si="119"/>
        <v>-0.78199999999999981</v>
      </c>
      <c r="AN50" s="136">
        <f t="shared" si="119"/>
        <v>-0.31900000000000001</v>
      </c>
      <c r="AO50" s="135">
        <f t="shared" si="119"/>
        <v>-450.12800000000004</v>
      </c>
      <c r="AP50" s="135">
        <f t="shared" si="120"/>
        <v>-0.16500000000003093</v>
      </c>
      <c r="AQ50" s="116">
        <f t="shared" si="120"/>
        <v>-255.68500000000006</v>
      </c>
      <c r="AR50" s="82">
        <f t="shared" si="120"/>
        <v>-706.29700000000003</v>
      </c>
      <c r="AS50" s="136">
        <f t="shared" si="120"/>
        <v>-0.17599999999999999</v>
      </c>
      <c r="AT50" s="135">
        <f t="shared" si="120"/>
        <v>-250.17599999999996</v>
      </c>
      <c r="AU50" s="135">
        <f t="shared" ref="AU50:AW50" si="123">AU65</f>
        <v>-0.19799999999997908</v>
      </c>
      <c r="AV50" s="116">
        <f t="shared" si="123"/>
        <v>0.1049999999999327</v>
      </c>
      <c r="AW50" s="82">
        <f t="shared" si="123"/>
        <v>-250.44499999999999</v>
      </c>
      <c r="AX50" s="136">
        <f>Debt!AV32</f>
        <v>0</v>
      </c>
      <c r="AY50" s="135">
        <f>Debt!AW32</f>
        <v>0</v>
      </c>
      <c r="AZ50" s="135">
        <f>Debt!AX32</f>
        <v>0</v>
      </c>
      <c r="BA50" s="116">
        <f>Debt!AY32</f>
        <v>0</v>
      </c>
      <c r="BB50" s="82">
        <f>Debt!AZ32</f>
        <v>0</v>
      </c>
      <c r="BC50" s="136">
        <f>Debt!BA32</f>
        <v>0</v>
      </c>
      <c r="BD50" s="135">
        <f>Debt!BB32</f>
        <v>0</v>
      </c>
      <c r="BE50" s="135">
        <f>Debt!BC32</f>
        <v>0</v>
      </c>
      <c r="BF50" s="116">
        <f>Debt!BD32</f>
        <v>0</v>
      </c>
      <c r="BG50" s="82">
        <f>Debt!BE32</f>
        <v>0</v>
      </c>
      <c r="BH50" s="136">
        <f>Debt!BF32</f>
        <v>0</v>
      </c>
      <c r="BI50" s="135">
        <f>Debt!BG32</f>
        <v>-550</v>
      </c>
      <c r="BJ50" s="135">
        <f>Debt!BH32</f>
        <v>0</v>
      </c>
      <c r="BK50" s="116">
        <f>Debt!BI32</f>
        <v>0</v>
      </c>
      <c r="BL50" s="82">
        <f>Debt!BJ32</f>
        <v>-550</v>
      </c>
      <c r="BM50" s="136">
        <f>Debt!BK32</f>
        <v>-400</v>
      </c>
      <c r="BN50" s="135">
        <f>Debt!BL32</f>
        <v>0</v>
      </c>
      <c r="BO50" s="135">
        <f>Debt!BM32</f>
        <v>0</v>
      </c>
      <c r="BP50" s="116">
        <f>Debt!BN32</f>
        <v>0</v>
      </c>
      <c r="BQ50" s="82">
        <f>Debt!BO32</f>
        <v>-400</v>
      </c>
    </row>
    <row r="51" spans="2:71" x14ac:dyDescent="0.2">
      <c r="C51" s="26"/>
      <c r="E51" s="273"/>
      <c r="F51" s="274"/>
      <c r="G51" s="274"/>
      <c r="H51" s="275"/>
      <c r="I51" s="169"/>
      <c r="J51" s="273"/>
      <c r="K51" s="274"/>
      <c r="L51" s="274"/>
      <c r="M51" s="275"/>
      <c r="N51" s="169"/>
      <c r="O51" s="273"/>
      <c r="P51" s="274"/>
      <c r="Q51" s="274"/>
      <c r="R51" s="275"/>
      <c r="S51" s="169"/>
      <c r="T51" s="273"/>
      <c r="U51" s="274"/>
      <c r="V51" s="274"/>
      <c r="W51" s="275"/>
      <c r="X51" s="169"/>
      <c r="Y51" s="273"/>
      <c r="Z51" s="274"/>
      <c r="AA51" s="274"/>
      <c r="AB51" s="275"/>
      <c r="AC51" s="169"/>
      <c r="AD51" s="273"/>
      <c r="AE51" s="274"/>
      <c r="AF51" s="274"/>
      <c r="AG51" s="275"/>
      <c r="AH51" s="169"/>
      <c r="AI51" s="273"/>
      <c r="AJ51" s="274"/>
      <c r="AK51" s="274"/>
      <c r="AL51" s="275"/>
      <c r="AM51" s="169"/>
      <c r="AN51" s="273"/>
      <c r="AO51" s="274"/>
      <c r="AP51" s="274"/>
      <c r="AQ51" s="275"/>
      <c r="AR51" s="169"/>
      <c r="AS51" s="273"/>
      <c r="AT51" s="274"/>
      <c r="AU51" s="274"/>
      <c r="AV51" s="275"/>
      <c r="AW51" s="169"/>
      <c r="AX51" s="273"/>
      <c r="AY51" s="274"/>
      <c r="AZ51" s="274"/>
      <c r="BA51" s="275"/>
      <c r="BB51" s="169"/>
      <c r="BC51" s="273"/>
      <c r="BD51" s="274"/>
      <c r="BE51" s="274"/>
      <c r="BF51" s="275"/>
      <c r="BG51" s="169"/>
      <c r="BH51" s="273"/>
      <c r="BI51" s="274"/>
      <c r="BJ51" s="274"/>
      <c r="BK51" s="275"/>
      <c r="BL51" s="169"/>
      <c r="BM51" s="273"/>
      <c r="BN51" s="274"/>
      <c r="BO51" s="274"/>
      <c r="BP51" s="275"/>
      <c r="BQ51" s="169"/>
    </row>
    <row r="52" spans="2:71" x14ac:dyDescent="0.2">
      <c r="C52" s="26"/>
      <c r="E52" s="273"/>
      <c r="F52" s="274"/>
      <c r="G52" s="274"/>
      <c r="H52" s="275"/>
      <c r="I52" s="169"/>
      <c r="J52" s="273"/>
      <c r="K52" s="274"/>
      <c r="L52" s="274"/>
      <c r="M52" s="275"/>
      <c r="N52" s="169"/>
      <c r="O52" s="273"/>
      <c r="P52" s="274"/>
      <c r="Q52" s="274"/>
      <c r="R52" s="275"/>
      <c r="S52" s="169"/>
      <c r="T52" s="273"/>
      <c r="U52" s="274"/>
      <c r="V52" s="274"/>
      <c r="W52" s="275"/>
      <c r="X52" s="169"/>
      <c r="Y52" s="273"/>
      <c r="Z52" s="274"/>
      <c r="AA52" s="274"/>
      <c r="AB52" s="275"/>
      <c r="AC52" s="169"/>
      <c r="AD52" s="273"/>
      <c r="AE52" s="274"/>
      <c r="AF52" s="274"/>
      <c r="AG52" s="275"/>
      <c r="AH52" s="169"/>
      <c r="AI52" s="273"/>
      <c r="AJ52" s="274"/>
      <c r="AK52" s="274"/>
      <c r="AL52" s="275"/>
      <c r="AM52" s="169"/>
      <c r="AN52" s="273"/>
      <c r="AO52" s="274"/>
      <c r="AP52" s="274"/>
      <c r="AQ52" s="275"/>
      <c r="AR52" s="169"/>
      <c r="AS52" s="273"/>
      <c r="AT52" s="274"/>
      <c r="AU52" s="274"/>
      <c r="AV52" s="275"/>
      <c r="AW52" s="169"/>
      <c r="AX52" s="273"/>
      <c r="AY52" s="274"/>
      <c r="AZ52" s="274"/>
      <c r="BA52" s="275"/>
      <c r="BB52" s="169"/>
      <c r="BC52" s="273"/>
      <c r="BD52" s="274"/>
      <c r="BE52" s="274"/>
      <c r="BF52" s="275"/>
      <c r="BG52" s="169"/>
      <c r="BH52" s="273"/>
      <c r="BI52" s="274"/>
      <c r="BJ52" s="274"/>
      <c r="BK52" s="275"/>
      <c r="BL52" s="169"/>
      <c r="BM52" s="273"/>
      <c r="BN52" s="274"/>
      <c r="BO52" s="274"/>
      <c r="BP52" s="275"/>
      <c r="BQ52" s="169"/>
    </row>
    <row r="53" spans="2:71" x14ac:dyDescent="0.2">
      <c r="B53" s="16" t="s">
        <v>297</v>
      </c>
      <c r="C53" s="16"/>
      <c r="D53" s="16"/>
      <c r="E53" s="273"/>
      <c r="F53" s="274"/>
      <c r="G53" s="274"/>
      <c r="H53" s="275"/>
      <c r="I53" s="169"/>
      <c r="J53" s="273"/>
      <c r="K53" s="274"/>
      <c r="L53" s="274"/>
      <c r="M53" s="275"/>
      <c r="N53" s="169"/>
      <c r="O53" s="273"/>
      <c r="P53" s="274"/>
      <c r="Q53" s="274"/>
      <c r="R53" s="275"/>
      <c r="S53" s="169"/>
      <c r="T53" s="273"/>
      <c r="U53" s="274"/>
      <c r="V53" s="274"/>
      <c r="W53" s="275"/>
      <c r="X53" s="169"/>
      <c r="Y53" s="273"/>
      <c r="Z53" s="274"/>
      <c r="AA53" s="274"/>
      <c r="AB53" s="275"/>
      <c r="AC53" s="169"/>
      <c r="AD53" s="273"/>
      <c r="AE53" s="274"/>
      <c r="AF53" s="274"/>
      <c r="AG53" s="275"/>
      <c r="AH53" s="169"/>
      <c r="AI53" s="273"/>
      <c r="AJ53" s="274"/>
      <c r="AK53" s="274"/>
      <c r="AL53" s="275"/>
      <c r="AM53" s="169"/>
      <c r="AN53" s="273"/>
      <c r="AO53" s="274"/>
      <c r="AP53" s="274"/>
      <c r="AQ53" s="275"/>
      <c r="AR53" s="169"/>
      <c r="AS53" s="273"/>
      <c r="AT53" s="274"/>
      <c r="AU53" s="274"/>
      <c r="AV53" s="275"/>
      <c r="AW53" s="169"/>
      <c r="AX53" s="273"/>
      <c r="AY53" s="274"/>
      <c r="AZ53" s="274"/>
      <c r="BA53" s="275"/>
      <c r="BB53" s="169"/>
      <c r="BC53" s="273"/>
      <c r="BD53" s="274"/>
      <c r="BE53" s="274"/>
      <c r="BF53" s="275"/>
      <c r="BG53" s="169"/>
      <c r="BH53" s="273"/>
      <c r="BI53" s="274"/>
      <c r="BJ53" s="274"/>
      <c r="BK53" s="275"/>
      <c r="BL53" s="169"/>
      <c r="BM53" s="273"/>
      <c r="BN53" s="274"/>
      <c r="BO53" s="274"/>
      <c r="BP53" s="275"/>
      <c r="BQ53" s="169"/>
    </row>
    <row r="54" spans="2:71" x14ac:dyDescent="0.2">
      <c r="B54" s="82"/>
      <c r="C54" s="70" t="s">
        <v>177</v>
      </c>
      <c r="D54" s="82"/>
      <c r="E54" s="136">
        <f>XEL!E134-'NSP-MN'!E205-'NSP-WI'!E195-PSCO!E198-SPS!E159</f>
        <v>-11.322999999999992</v>
      </c>
      <c r="F54" s="135">
        <f>XEL!F134-'NSP-MN'!F205-'NSP-WI'!F195-PSCO!F198-SPS!F159</f>
        <v>-13.622000000000035</v>
      </c>
      <c r="G54" s="135">
        <f>XEL!G134-'NSP-MN'!G205-'NSP-WI'!G195-PSCO!G198-SPS!G159</f>
        <v>-13.981999999999999</v>
      </c>
      <c r="H54" s="116">
        <f>XEL!H134-'NSP-MN'!H205-'NSP-WI'!H195-PSCO!H198-SPS!H159</f>
        <v>-12.38900000000001</v>
      </c>
      <c r="I54" s="82">
        <f>XEL!I134-'NSP-MN'!I205-'NSP-WI'!I195-PSCO!I198-SPS!I159</f>
        <v>-51.316000000000031</v>
      </c>
      <c r="J54" s="136">
        <f>XEL!J134-'NSP-MN'!J205-'NSP-WI'!J195-PSCO!J198-SPS!J159</f>
        <v>-2.5139999999999976</v>
      </c>
      <c r="K54" s="135">
        <f>XEL!K134-'NSP-MN'!K205-'NSP-WI'!K195-PSCO!K198-SPS!K159</f>
        <v>-9.0240000000000009</v>
      </c>
      <c r="L54" s="135">
        <f>XEL!L134-'NSP-MN'!L205-'NSP-WI'!L195-PSCO!L198-SPS!L159</f>
        <v>-12.384999999999977</v>
      </c>
      <c r="M54" s="116">
        <f>XEL!M134-'NSP-MN'!M205-'NSP-WI'!M195-PSCO!M198-SPS!M159</f>
        <v>-15.004000000000119</v>
      </c>
      <c r="N54" s="82">
        <f>XEL!N134-'NSP-MN'!N205-'NSP-WI'!N195-PSCO!N198-SPS!N159</f>
        <v>-38.92700000000012</v>
      </c>
      <c r="O54" s="136">
        <f>XEL!O134-'NSP-MN'!O205-'NSP-WI'!O195-PSCO!O198-SPS!O159</f>
        <v>-10.117000000000004</v>
      </c>
      <c r="P54" s="135">
        <f>XEL!P134-'NSP-MN'!P205-'NSP-WI'!P195-PSCO!P198-SPS!P159</f>
        <v>-10.628999999999962</v>
      </c>
      <c r="Q54" s="135">
        <f>XEL!Q134-'NSP-MN'!Q205-'NSP-WI'!Q195-PSCO!Q198-SPS!Q159</f>
        <v>-12.842000000000027</v>
      </c>
      <c r="R54" s="116">
        <f>XEL!R134-'NSP-MN'!R205-'NSP-WI'!R195-PSCO!R198-SPS!R159</f>
        <v>-15.930999999999983</v>
      </c>
      <c r="S54" s="82">
        <f>XEL!S134-'NSP-MN'!S205-'NSP-WI'!S195-PSCO!S198-SPS!S159</f>
        <v>-49.518999999999934</v>
      </c>
      <c r="T54" s="136">
        <f>XEL!T134-'NSP-MN'!T205-'NSP-WI'!T195-PSCO!T198-SPS!T159</f>
        <v>-12.616</v>
      </c>
      <c r="U54" s="135">
        <f>XEL!U134-'NSP-MN'!U205-'NSP-WI'!U195-PSCO!U198-SPS!U159</f>
        <v>-12.695000000000043</v>
      </c>
      <c r="V54" s="135">
        <f>XEL!V134-'NSP-MN'!V205-'NSP-WI'!V195-PSCO!V198-SPS!V159</f>
        <v>-10.794999999999995</v>
      </c>
      <c r="W54" s="116">
        <f>XEL!W134-'NSP-MN'!W205-'NSP-WI'!W195-PSCO!W198-SPS!W159</f>
        <v>-13.201999999999956</v>
      </c>
      <c r="X54" s="82">
        <f>XEL!X134-'NSP-MN'!X205-'NSP-WI'!X195-PSCO!X198-SPS!X159</f>
        <v>-49.308000000000078</v>
      </c>
      <c r="Y54" s="136">
        <f>XEL!Y134-'NSP-MN'!Y205-'NSP-WI'!Y195-PSCO!Y198-SPS!Y159</f>
        <v>-14.269000000000016</v>
      </c>
      <c r="Z54" s="135">
        <f>XEL!Z134-'NSP-MN'!Z205-'NSP-WI'!Z195-PSCO!Z198-SPS!Z159</f>
        <v>-16.892999999999954</v>
      </c>
      <c r="AA54" s="135">
        <f>XEL!AA134-'NSP-MN'!AA205-'NSP-WI'!AA195-PSCO!AA198-SPS!AA159</f>
        <v>-13.670000000000066</v>
      </c>
      <c r="AB54" s="116">
        <f>XEL!AB134-'NSP-MN'!AB205-'NSP-WI'!AB195-PSCO!AB198-SPS!AB159</f>
        <v>-8.3079999999999217</v>
      </c>
      <c r="AC54" s="82">
        <f>XEL!AC134-'NSP-MN'!AC205-'NSP-WI'!AC195-PSCO!AC198-SPS!AC159</f>
        <v>-53.139999999999972</v>
      </c>
      <c r="AD54" s="136">
        <f>XEL!AD134-'NSP-MN'!AD205-'NSP-WI'!AD195-PSCO!AD198-SPS!AD159</f>
        <v>-8.5159999999999911</v>
      </c>
      <c r="AE54" s="135">
        <f>XEL!AE134-'NSP-MN'!AE205-'NSP-WI'!AE195-PSCO!AE198-SPS!AE159</f>
        <v>-9.9509999999999863</v>
      </c>
      <c r="AF54" s="135">
        <f>XEL!AF134-'NSP-MN'!AF205-'NSP-WI'!AF195-PSCO!AF198-SPS!AF159</f>
        <v>-7.0129999999999768</v>
      </c>
      <c r="AG54" s="116">
        <f>XEL!AG134-'NSP-MN'!AG205-'NSP-WI'!AG195-PSCO!AG198-SPS!AG159</f>
        <v>-13.810999999999979</v>
      </c>
      <c r="AH54" s="82">
        <f>XEL!AH134-'NSP-MN'!AH205-'NSP-WI'!AH195-PSCO!AH198-SPS!AH159</f>
        <v>-39.290999999999968</v>
      </c>
      <c r="AI54" s="136">
        <f>XEL!AI134-'NSP-MN'!AI205-'NSP-WI'!AI195-PSCO!AI198-SPS!AI159</f>
        <v>-8.3379999999999939</v>
      </c>
      <c r="AJ54" s="135">
        <f>XEL!AJ134-'NSP-MN'!AJ205-'NSP-WI'!AJ195-PSCO!AJ198-SPS!AJ159</f>
        <v>-10.838000000000001</v>
      </c>
      <c r="AK54" s="135">
        <f>XEL!AK134-'NSP-MN'!AK205-'NSP-WI'!AK195-PSCO!AK198-SPS!AK159</f>
        <v>-10.213999999999977</v>
      </c>
      <c r="AL54" s="116">
        <f>XEL!AL134-'NSP-MN'!AL205-'NSP-WI'!AL195-PSCO!AL198-SPS!AL159</f>
        <v>-11.66500000000002</v>
      </c>
      <c r="AM54" s="82">
        <f>XEL!AM134-'NSP-MN'!AM205-'NSP-WI'!AM195-PSCO!AM198-SPS!AM159</f>
        <v>-41.055000000000035</v>
      </c>
      <c r="AN54" s="136">
        <f>XEL!AN134-'NSP-MN'!AN205-'NSP-WI'!AN195-PSCO!AN198-SPS!AN159</f>
        <v>-9.3450000000000024</v>
      </c>
      <c r="AO54" s="135">
        <f>XEL!AO134-'NSP-MN'!AO205-'NSP-WI'!AO195-PSCO!AO198-SPS!AO159</f>
        <v>-13.560999999999979</v>
      </c>
      <c r="AP54" s="135">
        <f>XEL!AP134-'NSP-MN'!AP205-'NSP-WI'!AP195-PSCO!AP198-SPS!AP159</f>
        <v>-14.931000000000012</v>
      </c>
      <c r="AQ54" s="116">
        <f>XEL!AQ134-'NSP-MN'!AQ205-'NSP-WI'!AQ195-PSCO!AQ198-SPS!AQ159</f>
        <v>-12.311000000000163</v>
      </c>
      <c r="AR54" s="82">
        <f>XEL!AR134-'NSP-MN'!AR205-'NSP-WI'!AR195-PSCO!AR198-SPS!AR159</f>
        <v>-50.14800000000011</v>
      </c>
      <c r="AS54" s="136">
        <f>XEL!AS134-'NSP-MN'!AS205-'NSP-WI'!AS195-PSCO!AS198-SPS!AS159</f>
        <v>-13.909000000000013</v>
      </c>
      <c r="AT54" s="135">
        <f>XEL!AT134-'NSP-MN'!AT205-'NSP-WI'!AT195-PSCO!AT198-SPS!AT159</f>
        <v>-10.595999999999982</v>
      </c>
      <c r="AU54" s="135">
        <f>XEL!AU134-'NSP-MN'!AU205-'NSP-WI'!AU195-PSCO!AU198-SPS!AU159</f>
        <v>-13.045000000000044</v>
      </c>
      <c r="AV54" s="116">
        <f>XEL!AV134-'NSP-MN'!AV205-'NSP-WI'!AV195-PSCO!AV198-SPS!AV159</f>
        <v>-37.318999999999974</v>
      </c>
      <c r="AW54" s="82">
        <f>XEL!AW134-'NSP-MN'!AW205-'NSP-WI'!AW195-PSCO!AW198-SPS!AW159</f>
        <v>-74.869000000000057</v>
      </c>
      <c r="AX54" s="136">
        <f>+AX37</f>
        <v>-19.044279258818364</v>
      </c>
      <c r="AY54" s="135">
        <f>+AY37</f>
        <v>-17.999806265807621</v>
      </c>
      <c r="AZ54" s="135">
        <f>+AZ37</f>
        <v>-23.579617437337113</v>
      </c>
      <c r="BA54" s="116">
        <f>+BA37</f>
        <v>-11.529990800172724</v>
      </c>
      <c r="BB54" s="82">
        <f>SUM(AX54:BA54)</f>
        <v>-72.153693762135816</v>
      </c>
      <c r="BC54" s="136">
        <f>+BC37</f>
        <v>-22.942724695497407</v>
      </c>
      <c r="BD54" s="135">
        <f>+BD37</f>
        <v>-22.285958365758002</v>
      </c>
      <c r="BE54" s="135">
        <f>+BE37</f>
        <v>-29.52345747456981</v>
      </c>
      <c r="BF54" s="116">
        <f>+BF37</f>
        <v>-15.796543425235269</v>
      </c>
      <c r="BG54" s="82">
        <f>SUM(BC54:BF54)</f>
        <v>-90.54868396106049</v>
      </c>
      <c r="BH54" s="136">
        <f>+BH37</f>
        <v>-27.165283023107708</v>
      </c>
      <c r="BI54" s="135">
        <f>+BI37</f>
        <v>-22.378310146627499</v>
      </c>
      <c r="BJ54" s="135">
        <f>+BJ37</f>
        <v>-33.555090233740827</v>
      </c>
      <c r="BK54" s="116">
        <f>+BK37</f>
        <v>-16.01304687712841</v>
      </c>
      <c r="BL54" s="82">
        <f>SUM(BH54:BK54)</f>
        <v>-99.111730280604434</v>
      </c>
      <c r="BM54" s="136">
        <f>+BM37</f>
        <v>-27.251688268003765</v>
      </c>
      <c r="BN54" s="135">
        <f>+BN37</f>
        <v>-24.359573867994889</v>
      </c>
      <c r="BO54" s="135">
        <f>+BO37</f>
        <v>-36.441099353864864</v>
      </c>
      <c r="BP54" s="116">
        <f>+BP37</f>
        <v>-16.625653283270317</v>
      </c>
      <c r="BQ54" s="82">
        <f>SUM(BM54:BP54)</f>
        <v>-104.67801477313384</v>
      </c>
    </row>
    <row r="55" spans="2:71" x14ac:dyDescent="0.2">
      <c r="B55" s="82"/>
      <c r="C55" s="70" t="s">
        <v>178</v>
      </c>
      <c r="D55" s="82"/>
      <c r="E55" s="136">
        <f>XEL!E135-'NSP-MN'!E206-'NSP-WI'!E196-PSCO!E199-SPS!E160</f>
        <v>-0.54599999999999582</v>
      </c>
      <c r="F55" s="135">
        <f>XEL!F135-'NSP-MN'!F206-'NSP-WI'!F196-PSCO!F199-SPS!F160</f>
        <v>5.7690000000000161</v>
      </c>
      <c r="G55" s="135">
        <f>XEL!G135-'NSP-MN'!G206-'NSP-WI'!G196-PSCO!G199-SPS!G160</f>
        <v>2.595000000000006</v>
      </c>
      <c r="H55" s="116">
        <f>XEL!H135-'NSP-MN'!H206-'NSP-WI'!H196-PSCO!H199-SPS!H160</f>
        <v>2.4259999999999593</v>
      </c>
      <c r="I55" s="82">
        <f>XEL!I135-'NSP-MN'!I206-'NSP-WI'!I196-PSCO!I199-SPS!I160</f>
        <v>10.244000000000014</v>
      </c>
      <c r="J55" s="136">
        <f>XEL!J135-'NSP-MN'!J206-'NSP-WI'!J196-PSCO!J199-SPS!J160</f>
        <v>2.4720000000000013</v>
      </c>
      <c r="K55" s="135">
        <f>XEL!K135-'NSP-MN'!K206-'NSP-WI'!K196-PSCO!K199-SPS!K160</f>
        <v>2.5659999999999812</v>
      </c>
      <c r="L55" s="135">
        <f>XEL!L135-'NSP-MN'!L206-'NSP-WI'!L196-PSCO!L199-SPS!L160</f>
        <v>2.7770000000000863</v>
      </c>
      <c r="M55" s="116">
        <f>XEL!M135-'NSP-MN'!M206-'NSP-WI'!M196-PSCO!M199-SPS!M160</f>
        <v>2.5159999999999911</v>
      </c>
      <c r="N55" s="82">
        <f>XEL!N135-'NSP-MN'!N206-'NSP-WI'!N196-PSCO!N199-SPS!N160</f>
        <v>10.331000000000074</v>
      </c>
      <c r="O55" s="136">
        <f>XEL!O135-'NSP-MN'!O206-'NSP-WI'!O196-PSCO!O199-SPS!O160</f>
        <v>2.3670000000000044</v>
      </c>
      <c r="P55" s="135">
        <f>XEL!P135-'NSP-MN'!P206-'NSP-WI'!P196-PSCO!P199-SPS!P160</f>
        <v>2.3259999999999934</v>
      </c>
      <c r="Q55" s="135">
        <f>XEL!Q135-'NSP-MN'!Q206-'NSP-WI'!Q196-PSCO!Q199-SPS!Q160</f>
        <v>2.3510000000000275</v>
      </c>
      <c r="R55" s="116">
        <f>XEL!R135-'NSP-MN'!R206-'NSP-WI'!R196-PSCO!R199-SPS!R160</f>
        <v>2.4319999999999453</v>
      </c>
      <c r="S55" s="82">
        <f>XEL!S135-'NSP-MN'!S206-'NSP-WI'!S196-PSCO!S199-SPS!S160</f>
        <v>9.4759999999999422</v>
      </c>
      <c r="T55" s="136">
        <f>XEL!T135-'NSP-MN'!T206-'NSP-WI'!T196-PSCO!T199-SPS!T160</f>
        <v>2.2500000000000107</v>
      </c>
      <c r="U55" s="135">
        <f>XEL!U135-'NSP-MN'!U206-'NSP-WI'!U196-PSCO!U199-SPS!U160</f>
        <v>2.2330000000000005</v>
      </c>
      <c r="V55" s="135">
        <f>XEL!V135-'NSP-MN'!V206-'NSP-WI'!V196-PSCO!V199-SPS!V160</f>
        <v>2.2449999999999832</v>
      </c>
      <c r="W55" s="116">
        <f>XEL!W135-'NSP-MN'!W206-'NSP-WI'!W196-PSCO!W199-SPS!W160</f>
        <v>2.1340000000000146</v>
      </c>
      <c r="X55" s="82">
        <f>XEL!X135-'NSP-MN'!X206-'NSP-WI'!X196-PSCO!X199-SPS!X160</f>
        <v>8.8619999999999379</v>
      </c>
      <c r="Y55" s="136">
        <f>XEL!Y135-'NSP-MN'!Y206-'NSP-WI'!Y196-PSCO!Y199-SPS!Y160</f>
        <v>2.004999999999999</v>
      </c>
      <c r="Z55" s="135">
        <f>XEL!Z135-'NSP-MN'!Z206-'NSP-WI'!Z196-PSCO!Z199-SPS!Z160</f>
        <v>8.2760000000000211</v>
      </c>
      <c r="AA55" s="135">
        <f>XEL!AA135-'NSP-MN'!AA206-'NSP-WI'!AA196-PSCO!AA199-SPS!AA160</f>
        <v>1.892000000000067</v>
      </c>
      <c r="AB55" s="116">
        <f>XEL!AB135-'NSP-MN'!AB206-'NSP-WI'!AB196-PSCO!AB199-SPS!AB160</f>
        <v>1.9879999999998859</v>
      </c>
      <c r="AC55" s="82">
        <f>XEL!AC135-'NSP-MN'!AC206-'NSP-WI'!AC196-PSCO!AC199-SPS!AC160</f>
        <v>14.160999999999959</v>
      </c>
      <c r="AD55" s="136">
        <f>XEL!AD135-'NSP-MN'!AD206-'NSP-WI'!AD196-PSCO!AD199-SPS!AD160</f>
        <v>4.5269999999999833</v>
      </c>
      <c r="AE55" s="135">
        <f>XEL!AE135-'NSP-MN'!AE206-'NSP-WI'!AE196-PSCO!AE199-SPS!AE160</f>
        <v>4.2270000000000465</v>
      </c>
      <c r="AF55" s="135">
        <f>XEL!AF135-'NSP-MN'!AF206-'NSP-WI'!AF196-PSCO!AF199-SPS!AF160</f>
        <v>4.2220000000000084</v>
      </c>
      <c r="AG55" s="116">
        <f>XEL!AG135-'NSP-MN'!AG206-'NSP-WI'!AG196-PSCO!AG199-SPS!AG160</f>
        <v>4.3450000000000699</v>
      </c>
      <c r="AH55" s="82">
        <f>XEL!AH135-'NSP-MN'!AH206-'NSP-WI'!AH196-PSCO!AH199-SPS!AH160</f>
        <v>17.321000000000083</v>
      </c>
      <c r="AI55" s="136">
        <f>XEL!AI135-'NSP-MN'!AI206-'NSP-WI'!AI196-PSCO!AI199-SPS!AI160</f>
        <v>-1.2350000000000136</v>
      </c>
      <c r="AJ55" s="135">
        <f>XEL!AJ135-'NSP-MN'!AJ206-'NSP-WI'!AJ196-PSCO!AJ199-SPS!AJ160</f>
        <v>-1.2080000000000126</v>
      </c>
      <c r="AK55" s="135">
        <f>XEL!AK135-'NSP-MN'!AK206-'NSP-WI'!AK196-PSCO!AK199-SPS!AK160</f>
        <v>-1.019999999999925</v>
      </c>
      <c r="AL55" s="116">
        <f>XEL!AL135-'NSP-MN'!AL206-'NSP-WI'!AL196-PSCO!AL199-SPS!AL160</f>
        <v>-1.0160000000001475</v>
      </c>
      <c r="AM55" s="82">
        <f>XEL!AM135-'NSP-MN'!AM206-'NSP-WI'!AM196-PSCO!AM199-SPS!AM160</f>
        <v>-4.4790000000001839</v>
      </c>
      <c r="AN55" s="136">
        <f>XEL!AN135-'NSP-MN'!AN206-'NSP-WI'!AN196-PSCO!AN199-SPS!AN160</f>
        <v>1.2470000000000141</v>
      </c>
      <c r="AO55" s="135">
        <f>XEL!AO135-'NSP-MN'!AO206-'NSP-WI'!AO196-PSCO!AO199-SPS!AO160</f>
        <v>2.2479999999999905</v>
      </c>
      <c r="AP55" s="135">
        <f>XEL!AP135-'NSP-MN'!AP206-'NSP-WI'!AP196-PSCO!AP199-SPS!AP160</f>
        <v>1.6860000000000639</v>
      </c>
      <c r="AQ55" s="116">
        <f>XEL!AQ135-'NSP-MN'!AQ206-'NSP-WI'!AQ196-PSCO!AQ199-SPS!AQ160</f>
        <v>1.7269999999999186</v>
      </c>
      <c r="AR55" s="82">
        <f>XEL!AR135-'NSP-MN'!AR206-'NSP-WI'!AR196-PSCO!AR199-SPS!AR160</f>
        <v>6.9080000000000155</v>
      </c>
      <c r="AS55" s="136">
        <f>XEL!AS135-'NSP-MN'!AS206-'NSP-WI'!AS196-PSCO!AS199-SPS!AS160</f>
        <v>1.5579999999999856</v>
      </c>
      <c r="AT55" s="135">
        <f>XEL!AT135-'NSP-MN'!AT206-'NSP-WI'!AT196-PSCO!AT199-SPS!AT160</f>
        <v>1.5769999999999769</v>
      </c>
      <c r="AU55" s="135">
        <f>XEL!AU135-'NSP-MN'!AU206-'NSP-WI'!AU196-PSCO!AU199-SPS!AU160</f>
        <v>1.3849999999999341</v>
      </c>
      <c r="AV55" s="116">
        <f>XEL!AV135-'NSP-MN'!AV206-'NSP-WI'!AV196-PSCO!AV199-SPS!AV160</f>
        <v>1.3050000000001489</v>
      </c>
      <c r="AW55" s="82">
        <f>XEL!AW135-'NSP-MN'!AW206-'NSP-WI'!AW196-PSCO!AW199-SPS!AW160</f>
        <v>5.8250000000000455</v>
      </c>
      <c r="AX55" s="136">
        <f>+AX13</f>
        <v>0.56400000000000006</v>
      </c>
      <c r="AY55" s="135">
        <f>+AY13</f>
        <v>0.61200000000005161</v>
      </c>
      <c r="AZ55" s="135">
        <f>+AZ13</f>
        <v>0.53599999999998715</v>
      </c>
      <c r="BA55" s="116">
        <f>+BA13</f>
        <v>5.0000000002512479E-3</v>
      </c>
      <c r="BB55" s="82">
        <f>SUM(AX55:BA55)</f>
        <v>1.7170000000002901</v>
      </c>
      <c r="BC55" s="136">
        <f>+BC13</f>
        <v>0.56400000000000006</v>
      </c>
      <c r="BD55" s="135">
        <f>+BD13</f>
        <v>0.61200000000005161</v>
      </c>
      <c r="BE55" s="135">
        <f>+BE13</f>
        <v>0.53599999999998715</v>
      </c>
      <c r="BF55" s="116">
        <f>+BF13</f>
        <v>5.0000000002512479E-3</v>
      </c>
      <c r="BG55" s="82">
        <f>SUM(BC55:BF55)</f>
        <v>1.7170000000002901</v>
      </c>
      <c r="BH55" s="136">
        <f>+BH13</f>
        <v>0.56400000000000006</v>
      </c>
      <c r="BI55" s="135">
        <f>+BI13</f>
        <v>0.61200000000005161</v>
      </c>
      <c r="BJ55" s="135">
        <f>+BJ13</f>
        <v>0.53599999999998715</v>
      </c>
      <c r="BK55" s="116">
        <f>+BK13</f>
        <v>5.0000000002512479E-3</v>
      </c>
      <c r="BL55" s="82">
        <f>SUM(BH55:BK55)</f>
        <v>1.7170000000002901</v>
      </c>
      <c r="BM55" s="136">
        <f>+BM13</f>
        <v>0.56400000000000006</v>
      </c>
      <c r="BN55" s="135">
        <f>+BN13</f>
        <v>0.61200000000005161</v>
      </c>
      <c r="BO55" s="135">
        <f>+BO13</f>
        <v>0.53599999999998715</v>
      </c>
      <c r="BP55" s="116">
        <f>+BP13</f>
        <v>5.0000000002512479E-3</v>
      </c>
      <c r="BQ55" s="82">
        <f>SUM(BM55:BP55)</f>
        <v>1.7170000000002901</v>
      </c>
    </row>
    <row r="56" spans="2:71" x14ac:dyDescent="0.2">
      <c r="B56" s="82"/>
      <c r="C56" s="70" t="s">
        <v>180</v>
      </c>
      <c r="D56" s="82"/>
      <c r="E56" s="136">
        <f>XEL!E137-'NSP-MN'!E208-'NSP-WI'!E198-PSCO!E201-SPS!E162</f>
        <v>1.2859999999999978</v>
      </c>
      <c r="F56" s="135">
        <f>XEL!F137-'NSP-MN'!F208-'NSP-WI'!F198-PSCO!F201-SPS!F162</f>
        <v>-7.8290000000000148</v>
      </c>
      <c r="G56" s="135">
        <f>XEL!G137-'NSP-MN'!G208-'NSP-WI'!G198-PSCO!G201-SPS!G162</f>
        <v>-0.9859999999999971</v>
      </c>
      <c r="H56" s="116">
        <f>XEL!H137-'NSP-MN'!H208-'NSP-WI'!H198-PSCO!H201-SPS!H162</f>
        <v>1.2529999999999859</v>
      </c>
      <c r="I56" s="82">
        <f>XEL!I137-'NSP-MN'!I208-'NSP-WI'!I198-PSCO!I201-SPS!I162</f>
        <v>-6.2760000000000211</v>
      </c>
      <c r="J56" s="136">
        <f>XEL!J137-'NSP-MN'!J208-'NSP-WI'!J198-PSCO!J201-SPS!J162</f>
        <v>2.5649999999999942</v>
      </c>
      <c r="K56" s="135">
        <f>XEL!K137-'NSP-MN'!K208-'NSP-WI'!K198-PSCO!K201-SPS!K162</f>
        <v>-0.60299999999998022</v>
      </c>
      <c r="L56" s="135">
        <f>XEL!L137-'NSP-MN'!L208-'NSP-WI'!L198-PSCO!L201-SPS!L162</f>
        <v>-9.1070000000000135</v>
      </c>
      <c r="M56" s="116">
        <f>XEL!M137-'NSP-MN'!M208-'NSP-WI'!M198-PSCO!M201-SPS!M162</f>
        <v>-31.029000000000025</v>
      </c>
      <c r="N56" s="82">
        <f>XEL!N137-'NSP-MN'!N208-'NSP-WI'!N198-PSCO!N201-SPS!N162</f>
        <v>-38.174000000000021</v>
      </c>
      <c r="O56" s="136">
        <f>XEL!O137-'NSP-MN'!O208-'NSP-WI'!O198-PSCO!O201-SPS!O162</f>
        <v>1.6340000000000119</v>
      </c>
      <c r="P56" s="135">
        <f>XEL!P137-'NSP-MN'!P208-'NSP-WI'!P198-PSCO!P201-SPS!P162</f>
        <v>-12.688000000000009</v>
      </c>
      <c r="Q56" s="135">
        <f>XEL!Q137-'NSP-MN'!Q208-'NSP-WI'!Q198-PSCO!Q201-SPS!Q162</f>
        <v>-5.6569999999999681</v>
      </c>
      <c r="R56" s="116">
        <f>XEL!R137-'NSP-MN'!R208-'NSP-WI'!R198-PSCO!R201-SPS!R162</f>
        <v>-30.515000000000022</v>
      </c>
      <c r="S56" s="82">
        <f>XEL!S137-'NSP-MN'!S208-'NSP-WI'!S198-PSCO!S201-SPS!S162</f>
        <v>-47.22600000000002</v>
      </c>
      <c r="T56" s="136">
        <f>XEL!T137-'NSP-MN'!T208-'NSP-WI'!T198-PSCO!T201-SPS!T162</f>
        <v>38.330999999999975</v>
      </c>
      <c r="U56" s="135">
        <f>XEL!U137-'NSP-MN'!U208-'NSP-WI'!U198-PSCO!U201-SPS!U162</f>
        <v>-9.4789999999999814</v>
      </c>
      <c r="V56" s="135">
        <f>XEL!V137-'NSP-MN'!V208-'NSP-WI'!V198-PSCO!V201-SPS!V162</f>
        <v>29.52500000000002</v>
      </c>
      <c r="W56" s="116">
        <f>XEL!W137-'NSP-MN'!W208-'NSP-WI'!W198-PSCO!W201-SPS!W162</f>
        <v>90.417999999999978</v>
      </c>
      <c r="X56" s="82">
        <f>XEL!X137-'NSP-MN'!X208-'NSP-WI'!X198-PSCO!X201-SPS!X162</f>
        <v>148.79499999999999</v>
      </c>
      <c r="Y56" s="136">
        <f>XEL!Y137-'NSP-MN'!Y208-'NSP-WI'!Y198-PSCO!Y201-SPS!Y162</f>
        <v>-6.6169999999999831</v>
      </c>
      <c r="Z56" s="135">
        <f>XEL!Z137-'NSP-MN'!Z208-'NSP-WI'!Z198-PSCO!Z201-SPS!Z162</f>
        <v>-13.568000000000016</v>
      </c>
      <c r="AA56" s="135">
        <f>XEL!AA137-'NSP-MN'!AA208-'NSP-WI'!AA198-PSCO!AA201-SPS!AA162</f>
        <v>36.240999999999985</v>
      </c>
      <c r="AB56" s="116">
        <f>XEL!AB137-'NSP-MN'!AB208-'NSP-WI'!AB198-PSCO!AB201-SPS!AB162</f>
        <v>-47.954999999999949</v>
      </c>
      <c r="AC56" s="82">
        <f>XEL!AC137-'NSP-MN'!AC208-'NSP-WI'!AC198-PSCO!AC201-SPS!AC162</f>
        <v>-31.898999999999923</v>
      </c>
      <c r="AD56" s="136">
        <f>XEL!AD137-'NSP-MN'!AD208-'NSP-WI'!AD198-PSCO!AD201-SPS!AD162</f>
        <v>29.573999999999995</v>
      </c>
      <c r="AE56" s="135">
        <f>XEL!AE137-'NSP-MN'!AE208-'NSP-WI'!AE198-PSCO!AE201-SPS!AE162</f>
        <v>-2.5599999999999774</v>
      </c>
      <c r="AF56" s="135">
        <f>XEL!AF137-'NSP-MN'!AF208-'NSP-WI'!AF198-PSCO!AF201-SPS!AF162</f>
        <v>27.594999999999999</v>
      </c>
      <c r="AG56" s="116">
        <f>XEL!AG137-'NSP-MN'!AG208-'NSP-WI'!AG198-PSCO!AG201-SPS!AG162</f>
        <v>-49.437999999999974</v>
      </c>
      <c r="AH56" s="82">
        <f>XEL!AH137-'NSP-MN'!AH208-'NSP-WI'!AH198-PSCO!AH201-SPS!AH162</f>
        <v>5.1710000000000207</v>
      </c>
      <c r="AI56" s="136">
        <f>XEL!AI137-'NSP-MN'!AI208-'NSP-WI'!AI198-PSCO!AI201-SPS!AI162</f>
        <v>23.578999999999997</v>
      </c>
      <c r="AJ56" s="135">
        <f>XEL!AJ137-'NSP-MN'!AJ208-'NSP-WI'!AJ198-PSCO!AJ201-SPS!AJ162</f>
        <v>-15.363000000000017</v>
      </c>
      <c r="AK56" s="135">
        <f>XEL!AK137-'NSP-MN'!AK208-'NSP-WI'!AK198-PSCO!AK201-SPS!AK162</f>
        <v>10.841000000000022</v>
      </c>
      <c r="AL56" s="116">
        <f>XEL!AL137-'NSP-MN'!AL208-'NSP-WI'!AL198-PSCO!AL201-SPS!AL162</f>
        <v>-76.589999999999989</v>
      </c>
      <c r="AM56" s="82">
        <f>XEL!AM137-'NSP-MN'!AM208-'NSP-WI'!AM198-PSCO!AM201-SPS!AM162</f>
        <v>-57.532999999999944</v>
      </c>
      <c r="AN56" s="136">
        <f>XEL!AN137-'NSP-MN'!AN208-'NSP-WI'!AN198-PSCO!AN201-SPS!AN162</f>
        <v>17.763999999999985</v>
      </c>
      <c r="AO56" s="135">
        <f>XEL!AO137-'NSP-MN'!AO208-'NSP-WI'!AO198-PSCO!AO201-SPS!AO162</f>
        <v>-7.1329999999999849</v>
      </c>
      <c r="AP56" s="135">
        <f>XEL!AP137-'NSP-MN'!AP208-'NSP-WI'!AP198-PSCO!AP201-SPS!AP162</f>
        <v>8.8090000000000259</v>
      </c>
      <c r="AQ56" s="116">
        <f>XEL!AQ137-'NSP-MN'!AQ208-'NSP-WI'!AQ198-PSCO!AQ201-SPS!AQ162</f>
        <v>-11.355000000000061</v>
      </c>
      <c r="AR56" s="82">
        <f>XEL!AR137-'NSP-MN'!AR208-'NSP-WI'!AR198-PSCO!AR201-SPS!AR162</f>
        <v>8.0849999999999795</v>
      </c>
      <c r="AS56" s="136">
        <f>XEL!AS137-'NSP-MN'!AS208-'NSP-WI'!AS198-PSCO!AS201-SPS!AS162</f>
        <v>35.175999999999995</v>
      </c>
      <c r="AT56" s="135">
        <f>XEL!AT137-'NSP-MN'!AT208-'NSP-WI'!AT198-PSCO!AT201-SPS!AT162</f>
        <v>-13.803000000000026</v>
      </c>
      <c r="AU56" s="135">
        <f>XEL!AU137-'NSP-MN'!AU208-'NSP-WI'!AU198-PSCO!AU201-SPS!AU162</f>
        <v>19.779999999999994</v>
      </c>
      <c r="AV56" s="116">
        <f>XEL!AV137-'NSP-MN'!AV208-'NSP-WI'!AV198-PSCO!AV201-SPS!AV162</f>
        <v>25.836000000000027</v>
      </c>
      <c r="AW56" s="82">
        <f>XEL!AW137-'NSP-MN'!AW208-'NSP-WI'!AW198-PSCO!AW201-SPS!AW162</f>
        <v>66.988999999999947</v>
      </c>
      <c r="AX56" s="136">
        <f>+XEL!AX137-'NSP-MN'!AX208-PSCO!AX201-SPS!AX162-'NSP-WI'!AX198</f>
        <v>0</v>
      </c>
      <c r="AY56" s="135">
        <f>+XEL!AY137-'NSP-MN'!AY208-PSCO!AY201-SPS!AY162-'NSP-WI'!AY198</f>
        <v>0</v>
      </c>
      <c r="AZ56" s="135">
        <f>+XEL!AZ137-'NSP-MN'!AZ208-PSCO!AZ201-SPS!AZ162-'NSP-WI'!AZ198</f>
        <v>-2.7533531010703882E-14</v>
      </c>
      <c r="BA56" s="116">
        <f>+XEL!BA137-'NSP-MN'!BA208-PSCO!BA201-SPS!BA162-'NSP-WI'!BA198</f>
        <v>0</v>
      </c>
      <c r="BB56" s="82">
        <f>SUM(AX56:BA56)</f>
        <v>-2.7533531010703882E-14</v>
      </c>
      <c r="BC56" s="136">
        <f>+XEL!BC137-'NSP-MN'!BC208-PSCO!BC201-SPS!BC162-'NSP-WI'!BC198</f>
        <v>-1.5987211554602254E-14</v>
      </c>
      <c r="BD56" s="135">
        <f>+XEL!BD137-'NSP-MN'!BD208-PSCO!BD201-SPS!BD162-'NSP-WI'!BD198</f>
        <v>0</v>
      </c>
      <c r="BE56" s="135">
        <f>+XEL!BE137-'NSP-MN'!BE208-PSCO!BE201-SPS!BE162-'NSP-WI'!BE198</f>
        <v>9.7699626167013776E-15</v>
      </c>
      <c r="BF56" s="116">
        <f>+XEL!BF137-'NSP-MN'!BF208-PSCO!BF201-SPS!BF162-'NSP-WI'!BF198</f>
        <v>-1.0658141036401503E-14</v>
      </c>
      <c r="BG56" s="82">
        <f>SUM(BC56:BF56)</f>
        <v>-1.6875389974302379E-14</v>
      </c>
      <c r="BH56" s="136">
        <f>+XEL!BH137-'NSP-MN'!BH208-PSCO!BH201-SPS!BH162-'NSP-WI'!BH198</f>
        <v>0</v>
      </c>
      <c r="BI56" s="135">
        <f>+XEL!BI137-'NSP-MN'!BI208-PSCO!BI201-SPS!BI162-'NSP-WI'!BI198</f>
        <v>2.1316282072803006E-14</v>
      </c>
      <c r="BJ56" s="135">
        <f>+XEL!BJ137-'NSP-MN'!BJ208-PSCO!BJ201-SPS!BJ162-'NSP-WI'!BJ198</f>
        <v>-1.4210854715202004E-14</v>
      </c>
      <c r="BK56" s="116">
        <f>+XEL!BK137-'NSP-MN'!BK208-PSCO!BK201-SPS!BK162-'NSP-WI'!BK198</f>
        <v>0</v>
      </c>
      <c r="BL56" s="82">
        <f>SUM(BH56:BK56)</f>
        <v>7.1054273576010019E-15</v>
      </c>
      <c r="BM56" s="136">
        <f>+XEL!BM137-'NSP-MN'!BM208-PSCO!BM201-SPS!BM162-'NSP-WI'!BM198</f>
        <v>0</v>
      </c>
      <c r="BN56" s="135">
        <f>+XEL!BN137-'NSP-MN'!BN208-PSCO!BN201-SPS!BN162-'NSP-WI'!BN198</f>
        <v>1.3322676295501878E-14</v>
      </c>
      <c r="BO56" s="135">
        <f>+XEL!BO137-'NSP-MN'!BO208-PSCO!BO201-SPS!BO162-'NSP-WI'!BO198</f>
        <v>-1.1546319456101628E-14</v>
      </c>
      <c r="BP56" s="116">
        <f>+XEL!BP137-'NSP-MN'!BP208-PSCO!BP201-SPS!BP162-'NSP-WI'!BP198</f>
        <v>0</v>
      </c>
      <c r="BQ56" s="82">
        <f>SUM(BM56:BP56)</f>
        <v>1.7763568394002505E-15</v>
      </c>
    </row>
    <row r="57" spans="2:71" x14ac:dyDescent="0.2">
      <c r="B57" s="82"/>
      <c r="C57" s="70" t="s">
        <v>318</v>
      </c>
      <c r="D57" s="82"/>
      <c r="E57" s="136">
        <f>+E58-SUM(E54:E56)</f>
        <v>-28.531000000000041</v>
      </c>
      <c r="F57" s="135">
        <f t="shared" ref="F57:Q57" si="124">+F58-SUM(F54:F56)</f>
        <v>97.093000000000018</v>
      </c>
      <c r="G57" s="135">
        <f t="shared" si="124"/>
        <v>-18.364000000000125</v>
      </c>
      <c r="H57" s="116">
        <f t="shared" si="124"/>
        <v>22.284000000000134</v>
      </c>
      <c r="I57" s="82">
        <f t="shared" si="124"/>
        <v>72.482000000000028</v>
      </c>
      <c r="J57" s="136">
        <f t="shared" si="124"/>
        <v>-97.674000000000049</v>
      </c>
      <c r="K57" s="135">
        <f t="shared" si="124"/>
        <v>144.48800000000011</v>
      </c>
      <c r="L57" s="135">
        <f t="shared" si="124"/>
        <v>-7.4869999999999237</v>
      </c>
      <c r="M57" s="116">
        <f t="shared" si="124"/>
        <v>-84.429999999999907</v>
      </c>
      <c r="N57" s="82">
        <f t="shared" si="124"/>
        <v>-45.102999999999724</v>
      </c>
      <c r="O57" s="136">
        <f t="shared" si="124"/>
        <v>-1.2559999999999976</v>
      </c>
      <c r="P57" s="135">
        <f t="shared" si="124"/>
        <v>23.666000000000089</v>
      </c>
      <c r="Q57" s="135">
        <f t="shared" si="124"/>
        <v>28.747999999999919</v>
      </c>
      <c r="R57" s="116">
        <f t="shared" ref="R57:Y57" si="125">+R58-SUM(R54:R56)</f>
        <v>49.623999999999953</v>
      </c>
      <c r="S57" s="82">
        <f t="shared" si="125"/>
        <v>100.78200000000064</v>
      </c>
      <c r="T57" s="136">
        <f t="shared" si="125"/>
        <v>-84.91700000000003</v>
      </c>
      <c r="U57" s="135">
        <f t="shared" si="125"/>
        <v>85.644000000000034</v>
      </c>
      <c r="V57" s="135">
        <f t="shared" si="125"/>
        <v>8.7939999999999543</v>
      </c>
      <c r="W57" s="116">
        <f t="shared" si="125"/>
        <v>86.071000000000041</v>
      </c>
      <c r="X57" s="82">
        <f t="shared" si="125"/>
        <v>95.592000000000127</v>
      </c>
      <c r="Y57" s="136">
        <f t="shared" si="125"/>
        <v>-131.79200000000009</v>
      </c>
      <c r="Z57" s="135">
        <f t="shared" ref="Z57:AF57" si="126">+Z58-SUM(Z54:Z56)</f>
        <v>29.294000000000043</v>
      </c>
      <c r="AA57" s="135">
        <f t="shared" si="126"/>
        <v>-28.39999999999997</v>
      </c>
      <c r="AB57" s="116">
        <f t="shared" si="126"/>
        <v>70.246999999999815</v>
      </c>
      <c r="AC57" s="82">
        <f t="shared" si="126"/>
        <v>-60.651000000000124</v>
      </c>
      <c r="AD57" s="136">
        <f t="shared" si="126"/>
        <v>-112.28300000000002</v>
      </c>
      <c r="AE57" s="135">
        <f t="shared" si="126"/>
        <v>107.947</v>
      </c>
      <c r="AF57" s="135">
        <f t="shared" si="126"/>
        <v>-49.78</v>
      </c>
      <c r="AG57" s="116">
        <f t="shared" ref="AG57:AM57" si="127">+AG58-SUM(AG54:AG56)</f>
        <v>129.26000000000013</v>
      </c>
      <c r="AH57" s="82">
        <f t="shared" si="127"/>
        <v>75.144000000000233</v>
      </c>
      <c r="AI57" s="136">
        <f t="shared" si="127"/>
        <v>-133.6790000000002</v>
      </c>
      <c r="AJ57" s="135">
        <f t="shared" si="127"/>
        <v>84.593000000000202</v>
      </c>
      <c r="AK57" s="135">
        <f t="shared" si="127"/>
        <v>49.570999999999763</v>
      </c>
      <c r="AL57" s="116">
        <f t="shared" si="127"/>
        <v>56.512999999999835</v>
      </c>
      <c r="AM57" s="82">
        <f t="shared" si="127"/>
        <v>56.997999999999976</v>
      </c>
      <c r="AN57" s="136">
        <f t="shared" ref="AN57:AR57" si="128">+AN58-SUM(AN54:AN56)</f>
        <v>-119.15299999999982</v>
      </c>
      <c r="AO57" s="135">
        <f t="shared" si="128"/>
        <v>68.830999999999904</v>
      </c>
      <c r="AP57" s="135">
        <f t="shared" si="128"/>
        <v>32.565000000000282</v>
      </c>
      <c r="AQ57" s="116">
        <f t="shared" si="128"/>
        <v>45.540999999999968</v>
      </c>
      <c r="AR57" s="82">
        <f t="shared" si="128"/>
        <v>27.783999999999963</v>
      </c>
      <c r="AS57" s="136">
        <f t="shared" ref="AS57:AW57" si="129">+AS58-SUM(AS54:AS56)</f>
        <v>-127.81700000000004</v>
      </c>
      <c r="AT57" s="135">
        <f t="shared" si="129"/>
        <v>92.919999999999916</v>
      </c>
      <c r="AU57" s="135">
        <f t="shared" si="129"/>
        <v>53.522999999999975</v>
      </c>
      <c r="AV57" s="116">
        <f t="shared" si="129"/>
        <v>-15.222999999999857</v>
      </c>
      <c r="AW57" s="82">
        <f t="shared" si="129"/>
        <v>3.4030000000004179</v>
      </c>
      <c r="AX57" s="148">
        <v>0</v>
      </c>
      <c r="AY57" s="221">
        <v>0</v>
      </c>
      <c r="AZ57" s="221">
        <v>0</v>
      </c>
      <c r="BA57" s="150">
        <v>0</v>
      </c>
      <c r="BB57" s="82">
        <f>SUM(AX57:BA57)</f>
        <v>0</v>
      </c>
      <c r="BC57" s="148">
        <v>0</v>
      </c>
      <c r="BD57" s="221">
        <v>0</v>
      </c>
      <c r="BE57" s="221">
        <v>0</v>
      </c>
      <c r="BF57" s="150">
        <v>0</v>
      </c>
      <c r="BG57" s="82">
        <f>SUM(BC57:BF57)</f>
        <v>0</v>
      </c>
      <c r="BH57" s="148">
        <v>0</v>
      </c>
      <c r="BI57" s="221">
        <v>0</v>
      </c>
      <c r="BJ57" s="221">
        <v>0</v>
      </c>
      <c r="BK57" s="150">
        <v>0</v>
      </c>
      <c r="BL57" s="82">
        <f>SUM(BH57:BK57)</f>
        <v>0</v>
      </c>
      <c r="BM57" s="148">
        <v>0</v>
      </c>
      <c r="BN57" s="221">
        <v>0</v>
      </c>
      <c r="BO57" s="221">
        <v>0</v>
      </c>
      <c r="BP57" s="150">
        <v>0</v>
      </c>
      <c r="BQ57" s="82">
        <f>SUM(BM57:BP57)</f>
        <v>0</v>
      </c>
    </row>
    <row r="58" spans="2:71" x14ac:dyDescent="0.2">
      <c r="B58" s="86"/>
      <c r="C58" s="141" t="s">
        <v>182</v>
      </c>
      <c r="D58" s="86"/>
      <c r="E58" s="121">
        <f>XEL!E140-'NSP-MN'!E211-'NSP-WI'!E201-PSCO!E204-SPS!E165</f>
        <v>-39.114000000000033</v>
      </c>
      <c r="F58" s="122">
        <f>XEL!F140-'NSP-MN'!F211-'NSP-WI'!F201-PSCO!F204-SPS!F165</f>
        <v>81.410999999999987</v>
      </c>
      <c r="G58" s="122">
        <f>XEL!G140-'NSP-MN'!G211-'NSP-WI'!G201-PSCO!G204-SPS!G165</f>
        <v>-30.737000000000116</v>
      </c>
      <c r="H58" s="123">
        <f>XEL!H140-'NSP-MN'!H211-'NSP-WI'!H201-PSCO!H204-SPS!H165</f>
        <v>13.574000000000069</v>
      </c>
      <c r="I58" s="86">
        <f>XEL!I140-'NSP-MN'!I211-'NSP-WI'!I201-PSCO!I204-SPS!I165</f>
        <v>25.133999999999986</v>
      </c>
      <c r="J58" s="121">
        <f>XEL!J140-'NSP-MN'!J211-'NSP-WI'!J201-PSCO!J204-SPS!J165</f>
        <v>-95.151000000000053</v>
      </c>
      <c r="K58" s="122">
        <f>XEL!K140-'NSP-MN'!K211-'NSP-WI'!K201-PSCO!K204-SPS!K165</f>
        <v>137.42700000000011</v>
      </c>
      <c r="L58" s="122">
        <f>XEL!L140-'NSP-MN'!L211-'NSP-WI'!L201-PSCO!L204-SPS!L165</f>
        <v>-26.201999999999828</v>
      </c>
      <c r="M58" s="123">
        <f>XEL!M140-'NSP-MN'!M211-'NSP-WI'!M201-PSCO!M204-SPS!M165</f>
        <v>-127.94700000000006</v>
      </c>
      <c r="N58" s="86">
        <f>XEL!N140-'NSP-MN'!N211-'NSP-WI'!N201-PSCO!N204-SPS!N165</f>
        <v>-111.87299999999979</v>
      </c>
      <c r="O58" s="121">
        <f>XEL!O140-'NSP-MN'!O211-'NSP-WI'!O201-PSCO!O204-SPS!O165</f>
        <v>-7.3719999999999857</v>
      </c>
      <c r="P58" s="122">
        <f>XEL!P140-'NSP-MN'!P211-'NSP-WI'!P201-PSCO!P204-SPS!P165</f>
        <v>2.6750000000001108</v>
      </c>
      <c r="Q58" s="122">
        <f>XEL!Q140-'NSP-MN'!Q211-'NSP-WI'!Q201-PSCO!Q204-SPS!Q165</f>
        <v>12.599999999999952</v>
      </c>
      <c r="R58" s="123">
        <f>XEL!R140-'NSP-MN'!R211-'NSP-WI'!R201-PSCO!R204-SPS!R165</f>
        <v>5.6099999999998929</v>
      </c>
      <c r="S58" s="86">
        <f>XEL!S140-'NSP-MN'!S211-'NSP-WI'!S201-PSCO!S204-SPS!S165</f>
        <v>13.513000000000631</v>
      </c>
      <c r="T58" s="121">
        <f>XEL!T140-'NSP-MN'!T211-'NSP-WI'!T201-PSCO!T204-SPS!T165</f>
        <v>-56.952000000000041</v>
      </c>
      <c r="U58" s="122">
        <f>XEL!U140-'NSP-MN'!U211-'NSP-WI'!U201-PSCO!U204-SPS!U165</f>
        <v>65.703000000000003</v>
      </c>
      <c r="V58" s="122">
        <f>XEL!V140-'NSP-MN'!V211-'NSP-WI'!V201-PSCO!V204-SPS!V165</f>
        <v>29.768999999999963</v>
      </c>
      <c r="W58" s="123">
        <f>XEL!W140-'NSP-MN'!W211-'NSP-WI'!W201-PSCO!W204-SPS!W165</f>
        <v>165.42100000000008</v>
      </c>
      <c r="X58" s="86">
        <f>XEL!X140-'NSP-MN'!X211-'NSP-WI'!X201-PSCO!X204-SPS!X165</f>
        <v>203.94099999999997</v>
      </c>
      <c r="Y58" s="121">
        <f>XEL!Y140-'NSP-MN'!Y211-'NSP-WI'!Y201-PSCO!Y204-SPS!Y165</f>
        <v>-150.67300000000009</v>
      </c>
      <c r="Z58" s="122">
        <f>XEL!Z140-'NSP-MN'!Z211-'NSP-WI'!Z201-PSCO!Z204-SPS!Z165</f>
        <v>7.1090000000000941</v>
      </c>
      <c r="AA58" s="122">
        <f>XEL!AA140-'NSP-MN'!AA211-'NSP-WI'!AA201-PSCO!AA204-SPS!AA165</f>
        <v>-3.9369999999999834</v>
      </c>
      <c r="AB58" s="123">
        <f>XEL!AB140-'NSP-MN'!AB211-'NSP-WI'!AB201-PSCO!AB204-SPS!AB165</f>
        <v>15.971999999999824</v>
      </c>
      <c r="AC58" s="86">
        <f>XEL!AC140-'NSP-MN'!AC211-'NSP-WI'!AC201-PSCO!AC204-SPS!AC165</f>
        <v>-131.52900000000005</v>
      </c>
      <c r="AD58" s="121">
        <f>XEL!AD140-'NSP-MN'!AD211-'NSP-WI'!AD201-PSCO!AD204-SPS!AD165</f>
        <v>-86.698000000000022</v>
      </c>
      <c r="AE58" s="122">
        <f>XEL!AE140-'NSP-MN'!AE211-'NSP-WI'!AE201-PSCO!AE204-SPS!AE165</f>
        <v>99.663000000000082</v>
      </c>
      <c r="AF58" s="122">
        <f>XEL!AF140-'NSP-MN'!AF211-'NSP-WI'!AF201-PSCO!AF204-SPS!AF165</f>
        <v>-24.975999999999971</v>
      </c>
      <c r="AG58" s="123">
        <f>XEL!AG140-'NSP-MN'!AG211-'NSP-WI'!AG201-PSCO!AG204-SPS!AG165</f>
        <v>70.35600000000025</v>
      </c>
      <c r="AH58" s="86">
        <f>XEL!AH140-'NSP-MN'!AH211-'NSP-WI'!AH201-PSCO!AH204-SPS!AH165</f>
        <v>58.345000000000368</v>
      </c>
      <c r="AI58" s="121">
        <f>XEL!AI140-'NSP-MN'!AI211-'NSP-WI'!AI201-PSCO!AI204-SPS!AI165</f>
        <v>-119.67300000000021</v>
      </c>
      <c r="AJ58" s="122">
        <f>XEL!AJ140-'NSP-MN'!AJ211-'NSP-WI'!AJ201-PSCO!AJ204-SPS!AJ165</f>
        <v>57.184000000000168</v>
      </c>
      <c r="AK58" s="122">
        <f>XEL!AK140-'NSP-MN'!AK211-'NSP-WI'!AK201-PSCO!AK204-SPS!AK165</f>
        <v>49.177999999999884</v>
      </c>
      <c r="AL58" s="123">
        <f>XEL!AL140-'NSP-MN'!AL211-'NSP-WI'!AL201-PSCO!AL204-SPS!AL165</f>
        <v>-32.758000000000322</v>
      </c>
      <c r="AM58" s="86">
        <f>XEL!AM140-'NSP-MN'!AM211-'NSP-WI'!AM201-PSCO!AM204-SPS!AM165</f>
        <v>-46.069000000000187</v>
      </c>
      <c r="AN58" s="121">
        <f>XEL!AN140-'NSP-MN'!AN211-'NSP-WI'!AN201-PSCO!AN204-SPS!AN165</f>
        <v>-109.48699999999982</v>
      </c>
      <c r="AO58" s="122">
        <f>XEL!AO140-'NSP-MN'!AO211-'NSP-WI'!AO201-PSCO!AO204-SPS!AO165</f>
        <v>50.384999999999934</v>
      </c>
      <c r="AP58" s="122">
        <f>XEL!AP140-'NSP-MN'!AP211-'NSP-WI'!AP201-PSCO!AP204-SPS!AP165</f>
        <v>28.12900000000036</v>
      </c>
      <c r="AQ58" s="123">
        <f>XEL!AQ140-'NSP-MN'!AQ211-'NSP-WI'!AQ201-PSCO!AQ204-SPS!AQ165</f>
        <v>23.601999999999663</v>
      </c>
      <c r="AR58" s="86">
        <f>XEL!AR140-'NSP-MN'!AR211-'NSP-WI'!AR201-PSCO!AR204-SPS!AR165</f>
        <v>-7.3710000000001514</v>
      </c>
      <c r="AS58" s="121">
        <f>XEL!AS140-'NSP-MN'!AS211-'NSP-WI'!AS201-PSCO!AS204-SPS!AS165</f>
        <v>-104.99200000000006</v>
      </c>
      <c r="AT58" s="122">
        <f>XEL!AT140-'NSP-MN'!AT211-'NSP-WI'!AT201-PSCO!AT204-SPS!AT165</f>
        <v>70.097999999999885</v>
      </c>
      <c r="AU58" s="122">
        <f>XEL!AU140-'NSP-MN'!AU211-'NSP-WI'!AU201-PSCO!AU204-SPS!AU165</f>
        <v>61.642999999999859</v>
      </c>
      <c r="AV58" s="123">
        <f>XEL!AV140-'NSP-MN'!AV211-'NSP-WI'!AV201-PSCO!AV204-SPS!AV165</f>
        <v>-25.400999999999655</v>
      </c>
      <c r="AW58" s="86">
        <f>XEL!AW140-'NSP-MN'!AW211-'NSP-WI'!AW201-PSCO!AW204-SPS!AW165</f>
        <v>1.3480000000003542</v>
      </c>
      <c r="AX58" s="121">
        <f t="shared" ref="AX58:BG58" si="130">SUM(AX54:AX57)</f>
        <v>-18.480279258818364</v>
      </c>
      <c r="AY58" s="122">
        <f t="shared" si="130"/>
        <v>-17.387806265807569</v>
      </c>
      <c r="AZ58" s="122">
        <f t="shared" si="130"/>
        <v>-23.043617437337154</v>
      </c>
      <c r="BA58" s="123">
        <f t="shared" si="130"/>
        <v>-11.524990800172473</v>
      </c>
      <c r="BB58" s="86">
        <f t="shared" si="130"/>
        <v>-70.436693762135548</v>
      </c>
      <c r="BC58" s="121">
        <f t="shared" si="130"/>
        <v>-22.378724695497425</v>
      </c>
      <c r="BD58" s="122">
        <f t="shared" si="130"/>
        <v>-21.673958365757951</v>
      </c>
      <c r="BE58" s="122">
        <f t="shared" si="130"/>
        <v>-28.987457474569812</v>
      </c>
      <c r="BF58" s="123">
        <f t="shared" si="130"/>
        <v>-15.791543425235028</v>
      </c>
      <c r="BG58" s="86">
        <f t="shared" si="130"/>
        <v>-88.831683961060222</v>
      </c>
      <c r="BH58" s="121">
        <f t="shared" ref="BH58:BQ58" si="131">SUM(BH54:BH57)</f>
        <v>-26.601283023107708</v>
      </c>
      <c r="BI58" s="122">
        <f t="shared" si="131"/>
        <v>-21.766310146627426</v>
      </c>
      <c r="BJ58" s="122">
        <f t="shared" si="131"/>
        <v>-33.019090233740855</v>
      </c>
      <c r="BK58" s="123">
        <f t="shared" si="131"/>
        <v>-16.008046877128159</v>
      </c>
      <c r="BL58" s="86">
        <f t="shared" si="131"/>
        <v>-97.394730280604136</v>
      </c>
      <c r="BM58" s="121">
        <f t="shared" si="131"/>
        <v>-26.687688268003765</v>
      </c>
      <c r="BN58" s="122">
        <f t="shared" si="131"/>
        <v>-23.747573867994824</v>
      </c>
      <c r="BO58" s="122">
        <f t="shared" si="131"/>
        <v>-35.905099353864891</v>
      </c>
      <c r="BP58" s="123">
        <f t="shared" si="131"/>
        <v>-16.620653283270066</v>
      </c>
      <c r="BQ58" s="86">
        <f t="shared" si="131"/>
        <v>-102.96101477313354</v>
      </c>
    </row>
    <row r="59" spans="2:71" x14ac:dyDescent="0.2">
      <c r="B59" s="20"/>
      <c r="C59" s="70"/>
      <c r="D59" s="20"/>
      <c r="E59" s="136"/>
      <c r="F59" s="137"/>
      <c r="G59" s="137"/>
      <c r="H59" s="116"/>
      <c r="I59" s="82"/>
      <c r="J59" s="136"/>
      <c r="K59" s="137"/>
      <c r="L59" s="137"/>
      <c r="M59" s="116"/>
      <c r="N59" s="82"/>
      <c r="O59" s="136"/>
      <c r="P59" s="137"/>
      <c r="Q59" s="137"/>
      <c r="R59" s="116"/>
      <c r="S59" s="82"/>
      <c r="T59" s="136"/>
      <c r="U59" s="137"/>
      <c r="V59" s="137"/>
      <c r="W59" s="116"/>
      <c r="X59" s="82"/>
      <c r="Y59" s="136"/>
      <c r="Z59" s="137"/>
      <c r="AA59" s="137"/>
      <c r="AB59" s="116"/>
      <c r="AC59" s="82"/>
      <c r="AD59" s="136"/>
      <c r="AE59" s="137"/>
      <c r="AF59" s="137"/>
      <c r="AG59" s="116"/>
      <c r="AH59" s="82"/>
      <c r="AI59" s="136"/>
      <c r="AJ59" s="137"/>
      <c r="AK59" s="137"/>
      <c r="AL59" s="116"/>
      <c r="AM59" s="82"/>
      <c r="AN59" s="136"/>
      <c r="AO59" s="137"/>
      <c r="AP59" s="137"/>
      <c r="AQ59" s="116"/>
      <c r="AR59" s="82"/>
      <c r="AS59" s="136"/>
      <c r="AT59" s="137"/>
      <c r="AU59" s="137"/>
      <c r="AV59" s="116"/>
      <c r="AW59" s="82"/>
      <c r="AX59" s="136"/>
      <c r="AY59" s="137"/>
      <c r="AZ59" s="137"/>
      <c r="BA59" s="116"/>
      <c r="BB59" s="82"/>
      <c r="BC59" s="136"/>
      <c r="BD59" s="137"/>
      <c r="BE59" s="137"/>
      <c r="BF59" s="116"/>
      <c r="BG59" s="82"/>
      <c r="BH59" s="136"/>
      <c r="BI59" s="137"/>
      <c r="BJ59" s="137"/>
      <c r="BK59" s="116"/>
      <c r="BL59" s="82"/>
      <c r="BM59" s="136"/>
      <c r="BN59" s="137"/>
      <c r="BO59" s="137"/>
      <c r="BP59" s="116"/>
      <c r="BQ59" s="82"/>
    </row>
    <row r="60" spans="2:71" x14ac:dyDescent="0.2">
      <c r="B60" s="82"/>
      <c r="C60" s="70" t="s">
        <v>302</v>
      </c>
      <c r="D60" s="82"/>
      <c r="E60" s="136">
        <f>-(XEL!E142-'NSP-MN'!E213-'NSP-WI'!E203-PSCO!E206-SPS!E167)</f>
        <v>1.3010000000000375</v>
      </c>
      <c r="F60" s="135">
        <f>-(XEL!F142-'NSP-MN'!F213-'NSP-WI'!F203-PSCO!F206-SPS!F167)</f>
        <v>2.3170000000000144</v>
      </c>
      <c r="G60" s="135">
        <f>-(XEL!G142-'NSP-MN'!G213-'NSP-WI'!G203-PSCO!G206-SPS!G167)</f>
        <v>-3.8080000000002201</v>
      </c>
      <c r="H60" s="116">
        <f>-(XEL!H142-'NSP-MN'!H213-'NSP-WI'!H203-PSCO!H206-SPS!H167)</f>
        <v>-2.1589999999999065</v>
      </c>
      <c r="I60" s="82">
        <f>-(XEL!I142-'NSP-MN'!I213-'NSP-WI'!I203-PSCO!I206-SPS!I167)</f>
        <v>-2.3490000000000748</v>
      </c>
      <c r="J60" s="136">
        <f>-(XEL!J142-'NSP-MN'!J213-'NSP-WI'!J203-PSCO!J206-SPS!J167)</f>
        <v>3.5640000000000143</v>
      </c>
      <c r="K60" s="135">
        <f>-(XEL!K142-'NSP-MN'!K213-'NSP-WI'!K203-PSCO!K206-SPS!K167)</f>
        <v>-1.4549999999999699</v>
      </c>
      <c r="L60" s="135">
        <f>-(XEL!L142-'NSP-MN'!L213-'NSP-WI'!L203-PSCO!L206-SPS!L167)</f>
        <v>-1.8459999999999752</v>
      </c>
      <c r="M60" s="116">
        <f>-(XEL!M142-'NSP-MN'!M213-'NSP-WI'!M203-PSCO!M206-SPS!M167)</f>
        <v>-2.4249999999998693</v>
      </c>
      <c r="N60" s="82">
        <f>-(XEL!N142-'NSP-MN'!N213-'NSP-WI'!N203-PSCO!N206-SPS!N167)</f>
        <v>-2.1619999999998072</v>
      </c>
      <c r="O60" s="136">
        <f>-(XEL!O142-'NSP-MN'!O213-'NSP-WI'!O203-PSCO!O206-SPS!O167)</f>
        <v>3.7620000000000857</v>
      </c>
      <c r="P60" s="135">
        <f>-(XEL!P142-'NSP-MN'!P213-'NSP-WI'!P203-PSCO!P206-SPS!P167)</f>
        <v>-3.3440000000000936</v>
      </c>
      <c r="Q60" s="135">
        <f>-(XEL!Q142-'NSP-MN'!Q213-'NSP-WI'!Q203-PSCO!Q206-SPS!Q167)</f>
        <v>0.83999999999988972</v>
      </c>
      <c r="R60" s="116">
        <f>-(XEL!R142-'NSP-MN'!R213-'NSP-WI'!R203-PSCO!R206-SPS!R167)</f>
        <v>-0.55699999999987426</v>
      </c>
      <c r="S60" s="82">
        <f>-(XEL!S142-'NSP-MN'!S213-'NSP-WI'!S203-PSCO!S206-SPS!S167)</f>
        <v>0.70100000000007867</v>
      </c>
      <c r="T60" s="136">
        <f>-(XEL!T142-'NSP-MN'!T213-'NSP-WI'!T203-PSCO!T206-SPS!T167)</f>
        <v>0.14600000000007185</v>
      </c>
      <c r="U60" s="135">
        <f>-(XEL!U142-'NSP-MN'!U213-'NSP-WI'!U203-PSCO!U206-SPS!U167)</f>
        <v>-5.4250000000002387</v>
      </c>
      <c r="V60" s="135">
        <f>-(XEL!V142-'NSP-MN'!V213-'NSP-WI'!V203-PSCO!V206-SPS!V167)</f>
        <v>-1.090999999999724</v>
      </c>
      <c r="W60" s="116">
        <f>-(XEL!W142-'NSP-MN'!W213-'NSP-WI'!W203-PSCO!W206-SPS!W167)</f>
        <v>-6.5920000000003824</v>
      </c>
      <c r="X60" s="82">
        <f>-(XEL!X142-'NSP-MN'!X213-'NSP-WI'!X203-PSCO!X206-SPS!X167)</f>
        <v>-12.962000000000216</v>
      </c>
      <c r="Y60" s="136">
        <f>-(XEL!Y142-'NSP-MN'!Y213-'NSP-WI'!Y203-PSCO!Y206-SPS!Y167)</f>
        <v>2.9689999999999372</v>
      </c>
      <c r="Z60" s="135">
        <f>-(XEL!Z142-'NSP-MN'!Z213-'NSP-WI'!Z203-PSCO!Z206-SPS!Z167)</f>
        <v>-2.8379999999999654</v>
      </c>
      <c r="AA60" s="135">
        <f>-(XEL!AA142-'NSP-MN'!AA213-'NSP-WI'!AA203-PSCO!AA206-SPS!AA167)</f>
        <v>-3.9410000000000593</v>
      </c>
      <c r="AB60" s="116">
        <f>-(XEL!AB142-'NSP-MN'!AB213-'NSP-WI'!AB203-PSCO!AB206-SPS!AB167)</f>
        <v>-2.5310000000001764</v>
      </c>
      <c r="AC60" s="82">
        <f>-(XEL!AC142-'NSP-MN'!AC213-'NSP-WI'!AC203-PSCO!AC206-SPS!AC167)</f>
        <v>-6.3410000000002356</v>
      </c>
      <c r="AD60" s="136">
        <f>-(XEL!AD142-'NSP-MN'!AD213-'NSP-WI'!AD203-PSCO!AD206-SPS!AD167)</f>
        <v>2.7580000000000382</v>
      </c>
      <c r="AE60" s="135">
        <f>-(XEL!AE142-'NSP-MN'!AE213-'NSP-WI'!AE203-PSCO!AE206-SPS!AE167)</f>
        <v>3.1349999999999909</v>
      </c>
      <c r="AF60" s="135">
        <f>-(XEL!AF142-'NSP-MN'!AF213-'NSP-WI'!AF203-PSCO!AF206-SPS!AF167)</f>
        <v>-9.1870000000000687</v>
      </c>
      <c r="AG60" s="116">
        <f>-(XEL!AG142-'NSP-MN'!AG213-'NSP-WI'!AG203-PSCO!AG206-SPS!AG167)</f>
        <v>3.6620000000001482</v>
      </c>
      <c r="AH60" s="82">
        <f>-(XEL!AH142-'NSP-MN'!AH213-'NSP-WI'!AH203-PSCO!AH206-SPS!AH167)</f>
        <v>0.36800000000005184</v>
      </c>
      <c r="AI60" s="136">
        <f>-(XEL!AI142-'NSP-MN'!AI213-'NSP-WI'!AI203-PSCO!AI206-SPS!AI167)</f>
        <v>0.20700000000003627</v>
      </c>
      <c r="AJ60" s="135">
        <f>-(XEL!AJ142-'NSP-MN'!AJ213-'NSP-WI'!AJ203-PSCO!AJ206-SPS!AJ167)</f>
        <v>-18.226999999999947</v>
      </c>
      <c r="AK60" s="135">
        <f>-(XEL!AK142-'NSP-MN'!AK213-'NSP-WI'!AK203-PSCO!AK206-SPS!AK167)</f>
        <v>28.116000000000042</v>
      </c>
      <c r="AL60" s="116">
        <f>-(XEL!AL142-'NSP-MN'!AL213-'NSP-WI'!AL203-PSCO!AL206-SPS!AL167)</f>
        <v>-28.520000000000095</v>
      </c>
      <c r="AM60" s="82">
        <f>-(XEL!AM142-'NSP-MN'!AM213-'NSP-WI'!AM203-PSCO!AM206-SPS!AM167)</f>
        <v>-18.423999999999978</v>
      </c>
      <c r="AN60" s="136">
        <f>-(XEL!AN142-'NSP-MN'!AN213-'NSP-WI'!AN203-PSCO!AN206-SPS!AN167)</f>
        <v>21.738999999999947</v>
      </c>
      <c r="AO60" s="135">
        <f>-(XEL!AO142-'NSP-MN'!AO213-'NSP-WI'!AO203-PSCO!AO206-SPS!AO167)</f>
        <v>1.3339999999999179</v>
      </c>
      <c r="AP60" s="135">
        <f>-(XEL!AP142-'NSP-MN'!AP213-'NSP-WI'!AP203-PSCO!AP206-SPS!AP167)</f>
        <v>16.90400000000011</v>
      </c>
      <c r="AQ60" s="116">
        <f>-(XEL!AQ142-'NSP-MN'!AQ213-'NSP-WI'!AQ203-PSCO!AQ206-SPS!AQ167)</f>
        <v>180.28700000000015</v>
      </c>
      <c r="AR60" s="82">
        <f>-(XEL!AR142-'NSP-MN'!AR213-'NSP-WI'!AR203-PSCO!AR206-SPS!AR167)</f>
        <v>220.26400000000001</v>
      </c>
      <c r="AS60" s="136">
        <f>-(XEL!AS142-'NSP-MN'!AS213-'NSP-WI'!AS203-PSCO!AS206-SPS!AS167)</f>
        <v>8.462999999999937</v>
      </c>
      <c r="AT60" s="135">
        <f>-(XEL!AT142-'NSP-MN'!AT213-'NSP-WI'!AT203-PSCO!AT206-SPS!AT167)</f>
        <v>1.135999999999882</v>
      </c>
      <c r="AU60" s="135">
        <f>-(XEL!AU142-'NSP-MN'!AU213-'NSP-WI'!AU203-PSCO!AU206-SPS!AU167)</f>
        <v>7.9190000000004375</v>
      </c>
      <c r="AV60" s="116">
        <f>-(XEL!AV142-'NSP-MN'!AV213-'NSP-WI'!AV203-PSCO!AV206-SPS!AV167)</f>
        <v>30.435999999999808</v>
      </c>
      <c r="AW60" s="82">
        <f>-(XEL!AW142-'NSP-MN'!AW213-'NSP-WI'!AW203-PSCO!AW206-SPS!AW167)</f>
        <v>47.954000000000178</v>
      </c>
      <c r="AX60" s="136">
        <f>BB60/4</f>
        <v>-5</v>
      </c>
      <c r="AY60" s="135">
        <f>BB60/4</f>
        <v>-5</v>
      </c>
      <c r="AZ60" s="135">
        <f>BB60/4</f>
        <v>-5</v>
      </c>
      <c r="BA60" s="116">
        <f>BB60/4</f>
        <v>-5</v>
      </c>
      <c r="BB60" s="34">
        <v>-20</v>
      </c>
      <c r="BC60" s="136">
        <f>BG60/4</f>
        <v>22.5</v>
      </c>
      <c r="BD60" s="135">
        <f>BG60/4</f>
        <v>22.5</v>
      </c>
      <c r="BE60" s="135">
        <f>BG60/4</f>
        <v>22.5</v>
      </c>
      <c r="BF60" s="116">
        <f>BG60/4</f>
        <v>22.5</v>
      </c>
      <c r="BG60" s="34">
        <v>90</v>
      </c>
      <c r="BH60" s="136">
        <f>BL60/4</f>
        <v>22.5</v>
      </c>
      <c r="BI60" s="135">
        <f>BL60/4</f>
        <v>22.5</v>
      </c>
      <c r="BJ60" s="135">
        <f>BL60/4</f>
        <v>22.5</v>
      </c>
      <c r="BK60" s="116">
        <f>BL60/4</f>
        <v>22.5</v>
      </c>
      <c r="BL60" s="860">
        <v>90</v>
      </c>
      <c r="BM60" s="136">
        <f>BQ60/4</f>
        <v>7.5</v>
      </c>
      <c r="BN60" s="135">
        <f>BQ60/4</f>
        <v>7.5</v>
      </c>
      <c r="BO60" s="135">
        <f>BQ60/4</f>
        <v>7.5</v>
      </c>
      <c r="BP60" s="116">
        <f>BQ60/4</f>
        <v>7.5</v>
      </c>
      <c r="BQ60" s="860">
        <v>30</v>
      </c>
      <c r="BR60" s="82"/>
      <c r="BS60" s="795"/>
    </row>
    <row r="61" spans="2:71" x14ac:dyDescent="0.2">
      <c r="B61" s="82"/>
      <c r="C61" s="70" t="s">
        <v>97</v>
      </c>
      <c r="D61" s="82"/>
      <c r="E61" s="136">
        <f>+E62-E60</f>
        <v>-88.248000000000104</v>
      </c>
      <c r="F61" s="135">
        <f t="shared" ref="F61:Q61" si="132">+F62-F60</f>
        <v>3.2289999999999921</v>
      </c>
      <c r="G61" s="135">
        <f t="shared" si="132"/>
        <v>71.490000000000421</v>
      </c>
      <c r="H61" s="116">
        <f t="shared" si="132"/>
        <v>-15.640000000000221</v>
      </c>
      <c r="I61" s="82">
        <f t="shared" si="132"/>
        <v>-29.16900000000004</v>
      </c>
      <c r="J61" s="136">
        <f t="shared" si="132"/>
        <v>-83.535999999999916</v>
      </c>
      <c r="K61" s="135">
        <f t="shared" si="132"/>
        <v>55.731999999999807</v>
      </c>
      <c r="L61" s="135">
        <f t="shared" si="132"/>
        <v>-13.895999999999944</v>
      </c>
      <c r="M61" s="116">
        <f t="shared" si="132"/>
        <v>-25.088000000000321</v>
      </c>
      <c r="N61" s="82">
        <f t="shared" si="132"/>
        <v>-66.788000000000125</v>
      </c>
      <c r="O61" s="136">
        <f t="shared" si="132"/>
        <v>-45.776000000000153</v>
      </c>
      <c r="P61" s="135">
        <f t="shared" si="132"/>
        <v>6.546000000000106</v>
      </c>
      <c r="Q61" s="135">
        <f t="shared" si="132"/>
        <v>66.629000000000246</v>
      </c>
      <c r="R61" s="116">
        <f t="shared" ref="R61:Y61" si="133">+R62-R60</f>
        <v>-16.840000000000217</v>
      </c>
      <c r="S61" s="82">
        <f t="shared" si="133"/>
        <v>10.558999999999514</v>
      </c>
      <c r="T61" s="136">
        <f t="shared" si="133"/>
        <v>19.685999999999893</v>
      </c>
      <c r="U61" s="135">
        <f t="shared" si="133"/>
        <v>-56.302999999999656</v>
      </c>
      <c r="V61" s="135">
        <f t="shared" si="133"/>
        <v>116.72099999999945</v>
      </c>
      <c r="W61" s="116">
        <f t="shared" si="133"/>
        <v>-107.33399999999922</v>
      </c>
      <c r="X61" s="82">
        <f t="shared" si="133"/>
        <v>-27.229999999999166</v>
      </c>
      <c r="Y61" s="136">
        <f t="shared" si="133"/>
        <v>193.4670000000001</v>
      </c>
      <c r="Z61" s="135">
        <f t="shared" ref="Z61:AF61" si="134">+Z62-Z60</f>
        <v>-110.16300000000001</v>
      </c>
      <c r="AA61" s="135">
        <f t="shared" si="134"/>
        <v>55.623000000000076</v>
      </c>
      <c r="AB61" s="116">
        <f t="shared" si="134"/>
        <v>-62.376999999999668</v>
      </c>
      <c r="AC61" s="82">
        <f t="shared" si="134"/>
        <v>76.550000000000182</v>
      </c>
      <c r="AD61" s="136">
        <f t="shared" si="134"/>
        <v>170.94099999999997</v>
      </c>
      <c r="AE61" s="135">
        <f t="shared" si="134"/>
        <v>-257.16800000000012</v>
      </c>
      <c r="AF61" s="135">
        <f t="shared" si="134"/>
        <v>29.394000000000119</v>
      </c>
      <c r="AG61" s="116">
        <f t="shared" ref="AG61:AM61" si="135">+AG62-AG60</f>
        <v>-2.7420000000002744</v>
      </c>
      <c r="AH61" s="82">
        <f t="shared" si="135"/>
        <v>-59.575000000000387</v>
      </c>
      <c r="AI61" s="136">
        <f t="shared" si="135"/>
        <v>-17.046000000000063</v>
      </c>
      <c r="AJ61" s="135">
        <f t="shared" si="135"/>
        <v>36.102999999999753</v>
      </c>
      <c r="AK61" s="135">
        <f t="shared" si="135"/>
        <v>-38.167000000000087</v>
      </c>
      <c r="AL61" s="116">
        <f t="shared" si="135"/>
        <v>38.172000000000054</v>
      </c>
      <c r="AM61" s="82">
        <f t="shared" si="135"/>
        <v>19.062000000000353</v>
      </c>
      <c r="AN61" s="136">
        <f t="shared" ref="AN61:AR61" si="136">+AN62-AN60</f>
        <v>48.82300000000015</v>
      </c>
      <c r="AO61" s="135">
        <f t="shared" si="136"/>
        <v>5.8360000000001548</v>
      </c>
      <c r="AP61" s="135">
        <f t="shared" si="136"/>
        <v>-124.57000000000039</v>
      </c>
      <c r="AQ61" s="116">
        <f t="shared" si="136"/>
        <v>-411.62500000000017</v>
      </c>
      <c r="AR61" s="82">
        <f t="shared" si="136"/>
        <v>-481.53599999999972</v>
      </c>
      <c r="AS61" s="136">
        <f t="shared" ref="AS61:AW61" si="137">+AS62-AS60</f>
        <v>-20.087999999999965</v>
      </c>
      <c r="AT61" s="135">
        <f t="shared" si="137"/>
        <v>138.62100000000018</v>
      </c>
      <c r="AU61" s="135">
        <f t="shared" si="137"/>
        <v>-118.74800000000093</v>
      </c>
      <c r="AV61" s="116">
        <f t="shared" si="137"/>
        <v>-36.691999999999496</v>
      </c>
      <c r="AW61" s="82">
        <f t="shared" si="137"/>
        <v>-36.907000000000608</v>
      </c>
      <c r="AX61" s="148">
        <v>0</v>
      </c>
      <c r="AY61" s="221">
        <v>0</v>
      </c>
      <c r="AZ61" s="221">
        <v>0</v>
      </c>
      <c r="BA61" s="150">
        <v>0</v>
      </c>
      <c r="BB61" s="82">
        <f>SUM(AX61:BA61)</f>
        <v>0</v>
      </c>
      <c r="BC61" s="148">
        <v>0</v>
      </c>
      <c r="BD61" s="221">
        <v>0</v>
      </c>
      <c r="BE61" s="221">
        <v>0</v>
      </c>
      <c r="BF61" s="150">
        <v>0</v>
      </c>
      <c r="BG61" s="82">
        <f>SUM(BC61:BF61)</f>
        <v>0</v>
      </c>
      <c r="BH61" s="148">
        <v>0</v>
      </c>
      <c r="BI61" s="221">
        <v>0</v>
      </c>
      <c r="BJ61" s="221">
        <v>0</v>
      </c>
      <c r="BK61" s="150">
        <v>0</v>
      </c>
      <c r="BL61" s="82">
        <f>SUM(BH61:BK61)</f>
        <v>0</v>
      </c>
      <c r="BM61" s="148">
        <v>0</v>
      </c>
      <c r="BN61" s="221">
        <v>0</v>
      </c>
      <c r="BO61" s="221">
        <v>0</v>
      </c>
      <c r="BP61" s="150">
        <v>0</v>
      </c>
      <c r="BQ61" s="82">
        <f>SUM(BM61:BP61)</f>
        <v>0</v>
      </c>
      <c r="BR61" s="82"/>
      <c r="BS61" s="82"/>
    </row>
    <row r="62" spans="2:71" x14ac:dyDescent="0.2">
      <c r="B62" s="86"/>
      <c r="C62" s="141" t="s">
        <v>185</v>
      </c>
      <c r="D62" s="86"/>
      <c r="E62" s="121">
        <f>XEL!E145-'NSP-MN'!E216-'NSP-WI'!E206-PSCO!E209-SPS!E170</f>
        <v>-86.94700000000006</v>
      </c>
      <c r="F62" s="122">
        <f>XEL!F145-'NSP-MN'!F216-'NSP-WI'!F206-PSCO!F209-SPS!F170</f>
        <v>5.5460000000000065</v>
      </c>
      <c r="G62" s="122">
        <f>XEL!G145-'NSP-MN'!G216-'NSP-WI'!G206-PSCO!G209-SPS!G170</f>
        <v>67.682000000000201</v>
      </c>
      <c r="H62" s="123">
        <f>XEL!H145-'NSP-MN'!H216-'NSP-WI'!H206-PSCO!H209-SPS!H170</f>
        <v>-17.799000000000127</v>
      </c>
      <c r="I62" s="86">
        <f>XEL!I145-'NSP-MN'!I216-'NSP-WI'!I206-PSCO!I209-SPS!I170</f>
        <v>-31.518000000000114</v>
      </c>
      <c r="J62" s="121">
        <f>XEL!J145-'NSP-MN'!J216-'NSP-WI'!J206-PSCO!J209-SPS!J170</f>
        <v>-79.971999999999909</v>
      </c>
      <c r="K62" s="122">
        <f>XEL!K145-'NSP-MN'!K216-'NSP-WI'!K206-PSCO!K209-SPS!K170</f>
        <v>54.276999999999838</v>
      </c>
      <c r="L62" s="122">
        <f>XEL!L145-'NSP-MN'!L216-'NSP-WI'!L206-PSCO!L209-SPS!L170</f>
        <v>-15.741999999999919</v>
      </c>
      <c r="M62" s="123">
        <f>XEL!M145-'NSP-MN'!M216-'NSP-WI'!M206-PSCO!M209-SPS!M170</f>
        <v>-27.51300000000019</v>
      </c>
      <c r="N62" s="86">
        <f>XEL!N145-'NSP-MN'!N216-'NSP-WI'!N206-PSCO!N209-SPS!N170</f>
        <v>-68.949999999999932</v>
      </c>
      <c r="O62" s="121">
        <f>XEL!O145-'NSP-MN'!O216-'NSP-WI'!O206-PSCO!O209-SPS!O170</f>
        <v>-42.014000000000067</v>
      </c>
      <c r="P62" s="122">
        <f>XEL!P145-'NSP-MN'!P216-'NSP-WI'!P206-PSCO!P209-SPS!P170</f>
        <v>3.2020000000000124</v>
      </c>
      <c r="Q62" s="122">
        <f>XEL!Q145-'NSP-MN'!Q216-'NSP-WI'!Q206-PSCO!Q209-SPS!Q170</f>
        <v>67.469000000000136</v>
      </c>
      <c r="R62" s="123">
        <f>XEL!R145-'NSP-MN'!R216-'NSP-WI'!R206-PSCO!R209-SPS!R170</f>
        <v>-17.397000000000091</v>
      </c>
      <c r="S62" s="86">
        <f>XEL!S145-'NSP-MN'!S216-'NSP-WI'!S206-PSCO!S209-SPS!S170</f>
        <v>11.259999999999593</v>
      </c>
      <c r="T62" s="121">
        <f>XEL!T145-'NSP-MN'!T216-'NSP-WI'!T206-PSCO!T209-SPS!T170</f>
        <v>19.831999999999965</v>
      </c>
      <c r="U62" s="122">
        <f>XEL!U145-'NSP-MN'!U216-'NSP-WI'!U206-PSCO!U209-SPS!U170</f>
        <v>-61.727999999999895</v>
      </c>
      <c r="V62" s="122">
        <f>XEL!V145-'NSP-MN'!V216-'NSP-WI'!V206-PSCO!V209-SPS!V170</f>
        <v>115.62999999999973</v>
      </c>
      <c r="W62" s="123">
        <f>XEL!W145-'NSP-MN'!W216-'NSP-WI'!W206-PSCO!W209-SPS!W170</f>
        <v>-113.9259999999996</v>
      </c>
      <c r="X62" s="86">
        <f>XEL!X145-'NSP-MN'!X216-'NSP-WI'!X206-PSCO!X209-SPS!X170</f>
        <v>-40.191999999999382</v>
      </c>
      <c r="Y62" s="121">
        <f>XEL!Y145-'NSP-MN'!Y216-'NSP-WI'!Y206-PSCO!Y209-SPS!Y170</f>
        <v>196.43600000000004</v>
      </c>
      <c r="Z62" s="122">
        <f>XEL!Z145-'NSP-MN'!Z216-'NSP-WI'!Z206-PSCO!Z209-SPS!Z170</f>
        <v>-113.00099999999998</v>
      </c>
      <c r="AA62" s="122">
        <f>XEL!AA145-'NSP-MN'!AA216-'NSP-WI'!AA206-PSCO!AA209-SPS!AA170</f>
        <v>51.682000000000016</v>
      </c>
      <c r="AB62" s="123">
        <f>XEL!AB145-'NSP-MN'!AB216-'NSP-WI'!AB206-PSCO!AB209-SPS!AB170</f>
        <v>-64.907999999999845</v>
      </c>
      <c r="AC62" s="86">
        <f>XEL!AC145-'NSP-MN'!AC216-'NSP-WI'!AC206-PSCO!AC209-SPS!AC170</f>
        <v>70.208999999999946</v>
      </c>
      <c r="AD62" s="121">
        <f>XEL!AD145-'NSP-MN'!AD216-'NSP-WI'!AD206-PSCO!AD209-SPS!AD170</f>
        <v>173.69900000000001</v>
      </c>
      <c r="AE62" s="122">
        <f>XEL!AE145-'NSP-MN'!AE216-'NSP-WI'!AE206-PSCO!AE209-SPS!AE170</f>
        <v>-254.0330000000001</v>
      </c>
      <c r="AF62" s="122">
        <f>XEL!AF145-'NSP-MN'!AF216-'NSP-WI'!AF206-PSCO!AF209-SPS!AF170</f>
        <v>20.20700000000005</v>
      </c>
      <c r="AG62" s="123">
        <f>XEL!AG145-'NSP-MN'!AG216-'NSP-WI'!AG206-PSCO!AG209-SPS!AG170</f>
        <v>0.91999999999987381</v>
      </c>
      <c r="AH62" s="86">
        <f>XEL!AH145-'NSP-MN'!AH216-'NSP-WI'!AH206-PSCO!AH209-SPS!AH170</f>
        <v>-59.207000000000335</v>
      </c>
      <c r="AI62" s="121">
        <f>XEL!AI145-'NSP-MN'!AI216-'NSP-WI'!AI206-PSCO!AI209-SPS!AI170</f>
        <v>-16.839000000000027</v>
      </c>
      <c r="AJ62" s="122">
        <f>XEL!AJ145-'NSP-MN'!AJ216-'NSP-WI'!AJ206-PSCO!AJ209-SPS!AJ170</f>
        <v>17.875999999999806</v>
      </c>
      <c r="AK62" s="122">
        <f>XEL!AK145-'NSP-MN'!AK216-'NSP-WI'!AK206-PSCO!AK209-SPS!AK170</f>
        <v>-10.051000000000045</v>
      </c>
      <c r="AL62" s="123">
        <f>XEL!AL145-'NSP-MN'!AL216-'NSP-WI'!AL206-PSCO!AL209-SPS!AL170</f>
        <v>9.6519999999999584</v>
      </c>
      <c r="AM62" s="86">
        <f>XEL!AM145-'NSP-MN'!AM216-'NSP-WI'!AM206-PSCO!AM209-SPS!AM170</f>
        <v>0.63800000000037471</v>
      </c>
      <c r="AN62" s="121">
        <f>XEL!AN145-'NSP-MN'!AN216-'NSP-WI'!AN206-PSCO!AN209-SPS!AN170</f>
        <v>70.562000000000097</v>
      </c>
      <c r="AO62" s="122">
        <f>XEL!AO145-'NSP-MN'!AO216-'NSP-WI'!AO206-PSCO!AO209-SPS!AO170</f>
        <v>7.1700000000000728</v>
      </c>
      <c r="AP62" s="122">
        <f>XEL!AP145-'NSP-MN'!AP216-'NSP-WI'!AP206-PSCO!AP209-SPS!AP170</f>
        <v>-107.66600000000028</v>
      </c>
      <c r="AQ62" s="123">
        <f>XEL!AQ145-'NSP-MN'!AQ216-'NSP-WI'!AQ206-PSCO!AQ209-SPS!AQ170</f>
        <v>-231.33800000000002</v>
      </c>
      <c r="AR62" s="86">
        <f>XEL!AR145-'NSP-MN'!AR216-'NSP-WI'!AR206-PSCO!AR209-SPS!AR170</f>
        <v>-261.27199999999971</v>
      </c>
      <c r="AS62" s="121">
        <f>XEL!AS145-'NSP-MN'!AS216-'NSP-WI'!AS206-PSCO!AS209-SPS!AS170</f>
        <v>-11.625000000000028</v>
      </c>
      <c r="AT62" s="122">
        <f>XEL!AT145-'NSP-MN'!AT216-'NSP-WI'!AT206-PSCO!AT209-SPS!AT170</f>
        <v>139.75700000000006</v>
      </c>
      <c r="AU62" s="122">
        <f>XEL!AU145-'NSP-MN'!AU216-'NSP-WI'!AU206-PSCO!AU209-SPS!AU170</f>
        <v>-110.82900000000049</v>
      </c>
      <c r="AV62" s="123">
        <f>XEL!AV145-'NSP-MN'!AV216-'NSP-WI'!AV206-PSCO!AV209-SPS!AV170</f>
        <v>-6.2559999999996876</v>
      </c>
      <c r="AW62" s="86">
        <f>XEL!AW145-'NSP-MN'!AW216-'NSP-WI'!AW206-PSCO!AW209-SPS!AW170</f>
        <v>11.046999999999571</v>
      </c>
      <c r="AX62" s="121">
        <f>SUM(AX59:AX61)</f>
        <v>-5</v>
      </c>
      <c r="AY62" s="122">
        <f>SUM(AY59:AY61)</f>
        <v>-5</v>
      </c>
      <c r="AZ62" s="122">
        <f>SUM(AZ59:AZ61)</f>
        <v>-5</v>
      </c>
      <c r="BA62" s="123">
        <f>SUM(BA59:BA61)</f>
        <v>-5</v>
      </c>
      <c r="BB62" s="86">
        <f>SUM(BB60:BB61)</f>
        <v>-20</v>
      </c>
      <c r="BC62" s="121">
        <f>SUM(BC59:BC61)</f>
        <v>22.5</v>
      </c>
      <c r="BD62" s="122">
        <f>SUM(BD59:BD61)</f>
        <v>22.5</v>
      </c>
      <c r="BE62" s="122">
        <f>SUM(BE59:BE61)</f>
        <v>22.5</v>
      </c>
      <c r="BF62" s="123">
        <f>SUM(BF59:BF61)</f>
        <v>22.5</v>
      </c>
      <c r="BG62" s="86">
        <f>SUM(BG60:BG61)</f>
        <v>90</v>
      </c>
      <c r="BH62" s="121">
        <f>SUM(BH59:BH61)</f>
        <v>22.5</v>
      </c>
      <c r="BI62" s="122">
        <f>SUM(BI59:BI61)</f>
        <v>22.5</v>
      </c>
      <c r="BJ62" s="122">
        <f>SUM(BJ59:BJ61)</f>
        <v>22.5</v>
      </c>
      <c r="BK62" s="123">
        <f>SUM(BK59:BK61)</f>
        <v>22.5</v>
      </c>
      <c r="BL62" s="86">
        <f>SUM(BL60:BL61)</f>
        <v>90</v>
      </c>
      <c r="BM62" s="121">
        <f>SUM(BM59:BM61)</f>
        <v>7.5</v>
      </c>
      <c r="BN62" s="122">
        <f>SUM(BN59:BN61)</f>
        <v>7.5</v>
      </c>
      <c r="BO62" s="122">
        <f>SUM(BO59:BO61)</f>
        <v>7.5</v>
      </c>
      <c r="BP62" s="123">
        <f>SUM(BP59:BP61)</f>
        <v>7.5</v>
      </c>
      <c r="BQ62" s="86">
        <f>SUM(BQ60:BQ61)</f>
        <v>30</v>
      </c>
    </row>
    <row r="63" spans="2:71" x14ac:dyDescent="0.2">
      <c r="C63" s="70"/>
      <c r="E63" s="121"/>
      <c r="F63" s="130"/>
      <c r="G63" s="130"/>
      <c r="H63" s="123"/>
      <c r="I63" s="86"/>
      <c r="J63" s="121"/>
      <c r="K63" s="130"/>
      <c r="L63" s="130"/>
      <c r="M63" s="123"/>
      <c r="N63" s="86"/>
      <c r="O63" s="121"/>
      <c r="P63" s="130"/>
      <c r="Q63" s="130"/>
      <c r="R63" s="123"/>
      <c r="S63" s="86"/>
      <c r="T63" s="121"/>
      <c r="U63" s="130"/>
      <c r="V63" s="130"/>
      <c r="W63" s="123"/>
      <c r="X63" s="86"/>
      <c r="Y63" s="121"/>
      <c r="Z63" s="130"/>
      <c r="AA63" s="130"/>
      <c r="AB63" s="123"/>
      <c r="AC63" s="86"/>
      <c r="AD63" s="121"/>
      <c r="AE63" s="130"/>
      <c r="AF63" s="130"/>
      <c r="AG63" s="123"/>
      <c r="AH63" s="86"/>
      <c r="AI63" s="121"/>
      <c r="AJ63" s="130"/>
      <c r="AK63" s="130"/>
      <c r="AL63" s="123"/>
      <c r="AM63" s="86"/>
      <c r="AN63" s="121"/>
      <c r="AO63" s="130"/>
      <c r="AP63" s="130"/>
      <c r="AQ63" s="123"/>
      <c r="AR63" s="86"/>
      <c r="AS63" s="121"/>
      <c r="AT63" s="130"/>
      <c r="AU63" s="130"/>
      <c r="AV63" s="123"/>
      <c r="AW63" s="86"/>
      <c r="AX63" s="121"/>
      <c r="AY63" s="130"/>
      <c r="AZ63" s="130"/>
      <c r="BA63" s="123"/>
      <c r="BB63" s="86"/>
      <c r="BC63" s="121"/>
      <c r="BD63" s="130"/>
      <c r="BE63" s="130"/>
      <c r="BF63" s="123"/>
      <c r="BG63" s="86"/>
      <c r="BH63" s="121"/>
      <c r="BI63" s="130"/>
      <c r="BJ63" s="130"/>
      <c r="BK63" s="123"/>
      <c r="BL63" s="86"/>
      <c r="BM63" s="121"/>
      <c r="BN63" s="130"/>
      <c r="BO63" s="130"/>
      <c r="BP63" s="123"/>
      <c r="BQ63" s="86"/>
    </row>
    <row r="64" spans="2:71" x14ac:dyDescent="0.2">
      <c r="B64" s="42"/>
      <c r="C64" s="70" t="s">
        <v>186</v>
      </c>
      <c r="D64" s="42"/>
      <c r="E64" s="136">
        <f>XEL!E147-'NSP-MN'!E218-'NSP-WI'!E208-PSCO!E211-SPS!E172</f>
        <v>0</v>
      </c>
      <c r="F64" s="135">
        <f>XEL!F147-'NSP-MN'!F218-'NSP-WI'!F208-PSCO!F211-SPS!F172</f>
        <v>5.2999999999997272E-2</v>
      </c>
      <c r="G64" s="135">
        <f>XEL!G147-'NSP-MN'!G218-'NSP-WI'!G208-PSCO!G211-SPS!G172</f>
        <v>0.11500000000000909</v>
      </c>
      <c r="H64" s="116">
        <f>XEL!H147-'NSP-MN'!H218-'NSP-WI'!H208-PSCO!H211-SPS!H172</f>
        <v>-0.16300000000001091</v>
      </c>
      <c r="I64" s="82">
        <f>XEL!I147-'NSP-MN'!I218-'NSP-WI'!I208-PSCO!I211-SPS!I172</f>
        <v>4.9999999999954525E-3</v>
      </c>
      <c r="J64" s="136">
        <f>XEL!J147-'NSP-MN'!J218-'NSP-WI'!J208-PSCO!J211-SPS!J172</f>
        <v>0</v>
      </c>
      <c r="K64" s="135">
        <f>XEL!K147-'NSP-MN'!K218-'NSP-WI'!K208-PSCO!K211-SPS!K172</f>
        <v>544.20500000000004</v>
      </c>
      <c r="L64" s="135">
        <f>XEL!L147-'NSP-MN'!L218-'NSP-WI'!L208-PSCO!L211-SPS!L172</f>
        <v>0.55399999999991678</v>
      </c>
      <c r="M64" s="116">
        <f>XEL!M147-'NSP-MN'!M218-'NSP-WI'!M208-PSCO!M211-SPS!M172</f>
        <v>-5.5999999999983174E-2</v>
      </c>
      <c r="N64" s="82">
        <f>XEL!N147-'NSP-MN'!N218-'NSP-WI'!N208-PSCO!N211-SPS!N172</f>
        <v>544.70299999999997</v>
      </c>
      <c r="O64" s="136">
        <f>XEL!O147-'NSP-MN'!O218-'NSP-WI'!O208-PSCO!O211-SPS!O172</f>
        <v>0</v>
      </c>
      <c r="P64" s="135">
        <f>XEL!P147-'NSP-MN'!P218-'NSP-WI'!P208-PSCO!P211-SPS!P172</f>
        <v>0</v>
      </c>
      <c r="Q64" s="135">
        <f>XEL!Q147-'NSP-MN'!Q218-'NSP-WI'!Q208-PSCO!Q211-SPS!Q172</f>
        <v>248.93500000000006</v>
      </c>
      <c r="R64" s="116">
        <f>XEL!R147-'NSP-MN'!R218-'NSP-WI'!R208-PSCO!R211-SPS!R172</f>
        <v>0.22099999999991837</v>
      </c>
      <c r="S64" s="82">
        <f>XEL!S147-'NSP-MN'!S218-'NSP-WI'!S208-PSCO!S211-SPS!S172</f>
        <v>249.15599999999995</v>
      </c>
      <c r="T64" s="136">
        <f>XEL!T147-'NSP-MN'!T218-'NSP-WI'!T208-PSCO!T211-SPS!T172</f>
        <v>0.745</v>
      </c>
      <c r="U64" s="135">
        <f>XEL!U147-'NSP-MN'!U218-'NSP-WI'!U208-PSCO!U211-SPS!U172</f>
        <v>1.3190000000000026</v>
      </c>
      <c r="V64" s="135">
        <f>XEL!V147-'NSP-MN'!V218-'NSP-WI'!V208-PSCO!V211-SPS!V172</f>
        <v>2.7079999999998563</v>
      </c>
      <c r="W64" s="116">
        <f>XEL!W147-'NSP-MN'!W218-'NSP-WI'!W208-PSCO!W211-SPS!W172</f>
        <v>2.023000000000053</v>
      </c>
      <c r="X64" s="82">
        <f>XEL!X147-'NSP-MN'!X218-'NSP-WI'!X208-PSCO!X211-SPS!X172</f>
        <v>6.7950000000000728</v>
      </c>
      <c r="Y64" s="136">
        <f>XEL!Y147-'NSP-MN'!Y218-'NSP-WI'!Y208-PSCO!Y211-SPS!Y172</f>
        <v>1.0659999999999741</v>
      </c>
      <c r="Z64" s="135">
        <f>XEL!Z147-'NSP-MN'!Z218-'NSP-WI'!Z208-PSCO!Z211-SPS!Z172</f>
        <v>448.4460000000002</v>
      </c>
      <c r="AA64" s="135">
        <f>XEL!AA147-'NSP-MN'!AA218-'NSP-WI'!AA208-PSCO!AA211-SPS!AA172</f>
        <v>3.4899999999999238</v>
      </c>
      <c r="AB64" s="116">
        <f>XEL!AB147-'NSP-MN'!AB218-'NSP-WI'!AB208-PSCO!AB211-SPS!AB172</f>
        <v>-2.83400000000006</v>
      </c>
      <c r="AC64" s="82">
        <f>XEL!AC147-'NSP-MN'!AC218-'NSP-WI'!AC208-PSCO!AC211-SPS!AC172</f>
        <v>450.16800000000001</v>
      </c>
      <c r="AD64" s="136">
        <f>XEL!AD147-'NSP-MN'!AD218-'NSP-WI'!AD208-PSCO!AD211-SPS!AD172</f>
        <v>-4.5999999999992269E-2</v>
      </c>
      <c r="AE64" s="135">
        <f>XEL!AE147-'NSP-MN'!AE218-'NSP-WI'!AE208-PSCO!AE211-SPS!AE172</f>
        <v>1.6000000000019554E-2</v>
      </c>
      <c r="AF64" s="135">
        <f>XEL!AF147-'NSP-MN'!AF218-'NSP-WI'!AF208-PSCO!AF211-SPS!AF172</f>
        <v>9.9999999996214228E-4</v>
      </c>
      <c r="AG64" s="116">
        <f>XEL!AG147-'NSP-MN'!AG218-'NSP-WI'!AG208-PSCO!AG211-SPS!AG172</f>
        <v>2.0999999999972374E-2</v>
      </c>
      <c r="AH64" s="82">
        <f>XEL!AH147-'NSP-MN'!AH218-'NSP-WI'!AH208-PSCO!AH211-SPS!AH172</f>
        <v>-8.0000000000381988E-3</v>
      </c>
      <c r="AI64" s="136">
        <f>XEL!AI147-'NSP-MN'!AI218-'NSP-WI'!AI208-PSCO!AI211-SPS!AI172</f>
        <v>0</v>
      </c>
      <c r="AJ64" s="135">
        <f>XEL!AJ147-'NSP-MN'!AJ218-'NSP-WI'!AJ208-PSCO!AJ211-SPS!AJ172</f>
        <v>496.09700000000004</v>
      </c>
      <c r="AK64" s="135">
        <f>XEL!AK147-'NSP-MN'!AK218-'NSP-WI'!AK208-PSCO!AK211-SPS!AK172</f>
        <v>-0.55800000000002115</v>
      </c>
      <c r="AL64" s="116">
        <f>XEL!AL147-'NSP-MN'!AL218-'NSP-WI'!AL208-PSCO!AL211-SPS!AL172</f>
        <v>-8.8000000000008072E-2</v>
      </c>
      <c r="AM64" s="82">
        <f>XEL!AM147-'NSP-MN'!AM218-'NSP-WI'!AM208-PSCO!AM211-SPS!AM172</f>
        <v>495.45099999999991</v>
      </c>
      <c r="AN64" s="136">
        <f>XEL!AN147-'NSP-MN'!AN218-'NSP-WI'!AN208-PSCO!AN211-SPS!AN172</f>
        <v>747.12699999999995</v>
      </c>
      <c r="AO64" s="135">
        <f>XEL!AO147-'NSP-MN'!AO218-'NSP-WI'!AO208-PSCO!AO211-SPS!AO172</f>
        <v>2.3700000000000898</v>
      </c>
      <c r="AP64" s="135">
        <f>XEL!AP147-'NSP-MN'!AP218-'NSP-WI'!AP208-PSCO!AP211-SPS!AP172</f>
        <v>-0.10399999999998499</v>
      </c>
      <c r="AQ64" s="116">
        <f>XEL!AQ147-'NSP-MN'!AQ218-'NSP-WI'!AQ208-PSCO!AQ211-SPS!AQ172</f>
        <v>791.37999999999988</v>
      </c>
      <c r="AR64" s="82">
        <f>XEL!AR147-'NSP-MN'!AR218-'NSP-WI'!AR208-PSCO!AR211-SPS!AR172</f>
        <v>1540.7729999999997</v>
      </c>
      <c r="AS64" s="136">
        <f>XEL!AS147-'NSP-MN'!AS218-'NSP-WI'!AS208-PSCO!AS211-SPS!AS172</f>
        <v>0</v>
      </c>
      <c r="AT64" s="135">
        <f>XEL!AT147-'NSP-MN'!AT218-'NSP-WI'!AT208-PSCO!AT211-SPS!AT172</f>
        <v>-0.56499999999999773</v>
      </c>
      <c r="AU64" s="135">
        <f>XEL!AU147-'NSP-MN'!AU218-'NSP-WI'!AU208-PSCO!AU211-SPS!AU172</f>
        <v>1.7999999999915417E-2</v>
      </c>
      <c r="AV64" s="116">
        <f>XEL!AV147-'NSP-MN'!AV218-'NSP-WI'!AV208-PSCO!AV211-SPS!AV172</f>
        <v>-0.28500000000003922</v>
      </c>
      <c r="AW64" s="82">
        <f>XEL!AW147-'NSP-MN'!AW218-'NSP-WI'!AW208-PSCO!AW211-SPS!AW172</f>
        <v>-0.83200000000010732</v>
      </c>
      <c r="AX64" s="121">
        <f t="shared" ref="AX64:BA65" si="138">+AX49</f>
        <v>0</v>
      </c>
      <c r="AY64" s="122">
        <f t="shared" si="138"/>
        <v>0</v>
      </c>
      <c r="AZ64" s="122">
        <f t="shared" si="138"/>
        <v>750</v>
      </c>
      <c r="BA64" s="123">
        <f t="shared" si="138"/>
        <v>0</v>
      </c>
      <c r="BB64" s="82">
        <f>SUM(AX64:BA64)</f>
        <v>750</v>
      </c>
      <c r="BC64" s="121">
        <f t="shared" ref="BC64:BF65" si="139">+BC49</f>
        <v>0</v>
      </c>
      <c r="BD64" s="122">
        <f t="shared" si="139"/>
        <v>0</v>
      </c>
      <c r="BE64" s="122">
        <f t="shared" si="139"/>
        <v>500</v>
      </c>
      <c r="BF64" s="123">
        <f t="shared" si="139"/>
        <v>0</v>
      </c>
      <c r="BG64" s="82">
        <f>SUM(BC64:BF64)</f>
        <v>500</v>
      </c>
      <c r="BH64" s="121">
        <f t="shared" ref="BH64:BK65" si="140">+BH49</f>
        <v>0</v>
      </c>
      <c r="BI64" s="122">
        <f t="shared" si="140"/>
        <v>0</v>
      </c>
      <c r="BJ64" s="122">
        <f t="shared" si="140"/>
        <v>800</v>
      </c>
      <c r="BK64" s="123">
        <f t="shared" si="140"/>
        <v>0</v>
      </c>
      <c r="BL64" s="82">
        <f>SUM(BH64:BK64)</f>
        <v>800</v>
      </c>
      <c r="BM64" s="121">
        <f t="shared" ref="BM64:BP64" si="141">+BM49</f>
        <v>0</v>
      </c>
      <c r="BN64" s="122">
        <f t="shared" si="141"/>
        <v>0</v>
      </c>
      <c r="BO64" s="122">
        <f t="shared" si="141"/>
        <v>400</v>
      </c>
      <c r="BP64" s="123">
        <f t="shared" si="141"/>
        <v>0</v>
      </c>
      <c r="BQ64" s="82">
        <f>SUM(BM64:BP64)</f>
        <v>400</v>
      </c>
    </row>
    <row r="65" spans="2:69" x14ac:dyDescent="0.2">
      <c r="B65" s="42"/>
      <c r="C65" s="70" t="s">
        <v>187</v>
      </c>
      <c r="D65" s="42"/>
      <c r="E65" s="136">
        <f>XEL!E148-'NSP-MN'!E219-'NSP-WI'!E209-PSCO!E212-SPS!E173</f>
        <v>-0.70800000000002683</v>
      </c>
      <c r="F65" s="135">
        <f>XEL!F148-'NSP-MN'!F219-'NSP-WI'!F209-PSCO!F212-SPS!F173</f>
        <v>-0.61400000000000099</v>
      </c>
      <c r="G65" s="135">
        <f>XEL!G148-'NSP-MN'!G219-'NSP-WI'!G209-PSCO!G212-SPS!G173</f>
        <v>-1.8569999999999425</v>
      </c>
      <c r="H65" s="116">
        <f>XEL!H148-'NSP-MN'!H219-'NSP-WI'!H209-PSCO!H212-SPS!H173</f>
        <v>-1.1290000000000902</v>
      </c>
      <c r="I65" s="82">
        <f>XEL!I148-'NSP-MN'!I219-'NSP-WI'!I209-PSCO!I212-SPS!I173</f>
        <v>-4.3080000000000638</v>
      </c>
      <c r="J65" s="136">
        <f>XEL!J148-'NSP-MN'!J219-'NSP-WI'!J209-PSCO!J212-SPS!J173</f>
        <v>-0.25999999999999801</v>
      </c>
      <c r="K65" s="135">
        <f>XEL!K148-'NSP-MN'!K219-'NSP-WI'!K209-PSCO!K212-SPS!K173</f>
        <v>-0.47499999999999898</v>
      </c>
      <c r="L65" s="135">
        <f>XEL!L148-'NSP-MN'!L219-'NSP-WI'!L209-PSCO!L212-SPS!L173</f>
        <v>0.35900000000000365</v>
      </c>
      <c r="M65" s="116">
        <f>XEL!M148-'NSP-MN'!M219-'NSP-WI'!M209-PSCO!M212-SPS!M173</f>
        <v>-359.87800000000004</v>
      </c>
      <c r="N65" s="82">
        <f>XEL!N148-'NSP-MN'!N219-'NSP-WI'!N209-PSCO!N212-SPS!N173</f>
        <v>-360.25400000000002</v>
      </c>
      <c r="O65" s="136">
        <f>XEL!O148-'NSP-MN'!O219-'NSP-WI'!O209-PSCO!O212-SPS!O173</f>
        <v>-0.50800000000000001</v>
      </c>
      <c r="P65" s="135">
        <f>XEL!P148-'NSP-MN'!P219-'NSP-WI'!P209-PSCO!P212-SPS!P173</f>
        <v>-1.173</v>
      </c>
      <c r="Q65" s="135">
        <f>XEL!Q148-'NSP-MN'!Q219-'NSP-WI'!Q209-PSCO!Q212-SPS!Q173</f>
        <v>-0.97000000000001307</v>
      </c>
      <c r="R65" s="116">
        <f>XEL!R148-'NSP-MN'!R219-'NSP-WI'!R209-PSCO!R212-SPS!R173</f>
        <v>-1.0419999999999989</v>
      </c>
      <c r="S65" s="82">
        <f>XEL!S148-'NSP-MN'!S219-'NSP-WI'!S209-PSCO!S212-SPS!S173</f>
        <v>-3.6929999999999978</v>
      </c>
      <c r="T65" s="136">
        <f>XEL!T148-'NSP-MN'!T219-'NSP-WI'!T209-PSCO!T212-SPS!T173</f>
        <v>-0.74199999999999999</v>
      </c>
      <c r="U65" s="135">
        <f>XEL!U148-'NSP-MN'!U219-'NSP-WI'!U209-PSCO!U212-SPS!U173</f>
        <v>-1.681</v>
      </c>
      <c r="V65" s="135">
        <f>XEL!V148-'NSP-MN'!V219-'NSP-WI'!V209-PSCO!V212-SPS!V173</f>
        <v>-2.19199999999997</v>
      </c>
      <c r="W65" s="116">
        <f>XEL!W148-'NSP-MN'!W219-'NSP-WI'!W209-PSCO!W212-SPS!W173</f>
        <v>-0.42699999999990723</v>
      </c>
      <c r="X65" s="82">
        <f>XEL!X148-'NSP-MN'!X219-'NSP-WI'!X209-PSCO!X212-SPS!X173</f>
        <v>-5.0419999999999163</v>
      </c>
      <c r="Y65" s="136">
        <f>XEL!Y148-'NSP-MN'!Y219-'NSP-WI'!Y209-PSCO!Y212-SPS!Y173</f>
        <v>-1.2949999999999875</v>
      </c>
      <c r="Z65" s="135">
        <f>XEL!Z148-'NSP-MN'!Z219-'NSP-WI'!Z209-PSCO!Z212-SPS!Z173</f>
        <v>-400.12900000000002</v>
      </c>
      <c r="AA65" s="135">
        <f>XEL!AA148-'NSP-MN'!AA219-'NSP-WI'!AA209-PSCO!AA212-SPS!AA173</f>
        <v>-3.3310000000000701</v>
      </c>
      <c r="AB65" s="116">
        <f>XEL!AB148-'NSP-MN'!AB219-'NSP-WI'!AB209-PSCO!AB212-SPS!AB173</f>
        <v>2.4640000000000111</v>
      </c>
      <c r="AC65" s="82">
        <f>XEL!AC148-'NSP-MN'!AC219-'NSP-WI'!AC209-PSCO!AC212-SPS!AC173</f>
        <v>-402.29100000000005</v>
      </c>
      <c r="AD65" s="136">
        <f>XEL!AD148-'NSP-MN'!AD219-'NSP-WI'!AD209-PSCO!AD212-SPS!AD173</f>
        <v>-0.20600000000000002</v>
      </c>
      <c r="AE65" s="135">
        <f>XEL!AE148-'NSP-MN'!AE219-'NSP-WI'!AE209-PSCO!AE212-SPS!AE173</f>
        <v>-0.24200000000001864</v>
      </c>
      <c r="AF65" s="135">
        <f>XEL!AF148-'NSP-MN'!AF219-'NSP-WI'!AF209-PSCO!AF212-SPS!AF173</f>
        <v>-0.20600000000004637</v>
      </c>
      <c r="AG65" s="116">
        <f>XEL!AG148-'NSP-MN'!AG219-'NSP-WI'!AG209-PSCO!AG212-SPS!AG173</f>
        <v>-0.18699999999995226</v>
      </c>
      <c r="AH65" s="82">
        <f>XEL!AH148-'NSP-MN'!AH219-'NSP-WI'!AH209-PSCO!AH212-SPS!AH173</f>
        <v>-0.84099999999995134</v>
      </c>
      <c r="AI65" s="136">
        <f>XEL!AI148-'NSP-MN'!AI219-'NSP-WI'!AI209-PSCO!AI212-SPS!AI173</f>
        <v>-0.29400000000000004</v>
      </c>
      <c r="AJ65" s="135">
        <f>XEL!AJ148-'NSP-MN'!AJ219-'NSP-WI'!AJ209-PSCO!AJ212-SPS!AJ173</f>
        <v>-0.13500000000000001</v>
      </c>
      <c r="AK65" s="135">
        <f>XEL!AK148-'NSP-MN'!AK219-'NSP-WI'!AK209-PSCO!AK212-SPS!AK173</f>
        <v>-0.20199999999999249</v>
      </c>
      <c r="AL65" s="116">
        <f>XEL!AL148-'NSP-MN'!AL219-'NSP-WI'!AL209-PSCO!AL212-SPS!AL173</f>
        <v>-0.15099999999999955</v>
      </c>
      <c r="AM65" s="82">
        <f>XEL!AM148-'NSP-MN'!AM219-'NSP-WI'!AM209-PSCO!AM212-SPS!AM173</f>
        <v>-0.78199999999999981</v>
      </c>
      <c r="AN65" s="136">
        <f>XEL!AN148-'NSP-MN'!AN219-'NSP-WI'!AN209-PSCO!AN212-SPS!AN173</f>
        <v>-0.31900000000000001</v>
      </c>
      <c r="AO65" s="135">
        <f>XEL!AO148-'NSP-MN'!AO219-'NSP-WI'!AO209-PSCO!AO212-SPS!AO173</f>
        <v>-450.12800000000004</v>
      </c>
      <c r="AP65" s="135">
        <f>XEL!AP148-'NSP-MN'!AP219-'NSP-WI'!AP209-PSCO!AP212-SPS!AP173</f>
        <v>-0.16500000000003093</v>
      </c>
      <c r="AQ65" s="116">
        <f>XEL!AQ148-'NSP-MN'!AQ219-'NSP-WI'!AQ209-PSCO!AQ212-SPS!AQ173</f>
        <v>-255.68500000000006</v>
      </c>
      <c r="AR65" s="82">
        <f>XEL!AR148-'NSP-MN'!AR219-'NSP-WI'!AR209-PSCO!AR212-SPS!AR173</f>
        <v>-706.29700000000003</v>
      </c>
      <c r="AS65" s="136">
        <f>XEL!AS148-'NSP-MN'!AS219-'NSP-WI'!AS209-PSCO!AS212-SPS!AS173</f>
        <v>-0.17599999999999999</v>
      </c>
      <c r="AT65" s="135">
        <f>XEL!AT148-'NSP-MN'!AT219-'NSP-WI'!AT209-PSCO!AT212-SPS!AT173</f>
        <v>-250.17599999999996</v>
      </c>
      <c r="AU65" s="135">
        <f>XEL!AU148-'NSP-MN'!AU219-'NSP-WI'!AU209-PSCO!AU212-SPS!AU173</f>
        <v>-0.19799999999997908</v>
      </c>
      <c r="AV65" s="116">
        <f>XEL!AV148-'NSP-MN'!AV219-'NSP-WI'!AV209-PSCO!AV212-SPS!AV173</f>
        <v>0.1049999999999327</v>
      </c>
      <c r="AW65" s="82">
        <f>XEL!AW148-'NSP-MN'!AW219-'NSP-WI'!AW209-PSCO!AW212-SPS!AW173</f>
        <v>-250.44499999999999</v>
      </c>
      <c r="AX65" s="136">
        <f t="shared" si="138"/>
        <v>0</v>
      </c>
      <c r="AY65" s="135">
        <f t="shared" si="138"/>
        <v>0</v>
      </c>
      <c r="AZ65" s="135">
        <f t="shared" si="138"/>
        <v>0</v>
      </c>
      <c r="BA65" s="116">
        <f t="shared" si="138"/>
        <v>0</v>
      </c>
      <c r="BB65" s="82">
        <f>SUM(AX65:BA65)</f>
        <v>0</v>
      </c>
      <c r="BC65" s="136">
        <f t="shared" si="139"/>
        <v>0</v>
      </c>
      <c r="BD65" s="135">
        <f t="shared" si="139"/>
        <v>0</v>
      </c>
      <c r="BE65" s="135">
        <f t="shared" si="139"/>
        <v>0</v>
      </c>
      <c r="BF65" s="116">
        <f t="shared" si="139"/>
        <v>0</v>
      </c>
      <c r="BG65" s="82">
        <f>SUM(BC65:BF65)</f>
        <v>0</v>
      </c>
      <c r="BH65" s="136">
        <f t="shared" si="140"/>
        <v>0</v>
      </c>
      <c r="BI65" s="135">
        <f t="shared" si="140"/>
        <v>-550</v>
      </c>
      <c r="BJ65" s="135">
        <f t="shared" si="140"/>
        <v>0</v>
      </c>
      <c r="BK65" s="116">
        <f t="shared" si="140"/>
        <v>0</v>
      </c>
      <c r="BL65" s="82">
        <f>SUM(BH65:BK65)</f>
        <v>-550</v>
      </c>
      <c r="BM65" s="136">
        <f t="shared" ref="BM65:BP65" si="142">+BM50</f>
        <v>-400</v>
      </c>
      <c r="BN65" s="135">
        <f t="shared" si="142"/>
        <v>0</v>
      </c>
      <c r="BO65" s="135">
        <f t="shared" si="142"/>
        <v>0</v>
      </c>
      <c r="BP65" s="116">
        <f t="shared" si="142"/>
        <v>0</v>
      </c>
      <c r="BQ65" s="82">
        <f>SUM(BM65:BP65)</f>
        <v>-400</v>
      </c>
    </row>
    <row r="66" spans="2:69" x14ac:dyDescent="0.2">
      <c r="B66" s="42"/>
      <c r="C66" s="350" t="s">
        <v>319</v>
      </c>
      <c r="D66" s="350"/>
      <c r="E66" s="136">
        <f>+E67-SUM(E64:E65)</f>
        <v>82.790999999999997</v>
      </c>
      <c r="F66" s="135">
        <f t="shared" ref="F66:Q66" si="143">+F67-SUM(F64:F65)</f>
        <v>-85.244999999999948</v>
      </c>
      <c r="G66" s="135">
        <f t="shared" si="143"/>
        <v>-30.952000000000012</v>
      </c>
      <c r="H66" s="116">
        <f t="shared" si="143"/>
        <v>-2.1720000000000397</v>
      </c>
      <c r="I66" s="82">
        <f t="shared" si="143"/>
        <v>-35.578000000000074</v>
      </c>
      <c r="J66" s="136">
        <f t="shared" si="143"/>
        <v>177.52299999999997</v>
      </c>
      <c r="K66" s="135">
        <f t="shared" si="143"/>
        <v>-731.17200000000003</v>
      </c>
      <c r="L66" s="135">
        <f t="shared" si="143"/>
        <v>35.875000000000014</v>
      </c>
      <c r="M66" s="116">
        <f t="shared" si="143"/>
        <v>515.41200000000003</v>
      </c>
      <c r="N66" s="82">
        <f t="shared" si="143"/>
        <v>-2.3619999999999948</v>
      </c>
      <c r="O66" s="136">
        <f t="shared" si="143"/>
        <v>50.757000000000026</v>
      </c>
      <c r="P66" s="135">
        <f t="shared" si="143"/>
        <v>-4.9040000000000123</v>
      </c>
      <c r="Q66" s="135">
        <f t="shared" si="143"/>
        <v>-315.89300000000003</v>
      </c>
      <c r="R66" s="116">
        <f t="shared" ref="R66:Y66" si="144">+R67-SUM(R64:R65)</f>
        <v>-0.39500000000004132</v>
      </c>
      <c r="S66" s="82">
        <f t="shared" si="144"/>
        <v>-270.43500000000012</v>
      </c>
      <c r="T66" s="136">
        <f t="shared" si="144"/>
        <v>50.745999999999981</v>
      </c>
      <c r="U66" s="135">
        <f t="shared" si="144"/>
        <v>-17.161000000000012</v>
      </c>
      <c r="V66" s="135">
        <f t="shared" si="144"/>
        <v>-108.87699999999997</v>
      </c>
      <c r="W66" s="116">
        <f t="shared" si="144"/>
        <v>-75.515000000000072</v>
      </c>
      <c r="X66" s="82">
        <f t="shared" si="144"/>
        <v>-150.80700000000007</v>
      </c>
      <c r="Y66" s="136">
        <f t="shared" si="144"/>
        <v>-55.341999999999992</v>
      </c>
      <c r="Z66" s="135">
        <f t="shared" ref="Z66:AF66" si="145">+Z67-SUM(Z64:Z65)</f>
        <v>54.589999999999975</v>
      </c>
      <c r="AA66" s="135">
        <f t="shared" si="145"/>
        <v>-39.899000000000058</v>
      </c>
      <c r="AB66" s="116">
        <f t="shared" si="145"/>
        <v>51.479000000000042</v>
      </c>
      <c r="AC66" s="82">
        <f t="shared" si="145"/>
        <v>10.827999999999918</v>
      </c>
      <c r="AD66" s="136">
        <f t="shared" si="145"/>
        <v>-90.484999999999985</v>
      </c>
      <c r="AE66" s="135">
        <f t="shared" si="145"/>
        <v>151.70300000000009</v>
      </c>
      <c r="AF66" s="135">
        <f t="shared" si="145"/>
        <v>3.0310000000000281</v>
      </c>
      <c r="AG66" s="116">
        <f t="shared" ref="AG66:AM66" si="146">+AG67-SUM(AG64:AG65)</f>
        <v>-73.817999999999941</v>
      </c>
      <c r="AH66" s="82">
        <f t="shared" si="146"/>
        <v>-9.5689999999999316</v>
      </c>
      <c r="AI66" s="136">
        <f t="shared" si="146"/>
        <v>144.22199999999998</v>
      </c>
      <c r="AJ66" s="135">
        <f t="shared" si="146"/>
        <v>-569.73800000000006</v>
      </c>
      <c r="AK66" s="135">
        <f t="shared" si="146"/>
        <v>-36.782999999999866</v>
      </c>
      <c r="AL66" s="116">
        <f t="shared" si="146"/>
        <v>20.40299999999991</v>
      </c>
      <c r="AM66" s="82">
        <f t="shared" si="146"/>
        <v>-441.8959999999999</v>
      </c>
      <c r="AN66" s="136">
        <f t="shared" ref="AN66:AR66" si="147">+AN67-SUM(AN64:AN65)</f>
        <v>-703.85900000000004</v>
      </c>
      <c r="AO66" s="135">
        <f t="shared" si="147"/>
        <v>373.61099999999999</v>
      </c>
      <c r="AP66" s="135">
        <f t="shared" si="147"/>
        <v>87.077999999999989</v>
      </c>
      <c r="AQ66" s="116">
        <f t="shared" si="147"/>
        <v>-330.93499999999989</v>
      </c>
      <c r="AR66" s="82">
        <f t="shared" si="147"/>
        <v>-574.10499999999968</v>
      </c>
      <c r="AS66" s="136">
        <f t="shared" ref="AS66:AW66" si="148">+AS67-SUM(AS64:AS65)</f>
        <v>120.48100000000001</v>
      </c>
      <c r="AT66" s="135">
        <f t="shared" si="148"/>
        <v>35.783000000000015</v>
      </c>
      <c r="AU66" s="135">
        <f t="shared" si="148"/>
        <v>48.675999999999981</v>
      </c>
      <c r="AV66" s="116">
        <f t="shared" si="148"/>
        <v>24.80900000000004</v>
      </c>
      <c r="AW66" s="82">
        <f t="shared" si="148"/>
        <v>229.74900000000008</v>
      </c>
      <c r="AX66" s="148">
        <v>0</v>
      </c>
      <c r="AY66" s="221">
        <v>0</v>
      </c>
      <c r="AZ66" s="221">
        <v>0</v>
      </c>
      <c r="BA66" s="150">
        <v>0</v>
      </c>
      <c r="BB66" s="82">
        <f>SUM(AX66:BA66)</f>
        <v>0</v>
      </c>
      <c r="BC66" s="148">
        <v>0</v>
      </c>
      <c r="BD66" s="221">
        <v>0</v>
      </c>
      <c r="BE66" s="221">
        <v>0</v>
      </c>
      <c r="BF66" s="150">
        <v>0</v>
      </c>
      <c r="BG66" s="82">
        <f>SUM(BC66:BF66)</f>
        <v>0</v>
      </c>
      <c r="BH66" s="148">
        <v>0</v>
      </c>
      <c r="BI66" s="221">
        <v>0</v>
      </c>
      <c r="BJ66" s="221">
        <v>0</v>
      </c>
      <c r="BK66" s="150">
        <v>0</v>
      </c>
      <c r="BL66" s="82">
        <f>SUM(BH66:BK66)</f>
        <v>0</v>
      </c>
      <c r="BM66" s="148">
        <v>0</v>
      </c>
      <c r="BN66" s="221">
        <v>0</v>
      </c>
      <c r="BO66" s="221">
        <v>0</v>
      </c>
      <c r="BP66" s="150">
        <v>0</v>
      </c>
      <c r="BQ66" s="82">
        <f>SUM(BM66:BP66)</f>
        <v>0</v>
      </c>
    </row>
    <row r="67" spans="2:69" x14ac:dyDescent="0.2">
      <c r="B67" s="86"/>
      <c r="C67" s="141" t="s">
        <v>192</v>
      </c>
      <c r="D67" s="86"/>
      <c r="E67" s="121">
        <f>XEL!E154-'NSP-MN'!E223-'NSP-WI'!E213-PSCO!E216-SPS!E177</f>
        <v>82.08299999999997</v>
      </c>
      <c r="F67" s="122">
        <f>XEL!F154-'NSP-MN'!F223-'NSP-WI'!F213-PSCO!F216-SPS!F177</f>
        <v>-85.805999999999955</v>
      </c>
      <c r="G67" s="122">
        <f>XEL!G154-'NSP-MN'!G223-'NSP-WI'!G213-PSCO!G216-SPS!G177</f>
        <v>-32.693999999999946</v>
      </c>
      <c r="H67" s="123">
        <f>XEL!H154-'NSP-MN'!H223-'NSP-WI'!H213-PSCO!H216-SPS!H177</f>
        <v>-3.4640000000001407</v>
      </c>
      <c r="I67" s="86">
        <f>XEL!I154-'NSP-MN'!I223-'NSP-WI'!I213-PSCO!I216-SPS!I177</f>
        <v>-39.881000000000142</v>
      </c>
      <c r="J67" s="121">
        <f>XEL!J154-'NSP-MN'!J223-'NSP-WI'!J213-PSCO!J216-SPS!J177</f>
        <v>177.26299999999998</v>
      </c>
      <c r="K67" s="122">
        <f>XEL!K154-'NSP-MN'!K223-'NSP-WI'!K213-PSCO!K216-SPS!K177</f>
        <v>-187.44199999999995</v>
      </c>
      <c r="L67" s="122">
        <f>XEL!L154-'NSP-MN'!L223-'NSP-WI'!L213-PSCO!L216-SPS!L177</f>
        <v>36.787999999999933</v>
      </c>
      <c r="M67" s="123">
        <f>XEL!M154-'NSP-MN'!M223-'NSP-WI'!M213-PSCO!M216-SPS!M177</f>
        <v>155.47799999999995</v>
      </c>
      <c r="N67" s="86">
        <f>XEL!N154-'NSP-MN'!N223-'NSP-WI'!N213-PSCO!N216-SPS!N177</f>
        <v>182.08699999999996</v>
      </c>
      <c r="O67" s="121">
        <f>XEL!O154-'NSP-MN'!O223-'NSP-WI'!O213-PSCO!O216-SPS!O177</f>
        <v>50.249000000000024</v>
      </c>
      <c r="P67" s="122">
        <f>XEL!P154-'NSP-MN'!P223-'NSP-WI'!P213-PSCO!P216-SPS!P177</f>
        <v>-6.0770000000000124</v>
      </c>
      <c r="Q67" s="122">
        <f>XEL!Q154-'NSP-MN'!Q223-'NSP-WI'!Q213-PSCO!Q216-SPS!Q177</f>
        <v>-67.928000000000011</v>
      </c>
      <c r="R67" s="123">
        <f>XEL!R154-'NSP-MN'!R223-'NSP-WI'!R213-PSCO!R216-SPS!R177</f>
        <v>-1.2160000000001219</v>
      </c>
      <c r="S67" s="86">
        <f>XEL!S154-'NSP-MN'!S223-'NSP-WI'!S213-PSCO!S216-SPS!S177</f>
        <v>-24.972000000000151</v>
      </c>
      <c r="T67" s="121">
        <f>XEL!T154-'NSP-MN'!T223-'NSP-WI'!T213-PSCO!T216-SPS!T177</f>
        <v>50.748999999999981</v>
      </c>
      <c r="U67" s="122">
        <f>XEL!U154-'NSP-MN'!U223-'NSP-WI'!U213-PSCO!U216-SPS!U177</f>
        <v>-17.52300000000001</v>
      </c>
      <c r="V67" s="122">
        <f>XEL!V154-'NSP-MN'!V223-'NSP-WI'!V213-PSCO!V216-SPS!V177</f>
        <v>-108.36100000000008</v>
      </c>
      <c r="W67" s="123">
        <f>XEL!W154-'NSP-MN'!W223-'NSP-WI'!W213-PSCO!W216-SPS!W177</f>
        <v>-73.918999999999926</v>
      </c>
      <c r="X67" s="86">
        <f>XEL!X154-'NSP-MN'!X223-'NSP-WI'!X213-PSCO!X216-SPS!X177</f>
        <v>-149.05399999999992</v>
      </c>
      <c r="Y67" s="121">
        <f>XEL!Y154-'NSP-MN'!Y223-'NSP-WI'!Y213-PSCO!Y216-SPS!Y177</f>
        <v>-55.571000000000005</v>
      </c>
      <c r="Z67" s="122">
        <f>XEL!Z154-'NSP-MN'!Z223-'NSP-WI'!Z213-PSCO!Z216-SPS!Z177</f>
        <v>102.90700000000015</v>
      </c>
      <c r="AA67" s="122">
        <f>XEL!AA154-'NSP-MN'!AA223-'NSP-WI'!AA213-PSCO!AA216-SPS!AA177</f>
        <v>-39.740000000000201</v>
      </c>
      <c r="AB67" s="123">
        <f>XEL!AB154-'NSP-MN'!AB223-'NSP-WI'!AB213-PSCO!AB216-SPS!AB177</f>
        <v>51.108999999999995</v>
      </c>
      <c r="AC67" s="86">
        <f>XEL!AC154-'NSP-MN'!AC223-'NSP-WI'!AC213-PSCO!AC216-SPS!AC177</f>
        <v>58.70499999999987</v>
      </c>
      <c r="AD67" s="121">
        <f>XEL!AD154-'NSP-MN'!AD223-'NSP-WI'!AD213-PSCO!AD216-SPS!AD177</f>
        <v>-90.736999999999981</v>
      </c>
      <c r="AE67" s="122">
        <f>XEL!AE154-'NSP-MN'!AE223-'NSP-WI'!AE213-PSCO!AE216-SPS!AE177</f>
        <v>151.47700000000009</v>
      </c>
      <c r="AF67" s="122">
        <f>XEL!AF154-'NSP-MN'!AF223-'NSP-WI'!AF213-PSCO!AF216-SPS!AF177</f>
        <v>2.8259999999999437</v>
      </c>
      <c r="AG67" s="123">
        <f>XEL!AG154-'NSP-MN'!AG223-'NSP-WI'!AG213-PSCO!AG216-SPS!AG177</f>
        <v>-73.983999999999924</v>
      </c>
      <c r="AH67" s="86">
        <f>XEL!AH154-'NSP-MN'!AH223-'NSP-WI'!AH213-PSCO!AH216-SPS!AH177</f>
        <v>-10.417999999999921</v>
      </c>
      <c r="AI67" s="121">
        <f>XEL!AI154-'NSP-MN'!AI223-'NSP-WI'!AI213-PSCO!AI216-SPS!AI177</f>
        <v>143.92799999999997</v>
      </c>
      <c r="AJ67" s="122">
        <f>XEL!AJ154-'NSP-MN'!AJ223-'NSP-WI'!AJ213-PSCO!AJ216-SPS!AJ177</f>
        <v>-73.776000000000067</v>
      </c>
      <c r="AK67" s="122">
        <f>XEL!AK154-'NSP-MN'!AK223-'NSP-WI'!AK213-PSCO!AK216-SPS!AK177</f>
        <v>-37.542999999999878</v>
      </c>
      <c r="AL67" s="123">
        <f>XEL!AL154-'NSP-MN'!AL223-'NSP-WI'!AL213-PSCO!AL216-SPS!AL177</f>
        <v>20.163999999999902</v>
      </c>
      <c r="AM67" s="86">
        <f>XEL!AM154-'NSP-MN'!AM223-'NSP-WI'!AM213-PSCO!AM216-SPS!AM177</f>
        <v>52.773000000000025</v>
      </c>
      <c r="AN67" s="121">
        <f>XEL!AN154-'NSP-MN'!AN223-'NSP-WI'!AN213-PSCO!AN216-SPS!AN177</f>
        <v>42.948999999999998</v>
      </c>
      <c r="AO67" s="122">
        <f>XEL!AO154-'NSP-MN'!AO223-'NSP-WI'!AO213-PSCO!AO216-SPS!AO177</f>
        <v>-74.146999999999906</v>
      </c>
      <c r="AP67" s="122">
        <f>XEL!AP154-'NSP-MN'!AP223-'NSP-WI'!AP213-PSCO!AP216-SPS!AP177</f>
        <v>86.808999999999969</v>
      </c>
      <c r="AQ67" s="123">
        <f>XEL!AQ154-'NSP-MN'!AQ223-'NSP-WI'!AQ213-PSCO!AQ216-SPS!AQ177</f>
        <v>204.75999999999993</v>
      </c>
      <c r="AR67" s="86">
        <f>XEL!AR154-'NSP-MN'!AR223-'NSP-WI'!AR213-PSCO!AR216-SPS!AR177</f>
        <v>260.37099999999998</v>
      </c>
      <c r="AS67" s="121">
        <f>XEL!AS154-'NSP-MN'!AS223-'NSP-WI'!AS213-PSCO!AS216-SPS!AS177</f>
        <v>120.30500000000001</v>
      </c>
      <c r="AT67" s="122">
        <f>XEL!AT154-'NSP-MN'!AT223-'NSP-WI'!AT213-PSCO!AT216-SPS!AT177</f>
        <v>-214.95799999999994</v>
      </c>
      <c r="AU67" s="122">
        <f>XEL!AU154-'NSP-MN'!AU223-'NSP-WI'!AU213-PSCO!AU216-SPS!AU177</f>
        <v>48.495999999999917</v>
      </c>
      <c r="AV67" s="123">
        <f>XEL!AV154-'NSP-MN'!AV223-'NSP-WI'!AV213-PSCO!AV216-SPS!AV177</f>
        <v>24.628999999999934</v>
      </c>
      <c r="AW67" s="86">
        <f>XEL!AW154-'NSP-MN'!AW223-'NSP-WI'!AW213-PSCO!AW216-SPS!AW177</f>
        <v>-21.52800000000002</v>
      </c>
      <c r="AX67" s="121">
        <f t="shared" ref="AX67:BG67" si="149">SUM(AX64:AX66)</f>
        <v>0</v>
      </c>
      <c r="AY67" s="122">
        <f t="shared" si="149"/>
        <v>0</v>
      </c>
      <c r="AZ67" s="122">
        <f t="shared" si="149"/>
        <v>750</v>
      </c>
      <c r="BA67" s="123">
        <f t="shared" si="149"/>
        <v>0</v>
      </c>
      <c r="BB67" s="86">
        <f t="shared" si="149"/>
        <v>750</v>
      </c>
      <c r="BC67" s="121">
        <f t="shared" si="149"/>
        <v>0</v>
      </c>
      <c r="BD67" s="122">
        <f t="shared" si="149"/>
        <v>0</v>
      </c>
      <c r="BE67" s="122">
        <f t="shared" si="149"/>
        <v>500</v>
      </c>
      <c r="BF67" s="123">
        <f t="shared" si="149"/>
        <v>0</v>
      </c>
      <c r="BG67" s="86">
        <f t="shared" si="149"/>
        <v>500</v>
      </c>
      <c r="BH67" s="121">
        <f t="shared" ref="BH67:BQ67" si="150">SUM(BH64:BH66)</f>
        <v>0</v>
      </c>
      <c r="BI67" s="122">
        <f t="shared" si="150"/>
        <v>-550</v>
      </c>
      <c r="BJ67" s="122">
        <f t="shared" si="150"/>
        <v>800</v>
      </c>
      <c r="BK67" s="123">
        <f t="shared" si="150"/>
        <v>0</v>
      </c>
      <c r="BL67" s="86">
        <f t="shared" si="150"/>
        <v>250</v>
      </c>
      <c r="BM67" s="121">
        <f t="shared" si="150"/>
        <v>-400</v>
      </c>
      <c r="BN67" s="122">
        <f t="shared" si="150"/>
        <v>0</v>
      </c>
      <c r="BO67" s="122">
        <f t="shared" si="150"/>
        <v>400</v>
      </c>
      <c r="BP67" s="123">
        <f t="shared" si="150"/>
        <v>0</v>
      </c>
      <c r="BQ67" s="86">
        <f t="shared" si="150"/>
        <v>0</v>
      </c>
    </row>
    <row r="68" spans="2:69" x14ac:dyDescent="0.2">
      <c r="C68" s="70"/>
      <c r="E68" s="121"/>
      <c r="F68" s="130"/>
      <c r="G68" s="130"/>
      <c r="H68" s="123"/>
      <c r="I68" s="86"/>
      <c r="J68" s="121"/>
      <c r="K68" s="130"/>
      <c r="L68" s="130"/>
      <c r="M68" s="123"/>
      <c r="N68" s="86"/>
      <c r="O68" s="121"/>
      <c r="P68" s="130"/>
      <c r="Q68" s="130"/>
      <c r="R68" s="123"/>
      <c r="S68" s="86"/>
      <c r="T68" s="121"/>
      <c r="U68" s="130"/>
      <c r="V68" s="130"/>
      <c r="W68" s="123"/>
      <c r="X68" s="86"/>
      <c r="Y68" s="121"/>
      <c r="Z68" s="130"/>
      <c r="AA68" s="130"/>
      <c r="AB68" s="123"/>
      <c r="AC68" s="86"/>
      <c r="AD68" s="121"/>
      <c r="AE68" s="130"/>
      <c r="AF68" s="130"/>
      <c r="AG68" s="123"/>
      <c r="AH68" s="86"/>
      <c r="AI68" s="121"/>
      <c r="AJ68" s="130"/>
      <c r="AK68" s="130"/>
      <c r="AL68" s="123"/>
      <c r="AM68" s="86"/>
      <c r="AN68" s="121"/>
      <c r="AO68" s="130"/>
      <c r="AP68" s="130"/>
      <c r="AQ68" s="123"/>
      <c r="AR68" s="86"/>
      <c r="AS68" s="121"/>
      <c r="AT68" s="130"/>
      <c r="AU68" s="130"/>
      <c r="AV68" s="123"/>
      <c r="AW68" s="86"/>
      <c r="AX68" s="121"/>
      <c r="AY68" s="130"/>
      <c r="AZ68" s="130"/>
      <c r="BA68" s="123"/>
      <c r="BB68" s="86"/>
      <c r="BC68" s="121"/>
      <c r="BD68" s="130"/>
      <c r="BE68" s="130"/>
      <c r="BF68" s="123"/>
      <c r="BG68" s="86"/>
      <c r="BH68" s="121"/>
      <c r="BI68" s="130"/>
      <c r="BJ68" s="130"/>
      <c r="BK68" s="123"/>
      <c r="BL68" s="86"/>
      <c r="BM68" s="121"/>
      <c r="BN68" s="130"/>
      <c r="BO68" s="130"/>
      <c r="BP68" s="123"/>
      <c r="BQ68" s="86"/>
    </row>
    <row r="69" spans="2:69" x14ac:dyDescent="0.2">
      <c r="B69" s="86"/>
      <c r="C69" s="141" t="s">
        <v>193</v>
      </c>
      <c r="D69" s="86"/>
      <c r="E69" s="359">
        <f>+E58+E62+E67</f>
        <v>-43.978000000000122</v>
      </c>
      <c r="F69" s="360">
        <f t="shared" ref="F69:P69" si="151">+F58+F62+F67</f>
        <v>1.1510000000000389</v>
      </c>
      <c r="G69" s="360">
        <f t="shared" si="151"/>
        <v>4.2510000000001398</v>
      </c>
      <c r="H69" s="361">
        <f t="shared" si="151"/>
        <v>-7.689000000000199</v>
      </c>
      <c r="I69" s="86">
        <f t="shared" si="151"/>
        <v>-46.265000000000271</v>
      </c>
      <c r="J69" s="359">
        <f t="shared" si="151"/>
        <v>2.1400000000000148</v>
      </c>
      <c r="K69" s="360">
        <f t="shared" si="151"/>
        <v>4.2620000000000005</v>
      </c>
      <c r="L69" s="360">
        <f t="shared" si="151"/>
        <v>-5.1559999999998141</v>
      </c>
      <c r="M69" s="361">
        <f t="shared" si="151"/>
        <v>1.7999999999688043E-2</v>
      </c>
      <c r="N69" s="86">
        <f t="shared" si="151"/>
        <v>1.2640000000002374</v>
      </c>
      <c r="O69" s="359">
        <f t="shared" si="151"/>
        <v>0.86299999999997112</v>
      </c>
      <c r="P69" s="360">
        <f t="shared" si="151"/>
        <v>-0.19999999999988916</v>
      </c>
      <c r="Q69" s="360">
        <f t="shared" ref="Q69:V69" si="152">+Q58+Q62+Q67</f>
        <v>12.141000000000076</v>
      </c>
      <c r="R69" s="361">
        <f t="shared" si="152"/>
        <v>-13.00300000000032</v>
      </c>
      <c r="S69" s="86">
        <f t="shared" si="152"/>
        <v>-0.19899999999992701</v>
      </c>
      <c r="T69" s="359">
        <f t="shared" si="152"/>
        <v>13.628999999999905</v>
      </c>
      <c r="U69" s="360">
        <f t="shared" si="152"/>
        <v>-13.547999999999902</v>
      </c>
      <c r="V69" s="360">
        <f t="shared" si="152"/>
        <v>37.037999999999613</v>
      </c>
      <c r="W69" s="361">
        <f>+W58+W62+W67</f>
        <v>-22.423999999999452</v>
      </c>
      <c r="X69" s="86">
        <f>+X58+X62+X67</f>
        <v>14.695000000000675</v>
      </c>
      <c r="Y69" s="359">
        <f>+Y58+Y62+Y67</f>
        <v>-9.8080000000000567</v>
      </c>
      <c r="Z69" s="360">
        <f>+Z58+Z62+Z67</f>
        <v>-2.9849999999997294</v>
      </c>
      <c r="AA69" s="360">
        <f>+AA58+AA62+AA67</f>
        <v>8.004999999999832</v>
      </c>
      <c r="AB69" s="361">
        <f t="shared" ref="AB69:AH69" si="153">+AB58+AB62+AB67</f>
        <v>2.1729999999999734</v>
      </c>
      <c r="AC69" s="86">
        <f t="shared" si="153"/>
        <v>-2.6150000000002365</v>
      </c>
      <c r="AD69" s="359">
        <f t="shared" si="153"/>
        <v>-3.73599999999999</v>
      </c>
      <c r="AE69" s="360">
        <f t="shared" si="153"/>
        <v>-2.8929999999999154</v>
      </c>
      <c r="AF69" s="360">
        <f t="shared" si="153"/>
        <v>-1.9429999999999765</v>
      </c>
      <c r="AG69" s="361">
        <f t="shared" si="153"/>
        <v>-2.7079999999997995</v>
      </c>
      <c r="AH69" s="86">
        <f t="shared" si="153"/>
        <v>-11.279999999999887</v>
      </c>
      <c r="AI69" s="359">
        <f t="shared" ref="AI69:AR69" si="154">+AI58+AI62+AI67</f>
        <v>7.415999999999741</v>
      </c>
      <c r="AJ69" s="360">
        <f t="shared" si="154"/>
        <v>1.2839999999999065</v>
      </c>
      <c r="AK69" s="360">
        <f t="shared" si="154"/>
        <v>1.5839999999999606</v>
      </c>
      <c r="AL69" s="361">
        <f t="shared" si="154"/>
        <v>-2.942000000000462</v>
      </c>
      <c r="AM69" s="86">
        <f t="shared" si="154"/>
        <v>7.3420000000002119</v>
      </c>
      <c r="AN69" s="359">
        <f t="shared" si="154"/>
        <v>4.0240000000002709</v>
      </c>
      <c r="AO69" s="360">
        <f t="shared" si="154"/>
        <v>-16.591999999999899</v>
      </c>
      <c r="AP69" s="360">
        <f t="shared" si="154"/>
        <v>7.2720000000000482</v>
      </c>
      <c r="AQ69" s="361">
        <f t="shared" si="154"/>
        <v>-2.9760000000004254</v>
      </c>
      <c r="AR69" s="86">
        <f t="shared" si="154"/>
        <v>-8.2719999999998777</v>
      </c>
      <c r="AS69" s="359">
        <f t="shared" ref="AS69:AW69" si="155">+AS58+AS62+AS67</f>
        <v>3.6879999999999171</v>
      </c>
      <c r="AT69" s="360">
        <f t="shared" si="155"/>
        <v>-5.1029999999999802</v>
      </c>
      <c r="AU69" s="360">
        <f t="shared" si="155"/>
        <v>-0.69000000000071537</v>
      </c>
      <c r="AV69" s="361">
        <f t="shared" si="155"/>
        <v>-7.0279999999994089</v>
      </c>
      <c r="AW69" s="86">
        <f t="shared" si="155"/>
        <v>-9.133000000000095</v>
      </c>
      <c r="AX69" s="359">
        <f t="shared" ref="AX69:BB69" si="156">+AX58+AX62+AX67</f>
        <v>-23.480279258818364</v>
      </c>
      <c r="AY69" s="360">
        <f t="shared" si="156"/>
        <v>-22.387806265807569</v>
      </c>
      <c r="AZ69" s="360">
        <f t="shared" si="156"/>
        <v>721.95638256266284</v>
      </c>
      <c r="BA69" s="361">
        <f t="shared" si="156"/>
        <v>-16.524990800172475</v>
      </c>
      <c r="BB69" s="86">
        <f t="shared" si="156"/>
        <v>659.56330623786448</v>
      </c>
      <c r="BC69" s="359">
        <f t="shared" ref="BC69:BL69" si="157">+BC58+BC62+BC67</f>
        <v>0.12127530450257495</v>
      </c>
      <c r="BD69" s="360">
        <f t="shared" si="157"/>
        <v>0.82604163424204913</v>
      </c>
      <c r="BE69" s="360">
        <f t="shared" si="157"/>
        <v>493.51254252543021</v>
      </c>
      <c r="BF69" s="361">
        <f t="shared" si="157"/>
        <v>6.7084565747649716</v>
      </c>
      <c r="BG69" s="86">
        <f t="shared" si="157"/>
        <v>501.16831603893979</v>
      </c>
      <c r="BH69" s="359">
        <f t="shared" si="157"/>
        <v>-4.1012830231077082</v>
      </c>
      <c r="BI69" s="360">
        <f t="shared" si="157"/>
        <v>-549.26631014662746</v>
      </c>
      <c r="BJ69" s="360">
        <f t="shared" si="157"/>
        <v>789.48090976625917</v>
      </c>
      <c r="BK69" s="361">
        <f t="shared" si="157"/>
        <v>6.4919531228718412</v>
      </c>
      <c r="BL69" s="86">
        <f t="shared" si="157"/>
        <v>242.60526971939586</v>
      </c>
      <c r="BM69" s="359">
        <f t="shared" ref="BM69:BQ69" si="158">+BM58+BM62+BM67</f>
        <v>-419.18768826800374</v>
      </c>
      <c r="BN69" s="360">
        <f t="shared" si="158"/>
        <v>-16.247573867994824</v>
      </c>
      <c r="BO69" s="360">
        <f t="shared" si="158"/>
        <v>371.5949006461351</v>
      </c>
      <c r="BP69" s="361">
        <f t="shared" si="158"/>
        <v>-9.120653283270066</v>
      </c>
      <c r="BQ69" s="86">
        <f t="shared" si="158"/>
        <v>-72.961014773133542</v>
      </c>
    </row>
  </sheetData>
  <phoneticPr fontId="45" type="noConversion"/>
  <pageMargins left="0.5" right="0.5" top="0.5" bottom="0.5" header="0" footer="0"/>
  <pageSetup scale="59" fitToHeight="4" orientation="landscape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I192"/>
  <sheetViews>
    <sheetView zoomScale="80" zoomScaleNormal="80" workbookViewId="0">
      <pane xSplit="4" ySplit="6" topLeftCell="E7" activePane="bottomRight" state="frozen"/>
      <selection activeCell="S41" sqref="S41"/>
      <selection pane="topRight" activeCell="S41" sqref="S41"/>
      <selection pane="bottomLeft" activeCell="S41" sqref="S41"/>
      <selection pane="bottomRight" activeCell="E7" sqref="E7"/>
    </sheetView>
  </sheetViews>
  <sheetFormatPr defaultRowHeight="12.75" customHeight="1" outlineLevelCol="1" x14ac:dyDescent="0.2"/>
  <cols>
    <col min="1" max="2" width="2.7109375" customWidth="1"/>
    <col min="3" max="3" width="60" customWidth="1"/>
    <col min="4" max="4" width="6.140625" customWidth="1"/>
    <col min="5" max="7" width="8.5703125" bestFit="1" customWidth="1"/>
    <col min="8" max="8" width="12.5703125" customWidth="1"/>
    <col min="9" max="10" width="7.7109375" customWidth="1"/>
    <col min="11" max="11" width="1.85546875" customWidth="1"/>
    <col min="12" max="12" width="8.85546875" customWidth="1"/>
    <col min="13" max="16" width="8.85546875" hidden="1" customWidth="1" outlineLevel="1"/>
    <col min="17" max="17" width="8.85546875" customWidth="1" collapsed="1"/>
    <col min="18" max="21" width="8.85546875" hidden="1" customWidth="1" outlineLevel="1"/>
    <col min="22" max="22" width="8.85546875" customWidth="1" collapsed="1"/>
    <col min="23" max="26" width="8.85546875" hidden="1" customWidth="1" outlineLevel="1"/>
    <col min="27" max="27" width="8.85546875" customWidth="1" collapsed="1"/>
    <col min="28" max="31" width="8.85546875" hidden="1" customWidth="1" outlineLevel="1"/>
    <col min="32" max="32" width="8.85546875" customWidth="1" collapsed="1"/>
    <col min="33" max="36" width="8.85546875" hidden="1" customWidth="1" outlineLevel="1"/>
    <col min="37" max="37" width="8.85546875" customWidth="1" collapsed="1"/>
    <col min="38" max="41" width="8.85546875" hidden="1" customWidth="1" outlineLevel="1"/>
    <col min="42" max="42" width="8.85546875" customWidth="1" collapsed="1"/>
    <col min="43" max="46" width="8.85546875" hidden="1" customWidth="1" outlineLevel="1"/>
    <col min="47" max="47" width="8.85546875" customWidth="1" collapsed="1"/>
    <col min="48" max="51" width="8.85546875" hidden="1" customWidth="1" outlineLevel="1"/>
    <col min="52" max="52" width="8.85546875" customWidth="1" collapsed="1"/>
    <col min="53" max="56" width="8.85546875" hidden="1" customWidth="1" outlineLevel="1"/>
    <col min="57" max="57" width="8.85546875" customWidth="1" collapsed="1"/>
    <col min="58" max="61" width="8.85546875" hidden="1" customWidth="1" outlineLevel="1"/>
    <col min="62" max="62" width="8.85546875" customWidth="1" collapsed="1"/>
    <col min="63" max="66" width="8.85546875" hidden="1" customWidth="1" outlineLevel="1"/>
    <col min="67" max="67" width="8.85546875" customWidth="1" collapsed="1"/>
    <col min="68" max="68" width="2.5703125" customWidth="1"/>
    <col min="69" max="69" width="8.7109375" customWidth="1"/>
    <col min="70" max="73" width="8.7109375" hidden="1" customWidth="1" outlineLevel="1"/>
    <col min="74" max="74" width="8.7109375" customWidth="1" collapsed="1"/>
    <col min="75" max="78" width="8.7109375" hidden="1" customWidth="1" outlineLevel="1"/>
    <col min="79" max="79" width="8.7109375" customWidth="1" collapsed="1"/>
    <col min="80" max="83" width="8.7109375" hidden="1" customWidth="1" outlineLevel="1"/>
    <col min="84" max="84" width="8.7109375" customWidth="1" collapsed="1"/>
    <col min="85" max="88" width="8.7109375" hidden="1" customWidth="1" outlineLevel="1"/>
    <col min="89" max="89" width="8.7109375" customWidth="1" collapsed="1"/>
    <col min="90" max="93" width="8.7109375" hidden="1" customWidth="1" outlineLevel="1"/>
    <col min="94" max="94" width="8.7109375" customWidth="1" collapsed="1"/>
    <col min="95" max="98" width="8.7109375" hidden="1" customWidth="1" outlineLevel="1"/>
    <col min="99" max="99" width="8.7109375" customWidth="1" collapsed="1"/>
    <col min="100" max="103" width="8.7109375" hidden="1" customWidth="1" outlineLevel="1"/>
    <col min="104" max="104" width="8.7109375" customWidth="1" collapsed="1"/>
    <col min="105" max="108" width="8.7109375" hidden="1" customWidth="1" outlineLevel="1"/>
    <col min="109" max="109" width="8.7109375" customWidth="1" collapsed="1"/>
    <col min="110" max="113" width="8.7109375" hidden="1" customWidth="1" outlineLevel="1"/>
    <col min="114" max="114" width="8.7109375" customWidth="1" collapsed="1"/>
    <col min="115" max="118" width="8.7109375" hidden="1" customWidth="1" outlineLevel="1"/>
    <col min="119" max="119" width="8.7109375" customWidth="1" collapsed="1"/>
    <col min="120" max="123" width="8.7109375" hidden="1" customWidth="1" outlineLevel="1"/>
    <col min="124" max="124" width="8.7109375" customWidth="1" collapsed="1"/>
  </cols>
  <sheetData>
    <row r="1" spans="1:124" ht="15" customHeight="1" x14ac:dyDescent="0.25">
      <c r="A1" s="2"/>
      <c r="B1" s="2"/>
      <c r="C1" s="2"/>
      <c r="D1" s="3"/>
      <c r="E1" s="4"/>
      <c r="F1" s="4"/>
      <c r="G1" s="4"/>
      <c r="H1" s="4"/>
      <c r="I1" s="4"/>
      <c r="J1" s="4"/>
      <c r="K1" s="4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2"/>
      <c r="AP1" s="362"/>
      <c r="AQ1" s="362"/>
      <c r="AR1" s="362"/>
      <c r="AS1" s="362"/>
      <c r="AT1" s="362"/>
      <c r="AU1" s="362"/>
      <c r="AV1" s="362"/>
      <c r="AW1" s="362"/>
      <c r="AX1" s="362"/>
      <c r="AY1" s="362"/>
      <c r="AZ1" s="362"/>
      <c r="BA1" s="362"/>
      <c r="BB1" s="362"/>
      <c r="BC1" s="362"/>
      <c r="BD1" s="362"/>
      <c r="BE1" s="362"/>
      <c r="BF1" s="362"/>
      <c r="BG1" s="362"/>
      <c r="BH1" s="362"/>
      <c r="BI1" s="362"/>
      <c r="BJ1" s="362"/>
      <c r="BK1" s="362"/>
      <c r="BL1" s="362"/>
      <c r="BM1" s="362"/>
      <c r="BN1" s="362"/>
      <c r="BO1" s="362"/>
      <c r="BP1" s="362"/>
      <c r="BQ1" s="362"/>
      <c r="BR1" s="362"/>
      <c r="BS1" s="362"/>
      <c r="BT1" s="362"/>
      <c r="BU1" s="362"/>
      <c r="BV1" s="362"/>
      <c r="BW1" s="362"/>
      <c r="BX1" s="362"/>
      <c r="BY1" s="362"/>
      <c r="BZ1" s="362"/>
      <c r="CA1" s="362"/>
      <c r="CB1" s="362"/>
      <c r="CC1" s="362"/>
      <c r="CD1" s="362"/>
      <c r="CE1" s="362"/>
      <c r="CF1" s="362"/>
      <c r="CG1" s="362"/>
      <c r="CH1" s="362"/>
      <c r="CI1" s="362"/>
      <c r="CJ1" s="362"/>
      <c r="CK1" s="362"/>
      <c r="CL1" s="362"/>
      <c r="CM1" s="362"/>
      <c r="CN1" s="362"/>
      <c r="CO1" s="362"/>
      <c r="CP1" s="362"/>
      <c r="CQ1" s="362"/>
      <c r="CR1" s="362"/>
      <c r="CS1" s="362"/>
      <c r="CT1" s="362"/>
      <c r="CU1" s="362"/>
      <c r="CV1" s="362"/>
      <c r="CW1" s="362"/>
      <c r="CX1" s="362"/>
      <c r="CY1" s="362"/>
      <c r="CZ1" s="362"/>
      <c r="DA1" s="362"/>
      <c r="DB1" s="362"/>
      <c r="DC1" s="362"/>
      <c r="DD1" s="362"/>
      <c r="DE1" s="362"/>
      <c r="DF1" s="362"/>
      <c r="DG1" s="362"/>
      <c r="DH1" s="362"/>
      <c r="DI1" s="362"/>
      <c r="DJ1" s="362"/>
      <c r="DK1" s="362"/>
      <c r="DL1" s="362"/>
      <c r="DM1" s="362"/>
      <c r="DN1" s="362"/>
      <c r="DO1" s="362"/>
      <c r="DP1" s="362"/>
      <c r="DQ1" s="362"/>
      <c r="DR1" s="362"/>
      <c r="DS1" s="362"/>
      <c r="DT1" s="362"/>
    </row>
    <row r="2" spans="1:124" ht="15" customHeight="1" x14ac:dyDescent="0.25">
      <c r="A2" s="2"/>
      <c r="B2" s="2" t="str">
        <f>Cover!$B$2</f>
        <v>Xcel Energy</v>
      </c>
      <c r="C2" s="2"/>
      <c r="D2" s="3"/>
      <c r="E2" s="4"/>
      <c r="F2" s="4"/>
      <c r="G2" s="4"/>
      <c r="H2" s="4"/>
      <c r="I2" s="4"/>
      <c r="J2" s="4"/>
      <c r="K2" s="4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  <c r="AF2" s="362"/>
      <c r="AG2" s="362"/>
      <c r="AH2" s="362"/>
      <c r="AI2" s="362"/>
      <c r="AJ2" s="362"/>
      <c r="AK2" s="362"/>
      <c r="AL2" s="362"/>
      <c r="AM2" s="362"/>
      <c r="AN2" s="362"/>
      <c r="AO2" s="362"/>
      <c r="AP2" s="362"/>
      <c r="AQ2" s="362"/>
      <c r="AR2" s="362"/>
      <c r="AS2" s="362"/>
      <c r="AT2" s="362"/>
      <c r="AU2" s="362"/>
      <c r="AV2" s="362"/>
      <c r="AW2" s="362"/>
      <c r="AX2" s="362"/>
      <c r="AY2" s="362"/>
      <c r="AZ2" s="362"/>
      <c r="BA2" s="362"/>
      <c r="BB2" s="362"/>
      <c r="BC2" s="362"/>
      <c r="BD2" s="362"/>
      <c r="BE2" s="362"/>
      <c r="BF2" s="362"/>
      <c r="BG2" s="362"/>
      <c r="BH2" s="362"/>
      <c r="BI2" s="362"/>
      <c r="BJ2" s="362"/>
      <c r="BK2" s="362"/>
      <c r="BL2" s="362"/>
      <c r="BM2" s="362"/>
      <c r="BN2" s="362"/>
      <c r="BO2" s="362"/>
      <c r="BP2" s="362"/>
      <c r="BQ2" s="362"/>
      <c r="BR2" s="362"/>
      <c r="BS2" s="362"/>
      <c r="BT2" s="362"/>
      <c r="BU2" s="362"/>
      <c r="BV2" s="362"/>
      <c r="BW2" s="362"/>
      <c r="BX2" s="362"/>
      <c r="BY2" s="362"/>
      <c r="BZ2" s="362"/>
      <c r="CA2" s="362"/>
      <c r="CB2" s="362"/>
      <c r="CC2" s="362"/>
      <c r="CD2" s="362"/>
      <c r="CE2" s="362"/>
      <c r="CF2" s="362"/>
      <c r="CG2" s="362"/>
      <c r="CH2" s="362"/>
      <c r="CI2" s="362"/>
      <c r="CJ2" s="362"/>
      <c r="CK2" s="362"/>
      <c r="CL2" s="362"/>
      <c r="CM2" s="362"/>
      <c r="CN2" s="362"/>
      <c r="CO2" s="362"/>
      <c r="CP2" s="362"/>
      <c r="CQ2" s="362"/>
      <c r="CR2" s="362"/>
      <c r="CS2" s="362"/>
      <c r="CT2" s="362"/>
      <c r="CU2" s="362"/>
      <c r="CV2" s="362"/>
      <c r="CW2" s="362"/>
      <c r="CX2" s="362"/>
      <c r="CY2" s="362"/>
      <c r="CZ2" s="362"/>
      <c r="DA2" s="362"/>
      <c r="DB2" s="362"/>
      <c r="DC2" s="362"/>
      <c r="DD2" s="362"/>
      <c r="DE2" s="362"/>
      <c r="DF2" s="362"/>
      <c r="DG2" s="362"/>
      <c r="DH2" s="362"/>
      <c r="DI2" s="362"/>
      <c r="DJ2" s="362"/>
      <c r="DK2" s="362"/>
      <c r="DL2" s="362"/>
      <c r="DM2" s="362"/>
      <c r="DN2" s="362"/>
      <c r="DO2" s="362"/>
      <c r="DP2" s="362"/>
      <c r="DQ2" s="362"/>
      <c r="DR2" s="362"/>
      <c r="DS2" s="362"/>
      <c r="DT2" s="362"/>
    </row>
    <row r="3" spans="1:124" ht="15" customHeight="1" x14ac:dyDescent="0.25">
      <c r="A3" s="5"/>
      <c r="B3" s="6" t="s">
        <v>320</v>
      </c>
      <c r="C3" s="6"/>
      <c r="D3" s="4"/>
      <c r="E3" s="4"/>
      <c r="F3" s="4"/>
      <c r="G3" s="4"/>
      <c r="H3" s="4"/>
      <c r="I3" s="4"/>
      <c r="J3" s="4"/>
      <c r="K3" s="4"/>
      <c r="L3" s="362"/>
      <c r="M3" s="362"/>
      <c r="N3" s="362"/>
      <c r="O3" s="362"/>
      <c r="P3" s="362"/>
      <c r="Q3" s="362"/>
      <c r="R3" s="362"/>
      <c r="S3" s="362"/>
      <c r="T3" s="362"/>
      <c r="U3" s="362"/>
      <c r="V3" s="362"/>
      <c r="W3" s="362"/>
      <c r="X3" s="362"/>
      <c r="Y3" s="362"/>
      <c r="Z3" s="362"/>
      <c r="AA3" s="362"/>
      <c r="AB3" s="362"/>
      <c r="AC3" s="362"/>
      <c r="AD3" s="362"/>
      <c r="AE3" s="362"/>
      <c r="AF3" s="362"/>
      <c r="AG3" s="362"/>
      <c r="AH3" s="362"/>
      <c r="AI3" s="362"/>
      <c r="AJ3" s="362"/>
      <c r="AK3" s="362"/>
      <c r="AL3" s="362"/>
      <c r="AM3" s="362"/>
      <c r="AN3" s="362"/>
      <c r="AO3" s="362"/>
      <c r="AP3" s="362"/>
      <c r="AQ3" s="362"/>
      <c r="AR3" s="362"/>
      <c r="AS3" s="362"/>
      <c r="AT3" s="362"/>
      <c r="AU3" s="362"/>
      <c r="AV3" s="362"/>
      <c r="AW3" s="362"/>
      <c r="AX3" s="362"/>
      <c r="AY3" s="362"/>
      <c r="AZ3" s="362"/>
      <c r="BA3" s="362"/>
      <c r="BB3" s="362"/>
      <c r="BC3" s="362"/>
      <c r="BD3" s="362"/>
      <c r="BE3" s="362"/>
      <c r="BF3" s="362"/>
      <c r="BG3" s="362"/>
      <c r="BH3" s="362"/>
      <c r="BI3" s="362"/>
      <c r="BJ3" s="362"/>
      <c r="BK3" s="362"/>
      <c r="BL3" s="362"/>
      <c r="BM3" s="362"/>
      <c r="BN3" s="362"/>
      <c r="BO3" s="362"/>
      <c r="BP3" s="362"/>
      <c r="BQ3" s="362"/>
      <c r="BR3" s="362"/>
      <c r="BS3" s="362"/>
      <c r="BT3" s="362"/>
      <c r="BU3" s="362"/>
      <c r="BV3" s="362"/>
      <c r="BW3" s="362"/>
      <c r="BX3" s="362"/>
      <c r="BY3" s="362"/>
      <c r="BZ3" s="362"/>
      <c r="CA3" s="362"/>
      <c r="CB3" s="362"/>
      <c r="CC3" s="362"/>
      <c r="CD3" s="362"/>
      <c r="CE3" s="362"/>
      <c r="CF3" s="362"/>
      <c r="CG3" s="362"/>
      <c r="CH3" s="362"/>
      <c r="CI3" s="362"/>
      <c r="CJ3" s="362"/>
      <c r="CK3" s="362"/>
      <c r="CL3" s="362"/>
      <c r="CM3" s="362"/>
      <c r="CN3" s="362"/>
      <c r="CO3" s="362"/>
      <c r="CP3" s="362"/>
      <c r="CQ3" s="362"/>
      <c r="CR3" s="362"/>
      <c r="CS3" s="362"/>
      <c r="CT3" s="362"/>
      <c r="CU3" s="362"/>
      <c r="CV3" s="362"/>
      <c r="CW3" s="362"/>
      <c r="CX3" s="362"/>
      <c r="CY3" s="362"/>
      <c r="CZ3" s="362"/>
      <c r="DA3" s="362"/>
      <c r="DB3" s="362"/>
      <c r="DC3" s="362"/>
      <c r="DD3" s="362"/>
      <c r="DE3" s="362"/>
      <c r="DF3" s="362"/>
      <c r="DG3" s="362"/>
      <c r="DH3" s="362"/>
      <c r="DI3" s="362"/>
      <c r="DJ3" s="362"/>
      <c r="DK3" s="362"/>
      <c r="DL3" s="362"/>
      <c r="DM3" s="362"/>
      <c r="DN3" s="362"/>
      <c r="DO3" s="362"/>
      <c r="DP3" s="362"/>
      <c r="DQ3" s="362"/>
      <c r="DR3" s="362"/>
      <c r="DS3" s="362"/>
      <c r="DT3" s="362"/>
    </row>
    <row r="4" spans="1:124" ht="12.75" customHeight="1" x14ac:dyDescent="0.2">
      <c r="A4" s="8"/>
      <c r="B4" s="9" t="s">
        <v>1</v>
      </c>
      <c r="C4" s="9"/>
      <c r="D4" s="8"/>
      <c r="E4" s="11"/>
      <c r="F4" s="11"/>
      <c r="G4" s="11"/>
      <c r="H4" s="11"/>
      <c r="I4" s="11"/>
      <c r="J4" s="11"/>
      <c r="K4" s="11"/>
      <c r="L4" s="363"/>
      <c r="M4" s="363"/>
      <c r="N4" s="363"/>
      <c r="O4" s="363"/>
      <c r="P4" s="363"/>
      <c r="Q4" s="363"/>
      <c r="R4" s="363"/>
      <c r="S4" s="363"/>
      <c r="T4" s="363"/>
      <c r="U4" s="363"/>
      <c r="V4" s="363"/>
      <c r="W4" s="363"/>
      <c r="X4" s="363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  <c r="CD4" s="363"/>
      <c r="CE4" s="363"/>
      <c r="CF4" s="363"/>
      <c r="CG4" s="363"/>
      <c r="CH4" s="363"/>
      <c r="CI4" s="363"/>
      <c r="CJ4" s="363"/>
      <c r="CK4" s="363"/>
      <c r="CL4" s="363"/>
      <c r="CM4" s="363"/>
      <c r="CN4" s="363"/>
      <c r="CO4" s="363"/>
      <c r="CP4" s="363"/>
      <c r="CQ4" s="363"/>
      <c r="CR4" s="363"/>
      <c r="CS4" s="363"/>
      <c r="CT4" s="363"/>
      <c r="CU4" s="363"/>
      <c r="CV4" s="363"/>
      <c r="CW4" s="363"/>
      <c r="CX4" s="363"/>
      <c r="CY4" s="363"/>
      <c r="CZ4" s="363"/>
      <c r="DA4" s="363"/>
      <c r="DB4" s="363"/>
      <c r="DC4" s="363"/>
      <c r="DD4" s="363"/>
      <c r="DE4" s="363"/>
      <c r="DF4" s="363"/>
      <c r="DG4" s="363"/>
      <c r="DH4" s="363"/>
      <c r="DI4" s="363"/>
      <c r="DJ4" s="363"/>
      <c r="DK4" s="363"/>
      <c r="DL4" s="363"/>
      <c r="DM4" s="363"/>
      <c r="DN4" s="363"/>
      <c r="DO4" s="363"/>
      <c r="DP4" s="363"/>
      <c r="DQ4" s="363"/>
      <c r="DR4" s="363"/>
      <c r="DS4" s="363"/>
      <c r="DT4" s="363"/>
    </row>
    <row r="5" spans="1:124" ht="12.75" customHeight="1" x14ac:dyDescent="0.2">
      <c r="A5" s="364"/>
      <c r="B5" s="364" t="s">
        <v>41</v>
      </c>
      <c r="C5" s="364"/>
      <c r="D5" s="365"/>
      <c r="E5" s="366" t="s">
        <v>321</v>
      </c>
      <c r="F5" s="367">
        <v>2017</v>
      </c>
      <c r="G5" s="367">
        <v>2016</v>
      </c>
      <c r="H5" s="368" t="s">
        <v>322</v>
      </c>
      <c r="I5" s="368" t="s">
        <v>323</v>
      </c>
      <c r="J5" s="369" t="s">
        <v>324</v>
      </c>
      <c r="K5" s="370"/>
      <c r="L5" s="371">
        <v>2010</v>
      </c>
      <c r="M5" s="372" t="s">
        <v>109</v>
      </c>
      <c r="N5" s="373" t="s">
        <v>110</v>
      </c>
      <c r="O5" s="373" t="s">
        <v>479</v>
      </c>
      <c r="P5" s="374" t="s">
        <v>175</v>
      </c>
      <c r="Q5" s="371">
        <v>2011</v>
      </c>
      <c r="R5" s="372" t="s">
        <v>508</v>
      </c>
      <c r="S5" s="373" t="s">
        <v>509</v>
      </c>
      <c r="T5" s="373" t="s">
        <v>510</v>
      </c>
      <c r="U5" s="374" t="s">
        <v>522</v>
      </c>
      <c r="V5" s="758">
        <v>2012</v>
      </c>
      <c r="W5" s="372" t="s">
        <v>524</v>
      </c>
      <c r="X5" s="373" t="s">
        <v>527</v>
      </c>
      <c r="Y5" s="373" t="s">
        <v>528</v>
      </c>
      <c r="Z5" s="374" t="s">
        <v>537</v>
      </c>
      <c r="AA5" s="758">
        <v>2013</v>
      </c>
      <c r="AB5" s="372" t="s">
        <v>539</v>
      </c>
      <c r="AC5" s="100" t="s">
        <v>543</v>
      </c>
      <c r="AD5" s="100" t="s">
        <v>544</v>
      </c>
      <c r="AE5" s="374" t="s">
        <v>550</v>
      </c>
      <c r="AF5" s="758">
        <v>2014</v>
      </c>
      <c r="AG5" s="372" t="s">
        <v>553</v>
      </c>
      <c r="AH5" s="373" t="s">
        <v>554</v>
      </c>
      <c r="AI5" s="373" t="s">
        <v>569</v>
      </c>
      <c r="AJ5" s="374" t="s">
        <v>570</v>
      </c>
      <c r="AK5" s="758">
        <v>2015</v>
      </c>
      <c r="AL5" s="372" t="s">
        <v>574</v>
      </c>
      <c r="AM5" s="373" t="s">
        <v>589</v>
      </c>
      <c r="AN5" s="373" t="s">
        <v>597</v>
      </c>
      <c r="AO5" s="374" t="s">
        <v>605</v>
      </c>
      <c r="AP5" s="758">
        <v>2016</v>
      </c>
      <c r="AQ5" s="372" t="s">
        <v>631</v>
      </c>
      <c r="AR5" s="373" t="s">
        <v>638</v>
      </c>
      <c r="AS5" s="373" t="s">
        <v>640</v>
      </c>
      <c r="AT5" s="374" t="s">
        <v>664</v>
      </c>
      <c r="AU5" s="758">
        <v>2017</v>
      </c>
      <c r="AV5" s="372" t="s">
        <v>529</v>
      </c>
      <c r="AW5" s="373" t="s">
        <v>530</v>
      </c>
      <c r="AX5" s="373" t="s">
        <v>531</v>
      </c>
      <c r="AY5" s="374" t="s">
        <v>532</v>
      </c>
      <c r="AZ5" s="375">
        <v>2018</v>
      </c>
      <c r="BA5" s="372" t="s">
        <v>555</v>
      </c>
      <c r="BB5" s="373" t="s">
        <v>556</v>
      </c>
      <c r="BC5" s="373" t="s">
        <v>557</v>
      </c>
      <c r="BD5" s="374" t="s">
        <v>558</v>
      </c>
      <c r="BE5" s="375">
        <v>2019</v>
      </c>
      <c r="BF5" s="372" t="s">
        <v>599</v>
      </c>
      <c r="BG5" s="373" t="s">
        <v>600</v>
      </c>
      <c r="BH5" s="373" t="s">
        <v>601</v>
      </c>
      <c r="BI5" s="374" t="s">
        <v>602</v>
      </c>
      <c r="BJ5" s="375">
        <v>2020</v>
      </c>
      <c r="BK5" s="372" t="s">
        <v>670</v>
      </c>
      <c r="BL5" s="373" t="s">
        <v>671</v>
      </c>
      <c r="BM5" s="373" t="s">
        <v>672</v>
      </c>
      <c r="BN5" s="374" t="s">
        <v>673</v>
      </c>
      <c r="BO5" s="375">
        <v>2021</v>
      </c>
      <c r="BP5" s="376"/>
      <c r="BQ5" s="371">
        <v>2010</v>
      </c>
      <c r="BR5" s="372" t="s">
        <v>109</v>
      </c>
      <c r="BS5" s="373" t="s">
        <v>110</v>
      </c>
      <c r="BT5" s="373" t="s">
        <v>479</v>
      </c>
      <c r="BU5" s="374" t="s">
        <v>175</v>
      </c>
      <c r="BV5" s="371">
        <v>2011</v>
      </c>
      <c r="BW5" s="372" t="s">
        <v>508</v>
      </c>
      <c r="BX5" s="373" t="s">
        <v>509</v>
      </c>
      <c r="BY5" s="373" t="s">
        <v>510</v>
      </c>
      <c r="BZ5" s="374" t="s">
        <v>522</v>
      </c>
      <c r="CA5" s="758">
        <v>2012</v>
      </c>
      <c r="CB5" s="372" t="s">
        <v>524</v>
      </c>
      <c r="CC5" s="373" t="s">
        <v>527</v>
      </c>
      <c r="CD5" s="373" t="s">
        <v>528</v>
      </c>
      <c r="CE5" s="374" t="s">
        <v>537</v>
      </c>
      <c r="CF5" s="758">
        <v>2013</v>
      </c>
      <c r="CG5" s="372" t="s">
        <v>539</v>
      </c>
      <c r="CH5" s="100" t="s">
        <v>543</v>
      </c>
      <c r="CI5" s="100" t="s">
        <v>544</v>
      </c>
      <c r="CJ5" s="374" t="s">
        <v>550</v>
      </c>
      <c r="CK5" s="758">
        <v>2014</v>
      </c>
      <c r="CL5" s="372" t="s">
        <v>553</v>
      </c>
      <c r="CM5" s="373" t="s">
        <v>554</v>
      </c>
      <c r="CN5" s="373" t="s">
        <v>569</v>
      </c>
      <c r="CO5" s="374" t="s">
        <v>570</v>
      </c>
      <c r="CP5" s="758">
        <v>2015</v>
      </c>
      <c r="CQ5" s="372" t="s">
        <v>574</v>
      </c>
      <c r="CR5" s="373" t="s">
        <v>589</v>
      </c>
      <c r="CS5" s="373" t="s">
        <v>597</v>
      </c>
      <c r="CT5" s="374" t="s">
        <v>605</v>
      </c>
      <c r="CU5" s="758">
        <v>2016</v>
      </c>
      <c r="CV5" s="372" t="s">
        <v>631</v>
      </c>
      <c r="CW5" s="373" t="s">
        <v>638</v>
      </c>
      <c r="CX5" s="373" t="s">
        <v>640</v>
      </c>
      <c r="CY5" s="374" t="s">
        <v>664</v>
      </c>
      <c r="CZ5" s="758">
        <v>2017</v>
      </c>
      <c r="DA5" s="372" t="s">
        <v>529</v>
      </c>
      <c r="DB5" s="373" t="s">
        <v>530</v>
      </c>
      <c r="DC5" s="373" t="s">
        <v>531</v>
      </c>
      <c r="DD5" s="374" t="s">
        <v>532</v>
      </c>
      <c r="DE5" s="375">
        <v>2018</v>
      </c>
      <c r="DF5" s="372" t="s">
        <v>555</v>
      </c>
      <c r="DG5" s="373" t="s">
        <v>556</v>
      </c>
      <c r="DH5" s="373" t="s">
        <v>557</v>
      </c>
      <c r="DI5" s="374" t="s">
        <v>558</v>
      </c>
      <c r="DJ5" s="375">
        <v>2019</v>
      </c>
      <c r="DK5" s="372" t="s">
        <v>599</v>
      </c>
      <c r="DL5" s="373" t="s">
        <v>600</v>
      </c>
      <c r="DM5" s="373" t="s">
        <v>601</v>
      </c>
      <c r="DN5" s="374" t="s">
        <v>602</v>
      </c>
      <c r="DO5" s="375">
        <v>2020</v>
      </c>
      <c r="DP5" s="372" t="s">
        <v>670</v>
      </c>
      <c r="DQ5" s="373" t="s">
        <v>671</v>
      </c>
      <c r="DR5" s="373" t="s">
        <v>672</v>
      </c>
      <c r="DS5" s="374" t="s">
        <v>673</v>
      </c>
      <c r="DT5" s="375">
        <v>2021</v>
      </c>
    </row>
    <row r="6" spans="1:124" ht="12.75" customHeight="1" thickBot="1" x14ac:dyDescent="0.25">
      <c r="B6" s="377"/>
      <c r="C6" s="378"/>
      <c r="D6" s="378"/>
      <c r="E6" s="379"/>
      <c r="F6" s="380"/>
      <c r="G6" s="380"/>
      <c r="H6" s="381"/>
      <c r="I6" s="381"/>
      <c r="J6" s="382"/>
      <c r="K6" s="383"/>
      <c r="L6" s="384" t="s">
        <v>325</v>
      </c>
      <c r="M6" s="385" t="s">
        <v>325</v>
      </c>
      <c r="N6" s="386" t="s">
        <v>325</v>
      </c>
      <c r="O6" s="386" t="s">
        <v>325</v>
      </c>
      <c r="P6" s="387" t="s">
        <v>325</v>
      </c>
      <c r="Q6" s="384" t="s">
        <v>325</v>
      </c>
      <c r="R6" s="385" t="s">
        <v>325</v>
      </c>
      <c r="S6" s="386" t="s">
        <v>325</v>
      </c>
      <c r="T6" s="386" t="s">
        <v>325</v>
      </c>
      <c r="U6" s="387" t="s">
        <v>325</v>
      </c>
      <c r="V6" s="384" t="s">
        <v>325</v>
      </c>
      <c r="W6" s="385" t="s">
        <v>325</v>
      </c>
      <c r="X6" s="386" t="s">
        <v>325</v>
      </c>
      <c r="Y6" s="386" t="s">
        <v>325</v>
      </c>
      <c r="Z6" s="387" t="s">
        <v>325</v>
      </c>
      <c r="AA6" s="384" t="s">
        <v>325</v>
      </c>
      <c r="AB6" s="385" t="s">
        <v>325</v>
      </c>
      <c r="AC6" s="386" t="s">
        <v>325</v>
      </c>
      <c r="AD6" s="386" t="s">
        <v>325</v>
      </c>
      <c r="AE6" s="387" t="s">
        <v>325</v>
      </c>
      <c r="AF6" s="384" t="s">
        <v>325</v>
      </c>
      <c r="AG6" s="385" t="s">
        <v>325</v>
      </c>
      <c r="AH6" s="386" t="s">
        <v>325</v>
      </c>
      <c r="AI6" s="386" t="s">
        <v>325</v>
      </c>
      <c r="AJ6" s="387" t="s">
        <v>325</v>
      </c>
      <c r="AK6" s="384" t="s">
        <v>325</v>
      </c>
      <c r="AL6" s="385" t="s">
        <v>325</v>
      </c>
      <c r="AM6" s="386" t="s">
        <v>325</v>
      </c>
      <c r="AN6" s="386" t="s">
        <v>325</v>
      </c>
      <c r="AO6" s="387" t="s">
        <v>325</v>
      </c>
      <c r="AP6" s="384" t="s">
        <v>325</v>
      </c>
      <c r="AQ6" s="385" t="s">
        <v>325</v>
      </c>
      <c r="AR6" s="386" t="s">
        <v>325</v>
      </c>
      <c r="AS6" s="386" t="s">
        <v>325</v>
      </c>
      <c r="AT6" s="387" t="s">
        <v>325</v>
      </c>
      <c r="AU6" s="384" t="s">
        <v>325</v>
      </c>
      <c r="AV6" s="385" t="s">
        <v>325</v>
      </c>
      <c r="AW6" s="386" t="s">
        <v>325</v>
      </c>
      <c r="AX6" s="386" t="s">
        <v>325</v>
      </c>
      <c r="AY6" s="387" t="s">
        <v>325</v>
      </c>
      <c r="AZ6" s="384" t="s">
        <v>325</v>
      </c>
      <c r="BA6" s="385" t="s">
        <v>325</v>
      </c>
      <c r="BB6" s="386" t="s">
        <v>325</v>
      </c>
      <c r="BC6" s="386" t="s">
        <v>325</v>
      </c>
      <c r="BD6" s="387" t="s">
        <v>325</v>
      </c>
      <c r="BE6" s="384" t="s">
        <v>325</v>
      </c>
      <c r="BF6" s="385" t="s">
        <v>325</v>
      </c>
      <c r="BG6" s="386" t="s">
        <v>325</v>
      </c>
      <c r="BH6" s="386" t="s">
        <v>325</v>
      </c>
      <c r="BI6" s="387" t="s">
        <v>325</v>
      </c>
      <c r="BJ6" s="384" t="s">
        <v>325</v>
      </c>
      <c r="BK6" s="385" t="s">
        <v>325</v>
      </c>
      <c r="BL6" s="386" t="s">
        <v>325</v>
      </c>
      <c r="BM6" s="386" t="s">
        <v>325</v>
      </c>
      <c r="BN6" s="387" t="s">
        <v>325</v>
      </c>
      <c r="BO6" s="384" t="s">
        <v>325</v>
      </c>
      <c r="BP6" s="388"/>
      <c r="BQ6" s="384" t="s">
        <v>326</v>
      </c>
      <c r="BR6" s="385" t="s">
        <v>326</v>
      </c>
      <c r="BS6" s="386" t="s">
        <v>326</v>
      </c>
      <c r="BT6" s="386" t="s">
        <v>326</v>
      </c>
      <c r="BU6" s="387" t="s">
        <v>326</v>
      </c>
      <c r="BV6" s="384" t="s">
        <v>326</v>
      </c>
      <c r="BW6" s="385" t="s">
        <v>326</v>
      </c>
      <c r="BX6" s="386" t="s">
        <v>326</v>
      </c>
      <c r="BY6" s="386" t="s">
        <v>326</v>
      </c>
      <c r="BZ6" s="387" t="s">
        <v>326</v>
      </c>
      <c r="CA6" s="384" t="s">
        <v>326</v>
      </c>
      <c r="CB6" s="385" t="s">
        <v>326</v>
      </c>
      <c r="CC6" s="386" t="s">
        <v>326</v>
      </c>
      <c r="CD6" s="386" t="s">
        <v>326</v>
      </c>
      <c r="CE6" s="387" t="s">
        <v>326</v>
      </c>
      <c r="CF6" s="384" t="s">
        <v>326</v>
      </c>
      <c r="CG6" s="385" t="s">
        <v>326</v>
      </c>
      <c r="CH6" s="386" t="s">
        <v>326</v>
      </c>
      <c r="CI6" s="386" t="s">
        <v>326</v>
      </c>
      <c r="CJ6" s="387" t="s">
        <v>326</v>
      </c>
      <c r="CK6" s="384" t="s">
        <v>326</v>
      </c>
      <c r="CL6" s="385" t="s">
        <v>326</v>
      </c>
      <c r="CM6" s="386" t="s">
        <v>326</v>
      </c>
      <c r="CN6" s="386" t="s">
        <v>326</v>
      </c>
      <c r="CO6" s="387" t="s">
        <v>326</v>
      </c>
      <c r="CP6" s="384" t="s">
        <v>326</v>
      </c>
      <c r="CQ6" s="385" t="s">
        <v>326</v>
      </c>
      <c r="CR6" s="386" t="s">
        <v>326</v>
      </c>
      <c r="CS6" s="386" t="s">
        <v>326</v>
      </c>
      <c r="CT6" s="387" t="s">
        <v>326</v>
      </c>
      <c r="CU6" s="384" t="s">
        <v>326</v>
      </c>
      <c r="CV6" s="385" t="s">
        <v>326</v>
      </c>
      <c r="CW6" s="386" t="s">
        <v>326</v>
      </c>
      <c r="CX6" s="386" t="s">
        <v>326</v>
      </c>
      <c r="CY6" s="387" t="s">
        <v>326</v>
      </c>
      <c r="CZ6" s="384" t="s">
        <v>326</v>
      </c>
      <c r="DA6" s="385" t="s">
        <v>326</v>
      </c>
      <c r="DB6" s="386" t="s">
        <v>326</v>
      </c>
      <c r="DC6" s="386" t="s">
        <v>326</v>
      </c>
      <c r="DD6" s="387" t="s">
        <v>326</v>
      </c>
      <c r="DE6" s="384" t="s">
        <v>326</v>
      </c>
      <c r="DF6" s="385" t="s">
        <v>326</v>
      </c>
      <c r="DG6" s="386" t="s">
        <v>326</v>
      </c>
      <c r="DH6" s="386" t="s">
        <v>326</v>
      </c>
      <c r="DI6" s="387" t="s">
        <v>326</v>
      </c>
      <c r="DJ6" s="384" t="s">
        <v>326</v>
      </c>
      <c r="DK6" s="385" t="s">
        <v>326</v>
      </c>
      <c r="DL6" s="386" t="s">
        <v>326</v>
      </c>
      <c r="DM6" s="386" t="s">
        <v>326</v>
      </c>
      <c r="DN6" s="387" t="s">
        <v>326</v>
      </c>
      <c r="DO6" s="384" t="s">
        <v>326</v>
      </c>
      <c r="DP6" s="385" t="s">
        <v>326</v>
      </c>
      <c r="DQ6" s="386" t="s">
        <v>326</v>
      </c>
      <c r="DR6" s="386" t="s">
        <v>326</v>
      </c>
      <c r="DS6" s="387" t="s">
        <v>326</v>
      </c>
      <c r="DT6" s="384" t="s">
        <v>326</v>
      </c>
    </row>
    <row r="7" spans="1:124" ht="12.75" customHeight="1" x14ac:dyDescent="0.2">
      <c r="B7" s="16" t="s">
        <v>327</v>
      </c>
      <c r="C7" s="16"/>
      <c r="D7" s="17"/>
      <c r="E7" s="530"/>
      <c r="F7" s="537"/>
      <c r="G7" s="537"/>
      <c r="H7" s="389"/>
      <c r="I7" s="390"/>
      <c r="J7" s="391"/>
      <c r="K7" s="392"/>
      <c r="L7" s="393"/>
      <c r="M7" s="394"/>
      <c r="N7" s="395"/>
      <c r="O7" s="395"/>
      <c r="P7" s="396"/>
      <c r="Q7" s="397"/>
      <c r="R7" s="394"/>
      <c r="S7" s="395"/>
      <c r="T7" s="395"/>
      <c r="U7" s="396"/>
      <c r="V7" s="397"/>
      <c r="W7" s="394"/>
      <c r="X7" s="395"/>
      <c r="Y7" s="395"/>
      <c r="Z7" s="396"/>
      <c r="AA7" s="397"/>
      <c r="AB7" s="394"/>
      <c r="AC7" s="395"/>
      <c r="AD7" s="395"/>
      <c r="AE7" s="396"/>
      <c r="AF7" s="397"/>
      <c r="AG7" s="394"/>
      <c r="AH7" s="395"/>
      <c r="AI7" s="395"/>
      <c r="AJ7" s="396"/>
      <c r="AK7" s="397"/>
      <c r="AL7" s="394"/>
      <c r="AM7" s="395"/>
      <c r="AN7" s="395"/>
      <c r="AO7" s="396"/>
      <c r="AP7" s="397"/>
      <c r="AQ7" s="394"/>
      <c r="AR7" s="395"/>
      <c r="AS7" s="395"/>
      <c r="AT7" s="396"/>
      <c r="AU7" s="397"/>
      <c r="AV7" s="394"/>
      <c r="AW7" s="395"/>
      <c r="AX7" s="395"/>
      <c r="AY7" s="396"/>
      <c r="AZ7" s="397"/>
      <c r="BA7" s="394"/>
      <c r="BB7" s="395"/>
      <c r="BC7" s="395"/>
      <c r="BD7" s="396"/>
      <c r="BE7" s="397"/>
      <c r="BF7" s="394"/>
      <c r="BG7" s="395"/>
      <c r="BH7" s="395"/>
      <c r="BI7" s="396"/>
      <c r="BJ7" s="397"/>
      <c r="BK7" s="394"/>
      <c r="BL7" s="395"/>
      <c r="BM7" s="395"/>
      <c r="BN7" s="396"/>
      <c r="BO7" s="397"/>
      <c r="BP7" s="398"/>
      <c r="BQ7" s="399"/>
      <c r="BR7" s="400"/>
      <c r="BS7" s="401"/>
      <c r="BT7" s="401"/>
      <c r="BU7" s="402"/>
      <c r="BV7" s="403"/>
      <c r="BW7" s="400"/>
      <c r="BX7" s="401"/>
      <c r="BY7" s="401"/>
      <c r="BZ7" s="402"/>
      <c r="CA7" s="403"/>
      <c r="CB7" s="400"/>
      <c r="CC7" s="401"/>
      <c r="CD7" s="401"/>
      <c r="CE7" s="402"/>
      <c r="CF7" s="403"/>
      <c r="CG7" s="400"/>
      <c r="CH7" s="401"/>
      <c r="CI7" s="401"/>
      <c r="CJ7" s="402"/>
      <c r="CK7" s="403"/>
      <c r="CL7" s="400"/>
      <c r="CM7" s="401"/>
      <c r="CN7" s="401"/>
      <c r="CO7" s="402"/>
      <c r="CP7" s="403"/>
      <c r="CQ7" s="400"/>
      <c r="CR7" s="401"/>
      <c r="CS7" s="401"/>
      <c r="CT7" s="402"/>
      <c r="CU7" s="403"/>
      <c r="CV7" s="400"/>
      <c r="CW7" s="401"/>
      <c r="CX7" s="401"/>
      <c r="CY7" s="402"/>
      <c r="CZ7" s="403"/>
      <c r="DA7" s="400"/>
      <c r="DB7" s="401"/>
      <c r="DC7" s="401"/>
      <c r="DD7" s="402"/>
      <c r="DE7" s="403"/>
      <c r="DF7" s="400"/>
      <c r="DG7" s="401"/>
      <c r="DH7" s="401"/>
      <c r="DI7" s="402"/>
      <c r="DJ7" s="403"/>
      <c r="DK7" s="400"/>
      <c r="DL7" s="401"/>
      <c r="DM7" s="401"/>
      <c r="DN7" s="402"/>
      <c r="DO7" s="403"/>
      <c r="DP7" s="400"/>
      <c r="DQ7" s="401"/>
      <c r="DR7" s="401"/>
      <c r="DS7" s="402"/>
      <c r="DT7" s="403"/>
    </row>
    <row r="8" spans="1:124" ht="12.75" customHeight="1" x14ac:dyDescent="0.2">
      <c r="C8" s="26"/>
      <c r="D8" s="20"/>
      <c r="E8" s="530"/>
      <c r="F8" s="871"/>
      <c r="G8" s="871"/>
      <c r="H8" s="389"/>
      <c r="I8" s="390"/>
      <c r="J8" s="391"/>
      <c r="K8" s="392"/>
      <c r="L8" s="393"/>
      <c r="M8" s="394"/>
      <c r="N8" s="395"/>
      <c r="O8" s="395"/>
      <c r="P8" s="396"/>
      <c r="Q8" s="397"/>
      <c r="R8" s="394"/>
      <c r="S8" s="395"/>
      <c r="T8" s="395"/>
      <c r="U8" s="396"/>
      <c r="V8" s="397"/>
      <c r="W8" s="394"/>
      <c r="X8" s="395"/>
      <c r="Y8" s="395"/>
      <c r="Z8" s="396"/>
      <c r="AA8" s="397"/>
      <c r="AB8" s="394"/>
      <c r="AC8" s="395"/>
      <c r="AD8" s="395"/>
      <c r="AE8" s="396"/>
      <c r="AF8" s="397"/>
      <c r="AG8" s="394"/>
      <c r="AH8" s="395"/>
      <c r="AI8" s="395"/>
      <c r="AJ8" s="396"/>
      <c r="AK8" s="397"/>
      <c r="AL8" s="394"/>
      <c r="AM8" s="395"/>
      <c r="AN8" s="395"/>
      <c r="AO8" s="396"/>
      <c r="AP8" s="397"/>
      <c r="AQ8" s="394"/>
      <c r="AR8" s="395"/>
      <c r="AS8" s="395"/>
      <c r="AT8" s="396"/>
      <c r="AU8" s="397"/>
      <c r="AV8" s="394"/>
      <c r="AW8" s="395"/>
      <c r="AX8" s="395"/>
      <c r="AY8" s="396"/>
      <c r="AZ8" s="397"/>
      <c r="BA8" s="394"/>
      <c r="BB8" s="395"/>
      <c r="BC8" s="395"/>
      <c r="BD8" s="396"/>
      <c r="BE8" s="397"/>
      <c r="BF8" s="394"/>
      <c r="BG8" s="395"/>
      <c r="BH8" s="395"/>
      <c r="BI8" s="396"/>
      <c r="BJ8" s="397"/>
      <c r="BK8" s="394"/>
      <c r="BL8" s="395"/>
      <c r="BM8" s="395"/>
      <c r="BN8" s="396"/>
      <c r="BO8" s="397"/>
      <c r="BP8" s="398"/>
      <c r="BQ8" s="399"/>
      <c r="BR8" s="400"/>
      <c r="BS8" s="401"/>
      <c r="BT8" s="401"/>
      <c r="BU8" s="402"/>
      <c r="BV8" s="403"/>
      <c r="BW8" s="400"/>
      <c r="BX8" s="401"/>
      <c r="BY8" s="401"/>
      <c r="BZ8" s="402"/>
      <c r="CA8" s="403"/>
      <c r="CB8" s="400"/>
      <c r="CC8" s="401"/>
      <c r="CD8" s="401"/>
      <c r="CE8" s="402"/>
      <c r="CF8" s="403"/>
      <c r="CG8" s="400"/>
      <c r="CH8" s="401"/>
      <c r="CI8" s="401"/>
      <c r="CJ8" s="402"/>
      <c r="CK8" s="403"/>
      <c r="CL8" s="400"/>
      <c r="CM8" s="401"/>
      <c r="CN8" s="401"/>
      <c r="CO8" s="402"/>
      <c r="CP8" s="403"/>
      <c r="CQ8" s="400"/>
      <c r="CR8" s="401"/>
      <c r="CS8" s="401"/>
      <c r="CT8" s="402"/>
      <c r="CU8" s="403"/>
      <c r="CV8" s="400"/>
      <c r="CW8" s="401"/>
      <c r="CX8" s="401"/>
      <c r="CY8" s="402"/>
      <c r="CZ8" s="403"/>
      <c r="DA8" s="400"/>
      <c r="DB8" s="401"/>
      <c r="DC8" s="401"/>
      <c r="DD8" s="402"/>
      <c r="DE8" s="403"/>
      <c r="DF8" s="400"/>
      <c r="DG8" s="401"/>
      <c r="DH8" s="401"/>
      <c r="DI8" s="402"/>
      <c r="DJ8" s="403"/>
      <c r="DK8" s="400"/>
      <c r="DL8" s="401"/>
      <c r="DM8" s="401"/>
      <c r="DN8" s="402"/>
      <c r="DO8" s="403"/>
      <c r="DP8" s="400"/>
      <c r="DQ8" s="401"/>
      <c r="DR8" s="401"/>
      <c r="DS8" s="402"/>
      <c r="DT8" s="403"/>
    </row>
    <row r="9" spans="1:124" ht="12.75" customHeight="1" x14ac:dyDescent="0.2">
      <c r="C9" s="26" t="s">
        <v>328</v>
      </c>
      <c r="D9" s="20"/>
      <c r="E9" s="530"/>
      <c r="F9" s="537"/>
      <c r="G9" s="537"/>
      <c r="H9" s="389"/>
      <c r="I9" s="390"/>
      <c r="J9" s="391"/>
      <c r="K9" s="392"/>
      <c r="L9" s="393"/>
      <c r="M9" s="394"/>
      <c r="N9" s="395"/>
      <c r="O9" s="395"/>
      <c r="P9" s="396"/>
      <c r="Q9" s="397"/>
      <c r="R9" s="394"/>
      <c r="S9" s="395"/>
      <c r="T9" s="395"/>
      <c r="U9" s="396"/>
      <c r="V9" s="397"/>
      <c r="W9" s="394"/>
      <c r="X9" s="395"/>
      <c r="Y9" s="395"/>
      <c r="Z9" s="396"/>
      <c r="AA9" s="397"/>
      <c r="AB9" s="394"/>
      <c r="AC9" s="395"/>
      <c r="AD9" s="395"/>
      <c r="AE9" s="396"/>
      <c r="AF9" s="397"/>
      <c r="AG9" s="394"/>
      <c r="AH9" s="395"/>
      <c r="AI9" s="395"/>
      <c r="AJ9" s="396"/>
      <c r="AK9" s="397"/>
      <c r="AL9" s="394"/>
      <c r="AM9" s="395"/>
      <c r="AN9" s="395"/>
      <c r="AO9" s="396"/>
      <c r="AP9" s="397"/>
      <c r="AQ9" s="394"/>
      <c r="AR9" s="395"/>
      <c r="AS9" s="395"/>
      <c r="AT9" s="396"/>
      <c r="AU9" s="397"/>
      <c r="AV9" s="394"/>
      <c r="AW9" s="395"/>
      <c r="AX9" s="395"/>
      <c r="AY9" s="396"/>
      <c r="AZ9" s="397"/>
      <c r="BA9" s="394"/>
      <c r="BB9" s="395"/>
      <c r="BC9" s="395"/>
      <c r="BD9" s="396"/>
      <c r="BE9" s="397"/>
      <c r="BF9" s="394"/>
      <c r="BG9" s="395"/>
      <c r="BH9" s="395"/>
      <c r="BI9" s="396"/>
      <c r="BJ9" s="397"/>
      <c r="BK9" s="394"/>
      <c r="BL9" s="395"/>
      <c r="BM9" s="395"/>
      <c r="BN9" s="396"/>
      <c r="BO9" s="397"/>
      <c r="BP9" s="398"/>
      <c r="BQ9" s="399"/>
      <c r="BR9" s="400"/>
      <c r="BS9" s="401"/>
      <c r="BT9" s="401"/>
      <c r="BU9" s="402"/>
      <c r="BV9" s="403"/>
      <c r="BW9" s="400"/>
      <c r="BX9" s="401"/>
      <c r="BY9" s="401"/>
      <c r="BZ9" s="402"/>
      <c r="CA9" s="403"/>
      <c r="CB9" s="400"/>
      <c r="CC9" s="401"/>
      <c r="CD9" s="401"/>
      <c r="CE9" s="402"/>
      <c r="CF9" s="403"/>
      <c r="CG9" s="400"/>
      <c r="CH9" s="401"/>
      <c r="CI9" s="401"/>
      <c r="CJ9" s="402"/>
      <c r="CK9" s="403"/>
      <c r="CL9" s="400"/>
      <c r="CM9" s="401"/>
      <c r="CN9" s="401"/>
      <c r="CO9" s="402"/>
      <c r="CP9" s="403"/>
      <c r="CQ9" s="400"/>
      <c r="CR9" s="401"/>
      <c r="CS9" s="401"/>
      <c r="CT9" s="402"/>
      <c r="CU9" s="403"/>
      <c r="CV9" s="400"/>
      <c r="CW9" s="401"/>
      <c r="CX9" s="401"/>
      <c r="CY9" s="402"/>
      <c r="CZ9" s="403"/>
      <c r="DA9" s="400"/>
      <c r="DB9" s="401"/>
      <c r="DC9" s="401"/>
      <c r="DD9" s="402"/>
      <c r="DE9" s="403"/>
      <c r="DF9" s="400"/>
      <c r="DG9" s="401"/>
      <c r="DH9" s="401"/>
      <c r="DI9" s="402"/>
      <c r="DJ9" s="403"/>
      <c r="DK9" s="400"/>
      <c r="DL9" s="401"/>
      <c r="DM9" s="401"/>
      <c r="DN9" s="402"/>
      <c r="DO9" s="403"/>
      <c r="DP9" s="400"/>
      <c r="DQ9" s="401"/>
      <c r="DR9" s="401"/>
      <c r="DS9" s="402"/>
      <c r="DT9" s="403"/>
    </row>
    <row r="10" spans="1:124" ht="12.75" customHeight="1" x14ac:dyDescent="0.2">
      <c r="C10" s="20" t="s">
        <v>329</v>
      </c>
      <c r="D10" s="20"/>
      <c r="E10" s="530"/>
      <c r="F10" s="537"/>
      <c r="G10" s="537"/>
      <c r="H10" s="389"/>
      <c r="I10" s="390"/>
      <c r="J10" s="391"/>
      <c r="K10" s="392"/>
      <c r="L10" s="397">
        <f t="shared" ref="L10:AQ10" si="0">L66+L94+L32+L130+L156+L175</f>
        <v>0</v>
      </c>
      <c r="M10" s="394">
        <f t="shared" si="0"/>
        <v>0</v>
      </c>
      <c r="N10" s="404">
        <f t="shared" si="0"/>
        <v>0</v>
      </c>
      <c r="O10" s="404">
        <f t="shared" si="0"/>
        <v>0</v>
      </c>
      <c r="P10" s="396">
        <f t="shared" si="0"/>
        <v>0</v>
      </c>
      <c r="Q10" s="397">
        <f t="shared" si="0"/>
        <v>0</v>
      </c>
      <c r="R10" s="394">
        <f t="shared" si="0"/>
        <v>0</v>
      </c>
      <c r="S10" s="404">
        <f t="shared" si="0"/>
        <v>0</v>
      </c>
      <c r="T10" s="404">
        <f t="shared" si="0"/>
        <v>0</v>
      </c>
      <c r="U10" s="396">
        <f t="shared" si="0"/>
        <v>0</v>
      </c>
      <c r="V10" s="397">
        <f t="shared" si="0"/>
        <v>0</v>
      </c>
      <c r="W10" s="394">
        <f t="shared" si="0"/>
        <v>0</v>
      </c>
      <c r="X10" s="404">
        <f t="shared" si="0"/>
        <v>0</v>
      </c>
      <c r="Y10" s="404">
        <f t="shared" si="0"/>
        <v>0</v>
      </c>
      <c r="Z10" s="396">
        <f t="shared" si="0"/>
        <v>0</v>
      </c>
      <c r="AA10" s="397">
        <f t="shared" si="0"/>
        <v>0</v>
      </c>
      <c r="AB10" s="394">
        <f t="shared" si="0"/>
        <v>0</v>
      </c>
      <c r="AC10" s="404">
        <f t="shared" si="0"/>
        <v>0</v>
      </c>
      <c r="AD10" s="404">
        <f t="shared" si="0"/>
        <v>0</v>
      </c>
      <c r="AE10" s="396">
        <f t="shared" si="0"/>
        <v>0</v>
      </c>
      <c r="AF10" s="397">
        <f t="shared" si="0"/>
        <v>0</v>
      </c>
      <c r="AG10" s="394">
        <f t="shared" si="0"/>
        <v>0</v>
      </c>
      <c r="AH10" s="404">
        <f t="shared" si="0"/>
        <v>0</v>
      </c>
      <c r="AI10" s="404">
        <f t="shared" si="0"/>
        <v>0</v>
      </c>
      <c r="AJ10" s="396">
        <f t="shared" si="0"/>
        <v>0</v>
      </c>
      <c r="AK10" s="397">
        <f t="shared" si="0"/>
        <v>0</v>
      </c>
      <c r="AL10" s="394">
        <f t="shared" si="0"/>
        <v>0</v>
      </c>
      <c r="AM10" s="404">
        <f t="shared" si="0"/>
        <v>0</v>
      </c>
      <c r="AN10" s="404">
        <f t="shared" si="0"/>
        <v>0</v>
      </c>
      <c r="AO10" s="396">
        <f t="shared" si="0"/>
        <v>0</v>
      </c>
      <c r="AP10" s="397">
        <f t="shared" si="0"/>
        <v>0</v>
      </c>
      <c r="AQ10" s="394">
        <f t="shared" si="0"/>
        <v>0</v>
      </c>
      <c r="AR10" s="404">
        <f t="shared" ref="AR10:BJ10" si="1">AR66+AR94+AR32+AR130+AR156+AR175</f>
        <v>-250</v>
      </c>
      <c r="AS10" s="404">
        <f t="shared" si="1"/>
        <v>-754.38839130434781</v>
      </c>
      <c r="AT10" s="396">
        <f t="shared" si="1"/>
        <v>-0.45600000000000002</v>
      </c>
      <c r="AU10" s="397">
        <f t="shared" si="1"/>
        <v>-1004.8443913043478</v>
      </c>
      <c r="AV10" s="394">
        <f t="shared" si="1"/>
        <v>0</v>
      </c>
      <c r="AW10" s="404">
        <f t="shared" si="1"/>
        <v>0</v>
      </c>
      <c r="AX10" s="404">
        <f t="shared" si="1"/>
        <v>-300</v>
      </c>
      <c r="AY10" s="396">
        <f t="shared" si="1"/>
        <v>-150</v>
      </c>
      <c r="AZ10" s="397">
        <f t="shared" si="1"/>
        <v>-450</v>
      </c>
      <c r="BA10" s="394">
        <f t="shared" si="1"/>
        <v>0</v>
      </c>
      <c r="BB10" s="404">
        <f t="shared" si="1"/>
        <v>-400</v>
      </c>
      <c r="BC10" s="404">
        <f t="shared" si="1"/>
        <v>0</v>
      </c>
      <c r="BD10" s="396">
        <f t="shared" si="1"/>
        <v>0</v>
      </c>
      <c r="BE10" s="397">
        <f t="shared" si="1"/>
        <v>-400</v>
      </c>
      <c r="BF10" s="394">
        <f t="shared" si="1"/>
        <v>0</v>
      </c>
      <c r="BG10" s="404">
        <f t="shared" si="1"/>
        <v>-550</v>
      </c>
      <c r="BH10" s="404">
        <f t="shared" si="1"/>
        <v>-300</v>
      </c>
      <c r="BI10" s="396">
        <f t="shared" si="1"/>
        <v>-400</v>
      </c>
      <c r="BJ10" s="397">
        <f t="shared" si="1"/>
        <v>-1250</v>
      </c>
      <c r="BK10" s="394">
        <f t="shared" ref="BK10:BO10" si="2">BK66+BK94+BK32+BK130+BK156+BK175</f>
        <v>-400</v>
      </c>
      <c r="BL10" s="404">
        <f t="shared" si="2"/>
        <v>0</v>
      </c>
      <c r="BM10" s="404">
        <f t="shared" si="2"/>
        <v>0</v>
      </c>
      <c r="BN10" s="396">
        <f t="shared" si="2"/>
        <v>-18.600000000000001</v>
      </c>
      <c r="BO10" s="397">
        <f t="shared" si="2"/>
        <v>-418.6</v>
      </c>
      <c r="BP10" s="405"/>
      <c r="BQ10" s="403">
        <f t="shared" ref="BQ10:CV10" si="3">BQ66+BQ94+BQ32+BQ130+BQ156+BQ175</f>
        <v>0</v>
      </c>
      <c r="BR10" s="400">
        <f t="shared" si="3"/>
        <v>0</v>
      </c>
      <c r="BS10" s="406">
        <f t="shared" si="3"/>
        <v>0</v>
      </c>
      <c r="BT10" s="406">
        <f t="shared" si="3"/>
        <v>0</v>
      </c>
      <c r="BU10" s="402">
        <f t="shared" si="3"/>
        <v>0</v>
      </c>
      <c r="BV10" s="403">
        <f t="shared" si="3"/>
        <v>0</v>
      </c>
      <c r="BW10" s="400">
        <f t="shared" si="3"/>
        <v>0</v>
      </c>
      <c r="BX10" s="406">
        <f t="shared" si="3"/>
        <v>0</v>
      </c>
      <c r="BY10" s="406">
        <f t="shared" si="3"/>
        <v>0</v>
      </c>
      <c r="BZ10" s="402">
        <f t="shared" si="3"/>
        <v>0</v>
      </c>
      <c r="CA10" s="403">
        <f t="shared" si="3"/>
        <v>0</v>
      </c>
      <c r="CB10" s="400">
        <f t="shared" si="3"/>
        <v>0</v>
      </c>
      <c r="CC10" s="406">
        <f t="shared" si="3"/>
        <v>0</v>
      </c>
      <c r="CD10" s="406">
        <f t="shared" si="3"/>
        <v>0</v>
      </c>
      <c r="CE10" s="402">
        <f t="shared" si="3"/>
        <v>0</v>
      </c>
      <c r="CF10" s="403">
        <f t="shared" si="3"/>
        <v>0</v>
      </c>
      <c r="CG10" s="400">
        <f t="shared" si="3"/>
        <v>0</v>
      </c>
      <c r="CH10" s="406">
        <f t="shared" si="3"/>
        <v>0</v>
      </c>
      <c r="CI10" s="406">
        <f t="shared" si="3"/>
        <v>0</v>
      </c>
      <c r="CJ10" s="402">
        <f t="shared" si="3"/>
        <v>0</v>
      </c>
      <c r="CK10" s="403">
        <f t="shared" si="3"/>
        <v>0</v>
      </c>
      <c r="CL10" s="400">
        <f t="shared" si="3"/>
        <v>0</v>
      </c>
      <c r="CM10" s="406">
        <f t="shared" si="3"/>
        <v>0</v>
      </c>
      <c r="CN10" s="406">
        <f t="shared" si="3"/>
        <v>0</v>
      </c>
      <c r="CO10" s="402">
        <f t="shared" si="3"/>
        <v>0</v>
      </c>
      <c r="CP10" s="403">
        <f t="shared" si="3"/>
        <v>0</v>
      </c>
      <c r="CQ10" s="400">
        <f t="shared" si="3"/>
        <v>0</v>
      </c>
      <c r="CR10" s="406">
        <f t="shared" si="3"/>
        <v>0</v>
      </c>
      <c r="CS10" s="406">
        <f t="shared" si="3"/>
        <v>0</v>
      </c>
      <c r="CT10" s="402">
        <f t="shared" si="3"/>
        <v>0</v>
      </c>
      <c r="CU10" s="403">
        <f t="shared" si="3"/>
        <v>0</v>
      </c>
      <c r="CV10" s="400">
        <f t="shared" si="3"/>
        <v>0</v>
      </c>
      <c r="CW10" s="406">
        <f t="shared" ref="CW10:DO10" si="4">CW66+CW94+CW32+CW130+CW156+CW175</f>
        <v>-0.25</v>
      </c>
      <c r="CX10" s="406">
        <f t="shared" si="4"/>
        <v>-6.7077914311594204</v>
      </c>
      <c r="CY10" s="402">
        <f t="shared" si="4"/>
        <v>-12.913688097826086</v>
      </c>
      <c r="CZ10" s="403">
        <f t="shared" si="4"/>
        <v>-19.871479528985507</v>
      </c>
      <c r="DA10" s="400">
        <f t="shared" si="4"/>
        <v>-12.913688097826086</v>
      </c>
      <c r="DB10" s="406">
        <f t="shared" si="4"/>
        <v>-12.663688097826086</v>
      </c>
      <c r="DC10" s="406">
        <f t="shared" si="4"/>
        <v>-9.1058966666666663</v>
      </c>
      <c r="DD10" s="402">
        <f t="shared" si="4"/>
        <v>-6.3187500000000005</v>
      </c>
      <c r="DE10" s="403">
        <f t="shared" si="4"/>
        <v>-41.002022862318839</v>
      </c>
      <c r="DF10" s="400">
        <f t="shared" si="4"/>
        <v>-6.3187500000000005</v>
      </c>
      <c r="DG10" s="406">
        <f t="shared" si="4"/>
        <v>-8.0270833333333336</v>
      </c>
      <c r="DH10" s="406">
        <f t="shared" si="4"/>
        <v>-8.5437499999999993</v>
      </c>
      <c r="DI10" s="402">
        <f t="shared" si="4"/>
        <v>-5.125</v>
      </c>
      <c r="DJ10" s="403">
        <f t="shared" si="4"/>
        <v>-28.014583333333334</v>
      </c>
      <c r="DK10" s="400">
        <f t="shared" si="4"/>
        <v>-5.125</v>
      </c>
      <c r="DL10" s="406">
        <f t="shared" si="4"/>
        <v>-7.7249999999999996</v>
      </c>
      <c r="DM10" s="406">
        <f t="shared" si="4"/>
        <v>-7.5625</v>
      </c>
      <c r="DN10" s="402">
        <f t="shared" si="4"/>
        <v>-10.245833333333334</v>
      </c>
      <c r="DO10" s="403">
        <f t="shared" si="4"/>
        <v>-30.658333333333331</v>
      </c>
      <c r="DP10" s="400">
        <f t="shared" ref="DP10:DT10" si="5">DP66+DP94+DP32+DP130+DP156+DP175</f>
        <v>-12.112500000000001</v>
      </c>
      <c r="DQ10" s="406">
        <f t="shared" si="5"/>
        <v>-9.4041666666666686</v>
      </c>
      <c r="DR10" s="406">
        <f t="shared" si="5"/>
        <v>-6.15</v>
      </c>
      <c r="DS10" s="402">
        <f t="shared" si="5"/>
        <v>-3.6526666666666667</v>
      </c>
      <c r="DT10" s="403">
        <f t="shared" si="5"/>
        <v>-31.319333333333336</v>
      </c>
    </row>
    <row r="11" spans="1:124" ht="12.75" customHeight="1" x14ac:dyDescent="0.2">
      <c r="C11" s="407" t="s">
        <v>330</v>
      </c>
      <c r="D11" s="407"/>
      <c r="E11" s="533"/>
      <c r="F11" s="538"/>
      <c r="G11" s="538"/>
      <c r="H11" s="408"/>
      <c r="I11" s="409"/>
      <c r="J11" s="410"/>
      <c r="K11" s="411"/>
      <c r="L11" s="412">
        <f t="shared" ref="L11:AQ11" si="6">L75+L103+L40+L139+L165+L180</f>
        <v>0</v>
      </c>
      <c r="M11" s="413">
        <f t="shared" si="6"/>
        <v>0</v>
      </c>
      <c r="N11" s="414">
        <f t="shared" si="6"/>
        <v>0</v>
      </c>
      <c r="O11" s="414">
        <f t="shared" si="6"/>
        <v>0</v>
      </c>
      <c r="P11" s="415">
        <f t="shared" si="6"/>
        <v>0</v>
      </c>
      <c r="Q11" s="412">
        <f t="shared" si="6"/>
        <v>0</v>
      </c>
      <c r="R11" s="413">
        <f t="shared" si="6"/>
        <v>0</v>
      </c>
      <c r="S11" s="414">
        <f t="shared" si="6"/>
        <v>0</v>
      </c>
      <c r="T11" s="414">
        <f t="shared" si="6"/>
        <v>0</v>
      </c>
      <c r="U11" s="415">
        <f t="shared" si="6"/>
        <v>0</v>
      </c>
      <c r="V11" s="412">
        <f t="shared" si="6"/>
        <v>0</v>
      </c>
      <c r="W11" s="413">
        <f t="shared" si="6"/>
        <v>0</v>
      </c>
      <c r="X11" s="414">
        <f t="shared" si="6"/>
        <v>0</v>
      </c>
      <c r="Y11" s="414">
        <f t="shared" si="6"/>
        <v>0</v>
      </c>
      <c r="Z11" s="415">
        <f t="shared" si="6"/>
        <v>0</v>
      </c>
      <c r="AA11" s="412">
        <f t="shared" si="6"/>
        <v>0</v>
      </c>
      <c r="AB11" s="413">
        <f t="shared" si="6"/>
        <v>0</v>
      </c>
      <c r="AC11" s="414">
        <f t="shared" si="6"/>
        <v>0</v>
      </c>
      <c r="AD11" s="414">
        <f t="shared" si="6"/>
        <v>0</v>
      </c>
      <c r="AE11" s="415">
        <f t="shared" si="6"/>
        <v>0</v>
      </c>
      <c r="AF11" s="412">
        <f t="shared" si="6"/>
        <v>0</v>
      </c>
      <c r="AG11" s="413">
        <f t="shared" si="6"/>
        <v>0</v>
      </c>
      <c r="AH11" s="414">
        <f t="shared" si="6"/>
        <v>0</v>
      </c>
      <c r="AI11" s="414">
        <f t="shared" si="6"/>
        <v>0</v>
      </c>
      <c r="AJ11" s="415">
        <f t="shared" si="6"/>
        <v>0</v>
      </c>
      <c r="AK11" s="412">
        <f t="shared" si="6"/>
        <v>0</v>
      </c>
      <c r="AL11" s="413">
        <f t="shared" si="6"/>
        <v>0</v>
      </c>
      <c r="AM11" s="414">
        <f t="shared" si="6"/>
        <v>0</v>
      </c>
      <c r="AN11" s="414">
        <f t="shared" si="6"/>
        <v>0</v>
      </c>
      <c r="AO11" s="415">
        <f t="shared" si="6"/>
        <v>0</v>
      </c>
      <c r="AP11" s="412">
        <f t="shared" si="6"/>
        <v>0</v>
      </c>
      <c r="AQ11" s="413">
        <f t="shared" si="6"/>
        <v>0</v>
      </c>
      <c r="AR11" s="414">
        <f t="shared" ref="AR11:BJ11" si="7">AR75+AR103+AR40+AR139+AR165+AR180</f>
        <v>400</v>
      </c>
      <c r="AS11" s="414">
        <f t="shared" si="7"/>
        <v>1050</v>
      </c>
      <c r="AT11" s="415">
        <f t="shared" si="7"/>
        <v>100</v>
      </c>
      <c r="AU11" s="412">
        <f t="shared" si="7"/>
        <v>1550</v>
      </c>
      <c r="AV11" s="413">
        <f t="shared" si="7"/>
        <v>300</v>
      </c>
      <c r="AW11" s="414">
        <f t="shared" si="7"/>
        <v>0</v>
      </c>
      <c r="AX11" s="414">
        <f t="shared" si="7"/>
        <v>1850</v>
      </c>
      <c r="AY11" s="415">
        <f t="shared" si="7"/>
        <v>200</v>
      </c>
      <c r="AZ11" s="412">
        <f t="shared" si="7"/>
        <v>2350</v>
      </c>
      <c r="BA11" s="413">
        <f t="shared" si="7"/>
        <v>0</v>
      </c>
      <c r="BB11" s="414">
        <f t="shared" si="7"/>
        <v>200</v>
      </c>
      <c r="BC11" s="414">
        <f t="shared" si="7"/>
        <v>1150</v>
      </c>
      <c r="BD11" s="415">
        <f t="shared" si="7"/>
        <v>0</v>
      </c>
      <c r="BE11" s="412">
        <f t="shared" si="7"/>
        <v>1350</v>
      </c>
      <c r="BF11" s="413">
        <f t="shared" si="7"/>
        <v>0</v>
      </c>
      <c r="BG11" s="414">
        <f t="shared" si="7"/>
        <v>400</v>
      </c>
      <c r="BH11" s="414">
        <f t="shared" si="7"/>
        <v>1550</v>
      </c>
      <c r="BI11" s="415">
        <f t="shared" si="7"/>
        <v>0</v>
      </c>
      <c r="BJ11" s="412">
        <f t="shared" si="7"/>
        <v>1950</v>
      </c>
      <c r="BK11" s="413">
        <f t="shared" ref="BK11:BO11" si="8">BK75+BK103+BK40+BK139+BK165+BK180</f>
        <v>0</v>
      </c>
      <c r="BL11" s="414">
        <f t="shared" si="8"/>
        <v>400</v>
      </c>
      <c r="BM11" s="414">
        <f t="shared" si="8"/>
        <v>1150</v>
      </c>
      <c r="BN11" s="415">
        <f t="shared" si="8"/>
        <v>0</v>
      </c>
      <c r="BO11" s="412">
        <f t="shared" si="8"/>
        <v>1550</v>
      </c>
      <c r="BP11" s="416"/>
      <c r="BQ11" s="417">
        <f t="shared" ref="BQ11:CV11" si="9">BQ75+BQ103+BQ40+BQ139+BQ165+BQ180</f>
        <v>0</v>
      </c>
      <c r="BR11" s="418">
        <f t="shared" si="9"/>
        <v>0</v>
      </c>
      <c r="BS11" s="419">
        <f t="shared" si="9"/>
        <v>0</v>
      </c>
      <c r="BT11" s="419">
        <f t="shared" si="9"/>
        <v>0</v>
      </c>
      <c r="BU11" s="420">
        <f t="shared" si="9"/>
        <v>0</v>
      </c>
      <c r="BV11" s="417">
        <f t="shared" si="9"/>
        <v>0</v>
      </c>
      <c r="BW11" s="418">
        <f t="shared" si="9"/>
        <v>0</v>
      </c>
      <c r="BX11" s="419">
        <f t="shared" si="9"/>
        <v>0</v>
      </c>
      <c r="BY11" s="419">
        <f t="shared" si="9"/>
        <v>0</v>
      </c>
      <c r="BZ11" s="420">
        <f t="shared" si="9"/>
        <v>0</v>
      </c>
      <c r="CA11" s="417">
        <f t="shared" si="9"/>
        <v>0</v>
      </c>
      <c r="CB11" s="418">
        <f t="shared" si="9"/>
        <v>0</v>
      </c>
      <c r="CC11" s="419">
        <f t="shared" si="9"/>
        <v>0</v>
      </c>
      <c r="CD11" s="419">
        <f t="shared" si="9"/>
        <v>0</v>
      </c>
      <c r="CE11" s="420">
        <f t="shared" si="9"/>
        <v>0</v>
      </c>
      <c r="CF11" s="417">
        <f t="shared" si="9"/>
        <v>0</v>
      </c>
      <c r="CG11" s="418">
        <f t="shared" si="9"/>
        <v>0</v>
      </c>
      <c r="CH11" s="419">
        <f t="shared" si="9"/>
        <v>0</v>
      </c>
      <c r="CI11" s="419">
        <f t="shared" si="9"/>
        <v>0</v>
      </c>
      <c r="CJ11" s="420">
        <f t="shared" si="9"/>
        <v>0</v>
      </c>
      <c r="CK11" s="417">
        <f t="shared" si="9"/>
        <v>0</v>
      </c>
      <c r="CL11" s="418">
        <f t="shared" si="9"/>
        <v>0</v>
      </c>
      <c r="CM11" s="419">
        <f t="shared" si="9"/>
        <v>0</v>
      </c>
      <c r="CN11" s="419">
        <f t="shared" si="9"/>
        <v>0</v>
      </c>
      <c r="CO11" s="420">
        <f t="shared" si="9"/>
        <v>0</v>
      </c>
      <c r="CP11" s="417">
        <f t="shared" si="9"/>
        <v>0</v>
      </c>
      <c r="CQ11" s="418">
        <f t="shared" si="9"/>
        <v>0</v>
      </c>
      <c r="CR11" s="419">
        <f t="shared" si="9"/>
        <v>0</v>
      </c>
      <c r="CS11" s="419">
        <f t="shared" si="9"/>
        <v>0</v>
      </c>
      <c r="CT11" s="420">
        <f t="shared" si="9"/>
        <v>0</v>
      </c>
      <c r="CU11" s="417">
        <f t="shared" si="9"/>
        <v>0</v>
      </c>
      <c r="CV11" s="418">
        <f t="shared" si="9"/>
        <v>0</v>
      </c>
      <c r="CW11" s="419">
        <f t="shared" ref="CW11:DO11" si="10">CW75+CW103+CW40+CW139+CW165+CW180</f>
        <v>1.2666666666666666</v>
      </c>
      <c r="CX11" s="419">
        <f t="shared" si="10"/>
        <v>8.375</v>
      </c>
      <c r="CY11" s="420">
        <f t="shared" si="10"/>
        <v>14.2875</v>
      </c>
      <c r="CZ11" s="417">
        <f t="shared" si="10"/>
        <v>23.929166666666667</v>
      </c>
      <c r="DA11" s="418">
        <f t="shared" si="10"/>
        <v>17.287500000000001</v>
      </c>
      <c r="DB11" s="419">
        <f t="shared" si="10"/>
        <v>16.020833333333332</v>
      </c>
      <c r="DC11" s="419">
        <f t="shared" si="10"/>
        <v>28.349999999999998</v>
      </c>
      <c r="DD11" s="420">
        <f t="shared" si="10"/>
        <v>24.4375</v>
      </c>
      <c r="DE11" s="417">
        <f t="shared" si="10"/>
        <v>86.095833333333331</v>
      </c>
      <c r="DF11" s="418">
        <f t="shared" si="10"/>
        <v>21.4375</v>
      </c>
      <c r="DG11" s="419">
        <f t="shared" si="10"/>
        <v>23.6875</v>
      </c>
      <c r="DH11" s="419">
        <f t="shared" si="10"/>
        <v>17.1875</v>
      </c>
      <c r="DI11" s="420">
        <f t="shared" si="10"/>
        <v>15.1875</v>
      </c>
      <c r="DJ11" s="417">
        <f t="shared" si="10"/>
        <v>77.5</v>
      </c>
      <c r="DK11" s="418">
        <f t="shared" si="10"/>
        <v>15.1875</v>
      </c>
      <c r="DL11" s="419">
        <f t="shared" si="10"/>
        <v>17.4375</v>
      </c>
      <c r="DM11" s="419">
        <f t="shared" si="10"/>
        <v>21.9375</v>
      </c>
      <c r="DN11" s="420">
        <f t="shared" si="10"/>
        <v>21.9375</v>
      </c>
      <c r="DO11" s="417">
        <f t="shared" si="10"/>
        <v>76.5</v>
      </c>
      <c r="DP11" s="418">
        <f t="shared" ref="DP11:DT11" si="11">DP75+DP103+DP40+DP139+DP165+DP180</f>
        <v>21.9375</v>
      </c>
      <c r="DQ11" s="419">
        <f t="shared" si="11"/>
        <v>21.9375</v>
      </c>
      <c r="DR11" s="419">
        <f t="shared" si="11"/>
        <v>17.4375</v>
      </c>
      <c r="DS11" s="420">
        <f t="shared" si="11"/>
        <v>17.4375</v>
      </c>
      <c r="DT11" s="417">
        <f t="shared" si="11"/>
        <v>78.75</v>
      </c>
    </row>
    <row r="12" spans="1:124" ht="12.75" customHeight="1" x14ac:dyDescent="0.2">
      <c r="C12" s="26" t="s">
        <v>331</v>
      </c>
      <c r="D12" s="26"/>
      <c r="E12" s="536">
        <f>+E66+E94+E32+E130+E156+E175</f>
        <v>16202.019391304348</v>
      </c>
      <c r="F12" s="536">
        <f>+F66+F94+F32+F130+F156+F175</f>
        <v>15197.174999999999</v>
      </c>
      <c r="G12" s="536">
        <f>+G66+G94+G32+G130+G156+G175</f>
        <v>14657.179</v>
      </c>
      <c r="H12" s="421"/>
      <c r="I12" s="422"/>
      <c r="J12" s="423"/>
      <c r="K12" s="594"/>
      <c r="L12" s="424">
        <f t="shared" ref="L12:AK12" si="12">+L10+L11</f>
        <v>0</v>
      </c>
      <c r="M12" s="425">
        <f t="shared" si="12"/>
        <v>0</v>
      </c>
      <c r="N12" s="426">
        <f t="shared" si="12"/>
        <v>0</v>
      </c>
      <c r="O12" s="426">
        <f t="shared" si="12"/>
        <v>0</v>
      </c>
      <c r="P12" s="427">
        <f t="shared" si="12"/>
        <v>0</v>
      </c>
      <c r="Q12" s="424">
        <f t="shared" si="12"/>
        <v>0</v>
      </c>
      <c r="R12" s="425">
        <f t="shared" si="12"/>
        <v>0</v>
      </c>
      <c r="S12" s="426">
        <f t="shared" si="12"/>
        <v>0</v>
      </c>
      <c r="T12" s="426">
        <f t="shared" si="12"/>
        <v>0</v>
      </c>
      <c r="U12" s="427">
        <f t="shared" si="12"/>
        <v>0</v>
      </c>
      <c r="V12" s="424">
        <f t="shared" si="12"/>
        <v>0</v>
      </c>
      <c r="W12" s="425">
        <f t="shared" si="12"/>
        <v>0</v>
      </c>
      <c r="X12" s="426">
        <f t="shared" si="12"/>
        <v>0</v>
      </c>
      <c r="Y12" s="426">
        <f t="shared" si="12"/>
        <v>0</v>
      </c>
      <c r="Z12" s="427">
        <f t="shared" si="12"/>
        <v>0</v>
      </c>
      <c r="AA12" s="424">
        <f t="shared" si="12"/>
        <v>0</v>
      </c>
      <c r="AB12" s="425">
        <f t="shared" si="12"/>
        <v>0</v>
      </c>
      <c r="AC12" s="426">
        <f t="shared" si="12"/>
        <v>0</v>
      </c>
      <c r="AD12" s="426">
        <f t="shared" si="12"/>
        <v>0</v>
      </c>
      <c r="AE12" s="427">
        <f t="shared" si="12"/>
        <v>0</v>
      </c>
      <c r="AF12" s="424">
        <f t="shared" si="12"/>
        <v>0</v>
      </c>
      <c r="AG12" s="425">
        <f t="shared" si="12"/>
        <v>0</v>
      </c>
      <c r="AH12" s="426">
        <f t="shared" si="12"/>
        <v>0</v>
      </c>
      <c r="AI12" s="426">
        <f t="shared" si="12"/>
        <v>0</v>
      </c>
      <c r="AJ12" s="427">
        <f t="shared" si="12"/>
        <v>0</v>
      </c>
      <c r="AK12" s="424">
        <f t="shared" si="12"/>
        <v>0</v>
      </c>
      <c r="AL12" s="425">
        <f t="shared" ref="AL12:AU12" si="13">+AL10+AL11</f>
        <v>0</v>
      </c>
      <c r="AM12" s="426">
        <f t="shared" si="13"/>
        <v>0</v>
      </c>
      <c r="AN12" s="426">
        <f t="shared" si="13"/>
        <v>0</v>
      </c>
      <c r="AO12" s="427">
        <f t="shared" si="13"/>
        <v>0</v>
      </c>
      <c r="AP12" s="424">
        <f t="shared" si="13"/>
        <v>0</v>
      </c>
      <c r="AQ12" s="425">
        <f t="shared" si="13"/>
        <v>0</v>
      </c>
      <c r="AR12" s="426">
        <f t="shared" si="13"/>
        <v>150</v>
      </c>
      <c r="AS12" s="426">
        <f t="shared" si="13"/>
        <v>295.61160869565219</v>
      </c>
      <c r="AT12" s="427">
        <f t="shared" si="13"/>
        <v>99.543999999999997</v>
      </c>
      <c r="AU12" s="424">
        <f t="shared" si="13"/>
        <v>545.15560869565218</v>
      </c>
      <c r="AV12" s="425">
        <f t="shared" ref="AV12:BE12" si="14">+AV10+AV11</f>
        <v>300</v>
      </c>
      <c r="AW12" s="426">
        <f t="shared" si="14"/>
        <v>0</v>
      </c>
      <c r="AX12" s="426">
        <f t="shared" si="14"/>
        <v>1550</v>
      </c>
      <c r="AY12" s="427">
        <f t="shared" si="14"/>
        <v>50</v>
      </c>
      <c r="AZ12" s="424">
        <f t="shared" si="14"/>
        <v>1900</v>
      </c>
      <c r="BA12" s="425">
        <f t="shared" si="14"/>
        <v>0</v>
      </c>
      <c r="BB12" s="426">
        <f t="shared" si="14"/>
        <v>-200</v>
      </c>
      <c r="BC12" s="426">
        <f t="shared" si="14"/>
        <v>1150</v>
      </c>
      <c r="BD12" s="427">
        <f t="shared" si="14"/>
        <v>0</v>
      </c>
      <c r="BE12" s="424">
        <f t="shared" si="14"/>
        <v>950</v>
      </c>
      <c r="BF12" s="425">
        <f t="shared" ref="BF12:BO12" si="15">+BF10+BF11</f>
        <v>0</v>
      </c>
      <c r="BG12" s="426">
        <f t="shared" si="15"/>
        <v>-150</v>
      </c>
      <c r="BH12" s="426">
        <f t="shared" si="15"/>
        <v>1250</v>
      </c>
      <c r="BI12" s="427">
        <f t="shared" si="15"/>
        <v>-400</v>
      </c>
      <c r="BJ12" s="424">
        <f t="shared" si="15"/>
        <v>700</v>
      </c>
      <c r="BK12" s="425">
        <f t="shared" si="15"/>
        <v>-400</v>
      </c>
      <c r="BL12" s="426">
        <f t="shared" si="15"/>
        <v>400</v>
      </c>
      <c r="BM12" s="426">
        <f t="shared" si="15"/>
        <v>1150</v>
      </c>
      <c r="BN12" s="427">
        <f t="shared" si="15"/>
        <v>-18.600000000000001</v>
      </c>
      <c r="BO12" s="424">
        <f t="shared" si="15"/>
        <v>1131.4000000000001</v>
      </c>
      <c r="BP12" s="428"/>
      <c r="BQ12" s="429">
        <f t="shared" ref="BQ12:CP12" si="16">+BQ10+BQ11</f>
        <v>0</v>
      </c>
      <c r="BR12" s="430">
        <f t="shared" si="16"/>
        <v>0</v>
      </c>
      <c r="BS12" s="431">
        <f t="shared" si="16"/>
        <v>0</v>
      </c>
      <c r="BT12" s="431">
        <f t="shared" si="16"/>
        <v>0</v>
      </c>
      <c r="BU12" s="432">
        <f t="shared" si="16"/>
        <v>0</v>
      </c>
      <c r="BV12" s="429">
        <f t="shared" si="16"/>
        <v>0</v>
      </c>
      <c r="BW12" s="430">
        <f t="shared" si="16"/>
        <v>0</v>
      </c>
      <c r="BX12" s="431">
        <f t="shared" si="16"/>
        <v>0</v>
      </c>
      <c r="BY12" s="431">
        <f t="shared" si="16"/>
        <v>0</v>
      </c>
      <c r="BZ12" s="432">
        <f t="shared" si="16"/>
        <v>0</v>
      </c>
      <c r="CA12" s="429">
        <f t="shared" si="16"/>
        <v>0</v>
      </c>
      <c r="CB12" s="430">
        <f t="shared" si="16"/>
        <v>0</v>
      </c>
      <c r="CC12" s="431">
        <f t="shared" si="16"/>
        <v>0</v>
      </c>
      <c r="CD12" s="431">
        <f t="shared" si="16"/>
        <v>0</v>
      </c>
      <c r="CE12" s="432">
        <f t="shared" si="16"/>
        <v>0</v>
      </c>
      <c r="CF12" s="429">
        <f t="shared" si="16"/>
        <v>0</v>
      </c>
      <c r="CG12" s="430">
        <f t="shared" si="16"/>
        <v>0</v>
      </c>
      <c r="CH12" s="431">
        <f t="shared" si="16"/>
        <v>0</v>
      </c>
      <c r="CI12" s="431">
        <f t="shared" si="16"/>
        <v>0</v>
      </c>
      <c r="CJ12" s="432">
        <f t="shared" si="16"/>
        <v>0</v>
      </c>
      <c r="CK12" s="429">
        <f t="shared" si="16"/>
        <v>0</v>
      </c>
      <c r="CL12" s="430">
        <f t="shared" si="16"/>
        <v>0</v>
      </c>
      <c r="CM12" s="431">
        <f t="shared" si="16"/>
        <v>0</v>
      </c>
      <c r="CN12" s="431">
        <f t="shared" si="16"/>
        <v>0</v>
      </c>
      <c r="CO12" s="432">
        <f t="shared" si="16"/>
        <v>0</v>
      </c>
      <c r="CP12" s="429">
        <f t="shared" si="16"/>
        <v>0</v>
      </c>
      <c r="CQ12" s="430">
        <f t="shared" ref="CQ12:CZ12" si="17">+CQ10+CQ11</f>
        <v>0</v>
      </c>
      <c r="CR12" s="431">
        <f t="shared" si="17"/>
        <v>0</v>
      </c>
      <c r="CS12" s="431">
        <f t="shared" si="17"/>
        <v>0</v>
      </c>
      <c r="CT12" s="432">
        <f t="shared" si="17"/>
        <v>0</v>
      </c>
      <c r="CU12" s="429">
        <f t="shared" si="17"/>
        <v>0</v>
      </c>
      <c r="CV12" s="430">
        <f t="shared" si="17"/>
        <v>0</v>
      </c>
      <c r="CW12" s="431">
        <f t="shared" si="17"/>
        <v>1.0166666666666666</v>
      </c>
      <c r="CX12" s="431">
        <f t="shared" si="17"/>
        <v>1.6672085688405796</v>
      </c>
      <c r="CY12" s="432">
        <f t="shared" si="17"/>
        <v>1.3738119021739141</v>
      </c>
      <c r="CZ12" s="429">
        <f t="shared" si="17"/>
        <v>4.0576871376811603</v>
      </c>
      <c r="DA12" s="430">
        <f t="shared" ref="DA12:DJ12" si="18">+DA10+DA11</f>
        <v>4.3738119021739159</v>
      </c>
      <c r="DB12" s="431">
        <f t="shared" si="18"/>
        <v>3.3571452355072466</v>
      </c>
      <c r="DC12" s="431">
        <f t="shared" si="18"/>
        <v>19.244103333333332</v>
      </c>
      <c r="DD12" s="432">
        <f t="shared" si="18"/>
        <v>18.118749999999999</v>
      </c>
      <c r="DE12" s="429">
        <f t="shared" si="18"/>
        <v>45.093810471014493</v>
      </c>
      <c r="DF12" s="430">
        <f t="shared" si="18"/>
        <v>15.118749999999999</v>
      </c>
      <c r="DG12" s="431">
        <f t="shared" si="18"/>
        <v>15.660416666666666</v>
      </c>
      <c r="DH12" s="431">
        <f t="shared" si="18"/>
        <v>8.6437500000000007</v>
      </c>
      <c r="DI12" s="432">
        <f t="shared" si="18"/>
        <v>10.0625</v>
      </c>
      <c r="DJ12" s="429">
        <f t="shared" si="18"/>
        <v>49.485416666666666</v>
      </c>
      <c r="DK12" s="430">
        <f t="shared" ref="DK12:DT12" si="19">+DK10+DK11</f>
        <v>10.0625</v>
      </c>
      <c r="DL12" s="431">
        <f t="shared" si="19"/>
        <v>9.7125000000000004</v>
      </c>
      <c r="DM12" s="431">
        <f t="shared" si="19"/>
        <v>14.375</v>
      </c>
      <c r="DN12" s="432">
        <f t="shared" si="19"/>
        <v>11.691666666666666</v>
      </c>
      <c r="DO12" s="429">
        <f t="shared" si="19"/>
        <v>45.841666666666669</v>
      </c>
      <c r="DP12" s="430">
        <f t="shared" si="19"/>
        <v>9.8249999999999993</v>
      </c>
      <c r="DQ12" s="431">
        <f t="shared" si="19"/>
        <v>12.533333333333331</v>
      </c>
      <c r="DR12" s="431">
        <f t="shared" si="19"/>
        <v>11.2875</v>
      </c>
      <c r="DS12" s="432">
        <f t="shared" si="19"/>
        <v>13.784833333333333</v>
      </c>
      <c r="DT12" s="429">
        <f t="shared" si="19"/>
        <v>47.430666666666667</v>
      </c>
    </row>
    <row r="13" spans="1:124" ht="12.75" customHeight="1" x14ac:dyDescent="0.2">
      <c r="C13" s="26"/>
      <c r="D13" s="26"/>
      <c r="E13" s="535"/>
      <c r="F13" s="536"/>
      <c r="G13" s="536"/>
      <c r="H13" s="421"/>
      <c r="I13" s="422"/>
      <c r="J13" s="423"/>
      <c r="K13" s="462"/>
      <c r="L13" s="424"/>
      <c r="M13" s="425"/>
      <c r="N13" s="433"/>
      <c r="O13" s="433"/>
      <c r="P13" s="427"/>
      <c r="Q13" s="424"/>
      <c r="R13" s="425"/>
      <c r="S13" s="433"/>
      <c r="T13" s="433"/>
      <c r="U13" s="427"/>
      <c r="V13" s="424"/>
      <c r="W13" s="425"/>
      <c r="X13" s="433"/>
      <c r="Y13" s="433"/>
      <c r="Z13" s="427"/>
      <c r="AA13" s="424"/>
      <c r="AB13" s="425"/>
      <c r="AC13" s="433"/>
      <c r="AD13" s="433"/>
      <c r="AE13" s="427"/>
      <c r="AF13" s="424"/>
      <c r="AG13" s="425"/>
      <c r="AH13" s="433"/>
      <c r="AI13" s="433"/>
      <c r="AJ13" s="427"/>
      <c r="AK13" s="424"/>
      <c r="AL13" s="425"/>
      <c r="AM13" s="433"/>
      <c r="AN13" s="433"/>
      <c r="AO13" s="427"/>
      <c r="AP13" s="424"/>
      <c r="AQ13" s="425"/>
      <c r="AR13" s="433"/>
      <c r="AS13" s="433"/>
      <c r="AT13" s="427"/>
      <c r="AU13" s="424"/>
      <c r="AV13" s="425"/>
      <c r="AW13" s="433"/>
      <c r="AX13" s="433"/>
      <c r="AY13" s="427"/>
      <c r="AZ13" s="424"/>
      <c r="BA13" s="425"/>
      <c r="BB13" s="433"/>
      <c r="BC13" s="433"/>
      <c r="BD13" s="427"/>
      <c r="BE13" s="424"/>
      <c r="BF13" s="425"/>
      <c r="BG13" s="433"/>
      <c r="BH13" s="433"/>
      <c r="BI13" s="427"/>
      <c r="BJ13" s="424"/>
      <c r="BK13" s="425"/>
      <c r="BL13" s="433"/>
      <c r="BM13" s="433"/>
      <c r="BN13" s="427"/>
      <c r="BO13" s="424"/>
      <c r="BP13" s="428"/>
      <c r="BQ13" s="434"/>
      <c r="BR13" s="430"/>
      <c r="BS13" s="435"/>
      <c r="BT13" s="435"/>
      <c r="BU13" s="432"/>
      <c r="BV13" s="429"/>
      <c r="BW13" s="430"/>
      <c r="BX13" s="435"/>
      <c r="BY13" s="435"/>
      <c r="BZ13" s="432"/>
      <c r="CA13" s="429"/>
      <c r="CB13" s="430"/>
      <c r="CC13" s="435"/>
      <c r="CD13" s="435"/>
      <c r="CE13" s="432"/>
      <c r="CF13" s="429"/>
      <c r="CG13" s="430"/>
      <c r="CH13" s="435"/>
      <c r="CI13" s="435"/>
      <c r="CJ13" s="432"/>
      <c r="CK13" s="429"/>
      <c r="CL13" s="430"/>
      <c r="CM13" s="435"/>
      <c r="CN13" s="435"/>
      <c r="CO13" s="432"/>
      <c r="CP13" s="429"/>
      <c r="CQ13" s="430"/>
      <c r="CR13" s="435"/>
      <c r="CS13" s="435"/>
      <c r="CT13" s="432"/>
      <c r="CU13" s="429"/>
      <c r="CV13" s="430"/>
      <c r="CW13" s="435"/>
      <c r="CX13" s="435"/>
      <c r="CY13" s="432"/>
      <c r="CZ13" s="429"/>
      <c r="DA13" s="430"/>
      <c r="DB13" s="435"/>
      <c r="DC13" s="435"/>
      <c r="DD13" s="432"/>
      <c r="DE13" s="429"/>
      <c r="DF13" s="430"/>
      <c r="DG13" s="435"/>
      <c r="DH13" s="435"/>
      <c r="DI13" s="432"/>
      <c r="DJ13" s="429"/>
      <c r="DK13" s="430"/>
      <c r="DL13" s="435"/>
      <c r="DM13" s="435"/>
      <c r="DN13" s="432"/>
      <c r="DO13" s="429"/>
      <c r="DP13" s="430"/>
      <c r="DQ13" s="435"/>
      <c r="DR13" s="435"/>
      <c r="DS13" s="432"/>
      <c r="DT13" s="429"/>
    </row>
    <row r="14" spans="1:124" ht="12.75" customHeight="1" thickBot="1" x14ac:dyDescent="0.25">
      <c r="B14" s="436"/>
      <c r="C14" s="436"/>
      <c r="D14" s="436"/>
      <c r="E14" s="539"/>
      <c r="F14" s="437"/>
      <c r="G14" s="437"/>
      <c r="H14" s="437"/>
      <c r="I14" s="438"/>
      <c r="J14" s="439"/>
      <c r="K14" s="483"/>
      <c r="L14" s="440"/>
      <c r="M14" s="413"/>
      <c r="N14" s="414"/>
      <c r="O14" s="414"/>
      <c r="P14" s="415"/>
      <c r="Q14" s="440"/>
      <c r="R14" s="413"/>
      <c r="S14" s="414"/>
      <c r="T14" s="414"/>
      <c r="U14" s="415"/>
      <c r="V14" s="440"/>
      <c r="W14" s="413"/>
      <c r="X14" s="414"/>
      <c r="Y14" s="414"/>
      <c r="Z14" s="415"/>
      <c r="AA14" s="440"/>
      <c r="AB14" s="413"/>
      <c r="AC14" s="414"/>
      <c r="AD14" s="414"/>
      <c r="AE14" s="415"/>
      <c r="AF14" s="440"/>
      <c r="AG14" s="413"/>
      <c r="AH14" s="414"/>
      <c r="AI14" s="414"/>
      <c r="AJ14" s="415"/>
      <c r="AK14" s="440"/>
      <c r="AL14" s="413"/>
      <c r="AM14" s="414"/>
      <c r="AN14" s="414"/>
      <c r="AO14" s="415"/>
      <c r="AP14" s="440"/>
      <c r="AQ14" s="413"/>
      <c r="AR14" s="414"/>
      <c r="AS14" s="414"/>
      <c r="AT14" s="415"/>
      <c r="AU14" s="440"/>
      <c r="AV14" s="413"/>
      <c r="AW14" s="414"/>
      <c r="AX14" s="414"/>
      <c r="AY14" s="415"/>
      <c r="AZ14" s="440"/>
      <c r="BA14" s="413"/>
      <c r="BB14" s="414"/>
      <c r="BC14" s="414"/>
      <c r="BD14" s="415"/>
      <c r="BE14" s="440"/>
      <c r="BF14" s="413"/>
      <c r="BG14" s="414"/>
      <c r="BH14" s="414"/>
      <c r="BI14" s="415"/>
      <c r="BJ14" s="440"/>
      <c r="BK14" s="413"/>
      <c r="BL14" s="414"/>
      <c r="BM14" s="414"/>
      <c r="BN14" s="415"/>
      <c r="BO14" s="440"/>
      <c r="BP14" s="441"/>
      <c r="BQ14" s="442"/>
      <c r="BR14" s="418"/>
      <c r="BS14" s="419"/>
      <c r="BT14" s="419"/>
      <c r="BU14" s="420"/>
      <c r="BV14" s="442"/>
      <c r="BW14" s="418"/>
      <c r="BX14" s="419"/>
      <c r="BY14" s="419"/>
      <c r="BZ14" s="420"/>
      <c r="CA14" s="442"/>
      <c r="CB14" s="418"/>
      <c r="CC14" s="419"/>
      <c r="CD14" s="419"/>
      <c r="CE14" s="420"/>
      <c r="CF14" s="442"/>
      <c r="CG14" s="418"/>
      <c r="CH14" s="419"/>
      <c r="CI14" s="419"/>
      <c r="CJ14" s="420"/>
      <c r="CK14" s="442"/>
      <c r="CL14" s="418"/>
      <c r="CM14" s="419"/>
      <c r="CN14" s="419"/>
      <c r="CO14" s="420"/>
      <c r="CP14" s="442"/>
      <c r="CQ14" s="418"/>
      <c r="CR14" s="419"/>
      <c r="CS14" s="419"/>
      <c r="CT14" s="420"/>
      <c r="CU14" s="442"/>
      <c r="CV14" s="418"/>
      <c r="CW14" s="419"/>
      <c r="CX14" s="419"/>
      <c r="CY14" s="420"/>
      <c r="CZ14" s="442"/>
      <c r="DA14" s="418"/>
      <c r="DB14" s="419"/>
      <c r="DC14" s="419"/>
      <c r="DD14" s="420"/>
      <c r="DE14" s="442"/>
      <c r="DF14" s="418"/>
      <c r="DG14" s="419"/>
      <c r="DH14" s="419"/>
      <c r="DI14" s="420"/>
      <c r="DJ14" s="442"/>
      <c r="DK14" s="418"/>
      <c r="DL14" s="419"/>
      <c r="DM14" s="419"/>
      <c r="DN14" s="420"/>
      <c r="DO14" s="442"/>
      <c r="DP14" s="418"/>
      <c r="DQ14" s="419"/>
      <c r="DR14" s="419"/>
      <c r="DS14" s="420"/>
      <c r="DT14" s="442"/>
    </row>
    <row r="15" spans="1:124" ht="12.75" customHeight="1" x14ac:dyDescent="0.2">
      <c r="B15" s="16" t="s">
        <v>332</v>
      </c>
      <c r="C15" s="16"/>
      <c r="D15" s="17"/>
      <c r="E15" s="530"/>
      <c r="F15" s="537"/>
      <c r="G15" s="537"/>
      <c r="H15" s="443"/>
      <c r="I15" s="443"/>
      <c r="J15" s="444"/>
      <c r="K15" s="392"/>
      <c r="L15" s="393"/>
      <c r="M15" s="394"/>
      <c r="N15" s="395"/>
      <c r="O15" s="395"/>
      <c r="P15" s="396"/>
      <c r="Q15" s="397"/>
      <c r="R15" s="394"/>
      <c r="S15" s="395"/>
      <c r="T15" s="395"/>
      <c r="U15" s="396"/>
      <c r="V15" s="397"/>
      <c r="W15" s="394"/>
      <c r="X15" s="395"/>
      <c r="Y15" s="395"/>
      <c r="Z15" s="396"/>
      <c r="AA15" s="397"/>
      <c r="AB15" s="394"/>
      <c r="AC15" s="395"/>
      <c r="AD15" s="395"/>
      <c r="AE15" s="396"/>
      <c r="AF15" s="397"/>
      <c r="AG15" s="394"/>
      <c r="AH15" s="395"/>
      <c r="AI15" s="395"/>
      <c r="AJ15" s="396"/>
      <c r="AK15" s="397"/>
      <c r="AL15" s="394"/>
      <c r="AM15" s="395"/>
      <c r="AN15" s="395"/>
      <c r="AO15" s="396"/>
      <c r="AP15" s="397"/>
      <c r="AQ15" s="394"/>
      <c r="AR15" s="395"/>
      <c r="AS15" s="395"/>
      <c r="AT15" s="396"/>
      <c r="AU15" s="397"/>
      <c r="AV15" s="394"/>
      <c r="AW15" s="395"/>
      <c r="AX15" s="395"/>
      <c r="AY15" s="396"/>
      <c r="AZ15" s="397"/>
      <c r="BA15" s="394"/>
      <c r="BB15" s="395"/>
      <c r="BC15" s="395"/>
      <c r="BD15" s="396"/>
      <c r="BE15" s="397"/>
      <c r="BF15" s="394"/>
      <c r="BG15" s="395"/>
      <c r="BH15" s="395"/>
      <c r="BI15" s="396"/>
      <c r="BJ15" s="397"/>
      <c r="BK15" s="394"/>
      <c r="BL15" s="395"/>
      <c r="BM15" s="395"/>
      <c r="BN15" s="396"/>
      <c r="BO15" s="397"/>
      <c r="BP15" s="445"/>
      <c r="BQ15" s="399"/>
      <c r="BR15" s="400"/>
      <c r="BS15" s="401"/>
      <c r="BT15" s="401"/>
      <c r="BU15" s="402"/>
      <c r="BV15" s="403"/>
      <c r="BW15" s="400"/>
      <c r="BX15" s="401"/>
      <c r="BY15" s="401"/>
      <c r="BZ15" s="402"/>
      <c r="CA15" s="403"/>
      <c r="CB15" s="400"/>
      <c r="CC15" s="401"/>
      <c r="CD15" s="401"/>
      <c r="CE15" s="402"/>
      <c r="CF15" s="403"/>
      <c r="CG15" s="400"/>
      <c r="CH15" s="401"/>
      <c r="CI15" s="401"/>
      <c r="CJ15" s="402"/>
      <c r="CK15" s="403"/>
      <c r="CL15" s="400"/>
      <c r="CM15" s="401"/>
      <c r="CN15" s="401"/>
      <c r="CO15" s="402"/>
      <c r="CP15" s="403"/>
      <c r="CQ15" s="400"/>
      <c r="CR15" s="401"/>
      <c r="CS15" s="401"/>
      <c r="CT15" s="402"/>
      <c r="CU15" s="403"/>
      <c r="CV15" s="400"/>
      <c r="CW15" s="401"/>
      <c r="CX15" s="401"/>
      <c r="CY15" s="402"/>
      <c r="CZ15" s="403"/>
      <c r="DA15" s="400"/>
      <c r="DB15" s="401"/>
      <c r="DC15" s="401"/>
      <c r="DD15" s="402"/>
      <c r="DE15" s="403"/>
      <c r="DF15" s="400"/>
      <c r="DG15" s="401"/>
      <c r="DH15" s="401"/>
      <c r="DI15" s="402"/>
      <c r="DJ15" s="403"/>
      <c r="DK15" s="400"/>
      <c r="DL15" s="401"/>
      <c r="DM15" s="401"/>
      <c r="DN15" s="402"/>
      <c r="DO15" s="403"/>
      <c r="DP15" s="400"/>
      <c r="DQ15" s="401"/>
      <c r="DR15" s="401"/>
      <c r="DS15" s="402"/>
      <c r="DT15" s="403"/>
    </row>
    <row r="16" spans="1:124" ht="12.75" customHeight="1" x14ac:dyDescent="0.2">
      <c r="C16" s="26"/>
      <c r="D16" s="26"/>
      <c r="E16" s="530"/>
      <c r="F16" s="537"/>
      <c r="G16" s="537"/>
      <c r="H16" s="389"/>
      <c r="I16" s="498"/>
      <c r="J16" s="391"/>
      <c r="K16" s="392"/>
      <c r="L16" s="393"/>
      <c r="M16" s="394"/>
      <c r="N16" s="395"/>
      <c r="O16" s="395"/>
      <c r="P16" s="396"/>
      <c r="Q16" s="397"/>
      <c r="R16" s="394"/>
      <c r="S16" s="395"/>
      <c r="T16" s="395"/>
      <c r="U16" s="396"/>
      <c r="V16" s="397"/>
      <c r="W16" s="394"/>
      <c r="X16" s="395"/>
      <c r="Y16" s="395"/>
      <c r="Z16" s="396"/>
      <c r="AA16" s="397"/>
      <c r="AB16" s="394"/>
      <c r="AC16" s="395"/>
      <c r="AD16" s="395"/>
      <c r="AE16" s="396"/>
      <c r="AF16" s="397"/>
      <c r="AG16" s="394"/>
      <c r="AH16" s="395"/>
      <c r="AI16" s="395"/>
      <c r="AJ16" s="396"/>
      <c r="AK16" s="397"/>
      <c r="AL16" s="394"/>
      <c r="AM16" s="395"/>
      <c r="AN16" s="395"/>
      <c r="AO16" s="396"/>
      <c r="AP16" s="397"/>
      <c r="AQ16" s="394"/>
      <c r="AR16" s="395"/>
      <c r="AS16" s="395"/>
      <c r="AT16" s="396"/>
      <c r="AU16" s="397"/>
      <c r="AV16" s="394"/>
      <c r="AW16" s="395"/>
      <c r="AX16" s="395"/>
      <c r="AY16" s="396"/>
      <c r="AZ16" s="397"/>
      <c r="BA16" s="394"/>
      <c r="BB16" s="395"/>
      <c r="BC16" s="395"/>
      <c r="BD16" s="396"/>
      <c r="BE16" s="397"/>
      <c r="BF16" s="394"/>
      <c r="BG16" s="395"/>
      <c r="BH16" s="395"/>
      <c r="BI16" s="396"/>
      <c r="BJ16" s="397"/>
      <c r="BK16" s="394"/>
      <c r="BL16" s="395"/>
      <c r="BM16" s="395"/>
      <c r="BN16" s="396"/>
      <c r="BO16" s="397"/>
      <c r="BP16" s="445"/>
      <c r="BQ16" s="399"/>
      <c r="BR16" s="400"/>
      <c r="BS16" s="401"/>
      <c r="BT16" s="401"/>
      <c r="BU16" s="402"/>
      <c r="BV16" s="403"/>
      <c r="BW16" s="400"/>
      <c r="BX16" s="401"/>
      <c r="BY16" s="401"/>
      <c r="BZ16" s="402"/>
      <c r="CA16" s="403"/>
      <c r="CB16" s="400"/>
      <c r="CC16" s="401"/>
      <c r="CD16" s="401"/>
      <c r="CE16" s="402"/>
      <c r="CF16" s="403"/>
      <c r="CG16" s="400"/>
      <c r="CH16" s="401"/>
      <c r="CI16" s="401"/>
      <c r="CJ16" s="402"/>
      <c r="CK16" s="403"/>
      <c r="CL16" s="400"/>
      <c r="CM16" s="401"/>
      <c r="CN16" s="401"/>
      <c r="CO16" s="402"/>
      <c r="CP16" s="403"/>
      <c r="CQ16" s="400"/>
      <c r="CR16" s="401"/>
      <c r="CS16" s="401"/>
      <c r="CT16" s="402"/>
      <c r="CU16" s="403"/>
      <c r="CV16" s="400"/>
      <c r="CW16" s="401"/>
      <c r="CX16" s="401"/>
      <c r="CY16" s="402"/>
      <c r="CZ16" s="403"/>
      <c r="DA16" s="400"/>
      <c r="DB16" s="401"/>
      <c r="DC16" s="401"/>
      <c r="DD16" s="402"/>
      <c r="DE16" s="403"/>
      <c r="DF16" s="400"/>
      <c r="DG16" s="401"/>
      <c r="DH16" s="401"/>
      <c r="DI16" s="402"/>
      <c r="DJ16" s="403"/>
      <c r="DK16" s="400"/>
      <c r="DL16" s="401"/>
      <c r="DM16" s="401"/>
      <c r="DN16" s="402"/>
      <c r="DO16" s="403"/>
      <c r="DP16" s="400"/>
      <c r="DQ16" s="401"/>
      <c r="DR16" s="401"/>
      <c r="DS16" s="402"/>
      <c r="DT16" s="403"/>
    </row>
    <row r="17" spans="1:139" ht="12.75" customHeight="1" x14ac:dyDescent="0.2">
      <c r="C17" s="240" t="s">
        <v>333</v>
      </c>
      <c r="D17" s="240"/>
      <c r="E17" s="542"/>
      <c r="F17" s="541"/>
      <c r="G17" s="541"/>
      <c r="H17" s="447"/>
      <c r="I17" s="390"/>
      <c r="J17" s="391"/>
      <c r="K17" s="448"/>
      <c r="L17" s="393"/>
      <c r="M17" s="394"/>
      <c r="N17" s="395"/>
      <c r="O17" s="395"/>
      <c r="P17" s="396"/>
      <c r="Q17" s="397"/>
      <c r="R17" s="394"/>
      <c r="S17" s="395"/>
      <c r="T17" s="395"/>
      <c r="U17" s="396"/>
      <c r="V17" s="397"/>
      <c r="W17" s="394"/>
      <c r="X17" s="395"/>
      <c r="Y17" s="395"/>
      <c r="Z17" s="396"/>
      <c r="AA17" s="397"/>
      <c r="AB17" s="394"/>
      <c r="AC17" s="395"/>
      <c r="AD17" s="395"/>
      <c r="AE17" s="396"/>
      <c r="AF17" s="397"/>
      <c r="AG17" s="394"/>
      <c r="AH17" s="395"/>
      <c r="AI17" s="395"/>
      <c r="AJ17" s="396"/>
      <c r="AK17" s="397"/>
      <c r="AL17" s="394"/>
      <c r="AM17" s="395"/>
      <c r="AN17" s="395"/>
      <c r="AO17" s="396"/>
      <c r="AP17" s="397"/>
      <c r="AQ17" s="394"/>
      <c r="AR17" s="395"/>
      <c r="AS17" s="395"/>
      <c r="AT17" s="396"/>
      <c r="AU17" s="397"/>
      <c r="AV17" s="394"/>
      <c r="AW17" s="395"/>
      <c r="AX17" s="395"/>
      <c r="AY17" s="396"/>
      <c r="AZ17" s="397"/>
      <c r="BA17" s="394"/>
      <c r="BB17" s="395"/>
      <c r="BC17" s="395"/>
      <c r="BD17" s="396"/>
      <c r="BE17" s="397"/>
      <c r="BF17" s="394"/>
      <c r="BG17" s="395"/>
      <c r="BH17" s="395"/>
      <c r="BI17" s="396"/>
      <c r="BJ17" s="397"/>
      <c r="BK17" s="394"/>
      <c r="BL17" s="395"/>
      <c r="BM17" s="395"/>
      <c r="BN17" s="396"/>
      <c r="BO17" s="397"/>
      <c r="BP17" s="445"/>
      <c r="BQ17" s="399"/>
      <c r="BR17" s="400"/>
      <c r="BS17" s="401"/>
      <c r="BT17" s="401"/>
      <c r="BU17" s="402"/>
      <c r="BV17" s="403"/>
      <c r="BW17" s="400"/>
      <c r="BX17" s="401"/>
      <c r="BY17" s="401"/>
      <c r="BZ17" s="402"/>
      <c r="CA17" s="403"/>
      <c r="CB17" s="400"/>
      <c r="CC17" s="401"/>
      <c r="CD17" s="401"/>
      <c r="CE17" s="402"/>
      <c r="CF17" s="403"/>
      <c r="CG17" s="400"/>
      <c r="CH17" s="401"/>
      <c r="CI17" s="401"/>
      <c r="CJ17" s="402"/>
      <c r="CK17" s="403"/>
      <c r="CL17" s="400"/>
      <c r="CM17" s="401"/>
      <c r="CN17" s="401"/>
      <c r="CO17" s="402"/>
      <c r="CP17" s="403"/>
      <c r="CQ17" s="400"/>
      <c r="CR17" s="401"/>
      <c r="CS17" s="401"/>
      <c r="CT17" s="402"/>
      <c r="CU17" s="403"/>
      <c r="CV17" s="400"/>
      <c r="CW17" s="401"/>
      <c r="CX17" s="401"/>
      <c r="CY17" s="402"/>
      <c r="CZ17" s="403"/>
      <c r="DA17" s="400"/>
      <c r="DB17" s="401"/>
      <c r="DC17" s="401"/>
      <c r="DD17" s="402"/>
      <c r="DE17" s="403"/>
      <c r="DF17" s="400"/>
      <c r="DG17" s="401"/>
      <c r="DH17" s="401"/>
      <c r="DI17" s="402"/>
      <c r="DJ17" s="403"/>
      <c r="DK17" s="400"/>
      <c r="DL17" s="401"/>
      <c r="DM17" s="401"/>
      <c r="DN17" s="402"/>
      <c r="DO17" s="403"/>
      <c r="DP17" s="400"/>
      <c r="DQ17" s="401"/>
      <c r="DR17" s="401"/>
      <c r="DS17" s="402"/>
      <c r="DT17" s="403"/>
    </row>
    <row r="18" spans="1:139" ht="12.75" customHeight="1" x14ac:dyDescent="0.2">
      <c r="C18" s="52" t="s">
        <v>383</v>
      </c>
      <c r="D18" s="240"/>
      <c r="E18" s="530"/>
      <c r="F18" s="537"/>
      <c r="G18" s="537"/>
      <c r="H18" s="449"/>
      <c r="I18" s="390"/>
      <c r="J18" s="391"/>
      <c r="K18" s="448"/>
      <c r="L18" s="393"/>
      <c r="M18" s="394"/>
      <c r="N18" s="395"/>
      <c r="O18" s="395"/>
      <c r="P18" s="396"/>
      <c r="Q18" s="397"/>
      <c r="R18" s="394"/>
      <c r="S18" s="395"/>
      <c r="T18" s="395"/>
      <c r="U18" s="396"/>
      <c r="V18" s="397"/>
      <c r="W18" s="394"/>
      <c r="X18" s="395"/>
      <c r="Y18" s="395"/>
      <c r="Z18" s="396"/>
      <c r="AA18" s="397"/>
      <c r="AB18" s="394"/>
      <c r="AC18" s="395"/>
      <c r="AD18" s="395"/>
      <c r="AE18" s="396"/>
      <c r="AF18" s="397"/>
      <c r="AG18" s="394"/>
      <c r="AH18" s="395"/>
      <c r="AI18" s="395"/>
      <c r="AJ18" s="396"/>
      <c r="AK18" s="397"/>
      <c r="AL18" s="394"/>
      <c r="AM18" s="395"/>
      <c r="AN18" s="395"/>
      <c r="AO18" s="396"/>
      <c r="AP18" s="397"/>
      <c r="AQ18" s="394"/>
      <c r="AR18" s="395"/>
      <c r="AS18" s="395"/>
      <c r="AT18" s="396"/>
      <c r="AU18" s="397"/>
      <c r="AV18" s="394"/>
      <c r="AW18" s="395"/>
      <c r="AX18" s="395"/>
      <c r="AY18" s="396"/>
      <c r="AZ18" s="397"/>
      <c r="BA18" s="394"/>
      <c r="BB18" s="395"/>
      <c r="BC18" s="395"/>
      <c r="BD18" s="396"/>
      <c r="BE18" s="397"/>
      <c r="BF18" s="394"/>
      <c r="BG18" s="395"/>
      <c r="BH18" s="395"/>
      <c r="BI18" s="396"/>
      <c r="BJ18" s="397"/>
      <c r="BK18" s="394"/>
      <c r="BL18" s="395"/>
      <c r="BM18" s="395"/>
      <c r="BN18" s="396"/>
      <c r="BO18" s="397"/>
      <c r="BP18" s="445"/>
      <c r="BQ18" s="399"/>
      <c r="BR18" s="400"/>
      <c r="BS18" s="401"/>
      <c r="BT18" s="401"/>
      <c r="BU18" s="402"/>
      <c r="BV18" s="403"/>
      <c r="BW18" s="400"/>
      <c r="BX18" s="401"/>
      <c r="BY18" s="401"/>
      <c r="BZ18" s="402"/>
      <c r="CA18" s="403"/>
      <c r="CB18" s="400"/>
      <c r="CC18" s="401"/>
      <c r="CD18" s="401"/>
      <c r="CE18" s="402"/>
      <c r="CF18" s="403"/>
      <c r="CG18" s="400"/>
      <c r="CH18" s="401"/>
      <c r="CI18" s="401"/>
      <c r="CJ18" s="402"/>
      <c r="CK18" s="403"/>
      <c r="CL18" s="400"/>
      <c r="CM18" s="401"/>
      <c r="CN18" s="401"/>
      <c r="CO18" s="402"/>
      <c r="CP18" s="403"/>
      <c r="CQ18" s="400"/>
      <c r="CR18" s="401"/>
      <c r="CS18" s="401"/>
      <c r="CT18" s="402"/>
      <c r="CU18" s="403"/>
      <c r="CV18" s="400"/>
      <c r="CW18" s="401"/>
      <c r="CX18" s="401"/>
      <c r="CY18" s="402"/>
      <c r="CZ18" s="403"/>
      <c r="DA18" s="400"/>
      <c r="DB18" s="401"/>
      <c r="DC18" s="401"/>
      <c r="DD18" s="402"/>
      <c r="DE18" s="403"/>
      <c r="DF18" s="400"/>
      <c r="DG18" s="401"/>
      <c r="DH18" s="401"/>
      <c r="DI18" s="402"/>
      <c r="DJ18" s="403"/>
      <c r="DK18" s="400"/>
      <c r="DL18" s="401"/>
      <c r="DM18" s="401"/>
      <c r="DN18" s="402"/>
      <c r="DO18" s="403"/>
      <c r="DP18" s="400"/>
      <c r="DQ18" s="401"/>
      <c r="DR18" s="401"/>
      <c r="DS18" s="402"/>
      <c r="DT18" s="403"/>
    </row>
    <row r="19" spans="1:139" ht="12.75" customHeight="1" x14ac:dyDescent="0.2">
      <c r="C19" s="72" t="s">
        <v>562</v>
      </c>
      <c r="D19" s="467"/>
      <c r="E19" s="530">
        <f>IF(F19=0,G19,F19)</f>
        <v>250</v>
      </c>
      <c r="F19" s="831">
        <v>0</v>
      </c>
      <c r="G19" s="831">
        <v>250</v>
      </c>
      <c r="H19" s="449">
        <v>2017</v>
      </c>
      <c r="I19" s="450">
        <v>1.2E-2</v>
      </c>
      <c r="J19" s="451">
        <v>6</v>
      </c>
      <c r="K19" s="392"/>
      <c r="L19" s="397">
        <f>IF(L$5=$H19,-$E19,0)</f>
        <v>0</v>
      </c>
      <c r="M19" s="394">
        <f>IF(Q19=0,0,IF(Q19&lt;0,IF($J19=3,Q19,IF($J19=2,Q19,IF($J19=1,Q19,0)))))</f>
        <v>0</v>
      </c>
      <c r="N19" s="404">
        <f>IF(Q19=0,0,IF(Q19&lt;0,IF($J19=6,Q19,IF($J19=5,Q19,IF($J19=4,Q19,0)))))</f>
        <v>0</v>
      </c>
      <c r="O19" s="404">
        <f>IF(Q19=0,0,IF(Q19&lt;0,IF($J19=9,Q19,IF($J19=8,Q19,IF($J19=7,Q19,0)))))</f>
        <v>0</v>
      </c>
      <c r="P19" s="396">
        <f>IF(Q19=0,0,IF(Q19&lt;0,IF($J19=12,Q19,IF($J19=11,Q19,IF($J19=10,Q19,0)))))</f>
        <v>0</v>
      </c>
      <c r="Q19" s="397">
        <f>IF(Q$5=$H19,-$E19,0)</f>
        <v>0</v>
      </c>
      <c r="R19" s="394">
        <f>IF(V19=0,0,IF(V19&lt;0,IF($J19=3,V19,IF($J19=2,V19,IF($J19=1,V19,0)))))</f>
        <v>0</v>
      </c>
      <c r="S19" s="404">
        <f>IF(V19=0,0,IF(V19&lt;0,IF($J19=6,V19,IF($J19=5,V19,IF($J19=4,V19,0)))))</f>
        <v>0</v>
      </c>
      <c r="T19" s="404">
        <f>IF(V19=0,0,IF(V19&lt;0,IF($J19=9,V19,IF($J19=8,V19,IF($J19=7,V19,0)))))</f>
        <v>0</v>
      </c>
      <c r="U19" s="396">
        <f>IF(V19=0,0,IF(V19&lt;0,IF($J19=12,V19,IF($J19=11,V19,IF($J19=10,V19,0)))))</f>
        <v>0</v>
      </c>
      <c r="V19" s="397">
        <f>IF(V$5=$H19,-$E19,0)</f>
        <v>0</v>
      </c>
      <c r="W19" s="394">
        <f>IF(AA19=0,0,IF(AA19&lt;0,IF($J19=3,AA19,IF($J19=2,AA19,IF($J19=1,AA19,0)))))</f>
        <v>0</v>
      </c>
      <c r="X19" s="404">
        <f>IF(AA19=0,0,IF(AA19&lt;0,IF($J19=6,AA19,IF($J19=5,AA19,IF($J19=4,AA19,0)))))</f>
        <v>0</v>
      </c>
      <c r="Y19" s="404">
        <f>IF(AA19=0,0,IF(AA19&lt;0,IF($J19=9,AA19,IF($J19=8,AA19,IF($J19=7,AA19,0)))))</f>
        <v>0</v>
      </c>
      <c r="Z19" s="396">
        <f>IF(AA19=0,0,IF(AA19&lt;0,IF($J19=12,AA19,IF($J19=11,AA19,IF($J19=10,AA19,0)))))</f>
        <v>0</v>
      </c>
      <c r="AA19" s="397">
        <f>IF(AA$5=$H19,-$E19,0)</f>
        <v>0</v>
      </c>
      <c r="AB19" s="394">
        <f>IF(AF19=0,0,IF(AF19&lt;0,IF($J19=3,AF19,IF($J19=2,AF19,IF($J19=1,AF19,0)))))</f>
        <v>0</v>
      </c>
      <c r="AC19" s="404">
        <f>IF(AF19=0,0,IF(AF19&lt;0,IF($J19=6,AF19,IF($J19=5,AF19,IF($J19=4,AF19,0)))))</f>
        <v>0</v>
      </c>
      <c r="AD19" s="404">
        <f>IF(AF19=0,0,IF(AF19&lt;0,IF($J19=9,AF19,IF($J19=8,AF19,IF($J19=7,AF19,0)))))</f>
        <v>0</v>
      </c>
      <c r="AE19" s="396">
        <f>IF(AF19=0,0,IF(AF19&lt;0,IF($J19=12,AF19,IF($J19=11,AF19,IF($J19=10,AF19,0)))))</f>
        <v>0</v>
      </c>
      <c r="AF19" s="397">
        <f>IF(AF$5=$H19,-$E19,0)</f>
        <v>0</v>
      </c>
      <c r="AG19" s="394">
        <f>IF(AK19=0,0,IF(AK19&lt;0,IF($J19=3,AK19,IF($J19=2,AK19,IF($J19=1,AK19,0)))))</f>
        <v>0</v>
      </c>
      <c r="AH19" s="404">
        <f>IF(AK19=0,0,IF(AK19&lt;0,IF($J19=6,AK19,IF($J19=5,AK19,IF($J19=4,AK19,0)))))</f>
        <v>0</v>
      </c>
      <c r="AI19" s="404">
        <f>IF(AK19=0,0,IF(AK19&lt;0,IF($J19=9,AK19,IF($J19=8,AK19,IF($J19=7,AK19,0)))))</f>
        <v>0</v>
      </c>
      <c r="AJ19" s="396">
        <f>IF(AK19=0,0,IF(AK19&lt;0,IF($J19=12,AK19,IF($J19=11,AK19,IF($J19=10,AK19,0)))))</f>
        <v>0</v>
      </c>
      <c r="AK19" s="397">
        <f>IF(AK$5=$H19,-$E19,0)</f>
        <v>0</v>
      </c>
      <c r="AL19" s="394">
        <f>IF(AP19=0,0,IF(AP19&lt;0,IF($J19=3,AP19,IF($J19=2,AP19,IF($J19=1,AP19,0)))))</f>
        <v>0</v>
      </c>
      <c r="AM19" s="404">
        <f>IF(AP19=0,0,IF(AP19&lt;0,IF($J19=6,AP19,IF($J19=5,AP19,IF($J19=4,AP19,0)))))</f>
        <v>0</v>
      </c>
      <c r="AN19" s="404">
        <f>IF(AP19=0,0,IF(AP19&lt;0,IF($J19=9,AP19,IF($J19=8,AP19,IF($J19=7,AP19,0)))))</f>
        <v>0</v>
      </c>
      <c r="AO19" s="396">
        <f>IF(AP19=0,0,IF(AP19&lt;0,IF($J19=12,AP19,IF($J19=11,AP19,IF($J19=10,AP19,0)))))</f>
        <v>0</v>
      </c>
      <c r="AP19" s="397">
        <f>IF(AP$5=$H19,-$E19,0)</f>
        <v>0</v>
      </c>
      <c r="AQ19" s="394">
        <f>IF(AU19=0,0,IF(AU19&lt;0,IF($J19=3,AU19,IF($J19=2,AU19,IF($J19=1,AU19,0)))))</f>
        <v>0</v>
      </c>
      <c r="AR19" s="404">
        <f>IF(AU19=0,0,IF(AU19&lt;0,IF($J19=6,AU19,IF($J19=5,AU19,IF($J19=4,AU19,0)))))</f>
        <v>-250</v>
      </c>
      <c r="AS19" s="404">
        <f>IF(AU19=0,0,IF(AU19&lt;0,IF($J19=9,AU19,IF($J19=8,AU19,IF($J19=7,AU19,0)))))</f>
        <v>0</v>
      </c>
      <c r="AT19" s="396">
        <f>IF(AU19=0,0,IF(AU19&lt;0,IF($J19=12,AU19,IF($J19=11,AU19,IF($J19=10,AU19,0)))))</f>
        <v>0</v>
      </c>
      <c r="AU19" s="397">
        <f>IF(AU$5=$H19,-$E19,0)</f>
        <v>-250</v>
      </c>
      <c r="AV19" s="394">
        <f>IF(AZ19=0,0,IF(AZ19&lt;0,IF($J19=3,AZ19,IF($J19=2,AZ19,IF($J19=1,AZ19,0)))))</f>
        <v>0</v>
      </c>
      <c r="AW19" s="404">
        <f>IF(AZ19=0,0,IF(AZ19&lt;0,IF($J19=6,AZ19,IF($J19=5,AZ19,IF($J19=4,AZ19,0)))))</f>
        <v>0</v>
      </c>
      <c r="AX19" s="404">
        <f>IF(AZ19=0,0,IF(AZ19&lt;0,IF($J19=9,AZ19,IF($J19=8,AZ19,IF($J19=7,AZ19,0)))))</f>
        <v>0</v>
      </c>
      <c r="AY19" s="396">
        <f>IF(AZ19=0,0,IF(AZ19&lt;0,IF($J19=12,AZ19,IF($J19=11,AZ19,IF($J19=10,AZ19,0)))))</f>
        <v>0</v>
      </c>
      <c r="AZ19" s="397">
        <f>IF(AZ$5=$H19,-$E19,0)</f>
        <v>0</v>
      </c>
      <c r="BA19" s="394">
        <f>IF(BE19=0,0,IF(BE19&lt;0,IF($J19=3,BE19,IF($J19=2,BE19,IF($J19=1,BE19,0)))))</f>
        <v>0</v>
      </c>
      <c r="BB19" s="404">
        <f>IF(BE19=0,0,IF(BE19&lt;0,IF($J19=6,BE19,IF($J19=5,BE19,IF($J19=4,BE19,0)))))</f>
        <v>0</v>
      </c>
      <c r="BC19" s="404">
        <f>IF(BE19=0,0,IF(BE19&lt;0,IF($J19=9,BE19,IF($J19=8,BE19,IF($J19=7,BE19,0)))))</f>
        <v>0</v>
      </c>
      <c r="BD19" s="396">
        <f>IF(BE19=0,0,IF(BE19&lt;0,IF($J19=12,BE19,IF($J19=11,BE19,IF($J19=10,BE19,0)))))</f>
        <v>0</v>
      </c>
      <c r="BE19" s="397">
        <f>IF(BE$5=$H19,-$E19,0)</f>
        <v>0</v>
      </c>
      <c r="BF19" s="394">
        <f>IF(BJ19=0,0,IF(BJ19&lt;0,IF($J19=3,BJ19,IF($J19=2,BJ19,IF($J19=1,BJ19,0)))))</f>
        <v>0</v>
      </c>
      <c r="BG19" s="404">
        <f>IF(BJ19=0,0,IF(BJ19&lt;0,IF($J19=6,BJ19,IF($J19=5,BJ19,IF($J19=4,BJ19,0)))))</f>
        <v>0</v>
      </c>
      <c r="BH19" s="404">
        <f>IF(BJ19=0,0,IF(BJ19&lt;0,IF($J19=9,BJ19,IF($J19=8,BJ19,IF($J19=7,BJ19,0)))))</f>
        <v>0</v>
      </c>
      <c r="BI19" s="396">
        <f>IF(BJ19=0,0,IF(BJ19&lt;0,IF($J19=12,BJ19,IF($J19=11,BJ19,IF($J19=10,BJ19,0)))))</f>
        <v>0</v>
      </c>
      <c r="BJ19" s="397">
        <f>IF(BJ$5=$H19,-$E19,0)</f>
        <v>0</v>
      </c>
      <c r="BK19" s="394">
        <f>IF(BO19=0,0,IF(BO19&lt;0,IF($J19=3,BO19,IF($J19=2,BO19,IF($J19=1,BO19,0)))))</f>
        <v>0</v>
      </c>
      <c r="BL19" s="404">
        <f>IF(BO19=0,0,IF(BO19&lt;0,IF($J19=6,BO19,IF($J19=5,BO19,IF($J19=4,BO19,0)))))</f>
        <v>0</v>
      </c>
      <c r="BM19" s="404">
        <f>IF(BO19=0,0,IF(BO19&lt;0,IF($J19=9,BO19,IF($J19=8,BO19,IF($J19=7,BO19,0)))))</f>
        <v>0</v>
      </c>
      <c r="BN19" s="396">
        <f>IF(BO19=0,0,IF(BO19&lt;0,IF($J19=12,BO19,IF($J19=11,BO19,IF($J19=10,BO19,0)))))</f>
        <v>0</v>
      </c>
      <c r="BO19" s="397">
        <f>IF(BO$5=$H19,-$E19,0)</f>
        <v>0</v>
      </c>
      <c r="BP19" s="452"/>
      <c r="BQ19" s="403">
        <f>IF(AND(BP19&lt;&gt;0,BP$5=$H19),-$I19*$E19-BP19,IF(BQ$5=$H19,-$I19*$E19*(12-$J19+1)/12,0))</f>
        <v>0</v>
      </c>
      <c r="BR19" s="400">
        <f>IF($H19&lt;&gt;BV$5,0,IF(BV19&lt;0,IF($J19=1,-$E19*$I19/12*3,IF($J19=2,-$E19*$I19/12*2,IF($J19=3,-$E19*$I19/12*1,0)))))+IF(BQ$5&lt;&gt;$H19,0,IF(BQ19&lt;0,IF($J19=1,-$E19*$I19/12*0,IF($J19=2,-$E19*$I19/12*1,IF($J19=3,-$E19*$I19/12*2,IF($J19&gt;=4,-$E19*$I19/12*3,0))))))</f>
        <v>0</v>
      </c>
      <c r="BS19" s="406">
        <f>IF($H19&lt;&gt;BV$5,0,IF(BV19&lt;0,IF(OR($J19=1,$J19=2,$J19=3,$J19=4),-$E19*$I19/12*3,IF($J19=5,-$E19*$I19/12*2,IF($J19=6,-$E19*$I19/12*1,0)))))+IF(BQ$5&lt;&gt;$H19,0,IF(BQ19&lt;0,IF($J19=4,-$E19*$I19/12*0,IF($J19=5,-$E19*$I19/12*1,IF($J19=6,-$E19*$I19/12*2,IF($J19&gt;=7,-$E19*$I19/12*3,0))))))</f>
        <v>0</v>
      </c>
      <c r="BT19" s="406">
        <f>IF($H19&lt;&gt;BV$5,0,IF(BV19&lt;0,IF(OR($J19=1,$J19=2,$J19=3,$J19=4,$J19=5,$J19=6,$J19=7),-$E19*$I19/12*3,IF($J19=8,-$E19*$I19/12*2,IF($J19=9,-$E19*$I19/12*1,0)))))+IF(BQ$5&lt;&gt;$H19,0,IF(BQ19&lt;0,IF($J19=7,-$E19*$I19/12*0,IF($J19=8,-$E19*$I19/12*1,IF($J19=9,-$E19*$I19/12*2,IF($J19&gt;=10,-$E19*$I19/12*3,0))))))</f>
        <v>0</v>
      </c>
      <c r="BU19" s="402">
        <f>IF($H19&lt;&gt;BV$5,0,IF(BV19&lt;0,IF(OR($J19=1,$J19=2,$J19=3,$J19=4,$J19=5,$J19=6,$J19=7,$J19=8,$J19=9,$J19=10),-$E19*$I19/12*3,IF($J19=11,-$E19*$I19/12*2,IF($J19=12,-$E19*$I19/12*1,0)))))+IF(BQ$5&lt;&gt;$H19,0,IF(BQ19&lt;0,IF($J19=10,-$E19*$I19/12*0,IF($J19=11,-$E19*$I19/12*1,IF($J19=12,-$E19*$I19/12*2,0)))))</f>
        <v>0</v>
      </c>
      <c r="BV19" s="403">
        <f>IF(AND(BQ19&lt;&gt;0,BQ$5=$H19),-$I19*$E19-BQ19,IF(BV$5=$H19,-$I19*$E19*(12-$J19+1)/12,0))</f>
        <v>0</v>
      </c>
      <c r="BW19" s="400">
        <f>IF($H19&lt;&gt;CA$5,0,IF(CA19&lt;0,IF($J19=1,-$E19*$I19/12*3,IF($J19=2,-$E19*$I19/12*2,IF($J19=3,-$E19*$I19/12*1,0)))))+IF(BV$5&lt;&gt;$H19,0,IF(BV19&lt;0,IF($J19=1,-$E19*$I19/12*0,IF($J19=2,-$E19*$I19/12*1,IF($J19=3,-$E19*$I19/12*2,IF($J19&gt;=4,-$E19*$I19/12*3,0))))))</f>
        <v>0</v>
      </c>
      <c r="BX19" s="406">
        <f>IF($H19&lt;&gt;CA$5,0,IF(CA19&lt;0,IF(OR($J19=1,$J19=2,$J19=3,$J19=4),-$E19*$I19/12*3,IF($J19=5,-$E19*$I19/12*2,IF($J19=6,-$E19*$I19/12*1,0)))))+IF(BV$5&lt;&gt;$H19,0,IF(BV19&lt;0,IF($J19=4,-$E19*$I19/12*0,IF($J19=5,-$E19*$I19/12*1,IF($J19=6,-$E19*$I19/12*2,IF($J19&gt;=7,-$E19*$I19/12*3,0))))))</f>
        <v>0</v>
      </c>
      <c r="BY19" s="406">
        <f>IF($H19&lt;&gt;CA$5,0,IF(CA19&lt;0,IF(OR($J19=1,$J19=2,$J19=3,$J19=4,$J19=5,$J19=6,$J19=7),-$E19*$I19/12*3,IF($J19=8,-$E19*$I19/12*2,IF($J19=9,-$E19*$I19/12*1,0)))))+IF(BV$5&lt;&gt;$H19,0,IF(BV19&lt;0,IF($J19=7,-$E19*$I19/12*0,IF($J19=8,-$E19*$I19/12*1,IF($J19=9,-$E19*$I19/12*2,IF($J19&gt;=10,-$E19*$I19/12*3,0))))))</f>
        <v>0</v>
      </c>
      <c r="BZ19" s="402">
        <f>IF($H19&lt;&gt;CA$5,0,IF(CA19&lt;0,IF(OR($J19=1,$J19=2,$J19=3,$J19=4,$J19=5,$J19=6,$J19=7,$J19=8,$J19=9,$J19=10),-$E19*$I19/12*3,IF($J19=11,-$E19*$I19/12*2,IF($J19=12,-$E19*$I19/12*1,0)))))+IF(BV$5&lt;&gt;$H19,0,IF(BV19&lt;0,IF($J19=10,-$E19*$I19/12*0,IF($J19=11,-$E19*$I19/12*1,IF($J19=12,-$E19*$I19/12*2,0)))))</f>
        <v>0</v>
      </c>
      <c r="CA19" s="403">
        <f>IF(AND(BV19&lt;&gt;0,BV$5=$H19),-$I19*$E19-BV19,IF(CA$5=$H19,-$I19*$E19*(12-$J19+1)/12,0))</f>
        <v>0</v>
      </c>
      <c r="CB19" s="400">
        <f>IF($H19&lt;&gt;CF$5,0,IF(CF19&lt;0,IF($J19=1,-$E19*$I19/12*3,IF($J19=2,-$E19*$I19/12*2,IF($J19=3,-$E19*$I19/12*1,0)))))+IF(CA$5&lt;&gt;$H19,0,IF(CA19&lt;0,IF($J19=1,-$E19*$I19/12*0,IF($J19=2,-$E19*$I19/12*1,IF($J19=3,-$E19*$I19/12*2,IF($J19&gt;=4,-$E19*$I19/12*3,0))))))</f>
        <v>0</v>
      </c>
      <c r="CC19" s="406">
        <f>IF($H19&lt;&gt;CF$5,0,IF(CF19&lt;0,IF(OR($J19=1,$J19=2,$J19=3,$J19=4),-$E19*$I19/12*3,IF($J19=5,-$E19*$I19/12*2,IF($J19=6,-$E19*$I19/12*1,0)))))+IF(CA$5&lt;&gt;$H19,0,IF(CA19&lt;0,IF($J19=4,-$E19*$I19/12*0,IF($J19=5,-$E19*$I19/12*1,IF($J19=6,-$E19*$I19/12*2,IF($J19&gt;=7,-$E19*$I19/12*3,0))))))</f>
        <v>0</v>
      </c>
      <c r="CD19" s="406">
        <f>IF($H19&lt;&gt;CF$5,0,IF(CF19&lt;0,IF(OR($J19=1,$J19=2,$J19=3,$J19=4,$J19=5,$J19=6,$J19=7),-$E19*$I19/12*3,IF($J19=8,-$E19*$I19/12*2,IF($J19=9,-$E19*$I19/12*1,0)))))+IF(CA$5&lt;&gt;$H19,0,IF(CA19&lt;0,IF($J19=7,-$E19*$I19/12*0,IF($J19=8,-$E19*$I19/12*1,IF($J19=9,-$E19*$I19/12*2,IF($J19&gt;=10,-$E19*$I19/12*3,0))))))</f>
        <v>0</v>
      </c>
      <c r="CE19" s="402">
        <f>IF($H19&lt;&gt;CF$5,0,IF(CF19&lt;0,IF(OR($J19=1,$J19=2,$J19=3,$J19=4,$J19=5,$J19=6,$J19=7,$J19=8,$J19=9,$J19=10),-$E19*$I19/12*3,IF($J19=11,-$E19*$I19/12*2,IF($J19=12,-$E19*$I19/12*1,0)))))+IF(CA$5&lt;&gt;$H19,0,IF(CA19&lt;0,IF($J19=10,-$E19*$I19/12*0,IF($J19=11,-$E19*$I19/12*1,IF($J19=12,-$E19*$I19/12*2,0)))))</f>
        <v>0</v>
      </c>
      <c r="CF19" s="403">
        <f>IF(AND(CA19&lt;&gt;0,CA$5=$H19),-$I19*$E19-CA19,IF(CF$5=$H19,-$I19*$E19*(12-$J19+1)/12,0))</f>
        <v>0</v>
      </c>
      <c r="CG19" s="400">
        <f>IF($H19&lt;&gt;CK$5,0,IF(CK19&lt;0,IF($J19=1,-$E19*$I19/12*3,IF($J19=2,-$E19*$I19/12*2,IF($J19=3,-$E19*$I19/12*1,0)))))+IF(CF$5&lt;&gt;$H19,0,IF(CF19&lt;0,IF($J19=1,-$E19*$I19/12*0,IF($J19=2,-$E19*$I19/12*1,IF($J19=3,-$E19*$I19/12*2,IF($J19&gt;=4,-$E19*$I19/12*3,0))))))</f>
        <v>0</v>
      </c>
      <c r="CH19" s="406">
        <f>IF($H19&lt;&gt;CK$5,0,IF(CK19&lt;0,IF(OR($J19=1,$J19=2,$J19=3,$J19=4),-$E19*$I19/12*3,IF($J19=5,-$E19*$I19/12*2,IF($J19=6,-$E19*$I19/12*1,0)))))+IF(CF$5&lt;&gt;$H19,0,IF(CF19&lt;0,IF($J19=4,-$E19*$I19/12*0,IF($J19=5,-$E19*$I19/12*1,IF($J19=6,-$E19*$I19/12*2,IF($J19&gt;=7,-$E19*$I19/12*3,0))))))</f>
        <v>0</v>
      </c>
      <c r="CI19" s="406">
        <f>IF($H19&lt;&gt;CK$5,0,IF(CK19&lt;0,IF(OR($J19=1,$J19=2,$J19=3,$J19=4,$J19=5,$J19=6,$J19=7),-$E19*$I19/12*3,IF($J19=8,-$E19*$I19/12*2,IF($J19=9,-$E19*$I19/12*1,0)))))+IF(CF$5&lt;&gt;$H19,0,IF(CF19&lt;0,IF($J19=7,-$E19*$I19/12*0,IF($J19=8,-$E19*$I19/12*1,IF($J19=9,-$E19*$I19/12*2,IF($J19&gt;=10,-$E19*$I19/12*3,0))))))</f>
        <v>0</v>
      </c>
      <c r="CJ19" s="402">
        <f>IF($H19&lt;&gt;CK$5,0,IF(CK19&lt;0,IF(OR($J19=1,$J19=2,$J19=3,$J19=4,$J19=5,$J19=6,$J19=7,$J19=8,$J19=9,$J19=10),-$E19*$I19/12*3,IF($J19=11,-$E19*$I19/12*2,IF($J19=12,-$E19*$I19/12*1,0)))))+IF(CF$5&lt;&gt;$H19,0,IF(CF19&lt;0,IF($J19=10,-$E19*$I19/12*0,IF($J19=11,-$E19*$I19/12*1,IF($J19=12,-$E19*$I19/12*2,0)))))</f>
        <v>0</v>
      </c>
      <c r="CK19" s="403">
        <f>IF(AND(CF19&lt;&gt;0,CF$5=$H19),-$I19*$E19-CF19,IF(CK$5=$H19,-$I19*$E19*(12-$J19+1)/12,0))</f>
        <v>0</v>
      </c>
      <c r="CL19" s="400">
        <f>IF($H19&lt;&gt;CP$5,0,IF(CP19&lt;0,IF($J19=1,-$E19*$I19/12*3,IF($J19=2,-$E19*$I19/12*2,IF($J19=3,-$E19*$I19/12*1,0)))))+IF(CK$5&lt;&gt;$H19,0,IF(CK19&lt;0,IF($J19=1,-$E19*$I19/12*0,IF($J19=2,-$E19*$I19/12*1,IF($J19=3,-$E19*$I19/12*2,IF($J19&gt;=4,-$E19*$I19/12*3,0))))))</f>
        <v>0</v>
      </c>
      <c r="CM19" s="406">
        <f>IF($H19&lt;&gt;CP$5,0,IF(CP19&lt;0,IF(OR($J19=1,$J19=2,$J19=3,$J19=4),-$E19*$I19/12*3,IF($J19=5,-$E19*$I19/12*2,IF($J19=6,-$E19*$I19/12*1,0)))))+IF(CK$5&lt;&gt;$H19,0,IF(CK19&lt;0,IF($J19=4,-$E19*$I19/12*0,IF($J19=5,-$E19*$I19/12*1,IF($J19=6,-$E19*$I19/12*2,IF($J19&gt;=7,-$E19*$I19/12*3,0))))))</f>
        <v>0</v>
      </c>
      <c r="CN19" s="406">
        <f>IF($H19&lt;&gt;CP$5,0,IF(CP19&lt;0,IF(OR($J19=1,$J19=2,$J19=3,$J19=4,$J19=5,$J19=6,$J19=7),-$E19*$I19/12*3,IF($J19=8,-$E19*$I19/12*2,IF($J19=9,-$E19*$I19/12*1,0)))))+IF(CK$5&lt;&gt;$H19,0,IF(CK19&lt;0,IF($J19=7,-$E19*$I19/12*0,IF($J19=8,-$E19*$I19/12*1,IF($J19=9,-$E19*$I19/12*2,IF($J19&gt;=10,-$E19*$I19/12*3,0))))))</f>
        <v>0</v>
      </c>
      <c r="CO19" s="402">
        <f>IF($H19&lt;&gt;CP$5,0,IF(CP19&lt;0,IF(OR($J19=1,$J19=2,$J19=3,$J19=4,$J19=5,$J19=6,$J19=7,$J19=8,$J19=9,$J19=10),-$E19*$I19/12*3,IF($J19=11,-$E19*$I19/12*2,IF($J19=12,-$E19*$I19/12*1,0)))))+IF(CK$5&lt;&gt;$H19,0,IF(CK19&lt;0,IF($J19=10,-$E19*$I19/12*0,IF($J19=11,-$E19*$I19/12*1,IF($J19=12,-$E19*$I19/12*2,0)))))</f>
        <v>0</v>
      </c>
      <c r="CP19" s="403">
        <f>IF(AND(CK19&lt;&gt;0,CK$5=$H19),-$I19*$E19-CK19,IF(CP$5=$H19,-$I19*$E19*(12-$J19+1)/12,0))</f>
        <v>0</v>
      </c>
      <c r="CQ19" s="400">
        <f>IF($H19&lt;&gt;CU$5,0,IF(CU19&lt;0,IF($J19=1,-$E19*$I19/12*3,IF($J19=2,-$E19*$I19/12*2,IF($J19=3,-$E19*$I19/12*1,0)))))+IF(CP$5&lt;&gt;$H19,0,IF(CP19&lt;0,IF($J19=1,-$E19*$I19/12*0,IF($J19=2,-$E19*$I19/12*1,IF($J19=3,-$E19*$I19/12*2,IF($J19&gt;=4,-$E19*$I19/12*3,0))))))</f>
        <v>0</v>
      </c>
      <c r="CR19" s="406">
        <f>IF($H19&lt;&gt;CU$5,0,IF(CU19&lt;0,IF(OR($J19=1,$J19=2,$J19=3,$J19=4),-$E19*$I19/12*3,IF($J19=5,-$E19*$I19/12*2,IF($J19=6,-$E19*$I19/12*1,0)))))+IF(CP$5&lt;&gt;$H19,0,IF(CP19&lt;0,IF($J19=4,-$E19*$I19/12*0,IF($J19=5,-$E19*$I19/12*1,IF($J19=6,-$E19*$I19/12*2,IF($J19&gt;=7,-$E19*$I19/12*3,0))))))</f>
        <v>0</v>
      </c>
      <c r="CS19" s="406">
        <f>IF($H19&lt;&gt;CU$5,0,IF(CU19&lt;0,IF(OR($J19=1,$J19=2,$J19=3,$J19=4,$J19=5,$J19=6,$J19=7),-$E19*$I19/12*3,IF($J19=8,-$E19*$I19/12*2,IF($J19=9,-$E19*$I19/12*1,0)))))+IF(CP$5&lt;&gt;$H19,0,IF(CP19&lt;0,IF($J19=7,-$E19*$I19/12*0,IF($J19=8,-$E19*$I19/12*1,IF($J19=9,-$E19*$I19/12*2,IF($J19&gt;=10,-$E19*$I19/12*3,0))))))</f>
        <v>0</v>
      </c>
      <c r="CT19" s="402">
        <f>IF($H19&lt;&gt;CU$5,0,IF(CU19&lt;0,IF(OR($J19=1,$J19=2,$J19=3,$J19=4,$J19=5,$J19=6,$J19=7,$J19=8,$J19=9,$J19=10),-$E19*$I19/12*3,IF($J19=11,-$E19*$I19/12*2,IF($J19=12,-$E19*$I19/12*1,0)))))+IF(CP$5&lt;&gt;$H19,0,IF(CP19&lt;0,IF($J19=10,-$E19*$I19/12*0,IF($J19=11,-$E19*$I19/12*1,IF($J19=12,-$E19*$I19/12*2,0)))))</f>
        <v>0</v>
      </c>
      <c r="CU19" s="403">
        <f>IF(AND(CP19&lt;&gt;0,CP$5=$H19),-$I19*$E19-CP19,IF(CU$5=$H19,-$I19*$E19*(12-$J19+1)/12,0))</f>
        <v>0</v>
      </c>
      <c r="CV19" s="400">
        <f>IF($H19&lt;&gt;CZ$5,0,IF(CZ19&lt;0,IF($J19=1,-$E19*$I19/12*3,IF($J19=2,-$E19*$I19/12*2,IF($J19=3,-$E19*$I19/12*1,0)))))+IF(CU$5&lt;&gt;$H19,0,IF(CU19&lt;0,IF($J19=1,-$E19*$I19/12*0,IF($J19=2,-$E19*$I19/12*1,IF($J19=3,-$E19*$I19/12*2,IF($J19&gt;=4,-$E19*$I19/12*3,0))))))</f>
        <v>0</v>
      </c>
      <c r="CW19" s="406">
        <f>IF($H19&lt;&gt;CZ$5,0,IF(CZ19&lt;0,IF(OR($J19=1,$J19=2,$J19=3,$J19=4),-$E19*$I19/12*3,IF($J19=5,-$E19*$I19/12*2,IF($J19=6,-$E19*$I19/12*1,0)))))+IF(CU$5&lt;&gt;$H19,0,IF(CU19&lt;0,IF($J19=4,-$E19*$I19/12*0,IF($J19=5,-$E19*$I19/12*1,IF($J19=6,-$E19*$I19/12*2,IF($J19&gt;=7,-$E19*$I19/12*3,0))))))</f>
        <v>-0.25</v>
      </c>
      <c r="CX19" s="406">
        <f>IF($H19&lt;&gt;CZ$5,0,IF(CZ19&lt;0,IF(OR($J19=1,$J19=2,$J19=3,$J19=4,$J19=5,$J19=6,$J19=7),-$E19*$I19/12*3,IF($J19=8,-$E19*$I19/12*2,IF($J19=9,-$E19*$I19/12*1,0)))))+IF(CU$5&lt;&gt;$H19,0,IF(CU19&lt;0,IF($J19=7,-$E19*$I19/12*0,IF($J19=8,-$E19*$I19/12*1,IF($J19=9,-$E19*$I19/12*2,IF($J19&gt;=10,-$E19*$I19/12*3,0))))))</f>
        <v>-0.75</v>
      </c>
      <c r="CY19" s="402">
        <f>IF($H19&lt;&gt;CZ$5,0,IF(CZ19&lt;0,IF(OR($J19=1,$J19=2,$J19=3,$J19=4,$J19=5,$J19=6,$J19=7,$J19=8,$J19=9,$J19=10),-$E19*$I19/12*3,IF($J19=11,-$E19*$I19/12*2,IF($J19=12,-$E19*$I19/12*1,0)))))+IF(CU$5&lt;&gt;$H19,0,IF(CU19&lt;0,IF($J19=10,-$E19*$I19/12*0,IF($J19=11,-$E19*$I19/12*1,IF($J19=12,-$E19*$I19/12*2,0)))))</f>
        <v>-0.75</v>
      </c>
      <c r="CZ19" s="403">
        <f>IF(AND(CU19&lt;&gt;0,CU$5=$H19),-$I19*$E19-CU19,IF(CZ$5=$H19,-$I19*$E19*(12-$J19+1)/12,0))</f>
        <v>-1.75</v>
      </c>
      <c r="DA19" s="400">
        <f>IF($H19&lt;&gt;DE$5,0,IF(DE19&lt;0,IF($J19=1,-$E19*$I19/12*3,IF($J19=2,-$E19*$I19/12*2,IF($J19=3,-$E19*$I19/12*1,0)))))+IF(CZ$5&lt;&gt;$H19,0,IF(CZ19&lt;0,IF($J19=1,-$E19*$I19/12*0,IF($J19=2,-$E19*$I19/12*1,IF($J19=3,-$E19*$I19/12*2,IF($J19&gt;=4,-$E19*$I19/12*3,0))))))</f>
        <v>-0.75</v>
      </c>
      <c r="DB19" s="406">
        <f>IF($H19&lt;&gt;DE$5,0,IF(DE19&lt;0,IF(OR($J19=1,$J19=2,$J19=3,$J19=4),-$E19*$I19/12*3,IF($J19=5,-$E19*$I19/12*2,IF($J19=6,-$E19*$I19/12*1,0)))))+IF(CZ$5&lt;&gt;$H19,0,IF(CZ19&lt;0,IF($J19=4,-$E19*$I19/12*0,IF($J19=5,-$E19*$I19/12*1,IF($J19=6,-$E19*$I19/12*2,IF($J19&gt;=7,-$E19*$I19/12*3,0))))))</f>
        <v>-0.5</v>
      </c>
      <c r="DC19" s="406">
        <f>IF($H19&lt;&gt;DE$5,0,IF(DE19&lt;0,IF(OR($J19=1,$J19=2,$J19=3,$J19=4,$J19=5,$J19=6,$J19=7),-$E19*$I19/12*3,IF($J19=8,-$E19*$I19/12*2,IF($J19=9,-$E19*$I19/12*1,0)))))+IF(CZ$5&lt;&gt;$H19,0,IF(CZ19&lt;0,IF($J19=7,-$E19*$I19/12*0,IF($J19=8,-$E19*$I19/12*1,IF($J19=9,-$E19*$I19/12*2,IF($J19&gt;=10,-$E19*$I19/12*3,0))))))</f>
        <v>0</v>
      </c>
      <c r="DD19" s="402">
        <f>IF($H19&lt;&gt;DE$5,0,IF(DE19&lt;0,IF(OR($J19=1,$J19=2,$J19=3,$J19=4,$J19=5,$J19=6,$J19=7,$J19=8,$J19=9,$J19=10),-$E19*$I19/12*3,IF($J19=11,-$E19*$I19/12*2,IF($J19=12,-$E19*$I19/12*1,0)))))+IF(CZ$5&lt;&gt;$H19,0,IF(CZ19&lt;0,IF($J19=10,-$E19*$I19/12*0,IF($J19=11,-$E19*$I19/12*1,IF($J19=12,-$E19*$I19/12*2,0)))))</f>
        <v>0</v>
      </c>
      <c r="DE19" s="403">
        <f>IF(AND(CZ19&lt;&gt;0,CZ$5=$H19),-$I19*$E19-CZ19,IF(DE$5=$H19,-$I19*$E19*(12-$J19+1)/12,0))</f>
        <v>-1.25</v>
      </c>
      <c r="DF19" s="400">
        <f>IF($H19&lt;&gt;DJ$5,0,IF(DJ19&lt;0,IF($J19=1,-$E19*$I19/12*3,IF($J19=2,-$E19*$I19/12*2,IF($J19=3,-$E19*$I19/12*1,0)))))+IF(DE$5&lt;&gt;$H19,0,IF(DE19&lt;0,IF($J19=1,-$E19*$I19/12*0,IF($J19=2,-$E19*$I19/12*1,IF($J19=3,-$E19*$I19/12*2,IF($J19&gt;=4,-$E19*$I19/12*3,0))))))</f>
        <v>0</v>
      </c>
      <c r="DG19" s="406">
        <f>IF($H19&lt;&gt;DJ$5,0,IF(DJ19&lt;0,IF(OR($J19=1,$J19=2,$J19=3,$J19=4),-$E19*$I19/12*3,IF($J19=5,-$E19*$I19/12*2,IF($J19=6,-$E19*$I19/12*1,0)))))+IF(DE$5&lt;&gt;$H19,0,IF(DE19&lt;0,IF($J19=4,-$E19*$I19/12*0,IF($J19=5,-$E19*$I19/12*1,IF($J19=6,-$E19*$I19/12*2,IF($J19&gt;=7,-$E19*$I19/12*3,0))))))</f>
        <v>0</v>
      </c>
      <c r="DH19" s="406">
        <f>IF($H19&lt;&gt;DJ$5,0,IF(DJ19&lt;0,IF(OR($J19=1,$J19=2,$J19=3,$J19=4,$J19=5,$J19=6,$J19=7),-$E19*$I19/12*3,IF($J19=8,-$E19*$I19/12*2,IF($J19=9,-$E19*$I19/12*1,0)))))+IF(DE$5&lt;&gt;$H19,0,IF(DE19&lt;0,IF($J19=7,-$E19*$I19/12*0,IF($J19=8,-$E19*$I19/12*1,IF($J19=9,-$E19*$I19/12*2,IF($J19&gt;=10,-$E19*$I19/12*3,0))))))</f>
        <v>0</v>
      </c>
      <c r="DI19" s="402">
        <f>IF($H19&lt;&gt;DJ$5,0,IF(DJ19&lt;0,IF(OR($J19=1,$J19=2,$J19=3,$J19=4,$J19=5,$J19=6,$J19=7,$J19=8,$J19=9,$J19=10),-$E19*$I19/12*3,IF($J19=11,-$E19*$I19/12*2,IF($J19=12,-$E19*$I19/12*1,0)))))+IF(DE$5&lt;&gt;$H19,0,IF(DE19&lt;0,IF($J19=10,-$E19*$I19/12*0,IF($J19=11,-$E19*$I19/12*1,IF($J19=12,-$E19*$I19/12*2,0)))))</f>
        <v>0</v>
      </c>
      <c r="DJ19" s="403">
        <f>IF(AND(DE19&lt;&gt;0,DE$5=$H19),-$I19*$E19-DE19,IF(DJ$5=$H19,-$I19*$E19*(12-$J19+1)/12,0))</f>
        <v>0</v>
      </c>
      <c r="DK19" s="400">
        <f>IF($H19&lt;&gt;DO$5,0,IF(DO19&lt;0,IF($J19=1,-$E19*$I19/12*3,IF($J19=2,-$E19*$I19/12*2,IF($J19=3,-$E19*$I19/12*1,0)))))+IF(DJ$5&lt;&gt;$H19,0,IF(DJ19&lt;0,IF($J19=1,-$E19*$I19/12*0,IF($J19=2,-$E19*$I19/12*1,IF($J19=3,-$E19*$I19/12*2,IF($J19&gt;=4,-$E19*$I19/12*3,0))))))</f>
        <v>0</v>
      </c>
      <c r="DL19" s="406">
        <f>IF($H19&lt;&gt;DO$5,0,IF(DO19&lt;0,IF(OR($J19=1,$J19=2,$J19=3,$J19=4),-$E19*$I19/12*3,IF($J19=5,-$E19*$I19/12*2,IF($J19=6,-$E19*$I19/12*1,0)))))+IF(DJ$5&lt;&gt;$H19,0,IF(DJ19&lt;0,IF($J19=4,-$E19*$I19/12*0,IF($J19=5,-$E19*$I19/12*1,IF($J19=6,-$E19*$I19/12*2,IF($J19&gt;=7,-$E19*$I19/12*3,0))))))</f>
        <v>0</v>
      </c>
      <c r="DM19" s="406">
        <f>IF($H19&lt;&gt;DO$5,0,IF(DO19&lt;0,IF(OR($J19=1,$J19=2,$J19=3,$J19=4,$J19=5,$J19=6,$J19=7),-$E19*$I19/12*3,IF($J19=8,-$E19*$I19/12*2,IF($J19=9,-$E19*$I19/12*1,0)))))+IF(DJ$5&lt;&gt;$H19,0,IF(DJ19&lt;0,IF($J19=7,-$E19*$I19/12*0,IF($J19=8,-$E19*$I19/12*1,IF($J19=9,-$E19*$I19/12*2,IF($J19&gt;=10,-$E19*$I19/12*3,0))))))</f>
        <v>0</v>
      </c>
      <c r="DN19" s="402">
        <f>IF($H19&lt;&gt;DO$5,0,IF(DO19&lt;0,IF(OR($J19=1,$J19=2,$J19=3,$J19=4,$J19=5,$J19=6,$J19=7,$J19=8,$J19=9,$J19=10),-$E19*$I19/12*3,IF($J19=11,-$E19*$I19/12*2,IF($J19=12,-$E19*$I19/12*1,0)))))+IF(DJ$5&lt;&gt;$H19,0,IF(DJ19&lt;0,IF($J19=10,-$E19*$I19/12*0,IF($J19=11,-$E19*$I19/12*1,IF($J19=12,-$E19*$I19/12*2,0)))))</f>
        <v>0</v>
      </c>
      <c r="DO19" s="403">
        <f>IF(AND(DJ19&lt;&gt;0,DJ$5=$H19),-$I19*$E19-DJ19,IF(DO$5=$H19,-$I19*$E19*(12-$J19+1)/12,0))</f>
        <v>0</v>
      </c>
      <c r="DP19" s="400">
        <f>IF($H19&lt;&gt;DT$5,0,IF(DT19&lt;0,IF($J19=1,-$E19*$I19/12*3,IF($J19=2,-$E19*$I19/12*2,IF($J19=3,-$E19*$I19/12*1,0)))))+IF(DO$5&lt;&gt;$H19,0,IF(DO19&lt;0,IF($J19=1,-$E19*$I19/12*0,IF($J19=2,-$E19*$I19/12*1,IF($J19=3,-$E19*$I19/12*2,IF($J19&gt;=4,-$E19*$I19/12*3,0))))))</f>
        <v>0</v>
      </c>
      <c r="DQ19" s="406">
        <f>IF($H19&lt;&gt;DT$5,0,IF(DT19&lt;0,IF(OR($J19=1,$J19=2,$J19=3,$J19=4),-$E19*$I19/12*3,IF($J19=5,-$E19*$I19/12*2,IF($J19=6,-$E19*$I19/12*1,0)))))+IF(DO$5&lt;&gt;$H19,0,IF(DO19&lt;0,IF($J19=4,-$E19*$I19/12*0,IF($J19=5,-$E19*$I19/12*1,IF($J19=6,-$E19*$I19/12*2,IF($J19&gt;=7,-$E19*$I19/12*3,0))))))</f>
        <v>0</v>
      </c>
      <c r="DR19" s="406">
        <f>IF($H19&lt;&gt;DT$5,0,IF(DT19&lt;0,IF(OR($J19=1,$J19=2,$J19=3,$J19=4,$J19=5,$J19=6,$J19=7),-$E19*$I19/12*3,IF($J19=8,-$E19*$I19/12*2,IF($J19=9,-$E19*$I19/12*1,0)))))+IF(DO$5&lt;&gt;$H19,0,IF(DO19&lt;0,IF($J19=7,-$E19*$I19/12*0,IF($J19=8,-$E19*$I19/12*1,IF($J19=9,-$E19*$I19/12*2,IF($J19&gt;=10,-$E19*$I19/12*3,0))))))</f>
        <v>0</v>
      </c>
      <c r="DS19" s="402">
        <f>IF($H19&lt;&gt;DT$5,0,IF(DT19&lt;0,IF(OR($J19=1,$J19=2,$J19=3,$J19=4,$J19=5,$J19=6,$J19=7,$J19=8,$J19=9,$J19=10),-$E19*$I19/12*3,IF($J19=11,-$E19*$I19/12*2,IF($J19=12,-$E19*$I19/12*1,0)))))+IF(DO$5&lt;&gt;$H19,0,IF(DO19&lt;0,IF($J19=10,-$E19*$I19/12*0,IF($J19=11,-$E19*$I19/12*1,IF($J19=12,-$E19*$I19/12*2,0)))))</f>
        <v>0</v>
      </c>
      <c r="DT19" s="403">
        <f>IF(AND(DO19&lt;&gt;0,DO$5=$H19),-$I19*$E19-DO19,IF(DT$5=$H19,-$I19*$E19*(12-$J19+1)/12,0))</f>
        <v>0</v>
      </c>
      <c r="EF19" s="35"/>
      <c r="EI19" s="759"/>
    </row>
    <row r="20" spans="1:139" ht="12.75" customHeight="1" x14ac:dyDescent="0.2">
      <c r="C20" s="72" t="s">
        <v>384</v>
      </c>
      <c r="D20" s="70"/>
      <c r="E20" s="530">
        <f t="shared" ref="E20:E26" si="20">IF(F20=0,G20,F20)</f>
        <v>550</v>
      </c>
      <c r="F20" s="532">
        <v>550</v>
      </c>
      <c r="G20" s="532">
        <v>550</v>
      </c>
      <c r="H20" s="449">
        <v>2020</v>
      </c>
      <c r="I20" s="450">
        <v>4.7E-2</v>
      </c>
      <c r="J20" s="451">
        <v>5</v>
      </c>
      <c r="K20" s="392"/>
      <c r="L20" s="397">
        <f t="shared" ref="L20:L26" si="21">IF(L$5=$H20,-$E20,0)</f>
        <v>0</v>
      </c>
      <c r="M20" s="394">
        <f t="shared" ref="M20:M26" si="22">IF(Q20=0,0,IF(Q20&lt;0,IF($J20=3,Q20,IF($J20=2,Q20,IF($J20=1,Q20,0)))))</f>
        <v>0</v>
      </c>
      <c r="N20" s="404">
        <f t="shared" ref="N20:N26" si="23">IF(Q20=0,0,IF(Q20&lt;0,IF($J20=6,Q20,IF($J20=5,Q20,IF($J20=4,Q20,0)))))</f>
        <v>0</v>
      </c>
      <c r="O20" s="404">
        <f t="shared" ref="O20:O26" si="24">IF(Q20=0,0,IF(Q20&lt;0,IF($J20=9,Q20,IF($J20=8,Q20,IF($J20=7,Q20,0)))))</f>
        <v>0</v>
      </c>
      <c r="P20" s="396">
        <f t="shared" ref="P20:P26" si="25">IF(Q20=0,0,IF(Q20&lt;0,IF($J20=12,Q20,IF($J20=11,Q20,IF($J20=10,Q20,0)))))</f>
        <v>0</v>
      </c>
      <c r="Q20" s="397">
        <f t="shared" ref="Q20:Q26" si="26">IF(Q$5=$H20,-$E20,0)</f>
        <v>0</v>
      </c>
      <c r="R20" s="394">
        <f t="shared" ref="R20:R26" si="27">IF(V20=0,0,IF(V20&lt;0,IF($J20=3,V20,IF($J20=2,V20,IF($J20=1,V20,0)))))</f>
        <v>0</v>
      </c>
      <c r="S20" s="404">
        <f t="shared" ref="S20:S26" si="28">IF(V20=0,0,IF(V20&lt;0,IF($J20=6,V20,IF($J20=5,V20,IF($J20=4,V20,0)))))</f>
        <v>0</v>
      </c>
      <c r="T20" s="404">
        <f t="shared" ref="T20:T26" si="29">IF(V20=0,0,IF(V20&lt;0,IF($J20=9,V20,IF($J20=8,V20,IF($J20=7,V20,0)))))</f>
        <v>0</v>
      </c>
      <c r="U20" s="396">
        <f t="shared" ref="U20:U26" si="30">IF(V20=0,0,IF(V20&lt;0,IF($J20=12,V20,IF($J20=11,V20,IF($J20=10,V20,0)))))</f>
        <v>0</v>
      </c>
      <c r="V20" s="397">
        <f t="shared" ref="V20:V26" si="31">IF(V$5=$H20,-$E20,0)</f>
        <v>0</v>
      </c>
      <c r="W20" s="394">
        <f t="shared" ref="W20:W26" si="32">IF(AA20=0,0,IF(AA20&lt;0,IF($J20=3,AA20,IF($J20=2,AA20,IF($J20=1,AA20,0)))))</f>
        <v>0</v>
      </c>
      <c r="X20" s="404">
        <f t="shared" ref="X20:X26" si="33">IF(AA20=0,0,IF(AA20&lt;0,IF($J20=6,AA20,IF($J20=5,AA20,IF($J20=4,AA20,0)))))</f>
        <v>0</v>
      </c>
      <c r="Y20" s="404">
        <f t="shared" ref="Y20:Y26" si="34">IF(AA20=0,0,IF(AA20&lt;0,IF($J20=9,AA20,IF($J20=8,AA20,IF($J20=7,AA20,0)))))</f>
        <v>0</v>
      </c>
      <c r="Z20" s="396">
        <f t="shared" ref="Z20:Z26" si="35">IF(AA20=0,0,IF(AA20&lt;0,IF($J20=12,AA20,IF($J20=11,AA20,IF($J20=10,AA20,0)))))</f>
        <v>0</v>
      </c>
      <c r="AA20" s="397">
        <f t="shared" ref="AA20:AA26" si="36">IF(AA$5=$H20,-$E20,0)</f>
        <v>0</v>
      </c>
      <c r="AB20" s="394">
        <f t="shared" ref="AB20:AB26" si="37">IF(AF20=0,0,IF(AF20&lt;0,IF($J20=3,AF20,IF($J20=2,AF20,IF($J20=1,AF20,0)))))</f>
        <v>0</v>
      </c>
      <c r="AC20" s="404">
        <f t="shared" ref="AC20:AC26" si="38">IF(AF20=0,0,IF(AF20&lt;0,IF($J20=6,AF20,IF($J20=5,AF20,IF($J20=4,AF20,0)))))</f>
        <v>0</v>
      </c>
      <c r="AD20" s="404">
        <f t="shared" ref="AD20:AD26" si="39">IF(AF20=0,0,IF(AF20&lt;0,IF($J20=9,AF20,IF($J20=8,AF20,IF($J20=7,AF20,0)))))</f>
        <v>0</v>
      </c>
      <c r="AE20" s="396">
        <f t="shared" ref="AE20:AE26" si="40">IF(AF20=0,0,IF(AF20&lt;0,IF($J20=12,AF20,IF($J20=11,AF20,IF($J20=10,AF20,0)))))</f>
        <v>0</v>
      </c>
      <c r="AF20" s="397">
        <f t="shared" ref="AF20:AF26" si="41">IF(AF$5=$H20,-$E20,0)</f>
        <v>0</v>
      </c>
      <c r="AG20" s="394">
        <f t="shared" ref="AG20:AG26" si="42">IF(AK20=0,0,IF(AK20&lt;0,IF($J20=3,AK20,IF($J20=2,AK20,IF($J20=1,AK20,0)))))</f>
        <v>0</v>
      </c>
      <c r="AH20" s="404">
        <f t="shared" ref="AH20:AH26" si="43">IF(AK20=0,0,IF(AK20&lt;0,IF($J20=6,AK20,IF($J20=5,AK20,IF($J20=4,AK20,0)))))</f>
        <v>0</v>
      </c>
      <c r="AI20" s="404">
        <f t="shared" ref="AI20:AI26" si="44">IF(AK20=0,0,IF(AK20&lt;0,IF($J20=9,AK20,IF($J20=8,AK20,IF($J20=7,AK20,0)))))</f>
        <v>0</v>
      </c>
      <c r="AJ20" s="396">
        <f t="shared" ref="AJ20:AJ26" si="45">IF(AK20=0,0,IF(AK20&lt;0,IF($J20=12,AK20,IF($J20=11,AK20,IF($J20=10,AK20,0)))))</f>
        <v>0</v>
      </c>
      <c r="AK20" s="397">
        <f t="shared" ref="AK20:AK26" si="46">IF(AK$5=$H20,-$E20,0)</f>
        <v>0</v>
      </c>
      <c r="AL20" s="394">
        <f t="shared" ref="AL20:AL26" si="47">IF(AP20=0,0,IF(AP20&lt;0,IF($J20=3,AP20,IF($J20=2,AP20,IF($J20=1,AP20,0)))))</f>
        <v>0</v>
      </c>
      <c r="AM20" s="404">
        <f t="shared" ref="AM20:AM26" si="48">IF(AP20=0,0,IF(AP20&lt;0,IF($J20=6,AP20,IF($J20=5,AP20,IF($J20=4,AP20,0)))))</f>
        <v>0</v>
      </c>
      <c r="AN20" s="404">
        <f t="shared" ref="AN20:AN26" si="49">IF(AP20=0,0,IF(AP20&lt;0,IF($J20=9,AP20,IF($J20=8,AP20,IF($J20=7,AP20,0)))))</f>
        <v>0</v>
      </c>
      <c r="AO20" s="396">
        <f t="shared" ref="AO20:AO26" si="50">IF(AP20=0,0,IF(AP20&lt;0,IF($J20=12,AP20,IF($J20=11,AP20,IF($J20=10,AP20,0)))))</f>
        <v>0</v>
      </c>
      <c r="AP20" s="397">
        <f t="shared" ref="AP20:AP26" si="51">IF(AP$5=$H20,-$E20,0)</f>
        <v>0</v>
      </c>
      <c r="AQ20" s="394">
        <f t="shared" ref="AQ20:AQ26" si="52">IF(AU20=0,0,IF(AU20&lt;0,IF($J20=3,AU20,IF($J20=2,AU20,IF($J20=1,AU20,0)))))</f>
        <v>0</v>
      </c>
      <c r="AR20" s="404">
        <f t="shared" ref="AR20:AR26" si="53">IF(AU20=0,0,IF(AU20&lt;0,IF($J20=6,AU20,IF($J20=5,AU20,IF($J20=4,AU20,0)))))</f>
        <v>0</v>
      </c>
      <c r="AS20" s="404">
        <f t="shared" ref="AS20:AS26" si="54">IF(AU20=0,0,IF(AU20&lt;0,IF($J20=9,AU20,IF($J20=8,AU20,IF($J20=7,AU20,0)))))</f>
        <v>0</v>
      </c>
      <c r="AT20" s="396">
        <f t="shared" ref="AT20:AT26" si="55">IF(AU20=0,0,IF(AU20&lt;0,IF($J20=12,AU20,IF($J20=11,AU20,IF($J20=10,AU20,0)))))</f>
        <v>0</v>
      </c>
      <c r="AU20" s="397">
        <f t="shared" ref="AU20:AU26" si="56">IF(AU$5=$H20,-$E20,0)</f>
        <v>0</v>
      </c>
      <c r="AV20" s="394">
        <f t="shared" ref="AV20:AV26" si="57">IF(AZ20=0,0,IF(AZ20&lt;0,IF($J20=3,AZ20,IF($J20=2,AZ20,IF($J20=1,AZ20,0)))))</f>
        <v>0</v>
      </c>
      <c r="AW20" s="404">
        <f t="shared" ref="AW20:AW26" si="58">IF(AZ20=0,0,IF(AZ20&lt;0,IF($J20=6,AZ20,IF($J20=5,AZ20,IF($J20=4,AZ20,0)))))</f>
        <v>0</v>
      </c>
      <c r="AX20" s="404">
        <f t="shared" ref="AX20:AX26" si="59">IF(AZ20=0,0,IF(AZ20&lt;0,IF($J20=9,AZ20,IF($J20=8,AZ20,IF($J20=7,AZ20,0)))))</f>
        <v>0</v>
      </c>
      <c r="AY20" s="396">
        <f t="shared" ref="AY20:AY26" si="60">IF(AZ20=0,0,IF(AZ20&lt;0,IF($J20=12,AZ20,IF($J20=11,AZ20,IF($J20=10,AZ20,0)))))</f>
        <v>0</v>
      </c>
      <c r="AZ20" s="397">
        <f t="shared" ref="AZ20:AZ26" si="61">IF(AZ$5=$H20,-$E20,0)</f>
        <v>0</v>
      </c>
      <c r="BA20" s="394">
        <f t="shared" ref="BA20:BA26" si="62">IF(BE20=0,0,IF(BE20&lt;0,IF($J20=3,BE20,IF($J20=2,BE20,IF($J20=1,BE20,0)))))</f>
        <v>0</v>
      </c>
      <c r="BB20" s="404">
        <f t="shared" ref="BB20:BB26" si="63">IF(BE20=0,0,IF(BE20&lt;0,IF($J20=6,BE20,IF($J20=5,BE20,IF($J20=4,BE20,0)))))</f>
        <v>0</v>
      </c>
      <c r="BC20" s="404">
        <f t="shared" ref="BC20:BC26" si="64">IF(BE20=0,0,IF(BE20&lt;0,IF($J20=9,BE20,IF($J20=8,BE20,IF($J20=7,BE20,0)))))</f>
        <v>0</v>
      </c>
      <c r="BD20" s="396">
        <f t="shared" ref="BD20:BD26" si="65">IF(BE20=0,0,IF(BE20&lt;0,IF($J20=12,BE20,IF($J20=11,BE20,IF($J20=10,BE20,0)))))</f>
        <v>0</v>
      </c>
      <c r="BE20" s="397">
        <f t="shared" ref="BE20:BE26" si="66">IF(BE$5=$H20,-$E20,0)</f>
        <v>0</v>
      </c>
      <c r="BF20" s="394">
        <f t="shared" ref="BF20:BF26" si="67">IF(BJ20=0,0,IF(BJ20&lt;0,IF($J20=3,BJ20,IF($J20=2,BJ20,IF($J20=1,BJ20,0)))))</f>
        <v>0</v>
      </c>
      <c r="BG20" s="404">
        <f t="shared" ref="BG20:BG26" si="68">IF(BJ20=0,0,IF(BJ20&lt;0,IF($J20=6,BJ20,IF($J20=5,BJ20,IF($J20=4,BJ20,0)))))</f>
        <v>-550</v>
      </c>
      <c r="BH20" s="404">
        <f t="shared" ref="BH20:BH26" si="69">IF(BJ20=0,0,IF(BJ20&lt;0,IF($J20=9,BJ20,IF($J20=8,BJ20,IF($J20=7,BJ20,0)))))</f>
        <v>0</v>
      </c>
      <c r="BI20" s="396">
        <f t="shared" ref="BI20:BI26" si="70">IF(BJ20=0,0,IF(BJ20&lt;0,IF($J20=12,BJ20,IF($J20=11,BJ20,IF($J20=10,BJ20,0)))))</f>
        <v>0</v>
      </c>
      <c r="BJ20" s="397">
        <f t="shared" ref="BJ20:BJ26" si="71">IF(BJ$5=$H20,-$E20,0)</f>
        <v>-550</v>
      </c>
      <c r="BK20" s="394">
        <f t="shared" ref="BK20" si="72">IF(BO20=0,0,IF(BO20&lt;0,IF($J20=3,BO20,IF($J20=2,BO20,IF($J20=1,BO20,0)))))</f>
        <v>0</v>
      </c>
      <c r="BL20" s="404">
        <f t="shared" ref="BL20" si="73">IF(BO20=0,0,IF(BO20&lt;0,IF($J20=6,BO20,IF($J20=5,BO20,IF($J20=4,BO20,0)))))</f>
        <v>0</v>
      </c>
      <c r="BM20" s="404">
        <f t="shared" ref="BM20" si="74">IF(BO20=0,0,IF(BO20&lt;0,IF($J20=9,BO20,IF($J20=8,BO20,IF($J20=7,BO20,0)))))</f>
        <v>0</v>
      </c>
      <c r="BN20" s="396">
        <f t="shared" ref="BN20" si="75">IF(BO20=0,0,IF(BO20&lt;0,IF($J20=12,BO20,IF($J20=11,BO20,IF($J20=10,BO20,0)))))</f>
        <v>0</v>
      </c>
      <c r="BO20" s="397">
        <f t="shared" ref="BO20:BO26" si="76">IF(BO$5=$H20,-$E20,0)</f>
        <v>0</v>
      </c>
      <c r="BP20" s="452"/>
      <c r="BQ20" s="403">
        <f t="shared" ref="BQ20:BQ26" si="77">IF(AND(BP20&lt;&gt;0,BP$5=$H20),-$I20*$E20-BP20,IF(BQ$5=$H20,-$I20*$E20*(12-$J20+1)/12,0))</f>
        <v>0</v>
      </c>
      <c r="BR20" s="400">
        <f t="shared" ref="BR20:BR26" si="78">IF($H20&lt;&gt;BV$5,0,IF(BV20&lt;0,IF($J20=1,-$E20*$I20/12*3,IF($J20=2,-$E20*$I20/12*2,IF($J20=3,-$E20*$I20/12*1,0)))))+IF(BQ$5&lt;&gt;$H20,0,IF(BQ20&lt;0,IF($J20=1,-$E20*$I20/12*0,IF($J20=2,-$E20*$I20/12*1,IF($J20=3,-$E20*$I20/12*2,IF($J20&gt;=4,-$E20*$I20/12*3,0))))))</f>
        <v>0</v>
      </c>
      <c r="BS20" s="406">
        <f t="shared" ref="BS20:BS26" si="79">IF($H20&lt;&gt;BV$5,0,IF(BV20&lt;0,IF(OR($J20=1,$J20=2,$J20=3,$J20=4),-$E20*$I20/12*3,IF($J20=5,-$E20*$I20/12*2,IF($J20=6,-$E20*$I20/12*1,0)))))+IF(BQ$5&lt;&gt;$H20,0,IF(BQ20&lt;0,IF($J20=4,-$E20*$I20/12*0,IF($J20=5,-$E20*$I20/12*1,IF($J20=6,-$E20*$I20/12*2,IF($J20&gt;=7,-$E20*$I20/12*3,0))))))</f>
        <v>0</v>
      </c>
      <c r="BT20" s="406">
        <f t="shared" ref="BT20:BT26" si="80">IF($H20&lt;&gt;BV$5,0,IF(BV20&lt;0,IF(OR($J20=1,$J20=2,$J20=3,$J20=4,$J20=5,$J20=6,$J20=7),-$E20*$I20/12*3,IF($J20=8,-$E20*$I20/12*2,IF($J20=9,-$E20*$I20/12*1,0)))))+IF(BQ$5&lt;&gt;$H20,0,IF(BQ20&lt;0,IF($J20=7,-$E20*$I20/12*0,IF($J20=8,-$E20*$I20/12*1,IF($J20=9,-$E20*$I20/12*2,IF($J20&gt;=10,-$E20*$I20/12*3,0))))))</f>
        <v>0</v>
      </c>
      <c r="BU20" s="402">
        <f t="shared" ref="BU20:BU26" si="81">IF($H20&lt;&gt;BV$5,0,IF(BV20&lt;0,IF(OR($J20=1,$J20=2,$J20=3,$J20=4,$J20=5,$J20=6,$J20=7,$J20=8,$J20=9,$J20=10),-$E20*$I20/12*3,IF($J20=11,-$E20*$I20/12*2,IF($J20=12,-$E20*$I20/12*1,0)))))+IF(BQ$5&lt;&gt;$H20,0,IF(BQ20&lt;0,IF($J20=10,-$E20*$I20/12*0,IF($J20=11,-$E20*$I20/12*1,IF($J20=12,-$E20*$I20/12*2,0)))))</f>
        <v>0</v>
      </c>
      <c r="BV20" s="403">
        <f t="shared" ref="BV20:BV26" si="82">IF(AND(BQ20&lt;&gt;0,BQ$5=$H20),-$I20*$E20-BQ20,IF(BV$5=$H20,-$I20*$E20*(12-$J20+1)/12,0))</f>
        <v>0</v>
      </c>
      <c r="BW20" s="400">
        <f t="shared" ref="BW20:BW26" si="83">IF($H20&lt;&gt;CA$5,0,IF(CA20&lt;0,IF($J20=1,-$E20*$I20/12*3,IF($J20=2,-$E20*$I20/12*2,IF($J20=3,-$E20*$I20/12*1,0)))))+IF(BV$5&lt;&gt;$H20,0,IF(BV20&lt;0,IF($J20=1,-$E20*$I20/12*0,IF($J20=2,-$E20*$I20/12*1,IF($J20=3,-$E20*$I20/12*2,IF($J20&gt;=4,-$E20*$I20/12*3,0))))))</f>
        <v>0</v>
      </c>
      <c r="BX20" s="406">
        <f t="shared" ref="BX20:BX26" si="84">IF($H20&lt;&gt;CA$5,0,IF(CA20&lt;0,IF(OR($J20=1,$J20=2,$J20=3,$J20=4),-$E20*$I20/12*3,IF($J20=5,-$E20*$I20/12*2,IF($J20=6,-$E20*$I20/12*1,0)))))+IF(BV$5&lt;&gt;$H20,0,IF(BV20&lt;0,IF($J20=4,-$E20*$I20/12*0,IF($J20=5,-$E20*$I20/12*1,IF($J20=6,-$E20*$I20/12*2,IF($J20&gt;=7,-$E20*$I20/12*3,0))))))</f>
        <v>0</v>
      </c>
      <c r="BY20" s="406">
        <f t="shared" ref="BY20:BY26" si="85">IF($H20&lt;&gt;CA$5,0,IF(CA20&lt;0,IF(OR($J20=1,$J20=2,$J20=3,$J20=4,$J20=5,$J20=6,$J20=7),-$E20*$I20/12*3,IF($J20=8,-$E20*$I20/12*2,IF($J20=9,-$E20*$I20/12*1,0)))))+IF(BV$5&lt;&gt;$H20,0,IF(BV20&lt;0,IF($J20=7,-$E20*$I20/12*0,IF($J20=8,-$E20*$I20/12*1,IF($J20=9,-$E20*$I20/12*2,IF($J20&gt;=10,-$E20*$I20/12*3,0))))))</f>
        <v>0</v>
      </c>
      <c r="BZ20" s="402">
        <f t="shared" ref="BZ20:BZ26" si="86">IF($H20&lt;&gt;CA$5,0,IF(CA20&lt;0,IF(OR($J20=1,$J20=2,$J20=3,$J20=4,$J20=5,$J20=6,$J20=7,$J20=8,$J20=9,$J20=10),-$E20*$I20/12*3,IF($J20=11,-$E20*$I20/12*2,IF($J20=12,-$E20*$I20/12*1,0)))))+IF(BV$5&lt;&gt;$H20,0,IF(BV20&lt;0,IF($J20=10,-$E20*$I20/12*0,IF($J20=11,-$E20*$I20/12*1,IF($J20=12,-$E20*$I20/12*2,0)))))</f>
        <v>0</v>
      </c>
      <c r="CA20" s="403">
        <f t="shared" ref="CA20:CA26" si="87">IF(AND(BV20&lt;&gt;0,BV$5=$H20),-$I20*$E20-BV20,IF(CA$5=$H20,-$I20*$E20*(12-$J20+1)/12,0))</f>
        <v>0</v>
      </c>
      <c r="CB20" s="400">
        <f t="shared" ref="CB20:CB26" si="88">IF($H20&lt;&gt;CF$5,0,IF(CF20&lt;0,IF($J20=1,-$E20*$I20/12*3,IF($J20=2,-$E20*$I20/12*2,IF($J20=3,-$E20*$I20/12*1,0)))))+IF(CA$5&lt;&gt;$H20,0,IF(CA20&lt;0,IF($J20=1,-$E20*$I20/12*0,IF($J20=2,-$E20*$I20/12*1,IF($J20=3,-$E20*$I20/12*2,IF($J20&gt;=4,-$E20*$I20/12*3,0))))))</f>
        <v>0</v>
      </c>
      <c r="CC20" s="406">
        <f t="shared" ref="CC20:CC26" si="89">IF($H20&lt;&gt;CF$5,0,IF(CF20&lt;0,IF(OR($J20=1,$J20=2,$J20=3,$J20=4),-$E20*$I20/12*3,IF($J20=5,-$E20*$I20/12*2,IF($J20=6,-$E20*$I20/12*1,0)))))+IF(CA$5&lt;&gt;$H20,0,IF(CA20&lt;0,IF($J20=4,-$E20*$I20/12*0,IF($J20=5,-$E20*$I20/12*1,IF($J20=6,-$E20*$I20/12*2,IF($J20&gt;=7,-$E20*$I20/12*3,0))))))</f>
        <v>0</v>
      </c>
      <c r="CD20" s="406">
        <f t="shared" ref="CD20:CD26" si="90">IF($H20&lt;&gt;CF$5,0,IF(CF20&lt;0,IF(OR($J20=1,$J20=2,$J20=3,$J20=4,$J20=5,$J20=6,$J20=7),-$E20*$I20/12*3,IF($J20=8,-$E20*$I20/12*2,IF($J20=9,-$E20*$I20/12*1,0)))))+IF(CA$5&lt;&gt;$H20,0,IF(CA20&lt;0,IF($J20=7,-$E20*$I20/12*0,IF($J20=8,-$E20*$I20/12*1,IF($J20=9,-$E20*$I20/12*2,IF($J20&gt;=10,-$E20*$I20/12*3,0))))))</f>
        <v>0</v>
      </c>
      <c r="CE20" s="402">
        <f t="shared" ref="CE20:CE26" si="91">IF($H20&lt;&gt;CF$5,0,IF(CF20&lt;0,IF(OR($J20=1,$J20=2,$J20=3,$J20=4,$J20=5,$J20=6,$J20=7,$J20=8,$J20=9,$J20=10),-$E20*$I20/12*3,IF($J20=11,-$E20*$I20/12*2,IF($J20=12,-$E20*$I20/12*1,0)))))+IF(CA$5&lt;&gt;$H20,0,IF(CA20&lt;0,IF($J20=10,-$E20*$I20/12*0,IF($J20=11,-$E20*$I20/12*1,IF($J20=12,-$E20*$I20/12*2,0)))))</f>
        <v>0</v>
      </c>
      <c r="CF20" s="403">
        <f t="shared" ref="CF20:CF26" si="92">IF(AND(CA20&lt;&gt;0,CA$5=$H20),-$I20*$E20-CA20,IF(CF$5=$H20,-$I20*$E20*(12-$J20+1)/12,0))</f>
        <v>0</v>
      </c>
      <c r="CG20" s="400">
        <f t="shared" ref="CG20:CG26" si="93">IF($H20&lt;&gt;CK$5,0,IF(CK20&lt;0,IF($J20=1,-$E20*$I20/12*3,IF($J20=2,-$E20*$I20/12*2,IF($J20=3,-$E20*$I20/12*1,0)))))+IF(CF$5&lt;&gt;$H20,0,IF(CF20&lt;0,IF($J20=1,-$E20*$I20/12*0,IF($J20=2,-$E20*$I20/12*1,IF($J20=3,-$E20*$I20/12*2,IF($J20&gt;=4,-$E20*$I20/12*3,0))))))</f>
        <v>0</v>
      </c>
      <c r="CH20" s="406">
        <f t="shared" ref="CH20:CH26" si="94">IF($H20&lt;&gt;CK$5,0,IF(CK20&lt;0,IF(OR($J20=1,$J20=2,$J20=3,$J20=4),-$E20*$I20/12*3,IF($J20=5,-$E20*$I20/12*2,IF($J20=6,-$E20*$I20/12*1,0)))))+IF(CF$5&lt;&gt;$H20,0,IF(CF20&lt;0,IF($J20=4,-$E20*$I20/12*0,IF($J20=5,-$E20*$I20/12*1,IF($J20=6,-$E20*$I20/12*2,IF($J20&gt;=7,-$E20*$I20/12*3,0))))))</f>
        <v>0</v>
      </c>
      <c r="CI20" s="406">
        <f t="shared" ref="CI20:CI26" si="95">IF($H20&lt;&gt;CK$5,0,IF(CK20&lt;0,IF(OR($J20=1,$J20=2,$J20=3,$J20=4,$J20=5,$J20=6,$J20=7),-$E20*$I20/12*3,IF($J20=8,-$E20*$I20/12*2,IF($J20=9,-$E20*$I20/12*1,0)))))+IF(CF$5&lt;&gt;$H20,0,IF(CF20&lt;0,IF($J20=7,-$E20*$I20/12*0,IF($J20=8,-$E20*$I20/12*1,IF($J20=9,-$E20*$I20/12*2,IF($J20&gt;=10,-$E20*$I20/12*3,0))))))</f>
        <v>0</v>
      </c>
      <c r="CJ20" s="402">
        <f t="shared" ref="CJ20:CJ26" si="96">IF($H20&lt;&gt;CK$5,0,IF(CK20&lt;0,IF(OR($J20=1,$J20=2,$J20=3,$J20=4,$J20=5,$J20=6,$J20=7,$J20=8,$J20=9,$J20=10),-$E20*$I20/12*3,IF($J20=11,-$E20*$I20/12*2,IF($J20=12,-$E20*$I20/12*1,0)))))+IF(CF$5&lt;&gt;$H20,0,IF(CF20&lt;0,IF($J20=10,-$E20*$I20/12*0,IF($J20=11,-$E20*$I20/12*1,IF($J20=12,-$E20*$I20/12*2,0)))))</f>
        <v>0</v>
      </c>
      <c r="CK20" s="403">
        <f t="shared" ref="CK20:CK26" si="97">IF(AND(CF20&lt;&gt;0,CF$5=$H20),-$I20*$E20-CF20,IF(CK$5=$H20,-$I20*$E20*(12-$J20+1)/12,0))</f>
        <v>0</v>
      </c>
      <c r="CL20" s="400">
        <f t="shared" ref="CL20:CL26" si="98">IF($H20&lt;&gt;CP$5,0,IF(CP20&lt;0,IF($J20=1,-$E20*$I20/12*3,IF($J20=2,-$E20*$I20/12*2,IF($J20=3,-$E20*$I20/12*1,0)))))+IF(CK$5&lt;&gt;$H20,0,IF(CK20&lt;0,IF($J20=1,-$E20*$I20/12*0,IF($J20=2,-$E20*$I20/12*1,IF($J20=3,-$E20*$I20/12*2,IF($J20&gt;=4,-$E20*$I20/12*3,0))))))</f>
        <v>0</v>
      </c>
      <c r="CM20" s="406">
        <f t="shared" ref="CM20:CM26" si="99">IF($H20&lt;&gt;CP$5,0,IF(CP20&lt;0,IF(OR($J20=1,$J20=2,$J20=3,$J20=4),-$E20*$I20/12*3,IF($J20=5,-$E20*$I20/12*2,IF($J20=6,-$E20*$I20/12*1,0)))))+IF(CK$5&lt;&gt;$H20,0,IF(CK20&lt;0,IF($J20=4,-$E20*$I20/12*0,IF($J20=5,-$E20*$I20/12*1,IF($J20=6,-$E20*$I20/12*2,IF($J20&gt;=7,-$E20*$I20/12*3,0))))))</f>
        <v>0</v>
      </c>
      <c r="CN20" s="406">
        <f t="shared" ref="CN20:CN26" si="100">IF($H20&lt;&gt;CP$5,0,IF(CP20&lt;0,IF(OR($J20=1,$J20=2,$J20=3,$J20=4,$J20=5,$J20=6,$J20=7),-$E20*$I20/12*3,IF($J20=8,-$E20*$I20/12*2,IF($J20=9,-$E20*$I20/12*1,0)))))+IF(CK$5&lt;&gt;$H20,0,IF(CK20&lt;0,IF($J20=7,-$E20*$I20/12*0,IF($J20=8,-$E20*$I20/12*1,IF($J20=9,-$E20*$I20/12*2,IF($J20&gt;=10,-$E20*$I20/12*3,0))))))</f>
        <v>0</v>
      </c>
      <c r="CO20" s="402">
        <f t="shared" ref="CO20:CO26" si="101">IF($H20&lt;&gt;CP$5,0,IF(CP20&lt;0,IF(OR($J20=1,$J20=2,$J20=3,$J20=4,$J20=5,$J20=6,$J20=7,$J20=8,$J20=9,$J20=10),-$E20*$I20/12*3,IF($J20=11,-$E20*$I20/12*2,IF($J20=12,-$E20*$I20/12*1,0)))))+IF(CK$5&lt;&gt;$H20,0,IF(CK20&lt;0,IF($J20=10,-$E20*$I20/12*0,IF($J20=11,-$E20*$I20/12*1,IF($J20=12,-$E20*$I20/12*2,0)))))</f>
        <v>0</v>
      </c>
      <c r="CP20" s="403">
        <f t="shared" ref="CP20:CP26" si="102">IF(AND(CK20&lt;&gt;0,CK$5=$H20),-$I20*$E20-CK20,IF(CP$5=$H20,-$I20*$E20*(12-$J20+1)/12,0))</f>
        <v>0</v>
      </c>
      <c r="CQ20" s="400">
        <f t="shared" ref="CQ20:CQ26" si="103">IF($H20&lt;&gt;CU$5,0,IF(CU20&lt;0,IF($J20=1,-$E20*$I20/12*3,IF($J20=2,-$E20*$I20/12*2,IF($J20=3,-$E20*$I20/12*1,0)))))+IF(CP$5&lt;&gt;$H20,0,IF(CP20&lt;0,IF($J20=1,-$E20*$I20/12*0,IF($J20=2,-$E20*$I20/12*1,IF($J20=3,-$E20*$I20/12*2,IF($J20&gt;=4,-$E20*$I20/12*3,0))))))</f>
        <v>0</v>
      </c>
      <c r="CR20" s="406">
        <f t="shared" ref="CR20:CR26" si="104">IF($H20&lt;&gt;CU$5,0,IF(CU20&lt;0,IF(OR($J20=1,$J20=2,$J20=3,$J20=4),-$E20*$I20/12*3,IF($J20=5,-$E20*$I20/12*2,IF($J20=6,-$E20*$I20/12*1,0)))))+IF(CP$5&lt;&gt;$H20,0,IF(CP20&lt;0,IF($J20=4,-$E20*$I20/12*0,IF($J20=5,-$E20*$I20/12*1,IF($J20=6,-$E20*$I20/12*2,IF($J20&gt;=7,-$E20*$I20/12*3,0))))))</f>
        <v>0</v>
      </c>
      <c r="CS20" s="406">
        <f t="shared" ref="CS20:CS26" si="105">IF($H20&lt;&gt;CU$5,0,IF(CU20&lt;0,IF(OR($J20=1,$J20=2,$J20=3,$J20=4,$J20=5,$J20=6,$J20=7),-$E20*$I20/12*3,IF($J20=8,-$E20*$I20/12*2,IF($J20=9,-$E20*$I20/12*1,0)))))+IF(CP$5&lt;&gt;$H20,0,IF(CP20&lt;0,IF($J20=7,-$E20*$I20/12*0,IF($J20=8,-$E20*$I20/12*1,IF($J20=9,-$E20*$I20/12*2,IF($J20&gt;=10,-$E20*$I20/12*3,0))))))</f>
        <v>0</v>
      </c>
      <c r="CT20" s="402">
        <f t="shared" ref="CT20:CT26" si="106">IF($H20&lt;&gt;CU$5,0,IF(CU20&lt;0,IF(OR($J20=1,$J20=2,$J20=3,$J20=4,$J20=5,$J20=6,$J20=7,$J20=8,$J20=9,$J20=10),-$E20*$I20/12*3,IF($J20=11,-$E20*$I20/12*2,IF($J20=12,-$E20*$I20/12*1,0)))))+IF(CP$5&lt;&gt;$H20,0,IF(CP20&lt;0,IF($J20=10,-$E20*$I20/12*0,IF($J20=11,-$E20*$I20/12*1,IF($J20=12,-$E20*$I20/12*2,0)))))</f>
        <v>0</v>
      </c>
      <c r="CU20" s="403">
        <f t="shared" ref="CU20:CU26" si="107">IF(AND(CP20&lt;&gt;0,CP$5=$H20),-$I20*$E20-CP20,IF(CU$5=$H20,-$I20*$E20*(12-$J20+1)/12,0))</f>
        <v>0</v>
      </c>
      <c r="CV20" s="400">
        <f t="shared" ref="CV20:CV26" si="108">IF($H20&lt;&gt;CZ$5,0,IF(CZ20&lt;0,IF($J20=1,-$E20*$I20/12*3,IF($J20=2,-$E20*$I20/12*2,IF($J20=3,-$E20*$I20/12*1,0)))))+IF(CU$5&lt;&gt;$H20,0,IF(CU20&lt;0,IF($J20=1,-$E20*$I20/12*0,IF($J20=2,-$E20*$I20/12*1,IF($J20=3,-$E20*$I20/12*2,IF($J20&gt;=4,-$E20*$I20/12*3,0))))))</f>
        <v>0</v>
      </c>
      <c r="CW20" s="406">
        <f t="shared" ref="CW20:CW26" si="109">IF($H20&lt;&gt;CZ$5,0,IF(CZ20&lt;0,IF(OR($J20=1,$J20=2,$J20=3,$J20=4),-$E20*$I20/12*3,IF($J20=5,-$E20*$I20/12*2,IF($J20=6,-$E20*$I20/12*1,0)))))+IF(CU$5&lt;&gt;$H20,0,IF(CU20&lt;0,IF($J20=4,-$E20*$I20/12*0,IF($J20=5,-$E20*$I20/12*1,IF($J20=6,-$E20*$I20/12*2,IF($J20&gt;=7,-$E20*$I20/12*3,0))))))</f>
        <v>0</v>
      </c>
      <c r="CX20" s="406">
        <f t="shared" ref="CX20:CX26" si="110">IF($H20&lt;&gt;CZ$5,0,IF(CZ20&lt;0,IF(OR($J20=1,$J20=2,$J20=3,$J20=4,$J20=5,$J20=6,$J20=7),-$E20*$I20/12*3,IF($J20=8,-$E20*$I20/12*2,IF($J20=9,-$E20*$I20/12*1,0)))))+IF(CU$5&lt;&gt;$H20,0,IF(CU20&lt;0,IF($J20=7,-$E20*$I20/12*0,IF($J20=8,-$E20*$I20/12*1,IF($J20=9,-$E20*$I20/12*2,IF($J20&gt;=10,-$E20*$I20/12*3,0))))))</f>
        <v>0</v>
      </c>
      <c r="CY20" s="402">
        <f t="shared" ref="CY20:CY26" si="111">IF($H20&lt;&gt;CZ$5,0,IF(CZ20&lt;0,IF(OR($J20=1,$J20=2,$J20=3,$J20=4,$J20=5,$J20=6,$J20=7,$J20=8,$J20=9,$J20=10),-$E20*$I20/12*3,IF($J20=11,-$E20*$I20/12*2,IF($J20=12,-$E20*$I20/12*1,0)))))+IF(CU$5&lt;&gt;$H20,0,IF(CU20&lt;0,IF($J20=10,-$E20*$I20/12*0,IF($J20=11,-$E20*$I20/12*1,IF($J20=12,-$E20*$I20/12*2,0)))))</f>
        <v>0</v>
      </c>
      <c r="CZ20" s="403">
        <f t="shared" ref="CZ20:CZ26" si="112">IF(AND(CU20&lt;&gt;0,CU$5=$H20),-$I20*$E20-CU20,IF(CZ$5=$H20,-$I20*$E20*(12-$J20+1)/12,0))</f>
        <v>0</v>
      </c>
      <c r="DA20" s="400">
        <f t="shared" ref="DA20:DA26" si="113">IF($H20&lt;&gt;DE$5,0,IF(DE20&lt;0,IF($J20=1,-$E20*$I20/12*3,IF($J20=2,-$E20*$I20/12*2,IF($J20=3,-$E20*$I20/12*1,0)))))+IF(CZ$5&lt;&gt;$H20,0,IF(CZ20&lt;0,IF($J20=1,-$E20*$I20/12*0,IF($J20=2,-$E20*$I20/12*1,IF($J20=3,-$E20*$I20/12*2,IF($J20&gt;=4,-$E20*$I20/12*3,0))))))</f>
        <v>0</v>
      </c>
      <c r="DB20" s="406">
        <f t="shared" ref="DB20:DB26" si="114">IF($H20&lt;&gt;DE$5,0,IF(DE20&lt;0,IF(OR($J20=1,$J20=2,$J20=3,$J20=4),-$E20*$I20/12*3,IF($J20=5,-$E20*$I20/12*2,IF($J20=6,-$E20*$I20/12*1,0)))))+IF(CZ$5&lt;&gt;$H20,0,IF(CZ20&lt;0,IF($J20=4,-$E20*$I20/12*0,IF($J20=5,-$E20*$I20/12*1,IF($J20=6,-$E20*$I20/12*2,IF($J20&gt;=7,-$E20*$I20/12*3,0))))))</f>
        <v>0</v>
      </c>
      <c r="DC20" s="406">
        <f t="shared" ref="DC20:DC26" si="115">IF($H20&lt;&gt;DE$5,0,IF(DE20&lt;0,IF(OR($J20=1,$J20=2,$J20=3,$J20=4,$J20=5,$J20=6,$J20=7),-$E20*$I20/12*3,IF($J20=8,-$E20*$I20/12*2,IF($J20=9,-$E20*$I20/12*1,0)))))+IF(CZ$5&lt;&gt;$H20,0,IF(CZ20&lt;0,IF($J20=7,-$E20*$I20/12*0,IF($J20=8,-$E20*$I20/12*1,IF($J20=9,-$E20*$I20/12*2,IF($J20&gt;=10,-$E20*$I20/12*3,0))))))</f>
        <v>0</v>
      </c>
      <c r="DD20" s="402">
        <f t="shared" ref="DD20:DD26" si="116">IF($H20&lt;&gt;DE$5,0,IF(DE20&lt;0,IF(OR($J20=1,$J20=2,$J20=3,$J20=4,$J20=5,$J20=6,$J20=7,$J20=8,$J20=9,$J20=10),-$E20*$I20/12*3,IF($J20=11,-$E20*$I20/12*2,IF($J20=12,-$E20*$I20/12*1,0)))))+IF(CZ$5&lt;&gt;$H20,0,IF(CZ20&lt;0,IF($J20=10,-$E20*$I20/12*0,IF($J20=11,-$E20*$I20/12*1,IF($J20=12,-$E20*$I20/12*2,0)))))</f>
        <v>0</v>
      </c>
      <c r="DE20" s="403">
        <f t="shared" ref="DE20:DE26" si="117">IF(AND(CZ20&lt;&gt;0,CZ$5=$H20),-$I20*$E20-CZ20,IF(DE$5=$H20,-$I20*$E20*(12-$J20+1)/12,0))</f>
        <v>0</v>
      </c>
      <c r="DF20" s="400">
        <f t="shared" ref="DF20:DF26" si="118">IF($H20&lt;&gt;DJ$5,0,IF(DJ20&lt;0,IF($J20=1,-$E20*$I20/12*3,IF($J20=2,-$E20*$I20/12*2,IF($J20=3,-$E20*$I20/12*1,0)))))+IF(DE$5&lt;&gt;$H20,0,IF(DE20&lt;0,IF($J20=1,-$E20*$I20/12*0,IF($J20=2,-$E20*$I20/12*1,IF($J20=3,-$E20*$I20/12*2,IF($J20&gt;=4,-$E20*$I20/12*3,0))))))</f>
        <v>0</v>
      </c>
      <c r="DG20" s="406">
        <f t="shared" ref="DG20:DG26" si="119">IF($H20&lt;&gt;DJ$5,0,IF(DJ20&lt;0,IF(OR($J20=1,$J20=2,$J20=3,$J20=4),-$E20*$I20/12*3,IF($J20=5,-$E20*$I20/12*2,IF($J20=6,-$E20*$I20/12*1,0)))))+IF(DE$5&lt;&gt;$H20,0,IF(DE20&lt;0,IF($J20=4,-$E20*$I20/12*0,IF($J20=5,-$E20*$I20/12*1,IF($J20=6,-$E20*$I20/12*2,IF($J20&gt;=7,-$E20*$I20/12*3,0))))))</f>
        <v>0</v>
      </c>
      <c r="DH20" s="406">
        <f t="shared" ref="DH20:DH26" si="120">IF($H20&lt;&gt;DJ$5,0,IF(DJ20&lt;0,IF(OR($J20=1,$J20=2,$J20=3,$J20=4,$J20=5,$J20=6,$J20=7),-$E20*$I20/12*3,IF($J20=8,-$E20*$I20/12*2,IF($J20=9,-$E20*$I20/12*1,0)))))+IF(DE$5&lt;&gt;$H20,0,IF(DE20&lt;0,IF($J20=7,-$E20*$I20/12*0,IF($J20=8,-$E20*$I20/12*1,IF($J20=9,-$E20*$I20/12*2,IF($J20&gt;=10,-$E20*$I20/12*3,0))))))</f>
        <v>0</v>
      </c>
      <c r="DI20" s="402">
        <f t="shared" ref="DI20:DI26" si="121">IF($H20&lt;&gt;DJ$5,0,IF(DJ20&lt;0,IF(OR($J20=1,$J20=2,$J20=3,$J20=4,$J20=5,$J20=6,$J20=7,$J20=8,$J20=9,$J20=10),-$E20*$I20/12*3,IF($J20=11,-$E20*$I20/12*2,IF($J20=12,-$E20*$I20/12*1,0)))))+IF(DE$5&lt;&gt;$H20,0,IF(DE20&lt;0,IF($J20=10,-$E20*$I20/12*0,IF($J20=11,-$E20*$I20/12*1,IF($J20=12,-$E20*$I20/12*2,0)))))</f>
        <v>0</v>
      </c>
      <c r="DJ20" s="403">
        <f t="shared" ref="DJ20:DJ26" si="122">IF(AND(DE20&lt;&gt;0,DE$5=$H20),-$I20*$E20-DE20,IF(DJ$5=$H20,-$I20*$E20*(12-$J20+1)/12,0))</f>
        <v>0</v>
      </c>
      <c r="DK20" s="400">
        <f t="shared" ref="DK20:DK26" si="123">IF($H20&lt;&gt;DO$5,0,IF(DO20&lt;0,IF($J20=1,-$E20*$I20/12*3,IF($J20=2,-$E20*$I20/12*2,IF($J20=3,-$E20*$I20/12*1,0)))))+IF(DJ$5&lt;&gt;$H20,0,IF(DJ20&lt;0,IF($J20=1,-$E20*$I20/12*0,IF($J20=2,-$E20*$I20/12*1,IF($J20=3,-$E20*$I20/12*2,IF($J20&gt;=4,-$E20*$I20/12*3,0))))))</f>
        <v>0</v>
      </c>
      <c r="DL20" s="406">
        <f t="shared" ref="DL20:DL26" si="124">IF($H20&lt;&gt;DO$5,0,IF(DO20&lt;0,IF(OR($J20=1,$J20=2,$J20=3,$J20=4),-$E20*$I20/12*3,IF($J20=5,-$E20*$I20/12*2,IF($J20=6,-$E20*$I20/12*1,0)))))+IF(DJ$5&lt;&gt;$H20,0,IF(DJ20&lt;0,IF($J20=4,-$E20*$I20/12*0,IF($J20=5,-$E20*$I20/12*1,IF($J20=6,-$E20*$I20/12*2,IF($J20&gt;=7,-$E20*$I20/12*3,0))))))</f>
        <v>-4.3083333333333336</v>
      </c>
      <c r="DM20" s="406">
        <f t="shared" ref="DM20:DM26" si="125">IF($H20&lt;&gt;DO$5,0,IF(DO20&lt;0,IF(OR($J20=1,$J20=2,$J20=3,$J20=4,$J20=5,$J20=6,$J20=7),-$E20*$I20/12*3,IF($J20=8,-$E20*$I20/12*2,IF($J20=9,-$E20*$I20/12*1,0)))))+IF(DJ$5&lt;&gt;$H20,0,IF(DJ20&lt;0,IF($J20=7,-$E20*$I20/12*0,IF($J20=8,-$E20*$I20/12*1,IF($J20=9,-$E20*$I20/12*2,IF($J20&gt;=10,-$E20*$I20/12*3,0))))))</f>
        <v>-6.4625000000000004</v>
      </c>
      <c r="DN20" s="402">
        <f t="shared" ref="DN20:DN26" si="126">IF($H20&lt;&gt;DO$5,0,IF(DO20&lt;0,IF(OR($J20=1,$J20=2,$J20=3,$J20=4,$J20=5,$J20=6,$J20=7,$J20=8,$J20=9,$J20=10),-$E20*$I20/12*3,IF($J20=11,-$E20*$I20/12*2,IF($J20=12,-$E20*$I20/12*1,0)))))+IF(DJ$5&lt;&gt;$H20,0,IF(DJ20&lt;0,IF($J20=10,-$E20*$I20/12*0,IF($J20=11,-$E20*$I20/12*1,IF($J20=12,-$E20*$I20/12*2,0)))))</f>
        <v>-6.4625000000000004</v>
      </c>
      <c r="DO20" s="403">
        <f t="shared" ref="DO20:DO26" si="127">IF(AND(DJ20&lt;&gt;0,DJ$5=$H20),-$I20*$E20-DJ20,IF(DO$5=$H20,-$I20*$E20*(12-$J20+1)/12,0))</f>
        <v>-17.233333333333334</v>
      </c>
      <c r="DP20" s="400">
        <f t="shared" ref="DP20" si="128">IF($H20&lt;&gt;DT$5,0,IF(DT20&lt;0,IF($J20=1,-$E20*$I20/12*3,IF($J20=2,-$E20*$I20/12*2,IF($J20=3,-$E20*$I20/12*1,0)))))+IF(DO$5&lt;&gt;$H20,0,IF(DO20&lt;0,IF($J20=1,-$E20*$I20/12*0,IF($J20=2,-$E20*$I20/12*1,IF($J20=3,-$E20*$I20/12*2,IF($J20&gt;=4,-$E20*$I20/12*3,0))))))</f>
        <v>-6.4625000000000004</v>
      </c>
      <c r="DQ20" s="406">
        <f t="shared" ref="DQ20" si="129">IF($H20&lt;&gt;DT$5,0,IF(DT20&lt;0,IF(OR($J20=1,$J20=2,$J20=3,$J20=4),-$E20*$I20/12*3,IF($J20=5,-$E20*$I20/12*2,IF($J20=6,-$E20*$I20/12*1,0)))))+IF(DO$5&lt;&gt;$H20,0,IF(DO20&lt;0,IF($J20=4,-$E20*$I20/12*0,IF($J20=5,-$E20*$I20/12*1,IF($J20=6,-$E20*$I20/12*2,IF($J20&gt;=7,-$E20*$I20/12*3,0))))))</f>
        <v>-2.1541666666666668</v>
      </c>
      <c r="DR20" s="406">
        <f t="shared" ref="DR20" si="130">IF($H20&lt;&gt;DT$5,0,IF(DT20&lt;0,IF(OR($J20=1,$J20=2,$J20=3,$J20=4,$J20=5,$J20=6,$J20=7),-$E20*$I20/12*3,IF($J20=8,-$E20*$I20/12*2,IF($J20=9,-$E20*$I20/12*1,0)))))+IF(DO$5&lt;&gt;$H20,0,IF(DO20&lt;0,IF($J20=7,-$E20*$I20/12*0,IF($J20=8,-$E20*$I20/12*1,IF($J20=9,-$E20*$I20/12*2,IF($J20&gt;=10,-$E20*$I20/12*3,0))))))</f>
        <v>0</v>
      </c>
      <c r="DS20" s="402">
        <f t="shared" ref="DS20" si="131">IF($H20&lt;&gt;DT$5,0,IF(DT20&lt;0,IF(OR($J20=1,$J20=2,$J20=3,$J20=4,$J20=5,$J20=6,$J20=7,$J20=8,$J20=9,$J20=10),-$E20*$I20/12*3,IF($J20=11,-$E20*$I20/12*2,IF($J20=12,-$E20*$I20/12*1,0)))))+IF(DO$5&lt;&gt;$H20,0,IF(DO20&lt;0,IF($J20=10,-$E20*$I20/12*0,IF($J20=11,-$E20*$I20/12*1,IF($J20=12,-$E20*$I20/12*2,0)))))</f>
        <v>0</v>
      </c>
      <c r="DT20" s="403">
        <f t="shared" ref="DT20" si="132">IF(AND(DO20&lt;&gt;0,DO$5=$H20),-$I20*$E20-DO20,IF(DT$5=$H20,-$I20*$E20*(12-$J20+1)/12,0))</f>
        <v>-8.6166666666666671</v>
      </c>
      <c r="EF20" s="35"/>
      <c r="EI20" s="759"/>
    </row>
    <row r="21" spans="1:139" s="804" customFormat="1" ht="12.75" customHeight="1" x14ac:dyDescent="0.2">
      <c r="C21" s="922" t="s">
        <v>610</v>
      </c>
      <c r="D21" s="826"/>
      <c r="E21" s="530">
        <f t="shared" si="20"/>
        <v>400</v>
      </c>
      <c r="F21" s="831">
        <v>400</v>
      </c>
      <c r="G21" s="831">
        <v>400</v>
      </c>
      <c r="H21" s="808">
        <v>2021</v>
      </c>
      <c r="I21" s="809">
        <v>2.4E-2</v>
      </c>
      <c r="J21" s="810">
        <v>3</v>
      </c>
      <c r="K21" s="886"/>
      <c r="L21" s="397">
        <f t="shared" si="21"/>
        <v>0</v>
      </c>
      <c r="M21" s="394">
        <f t="shared" ref="M21" si="133">IF(Q21=0,0,IF(Q21&lt;0,IF($J21=3,Q21,IF($J21=2,Q21,IF($J21=1,Q21,0)))))</f>
        <v>0</v>
      </c>
      <c r="N21" s="404">
        <f t="shared" ref="N21" si="134">IF(Q21=0,0,IF(Q21&lt;0,IF($J21=6,Q21,IF($J21=5,Q21,IF($J21=4,Q21,0)))))</f>
        <v>0</v>
      </c>
      <c r="O21" s="404">
        <f t="shared" ref="O21" si="135">IF(Q21=0,0,IF(Q21&lt;0,IF($J21=9,Q21,IF($J21=8,Q21,IF($J21=7,Q21,0)))))</f>
        <v>0</v>
      </c>
      <c r="P21" s="396">
        <f t="shared" ref="P21" si="136">IF(Q21=0,0,IF(Q21&lt;0,IF($J21=12,Q21,IF($J21=11,Q21,IF($J21=10,Q21,0)))))</f>
        <v>0</v>
      </c>
      <c r="Q21" s="397">
        <f t="shared" si="26"/>
        <v>0</v>
      </c>
      <c r="R21" s="394">
        <f t="shared" ref="R21" si="137">IF(V21=0,0,IF(V21&lt;0,IF($J21=3,V21,IF($J21=2,V21,IF($J21=1,V21,0)))))</f>
        <v>0</v>
      </c>
      <c r="S21" s="404">
        <f t="shared" ref="S21" si="138">IF(V21=0,0,IF(V21&lt;0,IF($J21=6,V21,IF($J21=5,V21,IF($J21=4,V21,0)))))</f>
        <v>0</v>
      </c>
      <c r="T21" s="404">
        <f t="shared" ref="T21" si="139">IF(V21=0,0,IF(V21&lt;0,IF($J21=9,V21,IF($J21=8,V21,IF($J21=7,V21,0)))))</f>
        <v>0</v>
      </c>
      <c r="U21" s="396">
        <f t="shared" ref="U21" si="140">IF(V21=0,0,IF(V21&lt;0,IF($J21=12,V21,IF($J21=11,V21,IF($J21=10,V21,0)))))</f>
        <v>0</v>
      </c>
      <c r="V21" s="397">
        <f t="shared" si="31"/>
        <v>0</v>
      </c>
      <c r="W21" s="394">
        <f t="shared" ref="W21" si="141">IF(AA21=0,0,IF(AA21&lt;0,IF($J21=3,AA21,IF($J21=2,AA21,IF($J21=1,AA21,0)))))</f>
        <v>0</v>
      </c>
      <c r="X21" s="404">
        <f t="shared" ref="X21" si="142">IF(AA21=0,0,IF(AA21&lt;0,IF($J21=6,AA21,IF($J21=5,AA21,IF($J21=4,AA21,0)))))</f>
        <v>0</v>
      </c>
      <c r="Y21" s="404">
        <f t="shared" ref="Y21" si="143">IF(AA21=0,0,IF(AA21&lt;0,IF($J21=9,AA21,IF($J21=8,AA21,IF($J21=7,AA21,0)))))</f>
        <v>0</v>
      </c>
      <c r="Z21" s="396">
        <f t="shared" ref="Z21" si="144">IF(AA21=0,0,IF(AA21&lt;0,IF($J21=12,AA21,IF($J21=11,AA21,IF($J21=10,AA21,0)))))</f>
        <v>0</v>
      </c>
      <c r="AA21" s="397">
        <f t="shared" si="36"/>
        <v>0</v>
      </c>
      <c r="AB21" s="394">
        <f t="shared" ref="AB21" si="145">IF(AF21=0,0,IF(AF21&lt;0,IF($J21=3,AF21,IF($J21=2,AF21,IF($J21=1,AF21,0)))))</f>
        <v>0</v>
      </c>
      <c r="AC21" s="404">
        <f t="shared" ref="AC21" si="146">IF(AF21=0,0,IF(AF21&lt;0,IF($J21=6,AF21,IF($J21=5,AF21,IF($J21=4,AF21,0)))))</f>
        <v>0</v>
      </c>
      <c r="AD21" s="404">
        <f t="shared" ref="AD21" si="147">IF(AF21=0,0,IF(AF21&lt;0,IF($J21=9,AF21,IF($J21=8,AF21,IF($J21=7,AF21,0)))))</f>
        <v>0</v>
      </c>
      <c r="AE21" s="396">
        <f t="shared" ref="AE21" si="148">IF(AF21=0,0,IF(AF21&lt;0,IF($J21=12,AF21,IF($J21=11,AF21,IF($J21=10,AF21,0)))))</f>
        <v>0</v>
      </c>
      <c r="AF21" s="397">
        <f t="shared" si="41"/>
        <v>0</v>
      </c>
      <c r="AG21" s="394">
        <f t="shared" ref="AG21" si="149">IF(AK21=0,0,IF(AK21&lt;0,IF($J21=3,AK21,IF($J21=2,AK21,IF($J21=1,AK21,0)))))</f>
        <v>0</v>
      </c>
      <c r="AH21" s="404">
        <f t="shared" ref="AH21" si="150">IF(AK21=0,0,IF(AK21&lt;0,IF($J21=6,AK21,IF($J21=5,AK21,IF($J21=4,AK21,0)))))</f>
        <v>0</v>
      </c>
      <c r="AI21" s="404">
        <f t="shared" ref="AI21" si="151">IF(AK21=0,0,IF(AK21&lt;0,IF($J21=9,AK21,IF($J21=8,AK21,IF($J21=7,AK21,0)))))</f>
        <v>0</v>
      </c>
      <c r="AJ21" s="396">
        <f t="shared" ref="AJ21" si="152">IF(AK21=0,0,IF(AK21&lt;0,IF($J21=12,AK21,IF($J21=11,AK21,IF($J21=10,AK21,0)))))</f>
        <v>0</v>
      </c>
      <c r="AK21" s="397">
        <f t="shared" si="46"/>
        <v>0</v>
      </c>
      <c r="AL21" s="394">
        <f t="shared" ref="AL21" si="153">IF(AP21=0,0,IF(AP21&lt;0,IF($J21=3,AP21,IF($J21=2,AP21,IF($J21=1,AP21,0)))))</f>
        <v>0</v>
      </c>
      <c r="AM21" s="404">
        <f t="shared" ref="AM21" si="154">IF(AP21=0,0,IF(AP21&lt;0,IF($J21=6,AP21,IF($J21=5,AP21,IF($J21=4,AP21,0)))))</f>
        <v>0</v>
      </c>
      <c r="AN21" s="404">
        <f t="shared" ref="AN21" si="155">IF(AP21=0,0,IF(AP21&lt;0,IF($J21=9,AP21,IF($J21=8,AP21,IF($J21=7,AP21,0)))))</f>
        <v>0</v>
      </c>
      <c r="AO21" s="396">
        <f t="shared" ref="AO21" si="156">IF(AP21=0,0,IF(AP21&lt;0,IF($J21=12,AP21,IF($J21=11,AP21,IF($J21=10,AP21,0)))))</f>
        <v>0</v>
      </c>
      <c r="AP21" s="397">
        <f t="shared" si="51"/>
        <v>0</v>
      </c>
      <c r="AQ21" s="394">
        <f t="shared" ref="AQ21" si="157">IF(AU21=0,0,IF(AU21&lt;0,IF($J21=3,AU21,IF($J21=2,AU21,IF($J21=1,AU21,0)))))</f>
        <v>0</v>
      </c>
      <c r="AR21" s="404">
        <f t="shared" ref="AR21" si="158">IF(AU21=0,0,IF(AU21&lt;0,IF($J21=6,AU21,IF($J21=5,AU21,IF($J21=4,AU21,0)))))</f>
        <v>0</v>
      </c>
      <c r="AS21" s="404">
        <f t="shared" ref="AS21" si="159">IF(AU21=0,0,IF(AU21&lt;0,IF($J21=9,AU21,IF($J21=8,AU21,IF($J21=7,AU21,0)))))</f>
        <v>0</v>
      </c>
      <c r="AT21" s="396">
        <f t="shared" ref="AT21" si="160">IF(AU21=0,0,IF(AU21&lt;0,IF($J21=12,AU21,IF($J21=11,AU21,IF($J21=10,AU21,0)))))</f>
        <v>0</v>
      </c>
      <c r="AU21" s="397">
        <f t="shared" si="56"/>
        <v>0</v>
      </c>
      <c r="AV21" s="394">
        <f t="shared" ref="AV21" si="161">IF(AZ21=0,0,IF(AZ21&lt;0,IF($J21=3,AZ21,IF($J21=2,AZ21,IF($J21=1,AZ21,0)))))</f>
        <v>0</v>
      </c>
      <c r="AW21" s="404">
        <f t="shared" ref="AW21" si="162">IF(AZ21=0,0,IF(AZ21&lt;0,IF($J21=6,AZ21,IF($J21=5,AZ21,IF($J21=4,AZ21,0)))))</f>
        <v>0</v>
      </c>
      <c r="AX21" s="404">
        <f t="shared" ref="AX21" si="163">IF(AZ21=0,0,IF(AZ21&lt;0,IF($J21=9,AZ21,IF($J21=8,AZ21,IF($J21=7,AZ21,0)))))</f>
        <v>0</v>
      </c>
      <c r="AY21" s="396">
        <f t="shared" ref="AY21" si="164">IF(AZ21=0,0,IF(AZ21&lt;0,IF($J21=12,AZ21,IF($J21=11,AZ21,IF($J21=10,AZ21,0)))))</f>
        <v>0</v>
      </c>
      <c r="AZ21" s="397">
        <f t="shared" si="61"/>
        <v>0</v>
      </c>
      <c r="BA21" s="394">
        <f t="shared" ref="BA21" si="165">IF(BE21=0,0,IF(BE21&lt;0,IF($J21=3,BE21,IF($J21=2,BE21,IF($J21=1,BE21,0)))))</f>
        <v>0</v>
      </c>
      <c r="BB21" s="404">
        <f t="shared" ref="BB21" si="166">IF(BE21=0,0,IF(BE21&lt;0,IF($J21=6,BE21,IF($J21=5,BE21,IF($J21=4,BE21,0)))))</f>
        <v>0</v>
      </c>
      <c r="BC21" s="404">
        <f t="shared" ref="BC21" si="167">IF(BE21=0,0,IF(BE21&lt;0,IF($J21=9,BE21,IF($J21=8,BE21,IF($J21=7,BE21,0)))))</f>
        <v>0</v>
      </c>
      <c r="BD21" s="396">
        <f t="shared" ref="BD21" si="168">IF(BE21=0,0,IF(BE21&lt;0,IF($J21=12,BE21,IF($J21=11,BE21,IF($J21=10,BE21,0)))))</f>
        <v>0</v>
      </c>
      <c r="BE21" s="397">
        <f t="shared" si="66"/>
        <v>0</v>
      </c>
      <c r="BF21" s="394">
        <f t="shared" ref="BF21" si="169">IF(BJ21=0,0,IF(BJ21&lt;0,IF($J21=3,BJ21,IF($J21=2,BJ21,IF($J21=1,BJ21,0)))))</f>
        <v>0</v>
      </c>
      <c r="BG21" s="404">
        <f t="shared" ref="BG21" si="170">IF(BJ21=0,0,IF(BJ21&lt;0,IF($J21=6,BJ21,IF($J21=5,BJ21,IF($J21=4,BJ21,0)))))</f>
        <v>0</v>
      </c>
      <c r="BH21" s="404">
        <f t="shared" ref="BH21" si="171">IF(BJ21=0,0,IF(BJ21&lt;0,IF($J21=9,BJ21,IF($J21=8,BJ21,IF($J21=7,BJ21,0)))))</f>
        <v>0</v>
      </c>
      <c r="BI21" s="396">
        <f t="shared" ref="BI21" si="172">IF(BJ21=0,0,IF(BJ21&lt;0,IF($J21=12,BJ21,IF($J21=11,BJ21,IF($J21=10,BJ21,0)))))</f>
        <v>0</v>
      </c>
      <c r="BJ21" s="397">
        <f t="shared" si="71"/>
        <v>0</v>
      </c>
      <c r="BK21" s="394">
        <f t="shared" ref="BK21" si="173">IF(BO21=0,0,IF(BO21&lt;0,IF($J21=3,BO21,IF($J21=2,BO21,IF($J21=1,BO21,0)))))</f>
        <v>-400</v>
      </c>
      <c r="BL21" s="404">
        <f t="shared" ref="BL21" si="174">IF(BO21=0,0,IF(BO21&lt;0,IF($J21=6,BO21,IF($J21=5,BO21,IF($J21=4,BO21,0)))))</f>
        <v>0</v>
      </c>
      <c r="BM21" s="404">
        <f t="shared" ref="BM21" si="175">IF(BO21=0,0,IF(BO21&lt;0,IF($J21=9,BO21,IF($J21=8,BO21,IF($J21=7,BO21,0)))))</f>
        <v>0</v>
      </c>
      <c r="BN21" s="396">
        <f t="shared" ref="BN21" si="176">IF(BO21=0,0,IF(BO21&lt;0,IF($J21=12,BO21,IF($J21=11,BO21,IF($J21=10,BO21,0)))))</f>
        <v>0</v>
      </c>
      <c r="BO21" s="397">
        <f t="shared" si="76"/>
        <v>-400</v>
      </c>
      <c r="BP21" s="888"/>
      <c r="BQ21" s="403">
        <f t="shared" ref="BQ21" si="177">IF(AND(BP21&lt;&gt;0,BP$5=$H21),-$I21*$E21-BP21,IF(BQ$5=$H21,-$I21*$E21*(12-$J21+1)/12,0))</f>
        <v>0</v>
      </c>
      <c r="BR21" s="400">
        <f t="shared" ref="BR21" si="178">IF($H21&lt;&gt;BV$5,0,IF(BV21&lt;0,IF($J21=1,-$E21*$I21/12*3,IF($J21=2,-$E21*$I21/12*2,IF($J21=3,-$E21*$I21/12*1,0)))))+IF(BQ$5&lt;&gt;$H21,0,IF(BQ21&lt;0,IF($J21=1,-$E21*$I21/12*0,IF($J21=2,-$E21*$I21/12*1,IF($J21=3,-$E21*$I21/12*2,IF($J21&gt;=4,-$E21*$I21/12*3,0))))))</f>
        <v>0</v>
      </c>
      <c r="BS21" s="406">
        <f t="shared" ref="BS21" si="179">IF($H21&lt;&gt;BV$5,0,IF(BV21&lt;0,IF(OR($J21=1,$J21=2,$J21=3,$J21=4),-$E21*$I21/12*3,IF($J21=5,-$E21*$I21/12*2,IF($J21=6,-$E21*$I21/12*1,0)))))+IF(BQ$5&lt;&gt;$H21,0,IF(BQ21&lt;0,IF($J21=4,-$E21*$I21/12*0,IF($J21=5,-$E21*$I21/12*1,IF($J21=6,-$E21*$I21/12*2,IF($J21&gt;=7,-$E21*$I21/12*3,0))))))</f>
        <v>0</v>
      </c>
      <c r="BT21" s="406">
        <f t="shared" ref="BT21" si="180">IF($H21&lt;&gt;BV$5,0,IF(BV21&lt;0,IF(OR($J21=1,$J21=2,$J21=3,$J21=4,$J21=5,$J21=6,$J21=7),-$E21*$I21/12*3,IF($J21=8,-$E21*$I21/12*2,IF($J21=9,-$E21*$I21/12*1,0)))))+IF(BQ$5&lt;&gt;$H21,0,IF(BQ21&lt;0,IF($J21=7,-$E21*$I21/12*0,IF($J21=8,-$E21*$I21/12*1,IF($J21=9,-$E21*$I21/12*2,IF($J21&gt;=10,-$E21*$I21/12*3,0))))))</f>
        <v>0</v>
      </c>
      <c r="BU21" s="402">
        <f t="shared" ref="BU21" si="181">IF($H21&lt;&gt;BV$5,0,IF(BV21&lt;0,IF(OR($J21=1,$J21=2,$J21=3,$J21=4,$J21=5,$J21=6,$J21=7,$J21=8,$J21=9,$J21=10),-$E21*$I21/12*3,IF($J21=11,-$E21*$I21/12*2,IF($J21=12,-$E21*$I21/12*1,0)))))+IF(BQ$5&lt;&gt;$H21,0,IF(BQ21&lt;0,IF($J21=10,-$E21*$I21/12*0,IF($J21=11,-$E21*$I21/12*1,IF($J21=12,-$E21*$I21/12*2,0)))))</f>
        <v>0</v>
      </c>
      <c r="BV21" s="403">
        <f t="shared" ref="BV21" si="182">IF(AND(BQ21&lt;&gt;0,BQ$5=$H21),-$I21*$E21-BQ21,IF(BV$5=$H21,-$I21*$E21*(12-$J21+1)/12,0))</f>
        <v>0</v>
      </c>
      <c r="BW21" s="400">
        <f t="shared" ref="BW21" si="183">IF($H21&lt;&gt;CA$5,0,IF(CA21&lt;0,IF($J21=1,-$E21*$I21/12*3,IF($J21=2,-$E21*$I21/12*2,IF($J21=3,-$E21*$I21/12*1,0)))))+IF(BV$5&lt;&gt;$H21,0,IF(BV21&lt;0,IF($J21=1,-$E21*$I21/12*0,IF($J21=2,-$E21*$I21/12*1,IF($J21=3,-$E21*$I21/12*2,IF($J21&gt;=4,-$E21*$I21/12*3,0))))))</f>
        <v>0</v>
      </c>
      <c r="BX21" s="406">
        <f t="shared" ref="BX21" si="184">IF($H21&lt;&gt;CA$5,0,IF(CA21&lt;0,IF(OR($J21=1,$J21=2,$J21=3,$J21=4),-$E21*$I21/12*3,IF($J21=5,-$E21*$I21/12*2,IF($J21=6,-$E21*$I21/12*1,0)))))+IF(BV$5&lt;&gt;$H21,0,IF(BV21&lt;0,IF($J21=4,-$E21*$I21/12*0,IF($J21=5,-$E21*$I21/12*1,IF($J21=6,-$E21*$I21/12*2,IF($J21&gt;=7,-$E21*$I21/12*3,0))))))</f>
        <v>0</v>
      </c>
      <c r="BY21" s="406">
        <f t="shared" ref="BY21" si="185">IF($H21&lt;&gt;CA$5,0,IF(CA21&lt;0,IF(OR($J21=1,$J21=2,$J21=3,$J21=4,$J21=5,$J21=6,$J21=7),-$E21*$I21/12*3,IF($J21=8,-$E21*$I21/12*2,IF($J21=9,-$E21*$I21/12*1,0)))))+IF(BV$5&lt;&gt;$H21,0,IF(BV21&lt;0,IF($J21=7,-$E21*$I21/12*0,IF($J21=8,-$E21*$I21/12*1,IF($J21=9,-$E21*$I21/12*2,IF($J21&gt;=10,-$E21*$I21/12*3,0))))))</f>
        <v>0</v>
      </c>
      <c r="BZ21" s="402">
        <f t="shared" ref="BZ21" si="186">IF($H21&lt;&gt;CA$5,0,IF(CA21&lt;0,IF(OR($J21=1,$J21=2,$J21=3,$J21=4,$J21=5,$J21=6,$J21=7,$J21=8,$J21=9,$J21=10),-$E21*$I21/12*3,IF($J21=11,-$E21*$I21/12*2,IF($J21=12,-$E21*$I21/12*1,0)))))+IF(BV$5&lt;&gt;$H21,0,IF(BV21&lt;0,IF($J21=10,-$E21*$I21/12*0,IF($J21=11,-$E21*$I21/12*1,IF($J21=12,-$E21*$I21/12*2,0)))))</f>
        <v>0</v>
      </c>
      <c r="CA21" s="403">
        <f t="shared" ref="CA21" si="187">IF(AND(BV21&lt;&gt;0,BV$5=$H21),-$I21*$E21-BV21,IF(CA$5=$H21,-$I21*$E21*(12-$J21+1)/12,0))</f>
        <v>0</v>
      </c>
      <c r="CB21" s="400">
        <f t="shared" ref="CB21" si="188">IF($H21&lt;&gt;CF$5,0,IF(CF21&lt;0,IF($J21=1,-$E21*$I21/12*3,IF($J21=2,-$E21*$I21/12*2,IF($J21=3,-$E21*$I21/12*1,0)))))+IF(CA$5&lt;&gt;$H21,0,IF(CA21&lt;0,IF($J21=1,-$E21*$I21/12*0,IF($J21=2,-$E21*$I21/12*1,IF($J21=3,-$E21*$I21/12*2,IF($J21&gt;=4,-$E21*$I21/12*3,0))))))</f>
        <v>0</v>
      </c>
      <c r="CC21" s="406">
        <f t="shared" ref="CC21" si="189">IF($H21&lt;&gt;CF$5,0,IF(CF21&lt;0,IF(OR($J21=1,$J21=2,$J21=3,$J21=4),-$E21*$I21/12*3,IF($J21=5,-$E21*$I21/12*2,IF($J21=6,-$E21*$I21/12*1,0)))))+IF(CA$5&lt;&gt;$H21,0,IF(CA21&lt;0,IF($J21=4,-$E21*$I21/12*0,IF($J21=5,-$E21*$I21/12*1,IF($J21=6,-$E21*$I21/12*2,IF($J21&gt;=7,-$E21*$I21/12*3,0))))))</f>
        <v>0</v>
      </c>
      <c r="CD21" s="406">
        <f t="shared" ref="CD21" si="190">IF($H21&lt;&gt;CF$5,0,IF(CF21&lt;0,IF(OR($J21=1,$J21=2,$J21=3,$J21=4,$J21=5,$J21=6,$J21=7),-$E21*$I21/12*3,IF($J21=8,-$E21*$I21/12*2,IF($J21=9,-$E21*$I21/12*1,0)))))+IF(CA$5&lt;&gt;$H21,0,IF(CA21&lt;0,IF($J21=7,-$E21*$I21/12*0,IF($J21=8,-$E21*$I21/12*1,IF($J21=9,-$E21*$I21/12*2,IF($J21&gt;=10,-$E21*$I21/12*3,0))))))</f>
        <v>0</v>
      </c>
      <c r="CE21" s="402">
        <f t="shared" ref="CE21" si="191">IF($H21&lt;&gt;CF$5,0,IF(CF21&lt;0,IF(OR($J21=1,$J21=2,$J21=3,$J21=4,$J21=5,$J21=6,$J21=7,$J21=8,$J21=9,$J21=10),-$E21*$I21/12*3,IF($J21=11,-$E21*$I21/12*2,IF($J21=12,-$E21*$I21/12*1,0)))))+IF(CA$5&lt;&gt;$H21,0,IF(CA21&lt;0,IF($J21=10,-$E21*$I21/12*0,IF($J21=11,-$E21*$I21/12*1,IF($J21=12,-$E21*$I21/12*2,0)))))</f>
        <v>0</v>
      </c>
      <c r="CF21" s="403">
        <f t="shared" ref="CF21" si="192">IF(AND(CA21&lt;&gt;0,CA$5=$H21),-$I21*$E21-CA21,IF(CF$5=$H21,-$I21*$E21*(12-$J21+1)/12,0))</f>
        <v>0</v>
      </c>
      <c r="CG21" s="400">
        <f t="shared" ref="CG21" si="193">IF($H21&lt;&gt;CK$5,0,IF(CK21&lt;0,IF($J21=1,-$E21*$I21/12*3,IF($J21=2,-$E21*$I21/12*2,IF($J21=3,-$E21*$I21/12*1,0)))))+IF(CF$5&lt;&gt;$H21,0,IF(CF21&lt;0,IF($J21=1,-$E21*$I21/12*0,IF($J21=2,-$E21*$I21/12*1,IF($J21=3,-$E21*$I21/12*2,IF($J21&gt;=4,-$E21*$I21/12*3,0))))))</f>
        <v>0</v>
      </c>
      <c r="CH21" s="406">
        <f t="shared" ref="CH21" si="194">IF($H21&lt;&gt;CK$5,0,IF(CK21&lt;0,IF(OR($J21=1,$J21=2,$J21=3,$J21=4),-$E21*$I21/12*3,IF($J21=5,-$E21*$I21/12*2,IF($J21=6,-$E21*$I21/12*1,0)))))+IF(CF$5&lt;&gt;$H21,0,IF(CF21&lt;0,IF($J21=4,-$E21*$I21/12*0,IF($J21=5,-$E21*$I21/12*1,IF($J21=6,-$E21*$I21/12*2,IF($J21&gt;=7,-$E21*$I21/12*3,0))))))</f>
        <v>0</v>
      </c>
      <c r="CI21" s="406">
        <f t="shared" ref="CI21" si="195">IF($H21&lt;&gt;CK$5,0,IF(CK21&lt;0,IF(OR($J21=1,$J21=2,$J21=3,$J21=4,$J21=5,$J21=6,$J21=7),-$E21*$I21/12*3,IF($J21=8,-$E21*$I21/12*2,IF($J21=9,-$E21*$I21/12*1,0)))))+IF(CF$5&lt;&gt;$H21,0,IF(CF21&lt;0,IF($J21=7,-$E21*$I21/12*0,IF($J21=8,-$E21*$I21/12*1,IF($J21=9,-$E21*$I21/12*2,IF($J21&gt;=10,-$E21*$I21/12*3,0))))))</f>
        <v>0</v>
      </c>
      <c r="CJ21" s="402">
        <f t="shared" ref="CJ21" si="196">IF($H21&lt;&gt;CK$5,0,IF(CK21&lt;0,IF(OR($J21=1,$J21=2,$J21=3,$J21=4,$J21=5,$J21=6,$J21=7,$J21=8,$J21=9,$J21=10),-$E21*$I21/12*3,IF($J21=11,-$E21*$I21/12*2,IF($J21=12,-$E21*$I21/12*1,0)))))+IF(CF$5&lt;&gt;$H21,0,IF(CF21&lt;0,IF($J21=10,-$E21*$I21/12*0,IF($J21=11,-$E21*$I21/12*1,IF($J21=12,-$E21*$I21/12*2,0)))))</f>
        <v>0</v>
      </c>
      <c r="CK21" s="403">
        <f t="shared" ref="CK21" si="197">IF(AND(CF21&lt;&gt;0,CF$5=$H21),-$I21*$E21-CF21,IF(CK$5=$H21,-$I21*$E21*(12-$J21+1)/12,0))</f>
        <v>0</v>
      </c>
      <c r="CL21" s="400">
        <f t="shared" ref="CL21" si="198">IF($H21&lt;&gt;CP$5,0,IF(CP21&lt;0,IF($J21=1,-$E21*$I21/12*3,IF($J21=2,-$E21*$I21/12*2,IF($J21=3,-$E21*$I21/12*1,0)))))+IF(CK$5&lt;&gt;$H21,0,IF(CK21&lt;0,IF($J21=1,-$E21*$I21/12*0,IF($J21=2,-$E21*$I21/12*1,IF($J21=3,-$E21*$I21/12*2,IF($J21&gt;=4,-$E21*$I21/12*3,0))))))</f>
        <v>0</v>
      </c>
      <c r="CM21" s="406">
        <f t="shared" ref="CM21" si="199">IF($H21&lt;&gt;CP$5,0,IF(CP21&lt;0,IF(OR($J21=1,$J21=2,$J21=3,$J21=4),-$E21*$I21/12*3,IF($J21=5,-$E21*$I21/12*2,IF($J21=6,-$E21*$I21/12*1,0)))))+IF(CK$5&lt;&gt;$H21,0,IF(CK21&lt;0,IF($J21=4,-$E21*$I21/12*0,IF($J21=5,-$E21*$I21/12*1,IF($J21=6,-$E21*$I21/12*2,IF($J21&gt;=7,-$E21*$I21/12*3,0))))))</f>
        <v>0</v>
      </c>
      <c r="CN21" s="406">
        <f t="shared" ref="CN21" si="200">IF($H21&lt;&gt;CP$5,0,IF(CP21&lt;0,IF(OR($J21=1,$J21=2,$J21=3,$J21=4,$J21=5,$J21=6,$J21=7),-$E21*$I21/12*3,IF($J21=8,-$E21*$I21/12*2,IF($J21=9,-$E21*$I21/12*1,0)))))+IF(CK$5&lt;&gt;$H21,0,IF(CK21&lt;0,IF($J21=7,-$E21*$I21/12*0,IF($J21=8,-$E21*$I21/12*1,IF($J21=9,-$E21*$I21/12*2,IF($J21&gt;=10,-$E21*$I21/12*3,0))))))</f>
        <v>0</v>
      </c>
      <c r="CO21" s="402">
        <f t="shared" ref="CO21" si="201">IF($H21&lt;&gt;CP$5,0,IF(CP21&lt;0,IF(OR($J21=1,$J21=2,$J21=3,$J21=4,$J21=5,$J21=6,$J21=7,$J21=8,$J21=9,$J21=10),-$E21*$I21/12*3,IF($J21=11,-$E21*$I21/12*2,IF($J21=12,-$E21*$I21/12*1,0)))))+IF(CK$5&lt;&gt;$H21,0,IF(CK21&lt;0,IF($J21=10,-$E21*$I21/12*0,IF($J21=11,-$E21*$I21/12*1,IF($J21=12,-$E21*$I21/12*2,0)))))</f>
        <v>0</v>
      </c>
      <c r="CP21" s="403">
        <f t="shared" ref="CP21" si="202">IF(AND(CK21&lt;&gt;0,CK$5=$H21),-$I21*$E21-CK21,IF(CP$5=$H21,-$I21*$E21*(12-$J21+1)/12,0))</f>
        <v>0</v>
      </c>
      <c r="CQ21" s="400">
        <f t="shared" ref="CQ21" si="203">IF($H21&lt;&gt;CU$5,0,IF(CU21&lt;0,IF($J21=1,-$E21*$I21/12*3,IF($J21=2,-$E21*$I21/12*2,IF($J21=3,-$E21*$I21/12*1,0)))))+IF(CP$5&lt;&gt;$H21,0,IF(CP21&lt;0,IF($J21=1,-$E21*$I21/12*0,IF($J21=2,-$E21*$I21/12*1,IF($J21=3,-$E21*$I21/12*2,IF($J21&gt;=4,-$E21*$I21/12*3,0))))))</f>
        <v>0</v>
      </c>
      <c r="CR21" s="406">
        <f t="shared" ref="CR21" si="204">IF($H21&lt;&gt;CU$5,0,IF(CU21&lt;0,IF(OR($J21=1,$J21=2,$J21=3,$J21=4),-$E21*$I21/12*3,IF($J21=5,-$E21*$I21/12*2,IF($J21=6,-$E21*$I21/12*1,0)))))+IF(CP$5&lt;&gt;$H21,0,IF(CP21&lt;0,IF($J21=4,-$E21*$I21/12*0,IF($J21=5,-$E21*$I21/12*1,IF($J21=6,-$E21*$I21/12*2,IF($J21&gt;=7,-$E21*$I21/12*3,0))))))</f>
        <v>0</v>
      </c>
      <c r="CS21" s="406">
        <f t="shared" ref="CS21" si="205">IF($H21&lt;&gt;CU$5,0,IF(CU21&lt;0,IF(OR($J21=1,$J21=2,$J21=3,$J21=4,$J21=5,$J21=6,$J21=7),-$E21*$I21/12*3,IF($J21=8,-$E21*$I21/12*2,IF($J21=9,-$E21*$I21/12*1,0)))))+IF(CP$5&lt;&gt;$H21,0,IF(CP21&lt;0,IF($J21=7,-$E21*$I21/12*0,IF($J21=8,-$E21*$I21/12*1,IF($J21=9,-$E21*$I21/12*2,IF($J21&gt;=10,-$E21*$I21/12*3,0))))))</f>
        <v>0</v>
      </c>
      <c r="CT21" s="402">
        <f t="shared" ref="CT21" si="206">IF($H21&lt;&gt;CU$5,0,IF(CU21&lt;0,IF(OR($J21=1,$J21=2,$J21=3,$J21=4,$J21=5,$J21=6,$J21=7,$J21=8,$J21=9,$J21=10),-$E21*$I21/12*3,IF($J21=11,-$E21*$I21/12*2,IF($J21=12,-$E21*$I21/12*1,0)))))+IF(CP$5&lt;&gt;$H21,0,IF(CP21&lt;0,IF($J21=10,-$E21*$I21/12*0,IF($J21=11,-$E21*$I21/12*1,IF($J21=12,-$E21*$I21/12*2,0)))))</f>
        <v>0</v>
      </c>
      <c r="CU21" s="403">
        <f t="shared" ref="CU21" si="207">IF(AND(CP21&lt;&gt;0,CP$5=$H21),-$I21*$E21-CP21,IF(CU$5=$H21,-$I21*$E21*(12-$J21+1)/12,0))</f>
        <v>0</v>
      </c>
      <c r="CV21" s="400">
        <f t="shared" ref="CV21" si="208">IF($H21&lt;&gt;CZ$5,0,IF(CZ21&lt;0,IF($J21=1,-$E21*$I21/12*3,IF($J21=2,-$E21*$I21/12*2,IF($J21=3,-$E21*$I21/12*1,0)))))+IF(CU$5&lt;&gt;$H21,0,IF(CU21&lt;0,IF($J21=1,-$E21*$I21/12*0,IF($J21=2,-$E21*$I21/12*1,IF($J21=3,-$E21*$I21/12*2,IF($J21&gt;=4,-$E21*$I21/12*3,0))))))</f>
        <v>0</v>
      </c>
      <c r="CW21" s="406">
        <f t="shared" ref="CW21" si="209">IF($H21&lt;&gt;CZ$5,0,IF(CZ21&lt;0,IF(OR($J21=1,$J21=2,$J21=3,$J21=4),-$E21*$I21/12*3,IF($J21=5,-$E21*$I21/12*2,IF($J21=6,-$E21*$I21/12*1,0)))))+IF(CU$5&lt;&gt;$H21,0,IF(CU21&lt;0,IF($J21=4,-$E21*$I21/12*0,IF($J21=5,-$E21*$I21/12*1,IF($J21=6,-$E21*$I21/12*2,IF($J21&gt;=7,-$E21*$I21/12*3,0))))))</f>
        <v>0</v>
      </c>
      <c r="CX21" s="406">
        <f t="shared" ref="CX21" si="210">IF($H21&lt;&gt;CZ$5,0,IF(CZ21&lt;0,IF(OR($J21=1,$J21=2,$J21=3,$J21=4,$J21=5,$J21=6,$J21=7),-$E21*$I21/12*3,IF($J21=8,-$E21*$I21/12*2,IF($J21=9,-$E21*$I21/12*1,0)))))+IF(CU$5&lt;&gt;$H21,0,IF(CU21&lt;0,IF($J21=7,-$E21*$I21/12*0,IF($J21=8,-$E21*$I21/12*1,IF($J21=9,-$E21*$I21/12*2,IF($J21&gt;=10,-$E21*$I21/12*3,0))))))</f>
        <v>0</v>
      </c>
      <c r="CY21" s="402">
        <f t="shared" ref="CY21" si="211">IF($H21&lt;&gt;CZ$5,0,IF(CZ21&lt;0,IF(OR($J21=1,$J21=2,$J21=3,$J21=4,$J21=5,$J21=6,$J21=7,$J21=8,$J21=9,$J21=10),-$E21*$I21/12*3,IF($J21=11,-$E21*$I21/12*2,IF($J21=12,-$E21*$I21/12*1,0)))))+IF(CU$5&lt;&gt;$H21,0,IF(CU21&lt;0,IF($J21=10,-$E21*$I21/12*0,IF($J21=11,-$E21*$I21/12*1,IF($J21=12,-$E21*$I21/12*2,0)))))</f>
        <v>0</v>
      </c>
      <c r="CZ21" s="403">
        <f t="shared" ref="CZ21" si="212">IF(AND(CU21&lt;&gt;0,CU$5=$H21),-$I21*$E21-CU21,IF(CZ$5=$H21,-$I21*$E21*(12-$J21+1)/12,0))</f>
        <v>0</v>
      </c>
      <c r="DA21" s="400">
        <f t="shared" ref="DA21" si="213">IF($H21&lt;&gt;DE$5,0,IF(DE21&lt;0,IF($J21=1,-$E21*$I21/12*3,IF($J21=2,-$E21*$I21/12*2,IF($J21=3,-$E21*$I21/12*1,0)))))+IF(CZ$5&lt;&gt;$H21,0,IF(CZ21&lt;0,IF($J21=1,-$E21*$I21/12*0,IF($J21=2,-$E21*$I21/12*1,IF($J21=3,-$E21*$I21/12*2,IF($J21&gt;=4,-$E21*$I21/12*3,0))))))</f>
        <v>0</v>
      </c>
      <c r="DB21" s="406">
        <f t="shared" ref="DB21" si="214">IF($H21&lt;&gt;DE$5,0,IF(DE21&lt;0,IF(OR($J21=1,$J21=2,$J21=3,$J21=4),-$E21*$I21/12*3,IF($J21=5,-$E21*$I21/12*2,IF($J21=6,-$E21*$I21/12*1,0)))))+IF(CZ$5&lt;&gt;$H21,0,IF(CZ21&lt;0,IF($J21=4,-$E21*$I21/12*0,IF($J21=5,-$E21*$I21/12*1,IF($J21=6,-$E21*$I21/12*2,IF($J21&gt;=7,-$E21*$I21/12*3,0))))))</f>
        <v>0</v>
      </c>
      <c r="DC21" s="406">
        <f t="shared" ref="DC21" si="215">IF($H21&lt;&gt;DE$5,0,IF(DE21&lt;0,IF(OR($J21=1,$J21=2,$J21=3,$J21=4,$J21=5,$J21=6,$J21=7),-$E21*$I21/12*3,IF($J21=8,-$E21*$I21/12*2,IF($J21=9,-$E21*$I21/12*1,0)))))+IF(CZ$5&lt;&gt;$H21,0,IF(CZ21&lt;0,IF($J21=7,-$E21*$I21/12*0,IF($J21=8,-$E21*$I21/12*1,IF($J21=9,-$E21*$I21/12*2,IF($J21&gt;=10,-$E21*$I21/12*3,0))))))</f>
        <v>0</v>
      </c>
      <c r="DD21" s="402">
        <f t="shared" ref="DD21" si="216">IF($H21&lt;&gt;DE$5,0,IF(DE21&lt;0,IF(OR($J21=1,$J21=2,$J21=3,$J21=4,$J21=5,$J21=6,$J21=7,$J21=8,$J21=9,$J21=10),-$E21*$I21/12*3,IF($J21=11,-$E21*$I21/12*2,IF($J21=12,-$E21*$I21/12*1,0)))))+IF(CZ$5&lt;&gt;$H21,0,IF(CZ21&lt;0,IF($J21=10,-$E21*$I21/12*0,IF($J21=11,-$E21*$I21/12*1,IF($J21=12,-$E21*$I21/12*2,0)))))</f>
        <v>0</v>
      </c>
      <c r="DE21" s="403">
        <f t="shared" ref="DE21" si="217">IF(AND(CZ21&lt;&gt;0,CZ$5=$H21),-$I21*$E21-CZ21,IF(DE$5=$H21,-$I21*$E21*(12-$J21+1)/12,0))</f>
        <v>0</v>
      </c>
      <c r="DF21" s="400">
        <f t="shared" ref="DF21" si="218">IF($H21&lt;&gt;DJ$5,0,IF(DJ21&lt;0,IF($J21=1,-$E21*$I21/12*3,IF($J21=2,-$E21*$I21/12*2,IF($J21=3,-$E21*$I21/12*1,0)))))+IF(DE$5&lt;&gt;$H21,0,IF(DE21&lt;0,IF($J21=1,-$E21*$I21/12*0,IF($J21=2,-$E21*$I21/12*1,IF($J21=3,-$E21*$I21/12*2,IF($J21&gt;=4,-$E21*$I21/12*3,0))))))</f>
        <v>0</v>
      </c>
      <c r="DG21" s="406">
        <f t="shared" ref="DG21" si="219">IF($H21&lt;&gt;DJ$5,0,IF(DJ21&lt;0,IF(OR($J21=1,$J21=2,$J21=3,$J21=4),-$E21*$I21/12*3,IF($J21=5,-$E21*$I21/12*2,IF($J21=6,-$E21*$I21/12*1,0)))))+IF(DE$5&lt;&gt;$H21,0,IF(DE21&lt;0,IF($J21=4,-$E21*$I21/12*0,IF($J21=5,-$E21*$I21/12*1,IF($J21=6,-$E21*$I21/12*2,IF($J21&gt;=7,-$E21*$I21/12*3,0))))))</f>
        <v>0</v>
      </c>
      <c r="DH21" s="406">
        <f t="shared" ref="DH21" si="220">IF($H21&lt;&gt;DJ$5,0,IF(DJ21&lt;0,IF(OR($J21=1,$J21=2,$J21=3,$J21=4,$J21=5,$J21=6,$J21=7),-$E21*$I21/12*3,IF($J21=8,-$E21*$I21/12*2,IF($J21=9,-$E21*$I21/12*1,0)))))+IF(DE$5&lt;&gt;$H21,0,IF(DE21&lt;0,IF($J21=7,-$E21*$I21/12*0,IF($J21=8,-$E21*$I21/12*1,IF($J21=9,-$E21*$I21/12*2,IF($J21&gt;=10,-$E21*$I21/12*3,0))))))</f>
        <v>0</v>
      </c>
      <c r="DI21" s="402">
        <f t="shared" ref="DI21" si="221">IF($H21&lt;&gt;DJ$5,0,IF(DJ21&lt;0,IF(OR($J21=1,$J21=2,$J21=3,$J21=4,$J21=5,$J21=6,$J21=7,$J21=8,$J21=9,$J21=10),-$E21*$I21/12*3,IF($J21=11,-$E21*$I21/12*2,IF($J21=12,-$E21*$I21/12*1,0)))))+IF(DE$5&lt;&gt;$H21,0,IF(DE21&lt;0,IF($J21=10,-$E21*$I21/12*0,IF($J21=11,-$E21*$I21/12*1,IF($J21=12,-$E21*$I21/12*2,0)))))</f>
        <v>0</v>
      </c>
      <c r="DJ21" s="403">
        <f t="shared" ref="DJ21" si="222">IF(AND(DE21&lt;&gt;0,DE$5=$H21),-$I21*$E21-DE21,IF(DJ$5=$H21,-$I21*$E21*(12-$J21+1)/12,0))</f>
        <v>0</v>
      </c>
      <c r="DK21" s="400">
        <f t="shared" ref="DK21" si="223">IF($H21&lt;&gt;DO$5,0,IF(DO21&lt;0,IF($J21=1,-$E21*$I21/12*3,IF($J21=2,-$E21*$I21/12*2,IF($J21=3,-$E21*$I21/12*1,0)))))+IF(DJ$5&lt;&gt;$H21,0,IF(DJ21&lt;0,IF($J21=1,-$E21*$I21/12*0,IF($J21=2,-$E21*$I21/12*1,IF($J21=3,-$E21*$I21/12*2,IF($J21&gt;=4,-$E21*$I21/12*3,0))))))</f>
        <v>0</v>
      </c>
      <c r="DL21" s="406">
        <f t="shared" ref="DL21" si="224">IF($H21&lt;&gt;DO$5,0,IF(DO21&lt;0,IF(OR($J21=1,$J21=2,$J21=3,$J21=4),-$E21*$I21/12*3,IF($J21=5,-$E21*$I21/12*2,IF($J21=6,-$E21*$I21/12*1,0)))))+IF(DJ$5&lt;&gt;$H21,0,IF(DJ21&lt;0,IF($J21=4,-$E21*$I21/12*0,IF($J21=5,-$E21*$I21/12*1,IF($J21=6,-$E21*$I21/12*2,IF($J21&gt;=7,-$E21*$I21/12*3,0))))))</f>
        <v>0</v>
      </c>
      <c r="DM21" s="406">
        <f t="shared" ref="DM21" si="225">IF($H21&lt;&gt;DO$5,0,IF(DO21&lt;0,IF(OR($J21=1,$J21=2,$J21=3,$J21=4,$J21=5,$J21=6,$J21=7),-$E21*$I21/12*3,IF($J21=8,-$E21*$I21/12*2,IF($J21=9,-$E21*$I21/12*1,0)))))+IF(DJ$5&lt;&gt;$H21,0,IF(DJ21&lt;0,IF($J21=7,-$E21*$I21/12*0,IF($J21=8,-$E21*$I21/12*1,IF($J21=9,-$E21*$I21/12*2,IF($J21&gt;=10,-$E21*$I21/12*3,0))))))</f>
        <v>0</v>
      </c>
      <c r="DN21" s="402">
        <f t="shared" ref="DN21" si="226">IF($H21&lt;&gt;DO$5,0,IF(DO21&lt;0,IF(OR($J21=1,$J21=2,$J21=3,$J21=4,$J21=5,$J21=6,$J21=7,$J21=8,$J21=9,$J21=10),-$E21*$I21/12*3,IF($J21=11,-$E21*$I21/12*2,IF($J21=12,-$E21*$I21/12*1,0)))))+IF(DJ$5&lt;&gt;$H21,0,IF(DJ21&lt;0,IF($J21=10,-$E21*$I21/12*0,IF($J21=11,-$E21*$I21/12*1,IF($J21=12,-$E21*$I21/12*2,0)))))</f>
        <v>0</v>
      </c>
      <c r="DO21" s="403">
        <f t="shared" ref="DO21" si="227">IF(AND(DJ21&lt;&gt;0,DJ$5=$H21),-$I21*$E21-DJ21,IF(DO$5=$H21,-$I21*$E21*(12-$J21+1)/12,0))</f>
        <v>0</v>
      </c>
      <c r="DP21" s="400">
        <f t="shared" ref="DP21" si="228">IF($H21&lt;&gt;DT$5,0,IF(DT21&lt;0,IF($J21=1,-$E21*$I21/12*3,IF($J21=2,-$E21*$I21/12*2,IF($J21=3,-$E21*$I21/12*1,0)))))+IF(DO$5&lt;&gt;$H21,0,IF(DO21&lt;0,IF($J21=1,-$E21*$I21/12*0,IF($J21=2,-$E21*$I21/12*1,IF($J21=3,-$E21*$I21/12*2,IF($J21&gt;=4,-$E21*$I21/12*3,0))))))</f>
        <v>-0.79999999999999993</v>
      </c>
      <c r="DQ21" s="406">
        <f t="shared" ref="DQ21" si="229">IF($H21&lt;&gt;DT$5,0,IF(DT21&lt;0,IF(OR($J21=1,$J21=2,$J21=3,$J21=4),-$E21*$I21/12*3,IF($J21=5,-$E21*$I21/12*2,IF($J21=6,-$E21*$I21/12*1,0)))))+IF(DO$5&lt;&gt;$H21,0,IF(DO21&lt;0,IF($J21=4,-$E21*$I21/12*0,IF($J21=5,-$E21*$I21/12*1,IF($J21=6,-$E21*$I21/12*2,IF($J21&gt;=7,-$E21*$I21/12*3,0))))))</f>
        <v>-2.4</v>
      </c>
      <c r="DR21" s="406">
        <f t="shared" ref="DR21" si="230">IF($H21&lt;&gt;DT$5,0,IF(DT21&lt;0,IF(OR($J21=1,$J21=2,$J21=3,$J21=4,$J21=5,$J21=6,$J21=7),-$E21*$I21/12*3,IF($J21=8,-$E21*$I21/12*2,IF($J21=9,-$E21*$I21/12*1,0)))))+IF(DO$5&lt;&gt;$H21,0,IF(DO21&lt;0,IF($J21=7,-$E21*$I21/12*0,IF($J21=8,-$E21*$I21/12*1,IF($J21=9,-$E21*$I21/12*2,IF($J21&gt;=10,-$E21*$I21/12*3,0))))))</f>
        <v>-2.4</v>
      </c>
      <c r="DS21" s="402">
        <f t="shared" ref="DS21" si="231">IF($H21&lt;&gt;DT$5,0,IF(DT21&lt;0,IF(OR($J21=1,$J21=2,$J21=3,$J21=4,$J21=5,$J21=6,$J21=7,$J21=8,$J21=9,$J21=10),-$E21*$I21/12*3,IF($J21=11,-$E21*$I21/12*2,IF($J21=12,-$E21*$I21/12*1,0)))))+IF(DO$5&lt;&gt;$H21,0,IF(DO21&lt;0,IF($J21=10,-$E21*$I21/12*0,IF($J21=11,-$E21*$I21/12*1,IF($J21=12,-$E21*$I21/12*2,0)))))</f>
        <v>-2.4</v>
      </c>
      <c r="DT21" s="403">
        <f t="shared" ref="DT21" si="232">IF(AND(DO21&lt;&gt;0,DO$5=$H21),-$I21*$E21-DO21,IF(DT$5=$H21,-$I21*$E21*(12-$J21+1)/12,0))</f>
        <v>-8</v>
      </c>
    </row>
    <row r="22" spans="1:139" s="804" customFormat="1" ht="12.75" customHeight="1" x14ac:dyDescent="0.2">
      <c r="C22" s="922" t="s">
        <v>607</v>
      </c>
      <c r="D22" s="826"/>
      <c r="E22" s="530">
        <f>IF(F22=0,G22,F22)</f>
        <v>300</v>
      </c>
      <c r="F22" s="831">
        <v>300</v>
      </c>
      <c r="G22" s="831">
        <v>300</v>
      </c>
      <c r="H22" s="808">
        <v>2022</v>
      </c>
      <c r="I22" s="809">
        <v>2.5999999999999999E-2</v>
      </c>
      <c r="J22" s="810">
        <v>3</v>
      </c>
      <c r="K22" s="886"/>
      <c r="L22" s="887">
        <f>IF(L$5=$H22,$E22,0)</f>
        <v>0</v>
      </c>
      <c r="M22" s="394">
        <f>IF(Q22=0,0,IF(Q22&gt;0,IF($J22=3,Q22,IF($J22=2,Q22,IF($J22=1,Q22,0)))))</f>
        <v>0</v>
      </c>
      <c r="N22" s="404">
        <f>IF(Q22=0,0,IF(Q22&gt;0,IF($J22=6,Q22,IF($J22=5,Q22,IF($J22=4,Q22,0)))))</f>
        <v>0</v>
      </c>
      <c r="O22" s="404">
        <f>IF(Q22=0,0,IF(Q22&gt;0,IF($J22=9,Q22,IF($J22=8,Q22,IF($J22=7,Q22,0)))))</f>
        <v>0</v>
      </c>
      <c r="P22" s="396">
        <f>IF(Q22=0,0,IF(Q22&gt;0,IF($J22=12,Q22,IF($J22=11,Q22,IF($J22=10,Q22,0)))))</f>
        <v>0</v>
      </c>
      <c r="Q22" s="887">
        <f>IF(Q$5=$H22,$E22,0)</f>
        <v>0</v>
      </c>
      <c r="R22" s="394">
        <f>IF(V22=0,0,IF(V22&gt;0,IF($J22=3,V22,IF($J22=2,V22,IF($J22=1,V22,0)))))</f>
        <v>0</v>
      </c>
      <c r="S22" s="404">
        <f>IF(V22=0,0,IF(V22&gt;0,IF($J22=6,V22,IF($J22=5,V22,IF($J22=4,V22,0)))))</f>
        <v>0</v>
      </c>
      <c r="T22" s="404">
        <f>IF(V22=0,0,IF(V22&gt;0,IF($J22=9,V22,IF($J22=8,V22,IF($J22=7,V22,0)))))</f>
        <v>0</v>
      </c>
      <c r="U22" s="396">
        <f>IF(V22=0,0,IF(V22&gt;0,IF($J22=12,V22,IF($J22=11,V22,IF($J22=10,V22,0)))))</f>
        <v>0</v>
      </c>
      <c r="V22" s="887">
        <f>IF(V$5=$H22,$E22,0)</f>
        <v>0</v>
      </c>
      <c r="W22" s="394">
        <f>IF(AA22=0,0,IF(AA22&gt;0,IF($J22=3,AA22,IF($J22=2,AA22,IF($J22=1,AA22,0)))))</f>
        <v>0</v>
      </c>
      <c r="X22" s="404">
        <f>IF(AA22=0,0,IF(AA22&gt;0,IF($J22=6,AA22,IF($J22=5,AA22,IF($J22=4,AA22,0)))))</f>
        <v>0</v>
      </c>
      <c r="Y22" s="404">
        <f>IF(AA22=0,0,IF(AA22&gt;0,IF($J22=9,AA22,IF($J22=8,AA22,IF($J22=7,AA22,0)))))</f>
        <v>0</v>
      </c>
      <c r="Z22" s="396">
        <f>IF(AA22=0,0,IF(AA22&gt;0,IF($J22=12,AA22,IF($J22=11,AA22,IF($J22=10,AA22,0)))))</f>
        <v>0</v>
      </c>
      <c r="AA22" s="887">
        <f>IF(AA$5=$H22,$E22,0)</f>
        <v>0</v>
      </c>
      <c r="AB22" s="394">
        <f>IF(AF22=0,0,IF(AF22&gt;0,IF($J22=3,AF22,IF($J22=2,AF22,IF($J22=1,AF22,0)))))</f>
        <v>0</v>
      </c>
      <c r="AC22" s="404">
        <f>IF(AF22=0,0,IF(AF22&gt;0,IF($J22=6,AF22,IF($J22=5,AF22,IF($J22=4,AF22,0)))))</f>
        <v>0</v>
      </c>
      <c r="AD22" s="404">
        <f>IF(AF22=0,0,IF(AF22&gt;0,IF($J22=9,AF22,IF($J22=8,AF22,IF($J22=7,AF22,0)))))</f>
        <v>0</v>
      </c>
      <c r="AE22" s="396">
        <f>IF(AF22=0,0,IF(AF22&gt;0,IF($J22=12,AF22,IF($J22=11,AF22,IF($J22=10,AF22,0)))))</f>
        <v>0</v>
      </c>
      <c r="AF22" s="887">
        <f>IF(AF$5=$H22,$E22,0)</f>
        <v>0</v>
      </c>
      <c r="AG22" s="394">
        <f>IF(AK22=0,0,IF(AK22&gt;0,IF($J22=3,AK22,IF($J22=2,AK22,IF($J22=1,AK22,0)))))</f>
        <v>0</v>
      </c>
      <c r="AH22" s="404">
        <f>IF(AK22=0,0,IF(AK22&gt;0,IF($J22=6,AK22,IF($J22=5,AK22,IF($J22=4,AK22,0)))))</f>
        <v>0</v>
      </c>
      <c r="AI22" s="404">
        <f>IF(AK22=0,0,IF(AK22&gt;0,IF($J22=9,AK22,IF($J22=8,AK22,IF($J22=7,AK22,0)))))</f>
        <v>0</v>
      </c>
      <c r="AJ22" s="396">
        <f>IF(AK22=0,0,IF(AK22&gt;0,IF($J22=12,AK22,IF($J22=11,AK22,IF($J22=10,AK22,0)))))</f>
        <v>0</v>
      </c>
      <c r="AK22" s="887">
        <f>IF(AK$5=$H22,$E22,0)</f>
        <v>0</v>
      </c>
      <c r="AL22" s="394">
        <f>IF(AP22=0,0,IF(AP22&gt;0,IF($J22=3,AP22,IF($J22=2,AP22,IF($J22=1,AP22,0)))))</f>
        <v>0</v>
      </c>
      <c r="AM22" s="404">
        <f>IF(AP22=0,0,IF(AP22&gt;0,IF($J22=6,AP22,IF($J22=5,AP22,IF($J22=4,AP22,0)))))</f>
        <v>0</v>
      </c>
      <c r="AN22" s="404">
        <f>IF(AP22=0,0,IF(AP22&gt;0,IF($J22=9,AP22,IF($J22=8,AP22,IF($J22=7,AP22,0)))))</f>
        <v>0</v>
      </c>
      <c r="AO22" s="396">
        <f>IF(AP22=0,0,IF(AP22&gt;0,IF($J22=12,AP22,IF($J22=11,AP22,IF($J22=10,AP22,0)))))</f>
        <v>0</v>
      </c>
      <c r="AP22" s="887">
        <f>IF(AP$5=$H22,$E22,0)</f>
        <v>0</v>
      </c>
      <c r="AQ22" s="394">
        <f>IF(AU22=0,0,IF(AU22&gt;0,IF($J22=3,AU22,IF($J22=2,AU22,IF($J22=1,AU22,0)))))</f>
        <v>0</v>
      </c>
      <c r="AR22" s="404">
        <f>IF(AU22=0,0,IF(AU22&gt;0,IF($J22=6,AU22,IF($J22=5,AU22,IF($J22=4,AU22,0)))))</f>
        <v>0</v>
      </c>
      <c r="AS22" s="404">
        <f>IF(AU22=0,0,IF(AU22&gt;0,IF($J22=9,AU22,IF($J22=8,AU22,IF($J22=7,AU22,0)))))</f>
        <v>0</v>
      </c>
      <c r="AT22" s="396">
        <f>IF(AU22=0,0,IF(AU22&gt;0,IF($J22=12,AU22,IF($J22=11,AU22,IF($J22=10,AU22,0)))))</f>
        <v>0</v>
      </c>
      <c r="AU22" s="887">
        <f>IF(AU$5=$H22,$E22,0)</f>
        <v>0</v>
      </c>
      <c r="AV22" s="394">
        <f>IF(AZ22=0,0,IF(AZ22&gt;0,IF($J22=3,AZ22,IF($J22=2,AZ22,IF($J22=1,AZ22,0)))))</f>
        <v>0</v>
      </c>
      <c r="AW22" s="404">
        <f>IF(AZ22=0,0,IF(AZ22&gt;0,IF($J22=6,AZ22,IF($J22=5,AZ22,IF($J22=4,AZ22,0)))))</f>
        <v>0</v>
      </c>
      <c r="AX22" s="404">
        <f>IF(AZ22=0,0,IF(AZ22&gt;0,IF($J22=9,AZ22,IF($J22=8,AZ22,IF($J22=7,AZ22,0)))))</f>
        <v>0</v>
      </c>
      <c r="AY22" s="396">
        <f>IF(AZ22=0,0,IF(AZ22&gt;0,IF($J22=12,AZ22,IF($J22=11,AZ22,IF($J22=10,AZ22,0)))))</f>
        <v>0</v>
      </c>
      <c r="AZ22" s="887">
        <f>IF(AZ$5=$H22,$E22,0)</f>
        <v>0</v>
      </c>
      <c r="BA22" s="394">
        <f>IF(BE22=0,0,IF(BE22&gt;0,IF($J22=3,BE22,IF($J22=2,BE22,IF($J22=1,BE22,0)))))</f>
        <v>0</v>
      </c>
      <c r="BB22" s="404">
        <f>IF(BE22=0,0,IF(BE22&gt;0,IF($J22=6,BE22,IF($J22=5,BE22,IF($J22=4,BE22,0)))))</f>
        <v>0</v>
      </c>
      <c r="BC22" s="404">
        <f>IF(BE22=0,0,IF(BE22&gt;0,IF($J22=9,BE22,IF($J22=8,BE22,IF($J22=7,BE22,0)))))</f>
        <v>0</v>
      </c>
      <c r="BD22" s="396">
        <f>IF(BE22=0,0,IF(BE22&gt;0,IF($J22=12,BE22,IF($J22=11,BE22,IF($J22=10,BE22,0)))))</f>
        <v>0</v>
      </c>
      <c r="BE22" s="887">
        <f>IF(BE$5=$H22,$E22,0)</f>
        <v>0</v>
      </c>
      <c r="BF22" s="394">
        <f>IF(BJ22=0,0,IF(BJ22&gt;0,IF($J22=3,BJ22,IF($J22=2,BJ22,IF($J22=1,BJ22,0)))))</f>
        <v>0</v>
      </c>
      <c r="BG22" s="404">
        <f>IF(BJ22=0,0,IF(BJ22&gt;0,IF($J22=6,BJ22,IF($J22=5,BJ22,IF($J22=4,BJ22,0)))))</f>
        <v>0</v>
      </c>
      <c r="BH22" s="404">
        <f>IF(BJ22=0,0,IF(BJ22&gt;0,IF($J22=9,BJ22,IF($J22=8,BJ22,IF($J22=7,BJ22,0)))))</f>
        <v>0</v>
      </c>
      <c r="BI22" s="396">
        <f>IF(BJ22=0,0,IF(BJ22&gt;0,IF($J22=12,BJ22,IF($J22=11,BJ22,IF($J22=10,BJ22,0)))))</f>
        <v>0</v>
      </c>
      <c r="BJ22" s="887">
        <f>IF(BJ$5=$H22,$E22,0)</f>
        <v>0</v>
      </c>
      <c r="BK22" s="394">
        <f>IF(BO22=0,0,IF(BO22&gt;0,IF($J22=3,BO22,IF($J22=2,BO22,IF($J22=1,BO22,0)))))</f>
        <v>0</v>
      </c>
      <c r="BL22" s="404">
        <f>IF(BO22=0,0,IF(BO22&gt;0,IF($J22=6,BO22,IF($J22=5,BO22,IF($J22=4,BO22,0)))))</f>
        <v>0</v>
      </c>
      <c r="BM22" s="404">
        <f>IF(BO22=0,0,IF(BO22&gt;0,IF($J22=9,BO22,IF($J22=8,BO22,IF($J22=7,BO22,0)))))</f>
        <v>0</v>
      </c>
      <c r="BN22" s="396">
        <f>IF(BO22=0,0,IF(BO22&gt;0,IF($J22=12,BO22,IF($J22=11,BO22,IF($J22=10,BO22,0)))))</f>
        <v>0</v>
      </c>
      <c r="BO22" s="887">
        <f>IF(BO$5=$H22,$E22,0)</f>
        <v>0</v>
      </c>
      <c r="BP22" s="888"/>
      <c r="BQ22" s="889">
        <f>IF(AND(BP22&lt;&gt;0,BP$5=$H22),$I22*$E22-BP22,IF(BQ$5=$H22,$I22*$E22*(12-$J22+1)/12,0))</f>
        <v>0</v>
      </c>
      <c r="BR22" s="400">
        <f>IF($H22&lt;&gt;BV$5,0,IF(BV22&gt;0,IF($J22=1,$E22*$I22/12*3,IF($J22=2,$E22*$I22/12*2,IF($J22=3,$E22*$I22/12*1,0)))))+IF(BQ$5&lt;&gt;$H22,0,IF(BQ22&gt;0,IF($J22=1,$E22*$I22/12*0,IF($J22=2,$E22*$I22/12*1,IF($J22=3,$E22*$I22/12*2,IF($J22&gt;=4,$E22*$I22/12*3,0))))))</f>
        <v>0</v>
      </c>
      <c r="BS22" s="406">
        <f>IF($H22&lt;&gt;BV$5,0,IF(BV22&gt;0,IF(OR($J22=1,$J22=2,$J22=3,$J22=4),$E22*$I22/12*3,IF($J22=5,$E22*$I22/12*2,IF($J22=6,$E22*$I22/12*1,0)))))+IF(BQ$5&lt;&gt;$H22,0,IF(BQ22&gt;0,IF($J22=4,$E22*$I22/12*0,IF($J22=5,$E22*$I22/12*1,IF($J22=6,$E22*$I22/12*2,IF($J22&gt;=7,$E22*$I22/12*3,0))))))</f>
        <v>0</v>
      </c>
      <c r="BT22" s="406">
        <f>IF($H22&lt;&gt;BV$5,0,IF(BV22&gt;0,IF(OR($J22=1,$J22=2,$J22=3,$J22=4,$J22=5,$J22=6,$J22=7),$E22*$I22/12*3,IF($J22=8,$E22*$I22/12*2,IF($J22=9,$E22*$I22/12*1,0)))))+IF(BQ$5&lt;&gt;$H22,0,IF(BQ22&gt;0,IF($J22=7,$E22*$I22/12*0,IF($J22=8,$E22*$I22/12*1,IF($J22=9,$E22*$I22/12*2,IF($J22&gt;=10,$E22*$I22/12*3,0))))))</f>
        <v>0</v>
      </c>
      <c r="BU22" s="402">
        <f>IF($H22&lt;&gt;BV$5,0,IF(BV22&gt;0,IF(OR($J22=1,$J22=2,$J22=3,$J22=4,$J22=5,$J22=6,$J22=7,$J22=8,$J22=9,$J22=10),$E22*$I22/12*3,IF($J22=11,$E22*$I22/12*2,IF($J22=12,$E22*$I22/12*1,0)))))+IF(BQ$5&lt;&gt;$H22,0,IF(BQ22&gt;0,IF($J22=10,$E22*$I22/12*0,IF($J22=11,$E22*$I22/12*1,IF($J22=12,$E22*$I22/12*2,0)))))</f>
        <v>0</v>
      </c>
      <c r="BV22" s="889">
        <f>IF(AND(BQ22&lt;&gt;0,BQ$5=$H22),$I22*$E22-BQ22,IF(BV$5=$H22,$I22*$E22*(12-$J22+1)/12,0))</f>
        <v>0</v>
      </c>
      <c r="BW22" s="400">
        <f>IF($H22&lt;&gt;CA$5,0,IF(CA22&gt;0,IF($J22=1,$E22*$I22/12*3,IF($J22=2,$E22*$I22/12*2,IF($J22=3,$E22*$I22/12*1,0)))))+IF(BV$5&lt;&gt;$H22,0,IF(BV22&gt;0,IF($J22=1,$E22*$I22/12*0,IF($J22=2,$E22*$I22/12*1,IF($J22=3,$E22*$I22/12*2,IF($J22&gt;=4,$E22*$I22/12*3,0))))))</f>
        <v>0</v>
      </c>
      <c r="BX22" s="406">
        <f>IF($H22&lt;&gt;CA$5,0,IF(CA22&gt;0,IF(OR($J22=1,$J22=2,$J22=3,$J22=4),$E22*$I22/12*3,IF($J22=5,$E22*$I22/12*2,IF($J22=6,$E22*$I22/12*1,0)))))+IF(BV$5&lt;&gt;$H22,0,IF(BV22&gt;0,IF($J22=4,$E22*$I22/12*0,IF($J22=5,$E22*$I22/12*1,IF($J22=6,$E22*$I22/12*2,IF($J22&gt;=7,$E22*$I22/12*3,0))))))</f>
        <v>0</v>
      </c>
      <c r="BY22" s="406">
        <f>IF($H22&lt;&gt;CA$5,0,IF(CA22&gt;0,IF(OR($J22=1,$J22=2,$J22=3,$J22=4,$J22=5,$J22=6,$J22=7),$E22*$I22/12*3,IF($J22=8,$E22*$I22/12*2,IF($J22=9,$E22*$I22/12*1,0)))))+IF(BV$5&lt;&gt;$H22,0,IF(BV22&gt;0,IF($J22=7,$E22*$I22/12*0,IF($J22=8,$E22*$I22/12*1,IF($J22=9,$E22*$I22/12*2,IF($J22&gt;=10,$E22*$I22/12*3,0))))))</f>
        <v>0</v>
      </c>
      <c r="BZ22" s="402">
        <f>IF($H22&lt;&gt;CA$5,0,IF(CA22&gt;0,IF(OR($J22=1,$J22=2,$J22=3,$J22=4,$J22=5,$J22=6,$J22=7,$J22=8,$J22=9,$J22=10),$E22*$I22/12*3,IF($J22=11,$E22*$I22/12*2,IF($J22=12,$E22*$I22/12*1,0)))))+IF(BV$5&lt;&gt;$H22,0,IF(BV22&gt;0,IF($J22=10,$E22*$I22/12*0,IF($J22=11,$E22*$I22/12*1,IF($J22=12,$E22*$I22/12*2,0)))))</f>
        <v>0</v>
      </c>
      <c r="CA22" s="889">
        <f>IF(AND(BV22&lt;&gt;0,BV$5=$H22),$I22*$E22-BV22,IF(CA$5=$H22,$I22*$E22*(12-$J22+1)/12,0))</f>
        <v>0</v>
      </c>
      <c r="CB22" s="400">
        <f>IF($H22&lt;&gt;CF$5,0,IF(CF22&gt;0,IF($J22=1,$E22*$I22/12*3,IF($J22=2,$E22*$I22/12*2,IF($J22=3,$E22*$I22/12*1,0)))))+IF(CA$5&lt;&gt;$H22,0,IF(CA22&gt;0,IF($J22=1,$E22*$I22/12*0,IF($J22=2,$E22*$I22/12*1,IF($J22=3,$E22*$I22/12*2,IF($J22&gt;=4,$E22*$I22/12*3,0))))))</f>
        <v>0</v>
      </c>
      <c r="CC22" s="406">
        <f>IF($H22&lt;&gt;CF$5,0,IF(CF22&gt;0,IF(OR($J22=1,$J22=2,$J22=3,$J22=4),$E22*$I22/12*3,IF($J22=5,$E22*$I22/12*2,IF($J22=6,$E22*$I22/12*1,0)))))+IF(CA$5&lt;&gt;$H22,0,IF(CA22&gt;0,IF($J22=4,$E22*$I22/12*0,IF($J22=5,$E22*$I22/12*1,IF($J22=6,$E22*$I22/12*2,IF($J22&gt;=7,$E22*$I22/12*3,0))))))</f>
        <v>0</v>
      </c>
      <c r="CD22" s="406">
        <f>IF($H22&lt;&gt;CF$5,0,IF(CF22&gt;0,IF(OR($J22=1,$J22=2,$J22=3,$J22=4,$J22=5,$J22=6,$J22=7),$E22*$I22/12*3,IF($J22=8,$E22*$I22/12*2,IF($J22=9,$E22*$I22/12*1,0)))))+IF(CA$5&lt;&gt;$H22,0,IF(CA22&gt;0,IF($J22=7,$E22*$I22/12*0,IF($J22=8,$E22*$I22/12*1,IF($J22=9,$E22*$I22/12*2,IF($J22&gt;=10,$E22*$I22/12*3,0))))))</f>
        <v>0</v>
      </c>
      <c r="CE22" s="402">
        <f>IF($H22&lt;&gt;CF$5,0,IF(CF22&gt;0,IF(OR($J22=1,$J22=2,$J22=3,$J22=4,$J22=5,$J22=6,$J22=7,$J22=8,$J22=9,$J22=10),$E22*$I22/12*3,IF($J22=11,$E22*$I22/12*2,IF($J22=12,$E22*$I22/12*1,0)))))+IF(CA$5&lt;&gt;$H22,0,IF(CA22&gt;0,IF($J22=10,$E22*$I22/12*0,IF($J22=11,$E22*$I22/12*1,IF($J22=12,$E22*$I22/12*2,0)))))</f>
        <v>0</v>
      </c>
      <c r="CF22" s="889">
        <f>IF(AND(CA22&lt;&gt;0,CA$5=$H22),$I22*$E22-CA22,IF(CF$5=$H22,$I22*$E22*(12-$J22+1)/12,0))</f>
        <v>0</v>
      </c>
      <c r="CG22" s="400">
        <f>IF($H22&lt;&gt;CK$5,0,IF(CK22&gt;0,IF($J22=1,$E22*$I22/12*3,IF($J22=2,$E22*$I22/12*2,IF($J22=3,$E22*$I22/12*1,0)))))+IF(CF$5&lt;&gt;$H22,0,IF(CF22&gt;0,IF($J22=1,$E22*$I22/12*0,IF($J22=2,$E22*$I22/12*1,IF($J22=3,$E22*$I22/12*2,IF($J22&gt;=4,$E22*$I22/12*3,0))))))</f>
        <v>0</v>
      </c>
      <c r="CH22" s="406">
        <f>IF($H22&lt;&gt;CK$5,0,IF(CK22&gt;0,IF(OR($J22=1,$J22=2,$J22=3,$J22=4),$E22*$I22/12*3,IF($J22=5,$E22*$I22/12*2,IF($J22=6,$E22*$I22/12*1,0)))))+IF(CF$5&lt;&gt;$H22,0,IF(CF22&gt;0,IF($J22=4,$E22*$I22/12*0,IF($J22=5,$E22*$I22/12*1,IF($J22=6,$E22*$I22/12*2,IF($J22&gt;=7,$E22*$I22/12*3,0))))))</f>
        <v>0</v>
      </c>
      <c r="CI22" s="406">
        <f>IF($H22&lt;&gt;CK$5,0,IF(CK22&gt;0,IF(OR($J22=1,$J22=2,$J22=3,$J22=4,$J22=5,$J22=6,$J22=7),$E22*$I22/12*3,IF($J22=8,$E22*$I22/12*2,IF($J22=9,$E22*$I22/12*1,0)))))+IF(CF$5&lt;&gt;$H22,0,IF(CF22&gt;0,IF($J22=7,$E22*$I22/12*0,IF($J22=8,$E22*$I22/12*1,IF($J22=9,$E22*$I22/12*2,IF($J22&gt;=10,$E22*$I22/12*3,0))))))</f>
        <v>0</v>
      </c>
      <c r="CJ22" s="402">
        <f>IF($H22&lt;&gt;CK$5,0,IF(CK22&gt;0,IF(OR($J22=1,$J22=2,$J22=3,$J22=4,$J22=5,$J22=6,$J22=7,$J22=8,$J22=9,$J22=10),$E22*$I22/12*3,IF($J22=11,$E22*$I22/12*2,IF($J22=12,$E22*$I22/12*1,0)))))+IF(CF$5&lt;&gt;$H22,0,IF(CF22&gt;0,IF($J22=10,$E22*$I22/12*0,IF($J22=11,$E22*$I22/12*1,IF($J22=12,$E22*$I22/12*2,0)))))</f>
        <v>0</v>
      </c>
      <c r="CK22" s="889">
        <f>IF(AND(CF22&lt;&gt;0,CF$5=$H22),$I22*$E22-CF22,IF(CK$5=$H22,$I22*$E22*(12-$J22+1)/12,0))</f>
        <v>0</v>
      </c>
      <c r="CL22" s="400">
        <f>IF($H22&lt;&gt;CP$5,0,IF(CP22&gt;0,IF($J22=1,$E22*$I22/12*3,IF($J22=2,$E22*$I22/12*2,IF($J22=3,$E22*$I22/12*1,0)))))+IF(CK$5&lt;&gt;$H22,0,IF(CK22&gt;0,IF($J22=1,$E22*$I22/12*0,IF($J22=2,$E22*$I22/12*1,IF($J22=3,$E22*$I22/12*2,IF($J22&gt;=4,$E22*$I22/12*3,0))))))</f>
        <v>0</v>
      </c>
      <c r="CM22" s="406">
        <f>IF($H22&lt;&gt;CP$5,0,IF(CP22&gt;0,IF(OR($J22=1,$J22=2,$J22=3,$J22=4),$E22*$I22/12*3,IF($J22=5,$E22*$I22/12*2,IF($J22=6,$E22*$I22/12*1,0)))))+IF(CK$5&lt;&gt;$H22,0,IF(CK22&gt;0,IF($J22=4,$E22*$I22/12*0,IF($J22=5,$E22*$I22/12*1,IF($J22=6,$E22*$I22/12*2,IF($J22&gt;=7,$E22*$I22/12*3,0))))))</f>
        <v>0</v>
      </c>
      <c r="CN22" s="406">
        <f>IF($H22&lt;&gt;CP$5,0,IF(CP22&gt;0,IF(OR($J22=1,$J22=2,$J22=3,$J22=4,$J22=5,$J22=6,$J22=7),$E22*$I22/12*3,IF($J22=8,$E22*$I22/12*2,IF($J22=9,$E22*$I22/12*1,0)))))+IF(CK$5&lt;&gt;$H22,0,IF(CK22&gt;0,IF($J22=7,$E22*$I22/12*0,IF($J22=8,$E22*$I22/12*1,IF($J22=9,$E22*$I22/12*2,IF($J22&gt;=10,$E22*$I22/12*3,0))))))</f>
        <v>0</v>
      </c>
      <c r="CO22" s="402">
        <f>IF($H22&lt;&gt;CP$5,0,IF(CP22&gt;0,IF(OR($J22=1,$J22=2,$J22=3,$J22=4,$J22=5,$J22=6,$J22=7,$J22=8,$J22=9,$J22=10),$E22*$I22/12*3,IF($J22=11,$E22*$I22/12*2,IF($J22=12,$E22*$I22/12*1,0)))))+IF(CK$5&lt;&gt;$H22,0,IF(CK22&gt;0,IF($J22=10,$E22*$I22/12*0,IF($J22=11,$E22*$I22/12*1,IF($J22=12,$E22*$I22/12*2,0)))))</f>
        <v>0</v>
      </c>
      <c r="CP22" s="889">
        <f>IF(AND(CK22&lt;&gt;0,CK$5=$H22),$I22*$E22-CK22,IF(CP$5=$H22,$I22*$E22*(12-$J22+1)/12,0))</f>
        <v>0</v>
      </c>
      <c r="CQ22" s="400">
        <f>IF($H22&lt;&gt;CU$5,0,IF(CU22&gt;0,IF($J22=1,$E22*$I22/12*3,IF($J22=2,$E22*$I22/12*2,IF($J22=3,$E22*$I22/12*1,0)))))+IF(CP$5&lt;&gt;$H22,0,IF(CP22&gt;0,IF($J22=1,$E22*$I22/12*0,IF($J22=2,$E22*$I22/12*1,IF($J22=3,$E22*$I22/12*2,IF($J22&gt;=4,$E22*$I22/12*3,0))))))</f>
        <v>0</v>
      </c>
      <c r="CR22" s="406">
        <f>IF($H22&lt;&gt;CU$5,0,IF(CU22&gt;0,IF(OR($J22=1,$J22=2,$J22=3,$J22=4),$E22*$I22/12*3,IF($J22=5,$E22*$I22/12*2,IF($J22=6,$E22*$I22/12*1,0)))))+IF(CP$5&lt;&gt;$H22,0,IF(CP22&gt;0,IF($J22=4,$E22*$I22/12*0,IF($J22=5,$E22*$I22/12*1,IF($J22=6,$E22*$I22/12*2,IF($J22&gt;=7,$E22*$I22/12*3,0))))))</f>
        <v>0</v>
      </c>
      <c r="CS22" s="406">
        <f>IF($H22&lt;&gt;CU$5,0,IF(CU22&gt;0,IF(OR($J22=1,$J22=2,$J22=3,$J22=4,$J22=5,$J22=6,$J22=7),$E22*$I22/12*3,IF($J22=8,$E22*$I22/12*2,IF($J22=9,$E22*$I22/12*1,0)))))+IF(CP$5&lt;&gt;$H22,0,IF(CP22&gt;0,IF($J22=7,$E22*$I22/12*0,IF($J22=8,$E22*$I22/12*1,IF($J22=9,$E22*$I22/12*2,IF($J22&gt;=10,$E22*$I22/12*3,0))))))</f>
        <v>0</v>
      </c>
      <c r="CT22" s="402">
        <f>IF($H22&lt;&gt;CU$5,0,IF(CU22&gt;0,IF(OR($J22=1,$J22=2,$J22=3,$J22=4,$J22=5,$J22=6,$J22=7,$J22=8,$J22=9,$J22=10),$E22*$I22/12*3,IF($J22=11,$E22*$I22/12*2,IF($J22=12,$E22*$I22/12*1,0)))))+IF(CP$5&lt;&gt;$H22,0,IF(CP22&gt;0,IF($J22=10,$E22*$I22/12*0,IF($J22=11,$E22*$I22/12*1,IF($J22=12,$E22*$I22/12*2,0)))))</f>
        <v>0</v>
      </c>
      <c r="CU22" s="889">
        <f>IF(AND(CP22&lt;&gt;0,CP$5=$H22),$I22*$E22-CP22,IF(CU$5=$H22,$I22*$E22*(12-$J22+1)/12,0))</f>
        <v>0</v>
      </c>
      <c r="CV22" s="400">
        <f>IF($H22&lt;&gt;CZ$5,0,IF(CZ22&gt;0,IF($J22=1,$E22*$I22/12*3,IF($J22=2,$E22*$I22/12*2,IF($J22=3,$E22*$I22/12*1,0)))))+IF(CU$5&lt;&gt;$H22,0,IF(CU22&gt;0,IF($J22=1,$E22*$I22/12*0,IF($J22=2,$E22*$I22/12*1,IF($J22=3,$E22*$I22/12*2,IF($J22&gt;=4,$E22*$I22/12*3,0))))))</f>
        <v>0</v>
      </c>
      <c r="CW22" s="406">
        <f>IF($H22&lt;&gt;CZ$5,0,IF(CZ22&gt;0,IF(OR($J22=1,$J22=2,$J22=3,$J22=4),$E22*$I22/12*3,IF($J22=5,$E22*$I22/12*2,IF($J22=6,$E22*$I22/12*1,0)))))+IF(CU$5&lt;&gt;$H22,0,IF(CU22&gt;0,IF($J22=4,$E22*$I22/12*0,IF($J22=5,$E22*$I22/12*1,IF($J22=6,$E22*$I22/12*2,IF($J22&gt;=7,$E22*$I22/12*3,0))))))</f>
        <v>0</v>
      </c>
      <c r="CX22" s="406">
        <f>IF($H22&lt;&gt;CZ$5,0,IF(CZ22&gt;0,IF(OR($J22=1,$J22=2,$J22=3,$J22=4,$J22=5,$J22=6,$J22=7),$E22*$I22/12*3,IF($J22=8,$E22*$I22/12*2,IF($J22=9,$E22*$I22/12*1,0)))))+IF(CU$5&lt;&gt;$H22,0,IF(CU22&gt;0,IF($J22=7,$E22*$I22/12*0,IF($J22=8,$E22*$I22/12*1,IF($J22=9,$E22*$I22/12*2,IF($J22&gt;=10,$E22*$I22/12*3,0))))))</f>
        <v>0</v>
      </c>
      <c r="CY22" s="402">
        <f>IF($H22&lt;&gt;CZ$5,0,IF(CZ22&gt;0,IF(OR($J22=1,$J22=2,$J22=3,$J22=4,$J22=5,$J22=6,$J22=7,$J22=8,$J22=9,$J22=10),$E22*$I22/12*3,IF($J22=11,$E22*$I22/12*2,IF($J22=12,$E22*$I22/12*1,0)))))+IF(CU$5&lt;&gt;$H22,0,IF(CU22&gt;0,IF($J22=10,$E22*$I22/12*0,IF($J22=11,$E22*$I22/12*1,IF($J22=12,$E22*$I22/12*2,0)))))</f>
        <v>0</v>
      </c>
      <c r="CZ22" s="889">
        <f>IF(AND(CU22&lt;&gt;0,CU$5=$H22),$I22*$E22-CU22,IF(CZ$5=$H22,$I22*$E22*(12-$J22+1)/12,0))</f>
        <v>0</v>
      </c>
      <c r="DA22" s="400">
        <f>IF($H22&lt;&gt;DE$5,0,IF(DE22&gt;0,IF($J22=1,$E22*$I22/12*3,IF($J22=2,$E22*$I22/12*2,IF($J22=3,$E22*$I22/12*1,0)))))+IF(CZ$5&lt;&gt;$H22,0,IF(CZ22&gt;0,IF($J22=1,$E22*$I22/12*0,IF($J22=2,$E22*$I22/12*1,IF($J22=3,$E22*$I22/12*2,IF($J22&gt;=4,$E22*$I22/12*3,0))))))</f>
        <v>0</v>
      </c>
      <c r="DB22" s="406">
        <f>IF($H22&lt;&gt;DE$5,0,IF(DE22&gt;0,IF(OR($J22=1,$J22=2,$J22=3,$J22=4),$E22*$I22/12*3,IF($J22=5,$E22*$I22/12*2,IF($J22=6,$E22*$I22/12*1,0)))))+IF(CZ$5&lt;&gt;$H22,0,IF(CZ22&gt;0,IF($J22=4,$E22*$I22/12*0,IF($J22=5,$E22*$I22/12*1,IF($J22=6,$E22*$I22/12*2,IF($J22&gt;=7,$E22*$I22/12*3,0))))))</f>
        <v>0</v>
      </c>
      <c r="DC22" s="406">
        <f>IF($H22&lt;&gt;DE$5,0,IF(DE22&gt;0,IF(OR($J22=1,$J22=2,$J22=3,$J22=4,$J22=5,$J22=6,$J22=7),$E22*$I22/12*3,IF($J22=8,$E22*$I22/12*2,IF($J22=9,$E22*$I22/12*1,0)))))+IF(CZ$5&lt;&gt;$H22,0,IF(CZ22&gt;0,IF($J22=7,$E22*$I22/12*0,IF($J22=8,$E22*$I22/12*1,IF($J22=9,$E22*$I22/12*2,IF($J22&gt;=10,$E22*$I22/12*3,0))))))</f>
        <v>0</v>
      </c>
      <c r="DD22" s="402">
        <f>IF($H22&lt;&gt;DE$5,0,IF(DE22&gt;0,IF(OR($J22=1,$J22=2,$J22=3,$J22=4,$J22=5,$J22=6,$J22=7,$J22=8,$J22=9,$J22=10),$E22*$I22/12*3,IF($J22=11,$E22*$I22/12*2,IF($J22=12,$E22*$I22/12*1,0)))))+IF(CZ$5&lt;&gt;$H22,0,IF(CZ22&gt;0,IF($J22=10,$E22*$I22/12*0,IF($J22=11,$E22*$I22/12*1,IF($J22=12,$E22*$I22/12*2,0)))))</f>
        <v>0</v>
      </c>
      <c r="DE22" s="889">
        <f>IF(AND(CZ22&lt;&gt;0,CZ$5=$H22),$I22*$E22-CZ22,IF(DE$5=$H22,$I22*$E22*(12-$J22+1)/12,0))</f>
        <v>0</v>
      </c>
      <c r="DF22" s="400">
        <f>IF($H22&lt;&gt;DJ$5,0,IF(DJ22&gt;0,IF($J22=1,$E22*$I22/12*3,IF($J22=2,$E22*$I22/12*2,IF($J22=3,$E22*$I22/12*1,0)))))+IF(DE$5&lt;&gt;$H22,0,IF(DE22&gt;0,IF($J22=1,$E22*$I22/12*0,IF($J22=2,$E22*$I22/12*1,IF($J22=3,$E22*$I22/12*2,IF($J22&gt;=4,$E22*$I22/12*3,0))))))</f>
        <v>0</v>
      </c>
      <c r="DG22" s="406">
        <f>IF($H22&lt;&gt;DJ$5,0,IF(DJ22&gt;0,IF(OR($J22=1,$J22=2,$J22=3,$J22=4),$E22*$I22/12*3,IF($J22=5,$E22*$I22/12*2,IF($J22=6,$E22*$I22/12*1,0)))))+IF(DE$5&lt;&gt;$H22,0,IF(DE22&gt;0,IF($J22=4,$E22*$I22/12*0,IF($J22=5,$E22*$I22/12*1,IF($J22=6,$E22*$I22/12*2,IF($J22&gt;=7,$E22*$I22/12*3,0))))))</f>
        <v>0</v>
      </c>
      <c r="DH22" s="406">
        <f>IF($H22&lt;&gt;DJ$5,0,IF(DJ22&gt;0,IF(OR($J22=1,$J22=2,$J22=3,$J22=4,$J22=5,$J22=6,$J22=7),$E22*$I22/12*3,IF($J22=8,$E22*$I22/12*2,IF($J22=9,$E22*$I22/12*1,0)))))+IF(DE$5&lt;&gt;$H22,0,IF(DE22&gt;0,IF($J22=7,$E22*$I22/12*0,IF($J22=8,$E22*$I22/12*1,IF($J22=9,$E22*$I22/12*2,IF($J22&gt;=10,$E22*$I22/12*3,0))))))</f>
        <v>0</v>
      </c>
      <c r="DI22" s="402">
        <f>IF($H22&lt;&gt;DJ$5,0,IF(DJ22&gt;0,IF(OR($J22=1,$J22=2,$J22=3,$J22=4,$J22=5,$J22=6,$J22=7,$J22=8,$J22=9,$J22=10),$E22*$I22/12*3,IF($J22=11,$E22*$I22/12*2,IF($J22=12,$E22*$I22/12*1,0)))))+IF(DE$5&lt;&gt;$H22,0,IF(DE22&gt;0,IF($J22=10,$E22*$I22/12*0,IF($J22=11,$E22*$I22/12*1,IF($J22=12,$E22*$I22/12*2,0)))))</f>
        <v>0</v>
      </c>
      <c r="DJ22" s="889">
        <f>IF(AND(DE22&lt;&gt;0,DE$5=$H22),$I22*$E22-DE22,IF(DJ$5=$H22,$I22*$E22*(12-$J22+1)/12,0))</f>
        <v>0</v>
      </c>
      <c r="DK22" s="400">
        <f>IF($H22&lt;&gt;DO$5,0,IF(DO22&gt;0,IF($J22=1,$E22*$I22/12*3,IF($J22=2,$E22*$I22/12*2,IF($J22=3,$E22*$I22/12*1,0)))))+IF(DJ$5&lt;&gt;$H22,0,IF(DJ22&gt;0,IF($J22=1,$E22*$I22/12*0,IF($J22=2,$E22*$I22/12*1,IF($J22=3,$E22*$I22/12*2,IF($J22&gt;=4,$E22*$I22/12*3,0))))))</f>
        <v>0</v>
      </c>
      <c r="DL22" s="406">
        <f>IF($H22&lt;&gt;DO$5,0,IF(DO22&gt;0,IF(OR($J22=1,$J22=2,$J22=3,$J22=4),$E22*$I22/12*3,IF($J22=5,$E22*$I22/12*2,IF($J22=6,$E22*$I22/12*1,0)))))+IF(DJ$5&lt;&gt;$H22,0,IF(DJ22&gt;0,IF($J22=4,$E22*$I22/12*0,IF($J22=5,$E22*$I22/12*1,IF($J22=6,$E22*$I22/12*2,IF($J22&gt;=7,$E22*$I22/12*3,0))))))</f>
        <v>0</v>
      </c>
      <c r="DM22" s="406">
        <f>IF($H22&lt;&gt;DO$5,0,IF(DO22&gt;0,IF(OR($J22=1,$J22=2,$J22=3,$J22=4,$J22=5,$J22=6,$J22=7),$E22*$I22/12*3,IF($J22=8,$E22*$I22/12*2,IF($J22=9,$E22*$I22/12*1,0)))))+IF(DJ$5&lt;&gt;$H22,0,IF(DJ22&gt;0,IF($J22=7,$E22*$I22/12*0,IF($J22=8,$E22*$I22/12*1,IF($J22=9,$E22*$I22/12*2,IF($J22&gt;=10,$E22*$I22/12*3,0))))))</f>
        <v>0</v>
      </c>
      <c r="DN22" s="402">
        <f>IF($H22&lt;&gt;DO$5,0,IF(DO22&gt;0,IF(OR($J22=1,$J22=2,$J22=3,$J22=4,$J22=5,$J22=6,$J22=7,$J22=8,$J22=9,$J22=10),$E22*$I22/12*3,IF($J22=11,$E22*$I22/12*2,IF($J22=12,$E22*$I22/12*1,0)))))+IF(DJ$5&lt;&gt;$H22,0,IF(DJ22&gt;0,IF($J22=10,$E22*$I22/12*0,IF($J22=11,$E22*$I22/12*1,IF($J22=12,$E22*$I22/12*2,0)))))</f>
        <v>0</v>
      </c>
      <c r="DO22" s="889">
        <f>IF(AND(DJ22&lt;&gt;0,DJ$5=$H22),$I22*$E22-DJ22,IF(DO$5=$H22,$I22*$E22*(12-$J22+1)/12,0))</f>
        <v>0</v>
      </c>
      <c r="DP22" s="400">
        <f>IF($H22&lt;&gt;DT$5,0,IF(DT22&gt;0,IF($J22=1,$E22*$I22/12*3,IF($J22=2,$E22*$I22/12*2,IF($J22=3,$E22*$I22/12*1,0)))))+IF(DO$5&lt;&gt;$H22,0,IF(DO22&gt;0,IF($J22=1,$E22*$I22/12*0,IF($J22=2,$E22*$I22/12*1,IF($J22=3,$E22*$I22/12*2,IF($J22&gt;=4,$E22*$I22/12*3,0))))))</f>
        <v>0</v>
      </c>
      <c r="DQ22" s="406">
        <f>IF($H22&lt;&gt;DT$5,0,IF(DT22&gt;0,IF(OR($J22=1,$J22=2,$J22=3,$J22=4),$E22*$I22/12*3,IF($J22=5,$E22*$I22/12*2,IF($J22=6,$E22*$I22/12*1,0)))))+IF(DO$5&lt;&gt;$H22,0,IF(DO22&gt;0,IF($J22=4,$E22*$I22/12*0,IF($J22=5,$E22*$I22/12*1,IF($J22=6,$E22*$I22/12*2,IF($J22&gt;=7,$E22*$I22/12*3,0))))))</f>
        <v>0</v>
      </c>
      <c r="DR22" s="406">
        <f>IF($H22&lt;&gt;DT$5,0,IF(DT22&gt;0,IF(OR($J22=1,$J22=2,$J22=3,$J22=4,$J22=5,$J22=6,$J22=7),$E22*$I22/12*3,IF($J22=8,$E22*$I22/12*2,IF($J22=9,$E22*$I22/12*1,0)))))+IF(DO$5&lt;&gt;$H22,0,IF(DO22&gt;0,IF($J22=7,$E22*$I22/12*0,IF($J22=8,$E22*$I22/12*1,IF($J22=9,$E22*$I22/12*2,IF($J22&gt;=10,$E22*$I22/12*3,0))))))</f>
        <v>0</v>
      </c>
      <c r="DS22" s="402">
        <f>IF($H22&lt;&gt;DT$5,0,IF(DT22&gt;0,IF(OR($J22=1,$J22=2,$J22=3,$J22=4,$J22=5,$J22=6,$J22=7,$J22=8,$J22=9,$J22=10),$E22*$I22/12*3,IF($J22=11,$E22*$I22/12*2,IF($J22=12,$E22*$I22/12*1,0)))))+IF(DO$5&lt;&gt;$H22,0,IF(DO22&gt;0,IF($J22=10,$E22*$I22/12*0,IF($J22=11,$E22*$I22/12*1,IF($J22=12,$E22*$I22/12*2,0)))))</f>
        <v>0</v>
      </c>
      <c r="DT22" s="889">
        <f>IF(AND(DO22&lt;&gt;0,DO$5=$H22),$I22*$E22-DO22,IF(DT$5=$H22,$I22*$E22*(12-$J22+1)/12,0))</f>
        <v>0</v>
      </c>
    </row>
    <row r="23" spans="1:139" ht="12.75" customHeight="1" x14ac:dyDescent="0.2">
      <c r="C23" s="72" t="s">
        <v>609</v>
      </c>
      <c r="D23" s="467"/>
      <c r="E23" s="530">
        <f>IF(F23=0,G23,F23)</f>
        <v>600</v>
      </c>
      <c r="F23" s="831">
        <v>600</v>
      </c>
      <c r="G23" s="831">
        <v>600</v>
      </c>
      <c r="H23" s="449">
        <v>2025</v>
      </c>
      <c r="I23" s="450">
        <v>3.3000000000000002E-2</v>
      </c>
      <c r="J23" s="451">
        <v>6</v>
      </c>
      <c r="K23" s="392"/>
      <c r="L23" s="397">
        <f>IF(L$5=$H23,-$E23,0)</f>
        <v>0</v>
      </c>
      <c r="M23" s="394">
        <f>IF(Q23=0,0,IF(Q23&lt;0,IF($J23=3,Q23,IF($J23=2,Q23,IF($J23=1,Q23,0)))))</f>
        <v>0</v>
      </c>
      <c r="N23" s="404">
        <f>IF(Q23=0,0,IF(Q23&lt;0,IF($J23=6,Q23,IF($J23=5,Q23,IF($J23=4,Q23,0)))))</f>
        <v>0</v>
      </c>
      <c r="O23" s="404">
        <f>IF(Q23=0,0,IF(Q23&lt;0,IF($J23=9,Q23,IF($J23=8,Q23,IF($J23=7,Q23,0)))))</f>
        <v>0</v>
      </c>
      <c r="P23" s="396">
        <f>IF(Q23=0,0,IF(Q23&lt;0,IF($J23=12,Q23,IF($J23=11,Q23,IF($J23=10,Q23,0)))))</f>
        <v>0</v>
      </c>
      <c r="Q23" s="397">
        <f>IF(Q$5=$H23,-$E23,0)</f>
        <v>0</v>
      </c>
      <c r="R23" s="394">
        <f>IF(V23=0,0,IF(V23&lt;0,IF($J23=3,V23,IF($J23=2,V23,IF($J23=1,V23,0)))))</f>
        <v>0</v>
      </c>
      <c r="S23" s="404">
        <f>IF(V23=0,0,IF(V23&lt;0,IF($J23=6,V23,IF($J23=5,V23,IF($J23=4,V23,0)))))</f>
        <v>0</v>
      </c>
      <c r="T23" s="404">
        <f>IF(V23=0,0,IF(V23&lt;0,IF($J23=9,V23,IF($J23=8,V23,IF($J23=7,V23,0)))))</f>
        <v>0</v>
      </c>
      <c r="U23" s="396">
        <f>IF(V23=0,0,IF(V23&lt;0,IF($J23=12,V23,IF($J23=11,V23,IF($J23=10,V23,0)))))</f>
        <v>0</v>
      </c>
      <c r="V23" s="397">
        <f>IF(V$5=$H23,-$E23,0)</f>
        <v>0</v>
      </c>
      <c r="W23" s="394">
        <f>IF(AA23=0,0,IF(AA23&lt;0,IF($J23=3,AA23,IF($J23=2,AA23,IF($J23=1,AA23,0)))))</f>
        <v>0</v>
      </c>
      <c r="X23" s="404">
        <f>IF(AA23=0,0,IF(AA23&lt;0,IF($J23=6,AA23,IF($J23=5,AA23,IF($J23=4,AA23,0)))))</f>
        <v>0</v>
      </c>
      <c r="Y23" s="404">
        <f>IF(AA23=0,0,IF(AA23&lt;0,IF($J23=9,AA23,IF($J23=8,AA23,IF($J23=7,AA23,0)))))</f>
        <v>0</v>
      </c>
      <c r="Z23" s="396">
        <f>IF(AA23=0,0,IF(AA23&lt;0,IF($J23=12,AA23,IF($J23=11,AA23,IF($J23=10,AA23,0)))))</f>
        <v>0</v>
      </c>
      <c r="AA23" s="397">
        <f>IF(AA$5=$H23,-$E23,0)</f>
        <v>0</v>
      </c>
      <c r="AB23" s="394">
        <f>IF(AF23=0,0,IF(AF23&lt;0,IF($J23=3,AF23,IF($J23=2,AF23,IF($J23=1,AF23,0)))))</f>
        <v>0</v>
      </c>
      <c r="AC23" s="404">
        <f>IF(AF23=0,0,IF(AF23&lt;0,IF($J23=6,AF23,IF($J23=5,AF23,IF($J23=4,AF23,0)))))</f>
        <v>0</v>
      </c>
      <c r="AD23" s="404">
        <f>IF(AF23=0,0,IF(AF23&lt;0,IF($J23=9,AF23,IF($J23=8,AF23,IF($J23=7,AF23,0)))))</f>
        <v>0</v>
      </c>
      <c r="AE23" s="396">
        <f>IF(AF23=0,0,IF(AF23&lt;0,IF($J23=12,AF23,IF($J23=11,AF23,IF($J23=10,AF23,0)))))</f>
        <v>0</v>
      </c>
      <c r="AF23" s="397">
        <f>IF(AF$5=$H23,-$E23,0)</f>
        <v>0</v>
      </c>
      <c r="AG23" s="394">
        <f>IF(AK23=0,0,IF(AK23&lt;0,IF($J23=3,AK23,IF($J23=2,AK23,IF($J23=1,AK23,0)))))</f>
        <v>0</v>
      </c>
      <c r="AH23" s="404">
        <f>IF(AK23=0,0,IF(AK23&lt;0,IF($J23=6,AK23,IF($J23=5,AK23,IF($J23=4,AK23,0)))))</f>
        <v>0</v>
      </c>
      <c r="AI23" s="404">
        <f>IF(AK23=0,0,IF(AK23&lt;0,IF($J23=9,AK23,IF($J23=8,AK23,IF($J23=7,AK23,0)))))</f>
        <v>0</v>
      </c>
      <c r="AJ23" s="396">
        <f>IF(AK23=0,0,IF(AK23&lt;0,IF($J23=12,AK23,IF($J23=11,AK23,IF($J23=10,AK23,0)))))</f>
        <v>0</v>
      </c>
      <c r="AK23" s="397">
        <f>IF(AK$5=$H23,-$E23,0)</f>
        <v>0</v>
      </c>
      <c r="AL23" s="394">
        <f>IF(AP23=0,0,IF(AP23&lt;0,IF($J23=3,AP23,IF($J23=2,AP23,IF($J23=1,AP23,0)))))</f>
        <v>0</v>
      </c>
      <c r="AM23" s="404">
        <f>IF(AP23=0,0,IF(AP23&lt;0,IF($J23=6,AP23,IF($J23=5,AP23,IF($J23=4,AP23,0)))))</f>
        <v>0</v>
      </c>
      <c r="AN23" s="404">
        <f>IF(AP23=0,0,IF(AP23&lt;0,IF($J23=9,AP23,IF($J23=8,AP23,IF($J23=7,AP23,0)))))</f>
        <v>0</v>
      </c>
      <c r="AO23" s="396">
        <f>IF(AP23=0,0,IF(AP23&lt;0,IF($J23=12,AP23,IF($J23=11,AP23,IF($J23=10,AP23,0)))))</f>
        <v>0</v>
      </c>
      <c r="AP23" s="397">
        <f>IF(AP$5=$H23,-$E23,0)</f>
        <v>0</v>
      </c>
      <c r="AQ23" s="394">
        <f>IF(AU23=0,0,IF(AU23&lt;0,IF($J23=3,AU23,IF($J23=2,AU23,IF($J23=1,AU23,0)))))</f>
        <v>0</v>
      </c>
      <c r="AR23" s="404">
        <f>IF(AU23=0,0,IF(AU23&lt;0,IF($J23=6,AU23,IF($J23=5,AU23,IF($J23=4,AU23,0)))))</f>
        <v>0</v>
      </c>
      <c r="AS23" s="404">
        <f>IF(AU23=0,0,IF(AU23&lt;0,IF($J23=9,AU23,IF($J23=8,AU23,IF($J23=7,AU23,0)))))</f>
        <v>0</v>
      </c>
      <c r="AT23" s="396">
        <f>IF(AU23=0,0,IF(AU23&lt;0,IF($J23=12,AU23,IF($J23=11,AU23,IF($J23=10,AU23,0)))))</f>
        <v>0</v>
      </c>
      <c r="AU23" s="397">
        <f>IF(AU$5=$H23,-$E23,0)</f>
        <v>0</v>
      </c>
      <c r="AV23" s="394">
        <f>IF(AZ23=0,0,IF(AZ23&lt;0,IF($J23=3,AZ23,IF($J23=2,AZ23,IF($J23=1,AZ23,0)))))</f>
        <v>0</v>
      </c>
      <c r="AW23" s="404">
        <f>IF(AZ23=0,0,IF(AZ23&lt;0,IF($J23=6,AZ23,IF($J23=5,AZ23,IF($J23=4,AZ23,0)))))</f>
        <v>0</v>
      </c>
      <c r="AX23" s="404">
        <f>IF(AZ23=0,0,IF(AZ23&lt;0,IF($J23=9,AZ23,IF($J23=8,AZ23,IF($J23=7,AZ23,0)))))</f>
        <v>0</v>
      </c>
      <c r="AY23" s="396">
        <f>IF(AZ23=0,0,IF(AZ23&lt;0,IF($J23=12,AZ23,IF($J23=11,AZ23,IF($J23=10,AZ23,0)))))</f>
        <v>0</v>
      </c>
      <c r="AZ23" s="397">
        <f>IF(AZ$5=$H23,-$E23,0)</f>
        <v>0</v>
      </c>
      <c r="BA23" s="394">
        <f>IF(BE23=0,0,IF(BE23&lt;0,IF($J23=3,BE23,IF($J23=2,BE23,IF($J23=1,BE23,0)))))</f>
        <v>0</v>
      </c>
      <c r="BB23" s="404">
        <f>IF(BE23=0,0,IF(BE23&lt;0,IF($J23=6,BE23,IF($J23=5,BE23,IF($J23=4,BE23,0)))))</f>
        <v>0</v>
      </c>
      <c r="BC23" s="404">
        <f>IF(BE23=0,0,IF(BE23&lt;0,IF($J23=9,BE23,IF($J23=8,BE23,IF($J23=7,BE23,0)))))</f>
        <v>0</v>
      </c>
      <c r="BD23" s="396">
        <f>IF(BE23=0,0,IF(BE23&lt;0,IF($J23=12,BE23,IF($J23=11,BE23,IF($J23=10,BE23,0)))))</f>
        <v>0</v>
      </c>
      <c r="BE23" s="397">
        <f>IF(BE$5=$H23,-$E23,0)</f>
        <v>0</v>
      </c>
      <c r="BF23" s="394">
        <f>IF(BJ23=0,0,IF(BJ23&lt;0,IF($J23=3,BJ23,IF($J23=2,BJ23,IF($J23=1,BJ23,0)))))</f>
        <v>0</v>
      </c>
      <c r="BG23" s="404">
        <f>IF(BJ23=0,0,IF(BJ23&lt;0,IF($J23=6,BJ23,IF($J23=5,BJ23,IF($J23=4,BJ23,0)))))</f>
        <v>0</v>
      </c>
      <c r="BH23" s="404">
        <f>IF(BJ23=0,0,IF(BJ23&lt;0,IF($J23=9,BJ23,IF($J23=8,BJ23,IF($J23=7,BJ23,0)))))</f>
        <v>0</v>
      </c>
      <c r="BI23" s="396">
        <f>IF(BJ23=0,0,IF(BJ23&lt;0,IF($J23=12,BJ23,IF($J23=11,BJ23,IF($J23=10,BJ23,0)))))</f>
        <v>0</v>
      </c>
      <c r="BJ23" s="397">
        <f>IF(BJ$5=$H23,-$E23,0)</f>
        <v>0</v>
      </c>
      <c r="BK23" s="394">
        <f>IF(BO23=0,0,IF(BO23&lt;0,IF($J23=3,BO23,IF($J23=2,BO23,IF($J23=1,BO23,0)))))</f>
        <v>0</v>
      </c>
      <c r="BL23" s="404">
        <f>IF(BO23=0,0,IF(BO23&lt;0,IF($J23=6,BO23,IF($J23=5,BO23,IF($J23=4,BO23,0)))))</f>
        <v>0</v>
      </c>
      <c r="BM23" s="404">
        <f>IF(BO23=0,0,IF(BO23&lt;0,IF($J23=9,BO23,IF($J23=8,BO23,IF($J23=7,BO23,0)))))</f>
        <v>0</v>
      </c>
      <c r="BN23" s="396">
        <f>IF(BO23=0,0,IF(BO23&lt;0,IF($J23=12,BO23,IF($J23=11,BO23,IF($J23=10,BO23,0)))))</f>
        <v>0</v>
      </c>
      <c r="BO23" s="397">
        <f>IF(BO$5=$H23,-$E23,0)</f>
        <v>0</v>
      </c>
      <c r="BP23" s="452"/>
      <c r="BQ23" s="403">
        <f>IF(AND(BP23&lt;&gt;0,BP$5=$H23),-$I23*$E23-BP23,IF(BQ$5=$H23,-$I23*$E23*(12-$J23+1)/12,0))</f>
        <v>0</v>
      </c>
      <c r="BR23" s="400">
        <f>IF($H23&lt;&gt;BV$5,0,IF(BV23&lt;0,IF($J23=1,-$E23*$I23/12*3,IF($J23=2,-$E23*$I23/12*2,IF($J23=3,-$E23*$I23/12*1,0)))))+IF(BQ$5&lt;&gt;$H23,0,IF(BQ23&lt;0,IF($J23=1,-$E23*$I23/12*0,IF($J23=2,-$E23*$I23/12*1,IF($J23=3,-$E23*$I23/12*2,IF($J23&gt;=4,-$E23*$I23/12*3,0))))))</f>
        <v>0</v>
      </c>
      <c r="BS23" s="406">
        <f>IF($H23&lt;&gt;BV$5,0,IF(BV23&lt;0,IF(OR($J23=1,$J23=2,$J23=3,$J23=4),-$E23*$I23/12*3,IF($J23=5,-$E23*$I23/12*2,IF($J23=6,-$E23*$I23/12*1,0)))))+IF(BQ$5&lt;&gt;$H23,0,IF(BQ23&lt;0,IF($J23=4,-$E23*$I23/12*0,IF($J23=5,-$E23*$I23/12*1,IF($J23=6,-$E23*$I23/12*2,IF($J23&gt;=7,-$E23*$I23/12*3,0))))))</f>
        <v>0</v>
      </c>
      <c r="BT23" s="406">
        <f>IF($H23&lt;&gt;BV$5,0,IF(BV23&lt;0,IF(OR($J23=1,$J23=2,$J23=3,$J23=4,$J23=5,$J23=6,$J23=7),-$E23*$I23/12*3,IF($J23=8,-$E23*$I23/12*2,IF($J23=9,-$E23*$I23/12*1,0)))))+IF(BQ$5&lt;&gt;$H23,0,IF(BQ23&lt;0,IF($J23=7,-$E23*$I23/12*0,IF($J23=8,-$E23*$I23/12*1,IF($J23=9,-$E23*$I23/12*2,IF($J23&gt;=10,-$E23*$I23/12*3,0))))))</f>
        <v>0</v>
      </c>
      <c r="BU23" s="402">
        <f>IF($H23&lt;&gt;BV$5,0,IF(BV23&lt;0,IF(OR($J23=1,$J23=2,$J23=3,$J23=4,$J23=5,$J23=6,$J23=7,$J23=8,$J23=9,$J23=10),-$E23*$I23/12*3,IF($J23=11,-$E23*$I23/12*2,IF($J23=12,-$E23*$I23/12*1,0)))))+IF(BQ$5&lt;&gt;$H23,0,IF(BQ23&lt;0,IF($J23=10,-$E23*$I23/12*0,IF($J23=11,-$E23*$I23/12*1,IF($J23=12,-$E23*$I23/12*2,0)))))</f>
        <v>0</v>
      </c>
      <c r="BV23" s="403">
        <f>IF(AND(BQ23&lt;&gt;0,BQ$5=$H23),-$I23*$E23-BQ23,IF(BV$5=$H23,-$I23*$E23*(12-$J23+1)/12,0))</f>
        <v>0</v>
      </c>
      <c r="BW23" s="400">
        <f>IF($H23&lt;&gt;CA$5,0,IF(CA23&lt;0,IF($J23=1,-$E23*$I23/12*3,IF($J23=2,-$E23*$I23/12*2,IF($J23=3,-$E23*$I23/12*1,0)))))+IF(BV$5&lt;&gt;$H23,0,IF(BV23&lt;0,IF($J23=1,-$E23*$I23/12*0,IF($J23=2,-$E23*$I23/12*1,IF($J23=3,-$E23*$I23/12*2,IF($J23&gt;=4,-$E23*$I23/12*3,0))))))</f>
        <v>0</v>
      </c>
      <c r="BX23" s="406">
        <f>IF($H23&lt;&gt;CA$5,0,IF(CA23&lt;0,IF(OR($J23=1,$J23=2,$J23=3,$J23=4),-$E23*$I23/12*3,IF($J23=5,-$E23*$I23/12*2,IF($J23=6,-$E23*$I23/12*1,0)))))+IF(BV$5&lt;&gt;$H23,0,IF(BV23&lt;0,IF($J23=4,-$E23*$I23/12*0,IF($J23=5,-$E23*$I23/12*1,IF($J23=6,-$E23*$I23/12*2,IF($J23&gt;=7,-$E23*$I23/12*3,0))))))</f>
        <v>0</v>
      </c>
      <c r="BY23" s="406">
        <f>IF($H23&lt;&gt;CA$5,0,IF(CA23&lt;0,IF(OR($J23=1,$J23=2,$J23=3,$J23=4,$J23=5,$J23=6,$J23=7),-$E23*$I23/12*3,IF($J23=8,-$E23*$I23/12*2,IF($J23=9,-$E23*$I23/12*1,0)))))+IF(BV$5&lt;&gt;$H23,0,IF(BV23&lt;0,IF($J23=7,-$E23*$I23/12*0,IF($J23=8,-$E23*$I23/12*1,IF($J23=9,-$E23*$I23/12*2,IF($J23&gt;=10,-$E23*$I23/12*3,0))))))</f>
        <v>0</v>
      </c>
      <c r="BZ23" s="402">
        <f>IF($H23&lt;&gt;CA$5,0,IF(CA23&lt;0,IF(OR($J23=1,$J23=2,$J23=3,$J23=4,$J23=5,$J23=6,$J23=7,$J23=8,$J23=9,$J23=10),-$E23*$I23/12*3,IF($J23=11,-$E23*$I23/12*2,IF($J23=12,-$E23*$I23/12*1,0)))))+IF(BV$5&lt;&gt;$H23,0,IF(BV23&lt;0,IF($J23=10,-$E23*$I23/12*0,IF($J23=11,-$E23*$I23/12*1,IF($J23=12,-$E23*$I23/12*2,0)))))</f>
        <v>0</v>
      </c>
      <c r="CA23" s="403">
        <f>IF(AND(BV23&lt;&gt;0,BV$5=$H23),-$I23*$E23-BV23,IF(CA$5=$H23,-$I23*$E23*(12-$J23+1)/12,0))</f>
        <v>0</v>
      </c>
      <c r="CB23" s="400">
        <f>IF($H23&lt;&gt;CF$5,0,IF(CF23&lt;0,IF($J23=1,-$E23*$I23/12*3,IF($J23=2,-$E23*$I23/12*2,IF($J23=3,-$E23*$I23/12*1,0)))))+IF(CA$5&lt;&gt;$H23,0,IF(CA23&lt;0,IF($J23=1,-$E23*$I23/12*0,IF($J23=2,-$E23*$I23/12*1,IF($J23=3,-$E23*$I23/12*2,IF($J23&gt;=4,-$E23*$I23/12*3,0))))))</f>
        <v>0</v>
      </c>
      <c r="CC23" s="406">
        <f>IF($H23&lt;&gt;CF$5,0,IF(CF23&lt;0,IF(OR($J23=1,$J23=2,$J23=3,$J23=4),-$E23*$I23/12*3,IF($J23=5,-$E23*$I23/12*2,IF($J23=6,-$E23*$I23/12*1,0)))))+IF(CA$5&lt;&gt;$H23,0,IF(CA23&lt;0,IF($J23=4,-$E23*$I23/12*0,IF($J23=5,-$E23*$I23/12*1,IF($J23=6,-$E23*$I23/12*2,IF($J23&gt;=7,-$E23*$I23/12*3,0))))))</f>
        <v>0</v>
      </c>
      <c r="CD23" s="406">
        <f>IF($H23&lt;&gt;CF$5,0,IF(CF23&lt;0,IF(OR($J23=1,$J23=2,$J23=3,$J23=4,$J23=5,$J23=6,$J23=7),-$E23*$I23/12*3,IF($J23=8,-$E23*$I23/12*2,IF($J23=9,-$E23*$I23/12*1,0)))))+IF(CA$5&lt;&gt;$H23,0,IF(CA23&lt;0,IF($J23=7,-$E23*$I23/12*0,IF($J23=8,-$E23*$I23/12*1,IF($J23=9,-$E23*$I23/12*2,IF($J23&gt;=10,-$E23*$I23/12*3,0))))))</f>
        <v>0</v>
      </c>
      <c r="CE23" s="402">
        <f>IF($H23&lt;&gt;CF$5,0,IF(CF23&lt;0,IF(OR($J23=1,$J23=2,$J23=3,$J23=4,$J23=5,$J23=6,$J23=7,$J23=8,$J23=9,$J23=10),-$E23*$I23/12*3,IF($J23=11,-$E23*$I23/12*2,IF($J23=12,-$E23*$I23/12*1,0)))))+IF(CA$5&lt;&gt;$H23,0,IF(CA23&lt;0,IF($J23=10,-$E23*$I23/12*0,IF($J23=11,-$E23*$I23/12*1,IF($J23=12,-$E23*$I23/12*2,0)))))</f>
        <v>0</v>
      </c>
      <c r="CF23" s="403">
        <f>IF(AND(CA23&lt;&gt;0,CA$5=$H23),-$I23*$E23-CA23,IF(CF$5=$H23,-$I23*$E23*(12-$J23+1)/12,0))</f>
        <v>0</v>
      </c>
      <c r="CG23" s="400">
        <f>IF($H23&lt;&gt;CK$5,0,IF(CK23&lt;0,IF($J23=1,-$E23*$I23/12*3,IF($J23=2,-$E23*$I23/12*2,IF($J23=3,-$E23*$I23/12*1,0)))))+IF(CF$5&lt;&gt;$H23,0,IF(CF23&lt;0,IF($J23=1,-$E23*$I23/12*0,IF($J23=2,-$E23*$I23/12*1,IF($J23=3,-$E23*$I23/12*2,IF($J23&gt;=4,-$E23*$I23/12*3,0))))))</f>
        <v>0</v>
      </c>
      <c r="CH23" s="406">
        <f>IF($H23&lt;&gt;CK$5,0,IF(CK23&lt;0,IF(OR($J23=1,$J23=2,$J23=3,$J23=4),-$E23*$I23/12*3,IF($J23=5,-$E23*$I23/12*2,IF($J23=6,-$E23*$I23/12*1,0)))))+IF(CF$5&lt;&gt;$H23,0,IF(CF23&lt;0,IF($J23=4,-$E23*$I23/12*0,IF($J23=5,-$E23*$I23/12*1,IF($J23=6,-$E23*$I23/12*2,IF($J23&gt;=7,-$E23*$I23/12*3,0))))))</f>
        <v>0</v>
      </c>
      <c r="CI23" s="406">
        <f>IF($H23&lt;&gt;CK$5,0,IF(CK23&lt;0,IF(OR($J23=1,$J23=2,$J23=3,$J23=4,$J23=5,$J23=6,$J23=7),-$E23*$I23/12*3,IF($J23=8,-$E23*$I23/12*2,IF($J23=9,-$E23*$I23/12*1,0)))))+IF(CF$5&lt;&gt;$H23,0,IF(CF23&lt;0,IF($J23=7,-$E23*$I23/12*0,IF($J23=8,-$E23*$I23/12*1,IF($J23=9,-$E23*$I23/12*2,IF($J23&gt;=10,-$E23*$I23/12*3,0))))))</f>
        <v>0</v>
      </c>
      <c r="CJ23" s="402">
        <f>IF($H23&lt;&gt;CK$5,0,IF(CK23&lt;0,IF(OR($J23=1,$J23=2,$J23=3,$J23=4,$J23=5,$J23=6,$J23=7,$J23=8,$J23=9,$J23=10),-$E23*$I23/12*3,IF($J23=11,-$E23*$I23/12*2,IF($J23=12,-$E23*$I23/12*1,0)))))+IF(CF$5&lt;&gt;$H23,0,IF(CF23&lt;0,IF($J23=10,-$E23*$I23/12*0,IF($J23=11,-$E23*$I23/12*1,IF($J23=12,-$E23*$I23/12*2,0)))))</f>
        <v>0</v>
      </c>
      <c r="CK23" s="403">
        <f>IF(AND(CF23&lt;&gt;0,CF$5=$H23),-$I23*$E23-CF23,IF(CK$5=$H23,-$I23*$E23*(12-$J23+1)/12,0))</f>
        <v>0</v>
      </c>
      <c r="CL23" s="400">
        <f>IF($H23&lt;&gt;CP$5,0,IF(CP23&lt;0,IF($J23=1,-$E23*$I23/12*3,IF($J23=2,-$E23*$I23/12*2,IF($J23=3,-$E23*$I23/12*1,0)))))+IF(CK$5&lt;&gt;$H23,0,IF(CK23&lt;0,IF($J23=1,-$E23*$I23/12*0,IF($J23=2,-$E23*$I23/12*1,IF($J23=3,-$E23*$I23/12*2,IF($J23&gt;=4,-$E23*$I23/12*3,0))))))</f>
        <v>0</v>
      </c>
      <c r="CM23" s="406">
        <f>IF($H23&lt;&gt;CP$5,0,IF(CP23&lt;0,IF(OR($J23=1,$J23=2,$J23=3,$J23=4),-$E23*$I23/12*3,IF($J23=5,-$E23*$I23/12*2,IF($J23=6,-$E23*$I23/12*1,0)))))+IF(CK$5&lt;&gt;$H23,0,IF(CK23&lt;0,IF($J23=4,-$E23*$I23/12*0,IF($J23=5,-$E23*$I23/12*1,IF($J23=6,-$E23*$I23/12*2,IF($J23&gt;=7,-$E23*$I23/12*3,0))))))</f>
        <v>0</v>
      </c>
      <c r="CN23" s="406">
        <f>IF($H23&lt;&gt;CP$5,0,IF(CP23&lt;0,IF(OR($J23=1,$J23=2,$J23=3,$J23=4,$J23=5,$J23=6,$J23=7),-$E23*$I23/12*3,IF($J23=8,-$E23*$I23/12*2,IF($J23=9,-$E23*$I23/12*1,0)))))+IF(CK$5&lt;&gt;$H23,0,IF(CK23&lt;0,IF($J23=7,-$E23*$I23/12*0,IF($J23=8,-$E23*$I23/12*1,IF($J23=9,-$E23*$I23/12*2,IF($J23&gt;=10,-$E23*$I23/12*3,0))))))</f>
        <v>0</v>
      </c>
      <c r="CO23" s="402">
        <f>IF($H23&lt;&gt;CP$5,0,IF(CP23&lt;0,IF(OR($J23=1,$J23=2,$J23=3,$J23=4,$J23=5,$J23=6,$J23=7,$J23=8,$J23=9,$J23=10),-$E23*$I23/12*3,IF($J23=11,-$E23*$I23/12*2,IF($J23=12,-$E23*$I23/12*1,0)))))+IF(CK$5&lt;&gt;$H23,0,IF(CK23&lt;0,IF($J23=10,-$E23*$I23/12*0,IF($J23=11,-$E23*$I23/12*1,IF($J23=12,-$E23*$I23/12*2,0)))))</f>
        <v>0</v>
      </c>
      <c r="CP23" s="403">
        <f>IF(AND(CK23&lt;&gt;0,CK$5=$H23),-$I23*$E23-CK23,IF(CP$5=$H23,-$I23*$E23*(12-$J23+1)/12,0))</f>
        <v>0</v>
      </c>
      <c r="CQ23" s="400">
        <f>IF($H23&lt;&gt;CU$5,0,IF(CU23&lt;0,IF($J23=1,-$E23*$I23/12*3,IF($J23=2,-$E23*$I23/12*2,IF($J23=3,-$E23*$I23/12*1,0)))))+IF(CP$5&lt;&gt;$H23,0,IF(CP23&lt;0,IF($J23=1,-$E23*$I23/12*0,IF($J23=2,-$E23*$I23/12*1,IF($J23=3,-$E23*$I23/12*2,IF($J23&gt;=4,-$E23*$I23/12*3,0))))))</f>
        <v>0</v>
      </c>
      <c r="CR23" s="406">
        <f>IF($H23&lt;&gt;CU$5,0,IF(CU23&lt;0,IF(OR($J23=1,$J23=2,$J23=3,$J23=4),-$E23*$I23/12*3,IF($J23=5,-$E23*$I23/12*2,IF($J23=6,-$E23*$I23/12*1,0)))))+IF(CP$5&lt;&gt;$H23,0,IF(CP23&lt;0,IF($J23=4,-$E23*$I23/12*0,IF($J23=5,-$E23*$I23/12*1,IF($J23=6,-$E23*$I23/12*2,IF($J23&gt;=7,-$E23*$I23/12*3,0))))))</f>
        <v>0</v>
      </c>
      <c r="CS23" s="406">
        <f>IF($H23&lt;&gt;CU$5,0,IF(CU23&lt;0,IF(OR($J23=1,$J23=2,$J23=3,$J23=4,$J23=5,$J23=6,$J23=7),-$E23*$I23/12*3,IF($J23=8,-$E23*$I23/12*2,IF($J23=9,-$E23*$I23/12*1,0)))))+IF(CP$5&lt;&gt;$H23,0,IF(CP23&lt;0,IF($J23=7,-$E23*$I23/12*0,IF($J23=8,-$E23*$I23/12*1,IF($J23=9,-$E23*$I23/12*2,IF($J23&gt;=10,-$E23*$I23/12*3,0))))))</f>
        <v>0</v>
      </c>
      <c r="CT23" s="402">
        <f>IF($H23&lt;&gt;CU$5,0,IF(CU23&lt;0,IF(OR($J23=1,$J23=2,$J23=3,$J23=4,$J23=5,$J23=6,$J23=7,$J23=8,$J23=9,$J23=10),-$E23*$I23/12*3,IF($J23=11,-$E23*$I23/12*2,IF($J23=12,-$E23*$I23/12*1,0)))))+IF(CP$5&lt;&gt;$H23,0,IF(CP23&lt;0,IF($J23=10,-$E23*$I23/12*0,IF($J23=11,-$E23*$I23/12*1,IF($J23=12,-$E23*$I23/12*2,0)))))</f>
        <v>0</v>
      </c>
      <c r="CU23" s="403">
        <f>IF(AND(CP23&lt;&gt;0,CP$5=$H23),-$I23*$E23-CP23,IF(CU$5=$H23,-$I23*$E23*(12-$J23+1)/12,0))</f>
        <v>0</v>
      </c>
      <c r="CV23" s="400">
        <f>IF($H23&lt;&gt;CZ$5,0,IF(CZ23&lt;0,IF($J23=1,-$E23*$I23/12*3,IF($J23=2,-$E23*$I23/12*2,IF($J23=3,-$E23*$I23/12*1,0)))))+IF(CU$5&lt;&gt;$H23,0,IF(CU23&lt;0,IF($J23=1,-$E23*$I23/12*0,IF($J23=2,-$E23*$I23/12*1,IF($J23=3,-$E23*$I23/12*2,IF($J23&gt;=4,-$E23*$I23/12*3,0))))))</f>
        <v>0</v>
      </c>
      <c r="CW23" s="406">
        <f>IF($H23&lt;&gt;CZ$5,0,IF(CZ23&lt;0,IF(OR($J23=1,$J23=2,$J23=3,$J23=4),-$E23*$I23/12*3,IF($J23=5,-$E23*$I23/12*2,IF($J23=6,-$E23*$I23/12*1,0)))))+IF(CU$5&lt;&gt;$H23,0,IF(CU23&lt;0,IF($J23=4,-$E23*$I23/12*0,IF($J23=5,-$E23*$I23/12*1,IF($J23=6,-$E23*$I23/12*2,IF($J23&gt;=7,-$E23*$I23/12*3,0))))))</f>
        <v>0</v>
      </c>
      <c r="CX23" s="406">
        <f>IF($H23&lt;&gt;CZ$5,0,IF(CZ23&lt;0,IF(OR($J23=1,$J23=2,$J23=3,$J23=4,$J23=5,$J23=6,$J23=7),-$E23*$I23/12*3,IF($J23=8,-$E23*$I23/12*2,IF($J23=9,-$E23*$I23/12*1,0)))))+IF(CU$5&lt;&gt;$H23,0,IF(CU23&lt;0,IF($J23=7,-$E23*$I23/12*0,IF($J23=8,-$E23*$I23/12*1,IF($J23=9,-$E23*$I23/12*2,IF($J23&gt;=10,-$E23*$I23/12*3,0))))))</f>
        <v>0</v>
      </c>
      <c r="CY23" s="402">
        <f>IF($H23&lt;&gt;CZ$5,0,IF(CZ23&lt;0,IF(OR($J23=1,$J23=2,$J23=3,$J23=4,$J23=5,$J23=6,$J23=7,$J23=8,$J23=9,$J23=10),-$E23*$I23/12*3,IF($J23=11,-$E23*$I23/12*2,IF($J23=12,-$E23*$I23/12*1,0)))))+IF(CU$5&lt;&gt;$H23,0,IF(CU23&lt;0,IF($J23=10,-$E23*$I23/12*0,IF($J23=11,-$E23*$I23/12*1,IF($J23=12,-$E23*$I23/12*2,0)))))</f>
        <v>0</v>
      </c>
      <c r="CZ23" s="403">
        <f>IF(AND(CU23&lt;&gt;0,CU$5=$H23),-$I23*$E23-CU23,IF(CZ$5=$H23,-$I23*$E23*(12-$J23+1)/12,0))</f>
        <v>0</v>
      </c>
      <c r="DA23" s="400">
        <f>IF($H23&lt;&gt;DE$5,0,IF(DE23&lt;0,IF($J23=1,-$E23*$I23/12*3,IF($J23=2,-$E23*$I23/12*2,IF($J23=3,-$E23*$I23/12*1,0)))))+IF(CZ$5&lt;&gt;$H23,0,IF(CZ23&lt;0,IF($J23=1,-$E23*$I23/12*0,IF($J23=2,-$E23*$I23/12*1,IF($J23=3,-$E23*$I23/12*2,IF($J23&gt;=4,-$E23*$I23/12*3,0))))))</f>
        <v>0</v>
      </c>
      <c r="DB23" s="406">
        <f>IF($H23&lt;&gt;DE$5,0,IF(DE23&lt;0,IF(OR($J23=1,$J23=2,$J23=3,$J23=4),-$E23*$I23/12*3,IF($J23=5,-$E23*$I23/12*2,IF($J23=6,-$E23*$I23/12*1,0)))))+IF(CZ$5&lt;&gt;$H23,0,IF(CZ23&lt;0,IF($J23=4,-$E23*$I23/12*0,IF($J23=5,-$E23*$I23/12*1,IF($J23=6,-$E23*$I23/12*2,IF($J23&gt;=7,-$E23*$I23/12*3,0))))))</f>
        <v>0</v>
      </c>
      <c r="DC23" s="406">
        <f>IF($H23&lt;&gt;DE$5,0,IF(DE23&lt;0,IF(OR($J23=1,$J23=2,$J23=3,$J23=4,$J23=5,$J23=6,$J23=7),-$E23*$I23/12*3,IF($J23=8,-$E23*$I23/12*2,IF($J23=9,-$E23*$I23/12*1,0)))))+IF(CZ$5&lt;&gt;$H23,0,IF(CZ23&lt;0,IF($J23=7,-$E23*$I23/12*0,IF($J23=8,-$E23*$I23/12*1,IF($J23=9,-$E23*$I23/12*2,IF($J23&gt;=10,-$E23*$I23/12*3,0))))))</f>
        <v>0</v>
      </c>
      <c r="DD23" s="402">
        <f>IF($H23&lt;&gt;DE$5,0,IF(DE23&lt;0,IF(OR($J23=1,$J23=2,$J23=3,$J23=4,$J23=5,$J23=6,$J23=7,$J23=8,$J23=9,$J23=10),-$E23*$I23/12*3,IF($J23=11,-$E23*$I23/12*2,IF($J23=12,-$E23*$I23/12*1,0)))))+IF(CZ$5&lt;&gt;$H23,0,IF(CZ23&lt;0,IF($J23=10,-$E23*$I23/12*0,IF($J23=11,-$E23*$I23/12*1,IF($J23=12,-$E23*$I23/12*2,0)))))</f>
        <v>0</v>
      </c>
      <c r="DE23" s="403">
        <f>IF(AND(CZ23&lt;&gt;0,CZ$5=$H23),-$I23*$E23-CZ23,IF(DE$5=$H23,-$I23*$E23*(12-$J23+1)/12,0))</f>
        <v>0</v>
      </c>
      <c r="DF23" s="400">
        <f>IF($H23&lt;&gt;DJ$5,0,IF(DJ23&lt;0,IF($J23=1,-$E23*$I23/12*3,IF($J23=2,-$E23*$I23/12*2,IF($J23=3,-$E23*$I23/12*1,0)))))+IF(DE$5&lt;&gt;$H23,0,IF(DE23&lt;0,IF($J23=1,-$E23*$I23/12*0,IF($J23=2,-$E23*$I23/12*1,IF($J23=3,-$E23*$I23/12*2,IF($J23&gt;=4,-$E23*$I23/12*3,0))))))</f>
        <v>0</v>
      </c>
      <c r="DG23" s="406">
        <f>IF($H23&lt;&gt;DJ$5,0,IF(DJ23&lt;0,IF(OR($J23=1,$J23=2,$J23=3,$J23=4),-$E23*$I23/12*3,IF($J23=5,-$E23*$I23/12*2,IF($J23=6,-$E23*$I23/12*1,0)))))+IF(DE$5&lt;&gt;$H23,0,IF(DE23&lt;0,IF($J23=4,-$E23*$I23/12*0,IF($J23=5,-$E23*$I23/12*1,IF($J23=6,-$E23*$I23/12*2,IF($J23&gt;=7,-$E23*$I23/12*3,0))))))</f>
        <v>0</v>
      </c>
      <c r="DH23" s="406">
        <f>IF($H23&lt;&gt;DJ$5,0,IF(DJ23&lt;0,IF(OR($J23=1,$J23=2,$J23=3,$J23=4,$J23=5,$J23=6,$J23=7),-$E23*$I23/12*3,IF($J23=8,-$E23*$I23/12*2,IF($J23=9,-$E23*$I23/12*1,0)))))+IF(DE$5&lt;&gt;$H23,0,IF(DE23&lt;0,IF($J23=7,-$E23*$I23/12*0,IF($J23=8,-$E23*$I23/12*1,IF($J23=9,-$E23*$I23/12*2,IF($J23&gt;=10,-$E23*$I23/12*3,0))))))</f>
        <v>0</v>
      </c>
      <c r="DI23" s="402">
        <f>IF($H23&lt;&gt;DJ$5,0,IF(DJ23&lt;0,IF(OR($J23=1,$J23=2,$J23=3,$J23=4,$J23=5,$J23=6,$J23=7,$J23=8,$J23=9,$J23=10),-$E23*$I23/12*3,IF($J23=11,-$E23*$I23/12*2,IF($J23=12,-$E23*$I23/12*1,0)))))+IF(DE$5&lt;&gt;$H23,0,IF(DE23&lt;0,IF($J23=10,-$E23*$I23/12*0,IF($J23=11,-$E23*$I23/12*1,IF($J23=12,-$E23*$I23/12*2,0)))))</f>
        <v>0</v>
      </c>
      <c r="DJ23" s="403">
        <f>IF(AND(DE23&lt;&gt;0,DE$5=$H23),-$I23*$E23-DE23,IF(DJ$5=$H23,-$I23*$E23*(12-$J23+1)/12,0))</f>
        <v>0</v>
      </c>
      <c r="DK23" s="400">
        <f>IF($H23&lt;&gt;DO$5,0,IF(DO23&lt;0,IF($J23=1,-$E23*$I23/12*3,IF($J23=2,-$E23*$I23/12*2,IF($J23=3,-$E23*$I23/12*1,0)))))+IF(DJ$5&lt;&gt;$H23,0,IF(DJ23&lt;0,IF($J23=1,-$E23*$I23/12*0,IF($J23=2,-$E23*$I23/12*1,IF($J23=3,-$E23*$I23/12*2,IF($J23&gt;=4,-$E23*$I23/12*3,0))))))</f>
        <v>0</v>
      </c>
      <c r="DL23" s="406">
        <f>IF($H23&lt;&gt;DO$5,0,IF(DO23&lt;0,IF(OR($J23=1,$J23=2,$J23=3,$J23=4),-$E23*$I23/12*3,IF($J23=5,-$E23*$I23/12*2,IF($J23=6,-$E23*$I23/12*1,0)))))+IF(DJ$5&lt;&gt;$H23,0,IF(DJ23&lt;0,IF($J23=4,-$E23*$I23/12*0,IF($J23=5,-$E23*$I23/12*1,IF($J23=6,-$E23*$I23/12*2,IF($J23&gt;=7,-$E23*$I23/12*3,0))))))</f>
        <v>0</v>
      </c>
      <c r="DM23" s="406">
        <f>IF($H23&lt;&gt;DO$5,0,IF(DO23&lt;0,IF(OR($J23=1,$J23=2,$J23=3,$J23=4,$J23=5,$J23=6,$J23=7),-$E23*$I23/12*3,IF($J23=8,-$E23*$I23/12*2,IF($J23=9,-$E23*$I23/12*1,0)))))+IF(DJ$5&lt;&gt;$H23,0,IF(DJ23&lt;0,IF($J23=7,-$E23*$I23/12*0,IF($J23=8,-$E23*$I23/12*1,IF($J23=9,-$E23*$I23/12*2,IF($J23&gt;=10,-$E23*$I23/12*3,0))))))</f>
        <v>0</v>
      </c>
      <c r="DN23" s="402">
        <f>IF($H23&lt;&gt;DO$5,0,IF(DO23&lt;0,IF(OR($J23=1,$J23=2,$J23=3,$J23=4,$J23=5,$J23=6,$J23=7,$J23=8,$J23=9,$J23=10),-$E23*$I23/12*3,IF($J23=11,-$E23*$I23/12*2,IF($J23=12,-$E23*$I23/12*1,0)))))+IF(DJ$5&lt;&gt;$H23,0,IF(DJ23&lt;0,IF($J23=10,-$E23*$I23/12*0,IF($J23=11,-$E23*$I23/12*1,IF($J23=12,-$E23*$I23/12*2,0)))))</f>
        <v>0</v>
      </c>
      <c r="DO23" s="403">
        <f>IF(AND(DJ23&lt;&gt;0,DJ$5=$H23),-$I23*$E23-DJ23,IF(DO$5=$H23,-$I23*$E23*(12-$J23+1)/12,0))</f>
        <v>0</v>
      </c>
      <c r="DP23" s="400">
        <f>IF($H23&lt;&gt;DT$5,0,IF(DT23&lt;0,IF($J23=1,-$E23*$I23/12*3,IF($J23=2,-$E23*$I23/12*2,IF($J23=3,-$E23*$I23/12*1,0)))))+IF(DO$5&lt;&gt;$H23,0,IF(DO23&lt;0,IF($J23=1,-$E23*$I23/12*0,IF($J23=2,-$E23*$I23/12*1,IF($J23=3,-$E23*$I23/12*2,IF($J23&gt;=4,-$E23*$I23/12*3,0))))))</f>
        <v>0</v>
      </c>
      <c r="DQ23" s="406">
        <f>IF($H23&lt;&gt;DT$5,0,IF(DT23&lt;0,IF(OR($J23=1,$J23=2,$J23=3,$J23=4),-$E23*$I23/12*3,IF($J23=5,-$E23*$I23/12*2,IF($J23=6,-$E23*$I23/12*1,0)))))+IF(DO$5&lt;&gt;$H23,0,IF(DO23&lt;0,IF($J23=4,-$E23*$I23/12*0,IF($J23=5,-$E23*$I23/12*1,IF($J23=6,-$E23*$I23/12*2,IF($J23&gt;=7,-$E23*$I23/12*3,0))))))</f>
        <v>0</v>
      </c>
      <c r="DR23" s="406">
        <f>IF($H23&lt;&gt;DT$5,0,IF(DT23&lt;0,IF(OR($J23=1,$J23=2,$J23=3,$J23=4,$J23=5,$J23=6,$J23=7),-$E23*$I23/12*3,IF($J23=8,-$E23*$I23/12*2,IF($J23=9,-$E23*$I23/12*1,0)))))+IF(DO$5&lt;&gt;$H23,0,IF(DO23&lt;0,IF($J23=7,-$E23*$I23/12*0,IF($J23=8,-$E23*$I23/12*1,IF($J23=9,-$E23*$I23/12*2,IF($J23&gt;=10,-$E23*$I23/12*3,0))))))</f>
        <v>0</v>
      </c>
      <c r="DS23" s="402">
        <f>IF($H23&lt;&gt;DT$5,0,IF(DT23&lt;0,IF(OR($J23=1,$J23=2,$J23=3,$J23=4,$J23=5,$J23=6,$J23=7,$J23=8,$J23=9,$J23=10),-$E23*$I23/12*3,IF($J23=11,-$E23*$I23/12*2,IF($J23=12,-$E23*$I23/12*1,0)))))+IF(DO$5&lt;&gt;$H23,0,IF(DO23&lt;0,IF($J23=10,-$E23*$I23/12*0,IF($J23=11,-$E23*$I23/12*1,IF($J23=12,-$E23*$I23/12*2,0)))))</f>
        <v>0</v>
      </c>
      <c r="DT23" s="403">
        <f>IF(AND(DO23&lt;&gt;0,DO$5=$H23),-$I23*$E23-DO23,IF(DT$5=$H23,-$I23*$E23*(12-$J23+1)/12,0))</f>
        <v>0</v>
      </c>
      <c r="EF23" s="35"/>
      <c r="EI23" s="759"/>
    </row>
    <row r="24" spans="1:139" s="804" customFormat="1" ht="12.75" customHeight="1" x14ac:dyDescent="0.2">
      <c r="C24" s="922" t="s">
        <v>608</v>
      </c>
      <c r="D24" s="826"/>
      <c r="E24" s="530">
        <f>IF(F24=0,G24,F24)</f>
        <v>500</v>
      </c>
      <c r="F24" s="831">
        <v>500</v>
      </c>
      <c r="G24" s="831">
        <v>500</v>
      </c>
      <c r="H24" s="808">
        <v>1015</v>
      </c>
      <c r="I24" s="809">
        <v>3.3500000000000002E-2</v>
      </c>
      <c r="J24" s="810">
        <v>12</v>
      </c>
      <c r="K24" s="886"/>
      <c r="L24" s="887">
        <f>IF(L$5=$H24,$E24,0)</f>
        <v>0</v>
      </c>
      <c r="M24" s="394">
        <f>IF(Q24=0,0,IF(Q24&gt;0,IF($J24=3,Q24,IF($J24=2,Q24,IF($J24=1,Q24,0)))))</f>
        <v>0</v>
      </c>
      <c r="N24" s="404">
        <f>IF(Q24=0,0,IF(Q24&gt;0,IF($J24=6,Q24,IF($J24=5,Q24,IF($J24=4,Q24,0)))))</f>
        <v>0</v>
      </c>
      <c r="O24" s="404">
        <f>IF(Q24=0,0,IF(Q24&gt;0,IF($J24=9,Q24,IF($J24=8,Q24,IF($J24=7,Q24,0)))))</f>
        <v>0</v>
      </c>
      <c r="P24" s="396">
        <f>IF(Q24=0,0,IF(Q24&gt;0,IF($J24=12,Q24,IF($J24=11,Q24,IF($J24=10,Q24,0)))))</f>
        <v>0</v>
      </c>
      <c r="Q24" s="887">
        <f>IF(Q$5=$H24,$E24,0)</f>
        <v>0</v>
      </c>
      <c r="R24" s="394">
        <f>IF(V24=0,0,IF(V24&gt;0,IF($J24=3,V24,IF($J24=2,V24,IF($J24=1,V24,0)))))</f>
        <v>0</v>
      </c>
      <c r="S24" s="404">
        <f>IF(V24=0,0,IF(V24&gt;0,IF($J24=6,V24,IF($J24=5,V24,IF($J24=4,V24,0)))))</f>
        <v>0</v>
      </c>
      <c r="T24" s="404">
        <f>IF(V24=0,0,IF(V24&gt;0,IF($J24=9,V24,IF($J24=8,V24,IF($J24=7,V24,0)))))</f>
        <v>0</v>
      </c>
      <c r="U24" s="396">
        <f>IF(V24=0,0,IF(V24&gt;0,IF($J24=12,V24,IF($J24=11,V24,IF($J24=10,V24,0)))))</f>
        <v>0</v>
      </c>
      <c r="V24" s="887">
        <f>IF(V$5=$H24,$E24,0)</f>
        <v>0</v>
      </c>
      <c r="W24" s="394">
        <f>IF(AA24=0,0,IF(AA24&gt;0,IF($J24=3,AA24,IF($J24=2,AA24,IF($J24=1,AA24,0)))))</f>
        <v>0</v>
      </c>
      <c r="X24" s="404">
        <f>IF(AA24=0,0,IF(AA24&gt;0,IF($J24=6,AA24,IF($J24=5,AA24,IF($J24=4,AA24,0)))))</f>
        <v>0</v>
      </c>
      <c r="Y24" s="404">
        <f>IF(AA24=0,0,IF(AA24&gt;0,IF($J24=9,AA24,IF($J24=8,AA24,IF($J24=7,AA24,0)))))</f>
        <v>0</v>
      </c>
      <c r="Z24" s="396">
        <f>IF(AA24=0,0,IF(AA24&gt;0,IF($J24=12,AA24,IF($J24=11,AA24,IF($J24=10,AA24,0)))))</f>
        <v>0</v>
      </c>
      <c r="AA24" s="887">
        <f>IF(AA$5=$H24,$E24,0)</f>
        <v>0</v>
      </c>
      <c r="AB24" s="394">
        <f>IF(AF24=0,0,IF(AF24&gt;0,IF($J24=3,AF24,IF($J24=2,AF24,IF($J24=1,AF24,0)))))</f>
        <v>0</v>
      </c>
      <c r="AC24" s="404">
        <f>IF(AF24=0,0,IF(AF24&gt;0,IF($J24=6,AF24,IF($J24=5,AF24,IF($J24=4,AF24,0)))))</f>
        <v>0</v>
      </c>
      <c r="AD24" s="404">
        <f>IF(AF24=0,0,IF(AF24&gt;0,IF($J24=9,AF24,IF($J24=8,AF24,IF($J24=7,AF24,0)))))</f>
        <v>0</v>
      </c>
      <c r="AE24" s="396">
        <f>IF(AF24=0,0,IF(AF24&gt;0,IF($J24=12,AF24,IF($J24=11,AF24,IF($J24=10,AF24,0)))))</f>
        <v>0</v>
      </c>
      <c r="AF24" s="887">
        <f>IF(AF$5=$H24,$E24,0)</f>
        <v>0</v>
      </c>
      <c r="AG24" s="394">
        <f>IF(AK24=0,0,IF(AK24&gt;0,IF($J24=3,AK24,IF($J24=2,AK24,IF($J24=1,AK24,0)))))</f>
        <v>0</v>
      </c>
      <c r="AH24" s="404">
        <f>IF(AK24=0,0,IF(AK24&gt;0,IF($J24=6,AK24,IF($J24=5,AK24,IF($J24=4,AK24,0)))))</f>
        <v>0</v>
      </c>
      <c r="AI24" s="404">
        <f>IF(AK24=0,0,IF(AK24&gt;0,IF($J24=9,AK24,IF($J24=8,AK24,IF($J24=7,AK24,0)))))</f>
        <v>0</v>
      </c>
      <c r="AJ24" s="396">
        <f>IF(AK24=0,0,IF(AK24&gt;0,IF($J24=12,AK24,IF($J24=11,AK24,IF($J24=10,AK24,0)))))</f>
        <v>0</v>
      </c>
      <c r="AK24" s="887">
        <f>IF(AK$5=$H24,$E24,0)</f>
        <v>0</v>
      </c>
      <c r="AL24" s="394">
        <f>IF(AP24=0,0,IF(AP24&gt;0,IF($J24=3,AP24,IF($J24=2,AP24,IF($J24=1,AP24,0)))))</f>
        <v>0</v>
      </c>
      <c r="AM24" s="404">
        <f>IF(AP24=0,0,IF(AP24&gt;0,IF($J24=6,AP24,IF($J24=5,AP24,IF($J24=4,AP24,0)))))</f>
        <v>0</v>
      </c>
      <c r="AN24" s="404">
        <f>IF(AP24=0,0,IF(AP24&gt;0,IF($J24=9,AP24,IF($J24=8,AP24,IF($J24=7,AP24,0)))))</f>
        <v>0</v>
      </c>
      <c r="AO24" s="396">
        <f>IF(AP24=0,0,IF(AP24&gt;0,IF($J24=12,AP24,IF($J24=11,AP24,IF($J24=10,AP24,0)))))</f>
        <v>0</v>
      </c>
      <c r="AP24" s="887">
        <f>IF(AP$5=$H24,$E24,0)</f>
        <v>0</v>
      </c>
      <c r="AQ24" s="394">
        <f>IF(AU24=0,0,IF(AU24&gt;0,IF($J24=3,AU24,IF($J24=2,AU24,IF($J24=1,AU24,0)))))</f>
        <v>0</v>
      </c>
      <c r="AR24" s="404">
        <f>IF(AU24=0,0,IF(AU24&gt;0,IF($J24=6,AU24,IF($J24=5,AU24,IF($J24=4,AU24,0)))))</f>
        <v>0</v>
      </c>
      <c r="AS24" s="404">
        <f>IF(AU24=0,0,IF(AU24&gt;0,IF($J24=9,AU24,IF($J24=8,AU24,IF($J24=7,AU24,0)))))</f>
        <v>0</v>
      </c>
      <c r="AT24" s="396">
        <f>IF(AU24=0,0,IF(AU24&gt;0,IF($J24=12,AU24,IF($J24=11,AU24,IF($J24=10,AU24,0)))))</f>
        <v>0</v>
      </c>
      <c r="AU24" s="887">
        <f>IF(AU$5=$H24,$E24,0)</f>
        <v>0</v>
      </c>
      <c r="AV24" s="394">
        <f>IF(AZ24=0,0,IF(AZ24&gt;0,IF($J24=3,AZ24,IF($J24=2,AZ24,IF($J24=1,AZ24,0)))))</f>
        <v>0</v>
      </c>
      <c r="AW24" s="404">
        <f>IF(AZ24=0,0,IF(AZ24&gt;0,IF($J24=6,AZ24,IF($J24=5,AZ24,IF($J24=4,AZ24,0)))))</f>
        <v>0</v>
      </c>
      <c r="AX24" s="404">
        <f>IF(AZ24=0,0,IF(AZ24&gt;0,IF($J24=9,AZ24,IF($J24=8,AZ24,IF($J24=7,AZ24,0)))))</f>
        <v>0</v>
      </c>
      <c r="AY24" s="396">
        <f>IF(AZ24=0,0,IF(AZ24&gt;0,IF($J24=12,AZ24,IF($J24=11,AZ24,IF($J24=10,AZ24,0)))))</f>
        <v>0</v>
      </c>
      <c r="AZ24" s="887">
        <f>IF(AZ$5=$H24,$E24,0)</f>
        <v>0</v>
      </c>
      <c r="BA24" s="394">
        <f>IF(BE24=0,0,IF(BE24&gt;0,IF($J24=3,BE24,IF($J24=2,BE24,IF($J24=1,BE24,0)))))</f>
        <v>0</v>
      </c>
      <c r="BB24" s="404">
        <f>IF(BE24=0,0,IF(BE24&gt;0,IF($J24=6,BE24,IF($J24=5,BE24,IF($J24=4,BE24,0)))))</f>
        <v>0</v>
      </c>
      <c r="BC24" s="404">
        <f>IF(BE24=0,0,IF(BE24&gt;0,IF($J24=9,BE24,IF($J24=8,BE24,IF($J24=7,BE24,0)))))</f>
        <v>0</v>
      </c>
      <c r="BD24" s="396">
        <f>IF(BE24=0,0,IF(BE24&gt;0,IF($J24=12,BE24,IF($J24=11,BE24,IF($J24=10,BE24,0)))))</f>
        <v>0</v>
      </c>
      <c r="BE24" s="887">
        <f>IF(BE$5=$H24,$E24,0)</f>
        <v>0</v>
      </c>
      <c r="BF24" s="394">
        <f>IF(BJ24=0,0,IF(BJ24&gt;0,IF($J24=3,BJ24,IF($J24=2,BJ24,IF($J24=1,BJ24,0)))))</f>
        <v>0</v>
      </c>
      <c r="BG24" s="404">
        <f>IF(BJ24=0,0,IF(BJ24&gt;0,IF($J24=6,BJ24,IF($J24=5,BJ24,IF($J24=4,BJ24,0)))))</f>
        <v>0</v>
      </c>
      <c r="BH24" s="404">
        <f>IF(BJ24=0,0,IF(BJ24&gt;0,IF($J24=9,BJ24,IF($J24=8,BJ24,IF($J24=7,BJ24,0)))))</f>
        <v>0</v>
      </c>
      <c r="BI24" s="396">
        <f>IF(BJ24=0,0,IF(BJ24&gt;0,IF($J24=12,BJ24,IF($J24=11,BJ24,IF($J24=10,BJ24,0)))))</f>
        <v>0</v>
      </c>
      <c r="BJ24" s="887">
        <f>IF(BJ$5=$H24,$E24,0)</f>
        <v>0</v>
      </c>
      <c r="BK24" s="394">
        <f>IF(BO24=0,0,IF(BO24&gt;0,IF($J24=3,BO24,IF($J24=2,BO24,IF($J24=1,BO24,0)))))</f>
        <v>0</v>
      </c>
      <c r="BL24" s="404">
        <f>IF(BO24=0,0,IF(BO24&gt;0,IF($J24=6,BO24,IF($J24=5,BO24,IF($J24=4,BO24,0)))))</f>
        <v>0</v>
      </c>
      <c r="BM24" s="404">
        <f>IF(BO24=0,0,IF(BO24&gt;0,IF($J24=9,BO24,IF($J24=8,BO24,IF($J24=7,BO24,0)))))</f>
        <v>0</v>
      </c>
      <c r="BN24" s="396">
        <f>IF(BO24=0,0,IF(BO24&gt;0,IF($J24=12,BO24,IF($J24=11,BO24,IF($J24=10,BO24,0)))))</f>
        <v>0</v>
      </c>
      <c r="BO24" s="887">
        <f>IF(BO$5=$H24,$E24,0)</f>
        <v>0</v>
      </c>
      <c r="BP24" s="888"/>
      <c r="BQ24" s="889">
        <f>IF(AND(BP24&lt;&gt;0,BP$5=$H24),$I24*$E24-BP24,IF(BQ$5=$H24,$I24*$E24*(12-$J24+1)/12,0))</f>
        <v>0</v>
      </c>
      <c r="BR24" s="400">
        <f>IF($H24&lt;&gt;BV$5,0,IF(BV24&gt;0,IF($J24=1,$E24*$I24/12*3,IF($J24=2,$E24*$I24/12*2,IF($J24=3,$E24*$I24/12*1,0)))))+IF(BQ$5&lt;&gt;$H24,0,IF(BQ24&gt;0,IF($J24=1,$E24*$I24/12*0,IF($J24=2,$E24*$I24/12*1,IF($J24=3,$E24*$I24/12*2,IF($J24&gt;=4,$E24*$I24/12*3,0))))))</f>
        <v>0</v>
      </c>
      <c r="BS24" s="406">
        <f>IF($H24&lt;&gt;BV$5,0,IF(BV24&gt;0,IF(OR($J24=1,$J24=2,$J24=3,$J24=4),$E24*$I24/12*3,IF($J24=5,$E24*$I24/12*2,IF($J24=6,$E24*$I24/12*1,0)))))+IF(BQ$5&lt;&gt;$H24,0,IF(BQ24&gt;0,IF($J24=4,$E24*$I24/12*0,IF($J24=5,$E24*$I24/12*1,IF($J24=6,$E24*$I24/12*2,IF($J24&gt;=7,$E24*$I24/12*3,0))))))</f>
        <v>0</v>
      </c>
      <c r="BT24" s="406">
        <f>IF($H24&lt;&gt;BV$5,0,IF(BV24&gt;0,IF(OR($J24=1,$J24=2,$J24=3,$J24=4,$J24=5,$J24=6,$J24=7),$E24*$I24/12*3,IF($J24=8,$E24*$I24/12*2,IF($J24=9,$E24*$I24/12*1,0)))))+IF(BQ$5&lt;&gt;$H24,0,IF(BQ24&gt;0,IF($J24=7,$E24*$I24/12*0,IF($J24=8,$E24*$I24/12*1,IF($J24=9,$E24*$I24/12*2,IF($J24&gt;=10,$E24*$I24/12*3,0))))))</f>
        <v>0</v>
      </c>
      <c r="BU24" s="402">
        <f>IF($H24&lt;&gt;BV$5,0,IF(BV24&gt;0,IF(OR($J24=1,$J24=2,$J24=3,$J24=4,$J24=5,$J24=6,$J24=7,$J24=8,$J24=9,$J24=10),$E24*$I24/12*3,IF($J24=11,$E24*$I24/12*2,IF($J24=12,$E24*$I24/12*1,0)))))+IF(BQ$5&lt;&gt;$H24,0,IF(BQ24&gt;0,IF($J24=10,$E24*$I24/12*0,IF($J24=11,$E24*$I24/12*1,IF($J24=12,$E24*$I24/12*2,0)))))</f>
        <v>0</v>
      </c>
      <c r="BV24" s="889">
        <f>IF(AND(BQ24&lt;&gt;0,BQ$5=$H24),$I24*$E24-BQ24,IF(BV$5=$H24,$I24*$E24*(12-$J24+1)/12,0))</f>
        <v>0</v>
      </c>
      <c r="BW24" s="400">
        <f>IF($H24&lt;&gt;CA$5,0,IF(CA24&gt;0,IF($J24=1,$E24*$I24/12*3,IF($J24=2,$E24*$I24/12*2,IF($J24=3,$E24*$I24/12*1,0)))))+IF(BV$5&lt;&gt;$H24,0,IF(BV24&gt;0,IF($J24=1,$E24*$I24/12*0,IF($J24=2,$E24*$I24/12*1,IF($J24=3,$E24*$I24/12*2,IF($J24&gt;=4,$E24*$I24/12*3,0))))))</f>
        <v>0</v>
      </c>
      <c r="BX24" s="406">
        <f>IF($H24&lt;&gt;CA$5,0,IF(CA24&gt;0,IF(OR($J24=1,$J24=2,$J24=3,$J24=4),$E24*$I24/12*3,IF($J24=5,$E24*$I24/12*2,IF($J24=6,$E24*$I24/12*1,0)))))+IF(BV$5&lt;&gt;$H24,0,IF(BV24&gt;0,IF($J24=4,$E24*$I24/12*0,IF($J24=5,$E24*$I24/12*1,IF($J24=6,$E24*$I24/12*2,IF($J24&gt;=7,$E24*$I24/12*3,0))))))</f>
        <v>0</v>
      </c>
      <c r="BY24" s="406">
        <f>IF($H24&lt;&gt;CA$5,0,IF(CA24&gt;0,IF(OR($J24=1,$J24=2,$J24=3,$J24=4,$J24=5,$J24=6,$J24=7),$E24*$I24/12*3,IF($J24=8,$E24*$I24/12*2,IF($J24=9,$E24*$I24/12*1,0)))))+IF(BV$5&lt;&gt;$H24,0,IF(BV24&gt;0,IF($J24=7,$E24*$I24/12*0,IF($J24=8,$E24*$I24/12*1,IF($J24=9,$E24*$I24/12*2,IF($J24&gt;=10,$E24*$I24/12*3,0))))))</f>
        <v>0</v>
      </c>
      <c r="BZ24" s="402">
        <f>IF($H24&lt;&gt;CA$5,0,IF(CA24&gt;0,IF(OR($J24=1,$J24=2,$J24=3,$J24=4,$J24=5,$J24=6,$J24=7,$J24=8,$J24=9,$J24=10),$E24*$I24/12*3,IF($J24=11,$E24*$I24/12*2,IF($J24=12,$E24*$I24/12*1,0)))))+IF(BV$5&lt;&gt;$H24,0,IF(BV24&gt;0,IF($J24=10,$E24*$I24/12*0,IF($J24=11,$E24*$I24/12*1,IF($J24=12,$E24*$I24/12*2,0)))))</f>
        <v>0</v>
      </c>
      <c r="CA24" s="889">
        <f>IF(AND(BV24&lt;&gt;0,BV$5=$H24),$I24*$E24-BV24,IF(CA$5=$H24,$I24*$E24*(12-$J24+1)/12,0))</f>
        <v>0</v>
      </c>
      <c r="CB24" s="400">
        <f>IF($H24&lt;&gt;CF$5,0,IF(CF24&gt;0,IF($J24=1,$E24*$I24/12*3,IF($J24=2,$E24*$I24/12*2,IF($J24=3,$E24*$I24/12*1,0)))))+IF(CA$5&lt;&gt;$H24,0,IF(CA24&gt;0,IF($J24=1,$E24*$I24/12*0,IF($J24=2,$E24*$I24/12*1,IF($J24=3,$E24*$I24/12*2,IF($J24&gt;=4,$E24*$I24/12*3,0))))))</f>
        <v>0</v>
      </c>
      <c r="CC24" s="406">
        <f>IF($H24&lt;&gt;CF$5,0,IF(CF24&gt;0,IF(OR($J24=1,$J24=2,$J24=3,$J24=4),$E24*$I24/12*3,IF($J24=5,$E24*$I24/12*2,IF($J24=6,$E24*$I24/12*1,0)))))+IF(CA$5&lt;&gt;$H24,0,IF(CA24&gt;0,IF($J24=4,$E24*$I24/12*0,IF($J24=5,$E24*$I24/12*1,IF($J24=6,$E24*$I24/12*2,IF($J24&gt;=7,$E24*$I24/12*3,0))))))</f>
        <v>0</v>
      </c>
      <c r="CD24" s="406">
        <f>IF($H24&lt;&gt;CF$5,0,IF(CF24&gt;0,IF(OR($J24=1,$J24=2,$J24=3,$J24=4,$J24=5,$J24=6,$J24=7),$E24*$I24/12*3,IF($J24=8,$E24*$I24/12*2,IF($J24=9,$E24*$I24/12*1,0)))))+IF(CA$5&lt;&gt;$H24,0,IF(CA24&gt;0,IF($J24=7,$E24*$I24/12*0,IF($J24=8,$E24*$I24/12*1,IF($J24=9,$E24*$I24/12*2,IF($J24&gt;=10,$E24*$I24/12*3,0))))))</f>
        <v>0</v>
      </c>
      <c r="CE24" s="402">
        <f>IF($H24&lt;&gt;CF$5,0,IF(CF24&gt;0,IF(OR($J24=1,$J24=2,$J24=3,$J24=4,$J24=5,$J24=6,$J24=7,$J24=8,$J24=9,$J24=10),$E24*$I24/12*3,IF($J24=11,$E24*$I24/12*2,IF($J24=12,$E24*$I24/12*1,0)))))+IF(CA$5&lt;&gt;$H24,0,IF(CA24&gt;0,IF($J24=10,$E24*$I24/12*0,IF($J24=11,$E24*$I24/12*1,IF($J24=12,$E24*$I24/12*2,0)))))</f>
        <v>0</v>
      </c>
      <c r="CF24" s="889">
        <f>IF(AND(CA24&lt;&gt;0,CA$5=$H24),$I24*$E24-CA24,IF(CF$5=$H24,$I24*$E24*(12-$J24+1)/12,0))</f>
        <v>0</v>
      </c>
      <c r="CG24" s="400">
        <f>IF($H24&lt;&gt;CK$5,0,IF(CK24&gt;0,IF($J24=1,$E24*$I24/12*3,IF($J24=2,$E24*$I24/12*2,IF($J24=3,$E24*$I24/12*1,0)))))+IF(CF$5&lt;&gt;$H24,0,IF(CF24&gt;0,IF($J24=1,$E24*$I24/12*0,IF($J24=2,$E24*$I24/12*1,IF($J24=3,$E24*$I24/12*2,IF($J24&gt;=4,$E24*$I24/12*3,0))))))</f>
        <v>0</v>
      </c>
      <c r="CH24" s="406">
        <f>IF($H24&lt;&gt;CK$5,0,IF(CK24&gt;0,IF(OR($J24=1,$J24=2,$J24=3,$J24=4),$E24*$I24/12*3,IF($J24=5,$E24*$I24/12*2,IF($J24=6,$E24*$I24/12*1,0)))))+IF(CF$5&lt;&gt;$H24,0,IF(CF24&gt;0,IF($J24=4,$E24*$I24/12*0,IF($J24=5,$E24*$I24/12*1,IF($J24=6,$E24*$I24/12*2,IF($J24&gt;=7,$E24*$I24/12*3,0))))))</f>
        <v>0</v>
      </c>
      <c r="CI24" s="406">
        <f>IF($H24&lt;&gt;CK$5,0,IF(CK24&gt;0,IF(OR($J24=1,$J24=2,$J24=3,$J24=4,$J24=5,$J24=6,$J24=7),$E24*$I24/12*3,IF($J24=8,$E24*$I24/12*2,IF($J24=9,$E24*$I24/12*1,0)))))+IF(CF$5&lt;&gt;$H24,0,IF(CF24&gt;0,IF($J24=7,$E24*$I24/12*0,IF($J24=8,$E24*$I24/12*1,IF($J24=9,$E24*$I24/12*2,IF($J24&gt;=10,$E24*$I24/12*3,0))))))</f>
        <v>0</v>
      </c>
      <c r="CJ24" s="402">
        <f>IF($H24&lt;&gt;CK$5,0,IF(CK24&gt;0,IF(OR($J24=1,$J24=2,$J24=3,$J24=4,$J24=5,$J24=6,$J24=7,$J24=8,$J24=9,$J24=10),$E24*$I24/12*3,IF($J24=11,$E24*$I24/12*2,IF($J24=12,$E24*$I24/12*1,0)))))+IF(CF$5&lt;&gt;$H24,0,IF(CF24&gt;0,IF($J24=10,$E24*$I24/12*0,IF($J24=11,$E24*$I24/12*1,IF($J24=12,$E24*$I24/12*2,0)))))</f>
        <v>0</v>
      </c>
      <c r="CK24" s="889">
        <f>IF(AND(CF24&lt;&gt;0,CF$5=$H24),$I24*$E24-CF24,IF(CK$5=$H24,$I24*$E24*(12-$J24+1)/12,0))</f>
        <v>0</v>
      </c>
      <c r="CL24" s="400">
        <f>IF($H24&lt;&gt;CP$5,0,IF(CP24&gt;0,IF($J24=1,$E24*$I24/12*3,IF($J24=2,$E24*$I24/12*2,IF($J24=3,$E24*$I24/12*1,0)))))+IF(CK$5&lt;&gt;$H24,0,IF(CK24&gt;0,IF($J24=1,$E24*$I24/12*0,IF($J24=2,$E24*$I24/12*1,IF($J24=3,$E24*$I24/12*2,IF($J24&gt;=4,$E24*$I24/12*3,0))))))</f>
        <v>0</v>
      </c>
      <c r="CM24" s="406">
        <f>IF($H24&lt;&gt;CP$5,0,IF(CP24&gt;0,IF(OR($J24=1,$J24=2,$J24=3,$J24=4),$E24*$I24/12*3,IF($J24=5,$E24*$I24/12*2,IF($J24=6,$E24*$I24/12*1,0)))))+IF(CK$5&lt;&gt;$H24,0,IF(CK24&gt;0,IF($J24=4,$E24*$I24/12*0,IF($J24=5,$E24*$I24/12*1,IF($J24=6,$E24*$I24/12*2,IF($J24&gt;=7,$E24*$I24/12*3,0))))))</f>
        <v>0</v>
      </c>
      <c r="CN24" s="406">
        <f>IF($H24&lt;&gt;CP$5,0,IF(CP24&gt;0,IF(OR($J24=1,$J24=2,$J24=3,$J24=4,$J24=5,$J24=6,$J24=7),$E24*$I24/12*3,IF($J24=8,$E24*$I24/12*2,IF($J24=9,$E24*$I24/12*1,0)))))+IF(CK$5&lt;&gt;$H24,0,IF(CK24&gt;0,IF($J24=7,$E24*$I24/12*0,IF($J24=8,$E24*$I24/12*1,IF($J24=9,$E24*$I24/12*2,IF($J24&gt;=10,$E24*$I24/12*3,0))))))</f>
        <v>0</v>
      </c>
      <c r="CO24" s="402">
        <f>IF($H24&lt;&gt;CP$5,0,IF(CP24&gt;0,IF(OR($J24=1,$J24=2,$J24=3,$J24=4,$J24=5,$J24=6,$J24=7,$J24=8,$J24=9,$J24=10),$E24*$I24/12*3,IF($J24=11,$E24*$I24/12*2,IF($J24=12,$E24*$I24/12*1,0)))))+IF(CK$5&lt;&gt;$H24,0,IF(CK24&gt;0,IF($J24=10,$E24*$I24/12*0,IF($J24=11,$E24*$I24/12*1,IF($J24=12,$E24*$I24/12*2,0)))))</f>
        <v>0</v>
      </c>
      <c r="CP24" s="889">
        <f>IF(AND(CK24&lt;&gt;0,CK$5=$H24),$I24*$E24-CK24,IF(CP$5=$H24,$I24*$E24*(12-$J24+1)/12,0))</f>
        <v>0</v>
      </c>
      <c r="CQ24" s="400">
        <f>IF($H24&lt;&gt;CU$5,0,IF(CU24&gt;0,IF($J24=1,$E24*$I24/12*3,IF($J24=2,$E24*$I24/12*2,IF($J24=3,$E24*$I24/12*1,0)))))+IF(CP$5&lt;&gt;$H24,0,IF(CP24&gt;0,IF($J24=1,$E24*$I24/12*0,IF($J24=2,$E24*$I24/12*1,IF($J24=3,$E24*$I24/12*2,IF($J24&gt;=4,$E24*$I24/12*3,0))))))</f>
        <v>0</v>
      </c>
      <c r="CR24" s="406">
        <f>IF($H24&lt;&gt;CU$5,0,IF(CU24&gt;0,IF(OR($J24=1,$J24=2,$J24=3,$J24=4),$E24*$I24/12*3,IF($J24=5,$E24*$I24/12*2,IF($J24=6,$E24*$I24/12*1,0)))))+IF(CP$5&lt;&gt;$H24,0,IF(CP24&gt;0,IF($J24=4,$E24*$I24/12*0,IF($J24=5,$E24*$I24/12*1,IF($J24=6,$E24*$I24/12*2,IF($J24&gt;=7,$E24*$I24/12*3,0))))))</f>
        <v>0</v>
      </c>
      <c r="CS24" s="406">
        <f>IF($H24&lt;&gt;CU$5,0,IF(CU24&gt;0,IF(OR($J24=1,$J24=2,$J24=3,$J24=4,$J24=5,$J24=6,$J24=7),$E24*$I24/12*3,IF($J24=8,$E24*$I24/12*2,IF($J24=9,$E24*$I24/12*1,0)))))+IF(CP$5&lt;&gt;$H24,0,IF(CP24&gt;0,IF($J24=7,$E24*$I24/12*0,IF($J24=8,$E24*$I24/12*1,IF($J24=9,$E24*$I24/12*2,IF($J24&gt;=10,$E24*$I24/12*3,0))))))</f>
        <v>0</v>
      </c>
      <c r="CT24" s="402">
        <f>IF($H24&lt;&gt;CU$5,0,IF(CU24&gt;0,IF(OR($J24=1,$J24=2,$J24=3,$J24=4,$J24=5,$J24=6,$J24=7,$J24=8,$J24=9,$J24=10),$E24*$I24/12*3,IF($J24=11,$E24*$I24/12*2,IF($J24=12,$E24*$I24/12*1,0)))))+IF(CP$5&lt;&gt;$H24,0,IF(CP24&gt;0,IF($J24=10,$E24*$I24/12*0,IF($J24=11,$E24*$I24/12*1,IF($J24=12,$E24*$I24/12*2,0)))))</f>
        <v>0</v>
      </c>
      <c r="CU24" s="889">
        <f>IF(AND(CP24&lt;&gt;0,CP$5=$H24),$I24*$E24-CP24,IF(CU$5=$H24,$I24*$E24*(12-$J24+1)/12,0))</f>
        <v>0</v>
      </c>
      <c r="CV24" s="400">
        <f>IF($H24&lt;&gt;CZ$5,0,IF(CZ24&gt;0,IF($J24=1,$E24*$I24/12*3,IF($J24=2,$E24*$I24/12*2,IF($J24=3,$E24*$I24/12*1,0)))))+IF(CU$5&lt;&gt;$H24,0,IF(CU24&gt;0,IF($J24=1,$E24*$I24/12*0,IF($J24=2,$E24*$I24/12*1,IF($J24=3,$E24*$I24/12*2,IF($J24&gt;=4,$E24*$I24/12*3,0))))))</f>
        <v>0</v>
      </c>
      <c r="CW24" s="406">
        <f>IF($H24&lt;&gt;CZ$5,0,IF(CZ24&gt;0,IF(OR($J24=1,$J24=2,$J24=3,$J24=4),$E24*$I24/12*3,IF($J24=5,$E24*$I24/12*2,IF($J24=6,$E24*$I24/12*1,0)))))+IF(CU$5&lt;&gt;$H24,0,IF(CU24&gt;0,IF($J24=4,$E24*$I24/12*0,IF($J24=5,$E24*$I24/12*1,IF($J24=6,$E24*$I24/12*2,IF($J24&gt;=7,$E24*$I24/12*3,0))))))</f>
        <v>0</v>
      </c>
      <c r="CX24" s="406">
        <f>IF($H24&lt;&gt;CZ$5,0,IF(CZ24&gt;0,IF(OR($J24=1,$J24=2,$J24=3,$J24=4,$J24=5,$J24=6,$J24=7),$E24*$I24/12*3,IF($J24=8,$E24*$I24/12*2,IF($J24=9,$E24*$I24/12*1,0)))))+IF(CU$5&lt;&gt;$H24,0,IF(CU24&gt;0,IF($J24=7,$E24*$I24/12*0,IF($J24=8,$E24*$I24/12*1,IF($J24=9,$E24*$I24/12*2,IF($J24&gt;=10,$E24*$I24/12*3,0))))))</f>
        <v>0</v>
      </c>
      <c r="CY24" s="402">
        <f>IF($H24&lt;&gt;CZ$5,0,IF(CZ24&gt;0,IF(OR($J24=1,$J24=2,$J24=3,$J24=4,$J24=5,$J24=6,$J24=7,$J24=8,$J24=9,$J24=10),$E24*$I24/12*3,IF($J24=11,$E24*$I24/12*2,IF($J24=12,$E24*$I24/12*1,0)))))+IF(CU$5&lt;&gt;$H24,0,IF(CU24&gt;0,IF($J24=10,$E24*$I24/12*0,IF($J24=11,$E24*$I24/12*1,IF($J24=12,$E24*$I24/12*2,0)))))</f>
        <v>0</v>
      </c>
      <c r="CZ24" s="889">
        <f>IF(AND(CU24&lt;&gt;0,CU$5=$H24),$I24*$E24-CU24,IF(CZ$5=$H24,$I24*$E24*(12-$J24+1)/12,0))</f>
        <v>0</v>
      </c>
      <c r="DA24" s="400">
        <f>IF($H24&lt;&gt;DE$5,0,IF(DE24&gt;0,IF($J24=1,$E24*$I24/12*3,IF($J24=2,$E24*$I24/12*2,IF($J24=3,$E24*$I24/12*1,0)))))+IF(CZ$5&lt;&gt;$H24,0,IF(CZ24&gt;0,IF($J24=1,$E24*$I24/12*0,IF($J24=2,$E24*$I24/12*1,IF($J24=3,$E24*$I24/12*2,IF($J24&gt;=4,$E24*$I24/12*3,0))))))</f>
        <v>0</v>
      </c>
      <c r="DB24" s="406">
        <f>IF($H24&lt;&gt;DE$5,0,IF(DE24&gt;0,IF(OR($J24=1,$J24=2,$J24=3,$J24=4),$E24*$I24/12*3,IF($J24=5,$E24*$I24/12*2,IF($J24=6,$E24*$I24/12*1,0)))))+IF(CZ$5&lt;&gt;$H24,0,IF(CZ24&gt;0,IF($J24=4,$E24*$I24/12*0,IF($J24=5,$E24*$I24/12*1,IF($J24=6,$E24*$I24/12*2,IF($J24&gt;=7,$E24*$I24/12*3,0))))))</f>
        <v>0</v>
      </c>
      <c r="DC24" s="406">
        <f>IF($H24&lt;&gt;DE$5,0,IF(DE24&gt;0,IF(OR($J24=1,$J24=2,$J24=3,$J24=4,$J24=5,$J24=6,$J24=7),$E24*$I24/12*3,IF($J24=8,$E24*$I24/12*2,IF($J24=9,$E24*$I24/12*1,0)))))+IF(CZ$5&lt;&gt;$H24,0,IF(CZ24&gt;0,IF($J24=7,$E24*$I24/12*0,IF($J24=8,$E24*$I24/12*1,IF($J24=9,$E24*$I24/12*2,IF($J24&gt;=10,$E24*$I24/12*3,0))))))</f>
        <v>0</v>
      </c>
      <c r="DD24" s="402">
        <f>IF($H24&lt;&gt;DE$5,0,IF(DE24&gt;0,IF(OR($J24=1,$J24=2,$J24=3,$J24=4,$J24=5,$J24=6,$J24=7,$J24=8,$J24=9,$J24=10),$E24*$I24/12*3,IF($J24=11,$E24*$I24/12*2,IF($J24=12,$E24*$I24/12*1,0)))))+IF(CZ$5&lt;&gt;$H24,0,IF(CZ24&gt;0,IF($J24=10,$E24*$I24/12*0,IF($J24=11,$E24*$I24/12*1,IF($J24=12,$E24*$I24/12*2,0)))))</f>
        <v>0</v>
      </c>
      <c r="DE24" s="889">
        <f>IF(AND(CZ24&lt;&gt;0,CZ$5=$H24),$I24*$E24-CZ24,IF(DE$5=$H24,$I24*$E24*(12-$J24+1)/12,0))</f>
        <v>0</v>
      </c>
      <c r="DF24" s="400">
        <f>IF($H24&lt;&gt;DJ$5,0,IF(DJ24&gt;0,IF($J24=1,$E24*$I24/12*3,IF($J24=2,$E24*$I24/12*2,IF($J24=3,$E24*$I24/12*1,0)))))+IF(DE$5&lt;&gt;$H24,0,IF(DE24&gt;0,IF($J24=1,$E24*$I24/12*0,IF($J24=2,$E24*$I24/12*1,IF($J24=3,$E24*$I24/12*2,IF($J24&gt;=4,$E24*$I24/12*3,0))))))</f>
        <v>0</v>
      </c>
      <c r="DG24" s="406">
        <f>IF($H24&lt;&gt;DJ$5,0,IF(DJ24&gt;0,IF(OR($J24=1,$J24=2,$J24=3,$J24=4),$E24*$I24/12*3,IF($J24=5,$E24*$I24/12*2,IF($J24=6,$E24*$I24/12*1,0)))))+IF(DE$5&lt;&gt;$H24,0,IF(DE24&gt;0,IF($J24=4,$E24*$I24/12*0,IF($J24=5,$E24*$I24/12*1,IF($J24=6,$E24*$I24/12*2,IF($J24&gt;=7,$E24*$I24/12*3,0))))))</f>
        <v>0</v>
      </c>
      <c r="DH24" s="406">
        <f>IF($H24&lt;&gt;DJ$5,0,IF(DJ24&gt;0,IF(OR($J24=1,$J24=2,$J24=3,$J24=4,$J24=5,$J24=6,$J24=7),$E24*$I24/12*3,IF($J24=8,$E24*$I24/12*2,IF($J24=9,$E24*$I24/12*1,0)))))+IF(DE$5&lt;&gt;$H24,0,IF(DE24&gt;0,IF($J24=7,$E24*$I24/12*0,IF($J24=8,$E24*$I24/12*1,IF($J24=9,$E24*$I24/12*2,IF($J24&gt;=10,$E24*$I24/12*3,0))))))</f>
        <v>0</v>
      </c>
      <c r="DI24" s="402">
        <f>IF($H24&lt;&gt;DJ$5,0,IF(DJ24&gt;0,IF(OR($J24=1,$J24=2,$J24=3,$J24=4,$J24=5,$J24=6,$J24=7,$J24=8,$J24=9,$J24=10),$E24*$I24/12*3,IF($J24=11,$E24*$I24/12*2,IF($J24=12,$E24*$I24/12*1,0)))))+IF(DE$5&lt;&gt;$H24,0,IF(DE24&gt;0,IF($J24=10,$E24*$I24/12*0,IF($J24=11,$E24*$I24/12*1,IF($J24=12,$E24*$I24/12*2,0)))))</f>
        <v>0</v>
      </c>
      <c r="DJ24" s="889">
        <f>IF(AND(DE24&lt;&gt;0,DE$5=$H24),$I24*$E24-DE24,IF(DJ$5=$H24,$I24*$E24*(12-$J24+1)/12,0))</f>
        <v>0</v>
      </c>
      <c r="DK24" s="400">
        <f>IF($H24&lt;&gt;DO$5,0,IF(DO24&gt;0,IF($J24=1,$E24*$I24/12*3,IF($J24=2,$E24*$I24/12*2,IF($J24=3,$E24*$I24/12*1,0)))))+IF(DJ$5&lt;&gt;$H24,0,IF(DJ24&gt;0,IF($J24=1,$E24*$I24/12*0,IF($J24=2,$E24*$I24/12*1,IF($J24=3,$E24*$I24/12*2,IF($J24&gt;=4,$E24*$I24/12*3,0))))))</f>
        <v>0</v>
      </c>
      <c r="DL24" s="406">
        <f>IF($H24&lt;&gt;DO$5,0,IF(DO24&gt;0,IF(OR($J24=1,$J24=2,$J24=3,$J24=4),$E24*$I24/12*3,IF($J24=5,$E24*$I24/12*2,IF($J24=6,$E24*$I24/12*1,0)))))+IF(DJ$5&lt;&gt;$H24,0,IF(DJ24&gt;0,IF($J24=4,$E24*$I24/12*0,IF($J24=5,$E24*$I24/12*1,IF($J24=6,$E24*$I24/12*2,IF($J24&gt;=7,$E24*$I24/12*3,0))))))</f>
        <v>0</v>
      </c>
      <c r="DM24" s="406">
        <f>IF($H24&lt;&gt;DO$5,0,IF(DO24&gt;0,IF(OR($J24=1,$J24=2,$J24=3,$J24=4,$J24=5,$J24=6,$J24=7),$E24*$I24/12*3,IF($J24=8,$E24*$I24/12*2,IF($J24=9,$E24*$I24/12*1,0)))))+IF(DJ$5&lt;&gt;$H24,0,IF(DJ24&gt;0,IF($J24=7,$E24*$I24/12*0,IF($J24=8,$E24*$I24/12*1,IF($J24=9,$E24*$I24/12*2,IF($J24&gt;=10,$E24*$I24/12*3,0))))))</f>
        <v>0</v>
      </c>
      <c r="DN24" s="402">
        <f>IF($H24&lt;&gt;DO$5,0,IF(DO24&gt;0,IF(OR($J24=1,$J24=2,$J24=3,$J24=4,$J24=5,$J24=6,$J24=7,$J24=8,$J24=9,$J24=10),$E24*$I24/12*3,IF($J24=11,$E24*$I24/12*2,IF($J24=12,$E24*$I24/12*1,0)))))+IF(DJ$5&lt;&gt;$H24,0,IF(DJ24&gt;0,IF($J24=10,$E24*$I24/12*0,IF($J24=11,$E24*$I24/12*1,IF($J24=12,$E24*$I24/12*2,0)))))</f>
        <v>0</v>
      </c>
      <c r="DO24" s="889">
        <f>IF(AND(DJ24&lt;&gt;0,DJ$5=$H24),$I24*$E24-DJ24,IF(DO$5=$H24,$I24*$E24*(12-$J24+1)/12,0))</f>
        <v>0</v>
      </c>
      <c r="DP24" s="400">
        <f>IF($H24&lt;&gt;DT$5,0,IF(DT24&gt;0,IF($J24=1,$E24*$I24/12*3,IF($J24=2,$E24*$I24/12*2,IF($J24=3,$E24*$I24/12*1,0)))))+IF(DO$5&lt;&gt;$H24,0,IF(DO24&gt;0,IF($J24=1,$E24*$I24/12*0,IF($J24=2,$E24*$I24/12*1,IF($J24=3,$E24*$I24/12*2,IF($J24&gt;=4,$E24*$I24/12*3,0))))))</f>
        <v>0</v>
      </c>
      <c r="DQ24" s="406">
        <f>IF($H24&lt;&gt;DT$5,0,IF(DT24&gt;0,IF(OR($J24=1,$J24=2,$J24=3,$J24=4),$E24*$I24/12*3,IF($J24=5,$E24*$I24/12*2,IF($J24=6,$E24*$I24/12*1,0)))))+IF(DO$5&lt;&gt;$H24,0,IF(DO24&gt;0,IF($J24=4,$E24*$I24/12*0,IF($J24=5,$E24*$I24/12*1,IF($J24=6,$E24*$I24/12*2,IF($J24&gt;=7,$E24*$I24/12*3,0))))))</f>
        <v>0</v>
      </c>
      <c r="DR24" s="406">
        <f>IF($H24&lt;&gt;DT$5,0,IF(DT24&gt;0,IF(OR($J24=1,$J24=2,$J24=3,$J24=4,$J24=5,$J24=6,$J24=7),$E24*$I24/12*3,IF($J24=8,$E24*$I24/12*2,IF($J24=9,$E24*$I24/12*1,0)))))+IF(DO$5&lt;&gt;$H24,0,IF(DO24&gt;0,IF($J24=7,$E24*$I24/12*0,IF($J24=8,$E24*$I24/12*1,IF($J24=9,$E24*$I24/12*2,IF($J24&gt;=10,$E24*$I24/12*3,0))))))</f>
        <v>0</v>
      </c>
      <c r="DS24" s="402">
        <f>IF($H24&lt;&gt;DT$5,0,IF(DT24&gt;0,IF(OR($J24=1,$J24=2,$J24=3,$J24=4,$J24=5,$J24=6,$J24=7,$J24=8,$J24=9,$J24=10),$E24*$I24/12*3,IF($J24=11,$E24*$I24/12*2,IF($J24=12,$E24*$I24/12*1,0)))))+IF(DO$5&lt;&gt;$H24,0,IF(DO24&gt;0,IF($J24=10,$E24*$I24/12*0,IF($J24=11,$E24*$I24/12*1,IF($J24=12,$E24*$I24/12*2,0)))))</f>
        <v>0</v>
      </c>
      <c r="DT24" s="889">
        <f>IF(AND(DO24&lt;&gt;0,DO$5=$H24),$I24*$E24-DO24,IF(DT$5=$H24,$I24*$E24*(12-$J24+1)/12,0))</f>
        <v>0</v>
      </c>
    </row>
    <row r="25" spans="1:139" ht="12.75" customHeight="1" x14ac:dyDescent="0.2">
      <c r="C25" s="72" t="s">
        <v>385</v>
      </c>
      <c r="D25" s="70"/>
      <c r="E25" s="530">
        <f t="shared" si="20"/>
        <v>300</v>
      </c>
      <c r="F25" s="532">
        <v>300</v>
      </c>
      <c r="G25" s="532">
        <v>300</v>
      </c>
      <c r="H25" s="449">
        <v>2036</v>
      </c>
      <c r="I25" s="450">
        <v>6.5000000000000002E-2</v>
      </c>
      <c r="J25" s="451">
        <v>7</v>
      </c>
      <c r="K25" s="392"/>
      <c r="L25" s="397">
        <f t="shared" si="21"/>
        <v>0</v>
      </c>
      <c r="M25" s="394">
        <f t="shared" si="22"/>
        <v>0</v>
      </c>
      <c r="N25" s="404">
        <f t="shared" si="23"/>
        <v>0</v>
      </c>
      <c r="O25" s="404">
        <f t="shared" si="24"/>
        <v>0</v>
      </c>
      <c r="P25" s="396">
        <f t="shared" si="25"/>
        <v>0</v>
      </c>
      <c r="Q25" s="397">
        <f t="shared" si="26"/>
        <v>0</v>
      </c>
      <c r="R25" s="394">
        <f t="shared" si="27"/>
        <v>0</v>
      </c>
      <c r="S25" s="404">
        <f t="shared" si="28"/>
        <v>0</v>
      </c>
      <c r="T25" s="404">
        <f t="shared" si="29"/>
        <v>0</v>
      </c>
      <c r="U25" s="396">
        <f t="shared" si="30"/>
        <v>0</v>
      </c>
      <c r="V25" s="397">
        <f t="shared" si="31"/>
        <v>0</v>
      </c>
      <c r="W25" s="394">
        <f t="shared" si="32"/>
        <v>0</v>
      </c>
      <c r="X25" s="404">
        <f t="shared" si="33"/>
        <v>0</v>
      </c>
      <c r="Y25" s="404">
        <f t="shared" si="34"/>
        <v>0</v>
      </c>
      <c r="Z25" s="396">
        <f t="shared" si="35"/>
        <v>0</v>
      </c>
      <c r="AA25" s="397">
        <f t="shared" si="36"/>
        <v>0</v>
      </c>
      <c r="AB25" s="394">
        <f t="shared" si="37"/>
        <v>0</v>
      </c>
      <c r="AC25" s="404">
        <f t="shared" si="38"/>
        <v>0</v>
      </c>
      <c r="AD25" s="404">
        <f t="shared" si="39"/>
        <v>0</v>
      </c>
      <c r="AE25" s="396">
        <f t="shared" si="40"/>
        <v>0</v>
      </c>
      <c r="AF25" s="397">
        <f t="shared" si="41"/>
        <v>0</v>
      </c>
      <c r="AG25" s="394">
        <f t="shared" si="42"/>
        <v>0</v>
      </c>
      <c r="AH25" s="404">
        <f t="shared" si="43"/>
        <v>0</v>
      </c>
      <c r="AI25" s="404">
        <f t="shared" si="44"/>
        <v>0</v>
      </c>
      <c r="AJ25" s="396">
        <f t="shared" si="45"/>
        <v>0</v>
      </c>
      <c r="AK25" s="397">
        <f t="shared" si="46"/>
        <v>0</v>
      </c>
      <c r="AL25" s="394">
        <f t="shared" si="47"/>
        <v>0</v>
      </c>
      <c r="AM25" s="404">
        <f t="shared" si="48"/>
        <v>0</v>
      </c>
      <c r="AN25" s="404">
        <f t="shared" si="49"/>
        <v>0</v>
      </c>
      <c r="AO25" s="396">
        <f t="shared" si="50"/>
        <v>0</v>
      </c>
      <c r="AP25" s="397">
        <f t="shared" si="51"/>
        <v>0</v>
      </c>
      <c r="AQ25" s="394">
        <f t="shared" si="52"/>
        <v>0</v>
      </c>
      <c r="AR25" s="404">
        <f t="shared" si="53"/>
        <v>0</v>
      </c>
      <c r="AS25" s="404">
        <f t="shared" si="54"/>
        <v>0</v>
      </c>
      <c r="AT25" s="396">
        <f t="shared" si="55"/>
        <v>0</v>
      </c>
      <c r="AU25" s="397">
        <f t="shared" si="56"/>
        <v>0</v>
      </c>
      <c r="AV25" s="394">
        <f t="shared" si="57"/>
        <v>0</v>
      </c>
      <c r="AW25" s="404">
        <f t="shared" si="58"/>
        <v>0</v>
      </c>
      <c r="AX25" s="404">
        <f t="shared" si="59"/>
        <v>0</v>
      </c>
      <c r="AY25" s="396">
        <f t="shared" si="60"/>
        <v>0</v>
      </c>
      <c r="AZ25" s="397">
        <f t="shared" si="61"/>
        <v>0</v>
      </c>
      <c r="BA25" s="394">
        <f t="shared" si="62"/>
        <v>0</v>
      </c>
      <c r="BB25" s="404">
        <f t="shared" si="63"/>
        <v>0</v>
      </c>
      <c r="BC25" s="404">
        <f t="shared" si="64"/>
        <v>0</v>
      </c>
      <c r="BD25" s="396">
        <f t="shared" si="65"/>
        <v>0</v>
      </c>
      <c r="BE25" s="397">
        <f t="shared" si="66"/>
        <v>0</v>
      </c>
      <c r="BF25" s="394">
        <f t="shared" si="67"/>
        <v>0</v>
      </c>
      <c r="BG25" s="404">
        <f t="shared" si="68"/>
        <v>0</v>
      </c>
      <c r="BH25" s="404">
        <f t="shared" si="69"/>
        <v>0</v>
      </c>
      <c r="BI25" s="396">
        <f t="shared" si="70"/>
        <v>0</v>
      </c>
      <c r="BJ25" s="397">
        <f t="shared" si="71"/>
        <v>0</v>
      </c>
      <c r="BK25" s="394">
        <f t="shared" ref="BK25:BK26" si="233">IF(BO25=0,0,IF(BO25&lt;0,IF($J25=3,BO25,IF($J25=2,BO25,IF($J25=1,BO25,0)))))</f>
        <v>0</v>
      </c>
      <c r="BL25" s="404">
        <f t="shared" ref="BL25:BL26" si="234">IF(BO25=0,0,IF(BO25&lt;0,IF($J25=6,BO25,IF($J25=5,BO25,IF($J25=4,BO25,0)))))</f>
        <v>0</v>
      </c>
      <c r="BM25" s="404">
        <f t="shared" ref="BM25:BM26" si="235">IF(BO25=0,0,IF(BO25&lt;0,IF($J25=9,BO25,IF($J25=8,BO25,IF($J25=7,BO25,0)))))</f>
        <v>0</v>
      </c>
      <c r="BN25" s="396">
        <f t="shared" ref="BN25:BN26" si="236">IF(BO25=0,0,IF(BO25&lt;0,IF($J25=12,BO25,IF($J25=11,BO25,IF($J25=10,BO25,0)))))</f>
        <v>0</v>
      </c>
      <c r="BO25" s="397">
        <f t="shared" si="76"/>
        <v>0</v>
      </c>
      <c r="BP25" s="452"/>
      <c r="BQ25" s="403">
        <f t="shared" si="77"/>
        <v>0</v>
      </c>
      <c r="BR25" s="400">
        <f t="shared" si="78"/>
        <v>0</v>
      </c>
      <c r="BS25" s="406">
        <f t="shared" si="79"/>
        <v>0</v>
      </c>
      <c r="BT25" s="406">
        <f t="shared" si="80"/>
        <v>0</v>
      </c>
      <c r="BU25" s="402">
        <f t="shared" si="81"/>
        <v>0</v>
      </c>
      <c r="BV25" s="403">
        <f t="shared" si="82"/>
        <v>0</v>
      </c>
      <c r="BW25" s="400">
        <f t="shared" si="83"/>
        <v>0</v>
      </c>
      <c r="BX25" s="406">
        <f t="shared" si="84"/>
        <v>0</v>
      </c>
      <c r="BY25" s="406">
        <f t="shared" si="85"/>
        <v>0</v>
      </c>
      <c r="BZ25" s="402">
        <f t="shared" si="86"/>
        <v>0</v>
      </c>
      <c r="CA25" s="403">
        <f t="shared" si="87"/>
        <v>0</v>
      </c>
      <c r="CB25" s="400">
        <f t="shared" si="88"/>
        <v>0</v>
      </c>
      <c r="CC25" s="406">
        <f t="shared" si="89"/>
        <v>0</v>
      </c>
      <c r="CD25" s="406">
        <f t="shared" si="90"/>
        <v>0</v>
      </c>
      <c r="CE25" s="402">
        <f t="shared" si="91"/>
        <v>0</v>
      </c>
      <c r="CF25" s="403">
        <f t="shared" si="92"/>
        <v>0</v>
      </c>
      <c r="CG25" s="400">
        <f t="shared" si="93"/>
        <v>0</v>
      </c>
      <c r="CH25" s="406">
        <f t="shared" si="94"/>
        <v>0</v>
      </c>
      <c r="CI25" s="406">
        <f t="shared" si="95"/>
        <v>0</v>
      </c>
      <c r="CJ25" s="402">
        <f t="shared" si="96"/>
        <v>0</v>
      </c>
      <c r="CK25" s="403">
        <f t="shared" si="97"/>
        <v>0</v>
      </c>
      <c r="CL25" s="400">
        <f t="shared" si="98"/>
        <v>0</v>
      </c>
      <c r="CM25" s="406">
        <f t="shared" si="99"/>
        <v>0</v>
      </c>
      <c r="CN25" s="406">
        <f t="shared" si="100"/>
        <v>0</v>
      </c>
      <c r="CO25" s="402">
        <f t="shared" si="101"/>
        <v>0</v>
      </c>
      <c r="CP25" s="403">
        <f t="shared" si="102"/>
        <v>0</v>
      </c>
      <c r="CQ25" s="400">
        <f t="shared" si="103"/>
        <v>0</v>
      </c>
      <c r="CR25" s="406">
        <f t="shared" si="104"/>
        <v>0</v>
      </c>
      <c r="CS25" s="406">
        <f t="shared" si="105"/>
        <v>0</v>
      </c>
      <c r="CT25" s="402">
        <f t="shared" si="106"/>
        <v>0</v>
      </c>
      <c r="CU25" s="403">
        <f t="shared" si="107"/>
        <v>0</v>
      </c>
      <c r="CV25" s="400">
        <f t="shared" si="108"/>
        <v>0</v>
      </c>
      <c r="CW25" s="406">
        <f t="shared" si="109"/>
        <v>0</v>
      </c>
      <c r="CX25" s="406">
        <f t="shared" si="110"/>
        <v>0</v>
      </c>
      <c r="CY25" s="402">
        <f t="shared" si="111"/>
        <v>0</v>
      </c>
      <c r="CZ25" s="403">
        <f t="shared" si="112"/>
        <v>0</v>
      </c>
      <c r="DA25" s="400">
        <f t="shared" si="113"/>
        <v>0</v>
      </c>
      <c r="DB25" s="406">
        <f t="shared" si="114"/>
        <v>0</v>
      </c>
      <c r="DC25" s="406">
        <f t="shared" si="115"/>
        <v>0</v>
      </c>
      <c r="DD25" s="402">
        <f t="shared" si="116"/>
        <v>0</v>
      </c>
      <c r="DE25" s="403">
        <f t="shared" si="117"/>
        <v>0</v>
      </c>
      <c r="DF25" s="400">
        <f t="shared" si="118"/>
        <v>0</v>
      </c>
      <c r="DG25" s="406">
        <f t="shared" si="119"/>
        <v>0</v>
      </c>
      <c r="DH25" s="406">
        <f t="shared" si="120"/>
        <v>0</v>
      </c>
      <c r="DI25" s="402">
        <f t="shared" si="121"/>
        <v>0</v>
      </c>
      <c r="DJ25" s="403">
        <f t="shared" si="122"/>
        <v>0</v>
      </c>
      <c r="DK25" s="400">
        <f t="shared" si="123"/>
        <v>0</v>
      </c>
      <c r="DL25" s="406">
        <f t="shared" si="124"/>
        <v>0</v>
      </c>
      <c r="DM25" s="406">
        <f t="shared" si="125"/>
        <v>0</v>
      </c>
      <c r="DN25" s="402">
        <f t="shared" si="126"/>
        <v>0</v>
      </c>
      <c r="DO25" s="403">
        <f t="shared" si="127"/>
        <v>0</v>
      </c>
      <c r="DP25" s="400">
        <f t="shared" ref="DP25:DP26" si="237">IF($H25&lt;&gt;DT$5,0,IF(DT25&lt;0,IF($J25=1,-$E25*$I25/12*3,IF($J25=2,-$E25*$I25/12*2,IF($J25=3,-$E25*$I25/12*1,0)))))+IF(DO$5&lt;&gt;$H25,0,IF(DO25&lt;0,IF($J25=1,-$E25*$I25/12*0,IF($J25=2,-$E25*$I25/12*1,IF($J25=3,-$E25*$I25/12*2,IF($J25&gt;=4,-$E25*$I25/12*3,0))))))</f>
        <v>0</v>
      </c>
      <c r="DQ25" s="406">
        <f t="shared" ref="DQ25:DQ26" si="238">IF($H25&lt;&gt;DT$5,0,IF(DT25&lt;0,IF(OR($J25=1,$J25=2,$J25=3,$J25=4),-$E25*$I25/12*3,IF($J25=5,-$E25*$I25/12*2,IF($J25=6,-$E25*$I25/12*1,0)))))+IF(DO$5&lt;&gt;$H25,0,IF(DO25&lt;0,IF($J25=4,-$E25*$I25/12*0,IF($J25=5,-$E25*$I25/12*1,IF($J25=6,-$E25*$I25/12*2,IF($J25&gt;=7,-$E25*$I25/12*3,0))))))</f>
        <v>0</v>
      </c>
      <c r="DR25" s="406">
        <f t="shared" ref="DR25:DR26" si="239">IF($H25&lt;&gt;DT$5,0,IF(DT25&lt;0,IF(OR($J25=1,$J25=2,$J25=3,$J25=4,$J25=5,$J25=6,$J25=7),-$E25*$I25/12*3,IF($J25=8,-$E25*$I25/12*2,IF($J25=9,-$E25*$I25/12*1,0)))))+IF(DO$5&lt;&gt;$H25,0,IF(DO25&lt;0,IF($J25=7,-$E25*$I25/12*0,IF($J25=8,-$E25*$I25/12*1,IF($J25=9,-$E25*$I25/12*2,IF($J25&gt;=10,-$E25*$I25/12*3,0))))))</f>
        <v>0</v>
      </c>
      <c r="DS25" s="402">
        <f t="shared" ref="DS25:DS26" si="240">IF($H25&lt;&gt;DT$5,0,IF(DT25&lt;0,IF(OR($J25=1,$J25=2,$J25=3,$J25=4,$J25=5,$J25=6,$J25=7,$J25=8,$J25=9,$J25=10),-$E25*$I25/12*3,IF($J25=11,-$E25*$I25/12*2,IF($J25=12,-$E25*$I25/12*1,0)))))+IF(DO$5&lt;&gt;$H25,0,IF(DO25&lt;0,IF($J25=10,-$E25*$I25/12*0,IF($J25=11,-$E25*$I25/12*1,IF($J25=12,-$E25*$I25/12*2,0)))))</f>
        <v>0</v>
      </c>
      <c r="DT25" s="403">
        <f t="shared" ref="DT25:DT26" si="241">IF(AND(DO25&lt;&gt;0,DO$5=$H25),-$I25*$E25-DO25,IF(DT$5=$H25,-$I25*$E25*(12-$J25+1)/12,0))</f>
        <v>0</v>
      </c>
      <c r="EF25" s="35"/>
      <c r="EI25" s="759"/>
    </row>
    <row r="26" spans="1:139" ht="12.75" customHeight="1" x14ac:dyDescent="0.2">
      <c r="C26" s="72" t="s">
        <v>477</v>
      </c>
      <c r="D26" s="70"/>
      <c r="E26" s="530">
        <f t="shared" si="20"/>
        <v>250</v>
      </c>
      <c r="F26" s="532">
        <v>250</v>
      </c>
      <c r="G26" s="532">
        <v>250</v>
      </c>
      <c r="H26" s="449">
        <v>2041</v>
      </c>
      <c r="I26" s="450">
        <v>4.8000000000000001E-2</v>
      </c>
      <c r="J26" s="451">
        <v>9</v>
      </c>
      <c r="K26" s="392"/>
      <c r="L26" s="397">
        <f t="shared" si="21"/>
        <v>0</v>
      </c>
      <c r="M26" s="394">
        <f t="shared" si="22"/>
        <v>0</v>
      </c>
      <c r="N26" s="404">
        <f t="shared" si="23"/>
        <v>0</v>
      </c>
      <c r="O26" s="404">
        <f t="shared" si="24"/>
        <v>0</v>
      </c>
      <c r="P26" s="396">
        <f t="shared" si="25"/>
        <v>0</v>
      </c>
      <c r="Q26" s="397">
        <f t="shared" si="26"/>
        <v>0</v>
      </c>
      <c r="R26" s="394">
        <f t="shared" si="27"/>
        <v>0</v>
      </c>
      <c r="S26" s="404">
        <f t="shared" si="28"/>
        <v>0</v>
      </c>
      <c r="T26" s="404">
        <f t="shared" si="29"/>
        <v>0</v>
      </c>
      <c r="U26" s="396">
        <f t="shared" si="30"/>
        <v>0</v>
      </c>
      <c r="V26" s="397">
        <f t="shared" si="31"/>
        <v>0</v>
      </c>
      <c r="W26" s="394">
        <f t="shared" si="32"/>
        <v>0</v>
      </c>
      <c r="X26" s="404">
        <f t="shared" si="33"/>
        <v>0</v>
      </c>
      <c r="Y26" s="404">
        <f t="shared" si="34"/>
        <v>0</v>
      </c>
      <c r="Z26" s="396">
        <f t="shared" si="35"/>
        <v>0</v>
      </c>
      <c r="AA26" s="397">
        <f t="shared" si="36"/>
        <v>0</v>
      </c>
      <c r="AB26" s="394">
        <f t="shared" si="37"/>
        <v>0</v>
      </c>
      <c r="AC26" s="404">
        <f t="shared" si="38"/>
        <v>0</v>
      </c>
      <c r="AD26" s="404">
        <f t="shared" si="39"/>
        <v>0</v>
      </c>
      <c r="AE26" s="396">
        <f t="shared" si="40"/>
        <v>0</v>
      </c>
      <c r="AF26" s="397">
        <f t="shared" si="41"/>
        <v>0</v>
      </c>
      <c r="AG26" s="394">
        <f t="shared" si="42"/>
        <v>0</v>
      </c>
      <c r="AH26" s="404">
        <f t="shared" si="43"/>
        <v>0</v>
      </c>
      <c r="AI26" s="404">
        <f t="shared" si="44"/>
        <v>0</v>
      </c>
      <c r="AJ26" s="396">
        <f t="shared" si="45"/>
        <v>0</v>
      </c>
      <c r="AK26" s="397">
        <f t="shared" si="46"/>
        <v>0</v>
      </c>
      <c r="AL26" s="394">
        <f t="shared" si="47"/>
        <v>0</v>
      </c>
      <c r="AM26" s="404">
        <f t="shared" si="48"/>
        <v>0</v>
      </c>
      <c r="AN26" s="404">
        <f t="shared" si="49"/>
        <v>0</v>
      </c>
      <c r="AO26" s="396">
        <f t="shared" si="50"/>
        <v>0</v>
      </c>
      <c r="AP26" s="397">
        <f t="shared" si="51"/>
        <v>0</v>
      </c>
      <c r="AQ26" s="394">
        <f t="shared" si="52"/>
        <v>0</v>
      </c>
      <c r="AR26" s="404">
        <f t="shared" si="53"/>
        <v>0</v>
      </c>
      <c r="AS26" s="404">
        <f t="shared" si="54"/>
        <v>0</v>
      </c>
      <c r="AT26" s="396">
        <f t="shared" si="55"/>
        <v>0</v>
      </c>
      <c r="AU26" s="397">
        <f t="shared" si="56"/>
        <v>0</v>
      </c>
      <c r="AV26" s="394">
        <f t="shared" si="57"/>
        <v>0</v>
      </c>
      <c r="AW26" s="404">
        <f t="shared" si="58"/>
        <v>0</v>
      </c>
      <c r="AX26" s="404">
        <f t="shared" si="59"/>
        <v>0</v>
      </c>
      <c r="AY26" s="396">
        <f t="shared" si="60"/>
        <v>0</v>
      </c>
      <c r="AZ26" s="397">
        <f t="shared" si="61"/>
        <v>0</v>
      </c>
      <c r="BA26" s="394">
        <f t="shared" si="62"/>
        <v>0</v>
      </c>
      <c r="BB26" s="404">
        <f t="shared" si="63"/>
        <v>0</v>
      </c>
      <c r="BC26" s="404">
        <f t="shared" si="64"/>
        <v>0</v>
      </c>
      <c r="BD26" s="396">
        <f t="shared" si="65"/>
        <v>0</v>
      </c>
      <c r="BE26" s="397">
        <f t="shared" si="66"/>
        <v>0</v>
      </c>
      <c r="BF26" s="394">
        <f t="shared" si="67"/>
        <v>0</v>
      </c>
      <c r="BG26" s="404">
        <f t="shared" si="68"/>
        <v>0</v>
      </c>
      <c r="BH26" s="404">
        <f t="shared" si="69"/>
        <v>0</v>
      </c>
      <c r="BI26" s="396">
        <f t="shared" si="70"/>
        <v>0</v>
      </c>
      <c r="BJ26" s="397">
        <f t="shared" si="71"/>
        <v>0</v>
      </c>
      <c r="BK26" s="394">
        <f t="shared" si="233"/>
        <v>0</v>
      </c>
      <c r="BL26" s="404">
        <f t="shared" si="234"/>
        <v>0</v>
      </c>
      <c r="BM26" s="404">
        <f t="shared" si="235"/>
        <v>0</v>
      </c>
      <c r="BN26" s="396">
        <f t="shared" si="236"/>
        <v>0</v>
      </c>
      <c r="BO26" s="397">
        <f t="shared" si="76"/>
        <v>0</v>
      </c>
      <c r="BP26" s="452"/>
      <c r="BQ26" s="403">
        <f t="shared" si="77"/>
        <v>0</v>
      </c>
      <c r="BR26" s="400">
        <f t="shared" si="78"/>
        <v>0</v>
      </c>
      <c r="BS26" s="406">
        <f t="shared" si="79"/>
        <v>0</v>
      </c>
      <c r="BT26" s="406">
        <f t="shared" si="80"/>
        <v>0</v>
      </c>
      <c r="BU26" s="402">
        <f t="shared" si="81"/>
        <v>0</v>
      </c>
      <c r="BV26" s="403">
        <f t="shared" si="82"/>
        <v>0</v>
      </c>
      <c r="BW26" s="400">
        <f t="shared" si="83"/>
        <v>0</v>
      </c>
      <c r="BX26" s="406">
        <f t="shared" si="84"/>
        <v>0</v>
      </c>
      <c r="BY26" s="406">
        <f t="shared" si="85"/>
        <v>0</v>
      </c>
      <c r="BZ26" s="402">
        <f t="shared" si="86"/>
        <v>0</v>
      </c>
      <c r="CA26" s="403">
        <f t="shared" si="87"/>
        <v>0</v>
      </c>
      <c r="CB26" s="400">
        <f t="shared" si="88"/>
        <v>0</v>
      </c>
      <c r="CC26" s="406">
        <f t="shared" si="89"/>
        <v>0</v>
      </c>
      <c r="CD26" s="406">
        <f t="shared" si="90"/>
        <v>0</v>
      </c>
      <c r="CE26" s="402">
        <f t="shared" si="91"/>
        <v>0</v>
      </c>
      <c r="CF26" s="403">
        <f t="shared" si="92"/>
        <v>0</v>
      </c>
      <c r="CG26" s="400">
        <f t="shared" si="93"/>
        <v>0</v>
      </c>
      <c r="CH26" s="406">
        <f t="shared" si="94"/>
        <v>0</v>
      </c>
      <c r="CI26" s="406">
        <f t="shared" si="95"/>
        <v>0</v>
      </c>
      <c r="CJ26" s="402">
        <f t="shared" si="96"/>
        <v>0</v>
      </c>
      <c r="CK26" s="403">
        <f t="shared" si="97"/>
        <v>0</v>
      </c>
      <c r="CL26" s="400">
        <f t="shared" si="98"/>
        <v>0</v>
      </c>
      <c r="CM26" s="406">
        <f t="shared" si="99"/>
        <v>0</v>
      </c>
      <c r="CN26" s="406">
        <f t="shared" si="100"/>
        <v>0</v>
      </c>
      <c r="CO26" s="402">
        <f t="shared" si="101"/>
        <v>0</v>
      </c>
      <c r="CP26" s="403">
        <f t="shared" si="102"/>
        <v>0</v>
      </c>
      <c r="CQ26" s="400">
        <f t="shared" si="103"/>
        <v>0</v>
      </c>
      <c r="CR26" s="406">
        <f t="shared" si="104"/>
        <v>0</v>
      </c>
      <c r="CS26" s="406">
        <f t="shared" si="105"/>
        <v>0</v>
      </c>
      <c r="CT26" s="402">
        <f t="shared" si="106"/>
        <v>0</v>
      </c>
      <c r="CU26" s="403">
        <f t="shared" si="107"/>
        <v>0</v>
      </c>
      <c r="CV26" s="400">
        <f t="shared" si="108"/>
        <v>0</v>
      </c>
      <c r="CW26" s="406">
        <f t="shared" si="109"/>
        <v>0</v>
      </c>
      <c r="CX26" s="406">
        <f t="shared" si="110"/>
        <v>0</v>
      </c>
      <c r="CY26" s="402">
        <f t="shared" si="111"/>
        <v>0</v>
      </c>
      <c r="CZ26" s="403">
        <f t="shared" si="112"/>
        <v>0</v>
      </c>
      <c r="DA26" s="400">
        <f t="shared" si="113"/>
        <v>0</v>
      </c>
      <c r="DB26" s="406">
        <f t="shared" si="114"/>
        <v>0</v>
      </c>
      <c r="DC26" s="406">
        <f t="shared" si="115"/>
        <v>0</v>
      </c>
      <c r="DD26" s="402">
        <f t="shared" si="116"/>
        <v>0</v>
      </c>
      <c r="DE26" s="403">
        <f t="shared" si="117"/>
        <v>0</v>
      </c>
      <c r="DF26" s="400">
        <f t="shared" si="118"/>
        <v>0</v>
      </c>
      <c r="DG26" s="406">
        <f t="shared" si="119"/>
        <v>0</v>
      </c>
      <c r="DH26" s="406">
        <f t="shared" si="120"/>
        <v>0</v>
      </c>
      <c r="DI26" s="402">
        <f t="shared" si="121"/>
        <v>0</v>
      </c>
      <c r="DJ26" s="403">
        <f t="shared" si="122"/>
        <v>0</v>
      </c>
      <c r="DK26" s="400">
        <f t="shared" si="123"/>
        <v>0</v>
      </c>
      <c r="DL26" s="406">
        <f t="shared" si="124"/>
        <v>0</v>
      </c>
      <c r="DM26" s="406">
        <f t="shared" si="125"/>
        <v>0</v>
      </c>
      <c r="DN26" s="402">
        <f t="shared" si="126"/>
        <v>0</v>
      </c>
      <c r="DO26" s="403">
        <f t="shared" si="127"/>
        <v>0</v>
      </c>
      <c r="DP26" s="400">
        <f t="shared" si="237"/>
        <v>0</v>
      </c>
      <c r="DQ26" s="406">
        <f t="shared" si="238"/>
        <v>0</v>
      </c>
      <c r="DR26" s="406">
        <f t="shared" si="239"/>
        <v>0</v>
      </c>
      <c r="DS26" s="402">
        <f t="shared" si="240"/>
        <v>0</v>
      </c>
      <c r="DT26" s="403">
        <f t="shared" si="241"/>
        <v>0</v>
      </c>
      <c r="EF26" s="35"/>
      <c r="EI26" s="759"/>
    </row>
    <row r="27" spans="1:139" ht="12.75" customHeight="1" x14ac:dyDescent="0.2">
      <c r="C27" s="72"/>
      <c r="D27" s="70"/>
      <c r="E27" s="530"/>
      <c r="F27" s="532"/>
      <c r="G27" s="532"/>
      <c r="H27" s="449"/>
      <c r="I27" s="450"/>
      <c r="J27" s="451"/>
      <c r="K27" s="392"/>
      <c r="L27" s="397"/>
      <c r="M27" s="394"/>
      <c r="N27" s="404"/>
      <c r="O27" s="404"/>
      <c r="P27" s="396"/>
      <c r="Q27" s="397"/>
      <c r="R27" s="394"/>
      <c r="S27" s="404"/>
      <c r="T27" s="404"/>
      <c r="U27" s="396"/>
      <c r="V27" s="397"/>
      <c r="W27" s="394"/>
      <c r="X27" s="404"/>
      <c r="Y27" s="404"/>
      <c r="Z27" s="396"/>
      <c r="AA27" s="397"/>
      <c r="AB27" s="394"/>
      <c r="AC27" s="404"/>
      <c r="AD27" s="404"/>
      <c r="AE27" s="396"/>
      <c r="AF27" s="397"/>
      <c r="AG27" s="394"/>
      <c r="AH27" s="404"/>
      <c r="AI27" s="404"/>
      <c r="AJ27" s="396"/>
      <c r="AK27" s="397"/>
      <c r="AL27" s="394"/>
      <c r="AM27" s="404"/>
      <c r="AN27" s="404"/>
      <c r="AO27" s="396"/>
      <c r="AP27" s="397"/>
      <c r="AQ27" s="394"/>
      <c r="AR27" s="404"/>
      <c r="AS27" s="404"/>
      <c r="AT27" s="396"/>
      <c r="AU27" s="397"/>
      <c r="AV27" s="394"/>
      <c r="AW27" s="404"/>
      <c r="AX27" s="404"/>
      <c r="AY27" s="396"/>
      <c r="AZ27" s="397"/>
      <c r="BA27" s="394"/>
      <c r="BB27" s="404"/>
      <c r="BC27" s="404"/>
      <c r="BD27" s="396"/>
      <c r="BE27" s="397"/>
      <c r="BF27" s="394"/>
      <c r="BG27" s="404"/>
      <c r="BH27" s="404"/>
      <c r="BI27" s="396"/>
      <c r="BJ27" s="397"/>
      <c r="BK27" s="394"/>
      <c r="BL27" s="404"/>
      <c r="BM27" s="404"/>
      <c r="BN27" s="396"/>
      <c r="BO27" s="397"/>
      <c r="BP27" s="452"/>
      <c r="BQ27" s="403"/>
      <c r="BR27" s="400"/>
      <c r="BS27" s="406"/>
      <c r="BT27" s="406"/>
      <c r="BU27" s="402"/>
      <c r="BV27" s="403"/>
      <c r="BW27" s="400"/>
      <c r="BX27" s="406"/>
      <c r="BY27" s="406"/>
      <c r="BZ27" s="402"/>
      <c r="CA27" s="403"/>
      <c r="CB27" s="400"/>
      <c r="CC27" s="406"/>
      <c r="CD27" s="406"/>
      <c r="CE27" s="402"/>
      <c r="CF27" s="403"/>
      <c r="CG27" s="400"/>
      <c r="CH27" s="406"/>
      <c r="CI27" s="406"/>
      <c r="CJ27" s="402"/>
      <c r="CK27" s="403"/>
      <c r="CL27" s="400"/>
      <c r="CM27" s="406"/>
      <c r="CN27" s="406"/>
      <c r="CO27" s="402"/>
      <c r="CP27" s="403"/>
      <c r="CQ27" s="400"/>
      <c r="CR27" s="406"/>
      <c r="CS27" s="406"/>
      <c r="CT27" s="402"/>
      <c r="CU27" s="403"/>
      <c r="CV27" s="400"/>
      <c r="CW27" s="406"/>
      <c r="CX27" s="406"/>
      <c r="CY27" s="402"/>
      <c r="CZ27" s="403"/>
      <c r="DA27" s="400"/>
      <c r="DB27" s="406"/>
      <c r="DC27" s="406"/>
      <c r="DD27" s="402"/>
      <c r="DE27" s="403"/>
      <c r="DF27" s="400"/>
      <c r="DG27" s="406"/>
      <c r="DH27" s="406"/>
      <c r="DI27" s="402"/>
      <c r="DJ27" s="403"/>
      <c r="DK27" s="400"/>
      <c r="DL27" s="406"/>
      <c r="DM27" s="406"/>
      <c r="DN27" s="402"/>
      <c r="DO27" s="403"/>
      <c r="DP27" s="400"/>
      <c r="DQ27" s="406"/>
      <c r="DR27" s="406"/>
      <c r="DS27" s="402"/>
      <c r="DT27" s="403"/>
      <c r="EI27" s="759"/>
    </row>
    <row r="28" spans="1:139" ht="12.75" customHeight="1" x14ac:dyDescent="0.2">
      <c r="C28" s="70" t="s">
        <v>382</v>
      </c>
      <c r="D28" s="240"/>
      <c r="E28" s="530"/>
      <c r="F28" s="537"/>
      <c r="G28" s="537"/>
      <c r="H28" s="449"/>
      <c r="I28" s="390"/>
      <c r="J28" s="391"/>
      <c r="K28" s="448"/>
      <c r="L28" s="393"/>
      <c r="M28" s="394"/>
      <c r="N28" s="404"/>
      <c r="O28" s="404"/>
      <c r="P28" s="396"/>
      <c r="Q28" s="397"/>
      <c r="R28" s="394"/>
      <c r="S28" s="395"/>
      <c r="T28" s="395"/>
      <c r="U28" s="396"/>
      <c r="V28" s="397"/>
      <c r="W28" s="394"/>
      <c r="X28" s="395"/>
      <c r="Y28" s="395"/>
      <c r="Z28" s="396"/>
      <c r="AA28" s="397"/>
      <c r="AB28" s="394"/>
      <c r="AC28" s="395"/>
      <c r="AD28" s="395"/>
      <c r="AE28" s="396"/>
      <c r="AF28" s="397"/>
      <c r="AG28" s="394"/>
      <c r="AH28" s="395"/>
      <c r="AI28" s="395"/>
      <c r="AJ28" s="396"/>
      <c r="AK28" s="397"/>
      <c r="AL28" s="394"/>
      <c r="AM28" s="395"/>
      <c r="AN28" s="395"/>
      <c r="AO28" s="396"/>
      <c r="AP28" s="397"/>
      <c r="AQ28" s="394"/>
      <c r="AR28" s="395"/>
      <c r="AS28" s="395"/>
      <c r="AT28" s="396"/>
      <c r="AU28" s="397"/>
      <c r="AV28" s="394"/>
      <c r="AW28" s="395"/>
      <c r="AX28" s="395"/>
      <c r="AY28" s="396"/>
      <c r="AZ28" s="397"/>
      <c r="BA28" s="394"/>
      <c r="BB28" s="395"/>
      <c r="BC28" s="395"/>
      <c r="BD28" s="396"/>
      <c r="BE28" s="397"/>
      <c r="BF28" s="394"/>
      <c r="BG28" s="395"/>
      <c r="BH28" s="395"/>
      <c r="BI28" s="396"/>
      <c r="BJ28" s="397"/>
      <c r="BK28" s="394"/>
      <c r="BL28" s="395"/>
      <c r="BM28" s="395"/>
      <c r="BN28" s="396"/>
      <c r="BO28" s="397"/>
      <c r="BP28" s="445"/>
      <c r="BQ28" s="399"/>
      <c r="BR28" s="400"/>
      <c r="BS28" s="401"/>
      <c r="BT28" s="401"/>
      <c r="BU28" s="402"/>
      <c r="BV28" s="403"/>
      <c r="BW28" s="400"/>
      <c r="BX28" s="401"/>
      <c r="BY28" s="401"/>
      <c r="BZ28" s="402"/>
      <c r="CA28" s="403"/>
      <c r="CB28" s="400"/>
      <c r="CC28" s="401"/>
      <c r="CD28" s="401"/>
      <c r="CE28" s="402"/>
      <c r="CF28" s="403"/>
      <c r="CG28" s="400"/>
      <c r="CH28" s="401"/>
      <c r="CI28" s="401"/>
      <c r="CJ28" s="402"/>
      <c r="CK28" s="403"/>
      <c r="CL28" s="400"/>
      <c r="CM28" s="401"/>
      <c r="CN28" s="401"/>
      <c r="CO28" s="402"/>
      <c r="CP28" s="403"/>
      <c r="CQ28" s="400"/>
      <c r="CR28" s="401"/>
      <c r="CS28" s="401"/>
      <c r="CT28" s="402"/>
      <c r="CU28" s="403"/>
      <c r="CV28" s="400"/>
      <c r="CW28" s="401"/>
      <c r="CX28" s="401"/>
      <c r="CY28" s="402"/>
      <c r="CZ28" s="403"/>
      <c r="DA28" s="400"/>
      <c r="DB28" s="401"/>
      <c r="DC28" s="401"/>
      <c r="DD28" s="402"/>
      <c r="DE28" s="403"/>
      <c r="DF28" s="400"/>
      <c r="DG28" s="401"/>
      <c r="DH28" s="401"/>
      <c r="DI28" s="402"/>
      <c r="DJ28" s="403"/>
      <c r="DK28" s="400"/>
      <c r="DL28" s="401"/>
      <c r="DM28" s="401"/>
      <c r="DN28" s="402"/>
      <c r="DO28" s="403"/>
      <c r="DP28" s="400"/>
      <c r="DQ28" s="401"/>
      <c r="DR28" s="401"/>
      <c r="DS28" s="402"/>
      <c r="DT28" s="403"/>
    </row>
    <row r="29" spans="1:139" ht="12.75" customHeight="1" x14ac:dyDescent="0.2">
      <c r="C29" s="848" t="s">
        <v>561</v>
      </c>
      <c r="D29" s="70"/>
      <c r="E29" s="530">
        <f>IF(F29=0,G29,F29)</f>
        <v>0.82250000000000001</v>
      </c>
      <c r="F29" s="532">
        <v>0</v>
      </c>
      <c r="G29" s="532">
        <f>31.255/38</f>
        <v>0.82250000000000001</v>
      </c>
      <c r="H29" s="449">
        <v>2017</v>
      </c>
      <c r="I29" s="469">
        <f>AVERAGE(0%,10.5%)</f>
        <v>5.2499999999999998E-2</v>
      </c>
      <c r="J29" s="470">
        <v>7</v>
      </c>
      <c r="K29" s="392"/>
      <c r="L29" s="397">
        <f>IF(L$5=$H29,-$E29,0)</f>
        <v>0</v>
      </c>
      <c r="M29" s="394">
        <f>IF(Q29=0,0,IF(Q29&lt;0,IF($J29=3,Q29,IF($J29=2,Q29,IF($J29=1,Q29,0)))))</f>
        <v>0</v>
      </c>
      <c r="N29" s="404">
        <f>IF(Q29=0,0,IF(Q29&lt;0,IF($J29=6,Q29,IF($J29=5,Q29,IF($J29=4,Q29,0)))))</f>
        <v>0</v>
      </c>
      <c r="O29" s="404">
        <f>IF(Q29=0,0,IF(Q29&lt;0,IF($J29=9,Q29,IF($J29=8,Q29,IF($J29=7,Q29,0)))))</f>
        <v>0</v>
      </c>
      <c r="P29" s="396">
        <f>IF(Q29=0,0,IF(Q29&lt;0,IF($J29=12,Q29,IF($J29=11,Q29,IF($J29=10,Q29,0)))))</f>
        <v>0</v>
      </c>
      <c r="Q29" s="397">
        <f>IF(Q$5=$H29,-$E29,0)</f>
        <v>0</v>
      </c>
      <c r="R29" s="394">
        <f>IF(V29=0,0,IF(V29&lt;0,IF($J29=3,V29,IF($J29=2,V29,IF($J29=1,V29,0)))))</f>
        <v>0</v>
      </c>
      <c r="S29" s="404">
        <f>IF(V29=0,0,IF(V29&lt;0,IF($J29=6,V29,IF($J29=5,V29,IF($J29=4,V29,0)))))</f>
        <v>0</v>
      </c>
      <c r="T29" s="404">
        <f>IF(V29=0,0,IF(V29&lt;0,IF($J29=9,V29,IF($J29=8,V29,IF($J29=7,V29,0)))))</f>
        <v>0</v>
      </c>
      <c r="U29" s="396">
        <f>IF(V29=0,0,IF(V29&lt;0,IF($J29=12,V29,IF($J29=11,V29,IF($J29=10,V29,0)))))</f>
        <v>0</v>
      </c>
      <c r="V29" s="397">
        <f>IF(V$5=$H29,-$E29,0)</f>
        <v>0</v>
      </c>
      <c r="W29" s="394">
        <f>IF(AA29=0,0,IF(AA29&lt;0,IF($J29=3,AA29,IF($J29=2,AA29,IF($J29=1,AA29,0)))))</f>
        <v>0</v>
      </c>
      <c r="X29" s="404">
        <f>IF(AA29=0,0,IF(AA29&lt;0,IF($J29=6,AA29,IF($J29=5,AA29,IF($J29=4,AA29,0)))))</f>
        <v>0</v>
      </c>
      <c r="Y29" s="404">
        <f>IF(AA29=0,0,IF(AA29&lt;0,IF($J29=9,AA29,IF($J29=8,AA29,IF($J29=7,AA29,0)))))</f>
        <v>0</v>
      </c>
      <c r="Z29" s="396">
        <f>IF(AA29=0,0,IF(AA29&lt;0,IF($J29=12,AA29,IF($J29=11,AA29,IF($J29=10,AA29,0)))))</f>
        <v>0</v>
      </c>
      <c r="AA29" s="397">
        <f>IF(AA$5=$H29,-$E29,0)</f>
        <v>0</v>
      </c>
      <c r="AB29" s="394">
        <f>IF(AF29=0,0,IF(AF29&lt;0,IF($J29=3,AF29,IF($J29=2,AF29,IF($J29=1,AF29,0)))))</f>
        <v>0</v>
      </c>
      <c r="AC29" s="404">
        <f>IF(AF29=0,0,IF(AF29&lt;0,IF($J29=6,AF29,IF($J29=5,AF29,IF($J29=4,AF29,0)))))</f>
        <v>0</v>
      </c>
      <c r="AD29" s="404">
        <f>IF(AF29=0,0,IF(AF29&lt;0,IF($J29=9,AF29,IF($J29=8,AF29,IF($J29=7,AF29,0)))))</f>
        <v>0</v>
      </c>
      <c r="AE29" s="396">
        <f>IF(AF29=0,0,IF(AF29&lt;0,IF($J29=12,AF29,IF($J29=11,AF29,IF($J29=10,AF29,0)))))</f>
        <v>0</v>
      </c>
      <c r="AF29" s="397">
        <f>IF(AF$5=$H29,-$E29,0)</f>
        <v>0</v>
      </c>
      <c r="AG29" s="394">
        <f>IF(AK29=0,0,IF(AK29&lt;0,IF($J29=3,AK29,IF($J29=2,AK29,IF($J29=1,AK29,0)))))</f>
        <v>0</v>
      </c>
      <c r="AH29" s="404">
        <f>IF(AK29=0,0,IF(AK29&lt;0,IF($J29=6,AK29,IF($J29=5,AK29,IF($J29=4,AK29,0)))))</f>
        <v>0</v>
      </c>
      <c r="AI29" s="404">
        <f>IF(AK29=0,0,IF(AK29&lt;0,IF($J29=9,AK29,IF($J29=8,AK29,IF($J29=7,AK29,0)))))</f>
        <v>0</v>
      </c>
      <c r="AJ29" s="396">
        <f>IF(AK29=0,0,IF(AK29&lt;0,IF($J29=12,AK29,IF($J29=11,AK29,IF($J29=10,AK29,0)))))</f>
        <v>0</v>
      </c>
      <c r="AK29" s="397">
        <f>IF(AK$5=$H29,-$E29,0)</f>
        <v>0</v>
      </c>
      <c r="AL29" s="394">
        <f>IF(AP29=0,0,IF(AP29&lt;0,IF($J29=3,AP29,IF($J29=2,AP29,IF($J29=1,AP29,0)))))</f>
        <v>0</v>
      </c>
      <c r="AM29" s="404">
        <f>IF(AP29=0,0,IF(AP29&lt;0,IF($J29=6,AP29,IF($J29=5,AP29,IF($J29=4,AP29,0)))))</f>
        <v>0</v>
      </c>
      <c r="AN29" s="404">
        <f>IF(AP29=0,0,IF(AP29&lt;0,IF($J29=9,AP29,IF($J29=8,AP29,IF($J29=7,AP29,0)))))</f>
        <v>0</v>
      </c>
      <c r="AO29" s="396">
        <f>IF(AP29=0,0,IF(AP29&lt;0,IF($J29=12,AP29,IF($J29=11,AP29,IF($J29=10,AP29,0)))))</f>
        <v>0</v>
      </c>
      <c r="AP29" s="397">
        <f>IF(AP$5=$H29,-$E29,0)</f>
        <v>0</v>
      </c>
      <c r="AQ29" s="394">
        <f>IF(AU29=0,0,IF(AU29&lt;0,IF($J29=3,AU29,IF($J29=2,AU29,IF($J29=1,AU29,0)))))</f>
        <v>0</v>
      </c>
      <c r="AR29" s="404">
        <f>IF(AU29=0,0,IF(AU29&lt;0,IF($J29=6,AU29,IF($J29=5,AU29,IF($J29=4,AU29,0)))))</f>
        <v>0</v>
      </c>
      <c r="AS29" s="404">
        <f>IF(AU29=0,0,IF(AU29&lt;0,IF($J29=9,AU29,IF($J29=8,AU29,IF($J29=7,AU29,0)))))</f>
        <v>-0.82250000000000001</v>
      </c>
      <c r="AT29" s="396">
        <f>IF(AU29=0,0,IF(AU29&lt;0,IF($J29=12,AU29,IF($J29=11,AU29,IF($J29=10,AU29,0)))))</f>
        <v>0</v>
      </c>
      <c r="AU29" s="397">
        <f>IF(AU$5=$H29,-$E29,0)</f>
        <v>-0.82250000000000001</v>
      </c>
      <c r="AV29" s="394">
        <f>IF(AZ29=0,0,IF(AZ29&lt;0,IF($J29=3,AZ29,IF($J29=2,AZ29,IF($J29=1,AZ29,0)))))</f>
        <v>0</v>
      </c>
      <c r="AW29" s="404">
        <f>IF(AZ29=0,0,IF(AZ29&lt;0,IF($J29=6,AZ29,IF($J29=5,AZ29,IF($J29=4,AZ29,0)))))</f>
        <v>0</v>
      </c>
      <c r="AX29" s="404">
        <f>IF(AZ29=0,0,IF(AZ29&lt;0,IF($J29=9,AZ29,IF($J29=8,AZ29,IF($J29=7,AZ29,0)))))</f>
        <v>0</v>
      </c>
      <c r="AY29" s="396">
        <f>IF(AZ29=0,0,IF(AZ29&lt;0,IF($J29=12,AZ29,IF($J29=11,AZ29,IF($J29=10,AZ29,0)))))</f>
        <v>0</v>
      </c>
      <c r="AZ29" s="397">
        <f>IF(AZ$5=$H29,-$E29,0)</f>
        <v>0</v>
      </c>
      <c r="BA29" s="394">
        <f>IF(BE29=0,0,IF(BE29&lt;0,IF($J29=3,BE29,IF($J29=2,BE29,IF($J29=1,BE29,0)))))</f>
        <v>0</v>
      </c>
      <c r="BB29" s="404">
        <f>IF(BE29=0,0,IF(BE29&lt;0,IF($J29=6,BE29,IF($J29=5,BE29,IF($J29=4,BE29,0)))))</f>
        <v>0</v>
      </c>
      <c r="BC29" s="404">
        <f>IF(BE29=0,0,IF(BE29&lt;0,IF($J29=9,BE29,IF($J29=8,BE29,IF($J29=7,BE29,0)))))</f>
        <v>0</v>
      </c>
      <c r="BD29" s="396">
        <f>IF(BE29=0,0,IF(BE29&lt;0,IF($J29=12,BE29,IF($J29=11,BE29,IF($J29=10,BE29,0)))))</f>
        <v>0</v>
      </c>
      <c r="BE29" s="397">
        <f>IF(BE$5=$H29,-$E29,0)</f>
        <v>0</v>
      </c>
      <c r="BF29" s="394">
        <f>IF(BJ29=0,0,IF(BJ29&lt;0,IF($J29=3,BJ29,IF($J29=2,BJ29,IF($J29=1,BJ29,0)))))</f>
        <v>0</v>
      </c>
      <c r="BG29" s="404">
        <f>IF(BJ29=0,0,IF(BJ29&lt;0,IF($J29=6,BJ29,IF($J29=5,BJ29,IF($J29=4,BJ29,0)))))</f>
        <v>0</v>
      </c>
      <c r="BH29" s="404">
        <f>IF(BJ29=0,0,IF(BJ29&lt;0,IF($J29=9,BJ29,IF($J29=8,BJ29,IF($J29=7,BJ29,0)))))</f>
        <v>0</v>
      </c>
      <c r="BI29" s="396">
        <f>IF(BJ29=0,0,IF(BJ29&lt;0,IF($J29=12,BJ29,IF($J29=11,BJ29,IF($J29=10,BJ29,0)))))</f>
        <v>0</v>
      </c>
      <c r="BJ29" s="397">
        <f>IF(BJ$5=$H29,-$E29,0)</f>
        <v>0</v>
      </c>
      <c r="BK29" s="394">
        <f>IF(BO29=0,0,IF(BO29&lt;0,IF($J29=3,BO29,IF($J29=2,BO29,IF($J29=1,BO29,0)))))</f>
        <v>0</v>
      </c>
      <c r="BL29" s="404">
        <f>IF(BO29=0,0,IF(BO29&lt;0,IF($J29=6,BO29,IF($J29=5,BO29,IF($J29=4,BO29,0)))))</f>
        <v>0</v>
      </c>
      <c r="BM29" s="404">
        <f>IF(BO29=0,0,IF(BO29&lt;0,IF($J29=9,BO29,IF($J29=8,BO29,IF($J29=7,BO29,0)))))</f>
        <v>0</v>
      </c>
      <c r="BN29" s="396">
        <f>IF(BO29=0,0,IF(BO29&lt;0,IF($J29=12,BO29,IF($J29=11,BO29,IF($J29=10,BO29,0)))))</f>
        <v>0</v>
      </c>
      <c r="BO29" s="397">
        <f>IF(BO$5=$H29,-$E29,0)</f>
        <v>0</v>
      </c>
      <c r="BP29" s="452"/>
      <c r="BQ29" s="403">
        <f>IF(AND(BP29&lt;&gt;0,BP$5=$H29),-$I29*$E29-BP29,IF(BQ$5=$H29,-$I29*$E29*(12-$J29+1)/12,0))</f>
        <v>0</v>
      </c>
      <c r="BR29" s="400">
        <f>IF($H29&lt;&gt;BV$5,0,IF(BV29&lt;0,IF($J29=1,-$E29*$I29/12*3,IF($J29=2,-$E29*$I29/12*2,IF($J29=3,-$E29*$I29/12*1,0)))))+IF(BQ$5&lt;&gt;$H29,0,IF(BQ29&lt;0,IF($J29=1,-$E29*$I29/12*0,IF($J29=2,-$E29*$I29/12*1,IF($J29=3,-$E29*$I29/12*2,IF($J29&gt;=4,-$E29*$I29/12*3,0))))))</f>
        <v>0</v>
      </c>
      <c r="BS29" s="406">
        <f>IF($H29&lt;&gt;BV$5,0,IF(BV29&lt;0,IF(OR($J29=1,$J29=2,$J29=3,$J29=4),-$E29*$I29/12*3,IF($J29=5,-$E29*$I29/12*2,IF($J29=6,-$E29*$I29/12*1,0)))))+IF(BQ$5&lt;&gt;$H29,0,IF(BQ29&lt;0,IF($J29=4,-$E29*$I29/12*0,IF($J29=5,-$E29*$I29/12*1,IF($J29=6,-$E29*$I29/12*2,IF($J29&gt;=7,-$E29*$I29/12*3,0))))))</f>
        <v>0</v>
      </c>
      <c r="BT29" s="406">
        <f>IF($H29&lt;&gt;BV$5,0,IF(BV29&lt;0,IF(OR($J29=1,$J29=2,$J29=3,$J29=4,$J29=5,$J29=6,$J29=7),-$E29*$I29/12*3,IF($J29=8,-$E29*$I29/12*2,IF($J29=9,-$E29*$I29/12*1,0)))))+IF(BQ$5&lt;&gt;$H29,0,IF(BQ29&lt;0,IF($J29=7,-$E29*$I29/12*0,IF($J29=8,-$E29*$I29/12*1,IF($J29=9,-$E29*$I29/12*2,IF($J29&gt;=10,-$E29*$I29/12*3,0))))))</f>
        <v>0</v>
      </c>
      <c r="BU29" s="402">
        <f>IF($H29&lt;&gt;BV$5,0,IF(BV29&lt;0,IF(OR($J29=1,$J29=2,$J29=3,$J29=4,$J29=5,$J29=6,$J29=7,$J29=8,$J29=9,$J29=10),-$E29*$I29/12*3,IF($J29=11,-$E29*$I29/12*2,IF($J29=12,-$E29*$I29/12*1,0)))))+IF(BQ$5&lt;&gt;$H29,0,IF(BQ29&lt;0,IF($J29=10,-$E29*$I29/12*0,IF($J29=11,-$E29*$I29/12*1,IF($J29=12,-$E29*$I29/12*2,0)))))</f>
        <v>0</v>
      </c>
      <c r="BV29" s="403">
        <f>IF(AND(BQ29&lt;&gt;0,BQ$5=$H29),-$I29*$E29-BQ29,IF(BV$5=$H29,-$I29*$E29*(12-$J29+1)/12,0))</f>
        <v>0</v>
      </c>
      <c r="BW29" s="400">
        <f>IF($H29&lt;&gt;CA$5,0,IF(CA29&lt;0,IF($J29=1,-$E29*$I29/12*3,IF($J29=2,-$E29*$I29/12*2,IF($J29=3,-$E29*$I29/12*1,0)))))+IF(BV$5&lt;&gt;$H29,0,IF(BV29&lt;0,IF($J29=1,-$E29*$I29/12*0,IF($J29=2,-$E29*$I29/12*1,IF($J29=3,-$E29*$I29/12*2,IF($J29&gt;=4,-$E29*$I29/12*3,0))))))</f>
        <v>0</v>
      </c>
      <c r="BX29" s="406">
        <f>IF($H29&lt;&gt;CA$5,0,IF(CA29&lt;0,IF(OR($J29=1,$J29=2,$J29=3,$J29=4),-$E29*$I29/12*3,IF($J29=5,-$E29*$I29/12*2,IF($J29=6,-$E29*$I29/12*1,0)))))+IF(BV$5&lt;&gt;$H29,0,IF(BV29&lt;0,IF($J29=4,-$E29*$I29/12*0,IF($J29=5,-$E29*$I29/12*1,IF($J29=6,-$E29*$I29/12*2,IF($J29&gt;=7,-$E29*$I29/12*3,0))))))</f>
        <v>0</v>
      </c>
      <c r="BY29" s="406">
        <f>IF($H29&lt;&gt;CA$5,0,IF(CA29&lt;0,IF(OR($J29=1,$J29=2,$J29=3,$J29=4,$J29=5,$J29=6,$J29=7),-$E29*$I29/12*3,IF($J29=8,-$E29*$I29/12*2,IF($J29=9,-$E29*$I29/12*1,0)))))+IF(BV$5&lt;&gt;$H29,0,IF(BV29&lt;0,IF($J29=7,-$E29*$I29/12*0,IF($J29=8,-$E29*$I29/12*1,IF($J29=9,-$E29*$I29/12*2,IF($J29&gt;=10,-$E29*$I29/12*3,0))))))</f>
        <v>0</v>
      </c>
      <c r="BZ29" s="402">
        <f>IF($H29&lt;&gt;CA$5,0,IF(CA29&lt;0,IF(OR($J29=1,$J29=2,$J29=3,$J29=4,$J29=5,$J29=6,$J29=7,$J29=8,$J29=9,$J29=10),-$E29*$I29/12*3,IF($J29=11,-$E29*$I29/12*2,IF($J29=12,-$E29*$I29/12*1,0)))))+IF(BV$5&lt;&gt;$H29,0,IF(BV29&lt;0,IF($J29=10,-$E29*$I29/12*0,IF($J29=11,-$E29*$I29/12*1,IF($J29=12,-$E29*$I29/12*2,0)))))</f>
        <v>0</v>
      </c>
      <c r="CA29" s="403">
        <f>IF(AND(BV29&lt;&gt;0,BV$5=$H29),-$I29*$E29-BV29,IF(CA$5=$H29,-$I29*$E29*(12-$J29+1)/12,0))</f>
        <v>0</v>
      </c>
      <c r="CB29" s="400">
        <f>IF($H29&lt;&gt;CF$5,0,IF(CF29&lt;0,IF($J29=1,-$E29*$I29/12*3,IF($J29=2,-$E29*$I29/12*2,IF($J29=3,-$E29*$I29/12*1,0)))))+IF(CA$5&lt;&gt;$H29,0,IF(CA29&lt;0,IF($J29=1,-$E29*$I29/12*0,IF($J29=2,-$E29*$I29/12*1,IF($J29=3,-$E29*$I29/12*2,IF($J29&gt;=4,-$E29*$I29/12*3,0))))))</f>
        <v>0</v>
      </c>
      <c r="CC29" s="406">
        <f>IF($H29&lt;&gt;CF$5,0,IF(CF29&lt;0,IF(OR($J29=1,$J29=2,$J29=3,$J29=4),-$E29*$I29/12*3,IF($J29=5,-$E29*$I29/12*2,IF($J29=6,-$E29*$I29/12*1,0)))))+IF(CA$5&lt;&gt;$H29,0,IF(CA29&lt;0,IF($J29=4,-$E29*$I29/12*0,IF($J29=5,-$E29*$I29/12*1,IF($J29=6,-$E29*$I29/12*2,IF($J29&gt;=7,-$E29*$I29/12*3,0))))))</f>
        <v>0</v>
      </c>
      <c r="CD29" s="406">
        <f>IF($H29&lt;&gt;CF$5,0,IF(CF29&lt;0,IF(OR($J29=1,$J29=2,$J29=3,$J29=4,$J29=5,$J29=6,$J29=7),-$E29*$I29/12*3,IF($J29=8,-$E29*$I29/12*2,IF($J29=9,-$E29*$I29/12*1,0)))))+IF(CA$5&lt;&gt;$H29,0,IF(CA29&lt;0,IF($J29=7,-$E29*$I29/12*0,IF($J29=8,-$E29*$I29/12*1,IF($J29=9,-$E29*$I29/12*2,IF($J29&gt;=10,-$E29*$I29/12*3,0))))))</f>
        <v>0</v>
      </c>
      <c r="CE29" s="402">
        <f>IF($H29&lt;&gt;CF$5,0,IF(CF29&lt;0,IF(OR($J29=1,$J29=2,$J29=3,$J29=4,$J29=5,$J29=6,$J29=7,$J29=8,$J29=9,$J29=10),-$E29*$I29/12*3,IF($J29=11,-$E29*$I29/12*2,IF($J29=12,-$E29*$I29/12*1,0)))))+IF(CA$5&lt;&gt;$H29,0,IF(CA29&lt;0,IF($J29=10,-$E29*$I29/12*0,IF($J29=11,-$E29*$I29/12*1,IF($J29=12,-$E29*$I29/12*2,0)))))</f>
        <v>0</v>
      </c>
      <c r="CF29" s="403">
        <f>IF(AND(CA29&lt;&gt;0,CA$5=$H29),-$I29*$E29-CA29,IF(CF$5=$H29,-$I29*$E29*(12-$J29+1)/12,0))</f>
        <v>0</v>
      </c>
      <c r="CG29" s="400">
        <f>IF($H29&lt;&gt;CK$5,0,IF(CK29&lt;0,IF($J29=1,-$E29*$I29/12*3,IF($J29=2,-$E29*$I29/12*2,IF($J29=3,-$E29*$I29/12*1,0)))))+IF(CF$5&lt;&gt;$H29,0,IF(CF29&lt;0,IF($J29=1,-$E29*$I29/12*0,IF($J29=2,-$E29*$I29/12*1,IF($J29=3,-$E29*$I29/12*2,IF($J29&gt;=4,-$E29*$I29/12*3,0))))))</f>
        <v>0</v>
      </c>
      <c r="CH29" s="406">
        <f>IF($H29&lt;&gt;CK$5,0,IF(CK29&lt;0,IF(OR($J29=1,$J29=2,$J29=3,$J29=4),-$E29*$I29/12*3,IF($J29=5,-$E29*$I29/12*2,IF($J29=6,-$E29*$I29/12*1,0)))))+IF(CF$5&lt;&gt;$H29,0,IF(CF29&lt;0,IF($J29=4,-$E29*$I29/12*0,IF($J29=5,-$E29*$I29/12*1,IF($J29=6,-$E29*$I29/12*2,IF($J29&gt;=7,-$E29*$I29/12*3,0))))))</f>
        <v>0</v>
      </c>
      <c r="CI29" s="406">
        <f>IF($H29&lt;&gt;CK$5,0,IF(CK29&lt;0,IF(OR($J29=1,$J29=2,$J29=3,$J29=4,$J29=5,$J29=6,$J29=7),-$E29*$I29/12*3,IF($J29=8,-$E29*$I29/12*2,IF($J29=9,-$E29*$I29/12*1,0)))))+IF(CF$5&lt;&gt;$H29,0,IF(CF29&lt;0,IF($J29=7,-$E29*$I29/12*0,IF($J29=8,-$E29*$I29/12*1,IF($J29=9,-$E29*$I29/12*2,IF($J29&gt;=10,-$E29*$I29/12*3,0))))))</f>
        <v>0</v>
      </c>
      <c r="CJ29" s="402">
        <f>IF($H29&lt;&gt;CK$5,0,IF(CK29&lt;0,IF(OR($J29=1,$J29=2,$J29=3,$J29=4,$J29=5,$J29=6,$J29=7,$J29=8,$J29=9,$J29=10),-$E29*$I29/12*3,IF($J29=11,-$E29*$I29/12*2,IF($J29=12,-$E29*$I29/12*1,0)))))+IF(CF$5&lt;&gt;$H29,0,IF(CF29&lt;0,IF($J29=10,-$E29*$I29/12*0,IF($J29=11,-$E29*$I29/12*1,IF($J29=12,-$E29*$I29/12*2,0)))))</f>
        <v>0</v>
      </c>
      <c r="CK29" s="403">
        <f>IF(AND(CF29&lt;&gt;0,CF$5=$H29),-$I29*$E29-CF29,IF(CK$5=$H29,-$I29*$E29*(12-$J29+1)/12,0))</f>
        <v>0</v>
      </c>
      <c r="CL29" s="400">
        <f>IF($H29&lt;&gt;CP$5,0,IF(CP29&lt;0,IF($J29=1,-$E29*$I29/12*3,IF($J29=2,-$E29*$I29/12*2,IF($J29=3,-$E29*$I29/12*1,0)))))+IF(CK$5&lt;&gt;$H29,0,IF(CK29&lt;0,IF($J29=1,-$E29*$I29/12*0,IF($J29=2,-$E29*$I29/12*1,IF($J29=3,-$E29*$I29/12*2,IF($J29&gt;=4,-$E29*$I29/12*3,0))))))</f>
        <v>0</v>
      </c>
      <c r="CM29" s="406">
        <f>IF($H29&lt;&gt;CP$5,0,IF(CP29&lt;0,IF(OR($J29=1,$J29=2,$J29=3,$J29=4),-$E29*$I29/12*3,IF($J29=5,-$E29*$I29/12*2,IF($J29=6,-$E29*$I29/12*1,0)))))+IF(CK$5&lt;&gt;$H29,0,IF(CK29&lt;0,IF($J29=4,-$E29*$I29/12*0,IF($J29=5,-$E29*$I29/12*1,IF($J29=6,-$E29*$I29/12*2,IF($J29&gt;=7,-$E29*$I29/12*3,0))))))</f>
        <v>0</v>
      </c>
      <c r="CN29" s="406">
        <f>IF($H29&lt;&gt;CP$5,0,IF(CP29&lt;0,IF(OR($J29=1,$J29=2,$J29=3,$J29=4,$J29=5,$J29=6,$J29=7),-$E29*$I29/12*3,IF($J29=8,-$E29*$I29/12*2,IF($J29=9,-$E29*$I29/12*1,0)))))+IF(CK$5&lt;&gt;$H29,0,IF(CK29&lt;0,IF($J29=7,-$E29*$I29/12*0,IF($J29=8,-$E29*$I29/12*1,IF($J29=9,-$E29*$I29/12*2,IF($J29&gt;=10,-$E29*$I29/12*3,0))))))</f>
        <v>0</v>
      </c>
      <c r="CO29" s="402">
        <f>IF($H29&lt;&gt;CP$5,0,IF(CP29&lt;0,IF(OR($J29=1,$J29=2,$J29=3,$J29=4,$J29=5,$J29=6,$J29=7,$J29=8,$J29=9,$J29=10),-$E29*$I29/12*3,IF($J29=11,-$E29*$I29/12*2,IF($J29=12,-$E29*$I29/12*1,0)))))+IF(CK$5&lt;&gt;$H29,0,IF(CK29&lt;0,IF($J29=10,-$E29*$I29/12*0,IF($J29=11,-$E29*$I29/12*1,IF($J29=12,-$E29*$I29/12*2,0)))))</f>
        <v>0</v>
      </c>
      <c r="CP29" s="403">
        <f>IF(AND(CK29&lt;&gt;0,CK$5=$H29),-$I29*$E29-CK29,IF(CP$5=$H29,-$I29*$E29*(12-$J29+1)/12,0))</f>
        <v>0</v>
      </c>
      <c r="CQ29" s="400">
        <f>IF($H29&lt;&gt;CU$5,0,IF(CU29&lt;0,IF($J29=1,-$E29*$I29/12*3,IF($J29=2,-$E29*$I29/12*2,IF($J29=3,-$E29*$I29/12*1,0)))))+IF(CP$5&lt;&gt;$H29,0,IF(CP29&lt;0,IF($J29=1,-$E29*$I29/12*0,IF($J29=2,-$E29*$I29/12*1,IF($J29=3,-$E29*$I29/12*2,IF($J29&gt;=4,-$E29*$I29/12*3,0))))))</f>
        <v>0</v>
      </c>
      <c r="CR29" s="406">
        <f>IF($H29&lt;&gt;CU$5,0,IF(CU29&lt;0,IF(OR($J29=1,$J29=2,$J29=3,$J29=4),-$E29*$I29/12*3,IF($J29=5,-$E29*$I29/12*2,IF($J29=6,-$E29*$I29/12*1,0)))))+IF(CP$5&lt;&gt;$H29,0,IF(CP29&lt;0,IF($J29=4,-$E29*$I29/12*0,IF($J29=5,-$E29*$I29/12*1,IF($J29=6,-$E29*$I29/12*2,IF($J29&gt;=7,-$E29*$I29/12*3,0))))))</f>
        <v>0</v>
      </c>
      <c r="CS29" s="406">
        <f>IF($H29&lt;&gt;CU$5,0,IF(CU29&lt;0,IF(OR($J29=1,$J29=2,$J29=3,$J29=4,$J29=5,$J29=6,$J29=7),-$E29*$I29/12*3,IF($J29=8,-$E29*$I29/12*2,IF($J29=9,-$E29*$I29/12*1,0)))))+IF(CP$5&lt;&gt;$H29,0,IF(CP29&lt;0,IF($J29=7,-$E29*$I29/12*0,IF($J29=8,-$E29*$I29/12*1,IF($J29=9,-$E29*$I29/12*2,IF($J29&gt;=10,-$E29*$I29/12*3,0))))))</f>
        <v>0</v>
      </c>
      <c r="CT29" s="402">
        <f>IF($H29&lt;&gt;CU$5,0,IF(CU29&lt;0,IF(OR($J29=1,$J29=2,$J29=3,$J29=4,$J29=5,$J29=6,$J29=7,$J29=8,$J29=9,$J29=10),-$E29*$I29/12*3,IF($J29=11,-$E29*$I29/12*2,IF($J29=12,-$E29*$I29/12*1,0)))))+IF(CP$5&lt;&gt;$H29,0,IF(CP29&lt;0,IF($J29=10,-$E29*$I29/12*0,IF($J29=11,-$E29*$I29/12*1,IF($J29=12,-$E29*$I29/12*2,0)))))</f>
        <v>0</v>
      </c>
      <c r="CU29" s="403">
        <f>IF(AND(CP29&lt;&gt;0,CP$5=$H29),-$I29*$E29-CP29,IF(CU$5=$H29,-$I29*$E29*(12-$J29+1)/12,0))</f>
        <v>0</v>
      </c>
      <c r="CV29" s="400">
        <f>IF($H29&lt;&gt;CZ$5,0,IF(CZ29&lt;0,IF($J29=1,-$E29*$I29/12*3,IF($J29=2,-$E29*$I29/12*2,IF($J29=3,-$E29*$I29/12*1,0)))))+IF(CU$5&lt;&gt;$H29,0,IF(CU29&lt;0,IF($J29=1,-$E29*$I29/12*0,IF($J29=2,-$E29*$I29/12*1,IF($J29=3,-$E29*$I29/12*2,IF($J29&gt;=4,-$E29*$I29/12*3,0))))))</f>
        <v>0</v>
      </c>
      <c r="CW29" s="406">
        <f>IF($H29&lt;&gt;CZ$5,0,IF(CZ29&lt;0,IF(OR($J29=1,$J29=2,$J29=3,$J29=4),-$E29*$I29/12*3,IF($J29=5,-$E29*$I29/12*2,IF($J29=6,-$E29*$I29/12*1,0)))))+IF(CU$5&lt;&gt;$H29,0,IF(CU29&lt;0,IF($J29=4,-$E29*$I29/12*0,IF($J29=5,-$E29*$I29/12*1,IF($J29=6,-$E29*$I29/12*2,IF($J29&gt;=7,-$E29*$I29/12*3,0))))))</f>
        <v>0</v>
      </c>
      <c r="CX29" s="406">
        <f>IF($H29&lt;&gt;CZ$5,0,IF(CZ29&lt;0,IF(OR($J29=1,$J29=2,$J29=3,$J29=4,$J29=5,$J29=6,$J29=7),-$E29*$I29/12*3,IF($J29=8,-$E29*$I29/12*2,IF($J29=9,-$E29*$I29/12*1,0)))))+IF(CU$5&lt;&gt;$H29,0,IF(CU29&lt;0,IF($J29=7,-$E29*$I29/12*0,IF($J29=8,-$E29*$I29/12*1,IF($J29=9,-$E29*$I29/12*2,IF($J29&gt;=10,-$E29*$I29/12*3,0))))))</f>
        <v>-1.0795312499999999E-2</v>
      </c>
      <c r="CY29" s="402">
        <f>IF($H29&lt;&gt;CZ$5,0,IF(CZ29&lt;0,IF(OR($J29=1,$J29=2,$J29=3,$J29=4,$J29=5,$J29=6,$J29=7,$J29=8,$J29=9,$J29=10),-$E29*$I29/12*3,IF($J29=11,-$E29*$I29/12*2,IF($J29=12,-$E29*$I29/12*1,0)))))+IF(CU$5&lt;&gt;$H29,0,IF(CU29&lt;0,IF($J29=10,-$E29*$I29/12*0,IF($J29=11,-$E29*$I29/12*1,IF($J29=12,-$E29*$I29/12*2,0)))))</f>
        <v>-1.0795312499999999E-2</v>
      </c>
      <c r="CZ29" s="403">
        <f>IF(AND(CU29&lt;&gt;0,CU$5=$H29),-$I29*$E29-CU29,IF(CZ$5=$H29,-$I29*$E29*(12-$J29+1)/12,0))</f>
        <v>-2.1590624999999999E-2</v>
      </c>
      <c r="DA29" s="400">
        <f>IF($H29&lt;&gt;DE$5,0,IF(DE29&lt;0,IF($J29=1,-$E29*$I29/12*3,IF($J29=2,-$E29*$I29/12*2,IF($J29=3,-$E29*$I29/12*1,0)))))+IF(CZ$5&lt;&gt;$H29,0,IF(CZ29&lt;0,IF($J29=1,-$E29*$I29/12*0,IF($J29=2,-$E29*$I29/12*1,IF($J29=3,-$E29*$I29/12*2,IF($J29&gt;=4,-$E29*$I29/12*3,0))))))</f>
        <v>-1.0795312499999999E-2</v>
      </c>
      <c r="DB29" s="406">
        <f>IF($H29&lt;&gt;DE$5,0,IF(DE29&lt;0,IF(OR($J29=1,$J29=2,$J29=3,$J29=4),-$E29*$I29/12*3,IF($J29=5,-$E29*$I29/12*2,IF($J29=6,-$E29*$I29/12*1,0)))))+IF(CZ$5&lt;&gt;$H29,0,IF(CZ29&lt;0,IF($J29=4,-$E29*$I29/12*0,IF($J29=5,-$E29*$I29/12*1,IF($J29=6,-$E29*$I29/12*2,IF($J29&gt;=7,-$E29*$I29/12*3,0))))))</f>
        <v>-1.0795312499999999E-2</v>
      </c>
      <c r="DC29" s="406">
        <f>IF($H29&lt;&gt;DE$5,0,IF(DE29&lt;0,IF(OR($J29=1,$J29=2,$J29=3,$J29=4,$J29=5,$J29=6,$J29=7),-$E29*$I29/12*3,IF($J29=8,-$E29*$I29/12*2,IF($J29=9,-$E29*$I29/12*1,0)))))+IF(CZ$5&lt;&gt;$H29,0,IF(CZ29&lt;0,IF($J29=7,-$E29*$I29/12*0,IF($J29=8,-$E29*$I29/12*1,IF($J29=9,-$E29*$I29/12*2,IF($J29&gt;=10,-$E29*$I29/12*3,0))))))</f>
        <v>0</v>
      </c>
      <c r="DD29" s="402">
        <f>IF($H29&lt;&gt;DE$5,0,IF(DE29&lt;0,IF(OR($J29=1,$J29=2,$J29=3,$J29=4,$J29=5,$J29=6,$J29=7,$J29=8,$J29=9,$J29=10),-$E29*$I29/12*3,IF($J29=11,-$E29*$I29/12*2,IF($J29=12,-$E29*$I29/12*1,0)))))+IF(CZ$5&lt;&gt;$H29,0,IF(CZ29&lt;0,IF($J29=10,-$E29*$I29/12*0,IF($J29=11,-$E29*$I29/12*1,IF($J29=12,-$E29*$I29/12*2,0)))))</f>
        <v>0</v>
      </c>
      <c r="DE29" s="403">
        <f>IF(AND(CZ29&lt;&gt;0,CZ$5=$H29),-$I29*$E29-CZ29,IF(DE$5=$H29,-$I29*$E29*(12-$J29+1)/12,0))</f>
        <v>-2.1590624999999999E-2</v>
      </c>
      <c r="DF29" s="400">
        <f>IF($H29&lt;&gt;DJ$5,0,IF(DJ29&lt;0,IF($J29=1,-$E29*$I29/12*3,IF($J29=2,-$E29*$I29/12*2,IF($J29=3,-$E29*$I29/12*1,0)))))+IF(DE$5&lt;&gt;$H29,0,IF(DE29&lt;0,IF($J29=1,-$E29*$I29/12*0,IF($J29=2,-$E29*$I29/12*1,IF($J29=3,-$E29*$I29/12*2,IF($J29&gt;=4,-$E29*$I29/12*3,0))))))</f>
        <v>0</v>
      </c>
      <c r="DG29" s="406">
        <f>IF($H29&lt;&gt;DJ$5,0,IF(DJ29&lt;0,IF(OR($J29=1,$J29=2,$J29=3,$J29=4),-$E29*$I29/12*3,IF($J29=5,-$E29*$I29/12*2,IF($J29=6,-$E29*$I29/12*1,0)))))+IF(DE$5&lt;&gt;$H29,0,IF(DE29&lt;0,IF($J29=4,-$E29*$I29/12*0,IF($J29=5,-$E29*$I29/12*1,IF($J29=6,-$E29*$I29/12*2,IF($J29&gt;=7,-$E29*$I29/12*3,0))))))</f>
        <v>0</v>
      </c>
      <c r="DH29" s="406">
        <f>IF($H29&lt;&gt;DJ$5,0,IF(DJ29&lt;0,IF(OR($J29=1,$J29=2,$J29=3,$J29=4,$J29=5,$J29=6,$J29=7),-$E29*$I29/12*3,IF($J29=8,-$E29*$I29/12*2,IF($J29=9,-$E29*$I29/12*1,0)))))+IF(DE$5&lt;&gt;$H29,0,IF(DE29&lt;0,IF($J29=7,-$E29*$I29/12*0,IF($J29=8,-$E29*$I29/12*1,IF($J29=9,-$E29*$I29/12*2,IF($J29&gt;=10,-$E29*$I29/12*3,0))))))</f>
        <v>0</v>
      </c>
      <c r="DI29" s="402">
        <f>IF($H29&lt;&gt;DJ$5,0,IF(DJ29&lt;0,IF(OR($J29=1,$J29=2,$J29=3,$J29=4,$J29=5,$J29=6,$J29=7,$J29=8,$J29=9,$J29=10),-$E29*$I29/12*3,IF($J29=11,-$E29*$I29/12*2,IF($J29=12,-$E29*$I29/12*1,0)))))+IF(DE$5&lt;&gt;$H29,0,IF(DE29&lt;0,IF($J29=10,-$E29*$I29/12*0,IF($J29=11,-$E29*$I29/12*1,IF($J29=12,-$E29*$I29/12*2,0)))))</f>
        <v>0</v>
      </c>
      <c r="DJ29" s="403">
        <f>IF(AND(DE29&lt;&gt;0,DE$5=$H29),-$I29*$E29-DE29,IF(DJ$5=$H29,-$I29*$E29*(12-$J29+1)/12,0))</f>
        <v>0</v>
      </c>
      <c r="DK29" s="400">
        <f>IF($H29&lt;&gt;DO$5,0,IF(DO29&lt;0,IF($J29=1,-$E29*$I29/12*3,IF($J29=2,-$E29*$I29/12*2,IF($J29=3,-$E29*$I29/12*1,0)))))+IF(DJ$5&lt;&gt;$H29,0,IF(DJ29&lt;0,IF($J29=1,-$E29*$I29/12*0,IF($J29=2,-$E29*$I29/12*1,IF($J29=3,-$E29*$I29/12*2,IF($J29&gt;=4,-$E29*$I29/12*3,0))))))</f>
        <v>0</v>
      </c>
      <c r="DL29" s="406">
        <f>IF($H29&lt;&gt;DO$5,0,IF(DO29&lt;0,IF(OR($J29=1,$J29=2,$J29=3,$J29=4),-$E29*$I29/12*3,IF($J29=5,-$E29*$I29/12*2,IF($J29=6,-$E29*$I29/12*1,0)))))+IF(DJ$5&lt;&gt;$H29,0,IF(DJ29&lt;0,IF($J29=4,-$E29*$I29/12*0,IF($J29=5,-$E29*$I29/12*1,IF($J29=6,-$E29*$I29/12*2,IF($J29&gt;=7,-$E29*$I29/12*3,0))))))</f>
        <v>0</v>
      </c>
      <c r="DM29" s="406">
        <f>IF($H29&lt;&gt;DO$5,0,IF(DO29&lt;0,IF(OR($J29=1,$J29=2,$J29=3,$J29=4,$J29=5,$J29=6,$J29=7),-$E29*$I29/12*3,IF($J29=8,-$E29*$I29/12*2,IF($J29=9,-$E29*$I29/12*1,0)))))+IF(DJ$5&lt;&gt;$H29,0,IF(DJ29&lt;0,IF($J29=7,-$E29*$I29/12*0,IF($J29=8,-$E29*$I29/12*1,IF($J29=9,-$E29*$I29/12*2,IF($J29&gt;=10,-$E29*$I29/12*3,0))))))</f>
        <v>0</v>
      </c>
      <c r="DN29" s="402">
        <f>IF($H29&lt;&gt;DO$5,0,IF(DO29&lt;0,IF(OR($J29=1,$J29=2,$J29=3,$J29=4,$J29=5,$J29=6,$J29=7,$J29=8,$J29=9,$J29=10),-$E29*$I29/12*3,IF($J29=11,-$E29*$I29/12*2,IF($J29=12,-$E29*$I29/12*1,0)))))+IF(DJ$5&lt;&gt;$H29,0,IF(DJ29&lt;0,IF($J29=10,-$E29*$I29/12*0,IF($J29=11,-$E29*$I29/12*1,IF($J29=12,-$E29*$I29/12*2,0)))))</f>
        <v>0</v>
      </c>
      <c r="DO29" s="403">
        <f>IF(AND(DJ29&lt;&gt;0,DJ$5=$H29),-$I29*$E29-DJ29,IF(DO$5=$H29,-$I29*$E29*(12-$J29+1)/12,0))</f>
        <v>0</v>
      </c>
      <c r="DP29" s="400">
        <f>IF($H29&lt;&gt;DT$5,0,IF(DT29&lt;0,IF($J29=1,-$E29*$I29/12*3,IF($J29=2,-$E29*$I29/12*2,IF($J29=3,-$E29*$I29/12*1,0)))))+IF(DO$5&lt;&gt;$H29,0,IF(DO29&lt;0,IF($J29=1,-$E29*$I29/12*0,IF($J29=2,-$E29*$I29/12*1,IF($J29=3,-$E29*$I29/12*2,IF($J29&gt;=4,-$E29*$I29/12*3,0))))))</f>
        <v>0</v>
      </c>
      <c r="DQ29" s="406">
        <f>IF($H29&lt;&gt;DT$5,0,IF(DT29&lt;0,IF(OR($J29=1,$J29=2,$J29=3,$J29=4),-$E29*$I29/12*3,IF($J29=5,-$E29*$I29/12*2,IF($J29=6,-$E29*$I29/12*1,0)))))+IF(DO$5&lt;&gt;$H29,0,IF(DO29&lt;0,IF($J29=4,-$E29*$I29/12*0,IF($J29=5,-$E29*$I29/12*1,IF($J29=6,-$E29*$I29/12*2,IF($J29&gt;=7,-$E29*$I29/12*3,0))))))</f>
        <v>0</v>
      </c>
      <c r="DR29" s="406">
        <f>IF($H29&lt;&gt;DT$5,0,IF(DT29&lt;0,IF(OR($J29=1,$J29=2,$J29=3,$J29=4,$J29=5,$J29=6,$J29=7),-$E29*$I29/12*3,IF($J29=8,-$E29*$I29/12*2,IF($J29=9,-$E29*$I29/12*1,0)))))+IF(DO$5&lt;&gt;$H29,0,IF(DO29&lt;0,IF($J29=7,-$E29*$I29/12*0,IF($J29=8,-$E29*$I29/12*1,IF($J29=9,-$E29*$I29/12*2,IF($J29&gt;=10,-$E29*$I29/12*3,0))))))</f>
        <v>0</v>
      </c>
      <c r="DS29" s="402">
        <f>IF($H29&lt;&gt;DT$5,0,IF(DT29&lt;0,IF(OR($J29=1,$J29=2,$J29=3,$J29=4,$J29=5,$J29=6,$J29=7,$J29=8,$J29=9,$J29=10),-$E29*$I29/12*3,IF($J29=11,-$E29*$I29/12*2,IF($J29=12,-$E29*$I29/12*1,0)))))+IF(DO$5&lt;&gt;$H29,0,IF(DO29&lt;0,IF($J29=10,-$E29*$I29/12*0,IF($J29=11,-$E29*$I29/12*1,IF($J29=12,-$E29*$I29/12*2,0)))))</f>
        <v>0</v>
      </c>
      <c r="DT29" s="403">
        <f>IF(AND(DO29&lt;&gt;0,DO$5=$H29),-$I29*$E29-DO29,IF(DT$5=$H29,-$I29*$E29*(12-$J29+1)/12,0))</f>
        <v>0</v>
      </c>
    </row>
    <row r="30" spans="1:139" ht="12.75" customHeight="1" x14ac:dyDescent="0.2">
      <c r="C30" s="848" t="s">
        <v>561</v>
      </c>
      <c r="D30" s="70"/>
      <c r="E30" s="530">
        <f>IF(F30=0,G30,F30)</f>
        <v>26</v>
      </c>
      <c r="F30" s="532">
        <v>26</v>
      </c>
      <c r="G30" s="532">
        <f>30.621-SUM(G29:G29)</f>
        <v>29.798499999999997</v>
      </c>
      <c r="H30" s="449">
        <v>2050</v>
      </c>
      <c r="I30" s="469">
        <f>AVERAGE(0%,10.5%)</f>
        <v>5.2499999999999998E-2</v>
      </c>
      <c r="J30" s="470">
        <v>7</v>
      </c>
      <c r="K30" s="392"/>
      <c r="L30" s="397">
        <f>IF(L$5=$H30,-$E30,0)</f>
        <v>0</v>
      </c>
      <c r="M30" s="394">
        <f>IF(Q30=0,0,IF(Q30&lt;0,IF($J30=3,Q30,IF($J30=2,Q30,IF($J30=1,Q30,0)))))</f>
        <v>0</v>
      </c>
      <c r="N30" s="404">
        <f>IF(Q30=0,0,IF(Q30&lt;0,IF($J30=6,Q30,IF($J30=5,Q30,IF($J30=4,Q30,0)))))</f>
        <v>0</v>
      </c>
      <c r="O30" s="404">
        <f>IF(Q30=0,0,IF(Q30&lt;0,IF($J30=9,Q30,IF($J30=8,Q30,IF($J30=7,Q30,0)))))</f>
        <v>0</v>
      </c>
      <c r="P30" s="396">
        <f>IF(Q30=0,0,IF(Q30&lt;0,IF($J30=12,Q30,IF($J30=11,Q30,IF($J30=10,Q30,0)))))</f>
        <v>0</v>
      </c>
      <c r="Q30" s="397">
        <f>IF(Q$5=$H30,-$E30,0)</f>
        <v>0</v>
      </c>
      <c r="R30" s="394">
        <f>IF(V30=0,0,IF(V30&lt;0,IF($J30=3,V30,IF($J30=2,V30,IF($J30=1,V30,0)))))</f>
        <v>0</v>
      </c>
      <c r="S30" s="404">
        <f>IF(V30=0,0,IF(V30&lt;0,IF($J30=6,V30,IF($J30=5,V30,IF($J30=4,V30,0)))))</f>
        <v>0</v>
      </c>
      <c r="T30" s="404">
        <f>IF(V30=0,0,IF(V30&lt;0,IF($J30=9,V30,IF($J30=8,V30,IF($J30=7,V30,0)))))</f>
        <v>0</v>
      </c>
      <c r="U30" s="396">
        <f>IF(V30=0,0,IF(V30&lt;0,IF($J30=12,V30,IF($J30=11,V30,IF($J30=10,V30,0)))))</f>
        <v>0</v>
      </c>
      <c r="V30" s="397">
        <f>IF(V$5=$H30,-$E30,0)</f>
        <v>0</v>
      </c>
      <c r="W30" s="394">
        <f>IF(AA30=0,0,IF(AA30&lt;0,IF($J30=3,AA30,IF($J30=2,AA30,IF($J30=1,AA30,0)))))</f>
        <v>0</v>
      </c>
      <c r="X30" s="404">
        <f>IF(AA30=0,0,IF(AA30&lt;0,IF($J30=6,AA30,IF($J30=5,AA30,IF($J30=4,AA30,0)))))</f>
        <v>0</v>
      </c>
      <c r="Y30" s="404">
        <f>IF(AA30=0,0,IF(AA30&lt;0,IF($J30=9,AA30,IF($J30=8,AA30,IF($J30=7,AA30,0)))))</f>
        <v>0</v>
      </c>
      <c r="Z30" s="396">
        <f>IF(AA30=0,0,IF(AA30&lt;0,IF($J30=12,AA30,IF($J30=11,AA30,IF($J30=10,AA30,0)))))</f>
        <v>0</v>
      </c>
      <c r="AA30" s="397">
        <f>IF(AA$5=$H30,-$E30,0)</f>
        <v>0</v>
      </c>
      <c r="AB30" s="394">
        <f>IF(AF30=0,0,IF(AF30&lt;0,IF($J30=3,AF30,IF($J30=2,AF30,IF($J30=1,AF30,0)))))</f>
        <v>0</v>
      </c>
      <c r="AC30" s="404">
        <f>IF(AF30=0,0,IF(AF30&lt;0,IF($J30=6,AF30,IF($J30=5,AF30,IF($J30=4,AF30,0)))))</f>
        <v>0</v>
      </c>
      <c r="AD30" s="404">
        <f>IF(AF30=0,0,IF(AF30&lt;0,IF($J30=9,AF30,IF($J30=8,AF30,IF($J30=7,AF30,0)))))</f>
        <v>0</v>
      </c>
      <c r="AE30" s="396">
        <f>IF(AF30=0,0,IF(AF30&lt;0,IF($J30=12,AF30,IF($J30=11,AF30,IF($J30=10,AF30,0)))))</f>
        <v>0</v>
      </c>
      <c r="AF30" s="397">
        <f>IF(AF$5=$H30,-$E30,0)</f>
        <v>0</v>
      </c>
      <c r="AG30" s="394">
        <f>IF(AK30=0,0,IF(AK30&lt;0,IF($J30=3,AK30,IF($J30=2,AK30,IF($J30=1,AK30,0)))))</f>
        <v>0</v>
      </c>
      <c r="AH30" s="404">
        <f>IF(AK30=0,0,IF(AK30&lt;0,IF($J30=6,AK30,IF($J30=5,AK30,IF($J30=4,AK30,0)))))</f>
        <v>0</v>
      </c>
      <c r="AI30" s="404">
        <f>IF(AK30=0,0,IF(AK30&lt;0,IF($J30=9,AK30,IF($J30=8,AK30,IF($J30=7,AK30,0)))))</f>
        <v>0</v>
      </c>
      <c r="AJ30" s="396">
        <f>IF(AK30=0,0,IF(AK30&lt;0,IF($J30=12,AK30,IF($J30=11,AK30,IF($J30=10,AK30,0)))))</f>
        <v>0</v>
      </c>
      <c r="AK30" s="397">
        <f>IF(AK$5=$H30,-$E30,0)</f>
        <v>0</v>
      </c>
      <c r="AL30" s="394">
        <f>IF(AP30=0,0,IF(AP30&lt;0,IF($J30=3,AP30,IF($J30=2,AP30,IF($J30=1,AP30,0)))))</f>
        <v>0</v>
      </c>
      <c r="AM30" s="404">
        <f>IF(AP30=0,0,IF(AP30&lt;0,IF($J30=6,AP30,IF($J30=5,AP30,IF($J30=4,AP30,0)))))</f>
        <v>0</v>
      </c>
      <c r="AN30" s="404">
        <f>IF(AP30=0,0,IF(AP30&lt;0,IF($J30=9,AP30,IF($J30=8,AP30,IF($J30=7,AP30,0)))))</f>
        <v>0</v>
      </c>
      <c r="AO30" s="396">
        <f>IF(AP30=0,0,IF(AP30&lt;0,IF($J30=12,AP30,IF($J30=11,AP30,IF($J30=10,AP30,0)))))</f>
        <v>0</v>
      </c>
      <c r="AP30" s="397">
        <f>IF(AP$5=$H30,-$E30,0)</f>
        <v>0</v>
      </c>
      <c r="AQ30" s="394">
        <f>IF(AU30=0,0,IF(AU30&lt;0,IF($J30=3,AU30,IF($J30=2,AU30,IF($J30=1,AU30,0)))))</f>
        <v>0</v>
      </c>
      <c r="AR30" s="404">
        <f>IF(AU30=0,0,IF(AU30&lt;0,IF($J30=6,AU30,IF($J30=5,AU30,IF($J30=4,AU30,0)))))</f>
        <v>0</v>
      </c>
      <c r="AS30" s="404">
        <f>IF(AU30=0,0,IF(AU30&lt;0,IF($J30=9,AU30,IF($J30=8,AU30,IF($J30=7,AU30,0)))))</f>
        <v>0</v>
      </c>
      <c r="AT30" s="396">
        <f>IF(AU30=0,0,IF(AU30&lt;0,IF($J30=12,AU30,IF($J30=11,AU30,IF($J30=10,AU30,0)))))</f>
        <v>0</v>
      </c>
      <c r="AU30" s="397">
        <f>IF(AU$5=$H30,-$E30,0)</f>
        <v>0</v>
      </c>
      <c r="AV30" s="394">
        <f>IF(AZ30=0,0,IF(AZ30&lt;0,IF($J30=3,AZ30,IF($J30=2,AZ30,IF($J30=1,AZ30,0)))))</f>
        <v>0</v>
      </c>
      <c r="AW30" s="404">
        <f>IF(AZ30=0,0,IF(AZ30&lt;0,IF($J30=6,AZ30,IF($J30=5,AZ30,IF($J30=4,AZ30,0)))))</f>
        <v>0</v>
      </c>
      <c r="AX30" s="404">
        <f>IF(AZ30=0,0,IF(AZ30&lt;0,IF($J30=9,AZ30,IF($J30=8,AZ30,IF($J30=7,AZ30,0)))))</f>
        <v>0</v>
      </c>
      <c r="AY30" s="396">
        <f>IF(AZ30=0,0,IF(AZ30&lt;0,IF($J30=12,AZ30,IF($J30=11,AZ30,IF($J30=10,AZ30,0)))))</f>
        <v>0</v>
      </c>
      <c r="AZ30" s="397">
        <f>IF(AZ$5=$H30,-$E30,0)</f>
        <v>0</v>
      </c>
      <c r="BA30" s="394">
        <f>IF(BE30=0,0,IF(BE30&lt;0,IF($J30=3,BE30,IF($J30=2,BE30,IF($J30=1,BE30,0)))))</f>
        <v>0</v>
      </c>
      <c r="BB30" s="404">
        <f>IF(BE30=0,0,IF(BE30&lt;0,IF($J30=6,BE30,IF($J30=5,BE30,IF($J30=4,BE30,0)))))</f>
        <v>0</v>
      </c>
      <c r="BC30" s="404">
        <f>IF(BE30=0,0,IF(BE30&lt;0,IF($J30=9,BE30,IF($J30=8,BE30,IF($J30=7,BE30,0)))))</f>
        <v>0</v>
      </c>
      <c r="BD30" s="396">
        <f>IF(BE30=0,0,IF(BE30&lt;0,IF($J30=12,BE30,IF($J30=11,BE30,IF($J30=10,BE30,0)))))</f>
        <v>0</v>
      </c>
      <c r="BE30" s="397">
        <f>IF(BE$5=$H30,-$E30,0)</f>
        <v>0</v>
      </c>
      <c r="BF30" s="394">
        <f>IF(BJ30=0,0,IF(BJ30&lt;0,IF($J30=3,BJ30,IF($J30=2,BJ30,IF($J30=1,BJ30,0)))))</f>
        <v>0</v>
      </c>
      <c r="BG30" s="404">
        <f>IF(BJ30=0,0,IF(BJ30&lt;0,IF($J30=6,BJ30,IF($J30=5,BJ30,IF($J30=4,BJ30,0)))))</f>
        <v>0</v>
      </c>
      <c r="BH30" s="404">
        <f>IF(BJ30=0,0,IF(BJ30&lt;0,IF($J30=9,BJ30,IF($J30=8,BJ30,IF($J30=7,BJ30,0)))))</f>
        <v>0</v>
      </c>
      <c r="BI30" s="396">
        <f>IF(BJ30=0,0,IF(BJ30&lt;0,IF($J30=12,BJ30,IF($J30=11,BJ30,IF($J30=10,BJ30,0)))))</f>
        <v>0</v>
      </c>
      <c r="BJ30" s="397">
        <f>IF(BJ$5=$H30,-$E30,0)</f>
        <v>0</v>
      </c>
      <c r="BK30" s="394">
        <f>IF(BO30=0,0,IF(BO30&lt;0,IF($J30=3,BO30,IF($J30=2,BO30,IF($J30=1,BO30,0)))))</f>
        <v>0</v>
      </c>
      <c r="BL30" s="404">
        <f>IF(BO30=0,0,IF(BO30&lt;0,IF($J30=6,BO30,IF($J30=5,BO30,IF($J30=4,BO30,0)))))</f>
        <v>0</v>
      </c>
      <c r="BM30" s="404">
        <f>IF(BO30=0,0,IF(BO30&lt;0,IF($J30=9,BO30,IF($J30=8,BO30,IF($J30=7,BO30,0)))))</f>
        <v>0</v>
      </c>
      <c r="BN30" s="396">
        <f>IF(BO30=0,0,IF(BO30&lt;0,IF($J30=12,BO30,IF($J30=11,BO30,IF($J30=10,BO30,0)))))</f>
        <v>0</v>
      </c>
      <c r="BO30" s="397">
        <f>IF(BO$5=$H30,-$E30,0)</f>
        <v>0</v>
      </c>
      <c r="BP30" s="452"/>
      <c r="BQ30" s="403">
        <f>IF(AND(BP30&lt;&gt;0,BP$5=$H30),-$I30*$E30-BP30,IF(BQ$5=$H30,-$I30*$E30*(12-$J30+1)/12,0))</f>
        <v>0</v>
      </c>
      <c r="BR30" s="400">
        <f>IF($H30&lt;&gt;BV$5,0,IF(BV30&lt;0,IF($J30=1,-$E30*$I30/12*3,IF($J30=2,-$E30*$I30/12*2,IF($J30=3,-$E30*$I30/12*1,0)))))+IF(BQ$5&lt;&gt;$H30,0,IF(BQ30&lt;0,IF($J30=1,-$E30*$I30/12*0,IF($J30=2,-$E30*$I30/12*1,IF($J30=3,-$E30*$I30/12*2,IF($J30&gt;=4,-$E30*$I30/12*3,0))))))</f>
        <v>0</v>
      </c>
      <c r="BS30" s="406">
        <f>IF($H30&lt;&gt;BV$5,0,IF(BV30&lt;0,IF(OR($J30=1,$J30=2,$J30=3,$J30=4),-$E30*$I30/12*3,IF($J30=5,-$E30*$I30/12*2,IF($J30=6,-$E30*$I30/12*1,0)))))+IF(BQ$5&lt;&gt;$H30,0,IF(BQ30&lt;0,IF($J30=4,-$E30*$I30/12*0,IF($J30=5,-$E30*$I30/12*1,IF($J30=6,-$E30*$I30/12*2,IF($J30&gt;=7,-$E30*$I30/12*3,0))))))</f>
        <v>0</v>
      </c>
      <c r="BT30" s="406">
        <f>IF($H30&lt;&gt;BV$5,0,IF(BV30&lt;0,IF(OR($J30=1,$J30=2,$J30=3,$J30=4,$J30=5,$J30=6,$J30=7),-$E30*$I30/12*3,IF($J30=8,-$E30*$I30/12*2,IF($J30=9,-$E30*$I30/12*1,0)))))+IF(BQ$5&lt;&gt;$H30,0,IF(BQ30&lt;0,IF($J30=7,-$E30*$I30/12*0,IF($J30=8,-$E30*$I30/12*1,IF($J30=9,-$E30*$I30/12*2,IF($J30&gt;=10,-$E30*$I30/12*3,0))))))</f>
        <v>0</v>
      </c>
      <c r="BU30" s="402">
        <f>IF($H30&lt;&gt;BV$5,0,IF(BV30&lt;0,IF(OR($J30=1,$J30=2,$J30=3,$J30=4,$J30=5,$J30=6,$J30=7,$J30=8,$J30=9,$J30=10),-$E30*$I30/12*3,IF($J30=11,-$E30*$I30/12*2,IF($J30=12,-$E30*$I30/12*1,0)))))+IF(BQ$5&lt;&gt;$H30,0,IF(BQ30&lt;0,IF($J30=10,-$E30*$I30/12*0,IF($J30=11,-$E30*$I30/12*1,IF($J30=12,-$E30*$I30/12*2,0)))))</f>
        <v>0</v>
      </c>
      <c r="BV30" s="403">
        <f>IF(AND(BQ30&lt;&gt;0,BQ$5=$H30),-$I30*$E30-BQ30,IF(BV$5=$H30,-$I30*$E30*(12-$J30+1)/12,0))</f>
        <v>0</v>
      </c>
      <c r="BW30" s="400">
        <f>IF($H30&lt;&gt;CA$5,0,IF(CA30&lt;0,IF($J30=1,-$E30*$I30/12*3,IF($J30=2,-$E30*$I30/12*2,IF($J30=3,-$E30*$I30/12*1,0)))))+IF(BV$5&lt;&gt;$H30,0,IF(BV30&lt;0,IF($J30=1,-$E30*$I30/12*0,IF($J30=2,-$E30*$I30/12*1,IF($J30=3,-$E30*$I30/12*2,IF($J30&gt;=4,-$E30*$I30/12*3,0))))))</f>
        <v>0</v>
      </c>
      <c r="BX30" s="406">
        <f>IF($H30&lt;&gt;CA$5,0,IF(CA30&lt;0,IF(OR($J30=1,$J30=2,$J30=3,$J30=4),-$E30*$I30/12*3,IF($J30=5,-$E30*$I30/12*2,IF($J30=6,-$E30*$I30/12*1,0)))))+IF(BV$5&lt;&gt;$H30,0,IF(BV30&lt;0,IF($J30=4,-$E30*$I30/12*0,IF($J30=5,-$E30*$I30/12*1,IF($J30=6,-$E30*$I30/12*2,IF($J30&gt;=7,-$E30*$I30/12*3,0))))))</f>
        <v>0</v>
      </c>
      <c r="BY30" s="406">
        <f>IF($H30&lt;&gt;CA$5,0,IF(CA30&lt;0,IF(OR($J30=1,$J30=2,$J30=3,$J30=4,$J30=5,$J30=6,$J30=7),-$E30*$I30/12*3,IF($J30=8,-$E30*$I30/12*2,IF($J30=9,-$E30*$I30/12*1,0)))))+IF(BV$5&lt;&gt;$H30,0,IF(BV30&lt;0,IF($J30=7,-$E30*$I30/12*0,IF($J30=8,-$E30*$I30/12*1,IF($J30=9,-$E30*$I30/12*2,IF($J30&gt;=10,-$E30*$I30/12*3,0))))))</f>
        <v>0</v>
      </c>
      <c r="BZ30" s="402">
        <f>IF($H30&lt;&gt;CA$5,0,IF(CA30&lt;0,IF(OR($J30=1,$J30=2,$J30=3,$J30=4,$J30=5,$J30=6,$J30=7,$J30=8,$J30=9,$J30=10),-$E30*$I30/12*3,IF($J30=11,-$E30*$I30/12*2,IF($J30=12,-$E30*$I30/12*1,0)))))+IF(BV$5&lt;&gt;$H30,0,IF(BV30&lt;0,IF($J30=10,-$E30*$I30/12*0,IF($J30=11,-$E30*$I30/12*1,IF($J30=12,-$E30*$I30/12*2,0)))))</f>
        <v>0</v>
      </c>
      <c r="CA30" s="403">
        <f>IF(AND(BV30&lt;&gt;0,BV$5=$H30),-$I30*$E30-BV30,IF(CA$5=$H30,-$I30*$E30*(12-$J30+1)/12,0))</f>
        <v>0</v>
      </c>
      <c r="CB30" s="400">
        <f>IF($H30&lt;&gt;CF$5,0,IF(CF30&lt;0,IF($J30=1,-$E30*$I30/12*3,IF($J30=2,-$E30*$I30/12*2,IF($J30=3,-$E30*$I30/12*1,0)))))+IF(CA$5&lt;&gt;$H30,0,IF(CA30&lt;0,IF($J30=1,-$E30*$I30/12*0,IF($J30=2,-$E30*$I30/12*1,IF($J30=3,-$E30*$I30/12*2,IF($J30&gt;=4,-$E30*$I30/12*3,0))))))</f>
        <v>0</v>
      </c>
      <c r="CC30" s="406">
        <f>IF($H30&lt;&gt;CF$5,0,IF(CF30&lt;0,IF(OR($J30=1,$J30=2,$J30=3,$J30=4),-$E30*$I30/12*3,IF($J30=5,-$E30*$I30/12*2,IF($J30=6,-$E30*$I30/12*1,0)))))+IF(CA$5&lt;&gt;$H30,0,IF(CA30&lt;0,IF($J30=4,-$E30*$I30/12*0,IF($J30=5,-$E30*$I30/12*1,IF($J30=6,-$E30*$I30/12*2,IF($J30&gt;=7,-$E30*$I30/12*3,0))))))</f>
        <v>0</v>
      </c>
      <c r="CD30" s="406">
        <f>IF($H30&lt;&gt;CF$5,0,IF(CF30&lt;0,IF(OR($J30=1,$J30=2,$J30=3,$J30=4,$J30=5,$J30=6,$J30=7),-$E30*$I30/12*3,IF($J30=8,-$E30*$I30/12*2,IF($J30=9,-$E30*$I30/12*1,0)))))+IF(CA$5&lt;&gt;$H30,0,IF(CA30&lt;0,IF($J30=7,-$E30*$I30/12*0,IF($J30=8,-$E30*$I30/12*1,IF($J30=9,-$E30*$I30/12*2,IF($J30&gt;=10,-$E30*$I30/12*3,0))))))</f>
        <v>0</v>
      </c>
      <c r="CE30" s="402">
        <f>IF($H30&lt;&gt;CF$5,0,IF(CF30&lt;0,IF(OR($J30=1,$J30=2,$J30=3,$J30=4,$J30=5,$J30=6,$J30=7,$J30=8,$J30=9,$J30=10),-$E30*$I30/12*3,IF($J30=11,-$E30*$I30/12*2,IF($J30=12,-$E30*$I30/12*1,0)))))+IF(CA$5&lt;&gt;$H30,0,IF(CA30&lt;0,IF($J30=10,-$E30*$I30/12*0,IF($J30=11,-$E30*$I30/12*1,IF($J30=12,-$E30*$I30/12*2,0)))))</f>
        <v>0</v>
      </c>
      <c r="CF30" s="403">
        <f>IF(AND(CA30&lt;&gt;0,CA$5=$H30),-$I30*$E30-CA30,IF(CF$5=$H30,-$I30*$E30*(12-$J30+1)/12,0))</f>
        <v>0</v>
      </c>
      <c r="CG30" s="400">
        <f>IF($H30&lt;&gt;CK$5,0,IF(CK30&lt;0,IF($J30=1,-$E30*$I30/12*3,IF($J30=2,-$E30*$I30/12*2,IF($J30=3,-$E30*$I30/12*1,0)))))+IF(CF$5&lt;&gt;$H30,0,IF(CF30&lt;0,IF($J30=1,-$E30*$I30/12*0,IF($J30=2,-$E30*$I30/12*1,IF($J30=3,-$E30*$I30/12*2,IF($J30&gt;=4,-$E30*$I30/12*3,0))))))</f>
        <v>0</v>
      </c>
      <c r="CH30" s="406">
        <f>IF($H30&lt;&gt;CK$5,0,IF(CK30&lt;0,IF(OR($J30=1,$J30=2,$J30=3,$J30=4),-$E30*$I30/12*3,IF($J30=5,-$E30*$I30/12*2,IF($J30=6,-$E30*$I30/12*1,0)))))+IF(CF$5&lt;&gt;$H30,0,IF(CF30&lt;0,IF($J30=4,-$E30*$I30/12*0,IF($J30=5,-$E30*$I30/12*1,IF($J30=6,-$E30*$I30/12*2,IF($J30&gt;=7,-$E30*$I30/12*3,0))))))</f>
        <v>0</v>
      </c>
      <c r="CI30" s="406">
        <f>IF($H30&lt;&gt;CK$5,0,IF(CK30&lt;0,IF(OR($J30=1,$J30=2,$J30=3,$J30=4,$J30=5,$J30=6,$J30=7),-$E30*$I30/12*3,IF($J30=8,-$E30*$I30/12*2,IF($J30=9,-$E30*$I30/12*1,0)))))+IF(CF$5&lt;&gt;$H30,0,IF(CF30&lt;0,IF($J30=7,-$E30*$I30/12*0,IF($J30=8,-$E30*$I30/12*1,IF($J30=9,-$E30*$I30/12*2,IF($J30&gt;=10,-$E30*$I30/12*3,0))))))</f>
        <v>0</v>
      </c>
      <c r="CJ30" s="402">
        <f>IF($H30&lt;&gt;CK$5,0,IF(CK30&lt;0,IF(OR($J30=1,$J30=2,$J30=3,$J30=4,$J30=5,$J30=6,$J30=7,$J30=8,$J30=9,$J30=10),-$E30*$I30/12*3,IF($J30=11,-$E30*$I30/12*2,IF($J30=12,-$E30*$I30/12*1,0)))))+IF(CF$5&lt;&gt;$H30,0,IF(CF30&lt;0,IF($J30=10,-$E30*$I30/12*0,IF($J30=11,-$E30*$I30/12*1,IF($J30=12,-$E30*$I30/12*2,0)))))</f>
        <v>0</v>
      </c>
      <c r="CK30" s="403">
        <f>IF(AND(CF30&lt;&gt;0,CF$5=$H30),-$I30*$E30-CF30,IF(CK$5=$H30,-$I30*$E30*(12-$J30+1)/12,0))</f>
        <v>0</v>
      </c>
      <c r="CL30" s="400">
        <f>IF($H30&lt;&gt;CP$5,0,IF(CP30&lt;0,IF($J30=1,-$E30*$I30/12*3,IF($J30=2,-$E30*$I30/12*2,IF($J30=3,-$E30*$I30/12*1,0)))))+IF(CK$5&lt;&gt;$H30,0,IF(CK30&lt;0,IF($J30=1,-$E30*$I30/12*0,IF($J30=2,-$E30*$I30/12*1,IF($J30=3,-$E30*$I30/12*2,IF($J30&gt;=4,-$E30*$I30/12*3,0))))))</f>
        <v>0</v>
      </c>
      <c r="CM30" s="406">
        <f>IF($H30&lt;&gt;CP$5,0,IF(CP30&lt;0,IF(OR($J30=1,$J30=2,$J30=3,$J30=4),-$E30*$I30/12*3,IF($J30=5,-$E30*$I30/12*2,IF($J30=6,-$E30*$I30/12*1,0)))))+IF(CK$5&lt;&gt;$H30,0,IF(CK30&lt;0,IF($J30=4,-$E30*$I30/12*0,IF($J30=5,-$E30*$I30/12*1,IF($J30=6,-$E30*$I30/12*2,IF($J30&gt;=7,-$E30*$I30/12*3,0))))))</f>
        <v>0</v>
      </c>
      <c r="CN30" s="406">
        <f>IF($H30&lt;&gt;CP$5,0,IF(CP30&lt;0,IF(OR($J30=1,$J30=2,$J30=3,$J30=4,$J30=5,$J30=6,$J30=7),-$E30*$I30/12*3,IF($J30=8,-$E30*$I30/12*2,IF($J30=9,-$E30*$I30/12*1,0)))))+IF(CK$5&lt;&gt;$H30,0,IF(CK30&lt;0,IF($J30=7,-$E30*$I30/12*0,IF($J30=8,-$E30*$I30/12*1,IF($J30=9,-$E30*$I30/12*2,IF($J30&gt;=10,-$E30*$I30/12*3,0))))))</f>
        <v>0</v>
      </c>
      <c r="CO30" s="402">
        <f>IF($H30&lt;&gt;CP$5,0,IF(CP30&lt;0,IF(OR($J30=1,$J30=2,$J30=3,$J30=4,$J30=5,$J30=6,$J30=7,$J30=8,$J30=9,$J30=10),-$E30*$I30/12*3,IF($J30=11,-$E30*$I30/12*2,IF($J30=12,-$E30*$I30/12*1,0)))))+IF(CK$5&lt;&gt;$H30,0,IF(CK30&lt;0,IF($J30=10,-$E30*$I30/12*0,IF($J30=11,-$E30*$I30/12*1,IF($J30=12,-$E30*$I30/12*2,0)))))</f>
        <v>0</v>
      </c>
      <c r="CP30" s="403">
        <f>IF(AND(CK30&lt;&gt;0,CK$5=$H30),-$I30*$E30-CK30,IF(CP$5=$H30,-$I30*$E30*(12-$J30+1)/12,0))</f>
        <v>0</v>
      </c>
      <c r="CQ30" s="400">
        <f>IF($H30&lt;&gt;CU$5,0,IF(CU30&lt;0,IF($J30=1,-$E30*$I30/12*3,IF($J30=2,-$E30*$I30/12*2,IF($J30=3,-$E30*$I30/12*1,0)))))+IF(CP$5&lt;&gt;$H30,0,IF(CP30&lt;0,IF($J30=1,-$E30*$I30/12*0,IF($J30=2,-$E30*$I30/12*1,IF($J30=3,-$E30*$I30/12*2,IF($J30&gt;=4,-$E30*$I30/12*3,0))))))</f>
        <v>0</v>
      </c>
      <c r="CR30" s="406">
        <f>IF($H30&lt;&gt;CU$5,0,IF(CU30&lt;0,IF(OR($J30=1,$J30=2,$J30=3,$J30=4),-$E30*$I30/12*3,IF($J30=5,-$E30*$I30/12*2,IF($J30=6,-$E30*$I30/12*1,0)))))+IF(CP$5&lt;&gt;$H30,0,IF(CP30&lt;0,IF($J30=4,-$E30*$I30/12*0,IF($J30=5,-$E30*$I30/12*1,IF($J30=6,-$E30*$I30/12*2,IF($J30&gt;=7,-$E30*$I30/12*3,0))))))</f>
        <v>0</v>
      </c>
      <c r="CS30" s="406">
        <f>IF($H30&lt;&gt;CU$5,0,IF(CU30&lt;0,IF(OR($J30=1,$J30=2,$J30=3,$J30=4,$J30=5,$J30=6,$J30=7),-$E30*$I30/12*3,IF($J30=8,-$E30*$I30/12*2,IF($J30=9,-$E30*$I30/12*1,0)))))+IF(CP$5&lt;&gt;$H30,0,IF(CP30&lt;0,IF($J30=7,-$E30*$I30/12*0,IF($J30=8,-$E30*$I30/12*1,IF($J30=9,-$E30*$I30/12*2,IF($J30&gt;=10,-$E30*$I30/12*3,0))))))</f>
        <v>0</v>
      </c>
      <c r="CT30" s="402">
        <f>IF($H30&lt;&gt;CU$5,0,IF(CU30&lt;0,IF(OR($J30=1,$J30=2,$J30=3,$J30=4,$J30=5,$J30=6,$J30=7,$J30=8,$J30=9,$J30=10),-$E30*$I30/12*3,IF($J30=11,-$E30*$I30/12*2,IF($J30=12,-$E30*$I30/12*1,0)))))+IF(CP$5&lt;&gt;$H30,0,IF(CP30&lt;0,IF($J30=10,-$E30*$I30/12*0,IF($J30=11,-$E30*$I30/12*1,IF($J30=12,-$E30*$I30/12*2,0)))))</f>
        <v>0</v>
      </c>
      <c r="CU30" s="403">
        <f>IF(AND(CP30&lt;&gt;0,CP$5=$H30),-$I30*$E30-CP30,IF(CU$5=$H30,-$I30*$E30*(12-$J30+1)/12,0))</f>
        <v>0</v>
      </c>
      <c r="CV30" s="400">
        <f>IF($H30&lt;&gt;CZ$5,0,IF(CZ30&lt;0,IF($J30=1,-$E30*$I30/12*3,IF($J30=2,-$E30*$I30/12*2,IF($J30=3,-$E30*$I30/12*1,0)))))+IF(CU$5&lt;&gt;$H30,0,IF(CU30&lt;0,IF($J30=1,-$E30*$I30/12*0,IF($J30=2,-$E30*$I30/12*1,IF($J30=3,-$E30*$I30/12*2,IF($J30&gt;=4,-$E30*$I30/12*3,0))))))</f>
        <v>0</v>
      </c>
      <c r="CW30" s="406">
        <f>IF($H30&lt;&gt;CZ$5,0,IF(CZ30&lt;0,IF(OR($J30=1,$J30=2,$J30=3,$J30=4),-$E30*$I30/12*3,IF($J30=5,-$E30*$I30/12*2,IF($J30=6,-$E30*$I30/12*1,0)))))+IF(CU$5&lt;&gt;$H30,0,IF(CU30&lt;0,IF($J30=4,-$E30*$I30/12*0,IF($J30=5,-$E30*$I30/12*1,IF($J30=6,-$E30*$I30/12*2,IF($J30&gt;=7,-$E30*$I30/12*3,0))))))</f>
        <v>0</v>
      </c>
      <c r="CX30" s="406">
        <f>IF($H30&lt;&gt;CZ$5,0,IF(CZ30&lt;0,IF(OR($J30=1,$J30=2,$J30=3,$J30=4,$J30=5,$J30=6,$J30=7),-$E30*$I30/12*3,IF($J30=8,-$E30*$I30/12*2,IF($J30=9,-$E30*$I30/12*1,0)))))+IF(CU$5&lt;&gt;$H30,0,IF(CU30&lt;0,IF($J30=7,-$E30*$I30/12*0,IF($J30=8,-$E30*$I30/12*1,IF($J30=9,-$E30*$I30/12*2,IF($J30&gt;=10,-$E30*$I30/12*3,0))))))</f>
        <v>0</v>
      </c>
      <c r="CY30" s="402">
        <f>IF($H30&lt;&gt;CZ$5,0,IF(CZ30&lt;0,IF(OR($J30=1,$J30=2,$J30=3,$J30=4,$J30=5,$J30=6,$J30=7,$J30=8,$J30=9,$J30=10),-$E30*$I30/12*3,IF($J30=11,-$E30*$I30/12*2,IF($J30=12,-$E30*$I30/12*1,0)))))+IF(CU$5&lt;&gt;$H30,0,IF(CU30&lt;0,IF($J30=10,-$E30*$I30/12*0,IF($J30=11,-$E30*$I30/12*1,IF($J30=12,-$E30*$I30/12*2,0)))))</f>
        <v>0</v>
      </c>
      <c r="CZ30" s="403">
        <f>IF(AND(CU30&lt;&gt;0,CU$5=$H30),-$I30*$E30-CU30,IF(CZ$5=$H30,-$I30*$E30*(12-$J30+1)/12,0))</f>
        <v>0</v>
      </c>
      <c r="DA30" s="400">
        <f>IF($H30&lt;&gt;DE$5,0,IF(DE30&lt;0,IF($J30=1,-$E30*$I30/12*3,IF($J30=2,-$E30*$I30/12*2,IF($J30=3,-$E30*$I30/12*1,0)))))+IF(CZ$5&lt;&gt;$H30,0,IF(CZ30&lt;0,IF($J30=1,-$E30*$I30/12*0,IF($J30=2,-$E30*$I30/12*1,IF($J30=3,-$E30*$I30/12*2,IF($J30&gt;=4,-$E30*$I30/12*3,0))))))</f>
        <v>0</v>
      </c>
      <c r="DB30" s="406">
        <f>IF($H30&lt;&gt;DE$5,0,IF(DE30&lt;0,IF(OR($J30=1,$J30=2,$J30=3,$J30=4),-$E30*$I30/12*3,IF($J30=5,-$E30*$I30/12*2,IF($J30=6,-$E30*$I30/12*1,0)))))+IF(CZ$5&lt;&gt;$H30,0,IF(CZ30&lt;0,IF($J30=4,-$E30*$I30/12*0,IF($J30=5,-$E30*$I30/12*1,IF($J30=6,-$E30*$I30/12*2,IF($J30&gt;=7,-$E30*$I30/12*3,0))))))</f>
        <v>0</v>
      </c>
      <c r="DC30" s="406">
        <f>IF($H30&lt;&gt;DE$5,0,IF(DE30&lt;0,IF(OR($J30=1,$J30=2,$J30=3,$J30=4,$J30=5,$J30=6,$J30=7),-$E30*$I30/12*3,IF($J30=8,-$E30*$I30/12*2,IF($J30=9,-$E30*$I30/12*1,0)))))+IF(CZ$5&lt;&gt;$H30,0,IF(CZ30&lt;0,IF($J30=7,-$E30*$I30/12*0,IF($J30=8,-$E30*$I30/12*1,IF($J30=9,-$E30*$I30/12*2,IF($J30&gt;=10,-$E30*$I30/12*3,0))))))</f>
        <v>0</v>
      </c>
      <c r="DD30" s="402">
        <f>IF($H30&lt;&gt;DE$5,0,IF(DE30&lt;0,IF(OR($J30=1,$J30=2,$J30=3,$J30=4,$J30=5,$J30=6,$J30=7,$J30=8,$J30=9,$J30=10),-$E30*$I30/12*3,IF($J30=11,-$E30*$I30/12*2,IF($J30=12,-$E30*$I30/12*1,0)))))+IF(CZ$5&lt;&gt;$H30,0,IF(CZ30&lt;0,IF($J30=10,-$E30*$I30/12*0,IF($J30=11,-$E30*$I30/12*1,IF($J30=12,-$E30*$I30/12*2,0)))))</f>
        <v>0</v>
      </c>
      <c r="DE30" s="403">
        <f>IF(AND(CZ30&lt;&gt;0,CZ$5=$H30),-$I30*$E30-CZ30,IF(DE$5=$H30,-$I30*$E30*(12-$J30+1)/12,0))</f>
        <v>0</v>
      </c>
      <c r="DF30" s="400">
        <f>IF($H30&lt;&gt;DJ$5,0,IF(DJ30&lt;0,IF($J30=1,-$E30*$I30/12*3,IF($J30=2,-$E30*$I30/12*2,IF($J30=3,-$E30*$I30/12*1,0)))))+IF(DE$5&lt;&gt;$H30,0,IF(DE30&lt;0,IF($J30=1,-$E30*$I30/12*0,IF($J30=2,-$E30*$I30/12*1,IF($J30=3,-$E30*$I30/12*2,IF($J30&gt;=4,-$E30*$I30/12*3,0))))))</f>
        <v>0</v>
      </c>
      <c r="DG30" s="406">
        <f>IF($H30&lt;&gt;DJ$5,0,IF(DJ30&lt;0,IF(OR($J30=1,$J30=2,$J30=3,$J30=4),-$E30*$I30/12*3,IF($J30=5,-$E30*$I30/12*2,IF($J30=6,-$E30*$I30/12*1,0)))))+IF(DE$5&lt;&gt;$H30,0,IF(DE30&lt;0,IF($J30=4,-$E30*$I30/12*0,IF($J30=5,-$E30*$I30/12*1,IF($J30=6,-$E30*$I30/12*2,IF($J30&gt;=7,-$E30*$I30/12*3,0))))))</f>
        <v>0</v>
      </c>
      <c r="DH30" s="406">
        <f>IF($H30&lt;&gt;DJ$5,0,IF(DJ30&lt;0,IF(OR($J30=1,$J30=2,$J30=3,$J30=4,$J30=5,$J30=6,$J30=7),-$E30*$I30/12*3,IF($J30=8,-$E30*$I30/12*2,IF($J30=9,-$E30*$I30/12*1,0)))))+IF(DE$5&lt;&gt;$H30,0,IF(DE30&lt;0,IF($J30=7,-$E30*$I30/12*0,IF($J30=8,-$E30*$I30/12*1,IF($J30=9,-$E30*$I30/12*2,IF($J30&gt;=10,-$E30*$I30/12*3,0))))))</f>
        <v>0</v>
      </c>
      <c r="DI30" s="402">
        <f>IF($H30&lt;&gt;DJ$5,0,IF(DJ30&lt;0,IF(OR($J30=1,$J30=2,$J30=3,$J30=4,$J30=5,$J30=6,$J30=7,$J30=8,$J30=9,$J30=10),-$E30*$I30/12*3,IF($J30=11,-$E30*$I30/12*2,IF($J30=12,-$E30*$I30/12*1,0)))))+IF(DE$5&lt;&gt;$H30,0,IF(DE30&lt;0,IF($J30=10,-$E30*$I30/12*0,IF($J30=11,-$E30*$I30/12*1,IF($J30=12,-$E30*$I30/12*2,0)))))</f>
        <v>0</v>
      </c>
      <c r="DJ30" s="403">
        <f>IF(AND(DE30&lt;&gt;0,DE$5=$H30),-$I30*$E30-DE30,IF(DJ$5=$H30,-$I30*$E30*(12-$J30+1)/12,0))</f>
        <v>0</v>
      </c>
      <c r="DK30" s="400">
        <f>IF($H30&lt;&gt;DO$5,0,IF(DO30&lt;0,IF($J30=1,-$E30*$I30/12*3,IF($J30=2,-$E30*$I30/12*2,IF($J30=3,-$E30*$I30/12*1,0)))))+IF(DJ$5&lt;&gt;$H30,0,IF(DJ30&lt;0,IF($J30=1,-$E30*$I30/12*0,IF($J30=2,-$E30*$I30/12*1,IF($J30=3,-$E30*$I30/12*2,IF($J30&gt;=4,-$E30*$I30/12*3,0))))))</f>
        <v>0</v>
      </c>
      <c r="DL30" s="406">
        <f>IF($H30&lt;&gt;DO$5,0,IF(DO30&lt;0,IF(OR($J30=1,$J30=2,$J30=3,$J30=4),-$E30*$I30/12*3,IF($J30=5,-$E30*$I30/12*2,IF($J30=6,-$E30*$I30/12*1,0)))))+IF(DJ$5&lt;&gt;$H30,0,IF(DJ30&lt;0,IF($J30=4,-$E30*$I30/12*0,IF($J30=5,-$E30*$I30/12*1,IF($J30=6,-$E30*$I30/12*2,IF($J30&gt;=7,-$E30*$I30/12*3,0))))))</f>
        <v>0</v>
      </c>
      <c r="DM30" s="406">
        <f>IF($H30&lt;&gt;DO$5,0,IF(DO30&lt;0,IF(OR($J30=1,$J30=2,$J30=3,$J30=4,$J30=5,$J30=6,$J30=7),-$E30*$I30/12*3,IF($J30=8,-$E30*$I30/12*2,IF($J30=9,-$E30*$I30/12*1,0)))))+IF(DJ$5&lt;&gt;$H30,0,IF(DJ30&lt;0,IF($J30=7,-$E30*$I30/12*0,IF($J30=8,-$E30*$I30/12*1,IF($J30=9,-$E30*$I30/12*2,IF($J30&gt;=10,-$E30*$I30/12*3,0))))))</f>
        <v>0</v>
      </c>
      <c r="DN30" s="402">
        <f>IF($H30&lt;&gt;DO$5,0,IF(DO30&lt;0,IF(OR($J30=1,$J30=2,$J30=3,$J30=4,$J30=5,$J30=6,$J30=7,$J30=8,$J30=9,$J30=10),-$E30*$I30/12*3,IF($J30=11,-$E30*$I30/12*2,IF($J30=12,-$E30*$I30/12*1,0)))))+IF(DJ$5&lt;&gt;$H30,0,IF(DJ30&lt;0,IF($J30=10,-$E30*$I30/12*0,IF($J30=11,-$E30*$I30/12*1,IF($J30=12,-$E30*$I30/12*2,0)))))</f>
        <v>0</v>
      </c>
      <c r="DO30" s="403">
        <f>IF(AND(DJ30&lt;&gt;0,DJ$5=$H30),-$I30*$E30-DJ30,IF(DO$5=$H30,-$I30*$E30*(12-$J30+1)/12,0))</f>
        <v>0</v>
      </c>
      <c r="DP30" s="400">
        <f>IF($H30&lt;&gt;DT$5,0,IF(DT30&lt;0,IF($J30=1,-$E30*$I30/12*3,IF($J30=2,-$E30*$I30/12*2,IF($J30=3,-$E30*$I30/12*1,0)))))+IF(DO$5&lt;&gt;$H30,0,IF(DO30&lt;0,IF($J30=1,-$E30*$I30/12*0,IF($J30=2,-$E30*$I30/12*1,IF($J30=3,-$E30*$I30/12*2,IF($J30&gt;=4,-$E30*$I30/12*3,0))))))</f>
        <v>0</v>
      </c>
      <c r="DQ30" s="406">
        <f>IF($H30&lt;&gt;DT$5,0,IF(DT30&lt;0,IF(OR($J30=1,$J30=2,$J30=3,$J30=4),-$E30*$I30/12*3,IF($J30=5,-$E30*$I30/12*2,IF($J30=6,-$E30*$I30/12*1,0)))))+IF(DO$5&lt;&gt;$H30,0,IF(DO30&lt;0,IF($J30=4,-$E30*$I30/12*0,IF($J30=5,-$E30*$I30/12*1,IF($J30=6,-$E30*$I30/12*2,IF($J30&gt;=7,-$E30*$I30/12*3,0))))))</f>
        <v>0</v>
      </c>
      <c r="DR30" s="406">
        <f>IF($H30&lt;&gt;DT$5,0,IF(DT30&lt;0,IF(OR($J30=1,$J30=2,$J30=3,$J30=4,$J30=5,$J30=6,$J30=7),-$E30*$I30/12*3,IF($J30=8,-$E30*$I30/12*2,IF($J30=9,-$E30*$I30/12*1,0)))))+IF(DO$5&lt;&gt;$H30,0,IF(DO30&lt;0,IF($J30=7,-$E30*$I30/12*0,IF($J30=8,-$E30*$I30/12*1,IF($J30=9,-$E30*$I30/12*2,IF($J30&gt;=10,-$E30*$I30/12*3,0))))))</f>
        <v>0</v>
      </c>
      <c r="DS30" s="402">
        <f>IF($H30&lt;&gt;DT$5,0,IF(DT30&lt;0,IF(OR($J30=1,$J30=2,$J30=3,$J30=4,$J30=5,$J30=6,$J30=7,$J30=8,$J30=9,$J30=10),-$E30*$I30/12*3,IF($J30=11,-$E30*$I30/12*2,IF($J30=12,-$E30*$I30/12*1,0)))))+IF(DO$5&lt;&gt;$H30,0,IF(DO30&lt;0,IF($J30=10,-$E30*$I30/12*0,IF($J30=11,-$E30*$I30/12*1,IF($J30=12,-$E30*$I30/12*2,0)))))</f>
        <v>0</v>
      </c>
      <c r="DT30" s="403">
        <f>IF(AND(DO30&lt;&gt;0,DO$5=$H30),-$I30*$E30-DO30,IF(DT$5=$H30,-$I30*$E30*(12-$J30+1)/12,0))</f>
        <v>0</v>
      </c>
    </row>
    <row r="31" spans="1:139" ht="12.75" customHeight="1" x14ac:dyDescent="0.2">
      <c r="C31" s="453"/>
      <c r="D31" s="453"/>
      <c r="E31" s="533" t="s">
        <v>315</v>
      </c>
      <c r="F31" s="538"/>
      <c r="G31" s="538"/>
      <c r="H31" s="454"/>
      <c r="I31" s="455"/>
      <c r="J31" s="456"/>
      <c r="K31" s="457"/>
      <c r="L31" s="412"/>
      <c r="M31" s="413"/>
      <c r="N31" s="414"/>
      <c r="O31" s="414"/>
      <c r="P31" s="415"/>
      <c r="Q31" s="412"/>
      <c r="R31" s="413"/>
      <c r="S31" s="414"/>
      <c r="T31" s="414"/>
      <c r="U31" s="415"/>
      <c r="V31" s="412"/>
      <c r="W31" s="413"/>
      <c r="X31" s="414"/>
      <c r="Y31" s="414"/>
      <c r="Z31" s="415"/>
      <c r="AA31" s="412"/>
      <c r="AB31" s="413"/>
      <c r="AC31" s="414"/>
      <c r="AD31" s="414"/>
      <c r="AE31" s="415"/>
      <c r="AF31" s="412"/>
      <c r="AG31" s="413"/>
      <c r="AH31" s="414"/>
      <c r="AI31" s="414"/>
      <c r="AJ31" s="415"/>
      <c r="AK31" s="412"/>
      <c r="AL31" s="413"/>
      <c r="AM31" s="414"/>
      <c r="AN31" s="414"/>
      <c r="AO31" s="415"/>
      <c r="AP31" s="412"/>
      <c r="AQ31" s="413"/>
      <c r="AR31" s="414"/>
      <c r="AS31" s="414"/>
      <c r="AT31" s="415"/>
      <c r="AU31" s="412"/>
      <c r="AV31" s="413"/>
      <c r="AW31" s="414"/>
      <c r="AX31" s="414"/>
      <c r="AY31" s="415"/>
      <c r="AZ31" s="412"/>
      <c r="BA31" s="413"/>
      <c r="BB31" s="414"/>
      <c r="BC31" s="414"/>
      <c r="BD31" s="415"/>
      <c r="BE31" s="412"/>
      <c r="BF31" s="413"/>
      <c r="BG31" s="414"/>
      <c r="BH31" s="414"/>
      <c r="BI31" s="415"/>
      <c r="BJ31" s="412"/>
      <c r="BK31" s="413"/>
      <c r="BL31" s="414"/>
      <c r="BM31" s="414"/>
      <c r="BN31" s="415"/>
      <c r="BO31" s="412"/>
      <c r="BP31" s="458"/>
      <c r="BQ31" s="417"/>
      <c r="BR31" s="418"/>
      <c r="BS31" s="419"/>
      <c r="BT31" s="419"/>
      <c r="BU31" s="420"/>
      <c r="BV31" s="417"/>
      <c r="BW31" s="418"/>
      <c r="BX31" s="419"/>
      <c r="BY31" s="419"/>
      <c r="BZ31" s="420"/>
      <c r="CA31" s="417"/>
      <c r="CB31" s="418"/>
      <c r="CC31" s="419"/>
      <c r="CD31" s="419"/>
      <c r="CE31" s="420"/>
      <c r="CF31" s="417"/>
      <c r="CG31" s="418"/>
      <c r="CH31" s="419"/>
      <c r="CI31" s="419"/>
      <c r="CJ31" s="420"/>
      <c r="CK31" s="417"/>
      <c r="CL31" s="418"/>
      <c r="CM31" s="419"/>
      <c r="CN31" s="419"/>
      <c r="CO31" s="420"/>
      <c r="CP31" s="417"/>
      <c r="CQ31" s="418"/>
      <c r="CR31" s="419"/>
      <c r="CS31" s="419"/>
      <c r="CT31" s="420"/>
      <c r="CU31" s="417"/>
      <c r="CV31" s="418"/>
      <c r="CW31" s="419"/>
      <c r="CX31" s="419"/>
      <c r="CY31" s="420"/>
      <c r="CZ31" s="417"/>
      <c r="DA31" s="418"/>
      <c r="DB31" s="419"/>
      <c r="DC31" s="419"/>
      <c r="DD31" s="420"/>
      <c r="DE31" s="417"/>
      <c r="DF31" s="418"/>
      <c r="DG31" s="419"/>
      <c r="DH31" s="419"/>
      <c r="DI31" s="420"/>
      <c r="DJ31" s="417"/>
      <c r="DK31" s="418"/>
      <c r="DL31" s="419"/>
      <c r="DM31" s="419"/>
      <c r="DN31" s="420"/>
      <c r="DO31" s="417"/>
      <c r="DP31" s="418"/>
      <c r="DQ31" s="419"/>
      <c r="DR31" s="419"/>
      <c r="DS31" s="420"/>
      <c r="DT31" s="417"/>
    </row>
    <row r="32" spans="1:139" ht="12.75" customHeight="1" x14ac:dyDescent="0.2">
      <c r="A32" s="26"/>
      <c r="B32" s="26"/>
      <c r="C32" s="141" t="s">
        <v>170</v>
      </c>
      <c r="D32" s="141"/>
      <c r="E32" s="535">
        <f>SUM(E19:E31)</f>
        <v>3176.8225000000002</v>
      </c>
      <c r="F32" s="536">
        <f>SUM(F19:F31)</f>
        <v>2926</v>
      </c>
      <c r="G32" s="536">
        <f>SUM(G19:G31)</f>
        <v>3180.6210000000001</v>
      </c>
      <c r="H32" s="459"/>
      <c r="I32" s="460"/>
      <c r="J32" s="461"/>
      <c r="K32" s="462"/>
      <c r="L32" s="424">
        <f t="shared" ref="L32:AQ32" si="242">SUM(L19:L31)</f>
        <v>0</v>
      </c>
      <c r="M32" s="425">
        <f t="shared" si="242"/>
        <v>0</v>
      </c>
      <c r="N32" s="426">
        <f t="shared" si="242"/>
        <v>0</v>
      </c>
      <c r="O32" s="426">
        <f t="shared" si="242"/>
        <v>0</v>
      </c>
      <c r="P32" s="427">
        <f t="shared" si="242"/>
        <v>0</v>
      </c>
      <c r="Q32" s="424">
        <f t="shared" si="242"/>
        <v>0</v>
      </c>
      <c r="R32" s="425">
        <f t="shared" si="242"/>
        <v>0</v>
      </c>
      <c r="S32" s="426">
        <f t="shared" si="242"/>
        <v>0</v>
      </c>
      <c r="T32" s="426">
        <f t="shared" si="242"/>
        <v>0</v>
      </c>
      <c r="U32" s="427">
        <f t="shared" si="242"/>
        <v>0</v>
      </c>
      <c r="V32" s="424">
        <f t="shared" si="242"/>
        <v>0</v>
      </c>
      <c r="W32" s="425">
        <f t="shared" si="242"/>
        <v>0</v>
      </c>
      <c r="X32" s="426">
        <f t="shared" si="242"/>
        <v>0</v>
      </c>
      <c r="Y32" s="426">
        <f t="shared" si="242"/>
        <v>0</v>
      </c>
      <c r="Z32" s="427">
        <f t="shared" si="242"/>
        <v>0</v>
      </c>
      <c r="AA32" s="424">
        <f t="shared" si="242"/>
        <v>0</v>
      </c>
      <c r="AB32" s="425">
        <f t="shared" si="242"/>
        <v>0</v>
      </c>
      <c r="AC32" s="426">
        <f t="shared" si="242"/>
        <v>0</v>
      </c>
      <c r="AD32" s="426">
        <f t="shared" si="242"/>
        <v>0</v>
      </c>
      <c r="AE32" s="427">
        <f t="shared" si="242"/>
        <v>0</v>
      </c>
      <c r="AF32" s="424">
        <f t="shared" si="242"/>
        <v>0</v>
      </c>
      <c r="AG32" s="425">
        <f t="shared" si="242"/>
        <v>0</v>
      </c>
      <c r="AH32" s="426">
        <f t="shared" si="242"/>
        <v>0</v>
      </c>
      <c r="AI32" s="426">
        <f t="shared" si="242"/>
        <v>0</v>
      </c>
      <c r="AJ32" s="427">
        <f t="shared" si="242"/>
        <v>0</v>
      </c>
      <c r="AK32" s="424">
        <f t="shared" si="242"/>
        <v>0</v>
      </c>
      <c r="AL32" s="425">
        <f t="shared" si="242"/>
        <v>0</v>
      </c>
      <c r="AM32" s="426">
        <f t="shared" si="242"/>
        <v>0</v>
      </c>
      <c r="AN32" s="426">
        <f t="shared" si="242"/>
        <v>0</v>
      </c>
      <c r="AO32" s="427">
        <f t="shared" si="242"/>
        <v>0</v>
      </c>
      <c r="AP32" s="424">
        <f t="shared" si="242"/>
        <v>0</v>
      </c>
      <c r="AQ32" s="425">
        <f t="shared" si="242"/>
        <v>0</v>
      </c>
      <c r="AR32" s="426">
        <f t="shared" ref="AR32:BJ32" si="243">SUM(AR19:AR31)</f>
        <v>-250</v>
      </c>
      <c r="AS32" s="426">
        <f t="shared" si="243"/>
        <v>-0.82250000000000001</v>
      </c>
      <c r="AT32" s="427">
        <f t="shared" si="243"/>
        <v>0</v>
      </c>
      <c r="AU32" s="424">
        <f t="shared" si="243"/>
        <v>-250.82249999999999</v>
      </c>
      <c r="AV32" s="425">
        <f t="shared" si="243"/>
        <v>0</v>
      </c>
      <c r="AW32" s="426">
        <f t="shared" si="243"/>
        <v>0</v>
      </c>
      <c r="AX32" s="426">
        <f t="shared" si="243"/>
        <v>0</v>
      </c>
      <c r="AY32" s="427">
        <f t="shared" si="243"/>
        <v>0</v>
      </c>
      <c r="AZ32" s="424">
        <f t="shared" si="243"/>
        <v>0</v>
      </c>
      <c r="BA32" s="425">
        <f t="shared" si="243"/>
        <v>0</v>
      </c>
      <c r="BB32" s="426">
        <f t="shared" si="243"/>
        <v>0</v>
      </c>
      <c r="BC32" s="426">
        <f t="shared" si="243"/>
        <v>0</v>
      </c>
      <c r="BD32" s="427">
        <f t="shared" si="243"/>
        <v>0</v>
      </c>
      <c r="BE32" s="424">
        <f t="shared" si="243"/>
        <v>0</v>
      </c>
      <c r="BF32" s="425">
        <f t="shared" si="243"/>
        <v>0</v>
      </c>
      <c r="BG32" s="426">
        <f t="shared" si="243"/>
        <v>-550</v>
      </c>
      <c r="BH32" s="426">
        <f t="shared" si="243"/>
        <v>0</v>
      </c>
      <c r="BI32" s="427">
        <f t="shared" si="243"/>
        <v>0</v>
      </c>
      <c r="BJ32" s="424">
        <f t="shared" si="243"/>
        <v>-550</v>
      </c>
      <c r="BK32" s="425">
        <f t="shared" ref="BK32:BO32" si="244">SUM(BK19:BK31)</f>
        <v>-400</v>
      </c>
      <c r="BL32" s="426">
        <f t="shared" si="244"/>
        <v>0</v>
      </c>
      <c r="BM32" s="426">
        <f t="shared" si="244"/>
        <v>0</v>
      </c>
      <c r="BN32" s="427">
        <f t="shared" si="244"/>
        <v>0</v>
      </c>
      <c r="BO32" s="424">
        <f t="shared" si="244"/>
        <v>-400</v>
      </c>
      <c r="BP32" s="463"/>
      <c r="BQ32" s="429">
        <f t="shared" ref="BQ32:CV32" si="245">SUM(BQ19:BQ31)</f>
        <v>0</v>
      </c>
      <c r="BR32" s="430">
        <f t="shared" si="245"/>
        <v>0</v>
      </c>
      <c r="BS32" s="431">
        <f t="shared" si="245"/>
        <v>0</v>
      </c>
      <c r="BT32" s="431">
        <f t="shared" si="245"/>
        <v>0</v>
      </c>
      <c r="BU32" s="432">
        <f t="shared" si="245"/>
        <v>0</v>
      </c>
      <c r="BV32" s="429">
        <f t="shared" si="245"/>
        <v>0</v>
      </c>
      <c r="BW32" s="430">
        <f t="shared" si="245"/>
        <v>0</v>
      </c>
      <c r="BX32" s="431">
        <f t="shared" si="245"/>
        <v>0</v>
      </c>
      <c r="BY32" s="431">
        <f t="shared" si="245"/>
        <v>0</v>
      </c>
      <c r="BZ32" s="432">
        <f t="shared" si="245"/>
        <v>0</v>
      </c>
      <c r="CA32" s="429">
        <f t="shared" si="245"/>
        <v>0</v>
      </c>
      <c r="CB32" s="430">
        <f t="shared" si="245"/>
        <v>0</v>
      </c>
      <c r="CC32" s="431">
        <f t="shared" si="245"/>
        <v>0</v>
      </c>
      <c r="CD32" s="431">
        <f t="shared" si="245"/>
        <v>0</v>
      </c>
      <c r="CE32" s="432">
        <f t="shared" si="245"/>
        <v>0</v>
      </c>
      <c r="CF32" s="429">
        <f t="shared" si="245"/>
        <v>0</v>
      </c>
      <c r="CG32" s="430">
        <f t="shared" si="245"/>
        <v>0</v>
      </c>
      <c r="CH32" s="431">
        <f t="shared" si="245"/>
        <v>0</v>
      </c>
      <c r="CI32" s="431">
        <f t="shared" si="245"/>
        <v>0</v>
      </c>
      <c r="CJ32" s="432">
        <f t="shared" si="245"/>
        <v>0</v>
      </c>
      <c r="CK32" s="429">
        <f t="shared" si="245"/>
        <v>0</v>
      </c>
      <c r="CL32" s="430">
        <f t="shared" si="245"/>
        <v>0</v>
      </c>
      <c r="CM32" s="431">
        <f t="shared" si="245"/>
        <v>0</v>
      </c>
      <c r="CN32" s="431">
        <f t="shared" si="245"/>
        <v>0</v>
      </c>
      <c r="CO32" s="432">
        <f t="shared" si="245"/>
        <v>0</v>
      </c>
      <c r="CP32" s="429">
        <f t="shared" si="245"/>
        <v>0</v>
      </c>
      <c r="CQ32" s="430">
        <f t="shared" si="245"/>
        <v>0</v>
      </c>
      <c r="CR32" s="431">
        <f t="shared" si="245"/>
        <v>0</v>
      </c>
      <c r="CS32" s="431">
        <f t="shared" si="245"/>
        <v>0</v>
      </c>
      <c r="CT32" s="432">
        <f t="shared" si="245"/>
        <v>0</v>
      </c>
      <c r="CU32" s="429">
        <f t="shared" si="245"/>
        <v>0</v>
      </c>
      <c r="CV32" s="430">
        <f t="shared" si="245"/>
        <v>0</v>
      </c>
      <c r="CW32" s="431">
        <f t="shared" ref="CW32:DO32" si="246">SUM(CW19:CW31)</f>
        <v>-0.25</v>
      </c>
      <c r="CX32" s="431">
        <f t="shared" si="246"/>
        <v>-0.76079531249999999</v>
      </c>
      <c r="CY32" s="432">
        <f t="shared" si="246"/>
        <v>-0.76079531249999999</v>
      </c>
      <c r="CZ32" s="429">
        <f t="shared" si="246"/>
        <v>-1.771590625</v>
      </c>
      <c r="DA32" s="430">
        <f t="shared" si="246"/>
        <v>-0.76079531249999999</v>
      </c>
      <c r="DB32" s="431">
        <f t="shared" si="246"/>
        <v>-0.51079531249999999</v>
      </c>
      <c r="DC32" s="431">
        <f t="shared" si="246"/>
        <v>0</v>
      </c>
      <c r="DD32" s="432">
        <f t="shared" si="246"/>
        <v>0</v>
      </c>
      <c r="DE32" s="429">
        <f t="shared" si="246"/>
        <v>-1.271590625</v>
      </c>
      <c r="DF32" s="430">
        <f t="shared" si="246"/>
        <v>0</v>
      </c>
      <c r="DG32" s="431">
        <f t="shared" si="246"/>
        <v>0</v>
      </c>
      <c r="DH32" s="431">
        <f t="shared" si="246"/>
        <v>0</v>
      </c>
      <c r="DI32" s="432">
        <f t="shared" si="246"/>
        <v>0</v>
      </c>
      <c r="DJ32" s="429">
        <f t="shared" si="246"/>
        <v>0</v>
      </c>
      <c r="DK32" s="430">
        <f t="shared" si="246"/>
        <v>0</v>
      </c>
      <c r="DL32" s="431">
        <f t="shared" si="246"/>
        <v>-4.3083333333333336</v>
      </c>
      <c r="DM32" s="431">
        <f t="shared" si="246"/>
        <v>-6.4625000000000004</v>
      </c>
      <c r="DN32" s="432">
        <f t="shared" si="246"/>
        <v>-6.4625000000000004</v>
      </c>
      <c r="DO32" s="429">
        <f t="shared" si="246"/>
        <v>-17.233333333333334</v>
      </c>
      <c r="DP32" s="430">
        <f t="shared" ref="DP32:DT32" si="247">SUM(DP19:DP31)</f>
        <v>-7.2625000000000002</v>
      </c>
      <c r="DQ32" s="431">
        <f t="shared" si="247"/>
        <v>-4.5541666666666671</v>
      </c>
      <c r="DR32" s="431">
        <f t="shared" si="247"/>
        <v>-2.4</v>
      </c>
      <c r="DS32" s="432">
        <f t="shared" si="247"/>
        <v>-2.4</v>
      </c>
      <c r="DT32" s="429">
        <f t="shared" si="247"/>
        <v>-16.616666666666667</v>
      </c>
    </row>
    <row r="33" spans="1:124" ht="12.75" customHeight="1" x14ac:dyDescent="0.2">
      <c r="C33" s="464"/>
      <c r="D33" s="464"/>
      <c r="E33" s="530"/>
      <c r="F33" s="537"/>
      <c r="G33" s="537"/>
      <c r="H33" s="447"/>
      <c r="I33" s="465"/>
      <c r="J33" s="466" t="s">
        <v>315</v>
      </c>
      <c r="K33" s="392"/>
      <c r="L33" s="393"/>
      <c r="M33" s="394"/>
      <c r="N33" s="395"/>
      <c r="O33" s="395"/>
      <c r="P33" s="396"/>
      <c r="Q33" s="397"/>
      <c r="R33" s="394"/>
      <c r="S33" s="395"/>
      <c r="T33" s="395"/>
      <c r="U33" s="396"/>
      <c r="V33" s="397"/>
      <c r="W33" s="394"/>
      <c r="X33" s="395"/>
      <c r="Y33" s="395"/>
      <c r="Z33" s="396"/>
      <c r="AA33" s="397"/>
      <c r="AB33" s="394"/>
      <c r="AC33" s="395"/>
      <c r="AD33" s="395"/>
      <c r="AE33" s="396"/>
      <c r="AF33" s="397"/>
      <c r="AG33" s="394"/>
      <c r="AH33" s="395"/>
      <c r="AI33" s="395"/>
      <c r="AJ33" s="396"/>
      <c r="AK33" s="397"/>
      <c r="AL33" s="394"/>
      <c r="AM33" s="395"/>
      <c r="AN33" s="395"/>
      <c r="AO33" s="396"/>
      <c r="AP33" s="397"/>
      <c r="AQ33" s="394"/>
      <c r="AR33" s="395"/>
      <c r="AS33" s="395"/>
      <c r="AT33" s="396"/>
      <c r="AU33" s="397"/>
      <c r="AV33" s="394"/>
      <c r="AW33" s="395"/>
      <c r="AX33" s="395"/>
      <c r="AY33" s="396"/>
      <c r="AZ33" s="397"/>
      <c r="BA33" s="394"/>
      <c r="BB33" s="395"/>
      <c r="BC33" s="395"/>
      <c r="BD33" s="396"/>
      <c r="BE33" s="397"/>
      <c r="BF33" s="394"/>
      <c r="BG33" s="395"/>
      <c r="BH33" s="395"/>
      <c r="BI33" s="396"/>
      <c r="BJ33" s="397"/>
      <c r="BK33" s="394"/>
      <c r="BL33" s="395"/>
      <c r="BM33" s="395"/>
      <c r="BN33" s="396"/>
      <c r="BO33" s="397"/>
      <c r="BP33" s="452"/>
      <c r="BQ33" s="399"/>
      <c r="BR33" s="400"/>
      <c r="BS33" s="401"/>
      <c r="BT33" s="401"/>
      <c r="BU33" s="402"/>
      <c r="BV33" s="403"/>
      <c r="BW33" s="400"/>
      <c r="BX33" s="401"/>
      <c r="BY33" s="401"/>
      <c r="BZ33" s="402"/>
      <c r="CA33" s="403"/>
      <c r="CB33" s="400"/>
      <c r="CC33" s="401"/>
      <c r="CD33" s="401"/>
      <c r="CE33" s="402"/>
      <c r="CF33" s="403"/>
      <c r="CG33" s="400"/>
      <c r="CH33" s="401"/>
      <c r="CI33" s="401"/>
      <c r="CJ33" s="402"/>
      <c r="CK33" s="403"/>
      <c r="CL33" s="400"/>
      <c r="CM33" s="401"/>
      <c r="CN33" s="401"/>
      <c r="CO33" s="402"/>
      <c r="CP33" s="403"/>
      <c r="CQ33" s="400"/>
      <c r="CR33" s="401"/>
      <c r="CS33" s="401"/>
      <c r="CT33" s="402"/>
      <c r="CU33" s="403"/>
      <c r="CV33" s="400"/>
      <c r="CW33" s="401"/>
      <c r="CX33" s="401"/>
      <c r="CY33" s="402"/>
      <c r="CZ33" s="403"/>
      <c r="DA33" s="400"/>
      <c r="DB33" s="401"/>
      <c r="DC33" s="401"/>
      <c r="DD33" s="402"/>
      <c r="DE33" s="403"/>
      <c r="DF33" s="400"/>
      <c r="DG33" s="401"/>
      <c r="DH33" s="401"/>
      <c r="DI33" s="402"/>
      <c r="DJ33" s="403"/>
      <c r="DK33" s="400"/>
      <c r="DL33" s="401"/>
      <c r="DM33" s="401"/>
      <c r="DN33" s="402"/>
      <c r="DO33" s="403"/>
      <c r="DP33" s="400"/>
      <c r="DQ33" s="401"/>
      <c r="DR33" s="401"/>
      <c r="DS33" s="402"/>
      <c r="DT33" s="403"/>
    </row>
    <row r="34" spans="1:124" ht="12.75" customHeight="1" x14ac:dyDescent="0.2">
      <c r="C34" s="467" t="s">
        <v>330</v>
      </c>
      <c r="D34" s="467"/>
      <c r="E34" s="530"/>
      <c r="F34" s="537"/>
      <c r="G34" s="537"/>
      <c r="H34" s="389"/>
      <c r="I34" s="390"/>
      <c r="J34" s="391"/>
      <c r="K34" s="392"/>
      <c r="L34" s="393"/>
      <c r="M34" s="394"/>
      <c r="N34" s="395"/>
      <c r="O34" s="395"/>
      <c r="P34" s="396"/>
      <c r="Q34" s="397"/>
      <c r="R34" s="394"/>
      <c r="S34" s="395"/>
      <c r="T34" s="395"/>
      <c r="U34" s="396"/>
      <c r="V34" s="397"/>
      <c r="W34" s="394"/>
      <c r="X34" s="395"/>
      <c r="Y34" s="395"/>
      <c r="Z34" s="396"/>
      <c r="AA34" s="397"/>
      <c r="AB34" s="394"/>
      <c r="AC34" s="395"/>
      <c r="AD34" s="395"/>
      <c r="AE34" s="396"/>
      <c r="AF34" s="397"/>
      <c r="AG34" s="394"/>
      <c r="AH34" s="395"/>
      <c r="AI34" s="395"/>
      <c r="AJ34" s="396"/>
      <c r="AK34" s="397"/>
      <c r="AL34" s="394"/>
      <c r="AM34" s="395"/>
      <c r="AN34" s="395"/>
      <c r="AO34" s="396"/>
      <c r="AP34" s="397"/>
      <c r="AQ34" s="394"/>
      <c r="AR34" s="395"/>
      <c r="AS34" s="395"/>
      <c r="AT34" s="396"/>
      <c r="AU34" s="397"/>
      <c r="AV34" s="394"/>
      <c r="AW34" s="395"/>
      <c r="AX34" s="395"/>
      <c r="AY34" s="396"/>
      <c r="AZ34" s="397"/>
      <c r="BA34" s="394"/>
      <c r="BB34" s="395"/>
      <c r="BC34" s="395"/>
      <c r="BD34" s="396"/>
      <c r="BE34" s="397"/>
      <c r="BF34" s="394"/>
      <c r="BG34" s="395"/>
      <c r="BH34" s="395"/>
      <c r="BI34" s="396"/>
      <c r="BJ34" s="397"/>
      <c r="BK34" s="394"/>
      <c r="BL34" s="395"/>
      <c r="BM34" s="395"/>
      <c r="BN34" s="396"/>
      <c r="BO34" s="397"/>
      <c r="BP34" s="445"/>
      <c r="BQ34" s="399"/>
      <c r="BR34" s="400"/>
      <c r="BS34" s="401"/>
      <c r="BT34" s="401"/>
      <c r="BU34" s="402"/>
      <c r="BV34" s="403"/>
      <c r="BW34" s="400"/>
      <c r="BX34" s="401"/>
      <c r="BY34" s="401"/>
      <c r="BZ34" s="402"/>
      <c r="CA34" s="403"/>
      <c r="CB34" s="400"/>
      <c r="CC34" s="401"/>
      <c r="CD34" s="401"/>
      <c r="CE34" s="402"/>
      <c r="CF34" s="403"/>
      <c r="CG34" s="400"/>
      <c r="CH34" s="401"/>
      <c r="CI34" s="401"/>
      <c r="CJ34" s="402"/>
      <c r="CK34" s="403"/>
      <c r="CL34" s="400"/>
      <c r="CM34" s="401"/>
      <c r="CN34" s="401"/>
      <c r="CO34" s="402"/>
      <c r="CP34" s="403"/>
      <c r="CQ34" s="400"/>
      <c r="CR34" s="401"/>
      <c r="CS34" s="401"/>
      <c r="CT34" s="402"/>
      <c r="CU34" s="403"/>
      <c r="CV34" s="400"/>
      <c r="CW34" s="401"/>
      <c r="CX34" s="401"/>
      <c r="CY34" s="402"/>
      <c r="CZ34" s="403"/>
      <c r="DA34" s="400"/>
      <c r="DB34" s="401"/>
      <c r="DC34" s="401"/>
      <c r="DD34" s="402"/>
      <c r="DE34" s="403"/>
      <c r="DF34" s="400"/>
      <c r="DG34" s="401"/>
      <c r="DH34" s="401"/>
      <c r="DI34" s="402"/>
      <c r="DJ34" s="403"/>
      <c r="DK34" s="400"/>
      <c r="DL34" s="401"/>
      <c r="DM34" s="401"/>
      <c r="DN34" s="402"/>
      <c r="DO34" s="403"/>
      <c r="DP34" s="400"/>
      <c r="DQ34" s="401"/>
      <c r="DR34" s="401"/>
      <c r="DS34" s="402"/>
      <c r="DT34" s="403"/>
    </row>
    <row r="35" spans="1:124" ht="12.75" customHeight="1" x14ac:dyDescent="0.2">
      <c r="C35" s="52" t="s">
        <v>533</v>
      </c>
      <c r="D35" s="52"/>
      <c r="E35" s="530">
        <f>Parent!BB49</f>
        <v>750</v>
      </c>
      <c r="F35" s="537"/>
      <c r="G35" s="537"/>
      <c r="H35" s="468">
        <v>2018</v>
      </c>
      <c r="I35" s="469">
        <v>4.4999999999999998E-2</v>
      </c>
      <c r="J35" s="470">
        <v>7</v>
      </c>
      <c r="K35" s="392"/>
      <c r="L35" s="393">
        <f t="shared" ref="L35:L38" si="248">IF(L$5=$H35,$E35,0)</f>
        <v>0</v>
      </c>
      <c r="M35" s="394">
        <f t="shared" ref="M35:M37" si="249">IF(Q35=0,0,IF(Q35&gt;0,IF($J35=3,Q35,IF($J35=2,Q35,IF($J35=1,Q35,0)))))</f>
        <v>0</v>
      </c>
      <c r="N35" s="395">
        <f t="shared" ref="N35:N37" si="250">IF(Q35=0,0,IF(Q35&gt;0,IF($J35=6,Q35,IF($J35=5,Q35,IF($J35=4,Q35,0)))))</f>
        <v>0</v>
      </c>
      <c r="O35" s="395">
        <f t="shared" ref="O35:O37" si="251">IF(Q35=0,0,IF(Q35&gt;0,IF($J35=9,Q35,IF($J35=8,Q35,IF($J35=7,Q35,0)))))</f>
        <v>0</v>
      </c>
      <c r="P35" s="396">
        <f t="shared" ref="P35:P37" si="252">IF(Q35=0,0,IF(Q35&gt;0,IF($J35=12,Q35,IF($J35=11,Q35,IF($J35=10,Q35,0)))))</f>
        <v>0</v>
      </c>
      <c r="Q35" s="397">
        <f t="shared" ref="Q35:Q38" si="253">IF(Q$5=$H35,$E35,0)</f>
        <v>0</v>
      </c>
      <c r="R35" s="394">
        <f t="shared" ref="R35:R37" si="254">IF(V35=0,0,IF(V35&gt;0,IF($J35=3,V35,IF($J35=2,V35,IF($J35=1,V35,0)))))</f>
        <v>0</v>
      </c>
      <c r="S35" s="395">
        <f t="shared" ref="S35:S37" si="255">IF(V35=0,0,IF(V35&gt;0,IF($J35=6,V35,IF($J35=5,V35,IF($J35=4,V35,0)))))</f>
        <v>0</v>
      </c>
      <c r="T35" s="395">
        <f t="shared" ref="T35:T37" si="256">IF(V35=0,0,IF(V35&gt;0,IF($J35=9,V35,IF($J35=8,V35,IF($J35=7,V35,0)))))</f>
        <v>0</v>
      </c>
      <c r="U35" s="396">
        <f t="shared" ref="U35:U37" si="257">IF(V35=0,0,IF(V35&gt;0,IF($J35=12,V35,IF($J35=11,V35,IF($J35=10,V35,0)))))</f>
        <v>0</v>
      </c>
      <c r="V35" s="397">
        <f t="shared" ref="V35:V38" si="258">IF(V$5=$H35,$E35,0)</f>
        <v>0</v>
      </c>
      <c r="W35" s="394">
        <f t="shared" ref="W35:W37" si="259">IF(AA35=0,0,IF(AA35&gt;0,IF($J35=3,AA35,IF($J35=2,AA35,IF($J35=1,AA35,0)))))</f>
        <v>0</v>
      </c>
      <c r="X35" s="395">
        <f t="shared" ref="X35:X37" si="260">IF(AA35=0,0,IF(AA35&gt;0,IF($J35=6,AA35,IF($J35=5,AA35,IF($J35=4,AA35,0)))))</f>
        <v>0</v>
      </c>
      <c r="Y35" s="395">
        <f t="shared" ref="Y35:Y37" si="261">IF(AA35=0,0,IF(AA35&gt;0,IF($J35=9,AA35,IF($J35=8,AA35,IF($J35=7,AA35,0)))))</f>
        <v>0</v>
      </c>
      <c r="Z35" s="396">
        <f t="shared" ref="Z35:Z37" si="262">IF(AA35=0,0,IF(AA35&gt;0,IF($J35=12,AA35,IF($J35=11,AA35,IF($J35=10,AA35,0)))))</f>
        <v>0</v>
      </c>
      <c r="AA35" s="397">
        <f t="shared" ref="AA35:AA38" si="263">IF(AA$5=$H35,$E35,0)</f>
        <v>0</v>
      </c>
      <c r="AB35" s="394">
        <f t="shared" ref="AB35:AB37" si="264">IF(AF35=0,0,IF(AF35&gt;0,IF($J35=3,AF35,IF($J35=2,AF35,IF($J35=1,AF35,0)))))</f>
        <v>0</v>
      </c>
      <c r="AC35" s="395">
        <f t="shared" ref="AC35:AC37" si="265">IF(AF35=0,0,IF(AF35&gt;0,IF($J35=6,AF35,IF($J35=5,AF35,IF($J35=4,AF35,0)))))</f>
        <v>0</v>
      </c>
      <c r="AD35" s="395">
        <f t="shared" ref="AD35:AD37" si="266">IF(AF35=0,0,IF(AF35&gt;0,IF($J35=9,AF35,IF($J35=8,AF35,IF($J35=7,AF35,0)))))</f>
        <v>0</v>
      </c>
      <c r="AE35" s="396">
        <f t="shared" ref="AE35:AE37" si="267">IF(AF35=0,0,IF(AF35&gt;0,IF($J35=12,AF35,IF($J35=11,AF35,IF($J35=10,AF35,0)))))</f>
        <v>0</v>
      </c>
      <c r="AF35" s="397">
        <f t="shared" ref="AF35:AF38" si="268">IF(AF$5=$H35,$E35,0)</f>
        <v>0</v>
      </c>
      <c r="AG35" s="394">
        <f t="shared" ref="AG35:AG37" si="269">IF(AK35=0,0,IF(AK35&gt;0,IF($J35=3,AK35,IF($J35=2,AK35,IF($J35=1,AK35,0)))))</f>
        <v>0</v>
      </c>
      <c r="AH35" s="404">
        <f t="shared" ref="AH35:AH37" si="270">IF(AK35=0,0,IF(AK35&gt;0,IF($J35=6,AK35,IF($J35=5,AK35,IF($J35=4,AK35,0)))))</f>
        <v>0</v>
      </c>
      <c r="AI35" s="404">
        <f t="shared" ref="AI35:AI37" si="271">IF(AK35=0,0,IF(AK35&gt;0,IF($J35=9,AK35,IF($J35=8,AK35,IF($J35=7,AK35,0)))))</f>
        <v>0</v>
      </c>
      <c r="AJ35" s="396">
        <f t="shared" ref="AJ35:AJ37" si="272">IF(AK35=0,0,IF(AK35&gt;0,IF($J35=12,AK35,IF($J35=11,AK35,IF($J35=10,AK35,0)))))</f>
        <v>0</v>
      </c>
      <c r="AK35" s="397">
        <f t="shared" ref="AK35:AK38" si="273">IF(AK$5=$H35,$E35,0)</f>
        <v>0</v>
      </c>
      <c r="AL35" s="394">
        <f t="shared" ref="AL35:AL37" si="274">IF(AP35=0,0,IF(AP35&gt;0,IF($J35=3,AP35,IF($J35=2,AP35,IF($J35=1,AP35,0)))))</f>
        <v>0</v>
      </c>
      <c r="AM35" s="395">
        <f t="shared" ref="AM35:AM37" si="275">IF(AP35=0,0,IF(AP35&gt;0,IF($J35=6,AP35,IF($J35=5,AP35,IF($J35=4,AP35,0)))))</f>
        <v>0</v>
      </c>
      <c r="AN35" s="395">
        <f t="shared" ref="AN35:AN37" si="276">IF(AP35=0,0,IF(AP35&gt;0,IF($J35=9,AP35,IF($J35=8,AP35,IF($J35=7,AP35,0)))))</f>
        <v>0</v>
      </c>
      <c r="AO35" s="396">
        <f t="shared" ref="AO35:AO37" si="277">IF(AP35=0,0,IF(AP35&gt;0,IF($J35=12,AP35,IF($J35=11,AP35,IF($J35=10,AP35,0)))))</f>
        <v>0</v>
      </c>
      <c r="AP35" s="397">
        <f t="shared" ref="AP35:AP38" si="278">IF(AP$5=$H35,$E35,0)</f>
        <v>0</v>
      </c>
      <c r="AQ35" s="394">
        <f t="shared" ref="AQ35:AQ37" si="279">IF(AU35=0,0,IF(AU35&gt;0,IF($J35=3,AU35,IF($J35=2,AU35,IF($J35=1,AU35,0)))))</f>
        <v>0</v>
      </c>
      <c r="AR35" s="395">
        <f t="shared" ref="AR35:AR37" si="280">IF(AU35=0,0,IF(AU35&gt;0,IF($J35=6,AU35,IF($J35=5,AU35,IF($J35=4,AU35,0)))))</f>
        <v>0</v>
      </c>
      <c r="AS35" s="395">
        <f t="shared" ref="AS35:AS37" si="281">IF(AU35=0,0,IF(AU35&gt;0,IF($J35=9,AU35,IF($J35=8,AU35,IF($J35=7,AU35,0)))))</f>
        <v>0</v>
      </c>
      <c r="AT35" s="396">
        <f t="shared" ref="AT35:AT37" si="282">IF(AU35=0,0,IF(AU35&gt;0,IF($J35=12,AU35,IF($J35=11,AU35,IF($J35=10,AU35,0)))))</f>
        <v>0</v>
      </c>
      <c r="AU35" s="397">
        <f t="shared" ref="AU35:AU38" si="283">IF(AU$5=$H35,$E35,0)</f>
        <v>0</v>
      </c>
      <c r="AV35" s="394">
        <f t="shared" ref="AV35:AV37" si="284">IF(AZ35=0,0,IF(AZ35&gt;0,IF($J35=3,AZ35,IF($J35=2,AZ35,IF($J35=1,AZ35,0)))))</f>
        <v>0</v>
      </c>
      <c r="AW35" s="395">
        <f t="shared" ref="AW35:AW37" si="285">IF(AZ35=0,0,IF(AZ35&gt;0,IF($J35=6,AZ35,IF($J35=5,AZ35,IF($J35=4,AZ35,0)))))</f>
        <v>0</v>
      </c>
      <c r="AX35" s="395">
        <f t="shared" ref="AX35:AX37" si="286">IF(AZ35=0,0,IF(AZ35&gt;0,IF($J35=9,AZ35,IF($J35=8,AZ35,IF($J35=7,AZ35,0)))))</f>
        <v>750</v>
      </c>
      <c r="AY35" s="396">
        <f t="shared" ref="AY35:AY37" si="287">IF(AZ35=0,0,IF(AZ35&gt;0,IF($J35=12,AZ35,IF($J35=11,AZ35,IF($J35=10,AZ35,0)))))</f>
        <v>0</v>
      </c>
      <c r="AZ35" s="397">
        <f t="shared" ref="AZ35:AZ38" si="288">IF(AZ$5=$H35,$E35,0)</f>
        <v>750</v>
      </c>
      <c r="BA35" s="394">
        <f t="shared" ref="BA35:BA37" si="289">IF(BE35=0,0,IF(BE35&gt;0,IF($J35=3,BE35,IF($J35=2,BE35,IF($J35=1,BE35,0)))))</f>
        <v>0</v>
      </c>
      <c r="BB35" s="395">
        <f t="shared" ref="BB35:BB37" si="290">IF(BE35=0,0,IF(BE35&gt;0,IF($J35=6,BE35,IF($J35=5,BE35,IF($J35=4,BE35,0)))))</f>
        <v>0</v>
      </c>
      <c r="BC35" s="395">
        <f t="shared" ref="BC35:BC37" si="291">IF(BE35=0,0,IF(BE35&gt;0,IF($J35=9,BE35,IF($J35=8,BE35,IF($J35=7,BE35,0)))))</f>
        <v>0</v>
      </c>
      <c r="BD35" s="396">
        <f t="shared" ref="BD35:BD37" si="292">IF(BE35=0,0,IF(BE35&gt;0,IF($J35=12,BE35,IF($J35=11,BE35,IF($J35=10,BE35,0)))))</f>
        <v>0</v>
      </c>
      <c r="BE35" s="397">
        <f t="shared" ref="BE35:BE38" si="293">IF(BE$5=$H35,$E35,0)</f>
        <v>0</v>
      </c>
      <c r="BF35" s="394">
        <f t="shared" ref="BF35:BF37" si="294">IF(BJ35=0,0,IF(BJ35&gt;0,IF($J35=3,BJ35,IF($J35=2,BJ35,IF($J35=1,BJ35,0)))))</f>
        <v>0</v>
      </c>
      <c r="BG35" s="395">
        <f t="shared" ref="BG35:BG37" si="295">IF(BJ35=0,0,IF(BJ35&gt;0,IF($J35=6,BJ35,IF($J35=5,BJ35,IF($J35=4,BJ35,0)))))</f>
        <v>0</v>
      </c>
      <c r="BH35" s="395">
        <f t="shared" ref="BH35:BH37" si="296">IF(BJ35=0,0,IF(BJ35&gt;0,IF($J35=9,BJ35,IF($J35=8,BJ35,IF($J35=7,BJ35,0)))))</f>
        <v>0</v>
      </c>
      <c r="BI35" s="396">
        <f t="shared" ref="BI35:BI37" si="297">IF(BJ35=0,0,IF(BJ35&gt;0,IF($J35=12,BJ35,IF($J35=11,BJ35,IF($J35=10,BJ35,0)))))</f>
        <v>0</v>
      </c>
      <c r="BJ35" s="397">
        <f t="shared" ref="BJ35:BJ38" si="298">IF(BJ$5=$H35,$E35,0)</f>
        <v>0</v>
      </c>
      <c r="BK35" s="394">
        <f t="shared" ref="BK35:BK37" si="299">IF(BO35=0,0,IF(BO35&gt;0,IF($J35=3,BO35,IF($J35=2,BO35,IF($J35=1,BO35,0)))))</f>
        <v>0</v>
      </c>
      <c r="BL35" s="395">
        <f t="shared" ref="BL35:BL37" si="300">IF(BO35=0,0,IF(BO35&gt;0,IF($J35=6,BO35,IF($J35=5,BO35,IF($J35=4,BO35,0)))))</f>
        <v>0</v>
      </c>
      <c r="BM35" s="395">
        <f t="shared" ref="BM35:BM37" si="301">IF(BO35=0,0,IF(BO35&gt;0,IF($J35=9,BO35,IF($J35=8,BO35,IF($J35=7,BO35,0)))))</f>
        <v>0</v>
      </c>
      <c r="BN35" s="396">
        <f t="shared" ref="BN35:BN37" si="302">IF(BO35=0,0,IF(BO35&gt;0,IF($J35=12,BO35,IF($J35=11,BO35,IF($J35=10,BO35,0)))))</f>
        <v>0</v>
      </c>
      <c r="BO35" s="397">
        <f t="shared" ref="BO35:BO38" si="303">IF(BO$5=$H35,$E35,0)</f>
        <v>0</v>
      </c>
      <c r="BP35" s="445"/>
      <c r="BQ35" s="399">
        <f t="shared" ref="BQ35:BQ37" si="304">IF(AND(BP35&lt;&gt;0,BP$5=$H35),$I35*$E35-BP35,IF(BQ$5=$H35,$I35*$E35*(12-$J35+1)/12,0))</f>
        <v>0</v>
      </c>
      <c r="BR35" s="400">
        <f t="shared" ref="BR35:BR37" si="305">IF($H35&lt;&gt;BV$5,0,IF(BV35&gt;0,IF($J35=1,$E35*$I35/12*3,IF($J35=2,$E35*$I35/12*2,IF($J35=3,$E35*$I35/12*1,0)))))+IF(BQ$5&lt;&gt;$H35,0,IF(BQ35&gt;0,IF($J35=1,$E35*$I35/12*0,IF($J35=2,$E35*$I35/12*1,IF($J35=3,$E35*$I35/12*2,IF($J35&gt;=4,$E35*$I35/12*3,0))))))</f>
        <v>0</v>
      </c>
      <c r="BS35" s="401">
        <f t="shared" ref="BS35:BS37" si="306">IF($H35&lt;&gt;BV$5,0,IF(BV35&gt;0,IF(OR($J35=1,$J35=2,$J35=3,$J35=4),$E35*$I35/12*3,IF($J35=5,$E35*$I35/12*2,IF($J35=6,$E35*$I35/12*1,0)))))+IF(BQ$5&lt;&gt;$H35,0,IF(BQ35&gt;0,IF($J35=4,$E35*$I35/12*0,IF($J35=5,$E35*$I35/12*1,IF($J35=6,$E35*$I35/12*2,IF($J35&gt;=7,$E35*$I35/12*3,0))))))</f>
        <v>0</v>
      </c>
      <c r="BT35" s="401">
        <f t="shared" ref="BT35:BT37" si="307">IF($H35&lt;&gt;BV$5,0,IF(BV35&gt;0,IF(OR($J35=1,$J35=2,$J35=3,$J35=4,$J35=5,$J35=6,$J35=7),$E35*$I35/12*3,IF($J35=8,$E35*$I35/12*2,IF($J35=9,$E35*$I35/12*1,0)))))+IF(BQ$5&lt;&gt;$H35,0,IF(BQ35&gt;0,IF($J35=7,$E35*$I35/12*0,IF($J35=8,$E35*$I35/12*1,IF($J35=9,$E35*$I35/12*2,IF($J35&gt;=10,$E35*$I35/12*3,0))))))</f>
        <v>0</v>
      </c>
      <c r="BU35" s="402">
        <f t="shared" ref="BU35:BU37" si="308">IF($H35&lt;&gt;BV$5,0,IF(BV35&gt;0,IF(OR($J35=1,$J35=2,$J35=3,$J35=4,$J35=5,$J35=6,$J35=7,$J35=8,$J35=9,$J35=10),$E35*$I35/12*3,IF($J35=11,$E35*$I35/12*2,IF($J35=12,$E35*$I35/12*1,0)))))+IF(BQ$5&lt;&gt;$H35,0,IF(BQ35&gt;0,IF($J35=10,$E35*$I35/12*0,IF($J35=11,$E35*$I35/12*1,IF($J35=12,$E35*$I35/12*2,0)))))</f>
        <v>0</v>
      </c>
      <c r="BV35" s="403">
        <f t="shared" ref="BV35:BV37" si="309">IF(AND(BQ35&lt;&gt;0,BQ$5=$H35),$I35*$E35-BQ35,IF(BV$5=$H35,$I35*$E35*(12-$J35+1)/12,0))</f>
        <v>0</v>
      </c>
      <c r="BW35" s="400">
        <f t="shared" ref="BW35:BW37" si="310">IF($H35&lt;&gt;CA$5,0,IF(CA35&gt;0,IF($J35=1,$E35*$I35/12*3,IF($J35=2,$E35*$I35/12*2,IF($J35=3,$E35*$I35/12*1,0)))))+IF(BV$5&lt;&gt;$H35,0,IF(BV35&gt;0,IF($J35=1,$E35*$I35/12*0,IF($J35=2,$E35*$I35/12*1,IF($J35=3,$E35*$I35/12*2,IF($J35&gt;=4,$E35*$I35/12*3,0))))))</f>
        <v>0</v>
      </c>
      <c r="BX35" s="401">
        <f t="shared" ref="BX35:BX37" si="311">IF($H35&lt;&gt;CA$5,0,IF(CA35&gt;0,IF(OR($J35=1,$J35=2,$J35=3,$J35=4),$E35*$I35/12*3,IF($J35=5,$E35*$I35/12*2,IF($J35=6,$E35*$I35/12*1,0)))))+IF(BV$5&lt;&gt;$H35,0,IF(BV35&gt;0,IF($J35=4,$E35*$I35/12*0,IF($J35=5,$E35*$I35/12*1,IF($J35=6,$E35*$I35/12*2,IF($J35&gt;=7,$E35*$I35/12*3,0))))))</f>
        <v>0</v>
      </c>
      <c r="BY35" s="401">
        <f t="shared" ref="BY35:BY37" si="312">IF($H35&lt;&gt;CA$5,0,IF(CA35&gt;0,IF(OR($J35=1,$J35=2,$J35=3,$J35=4,$J35=5,$J35=6,$J35=7),$E35*$I35/12*3,IF($J35=8,$E35*$I35/12*2,IF($J35=9,$E35*$I35/12*1,0)))))+IF(BV$5&lt;&gt;$H35,0,IF(BV35&gt;0,IF($J35=7,$E35*$I35/12*0,IF($J35=8,$E35*$I35/12*1,IF($J35=9,$E35*$I35/12*2,IF($J35&gt;=10,$E35*$I35/12*3,0))))))</f>
        <v>0</v>
      </c>
      <c r="BZ35" s="402">
        <f t="shared" ref="BZ35:BZ37" si="313">IF($H35&lt;&gt;CA$5,0,IF(CA35&gt;0,IF(OR($J35=1,$J35=2,$J35=3,$J35=4,$J35=5,$J35=6,$J35=7,$J35=8,$J35=9,$J35=10),$E35*$I35/12*3,IF($J35=11,$E35*$I35/12*2,IF($J35=12,$E35*$I35/12*1,0)))))+IF(BV$5&lt;&gt;$H35,0,IF(BV35&gt;0,IF($J35=10,$E35*$I35/12*0,IF($J35=11,$E35*$I35/12*1,IF($J35=12,$E35*$I35/12*2,0)))))</f>
        <v>0</v>
      </c>
      <c r="CA35" s="403">
        <f t="shared" ref="CA35:CA37" si="314">IF(AND(BV35&lt;&gt;0,BV$5=$H35),$I35*$E35-BV35,IF(CA$5=$H35,$I35*$E35*(12-$J35+1)/12,0))</f>
        <v>0</v>
      </c>
      <c r="CB35" s="400">
        <f t="shared" ref="CB35:CB37" si="315">IF($H35&lt;&gt;CF$5,0,IF(CF35&gt;0,IF($J35=1,$E35*$I35/12*3,IF($J35=2,$E35*$I35/12*2,IF($J35=3,$E35*$I35/12*1,0)))))+IF(CA$5&lt;&gt;$H35,0,IF(CA35&gt;0,IF($J35=1,$E35*$I35/12*0,IF($J35=2,$E35*$I35/12*1,IF($J35=3,$E35*$I35/12*2,IF($J35&gt;=4,$E35*$I35/12*3,0))))))</f>
        <v>0</v>
      </c>
      <c r="CC35" s="401">
        <f t="shared" ref="CC35:CC37" si="316">IF($H35&lt;&gt;CF$5,0,IF(CF35&gt;0,IF(OR($J35=1,$J35=2,$J35=3,$J35=4),$E35*$I35/12*3,IF($J35=5,$E35*$I35/12*2,IF($J35=6,$E35*$I35/12*1,0)))))+IF(CA$5&lt;&gt;$H35,0,IF(CA35&gt;0,IF($J35=4,$E35*$I35/12*0,IF($J35=5,$E35*$I35/12*1,IF($J35=6,$E35*$I35/12*2,IF($J35&gt;=7,$E35*$I35/12*3,0))))))</f>
        <v>0</v>
      </c>
      <c r="CD35" s="401">
        <f t="shared" ref="CD35:CD37" si="317">IF($H35&lt;&gt;CF$5,0,IF(CF35&gt;0,IF(OR($J35=1,$J35=2,$J35=3,$J35=4,$J35=5,$J35=6,$J35=7),$E35*$I35/12*3,IF($J35=8,$E35*$I35/12*2,IF($J35=9,$E35*$I35/12*1,0)))))+IF(CA$5&lt;&gt;$H35,0,IF(CA35&gt;0,IF($J35=7,$E35*$I35/12*0,IF($J35=8,$E35*$I35/12*1,IF($J35=9,$E35*$I35/12*2,IF($J35&gt;=10,$E35*$I35/12*3,0))))))</f>
        <v>0</v>
      </c>
      <c r="CE35" s="402">
        <f t="shared" ref="CE35:CE37" si="318">IF($H35&lt;&gt;CF$5,0,IF(CF35&gt;0,IF(OR($J35=1,$J35=2,$J35=3,$J35=4,$J35=5,$J35=6,$J35=7,$J35=8,$J35=9,$J35=10),$E35*$I35/12*3,IF($J35=11,$E35*$I35/12*2,IF($J35=12,$E35*$I35/12*1,0)))))+IF(CA$5&lt;&gt;$H35,0,IF(CA35&gt;0,IF($J35=10,$E35*$I35/12*0,IF($J35=11,$E35*$I35/12*1,IF($J35=12,$E35*$I35/12*2,0)))))</f>
        <v>0</v>
      </c>
      <c r="CF35" s="403">
        <f t="shared" ref="CF35:CF37" si="319">IF(AND(CA35&lt;&gt;0,CA$5=$H35),$I35*$E35-CA35,IF(CF$5=$H35,$I35*$E35*(12-$J35+1)/12,0))</f>
        <v>0</v>
      </c>
      <c r="CG35" s="400">
        <f t="shared" ref="CG35:CG37" si="320">IF($H35&lt;&gt;CK$5,0,IF(CK35&gt;0,IF($J35=1,$E35*$I35/12*3,IF($J35=2,$E35*$I35/12*2,IF($J35=3,$E35*$I35/12*1,0)))))+IF(CF$5&lt;&gt;$H35,0,IF(CF35&gt;0,IF($J35=1,$E35*$I35/12*0,IF($J35=2,$E35*$I35/12*1,IF($J35=3,$E35*$I35/12*2,IF($J35&gt;=4,$E35*$I35/12*3,0))))))</f>
        <v>0</v>
      </c>
      <c r="CH35" s="401">
        <f t="shared" ref="CH35:CH37" si="321">IF($H35&lt;&gt;CK$5,0,IF(CK35&gt;0,IF(OR($J35=1,$J35=2,$J35=3,$J35=4),$E35*$I35/12*3,IF($J35=5,$E35*$I35/12*2,IF($J35=6,$E35*$I35/12*1,0)))))+IF(CF$5&lt;&gt;$H35,0,IF(CF35&gt;0,IF($J35=4,$E35*$I35/12*0,IF($J35=5,$E35*$I35/12*1,IF($J35=6,$E35*$I35/12*2,IF($J35&gt;=7,$E35*$I35/12*3,0))))))</f>
        <v>0</v>
      </c>
      <c r="CI35" s="401">
        <f t="shared" ref="CI35:CI37" si="322">IF($H35&lt;&gt;CK$5,0,IF(CK35&gt;0,IF(OR($J35=1,$J35=2,$J35=3,$J35=4,$J35=5,$J35=6,$J35=7),$E35*$I35/12*3,IF($J35=8,$E35*$I35/12*2,IF($J35=9,$E35*$I35/12*1,0)))))+IF(CF$5&lt;&gt;$H35,0,IF(CF35&gt;0,IF($J35=7,$E35*$I35/12*0,IF($J35=8,$E35*$I35/12*1,IF($J35=9,$E35*$I35/12*2,IF($J35&gt;=10,$E35*$I35/12*3,0))))))</f>
        <v>0</v>
      </c>
      <c r="CJ35" s="402">
        <f t="shared" ref="CJ35:CJ37" si="323">IF($H35&lt;&gt;CK$5,0,IF(CK35&gt;0,IF(OR($J35=1,$J35=2,$J35=3,$J35=4,$J35=5,$J35=6,$J35=7,$J35=8,$J35=9,$J35=10),$E35*$I35/12*3,IF($J35=11,$E35*$I35/12*2,IF($J35=12,$E35*$I35/12*1,0)))))+IF(CF$5&lt;&gt;$H35,0,IF(CF35&gt;0,IF($J35=10,$E35*$I35/12*0,IF($J35=11,$E35*$I35/12*1,IF($J35=12,$E35*$I35/12*2,0)))))</f>
        <v>0</v>
      </c>
      <c r="CK35" s="403">
        <f t="shared" ref="CK35:CK37" si="324">IF(AND(CF35&lt;&gt;0,CF$5=$H35),$I35*$E35-CF35,IF(CK$5=$H35,$I35*$E35*(12-$J35+1)/12,0))</f>
        <v>0</v>
      </c>
      <c r="CL35" s="400">
        <f t="shared" ref="CL35:CL37" si="325">IF($H35&lt;&gt;CP$5,0,IF(CP35&gt;0,IF($J35=1,$E35*$I35/12*3,IF($J35=2,$E35*$I35/12*2,IF($J35=3,$E35*$I35/12*1,0)))))+IF(CK$5&lt;&gt;$H35,0,IF(CK35&gt;0,IF($J35=1,$E35*$I35/12*0,IF($J35=2,$E35*$I35/12*1,IF($J35=3,$E35*$I35/12*2,IF($J35&gt;=4,$E35*$I35/12*3,0))))))</f>
        <v>0</v>
      </c>
      <c r="CM35" s="401">
        <f t="shared" ref="CM35:CM37" si="326">IF($H35&lt;&gt;CP$5,0,IF(CP35&gt;0,IF(OR($J35=1,$J35=2,$J35=3,$J35=4),$E35*$I35/12*3,IF($J35=5,$E35*$I35/12*2,IF($J35=6,$E35*$I35/12*1,0)))))+IF(CK$5&lt;&gt;$H35,0,IF(CK35&gt;0,IF($J35=4,$E35*$I35/12*0,IF($J35=5,$E35*$I35/12*1,IF($J35=6,$E35*$I35/12*2,IF($J35&gt;=7,$E35*$I35/12*3,0))))))</f>
        <v>0</v>
      </c>
      <c r="CN35" s="401">
        <f t="shared" ref="CN35:CN37" si="327">IF($H35&lt;&gt;CP$5,0,IF(CP35&gt;0,IF(OR($J35=1,$J35=2,$J35=3,$J35=4,$J35=5,$J35=6,$J35=7),$E35*$I35/12*3,IF($J35=8,$E35*$I35/12*2,IF($J35=9,$E35*$I35/12*1,0)))))+IF(CK$5&lt;&gt;$H35,0,IF(CK35&gt;0,IF($J35=7,$E35*$I35/12*0,IF($J35=8,$E35*$I35/12*1,IF($J35=9,$E35*$I35/12*2,IF($J35&gt;=10,$E35*$I35/12*3,0))))))</f>
        <v>0</v>
      </c>
      <c r="CO35" s="402">
        <f t="shared" ref="CO35:CO37" si="328">IF($H35&lt;&gt;CP$5,0,IF(CP35&gt;0,IF(OR($J35=1,$J35=2,$J35=3,$J35=4,$J35=5,$J35=6,$J35=7,$J35=8,$J35=9,$J35=10),$E35*$I35/12*3,IF($J35=11,$E35*$I35/12*2,IF($J35=12,$E35*$I35/12*1,0)))))+IF(CK$5&lt;&gt;$H35,0,IF(CK35&gt;0,IF($J35=10,$E35*$I35/12*0,IF($J35=11,$E35*$I35/12*1,IF($J35=12,$E35*$I35/12*2,0)))))</f>
        <v>0</v>
      </c>
      <c r="CP35" s="403">
        <f t="shared" ref="CP35:CP37" si="329">IF(AND(CK35&lt;&gt;0,CK$5=$H35),$I35*$E35-CK35,IF(CP$5=$H35,$I35*$E35*(12-$J35+1)/12,0))</f>
        <v>0</v>
      </c>
      <c r="CQ35" s="400">
        <f t="shared" ref="CQ35:CQ37" si="330">IF($H35&lt;&gt;CU$5,0,IF(CU35&gt;0,IF($J35=1,$E35*$I35/12*3,IF($J35=2,$E35*$I35/12*2,IF($J35=3,$E35*$I35/12*1,0)))))+IF(CP$5&lt;&gt;$H35,0,IF(CP35&gt;0,IF($J35=1,$E35*$I35/12*0,IF($J35=2,$E35*$I35/12*1,IF($J35=3,$E35*$I35/12*2,IF($J35&gt;=4,$E35*$I35/12*3,0))))))</f>
        <v>0</v>
      </c>
      <c r="CR35" s="401">
        <f t="shared" ref="CR35:CR37" si="331">IF($H35&lt;&gt;CU$5,0,IF(CU35&gt;0,IF(OR($J35=1,$J35=2,$J35=3,$J35=4),$E35*$I35/12*3,IF($J35=5,$E35*$I35/12*2,IF($J35=6,$E35*$I35/12*1,0)))))+IF(CP$5&lt;&gt;$H35,0,IF(CP35&gt;0,IF($J35=4,$E35*$I35/12*0,IF($J35=5,$E35*$I35/12*1,IF($J35=6,$E35*$I35/12*2,IF($J35&gt;=7,$E35*$I35/12*3,0))))))</f>
        <v>0</v>
      </c>
      <c r="CS35" s="401">
        <f t="shared" ref="CS35:CS37" si="332">IF($H35&lt;&gt;CU$5,0,IF(CU35&gt;0,IF(OR($J35=1,$J35=2,$J35=3,$J35=4,$J35=5,$J35=6,$J35=7),$E35*$I35/12*3,IF($J35=8,$E35*$I35/12*2,IF($J35=9,$E35*$I35/12*1,0)))))+IF(CP$5&lt;&gt;$H35,0,IF(CP35&gt;0,IF($J35=7,$E35*$I35/12*0,IF($J35=8,$E35*$I35/12*1,IF($J35=9,$E35*$I35/12*2,IF($J35&gt;=10,$E35*$I35/12*3,0))))))</f>
        <v>0</v>
      </c>
      <c r="CT35" s="402">
        <f t="shared" ref="CT35:CT37" si="333">IF($H35&lt;&gt;CU$5,0,IF(CU35&gt;0,IF(OR($J35=1,$J35=2,$J35=3,$J35=4,$J35=5,$J35=6,$J35=7,$J35=8,$J35=9,$J35=10),$E35*$I35/12*3,IF($J35=11,$E35*$I35/12*2,IF($J35=12,$E35*$I35/12*1,0)))))+IF(CP$5&lt;&gt;$H35,0,IF(CP35&gt;0,IF($J35=10,$E35*$I35/12*0,IF($J35=11,$E35*$I35/12*1,IF($J35=12,$E35*$I35/12*2,0)))))</f>
        <v>0</v>
      </c>
      <c r="CU35" s="403">
        <f t="shared" ref="CU35:CU37" si="334">IF(AND(CP35&lt;&gt;0,CP$5=$H35),$I35*$E35-CP35,IF(CU$5=$H35,$I35*$E35*(12-$J35+1)/12,0))</f>
        <v>0</v>
      </c>
      <c r="CV35" s="400">
        <f t="shared" ref="CV35:CV37" si="335">IF($H35&lt;&gt;CZ$5,0,IF(CZ35&gt;0,IF($J35=1,$E35*$I35/12*3,IF($J35=2,$E35*$I35/12*2,IF($J35=3,$E35*$I35/12*1,0)))))+IF(CU$5&lt;&gt;$H35,0,IF(CU35&gt;0,IF($J35=1,$E35*$I35/12*0,IF($J35=2,$E35*$I35/12*1,IF($J35=3,$E35*$I35/12*2,IF($J35&gt;=4,$E35*$I35/12*3,0))))))</f>
        <v>0</v>
      </c>
      <c r="CW35" s="401">
        <f t="shared" ref="CW35:CW37" si="336">IF($H35&lt;&gt;CZ$5,0,IF(CZ35&gt;0,IF(OR($J35=1,$J35=2,$J35=3,$J35=4),$E35*$I35/12*3,IF($J35=5,$E35*$I35/12*2,IF($J35=6,$E35*$I35/12*1,0)))))+IF(CU$5&lt;&gt;$H35,0,IF(CU35&gt;0,IF($J35=4,$E35*$I35/12*0,IF($J35=5,$E35*$I35/12*1,IF($J35=6,$E35*$I35/12*2,IF($J35&gt;=7,$E35*$I35/12*3,0))))))</f>
        <v>0</v>
      </c>
      <c r="CX35" s="401">
        <f t="shared" ref="CX35:CX37" si="337">IF($H35&lt;&gt;CZ$5,0,IF(CZ35&gt;0,IF(OR($J35=1,$J35=2,$J35=3,$J35=4,$J35=5,$J35=6,$J35=7),$E35*$I35/12*3,IF($J35=8,$E35*$I35/12*2,IF($J35=9,$E35*$I35/12*1,0)))))+IF(CU$5&lt;&gt;$H35,0,IF(CU35&gt;0,IF($J35=7,$E35*$I35/12*0,IF($J35=8,$E35*$I35/12*1,IF($J35=9,$E35*$I35/12*2,IF($J35&gt;=10,$E35*$I35/12*3,0))))))</f>
        <v>0</v>
      </c>
      <c r="CY35" s="402">
        <f t="shared" ref="CY35:CY37" si="338">IF($H35&lt;&gt;CZ$5,0,IF(CZ35&gt;0,IF(OR($J35=1,$J35=2,$J35=3,$J35=4,$J35=5,$J35=6,$J35=7,$J35=8,$J35=9,$J35=10),$E35*$I35/12*3,IF($J35=11,$E35*$I35/12*2,IF($J35=12,$E35*$I35/12*1,0)))))+IF(CU$5&lt;&gt;$H35,0,IF(CU35&gt;0,IF($J35=10,$E35*$I35/12*0,IF($J35=11,$E35*$I35/12*1,IF($J35=12,$E35*$I35/12*2,0)))))</f>
        <v>0</v>
      </c>
      <c r="CZ35" s="403">
        <f t="shared" ref="CZ35:CZ37" si="339">IF(AND(CU35&lt;&gt;0,CU$5=$H35),$I35*$E35-CU35,IF(CZ$5=$H35,$I35*$E35*(12-$J35+1)/12,0))</f>
        <v>0</v>
      </c>
      <c r="DA35" s="400">
        <f t="shared" ref="DA35:DA37" si="340">IF($H35&lt;&gt;DE$5,0,IF(DE35&gt;0,IF($J35=1,$E35*$I35/12*3,IF($J35=2,$E35*$I35/12*2,IF($J35=3,$E35*$I35/12*1,0)))))+IF(CZ$5&lt;&gt;$H35,0,IF(CZ35&gt;0,IF($J35=1,$E35*$I35/12*0,IF($J35=2,$E35*$I35/12*1,IF($J35=3,$E35*$I35/12*2,IF($J35&gt;=4,$E35*$I35/12*3,0))))))</f>
        <v>0</v>
      </c>
      <c r="DB35" s="401">
        <f t="shared" ref="DB35:DB37" si="341">IF($H35&lt;&gt;DE$5,0,IF(DE35&gt;0,IF(OR($J35=1,$J35=2,$J35=3,$J35=4),$E35*$I35/12*3,IF($J35=5,$E35*$I35/12*2,IF($J35=6,$E35*$I35/12*1,0)))))+IF(CZ$5&lt;&gt;$H35,0,IF(CZ35&gt;0,IF($J35=4,$E35*$I35/12*0,IF($J35=5,$E35*$I35/12*1,IF($J35=6,$E35*$I35/12*2,IF($J35&gt;=7,$E35*$I35/12*3,0))))))</f>
        <v>0</v>
      </c>
      <c r="DC35" s="401">
        <f t="shared" ref="DC35:DC37" si="342">IF($H35&lt;&gt;DE$5,0,IF(DE35&gt;0,IF(OR($J35=1,$J35=2,$J35=3,$J35=4,$J35=5,$J35=6,$J35=7),$E35*$I35/12*3,IF($J35=8,$E35*$I35/12*2,IF($J35=9,$E35*$I35/12*1,0)))))+IF(CZ$5&lt;&gt;$H35,0,IF(CZ35&gt;0,IF($J35=7,$E35*$I35/12*0,IF($J35=8,$E35*$I35/12*1,IF($J35=9,$E35*$I35/12*2,IF($J35&gt;=10,$E35*$I35/12*3,0))))))</f>
        <v>8.4375</v>
      </c>
      <c r="DD35" s="402">
        <f t="shared" ref="DD35:DD37" si="343">IF($H35&lt;&gt;DE$5,0,IF(DE35&gt;0,IF(OR($J35=1,$J35=2,$J35=3,$J35=4,$J35=5,$J35=6,$J35=7,$J35=8,$J35=9,$J35=10),$E35*$I35/12*3,IF($J35=11,$E35*$I35/12*2,IF($J35=12,$E35*$I35/12*1,0)))))+IF(CZ$5&lt;&gt;$H35,0,IF(CZ35&gt;0,IF($J35=10,$E35*$I35/12*0,IF($J35=11,$E35*$I35/12*1,IF($J35=12,$E35*$I35/12*2,0)))))</f>
        <v>8.4375</v>
      </c>
      <c r="DE35" s="403">
        <f t="shared" ref="DE35:DE37" si="344">IF(AND(CZ35&lt;&gt;0,CZ$5=$H35),$I35*$E35-CZ35,IF(DE$5=$H35,$I35*$E35*(12-$J35+1)/12,0))</f>
        <v>16.875</v>
      </c>
      <c r="DF35" s="400">
        <f t="shared" ref="DF35:DF37" si="345">IF($H35&lt;&gt;DJ$5,0,IF(DJ35&gt;0,IF($J35=1,$E35*$I35/12*3,IF($J35=2,$E35*$I35/12*2,IF($J35=3,$E35*$I35/12*1,0)))))+IF(DE$5&lt;&gt;$H35,0,IF(DE35&gt;0,IF($J35=1,$E35*$I35/12*0,IF($J35=2,$E35*$I35/12*1,IF($J35=3,$E35*$I35/12*2,IF($J35&gt;=4,$E35*$I35/12*3,0))))))</f>
        <v>8.4375</v>
      </c>
      <c r="DG35" s="401">
        <f t="shared" ref="DG35:DG37" si="346">IF($H35&lt;&gt;DJ$5,0,IF(DJ35&gt;0,IF(OR($J35=1,$J35=2,$J35=3,$J35=4),$E35*$I35/12*3,IF($J35=5,$E35*$I35/12*2,IF($J35=6,$E35*$I35/12*1,0)))))+IF(DE$5&lt;&gt;$H35,0,IF(DE35&gt;0,IF($J35=4,$E35*$I35/12*0,IF($J35=5,$E35*$I35/12*1,IF($J35=6,$E35*$I35/12*2,IF($J35&gt;=7,$E35*$I35/12*3,0))))))</f>
        <v>8.4375</v>
      </c>
      <c r="DH35" s="401">
        <f t="shared" ref="DH35:DH37" si="347">IF($H35&lt;&gt;DJ$5,0,IF(DJ35&gt;0,IF(OR($J35=1,$J35=2,$J35=3,$J35=4,$J35=5,$J35=6,$J35=7),$E35*$I35/12*3,IF($J35=8,$E35*$I35/12*2,IF($J35=9,$E35*$I35/12*1,0)))))+IF(DE$5&lt;&gt;$H35,0,IF(DE35&gt;0,IF($J35=7,$E35*$I35/12*0,IF($J35=8,$E35*$I35/12*1,IF($J35=9,$E35*$I35/12*2,IF($J35&gt;=10,$E35*$I35/12*3,0))))))</f>
        <v>0</v>
      </c>
      <c r="DI35" s="402">
        <f t="shared" ref="DI35:DI37" si="348">IF($H35&lt;&gt;DJ$5,0,IF(DJ35&gt;0,IF(OR($J35=1,$J35=2,$J35=3,$J35=4,$J35=5,$J35=6,$J35=7,$J35=8,$J35=9,$J35=10),$E35*$I35/12*3,IF($J35=11,$E35*$I35/12*2,IF($J35=12,$E35*$I35/12*1,0)))))+IF(DE$5&lt;&gt;$H35,0,IF(DE35&gt;0,IF($J35=10,$E35*$I35/12*0,IF($J35=11,$E35*$I35/12*1,IF($J35=12,$E35*$I35/12*2,0)))))</f>
        <v>0</v>
      </c>
      <c r="DJ35" s="403">
        <f t="shared" ref="DJ35:DJ37" si="349">IF(AND(DE35&lt;&gt;0,DE$5=$H35),$I35*$E35-DE35,IF(DJ$5=$H35,$I35*$E35*(12-$J35+1)/12,0))</f>
        <v>16.875</v>
      </c>
      <c r="DK35" s="400">
        <f t="shared" ref="DK35:DK37" si="350">IF($H35&lt;&gt;DO$5,0,IF(DO35&gt;0,IF($J35=1,$E35*$I35/12*3,IF($J35=2,$E35*$I35/12*2,IF($J35=3,$E35*$I35/12*1,0)))))+IF(DJ$5&lt;&gt;$H35,0,IF(DJ35&gt;0,IF($J35=1,$E35*$I35/12*0,IF($J35=2,$E35*$I35/12*1,IF($J35=3,$E35*$I35/12*2,IF($J35&gt;=4,$E35*$I35/12*3,0))))))</f>
        <v>0</v>
      </c>
      <c r="DL35" s="401">
        <f t="shared" ref="DL35:DL37" si="351">IF($H35&lt;&gt;DO$5,0,IF(DO35&gt;0,IF(OR($J35=1,$J35=2,$J35=3,$J35=4),$E35*$I35/12*3,IF($J35=5,$E35*$I35/12*2,IF($J35=6,$E35*$I35/12*1,0)))))+IF(DJ$5&lt;&gt;$H35,0,IF(DJ35&gt;0,IF($J35=4,$E35*$I35/12*0,IF($J35=5,$E35*$I35/12*1,IF($J35=6,$E35*$I35/12*2,IF($J35&gt;=7,$E35*$I35/12*3,0))))))</f>
        <v>0</v>
      </c>
      <c r="DM35" s="401">
        <f t="shared" ref="DM35:DM37" si="352">IF($H35&lt;&gt;DO$5,0,IF(DO35&gt;0,IF(OR($J35=1,$J35=2,$J35=3,$J35=4,$J35=5,$J35=6,$J35=7),$E35*$I35/12*3,IF($J35=8,$E35*$I35/12*2,IF($J35=9,$E35*$I35/12*1,0)))))+IF(DJ$5&lt;&gt;$H35,0,IF(DJ35&gt;0,IF($J35=7,$E35*$I35/12*0,IF($J35=8,$E35*$I35/12*1,IF($J35=9,$E35*$I35/12*2,IF($J35&gt;=10,$E35*$I35/12*3,0))))))</f>
        <v>0</v>
      </c>
      <c r="DN35" s="402">
        <f t="shared" ref="DN35:DN37" si="353">IF($H35&lt;&gt;DO$5,0,IF(DO35&gt;0,IF(OR($J35=1,$J35=2,$J35=3,$J35=4,$J35=5,$J35=6,$J35=7,$J35=8,$J35=9,$J35=10),$E35*$I35/12*3,IF($J35=11,$E35*$I35/12*2,IF($J35=12,$E35*$I35/12*1,0)))))+IF(DJ$5&lt;&gt;$H35,0,IF(DJ35&gt;0,IF($J35=10,$E35*$I35/12*0,IF($J35=11,$E35*$I35/12*1,IF($J35=12,$E35*$I35/12*2,0)))))</f>
        <v>0</v>
      </c>
      <c r="DO35" s="403">
        <f t="shared" ref="DO35:DO37" si="354">IF(AND(DJ35&lt;&gt;0,DJ$5=$H35),$I35*$E35-DJ35,IF(DO$5=$H35,$I35*$E35*(12-$J35+1)/12,0))</f>
        <v>0</v>
      </c>
      <c r="DP35" s="400">
        <f t="shared" ref="DP35:DP37" si="355">IF($H35&lt;&gt;DT$5,0,IF(DT35&gt;0,IF($J35=1,$E35*$I35/12*3,IF($J35=2,$E35*$I35/12*2,IF($J35=3,$E35*$I35/12*1,0)))))+IF(DO$5&lt;&gt;$H35,0,IF(DO35&gt;0,IF($J35=1,$E35*$I35/12*0,IF($J35=2,$E35*$I35/12*1,IF($J35=3,$E35*$I35/12*2,IF($J35&gt;=4,$E35*$I35/12*3,0))))))</f>
        <v>0</v>
      </c>
      <c r="DQ35" s="401">
        <f t="shared" ref="DQ35:DQ37" si="356">IF($H35&lt;&gt;DT$5,0,IF(DT35&gt;0,IF(OR($J35=1,$J35=2,$J35=3,$J35=4),$E35*$I35/12*3,IF($J35=5,$E35*$I35/12*2,IF($J35=6,$E35*$I35/12*1,0)))))+IF(DO$5&lt;&gt;$H35,0,IF(DO35&gt;0,IF($J35=4,$E35*$I35/12*0,IF($J35=5,$E35*$I35/12*1,IF($J35=6,$E35*$I35/12*2,IF($J35&gt;=7,$E35*$I35/12*3,0))))))</f>
        <v>0</v>
      </c>
      <c r="DR35" s="401">
        <f t="shared" ref="DR35:DR37" si="357">IF($H35&lt;&gt;DT$5,0,IF(DT35&gt;0,IF(OR($J35=1,$J35=2,$J35=3,$J35=4,$J35=5,$J35=6,$J35=7),$E35*$I35/12*3,IF($J35=8,$E35*$I35/12*2,IF($J35=9,$E35*$I35/12*1,0)))))+IF(DO$5&lt;&gt;$H35,0,IF(DO35&gt;0,IF($J35=7,$E35*$I35/12*0,IF($J35=8,$E35*$I35/12*1,IF($J35=9,$E35*$I35/12*2,IF($J35&gt;=10,$E35*$I35/12*3,0))))))</f>
        <v>0</v>
      </c>
      <c r="DS35" s="402">
        <f t="shared" ref="DS35:DS37" si="358">IF($H35&lt;&gt;DT$5,0,IF(DT35&gt;0,IF(OR($J35=1,$J35=2,$J35=3,$J35=4,$J35=5,$J35=6,$J35=7,$J35=8,$J35=9,$J35=10),$E35*$I35/12*3,IF($J35=11,$E35*$I35/12*2,IF($J35=12,$E35*$I35/12*1,0)))))+IF(DO$5&lt;&gt;$H35,0,IF(DO35&gt;0,IF($J35=10,$E35*$I35/12*0,IF($J35=11,$E35*$I35/12*1,IF($J35=12,$E35*$I35/12*2,0)))))</f>
        <v>0</v>
      </c>
      <c r="DT35" s="403">
        <f t="shared" ref="DT35:DT37" si="359">IF(AND(DO35&lt;&gt;0,DO$5=$H35),$I35*$E35-DO35,IF(DT$5=$H35,$I35*$E35*(12-$J35+1)/12,0))</f>
        <v>0</v>
      </c>
    </row>
    <row r="36" spans="1:124" ht="12.75" customHeight="1" x14ac:dyDescent="0.2">
      <c r="C36" s="847" t="s">
        <v>560</v>
      </c>
      <c r="D36" s="52"/>
      <c r="E36" s="530">
        <f>+Parent!BG49</f>
        <v>500</v>
      </c>
      <c r="F36" s="537"/>
      <c r="G36" s="537"/>
      <c r="H36" s="468">
        <v>2019</v>
      </c>
      <c r="I36" s="469">
        <v>4.4999999999999998E-2</v>
      </c>
      <c r="J36" s="470">
        <v>7</v>
      </c>
      <c r="K36" s="392"/>
      <c r="L36" s="393">
        <f t="shared" si="248"/>
        <v>0</v>
      </c>
      <c r="M36" s="394">
        <f t="shared" si="249"/>
        <v>0</v>
      </c>
      <c r="N36" s="395">
        <f t="shared" si="250"/>
        <v>0</v>
      </c>
      <c r="O36" s="395">
        <f t="shared" si="251"/>
        <v>0</v>
      </c>
      <c r="P36" s="396">
        <f t="shared" si="252"/>
        <v>0</v>
      </c>
      <c r="Q36" s="397">
        <f t="shared" si="253"/>
        <v>0</v>
      </c>
      <c r="R36" s="394">
        <f t="shared" si="254"/>
        <v>0</v>
      </c>
      <c r="S36" s="395">
        <f t="shared" si="255"/>
        <v>0</v>
      </c>
      <c r="T36" s="395">
        <f t="shared" si="256"/>
        <v>0</v>
      </c>
      <c r="U36" s="396">
        <f t="shared" si="257"/>
        <v>0</v>
      </c>
      <c r="V36" s="397">
        <f t="shared" si="258"/>
        <v>0</v>
      </c>
      <c r="W36" s="394">
        <f t="shared" si="259"/>
        <v>0</v>
      </c>
      <c r="X36" s="395">
        <f t="shared" si="260"/>
        <v>0</v>
      </c>
      <c r="Y36" s="395">
        <f t="shared" si="261"/>
        <v>0</v>
      </c>
      <c r="Z36" s="396">
        <f t="shared" si="262"/>
        <v>0</v>
      </c>
      <c r="AA36" s="397">
        <f t="shared" si="263"/>
        <v>0</v>
      </c>
      <c r="AB36" s="394">
        <f t="shared" si="264"/>
        <v>0</v>
      </c>
      <c r="AC36" s="395">
        <f t="shared" si="265"/>
        <v>0</v>
      </c>
      <c r="AD36" s="395">
        <f t="shared" si="266"/>
        <v>0</v>
      </c>
      <c r="AE36" s="396">
        <f t="shared" si="267"/>
        <v>0</v>
      </c>
      <c r="AF36" s="397">
        <f t="shared" si="268"/>
        <v>0</v>
      </c>
      <c r="AG36" s="394">
        <f t="shared" si="269"/>
        <v>0</v>
      </c>
      <c r="AH36" s="395">
        <f t="shared" si="270"/>
        <v>0</v>
      </c>
      <c r="AI36" s="395">
        <f t="shared" si="271"/>
        <v>0</v>
      </c>
      <c r="AJ36" s="396">
        <f t="shared" si="272"/>
        <v>0</v>
      </c>
      <c r="AK36" s="397">
        <f t="shared" si="273"/>
        <v>0</v>
      </c>
      <c r="AL36" s="394">
        <f t="shared" si="274"/>
        <v>0</v>
      </c>
      <c r="AM36" s="395">
        <f t="shared" si="275"/>
        <v>0</v>
      </c>
      <c r="AN36" s="395">
        <f t="shared" si="276"/>
        <v>0</v>
      </c>
      <c r="AO36" s="396">
        <f t="shared" si="277"/>
        <v>0</v>
      </c>
      <c r="AP36" s="397">
        <f t="shared" si="278"/>
        <v>0</v>
      </c>
      <c r="AQ36" s="394">
        <f t="shared" si="279"/>
        <v>0</v>
      </c>
      <c r="AR36" s="395">
        <f t="shared" si="280"/>
        <v>0</v>
      </c>
      <c r="AS36" s="395">
        <f t="shared" si="281"/>
        <v>0</v>
      </c>
      <c r="AT36" s="396">
        <f t="shared" si="282"/>
        <v>0</v>
      </c>
      <c r="AU36" s="397">
        <f t="shared" si="283"/>
        <v>0</v>
      </c>
      <c r="AV36" s="394">
        <f t="shared" si="284"/>
        <v>0</v>
      </c>
      <c r="AW36" s="395">
        <f t="shared" si="285"/>
        <v>0</v>
      </c>
      <c r="AX36" s="395">
        <f t="shared" si="286"/>
        <v>0</v>
      </c>
      <c r="AY36" s="396">
        <f t="shared" si="287"/>
        <v>0</v>
      </c>
      <c r="AZ36" s="397">
        <f t="shared" si="288"/>
        <v>0</v>
      </c>
      <c r="BA36" s="394">
        <f t="shared" si="289"/>
        <v>0</v>
      </c>
      <c r="BB36" s="395">
        <f t="shared" si="290"/>
        <v>0</v>
      </c>
      <c r="BC36" s="395">
        <f t="shared" si="291"/>
        <v>500</v>
      </c>
      <c r="BD36" s="396">
        <f t="shared" si="292"/>
        <v>0</v>
      </c>
      <c r="BE36" s="397">
        <f t="shared" si="293"/>
        <v>500</v>
      </c>
      <c r="BF36" s="394">
        <f t="shared" si="294"/>
        <v>0</v>
      </c>
      <c r="BG36" s="395">
        <f t="shared" si="295"/>
        <v>0</v>
      </c>
      <c r="BH36" s="395">
        <f t="shared" si="296"/>
        <v>0</v>
      </c>
      <c r="BI36" s="396">
        <f t="shared" si="297"/>
        <v>0</v>
      </c>
      <c r="BJ36" s="397">
        <f t="shared" si="298"/>
        <v>0</v>
      </c>
      <c r="BK36" s="394">
        <f t="shared" si="299"/>
        <v>0</v>
      </c>
      <c r="BL36" s="395">
        <f t="shared" si="300"/>
        <v>0</v>
      </c>
      <c r="BM36" s="395">
        <f t="shared" si="301"/>
        <v>0</v>
      </c>
      <c r="BN36" s="396">
        <f t="shared" si="302"/>
        <v>0</v>
      </c>
      <c r="BO36" s="397">
        <f t="shared" si="303"/>
        <v>0</v>
      </c>
      <c r="BP36" s="445"/>
      <c r="BQ36" s="399">
        <f t="shared" si="304"/>
        <v>0</v>
      </c>
      <c r="BR36" s="400">
        <f t="shared" si="305"/>
        <v>0</v>
      </c>
      <c r="BS36" s="401">
        <f t="shared" si="306"/>
        <v>0</v>
      </c>
      <c r="BT36" s="401">
        <f t="shared" si="307"/>
        <v>0</v>
      </c>
      <c r="BU36" s="402">
        <f t="shared" si="308"/>
        <v>0</v>
      </c>
      <c r="BV36" s="403">
        <f t="shared" si="309"/>
        <v>0</v>
      </c>
      <c r="BW36" s="400">
        <f t="shared" si="310"/>
        <v>0</v>
      </c>
      <c r="BX36" s="401">
        <f t="shared" si="311"/>
        <v>0</v>
      </c>
      <c r="BY36" s="401">
        <f t="shared" si="312"/>
        <v>0</v>
      </c>
      <c r="BZ36" s="402">
        <f t="shared" si="313"/>
        <v>0</v>
      </c>
      <c r="CA36" s="403">
        <f t="shared" si="314"/>
        <v>0</v>
      </c>
      <c r="CB36" s="400">
        <f t="shared" si="315"/>
        <v>0</v>
      </c>
      <c r="CC36" s="401">
        <f t="shared" si="316"/>
        <v>0</v>
      </c>
      <c r="CD36" s="401">
        <f t="shared" si="317"/>
        <v>0</v>
      </c>
      <c r="CE36" s="402">
        <f t="shared" si="318"/>
        <v>0</v>
      </c>
      <c r="CF36" s="403">
        <f t="shared" si="319"/>
        <v>0</v>
      </c>
      <c r="CG36" s="400">
        <f t="shared" si="320"/>
        <v>0</v>
      </c>
      <c r="CH36" s="401">
        <f t="shared" si="321"/>
        <v>0</v>
      </c>
      <c r="CI36" s="401">
        <f t="shared" si="322"/>
        <v>0</v>
      </c>
      <c r="CJ36" s="402">
        <f t="shared" si="323"/>
        <v>0</v>
      </c>
      <c r="CK36" s="403">
        <f t="shared" si="324"/>
        <v>0</v>
      </c>
      <c r="CL36" s="400">
        <f t="shared" si="325"/>
        <v>0</v>
      </c>
      <c r="CM36" s="401">
        <f t="shared" si="326"/>
        <v>0</v>
      </c>
      <c r="CN36" s="401">
        <f t="shared" si="327"/>
        <v>0</v>
      </c>
      <c r="CO36" s="402">
        <f t="shared" si="328"/>
        <v>0</v>
      </c>
      <c r="CP36" s="403">
        <f t="shared" si="329"/>
        <v>0</v>
      </c>
      <c r="CQ36" s="400">
        <f t="shared" si="330"/>
        <v>0</v>
      </c>
      <c r="CR36" s="401">
        <f t="shared" si="331"/>
        <v>0</v>
      </c>
      <c r="CS36" s="401">
        <f t="shared" si="332"/>
        <v>0</v>
      </c>
      <c r="CT36" s="402">
        <f t="shared" si="333"/>
        <v>0</v>
      </c>
      <c r="CU36" s="403">
        <f t="shared" si="334"/>
        <v>0</v>
      </c>
      <c r="CV36" s="400">
        <f t="shared" si="335"/>
        <v>0</v>
      </c>
      <c r="CW36" s="401">
        <f t="shared" si="336"/>
        <v>0</v>
      </c>
      <c r="CX36" s="401">
        <f t="shared" si="337"/>
        <v>0</v>
      </c>
      <c r="CY36" s="402">
        <f t="shared" si="338"/>
        <v>0</v>
      </c>
      <c r="CZ36" s="403">
        <f t="shared" si="339"/>
        <v>0</v>
      </c>
      <c r="DA36" s="400">
        <f t="shared" si="340"/>
        <v>0</v>
      </c>
      <c r="DB36" s="401">
        <f t="shared" si="341"/>
        <v>0</v>
      </c>
      <c r="DC36" s="401">
        <f t="shared" si="342"/>
        <v>0</v>
      </c>
      <c r="DD36" s="402">
        <f t="shared" si="343"/>
        <v>0</v>
      </c>
      <c r="DE36" s="403">
        <f t="shared" si="344"/>
        <v>0</v>
      </c>
      <c r="DF36" s="400">
        <f t="shared" si="345"/>
        <v>0</v>
      </c>
      <c r="DG36" s="401">
        <f t="shared" si="346"/>
        <v>0</v>
      </c>
      <c r="DH36" s="401">
        <f t="shared" si="347"/>
        <v>5.625</v>
      </c>
      <c r="DI36" s="402">
        <f t="shared" si="348"/>
        <v>5.625</v>
      </c>
      <c r="DJ36" s="403">
        <f t="shared" si="349"/>
        <v>11.25</v>
      </c>
      <c r="DK36" s="400">
        <f t="shared" si="350"/>
        <v>5.625</v>
      </c>
      <c r="DL36" s="401">
        <f t="shared" si="351"/>
        <v>5.625</v>
      </c>
      <c r="DM36" s="401">
        <f t="shared" si="352"/>
        <v>0</v>
      </c>
      <c r="DN36" s="402">
        <f t="shared" si="353"/>
        <v>0</v>
      </c>
      <c r="DO36" s="403">
        <f t="shared" si="354"/>
        <v>11.25</v>
      </c>
      <c r="DP36" s="400">
        <f t="shared" si="355"/>
        <v>0</v>
      </c>
      <c r="DQ36" s="401">
        <f t="shared" si="356"/>
        <v>0</v>
      </c>
      <c r="DR36" s="401">
        <f t="shared" si="357"/>
        <v>0</v>
      </c>
      <c r="DS36" s="402">
        <f t="shared" si="358"/>
        <v>0</v>
      </c>
      <c r="DT36" s="403">
        <f t="shared" si="359"/>
        <v>0</v>
      </c>
    </row>
    <row r="37" spans="1:124" ht="12.75" customHeight="1" x14ac:dyDescent="0.2">
      <c r="C37" s="847" t="s">
        <v>603</v>
      </c>
      <c r="D37" s="52"/>
      <c r="E37" s="530">
        <f>+Parent!BL49</f>
        <v>800</v>
      </c>
      <c r="F37" s="537"/>
      <c r="G37" s="537"/>
      <c r="H37" s="468">
        <v>2020</v>
      </c>
      <c r="I37" s="469">
        <v>4.4999999999999998E-2</v>
      </c>
      <c r="J37" s="470">
        <v>7</v>
      </c>
      <c r="K37" s="392"/>
      <c r="L37" s="393">
        <f t="shared" si="248"/>
        <v>0</v>
      </c>
      <c r="M37" s="394">
        <f t="shared" si="249"/>
        <v>0</v>
      </c>
      <c r="N37" s="395">
        <f t="shared" si="250"/>
        <v>0</v>
      </c>
      <c r="O37" s="395">
        <f t="shared" si="251"/>
        <v>0</v>
      </c>
      <c r="P37" s="396">
        <f t="shared" si="252"/>
        <v>0</v>
      </c>
      <c r="Q37" s="397">
        <f t="shared" si="253"/>
        <v>0</v>
      </c>
      <c r="R37" s="394">
        <f t="shared" si="254"/>
        <v>0</v>
      </c>
      <c r="S37" s="395">
        <f t="shared" si="255"/>
        <v>0</v>
      </c>
      <c r="T37" s="395">
        <f t="shared" si="256"/>
        <v>0</v>
      </c>
      <c r="U37" s="396">
        <f t="shared" si="257"/>
        <v>0</v>
      </c>
      <c r="V37" s="397">
        <f t="shared" si="258"/>
        <v>0</v>
      </c>
      <c r="W37" s="394">
        <f t="shared" si="259"/>
        <v>0</v>
      </c>
      <c r="X37" s="395">
        <f t="shared" si="260"/>
        <v>0</v>
      </c>
      <c r="Y37" s="395">
        <f t="shared" si="261"/>
        <v>0</v>
      </c>
      <c r="Z37" s="396">
        <f t="shared" si="262"/>
        <v>0</v>
      </c>
      <c r="AA37" s="397">
        <f t="shared" si="263"/>
        <v>0</v>
      </c>
      <c r="AB37" s="394">
        <f t="shared" si="264"/>
        <v>0</v>
      </c>
      <c r="AC37" s="395">
        <f t="shared" si="265"/>
        <v>0</v>
      </c>
      <c r="AD37" s="395">
        <f t="shared" si="266"/>
        <v>0</v>
      </c>
      <c r="AE37" s="396">
        <f t="shared" si="267"/>
        <v>0</v>
      </c>
      <c r="AF37" s="397">
        <f t="shared" si="268"/>
        <v>0</v>
      </c>
      <c r="AG37" s="394">
        <f t="shared" si="269"/>
        <v>0</v>
      </c>
      <c r="AH37" s="395">
        <f t="shared" si="270"/>
        <v>0</v>
      </c>
      <c r="AI37" s="395">
        <f t="shared" si="271"/>
        <v>0</v>
      </c>
      <c r="AJ37" s="396">
        <f t="shared" si="272"/>
        <v>0</v>
      </c>
      <c r="AK37" s="397">
        <f t="shared" si="273"/>
        <v>0</v>
      </c>
      <c r="AL37" s="394">
        <f t="shared" si="274"/>
        <v>0</v>
      </c>
      <c r="AM37" s="395">
        <f t="shared" si="275"/>
        <v>0</v>
      </c>
      <c r="AN37" s="395">
        <f t="shared" si="276"/>
        <v>0</v>
      </c>
      <c r="AO37" s="396">
        <f t="shared" si="277"/>
        <v>0</v>
      </c>
      <c r="AP37" s="397">
        <f t="shared" si="278"/>
        <v>0</v>
      </c>
      <c r="AQ37" s="394">
        <f t="shared" si="279"/>
        <v>0</v>
      </c>
      <c r="AR37" s="395">
        <f t="shared" si="280"/>
        <v>0</v>
      </c>
      <c r="AS37" s="395">
        <f t="shared" si="281"/>
        <v>0</v>
      </c>
      <c r="AT37" s="396">
        <f t="shared" si="282"/>
        <v>0</v>
      </c>
      <c r="AU37" s="397">
        <f t="shared" si="283"/>
        <v>0</v>
      </c>
      <c r="AV37" s="394">
        <f t="shared" si="284"/>
        <v>0</v>
      </c>
      <c r="AW37" s="395">
        <f t="shared" si="285"/>
        <v>0</v>
      </c>
      <c r="AX37" s="395">
        <f t="shared" si="286"/>
        <v>0</v>
      </c>
      <c r="AY37" s="396">
        <f t="shared" si="287"/>
        <v>0</v>
      </c>
      <c r="AZ37" s="397">
        <f t="shared" si="288"/>
        <v>0</v>
      </c>
      <c r="BA37" s="394">
        <f t="shared" si="289"/>
        <v>0</v>
      </c>
      <c r="BB37" s="395">
        <f t="shared" si="290"/>
        <v>0</v>
      </c>
      <c r="BC37" s="395">
        <f t="shared" si="291"/>
        <v>0</v>
      </c>
      <c r="BD37" s="396">
        <f t="shared" si="292"/>
        <v>0</v>
      </c>
      <c r="BE37" s="397">
        <f t="shared" si="293"/>
        <v>0</v>
      </c>
      <c r="BF37" s="394">
        <f t="shared" si="294"/>
        <v>0</v>
      </c>
      <c r="BG37" s="395">
        <f t="shared" si="295"/>
        <v>0</v>
      </c>
      <c r="BH37" s="395">
        <f t="shared" si="296"/>
        <v>800</v>
      </c>
      <c r="BI37" s="396">
        <f t="shared" si="297"/>
        <v>0</v>
      </c>
      <c r="BJ37" s="397">
        <f t="shared" si="298"/>
        <v>800</v>
      </c>
      <c r="BK37" s="394">
        <f t="shared" si="299"/>
        <v>0</v>
      </c>
      <c r="BL37" s="395">
        <f t="shared" si="300"/>
        <v>0</v>
      </c>
      <c r="BM37" s="395">
        <f t="shared" si="301"/>
        <v>0</v>
      </c>
      <c r="BN37" s="396">
        <f t="shared" si="302"/>
        <v>0</v>
      </c>
      <c r="BO37" s="397">
        <f t="shared" si="303"/>
        <v>0</v>
      </c>
      <c r="BP37" s="445"/>
      <c r="BQ37" s="399">
        <f t="shared" si="304"/>
        <v>0</v>
      </c>
      <c r="BR37" s="400">
        <f t="shared" si="305"/>
        <v>0</v>
      </c>
      <c r="BS37" s="401">
        <f t="shared" si="306"/>
        <v>0</v>
      </c>
      <c r="BT37" s="401">
        <f t="shared" si="307"/>
        <v>0</v>
      </c>
      <c r="BU37" s="402">
        <f t="shared" si="308"/>
        <v>0</v>
      </c>
      <c r="BV37" s="403">
        <f t="shared" si="309"/>
        <v>0</v>
      </c>
      <c r="BW37" s="400">
        <f t="shared" si="310"/>
        <v>0</v>
      </c>
      <c r="BX37" s="401">
        <f t="shared" si="311"/>
        <v>0</v>
      </c>
      <c r="BY37" s="401">
        <f t="shared" si="312"/>
        <v>0</v>
      </c>
      <c r="BZ37" s="402">
        <f t="shared" si="313"/>
        <v>0</v>
      </c>
      <c r="CA37" s="403">
        <f t="shared" si="314"/>
        <v>0</v>
      </c>
      <c r="CB37" s="400">
        <f t="shared" si="315"/>
        <v>0</v>
      </c>
      <c r="CC37" s="401">
        <f t="shared" si="316"/>
        <v>0</v>
      </c>
      <c r="CD37" s="401">
        <f t="shared" si="317"/>
        <v>0</v>
      </c>
      <c r="CE37" s="402">
        <f t="shared" si="318"/>
        <v>0</v>
      </c>
      <c r="CF37" s="403">
        <f t="shared" si="319"/>
        <v>0</v>
      </c>
      <c r="CG37" s="400">
        <f t="shared" si="320"/>
        <v>0</v>
      </c>
      <c r="CH37" s="401">
        <f t="shared" si="321"/>
        <v>0</v>
      </c>
      <c r="CI37" s="401">
        <f t="shared" si="322"/>
        <v>0</v>
      </c>
      <c r="CJ37" s="402">
        <f t="shared" si="323"/>
        <v>0</v>
      </c>
      <c r="CK37" s="403">
        <f t="shared" si="324"/>
        <v>0</v>
      </c>
      <c r="CL37" s="400">
        <f t="shared" si="325"/>
        <v>0</v>
      </c>
      <c r="CM37" s="401">
        <f t="shared" si="326"/>
        <v>0</v>
      </c>
      <c r="CN37" s="401">
        <f t="shared" si="327"/>
        <v>0</v>
      </c>
      <c r="CO37" s="402">
        <f t="shared" si="328"/>
        <v>0</v>
      </c>
      <c r="CP37" s="403">
        <f t="shared" si="329"/>
        <v>0</v>
      </c>
      <c r="CQ37" s="400">
        <f t="shared" si="330"/>
        <v>0</v>
      </c>
      <c r="CR37" s="401">
        <f t="shared" si="331"/>
        <v>0</v>
      </c>
      <c r="CS37" s="401">
        <f t="shared" si="332"/>
        <v>0</v>
      </c>
      <c r="CT37" s="402">
        <f t="shared" si="333"/>
        <v>0</v>
      </c>
      <c r="CU37" s="403">
        <f t="shared" si="334"/>
        <v>0</v>
      </c>
      <c r="CV37" s="400">
        <f t="shared" si="335"/>
        <v>0</v>
      </c>
      <c r="CW37" s="401">
        <f t="shared" si="336"/>
        <v>0</v>
      </c>
      <c r="CX37" s="401">
        <f t="shared" si="337"/>
        <v>0</v>
      </c>
      <c r="CY37" s="402">
        <f t="shared" si="338"/>
        <v>0</v>
      </c>
      <c r="CZ37" s="403">
        <f t="shared" si="339"/>
        <v>0</v>
      </c>
      <c r="DA37" s="400">
        <f t="shared" si="340"/>
        <v>0</v>
      </c>
      <c r="DB37" s="401">
        <f t="shared" si="341"/>
        <v>0</v>
      </c>
      <c r="DC37" s="401">
        <f t="shared" si="342"/>
        <v>0</v>
      </c>
      <c r="DD37" s="402">
        <f t="shared" si="343"/>
        <v>0</v>
      </c>
      <c r="DE37" s="403">
        <f t="shared" si="344"/>
        <v>0</v>
      </c>
      <c r="DF37" s="400">
        <f t="shared" si="345"/>
        <v>0</v>
      </c>
      <c r="DG37" s="401">
        <f t="shared" si="346"/>
        <v>0</v>
      </c>
      <c r="DH37" s="401">
        <f t="shared" si="347"/>
        <v>0</v>
      </c>
      <c r="DI37" s="402">
        <f t="shared" si="348"/>
        <v>0</v>
      </c>
      <c r="DJ37" s="403">
        <f t="shared" si="349"/>
        <v>0</v>
      </c>
      <c r="DK37" s="400">
        <f t="shared" si="350"/>
        <v>0</v>
      </c>
      <c r="DL37" s="401">
        <f t="shared" si="351"/>
        <v>0</v>
      </c>
      <c r="DM37" s="401">
        <f t="shared" si="352"/>
        <v>9</v>
      </c>
      <c r="DN37" s="402">
        <f t="shared" si="353"/>
        <v>9</v>
      </c>
      <c r="DO37" s="403">
        <f t="shared" si="354"/>
        <v>18</v>
      </c>
      <c r="DP37" s="400">
        <f t="shared" si="355"/>
        <v>9</v>
      </c>
      <c r="DQ37" s="401">
        <f t="shared" si="356"/>
        <v>9</v>
      </c>
      <c r="DR37" s="401">
        <f t="shared" si="357"/>
        <v>0</v>
      </c>
      <c r="DS37" s="402">
        <f t="shared" si="358"/>
        <v>0</v>
      </c>
      <c r="DT37" s="403">
        <f t="shared" si="359"/>
        <v>18</v>
      </c>
    </row>
    <row r="38" spans="1:124" ht="12.75" customHeight="1" x14ac:dyDescent="0.2">
      <c r="C38" s="996" t="s">
        <v>674</v>
      </c>
      <c r="D38" s="52"/>
      <c r="E38" s="530">
        <f>+Parent!BQ49</f>
        <v>400</v>
      </c>
      <c r="F38" s="537"/>
      <c r="G38" s="537"/>
      <c r="H38" s="468">
        <v>2021</v>
      </c>
      <c r="I38" s="469">
        <v>4.4999999999999998E-2</v>
      </c>
      <c r="J38" s="470">
        <v>7</v>
      </c>
      <c r="K38" s="392"/>
      <c r="L38" s="393">
        <f t="shared" si="248"/>
        <v>0</v>
      </c>
      <c r="M38" s="394">
        <f t="shared" ref="M38" si="360">IF(Q38=0,0,IF(Q38&gt;0,IF($J38=3,Q38,IF($J38=2,Q38,IF($J38=1,Q38,0)))))</f>
        <v>0</v>
      </c>
      <c r="N38" s="395">
        <f t="shared" ref="N38" si="361">IF(Q38=0,0,IF(Q38&gt;0,IF($J38=6,Q38,IF($J38=5,Q38,IF($J38=4,Q38,0)))))</f>
        <v>0</v>
      </c>
      <c r="O38" s="395">
        <f t="shared" ref="O38" si="362">IF(Q38=0,0,IF(Q38&gt;0,IF($J38=9,Q38,IF($J38=8,Q38,IF($J38=7,Q38,0)))))</f>
        <v>0</v>
      </c>
      <c r="P38" s="396">
        <f t="shared" ref="P38" si="363">IF(Q38=0,0,IF(Q38&gt;0,IF($J38=12,Q38,IF($J38=11,Q38,IF($J38=10,Q38,0)))))</f>
        <v>0</v>
      </c>
      <c r="Q38" s="397">
        <f t="shared" si="253"/>
        <v>0</v>
      </c>
      <c r="R38" s="394">
        <f t="shared" ref="R38" si="364">IF(V38=0,0,IF(V38&gt;0,IF($J38=3,V38,IF($J38=2,V38,IF($J38=1,V38,0)))))</f>
        <v>0</v>
      </c>
      <c r="S38" s="395">
        <f t="shared" ref="S38" si="365">IF(V38=0,0,IF(V38&gt;0,IF($J38=6,V38,IF($J38=5,V38,IF($J38=4,V38,0)))))</f>
        <v>0</v>
      </c>
      <c r="T38" s="395">
        <f t="shared" ref="T38" si="366">IF(V38=0,0,IF(V38&gt;0,IF($J38=9,V38,IF($J38=8,V38,IF($J38=7,V38,0)))))</f>
        <v>0</v>
      </c>
      <c r="U38" s="396">
        <f t="shared" ref="U38" si="367">IF(V38=0,0,IF(V38&gt;0,IF($J38=12,V38,IF($J38=11,V38,IF($J38=10,V38,0)))))</f>
        <v>0</v>
      </c>
      <c r="V38" s="397">
        <f t="shared" si="258"/>
        <v>0</v>
      </c>
      <c r="W38" s="394">
        <f t="shared" ref="W38" si="368">IF(AA38=0,0,IF(AA38&gt;0,IF($J38=3,AA38,IF($J38=2,AA38,IF($J38=1,AA38,0)))))</f>
        <v>0</v>
      </c>
      <c r="X38" s="395">
        <f t="shared" ref="X38" si="369">IF(AA38=0,0,IF(AA38&gt;0,IF($J38=6,AA38,IF($J38=5,AA38,IF($J38=4,AA38,0)))))</f>
        <v>0</v>
      </c>
      <c r="Y38" s="395">
        <f t="shared" ref="Y38" si="370">IF(AA38=0,0,IF(AA38&gt;0,IF($J38=9,AA38,IF($J38=8,AA38,IF($J38=7,AA38,0)))))</f>
        <v>0</v>
      </c>
      <c r="Z38" s="396">
        <f t="shared" ref="Z38" si="371">IF(AA38=0,0,IF(AA38&gt;0,IF($J38=12,AA38,IF($J38=11,AA38,IF($J38=10,AA38,0)))))</f>
        <v>0</v>
      </c>
      <c r="AA38" s="397">
        <f t="shared" si="263"/>
        <v>0</v>
      </c>
      <c r="AB38" s="394">
        <f t="shared" ref="AB38" si="372">IF(AF38=0,0,IF(AF38&gt;0,IF($J38=3,AF38,IF($J38=2,AF38,IF($J38=1,AF38,0)))))</f>
        <v>0</v>
      </c>
      <c r="AC38" s="395">
        <f t="shared" ref="AC38" si="373">IF(AF38=0,0,IF(AF38&gt;0,IF($J38=6,AF38,IF($J38=5,AF38,IF($J38=4,AF38,0)))))</f>
        <v>0</v>
      </c>
      <c r="AD38" s="395">
        <f t="shared" ref="AD38" si="374">IF(AF38=0,0,IF(AF38&gt;0,IF($J38=9,AF38,IF($J38=8,AF38,IF($J38=7,AF38,0)))))</f>
        <v>0</v>
      </c>
      <c r="AE38" s="396">
        <f t="shared" ref="AE38" si="375">IF(AF38=0,0,IF(AF38&gt;0,IF($J38=12,AF38,IF($J38=11,AF38,IF($J38=10,AF38,0)))))</f>
        <v>0</v>
      </c>
      <c r="AF38" s="397">
        <f t="shared" si="268"/>
        <v>0</v>
      </c>
      <c r="AG38" s="394">
        <f t="shared" ref="AG38" si="376">IF(AK38=0,0,IF(AK38&gt;0,IF($J38=3,AK38,IF($J38=2,AK38,IF($J38=1,AK38,0)))))</f>
        <v>0</v>
      </c>
      <c r="AH38" s="395">
        <f t="shared" ref="AH38" si="377">IF(AK38=0,0,IF(AK38&gt;0,IF($J38=6,AK38,IF($J38=5,AK38,IF($J38=4,AK38,0)))))</f>
        <v>0</v>
      </c>
      <c r="AI38" s="395">
        <f t="shared" ref="AI38" si="378">IF(AK38=0,0,IF(AK38&gt;0,IF($J38=9,AK38,IF($J38=8,AK38,IF($J38=7,AK38,0)))))</f>
        <v>0</v>
      </c>
      <c r="AJ38" s="396">
        <f t="shared" ref="AJ38" si="379">IF(AK38=0,0,IF(AK38&gt;0,IF($J38=12,AK38,IF($J38=11,AK38,IF($J38=10,AK38,0)))))</f>
        <v>0</v>
      </c>
      <c r="AK38" s="397">
        <f t="shared" si="273"/>
        <v>0</v>
      </c>
      <c r="AL38" s="394">
        <f t="shared" ref="AL38" si="380">IF(AP38=0,0,IF(AP38&gt;0,IF($J38=3,AP38,IF($J38=2,AP38,IF($J38=1,AP38,0)))))</f>
        <v>0</v>
      </c>
      <c r="AM38" s="395">
        <f t="shared" ref="AM38" si="381">IF(AP38=0,0,IF(AP38&gt;0,IF($J38=6,AP38,IF($J38=5,AP38,IF($J38=4,AP38,0)))))</f>
        <v>0</v>
      </c>
      <c r="AN38" s="395">
        <f t="shared" ref="AN38" si="382">IF(AP38=0,0,IF(AP38&gt;0,IF($J38=9,AP38,IF($J38=8,AP38,IF($J38=7,AP38,0)))))</f>
        <v>0</v>
      </c>
      <c r="AO38" s="396">
        <f t="shared" ref="AO38" si="383">IF(AP38=0,0,IF(AP38&gt;0,IF($J38=12,AP38,IF($J38=11,AP38,IF($J38=10,AP38,0)))))</f>
        <v>0</v>
      </c>
      <c r="AP38" s="397">
        <f t="shared" si="278"/>
        <v>0</v>
      </c>
      <c r="AQ38" s="394">
        <f t="shared" ref="AQ38" si="384">IF(AU38=0,0,IF(AU38&gt;0,IF($J38=3,AU38,IF($J38=2,AU38,IF($J38=1,AU38,0)))))</f>
        <v>0</v>
      </c>
      <c r="AR38" s="395">
        <f t="shared" ref="AR38" si="385">IF(AU38=0,0,IF(AU38&gt;0,IF($J38=6,AU38,IF($J38=5,AU38,IF($J38=4,AU38,0)))))</f>
        <v>0</v>
      </c>
      <c r="AS38" s="395">
        <f t="shared" ref="AS38" si="386">IF(AU38=0,0,IF(AU38&gt;0,IF($J38=9,AU38,IF($J38=8,AU38,IF($J38=7,AU38,0)))))</f>
        <v>0</v>
      </c>
      <c r="AT38" s="396">
        <f t="shared" ref="AT38" si="387">IF(AU38=0,0,IF(AU38&gt;0,IF($J38=12,AU38,IF($J38=11,AU38,IF($J38=10,AU38,0)))))</f>
        <v>0</v>
      </c>
      <c r="AU38" s="397">
        <f t="shared" si="283"/>
        <v>0</v>
      </c>
      <c r="AV38" s="394">
        <f t="shared" ref="AV38" si="388">IF(AZ38=0,0,IF(AZ38&gt;0,IF($J38=3,AZ38,IF($J38=2,AZ38,IF($J38=1,AZ38,0)))))</f>
        <v>0</v>
      </c>
      <c r="AW38" s="395">
        <f t="shared" ref="AW38" si="389">IF(AZ38=0,0,IF(AZ38&gt;0,IF($J38=6,AZ38,IF($J38=5,AZ38,IF($J38=4,AZ38,0)))))</f>
        <v>0</v>
      </c>
      <c r="AX38" s="395">
        <f t="shared" ref="AX38" si="390">IF(AZ38=0,0,IF(AZ38&gt;0,IF($J38=9,AZ38,IF($J38=8,AZ38,IF($J38=7,AZ38,0)))))</f>
        <v>0</v>
      </c>
      <c r="AY38" s="396">
        <f t="shared" ref="AY38" si="391">IF(AZ38=0,0,IF(AZ38&gt;0,IF($J38=12,AZ38,IF($J38=11,AZ38,IF($J38=10,AZ38,0)))))</f>
        <v>0</v>
      </c>
      <c r="AZ38" s="397">
        <f t="shared" si="288"/>
        <v>0</v>
      </c>
      <c r="BA38" s="394">
        <f t="shared" ref="BA38" si="392">IF(BE38=0,0,IF(BE38&gt;0,IF($J38=3,BE38,IF($J38=2,BE38,IF($J38=1,BE38,0)))))</f>
        <v>0</v>
      </c>
      <c r="BB38" s="395">
        <f t="shared" ref="BB38" si="393">IF(BE38=0,0,IF(BE38&gt;0,IF($J38=6,BE38,IF($J38=5,BE38,IF($J38=4,BE38,0)))))</f>
        <v>0</v>
      </c>
      <c r="BC38" s="395">
        <f t="shared" ref="BC38" si="394">IF(BE38=0,0,IF(BE38&gt;0,IF($J38=9,BE38,IF($J38=8,BE38,IF($J38=7,BE38,0)))))</f>
        <v>0</v>
      </c>
      <c r="BD38" s="396">
        <f t="shared" ref="BD38" si="395">IF(BE38=0,0,IF(BE38&gt;0,IF($J38=12,BE38,IF($J38=11,BE38,IF($J38=10,BE38,0)))))</f>
        <v>0</v>
      </c>
      <c r="BE38" s="397">
        <f t="shared" si="293"/>
        <v>0</v>
      </c>
      <c r="BF38" s="394">
        <f t="shared" ref="BF38" si="396">IF(BJ38=0,0,IF(BJ38&gt;0,IF($J38=3,BJ38,IF($J38=2,BJ38,IF($J38=1,BJ38,0)))))</f>
        <v>0</v>
      </c>
      <c r="BG38" s="395">
        <f t="shared" ref="BG38" si="397">IF(BJ38=0,0,IF(BJ38&gt;0,IF($J38=6,BJ38,IF($J38=5,BJ38,IF($J38=4,BJ38,0)))))</f>
        <v>0</v>
      </c>
      <c r="BH38" s="395">
        <f t="shared" ref="BH38" si="398">IF(BJ38=0,0,IF(BJ38&gt;0,IF($J38=9,BJ38,IF($J38=8,BJ38,IF($J38=7,BJ38,0)))))</f>
        <v>0</v>
      </c>
      <c r="BI38" s="396">
        <f t="shared" ref="BI38" si="399">IF(BJ38=0,0,IF(BJ38&gt;0,IF($J38=12,BJ38,IF($J38=11,BJ38,IF($J38=10,BJ38,0)))))</f>
        <v>0</v>
      </c>
      <c r="BJ38" s="397">
        <f t="shared" si="298"/>
        <v>0</v>
      </c>
      <c r="BK38" s="394">
        <f t="shared" ref="BK38" si="400">IF(BO38=0,0,IF(BO38&gt;0,IF($J38=3,BO38,IF($J38=2,BO38,IF($J38=1,BO38,0)))))</f>
        <v>0</v>
      </c>
      <c r="BL38" s="395">
        <f t="shared" ref="BL38" si="401">IF(BO38=0,0,IF(BO38&gt;0,IF($J38=6,BO38,IF($J38=5,BO38,IF($J38=4,BO38,0)))))</f>
        <v>0</v>
      </c>
      <c r="BM38" s="395">
        <f t="shared" ref="BM38" si="402">IF(BO38=0,0,IF(BO38&gt;0,IF($J38=9,BO38,IF($J38=8,BO38,IF($J38=7,BO38,0)))))</f>
        <v>400</v>
      </c>
      <c r="BN38" s="396">
        <f t="shared" ref="BN38" si="403">IF(BO38=0,0,IF(BO38&gt;0,IF($J38=12,BO38,IF($J38=11,BO38,IF($J38=10,BO38,0)))))</f>
        <v>0</v>
      </c>
      <c r="BO38" s="397">
        <f t="shared" si="303"/>
        <v>400</v>
      </c>
      <c r="BP38" s="445"/>
      <c r="BQ38" s="399">
        <f t="shared" ref="BQ38" si="404">IF(AND(BP38&lt;&gt;0,BP$5=$H38),$I38*$E38-BP38,IF(BQ$5=$H38,$I38*$E38*(12-$J38+1)/12,0))</f>
        <v>0</v>
      </c>
      <c r="BR38" s="400">
        <f t="shared" ref="BR38" si="405">IF($H38&lt;&gt;BV$5,0,IF(BV38&gt;0,IF($J38=1,$E38*$I38/12*3,IF($J38=2,$E38*$I38/12*2,IF($J38=3,$E38*$I38/12*1,0)))))+IF(BQ$5&lt;&gt;$H38,0,IF(BQ38&gt;0,IF($J38=1,$E38*$I38/12*0,IF($J38=2,$E38*$I38/12*1,IF($J38=3,$E38*$I38/12*2,IF($J38&gt;=4,$E38*$I38/12*3,0))))))</f>
        <v>0</v>
      </c>
      <c r="BS38" s="401">
        <f t="shared" ref="BS38" si="406">IF($H38&lt;&gt;BV$5,0,IF(BV38&gt;0,IF(OR($J38=1,$J38=2,$J38=3,$J38=4),$E38*$I38/12*3,IF($J38=5,$E38*$I38/12*2,IF($J38=6,$E38*$I38/12*1,0)))))+IF(BQ$5&lt;&gt;$H38,0,IF(BQ38&gt;0,IF($J38=4,$E38*$I38/12*0,IF($J38=5,$E38*$I38/12*1,IF($J38=6,$E38*$I38/12*2,IF($J38&gt;=7,$E38*$I38/12*3,0))))))</f>
        <v>0</v>
      </c>
      <c r="BT38" s="401">
        <f t="shared" ref="BT38" si="407">IF($H38&lt;&gt;BV$5,0,IF(BV38&gt;0,IF(OR($J38=1,$J38=2,$J38=3,$J38=4,$J38=5,$J38=6,$J38=7),$E38*$I38/12*3,IF($J38=8,$E38*$I38/12*2,IF($J38=9,$E38*$I38/12*1,0)))))+IF(BQ$5&lt;&gt;$H38,0,IF(BQ38&gt;0,IF($J38=7,$E38*$I38/12*0,IF($J38=8,$E38*$I38/12*1,IF($J38=9,$E38*$I38/12*2,IF($J38&gt;=10,$E38*$I38/12*3,0))))))</f>
        <v>0</v>
      </c>
      <c r="BU38" s="402">
        <f t="shared" ref="BU38" si="408">IF($H38&lt;&gt;BV$5,0,IF(BV38&gt;0,IF(OR($J38=1,$J38=2,$J38=3,$J38=4,$J38=5,$J38=6,$J38=7,$J38=8,$J38=9,$J38=10),$E38*$I38/12*3,IF($J38=11,$E38*$I38/12*2,IF($J38=12,$E38*$I38/12*1,0)))))+IF(BQ$5&lt;&gt;$H38,0,IF(BQ38&gt;0,IF($J38=10,$E38*$I38/12*0,IF($J38=11,$E38*$I38/12*1,IF($J38=12,$E38*$I38/12*2,0)))))</f>
        <v>0</v>
      </c>
      <c r="BV38" s="403">
        <f t="shared" ref="BV38" si="409">IF(AND(BQ38&lt;&gt;0,BQ$5=$H38),$I38*$E38-BQ38,IF(BV$5=$H38,$I38*$E38*(12-$J38+1)/12,0))</f>
        <v>0</v>
      </c>
      <c r="BW38" s="400">
        <f t="shared" ref="BW38" si="410">IF($H38&lt;&gt;CA$5,0,IF(CA38&gt;0,IF($J38=1,$E38*$I38/12*3,IF($J38=2,$E38*$I38/12*2,IF($J38=3,$E38*$I38/12*1,0)))))+IF(BV$5&lt;&gt;$H38,0,IF(BV38&gt;0,IF($J38=1,$E38*$I38/12*0,IF($J38=2,$E38*$I38/12*1,IF($J38=3,$E38*$I38/12*2,IF($J38&gt;=4,$E38*$I38/12*3,0))))))</f>
        <v>0</v>
      </c>
      <c r="BX38" s="401">
        <f t="shared" ref="BX38" si="411">IF($H38&lt;&gt;CA$5,0,IF(CA38&gt;0,IF(OR($J38=1,$J38=2,$J38=3,$J38=4),$E38*$I38/12*3,IF($J38=5,$E38*$I38/12*2,IF($J38=6,$E38*$I38/12*1,0)))))+IF(BV$5&lt;&gt;$H38,0,IF(BV38&gt;0,IF($J38=4,$E38*$I38/12*0,IF($J38=5,$E38*$I38/12*1,IF($J38=6,$E38*$I38/12*2,IF($J38&gt;=7,$E38*$I38/12*3,0))))))</f>
        <v>0</v>
      </c>
      <c r="BY38" s="401">
        <f t="shared" ref="BY38" si="412">IF($H38&lt;&gt;CA$5,0,IF(CA38&gt;0,IF(OR($J38=1,$J38=2,$J38=3,$J38=4,$J38=5,$J38=6,$J38=7),$E38*$I38/12*3,IF($J38=8,$E38*$I38/12*2,IF($J38=9,$E38*$I38/12*1,0)))))+IF(BV$5&lt;&gt;$H38,0,IF(BV38&gt;0,IF($J38=7,$E38*$I38/12*0,IF($J38=8,$E38*$I38/12*1,IF($J38=9,$E38*$I38/12*2,IF($J38&gt;=10,$E38*$I38/12*3,0))))))</f>
        <v>0</v>
      </c>
      <c r="BZ38" s="402">
        <f t="shared" ref="BZ38" si="413">IF($H38&lt;&gt;CA$5,0,IF(CA38&gt;0,IF(OR($J38=1,$J38=2,$J38=3,$J38=4,$J38=5,$J38=6,$J38=7,$J38=8,$J38=9,$J38=10),$E38*$I38/12*3,IF($J38=11,$E38*$I38/12*2,IF($J38=12,$E38*$I38/12*1,0)))))+IF(BV$5&lt;&gt;$H38,0,IF(BV38&gt;0,IF($J38=10,$E38*$I38/12*0,IF($J38=11,$E38*$I38/12*1,IF($J38=12,$E38*$I38/12*2,0)))))</f>
        <v>0</v>
      </c>
      <c r="CA38" s="403">
        <f t="shared" ref="CA38" si="414">IF(AND(BV38&lt;&gt;0,BV$5=$H38),$I38*$E38-BV38,IF(CA$5=$H38,$I38*$E38*(12-$J38+1)/12,0))</f>
        <v>0</v>
      </c>
      <c r="CB38" s="400">
        <f t="shared" ref="CB38" si="415">IF($H38&lt;&gt;CF$5,0,IF(CF38&gt;0,IF($J38=1,$E38*$I38/12*3,IF($J38=2,$E38*$I38/12*2,IF($J38=3,$E38*$I38/12*1,0)))))+IF(CA$5&lt;&gt;$H38,0,IF(CA38&gt;0,IF($J38=1,$E38*$I38/12*0,IF($J38=2,$E38*$I38/12*1,IF($J38=3,$E38*$I38/12*2,IF($J38&gt;=4,$E38*$I38/12*3,0))))))</f>
        <v>0</v>
      </c>
      <c r="CC38" s="401">
        <f t="shared" ref="CC38" si="416">IF($H38&lt;&gt;CF$5,0,IF(CF38&gt;0,IF(OR($J38=1,$J38=2,$J38=3,$J38=4),$E38*$I38/12*3,IF($J38=5,$E38*$I38/12*2,IF($J38=6,$E38*$I38/12*1,0)))))+IF(CA$5&lt;&gt;$H38,0,IF(CA38&gt;0,IF($J38=4,$E38*$I38/12*0,IF($J38=5,$E38*$I38/12*1,IF($J38=6,$E38*$I38/12*2,IF($J38&gt;=7,$E38*$I38/12*3,0))))))</f>
        <v>0</v>
      </c>
      <c r="CD38" s="401">
        <f t="shared" ref="CD38" si="417">IF($H38&lt;&gt;CF$5,0,IF(CF38&gt;0,IF(OR($J38=1,$J38=2,$J38=3,$J38=4,$J38=5,$J38=6,$J38=7),$E38*$I38/12*3,IF($J38=8,$E38*$I38/12*2,IF($J38=9,$E38*$I38/12*1,0)))))+IF(CA$5&lt;&gt;$H38,0,IF(CA38&gt;0,IF($J38=7,$E38*$I38/12*0,IF($J38=8,$E38*$I38/12*1,IF($J38=9,$E38*$I38/12*2,IF($J38&gt;=10,$E38*$I38/12*3,0))))))</f>
        <v>0</v>
      </c>
      <c r="CE38" s="402">
        <f t="shared" ref="CE38" si="418">IF($H38&lt;&gt;CF$5,0,IF(CF38&gt;0,IF(OR($J38=1,$J38=2,$J38=3,$J38=4,$J38=5,$J38=6,$J38=7,$J38=8,$J38=9,$J38=10),$E38*$I38/12*3,IF($J38=11,$E38*$I38/12*2,IF($J38=12,$E38*$I38/12*1,0)))))+IF(CA$5&lt;&gt;$H38,0,IF(CA38&gt;0,IF($J38=10,$E38*$I38/12*0,IF($J38=11,$E38*$I38/12*1,IF($J38=12,$E38*$I38/12*2,0)))))</f>
        <v>0</v>
      </c>
      <c r="CF38" s="403">
        <f t="shared" ref="CF38" si="419">IF(AND(CA38&lt;&gt;0,CA$5=$H38),$I38*$E38-CA38,IF(CF$5=$H38,$I38*$E38*(12-$J38+1)/12,0))</f>
        <v>0</v>
      </c>
      <c r="CG38" s="400">
        <f t="shared" ref="CG38" si="420">IF($H38&lt;&gt;CK$5,0,IF(CK38&gt;0,IF($J38=1,$E38*$I38/12*3,IF($J38=2,$E38*$I38/12*2,IF($J38=3,$E38*$I38/12*1,0)))))+IF(CF$5&lt;&gt;$H38,0,IF(CF38&gt;0,IF($J38=1,$E38*$I38/12*0,IF($J38=2,$E38*$I38/12*1,IF($J38=3,$E38*$I38/12*2,IF($J38&gt;=4,$E38*$I38/12*3,0))))))</f>
        <v>0</v>
      </c>
      <c r="CH38" s="401">
        <f t="shared" ref="CH38" si="421">IF($H38&lt;&gt;CK$5,0,IF(CK38&gt;0,IF(OR($J38=1,$J38=2,$J38=3,$J38=4),$E38*$I38/12*3,IF($J38=5,$E38*$I38/12*2,IF($J38=6,$E38*$I38/12*1,0)))))+IF(CF$5&lt;&gt;$H38,0,IF(CF38&gt;0,IF($J38=4,$E38*$I38/12*0,IF($J38=5,$E38*$I38/12*1,IF($J38=6,$E38*$I38/12*2,IF($J38&gt;=7,$E38*$I38/12*3,0))))))</f>
        <v>0</v>
      </c>
      <c r="CI38" s="401">
        <f t="shared" ref="CI38" si="422">IF($H38&lt;&gt;CK$5,0,IF(CK38&gt;0,IF(OR($J38=1,$J38=2,$J38=3,$J38=4,$J38=5,$J38=6,$J38=7),$E38*$I38/12*3,IF($J38=8,$E38*$I38/12*2,IF($J38=9,$E38*$I38/12*1,0)))))+IF(CF$5&lt;&gt;$H38,0,IF(CF38&gt;0,IF($J38=7,$E38*$I38/12*0,IF($J38=8,$E38*$I38/12*1,IF($J38=9,$E38*$I38/12*2,IF($J38&gt;=10,$E38*$I38/12*3,0))))))</f>
        <v>0</v>
      </c>
      <c r="CJ38" s="402">
        <f t="shared" ref="CJ38" si="423">IF($H38&lt;&gt;CK$5,0,IF(CK38&gt;0,IF(OR($J38=1,$J38=2,$J38=3,$J38=4,$J38=5,$J38=6,$J38=7,$J38=8,$J38=9,$J38=10),$E38*$I38/12*3,IF($J38=11,$E38*$I38/12*2,IF($J38=12,$E38*$I38/12*1,0)))))+IF(CF$5&lt;&gt;$H38,0,IF(CF38&gt;0,IF($J38=10,$E38*$I38/12*0,IF($J38=11,$E38*$I38/12*1,IF($J38=12,$E38*$I38/12*2,0)))))</f>
        <v>0</v>
      </c>
      <c r="CK38" s="403">
        <f t="shared" ref="CK38" si="424">IF(AND(CF38&lt;&gt;0,CF$5=$H38),$I38*$E38-CF38,IF(CK$5=$H38,$I38*$E38*(12-$J38+1)/12,0))</f>
        <v>0</v>
      </c>
      <c r="CL38" s="400">
        <f t="shared" ref="CL38" si="425">IF($H38&lt;&gt;CP$5,0,IF(CP38&gt;0,IF($J38=1,$E38*$I38/12*3,IF($J38=2,$E38*$I38/12*2,IF($J38=3,$E38*$I38/12*1,0)))))+IF(CK$5&lt;&gt;$H38,0,IF(CK38&gt;0,IF($J38=1,$E38*$I38/12*0,IF($J38=2,$E38*$I38/12*1,IF($J38=3,$E38*$I38/12*2,IF($J38&gt;=4,$E38*$I38/12*3,0))))))</f>
        <v>0</v>
      </c>
      <c r="CM38" s="401">
        <f t="shared" ref="CM38" si="426">IF($H38&lt;&gt;CP$5,0,IF(CP38&gt;0,IF(OR($J38=1,$J38=2,$J38=3,$J38=4),$E38*$I38/12*3,IF($J38=5,$E38*$I38/12*2,IF($J38=6,$E38*$I38/12*1,0)))))+IF(CK$5&lt;&gt;$H38,0,IF(CK38&gt;0,IF($J38=4,$E38*$I38/12*0,IF($J38=5,$E38*$I38/12*1,IF($J38=6,$E38*$I38/12*2,IF($J38&gt;=7,$E38*$I38/12*3,0))))))</f>
        <v>0</v>
      </c>
      <c r="CN38" s="401">
        <f t="shared" ref="CN38" si="427">IF($H38&lt;&gt;CP$5,0,IF(CP38&gt;0,IF(OR($J38=1,$J38=2,$J38=3,$J38=4,$J38=5,$J38=6,$J38=7),$E38*$I38/12*3,IF($J38=8,$E38*$I38/12*2,IF($J38=9,$E38*$I38/12*1,0)))))+IF(CK$5&lt;&gt;$H38,0,IF(CK38&gt;0,IF($J38=7,$E38*$I38/12*0,IF($J38=8,$E38*$I38/12*1,IF($J38=9,$E38*$I38/12*2,IF($J38&gt;=10,$E38*$I38/12*3,0))))))</f>
        <v>0</v>
      </c>
      <c r="CO38" s="402">
        <f t="shared" ref="CO38" si="428">IF($H38&lt;&gt;CP$5,0,IF(CP38&gt;0,IF(OR($J38=1,$J38=2,$J38=3,$J38=4,$J38=5,$J38=6,$J38=7,$J38=8,$J38=9,$J38=10),$E38*$I38/12*3,IF($J38=11,$E38*$I38/12*2,IF($J38=12,$E38*$I38/12*1,0)))))+IF(CK$5&lt;&gt;$H38,0,IF(CK38&gt;0,IF($J38=10,$E38*$I38/12*0,IF($J38=11,$E38*$I38/12*1,IF($J38=12,$E38*$I38/12*2,0)))))</f>
        <v>0</v>
      </c>
      <c r="CP38" s="403">
        <f t="shared" ref="CP38" si="429">IF(AND(CK38&lt;&gt;0,CK$5=$H38),$I38*$E38-CK38,IF(CP$5=$H38,$I38*$E38*(12-$J38+1)/12,0))</f>
        <v>0</v>
      </c>
      <c r="CQ38" s="400">
        <f t="shared" ref="CQ38" si="430">IF($H38&lt;&gt;CU$5,0,IF(CU38&gt;0,IF($J38=1,$E38*$I38/12*3,IF($J38=2,$E38*$I38/12*2,IF($J38=3,$E38*$I38/12*1,0)))))+IF(CP$5&lt;&gt;$H38,0,IF(CP38&gt;0,IF($J38=1,$E38*$I38/12*0,IF($J38=2,$E38*$I38/12*1,IF($J38=3,$E38*$I38/12*2,IF($J38&gt;=4,$E38*$I38/12*3,0))))))</f>
        <v>0</v>
      </c>
      <c r="CR38" s="401">
        <f t="shared" ref="CR38" si="431">IF($H38&lt;&gt;CU$5,0,IF(CU38&gt;0,IF(OR($J38=1,$J38=2,$J38=3,$J38=4),$E38*$I38/12*3,IF($J38=5,$E38*$I38/12*2,IF($J38=6,$E38*$I38/12*1,0)))))+IF(CP$5&lt;&gt;$H38,0,IF(CP38&gt;0,IF($J38=4,$E38*$I38/12*0,IF($J38=5,$E38*$I38/12*1,IF($J38=6,$E38*$I38/12*2,IF($J38&gt;=7,$E38*$I38/12*3,0))))))</f>
        <v>0</v>
      </c>
      <c r="CS38" s="401">
        <f t="shared" ref="CS38" si="432">IF($H38&lt;&gt;CU$5,0,IF(CU38&gt;0,IF(OR($J38=1,$J38=2,$J38=3,$J38=4,$J38=5,$J38=6,$J38=7),$E38*$I38/12*3,IF($J38=8,$E38*$I38/12*2,IF($J38=9,$E38*$I38/12*1,0)))))+IF(CP$5&lt;&gt;$H38,0,IF(CP38&gt;0,IF($J38=7,$E38*$I38/12*0,IF($J38=8,$E38*$I38/12*1,IF($J38=9,$E38*$I38/12*2,IF($J38&gt;=10,$E38*$I38/12*3,0))))))</f>
        <v>0</v>
      </c>
      <c r="CT38" s="402">
        <f t="shared" ref="CT38" si="433">IF($H38&lt;&gt;CU$5,0,IF(CU38&gt;0,IF(OR($J38=1,$J38=2,$J38=3,$J38=4,$J38=5,$J38=6,$J38=7,$J38=8,$J38=9,$J38=10),$E38*$I38/12*3,IF($J38=11,$E38*$I38/12*2,IF($J38=12,$E38*$I38/12*1,0)))))+IF(CP$5&lt;&gt;$H38,0,IF(CP38&gt;0,IF($J38=10,$E38*$I38/12*0,IF($J38=11,$E38*$I38/12*1,IF($J38=12,$E38*$I38/12*2,0)))))</f>
        <v>0</v>
      </c>
      <c r="CU38" s="403">
        <f t="shared" ref="CU38" si="434">IF(AND(CP38&lt;&gt;0,CP$5=$H38),$I38*$E38-CP38,IF(CU$5=$H38,$I38*$E38*(12-$J38+1)/12,0))</f>
        <v>0</v>
      </c>
      <c r="CV38" s="400">
        <f t="shared" ref="CV38" si="435">IF($H38&lt;&gt;CZ$5,0,IF(CZ38&gt;0,IF($J38=1,$E38*$I38/12*3,IF($J38=2,$E38*$I38/12*2,IF($J38=3,$E38*$I38/12*1,0)))))+IF(CU$5&lt;&gt;$H38,0,IF(CU38&gt;0,IF($J38=1,$E38*$I38/12*0,IF($J38=2,$E38*$I38/12*1,IF($J38=3,$E38*$I38/12*2,IF($J38&gt;=4,$E38*$I38/12*3,0))))))</f>
        <v>0</v>
      </c>
      <c r="CW38" s="401">
        <f t="shared" ref="CW38" si="436">IF($H38&lt;&gt;CZ$5,0,IF(CZ38&gt;0,IF(OR($J38=1,$J38=2,$J38=3,$J38=4),$E38*$I38/12*3,IF($J38=5,$E38*$I38/12*2,IF($J38=6,$E38*$I38/12*1,0)))))+IF(CU$5&lt;&gt;$H38,0,IF(CU38&gt;0,IF($J38=4,$E38*$I38/12*0,IF($J38=5,$E38*$I38/12*1,IF($J38=6,$E38*$I38/12*2,IF($J38&gt;=7,$E38*$I38/12*3,0))))))</f>
        <v>0</v>
      </c>
      <c r="CX38" s="401">
        <f t="shared" ref="CX38" si="437">IF($H38&lt;&gt;CZ$5,0,IF(CZ38&gt;0,IF(OR($J38=1,$J38=2,$J38=3,$J38=4,$J38=5,$J38=6,$J38=7),$E38*$I38/12*3,IF($J38=8,$E38*$I38/12*2,IF($J38=9,$E38*$I38/12*1,0)))))+IF(CU$5&lt;&gt;$H38,0,IF(CU38&gt;0,IF($J38=7,$E38*$I38/12*0,IF($J38=8,$E38*$I38/12*1,IF($J38=9,$E38*$I38/12*2,IF($J38&gt;=10,$E38*$I38/12*3,0))))))</f>
        <v>0</v>
      </c>
      <c r="CY38" s="402">
        <f t="shared" ref="CY38" si="438">IF($H38&lt;&gt;CZ$5,0,IF(CZ38&gt;0,IF(OR($J38=1,$J38=2,$J38=3,$J38=4,$J38=5,$J38=6,$J38=7,$J38=8,$J38=9,$J38=10),$E38*$I38/12*3,IF($J38=11,$E38*$I38/12*2,IF($J38=12,$E38*$I38/12*1,0)))))+IF(CU$5&lt;&gt;$H38,0,IF(CU38&gt;0,IF($J38=10,$E38*$I38/12*0,IF($J38=11,$E38*$I38/12*1,IF($J38=12,$E38*$I38/12*2,0)))))</f>
        <v>0</v>
      </c>
      <c r="CZ38" s="403">
        <f t="shared" ref="CZ38" si="439">IF(AND(CU38&lt;&gt;0,CU$5=$H38),$I38*$E38-CU38,IF(CZ$5=$H38,$I38*$E38*(12-$J38+1)/12,0))</f>
        <v>0</v>
      </c>
      <c r="DA38" s="400">
        <f t="shared" ref="DA38" si="440">IF($H38&lt;&gt;DE$5,0,IF(DE38&gt;0,IF($J38=1,$E38*$I38/12*3,IF($J38=2,$E38*$I38/12*2,IF($J38=3,$E38*$I38/12*1,0)))))+IF(CZ$5&lt;&gt;$H38,0,IF(CZ38&gt;0,IF($J38=1,$E38*$I38/12*0,IF($J38=2,$E38*$I38/12*1,IF($J38=3,$E38*$I38/12*2,IF($J38&gt;=4,$E38*$I38/12*3,0))))))</f>
        <v>0</v>
      </c>
      <c r="DB38" s="401">
        <f t="shared" ref="DB38" si="441">IF($H38&lt;&gt;DE$5,0,IF(DE38&gt;0,IF(OR($J38=1,$J38=2,$J38=3,$J38=4),$E38*$I38/12*3,IF($J38=5,$E38*$I38/12*2,IF($J38=6,$E38*$I38/12*1,0)))))+IF(CZ$5&lt;&gt;$H38,0,IF(CZ38&gt;0,IF($J38=4,$E38*$I38/12*0,IF($J38=5,$E38*$I38/12*1,IF($J38=6,$E38*$I38/12*2,IF($J38&gt;=7,$E38*$I38/12*3,0))))))</f>
        <v>0</v>
      </c>
      <c r="DC38" s="401">
        <f t="shared" ref="DC38" si="442">IF($H38&lt;&gt;DE$5,0,IF(DE38&gt;0,IF(OR($J38=1,$J38=2,$J38=3,$J38=4,$J38=5,$J38=6,$J38=7),$E38*$I38/12*3,IF($J38=8,$E38*$I38/12*2,IF($J38=9,$E38*$I38/12*1,0)))))+IF(CZ$5&lt;&gt;$H38,0,IF(CZ38&gt;0,IF($J38=7,$E38*$I38/12*0,IF($J38=8,$E38*$I38/12*1,IF($J38=9,$E38*$I38/12*2,IF($J38&gt;=10,$E38*$I38/12*3,0))))))</f>
        <v>0</v>
      </c>
      <c r="DD38" s="402">
        <f t="shared" ref="DD38" si="443">IF($H38&lt;&gt;DE$5,0,IF(DE38&gt;0,IF(OR($J38=1,$J38=2,$J38=3,$J38=4,$J38=5,$J38=6,$J38=7,$J38=8,$J38=9,$J38=10),$E38*$I38/12*3,IF($J38=11,$E38*$I38/12*2,IF($J38=12,$E38*$I38/12*1,0)))))+IF(CZ$5&lt;&gt;$H38,0,IF(CZ38&gt;0,IF($J38=10,$E38*$I38/12*0,IF($J38=11,$E38*$I38/12*1,IF($J38=12,$E38*$I38/12*2,0)))))</f>
        <v>0</v>
      </c>
      <c r="DE38" s="403">
        <f t="shared" ref="DE38" si="444">IF(AND(CZ38&lt;&gt;0,CZ$5=$H38),$I38*$E38-CZ38,IF(DE$5=$H38,$I38*$E38*(12-$J38+1)/12,0))</f>
        <v>0</v>
      </c>
      <c r="DF38" s="400">
        <f t="shared" ref="DF38" si="445">IF($H38&lt;&gt;DJ$5,0,IF(DJ38&gt;0,IF($J38=1,$E38*$I38/12*3,IF($J38=2,$E38*$I38/12*2,IF($J38=3,$E38*$I38/12*1,0)))))+IF(DE$5&lt;&gt;$H38,0,IF(DE38&gt;0,IF($J38=1,$E38*$I38/12*0,IF($J38=2,$E38*$I38/12*1,IF($J38=3,$E38*$I38/12*2,IF($J38&gt;=4,$E38*$I38/12*3,0))))))</f>
        <v>0</v>
      </c>
      <c r="DG38" s="401">
        <f t="shared" ref="DG38" si="446">IF($H38&lt;&gt;DJ$5,0,IF(DJ38&gt;0,IF(OR($J38=1,$J38=2,$J38=3,$J38=4),$E38*$I38/12*3,IF($J38=5,$E38*$I38/12*2,IF($J38=6,$E38*$I38/12*1,0)))))+IF(DE$5&lt;&gt;$H38,0,IF(DE38&gt;0,IF($J38=4,$E38*$I38/12*0,IF($J38=5,$E38*$I38/12*1,IF($J38=6,$E38*$I38/12*2,IF($J38&gt;=7,$E38*$I38/12*3,0))))))</f>
        <v>0</v>
      </c>
      <c r="DH38" s="401">
        <f t="shared" ref="DH38" si="447">IF($H38&lt;&gt;DJ$5,0,IF(DJ38&gt;0,IF(OR($J38=1,$J38=2,$J38=3,$J38=4,$J38=5,$J38=6,$J38=7),$E38*$I38/12*3,IF($J38=8,$E38*$I38/12*2,IF($J38=9,$E38*$I38/12*1,0)))))+IF(DE$5&lt;&gt;$H38,0,IF(DE38&gt;0,IF($J38=7,$E38*$I38/12*0,IF($J38=8,$E38*$I38/12*1,IF($J38=9,$E38*$I38/12*2,IF($J38&gt;=10,$E38*$I38/12*3,0))))))</f>
        <v>0</v>
      </c>
      <c r="DI38" s="402">
        <f t="shared" ref="DI38" si="448">IF($H38&lt;&gt;DJ$5,0,IF(DJ38&gt;0,IF(OR($J38=1,$J38=2,$J38=3,$J38=4,$J38=5,$J38=6,$J38=7,$J38=8,$J38=9,$J38=10),$E38*$I38/12*3,IF($J38=11,$E38*$I38/12*2,IF($J38=12,$E38*$I38/12*1,0)))))+IF(DE$5&lt;&gt;$H38,0,IF(DE38&gt;0,IF($J38=10,$E38*$I38/12*0,IF($J38=11,$E38*$I38/12*1,IF($J38=12,$E38*$I38/12*2,0)))))</f>
        <v>0</v>
      </c>
      <c r="DJ38" s="403">
        <f t="shared" ref="DJ38" si="449">IF(AND(DE38&lt;&gt;0,DE$5=$H38),$I38*$E38-DE38,IF(DJ$5=$H38,$I38*$E38*(12-$J38+1)/12,0))</f>
        <v>0</v>
      </c>
      <c r="DK38" s="400">
        <f t="shared" ref="DK38" si="450">IF($H38&lt;&gt;DO$5,0,IF(DO38&gt;0,IF($J38=1,$E38*$I38/12*3,IF($J38=2,$E38*$I38/12*2,IF($J38=3,$E38*$I38/12*1,0)))))+IF(DJ$5&lt;&gt;$H38,0,IF(DJ38&gt;0,IF($J38=1,$E38*$I38/12*0,IF($J38=2,$E38*$I38/12*1,IF($J38=3,$E38*$I38/12*2,IF($J38&gt;=4,$E38*$I38/12*3,0))))))</f>
        <v>0</v>
      </c>
      <c r="DL38" s="401">
        <f t="shared" ref="DL38" si="451">IF($H38&lt;&gt;DO$5,0,IF(DO38&gt;0,IF(OR($J38=1,$J38=2,$J38=3,$J38=4),$E38*$I38/12*3,IF($J38=5,$E38*$I38/12*2,IF($J38=6,$E38*$I38/12*1,0)))))+IF(DJ$5&lt;&gt;$H38,0,IF(DJ38&gt;0,IF($J38=4,$E38*$I38/12*0,IF($J38=5,$E38*$I38/12*1,IF($J38=6,$E38*$I38/12*2,IF($J38&gt;=7,$E38*$I38/12*3,0))))))</f>
        <v>0</v>
      </c>
      <c r="DM38" s="401">
        <f t="shared" ref="DM38" si="452">IF($H38&lt;&gt;DO$5,0,IF(DO38&gt;0,IF(OR($J38=1,$J38=2,$J38=3,$J38=4,$J38=5,$J38=6,$J38=7),$E38*$I38/12*3,IF($J38=8,$E38*$I38/12*2,IF($J38=9,$E38*$I38/12*1,0)))))+IF(DJ$5&lt;&gt;$H38,0,IF(DJ38&gt;0,IF($J38=7,$E38*$I38/12*0,IF($J38=8,$E38*$I38/12*1,IF($J38=9,$E38*$I38/12*2,IF($J38&gt;=10,$E38*$I38/12*3,0))))))</f>
        <v>0</v>
      </c>
      <c r="DN38" s="402">
        <f t="shared" ref="DN38" si="453">IF($H38&lt;&gt;DO$5,0,IF(DO38&gt;0,IF(OR($J38=1,$J38=2,$J38=3,$J38=4,$J38=5,$J38=6,$J38=7,$J38=8,$J38=9,$J38=10),$E38*$I38/12*3,IF($J38=11,$E38*$I38/12*2,IF($J38=12,$E38*$I38/12*1,0)))))+IF(DJ$5&lt;&gt;$H38,0,IF(DJ38&gt;0,IF($J38=10,$E38*$I38/12*0,IF($J38=11,$E38*$I38/12*1,IF($J38=12,$E38*$I38/12*2,0)))))</f>
        <v>0</v>
      </c>
      <c r="DO38" s="403">
        <f t="shared" ref="DO38" si="454">IF(AND(DJ38&lt;&gt;0,DJ$5=$H38),$I38*$E38-DJ38,IF(DO$5=$H38,$I38*$E38*(12-$J38+1)/12,0))</f>
        <v>0</v>
      </c>
      <c r="DP38" s="400">
        <f t="shared" ref="DP38" si="455">IF($H38&lt;&gt;DT$5,0,IF(DT38&gt;0,IF($J38=1,$E38*$I38/12*3,IF($J38=2,$E38*$I38/12*2,IF($J38=3,$E38*$I38/12*1,0)))))+IF(DO$5&lt;&gt;$H38,0,IF(DO38&gt;0,IF($J38=1,$E38*$I38/12*0,IF($J38=2,$E38*$I38/12*1,IF($J38=3,$E38*$I38/12*2,IF($J38&gt;=4,$E38*$I38/12*3,0))))))</f>
        <v>0</v>
      </c>
      <c r="DQ38" s="401">
        <f t="shared" ref="DQ38" si="456">IF($H38&lt;&gt;DT$5,0,IF(DT38&gt;0,IF(OR($J38=1,$J38=2,$J38=3,$J38=4),$E38*$I38/12*3,IF($J38=5,$E38*$I38/12*2,IF($J38=6,$E38*$I38/12*1,0)))))+IF(DO$5&lt;&gt;$H38,0,IF(DO38&gt;0,IF($J38=4,$E38*$I38/12*0,IF($J38=5,$E38*$I38/12*1,IF($J38=6,$E38*$I38/12*2,IF($J38&gt;=7,$E38*$I38/12*3,0))))))</f>
        <v>0</v>
      </c>
      <c r="DR38" s="401">
        <f t="shared" ref="DR38" si="457">IF($H38&lt;&gt;DT$5,0,IF(DT38&gt;0,IF(OR($J38=1,$J38=2,$J38=3,$J38=4,$J38=5,$J38=6,$J38=7),$E38*$I38/12*3,IF($J38=8,$E38*$I38/12*2,IF($J38=9,$E38*$I38/12*1,0)))))+IF(DO$5&lt;&gt;$H38,0,IF(DO38&gt;0,IF($J38=7,$E38*$I38/12*0,IF($J38=8,$E38*$I38/12*1,IF($J38=9,$E38*$I38/12*2,IF($J38&gt;=10,$E38*$I38/12*3,0))))))</f>
        <v>4.5</v>
      </c>
      <c r="DS38" s="402">
        <f t="shared" ref="DS38" si="458">IF($H38&lt;&gt;DT$5,0,IF(DT38&gt;0,IF(OR($J38=1,$J38=2,$J38=3,$J38=4,$J38=5,$J38=6,$J38=7,$J38=8,$J38=9,$J38=10),$E38*$I38/12*3,IF($J38=11,$E38*$I38/12*2,IF($J38=12,$E38*$I38/12*1,0)))))+IF(DO$5&lt;&gt;$H38,0,IF(DO38&gt;0,IF($J38=10,$E38*$I38/12*0,IF($J38=11,$E38*$I38/12*1,IF($J38=12,$E38*$I38/12*2,0)))))</f>
        <v>4.5</v>
      </c>
      <c r="DT38" s="403">
        <f t="shared" ref="DT38" si="459">IF(AND(DO38&lt;&gt;0,DO$5=$H38),$I38*$E38-DO38,IF(DT$5=$H38,$I38*$E38*(12-$J38+1)/12,0))</f>
        <v>9</v>
      </c>
    </row>
    <row r="39" spans="1:124" ht="12.75" customHeight="1" x14ac:dyDescent="0.2">
      <c r="C39" s="471"/>
      <c r="D39" s="472"/>
      <c r="E39" s="533"/>
      <c r="F39" s="538"/>
      <c r="G39" s="538"/>
      <c r="H39" s="578"/>
      <c r="I39" s="473"/>
      <c r="J39" s="474"/>
      <c r="K39" s="475"/>
      <c r="L39" s="476"/>
      <c r="M39" s="477"/>
      <c r="N39" s="478"/>
      <c r="O39" s="478"/>
      <c r="P39" s="479"/>
      <c r="Q39" s="476"/>
      <c r="R39" s="477"/>
      <c r="S39" s="478"/>
      <c r="T39" s="478"/>
      <c r="U39" s="479"/>
      <c r="V39" s="476"/>
      <c r="W39" s="477"/>
      <c r="X39" s="478"/>
      <c r="Y39" s="478"/>
      <c r="Z39" s="479"/>
      <c r="AA39" s="476"/>
      <c r="AB39" s="477"/>
      <c r="AC39" s="478"/>
      <c r="AD39" s="478"/>
      <c r="AE39" s="479"/>
      <c r="AF39" s="476"/>
      <c r="AG39" s="477"/>
      <c r="AH39" s="478"/>
      <c r="AI39" s="478"/>
      <c r="AJ39" s="479"/>
      <c r="AK39" s="476"/>
      <c r="AL39" s="477"/>
      <c r="AM39" s="478"/>
      <c r="AN39" s="478"/>
      <c r="AO39" s="479"/>
      <c r="AP39" s="476"/>
      <c r="AQ39" s="477"/>
      <c r="AR39" s="478"/>
      <c r="AS39" s="478"/>
      <c r="AT39" s="479"/>
      <c r="AU39" s="476"/>
      <c r="AV39" s="477"/>
      <c r="AW39" s="478"/>
      <c r="AX39" s="478"/>
      <c r="AY39" s="479"/>
      <c r="AZ39" s="476"/>
      <c r="BA39" s="477"/>
      <c r="BB39" s="478"/>
      <c r="BC39" s="478"/>
      <c r="BD39" s="479"/>
      <c r="BE39" s="476"/>
      <c r="BF39" s="477"/>
      <c r="BG39" s="478"/>
      <c r="BH39" s="478"/>
      <c r="BI39" s="479"/>
      <c r="BJ39" s="476"/>
      <c r="BK39" s="477"/>
      <c r="BL39" s="478"/>
      <c r="BM39" s="478"/>
      <c r="BN39" s="479"/>
      <c r="BO39" s="476"/>
      <c r="BP39" s="480"/>
      <c r="BQ39" s="417"/>
      <c r="BR39" s="418"/>
      <c r="BS39" s="419"/>
      <c r="BT39" s="419"/>
      <c r="BU39" s="420"/>
      <c r="BV39" s="417"/>
      <c r="BW39" s="418"/>
      <c r="BX39" s="419"/>
      <c r="BY39" s="419"/>
      <c r="BZ39" s="420"/>
      <c r="CA39" s="417"/>
      <c r="CB39" s="418"/>
      <c r="CC39" s="419"/>
      <c r="CD39" s="419"/>
      <c r="CE39" s="420"/>
      <c r="CF39" s="417"/>
      <c r="CG39" s="418"/>
      <c r="CH39" s="419"/>
      <c r="CI39" s="419"/>
      <c r="CJ39" s="420"/>
      <c r="CK39" s="417"/>
      <c r="CL39" s="418"/>
      <c r="CM39" s="419"/>
      <c r="CN39" s="419"/>
      <c r="CO39" s="420"/>
      <c r="CP39" s="417"/>
      <c r="CQ39" s="418"/>
      <c r="CR39" s="419"/>
      <c r="CS39" s="419"/>
      <c r="CT39" s="420"/>
      <c r="CU39" s="417"/>
      <c r="CV39" s="418"/>
      <c r="CW39" s="419"/>
      <c r="CX39" s="419"/>
      <c r="CY39" s="420"/>
      <c r="CZ39" s="417"/>
      <c r="DA39" s="418"/>
      <c r="DB39" s="419"/>
      <c r="DC39" s="419"/>
      <c r="DD39" s="420"/>
      <c r="DE39" s="417"/>
      <c r="DF39" s="418"/>
      <c r="DG39" s="419"/>
      <c r="DH39" s="419"/>
      <c r="DI39" s="420"/>
      <c r="DJ39" s="417"/>
      <c r="DK39" s="418"/>
      <c r="DL39" s="419"/>
      <c r="DM39" s="419"/>
      <c r="DN39" s="420"/>
      <c r="DO39" s="417"/>
      <c r="DP39" s="418"/>
      <c r="DQ39" s="419"/>
      <c r="DR39" s="419"/>
      <c r="DS39" s="420"/>
      <c r="DT39" s="417"/>
    </row>
    <row r="40" spans="1:124" ht="12.75" customHeight="1" x14ac:dyDescent="0.2">
      <c r="A40" s="26"/>
      <c r="B40" s="26"/>
      <c r="C40" s="141" t="s">
        <v>170</v>
      </c>
      <c r="D40" s="26"/>
      <c r="E40" s="535">
        <f>SUM(E35:E39)</f>
        <v>2450</v>
      </c>
      <c r="F40" s="705"/>
      <c r="G40" s="705"/>
      <c r="H40" s="579"/>
      <c r="I40" s="422"/>
      <c r="J40" s="423"/>
      <c r="K40" s="462"/>
      <c r="L40" s="424">
        <f t="shared" ref="L40:AQ40" si="460">SUM(L35:L39)</f>
        <v>0</v>
      </c>
      <c r="M40" s="425">
        <f t="shared" si="460"/>
        <v>0</v>
      </c>
      <c r="N40" s="426">
        <f t="shared" si="460"/>
        <v>0</v>
      </c>
      <c r="O40" s="426">
        <f t="shared" si="460"/>
        <v>0</v>
      </c>
      <c r="P40" s="427">
        <f t="shared" si="460"/>
        <v>0</v>
      </c>
      <c r="Q40" s="424">
        <f t="shared" si="460"/>
        <v>0</v>
      </c>
      <c r="R40" s="425">
        <f t="shared" si="460"/>
        <v>0</v>
      </c>
      <c r="S40" s="426">
        <f t="shared" si="460"/>
        <v>0</v>
      </c>
      <c r="T40" s="426">
        <f t="shared" si="460"/>
        <v>0</v>
      </c>
      <c r="U40" s="427">
        <f t="shared" si="460"/>
        <v>0</v>
      </c>
      <c r="V40" s="424">
        <f t="shared" si="460"/>
        <v>0</v>
      </c>
      <c r="W40" s="425">
        <f t="shared" si="460"/>
        <v>0</v>
      </c>
      <c r="X40" s="426">
        <f t="shared" si="460"/>
        <v>0</v>
      </c>
      <c r="Y40" s="426">
        <f t="shared" si="460"/>
        <v>0</v>
      </c>
      <c r="Z40" s="427">
        <f t="shared" si="460"/>
        <v>0</v>
      </c>
      <c r="AA40" s="424">
        <f t="shared" si="460"/>
        <v>0</v>
      </c>
      <c r="AB40" s="425">
        <f t="shared" si="460"/>
        <v>0</v>
      </c>
      <c r="AC40" s="426">
        <f t="shared" si="460"/>
        <v>0</v>
      </c>
      <c r="AD40" s="426">
        <f t="shared" si="460"/>
        <v>0</v>
      </c>
      <c r="AE40" s="427">
        <f t="shared" si="460"/>
        <v>0</v>
      </c>
      <c r="AF40" s="424">
        <f t="shared" si="460"/>
        <v>0</v>
      </c>
      <c r="AG40" s="425">
        <f t="shared" si="460"/>
        <v>0</v>
      </c>
      <c r="AH40" s="426">
        <f t="shared" si="460"/>
        <v>0</v>
      </c>
      <c r="AI40" s="426">
        <f t="shared" si="460"/>
        <v>0</v>
      </c>
      <c r="AJ40" s="427">
        <f t="shared" si="460"/>
        <v>0</v>
      </c>
      <c r="AK40" s="424">
        <f t="shared" si="460"/>
        <v>0</v>
      </c>
      <c r="AL40" s="425">
        <f t="shared" si="460"/>
        <v>0</v>
      </c>
      <c r="AM40" s="426">
        <f t="shared" si="460"/>
        <v>0</v>
      </c>
      <c r="AN40" s="426">
        <f t="shared" si="460"/>
        <v>0</v>
      </c>
      <c r="AO40" s="427">
        <f t="shared" si="460"/>
        <v>0</v>
      </c>
      <c r="AP40" s="424">
        <f t="shared" si="460"/>
        <v>0</v>
      </c>
      <c r="AQ40" s="425">
        <f t="shared" si="460"/>
        <v>0</v>
      </c>
      <c r="AR40" s="426">
        <f t="shared" ref="AR40:BJ40" si="461">SUM(AR35:AR39)</f>
        <v>0</v>
      </c>
      <c r="AS40" s="426">
        <f t="shared" si="461"/>
        <v>0</v>
      </c>
      <c r="AT40" s="427">
        <f t="shared" si="461"/>
        <v>0</v>
      </c>
      <c r="AU40" s="424">
        <f t="shared" si="461"/>
        <v>0</v>
      </c>
      <c r="AV40" s="425">
        <f t="shared" si="461"/>
        <v>0</v>
      </c>
      <c r="AW40" s="426">
        <f t="shared" si="461"/>
        <v>0</v>
      </c>
      <c r="AX40" s="426">
        <f t="shared" si="461"/>
        <v>750</v>
      </c>
      <c r="AY40" s="427">
        <f t="shared" si="461"/>
        <v>0</v>
      </c>
      <c r="AZ40" s="424">
        <f t="shared" si="461"/>
        <v>750</v>
      </c>
      <c r="BA40" s="425">
        <f t="shared" si="461"/>
        <v>0</v>
      </c>
      <c r="BB40" s="426">
        <f t="shared" si="461"/>
        <v>0</v>
      </c>
      <c r="BC40" s="426">
        <f t="shared" si="461"/>
        <v>500</v>
      </c>
      <c r="BD40" s="427">
        <f t="shared" si="461"/>
        <v>0</v>
      </c>
      <c r="BE40" s="424">
        <f t="shared" si="461"/>
        <v>500</v>
      </c>
      <c r="BF40" s="425">
        <f t="shared" si="461"/>
        <v>0</v>
      </c>
      <c r="BG40" s="426">
        <f t="shared" si="461"/>
        <v>0</v>
      </c>
      <c r="BH40" s="426">
        <f t="shared" si="461"/>
        <v>800</v>
      </c>
      <c r="BI40" s="427">
        <f t="shared" si="461"/>
        <v>0</v>
      </c>
      <c r="BJ40" s="424">
        <f t="shared" si="461"/>
        <v>800</v>
      </c>
      <c r="BK40" s="425">
        <f t="shared" ref="BK40:BO40" si="462">SUM(BK35:BK39)</f>
        <v>0</v>
      </c>
      <c r="BL40" s="426">
        <f t="shared" si="462"/>
        <v>0</v>
      </c>
      <c r="BM40" s="426">
        <f t="shared" si="462"/>
        <v>400</v>
      </c>
      <c r="BN40" s="427">
        <f t="shared" si="462"/>
        <v>0</v>
      </c>
      <c r="BO40" s="424">
        <f t="shared" si="462"/>
        <v>400</v>
      </c>
      <c r="BP40" s="481"/>
      <c r="BQ40" s="429">
        <f t="shared" ref="BQ40:CV40" si="463">SUM(BQ35:BQ39)</f>
        <v>0</v>
      </c>
      <c r="BR40" s="430">
        <f t="shared" si="463"/>
        <v>0</v>
      </c>
      <c r="BS40" s="431">
        <f t="shared" si="463"/>
        <v>0</v>
      </c>
      <c r="BT40" s="431">
        <f t="shared" si="463"/>
        <v>0</v>
      </c>
      <c r="BU40" s="432">
        <f t="shared" si="463"/>
        <v>0</v>
      </c>
      <c r="BV40" s="429">
        <f t="shared" si="463"/>
        <v>0</v>
      </c>
      <c r="BW40" s="430">
        <f t="shared" si="463"/>
        <v>0</v>
      </c>
      <c r="BX40" s="431">
        <f t="shared" si="463"/>
        <v>0</v>
      </c>
      <c r="BY40" s="431">
        <f t="shared" si="463"/>
        <v>0</v>
      </c>
      <c r="BZ40" s="432">
        <f t="shared" si="463"/>
        <v>0</v>
      </c>
      <c r="CA40" s="429">
        <f t="shared" si="463"/>
        <v>0</v>
      </c>
      <c r="CB40" s="430">
        <f t="shared" si="463"/>
        <v>0</v>
      </c>
      <c r="CC40" s="431">
        <f t="shared" si="463"/>
        <v>0</v>
      </c>
      <c r="CD40" s="431">
        <f t="shared" si="463"/>
        <v>0</v>
      </c>
      <c r="CE40" s="432">
        <f t="shared" si="463"/>
        <v>0</v>
      </c>
      <c r="CF40" s="429">
        <f t="shared" si="463"/>
        <v>0</v>
      </c>
      <c r="CG40" s="430">
        <f t="shared" si="463"/>
        <v>0</v>
      </c>
      <c r="CH40" s="431">
        <f t="shared" si="463"/>
        <v>0</v>
      </c>
      <c r="CI40" s="431">
        <f t="shared" si="463"/>
        <v>0</v>
      </c>
      <c r="CJ40" s="432">
        <f t="shared" si="463"/>
        <v>0</v>
      </c>
      <c r="CK40" s="429">
        <f t="shared" si="463"/>
        <v>0</v>
      </c>
      <c r="CL40" s="430">
        <f t="shared" si="463"/>
        <v>0</v>
      </c>
      <c r="CM40" s="431">
        <f t="shared" si="463"/>
        <v>0</v>
      </c>
      <c r="CN40" s="431">
        <f t="shared" si="463"/>
        <v>0</v>
      </c>
      <c r="CO40" s="432">
        <f t="shared" si="463"/>
        <v>0</v>
      </c>
      <c r="CP40" s="429">
        <f t="shared" si="463"/>
        <v>0</v>
      </c>
      <c r="CQ40" s="430">
        <f t="shared" si="463"/>
        <v>0</v>
      </c>
      <c r="CR40" s="431">
        <f t="shared" si="463"/>
        <v>0</v>
      </c>
      <c r="CS40" s="431">
        <f t="shared" si="463"/>
        <v>0</v>
      </c>
      <c r="CT40" s="432">
        <f t="shared" si="463"/>
        <v>0</v>
      </c>
      <c r="CU40" s="429">
        <f t="shared" si="463"/>
        <v>0</v>
      </c>
      <c r="CV40" s="430">
        <f t="shared" si="463"/>
        <v>0</v>
      </c>
      <c r="CW40" s="431">
        <f t="shared" ref="CW40:DO40" si="464">SUM(CW35:CW39)</f>
        <v>0</v>
      </c>
      <c r="CX40" s="431">
        <f t="shared" si="464"/>
        <v>0</v>
      </c>
      <c r="CY40" s="432">
        <f t="shared" si="464"/>
        <v>0</v>
      </c>
      <c r="CZ40" s="429">
        <f t="shared" si="464"/>
        <v>0</v>
      </c>
      <c r="DA40" s="430">
        <f t="shared" si="464"/>
        <v>0</v>
      </c>
      <c r="DB40" s="431">
        <f t="shared" si="464"/>
        <v>0</v>
      </c>
      <c r="DC40" s="431">
        <f t="shared" si="464"/>
        <v>8.4375</v>
      </c>
      <c r="DD40" s="432">
        <f t="shared" si="464"/>
        <v>8.4375</v>
      </c>
      <c r="DE40" s="429">
        <f t="shared" si="464"/>
        <v>16.875</v>
      </c>
      <c r="DF40" s="430">
        <f t="shared" si="464"/>
        <v>8.4375</v>
      </c>
      <c r="DG40" s="431">
        <f t="shared" si="464"/>
        <v>8.4375</v>
      </c>
      <c r="DH40" s="431">
        <f t="shared" si="464"/>
        <v>5.625</v>
      </c>
      <c r="DI40" s="432">
        <f t="shared" si="464"/>
        <v>5.625</v>
      </c>
      <c r="DJ40" s="429">
        <f t="shared" si="464"/>
        <v>28.125</v>
      </c>
      <c r="DK40" s="430">
        <f t="shared" si="464"/>
        <v>5.625</v>
      </c>
      <c r="DL40" s="431">
        <f t="shared" si="464"/>
        <v>5.625</v>
      </c>
      <c r="DM40" s="431">
        <f t="shared" si="464"/>
        <v>9</v>
      </c>
      <c r="DN40" s="432">
        <f t="shared" si="464"/>
        <v>9</v>
      </c>
      <c r="DO40" s="429">
        <f t="shared" si="464"/>
        <v>29.25</v>
      </c>
      <c r="DP40" s="430">
        <f t="shared" ref="DP40:DT40" si="465">SUM(DP35:DP39)</f>
        <v>9</v>
      </c>
      <c r="DQ40" s="431">
        <f t="shared" si="465"/>
        <v>9</v>
      </c>
      <c r="DR40" s="431">
        <f t="shared" si="465"/>
        <v>4.5</v>
      </c>
      <c r="DS40" s="432">
        <f t="shared" si="465"/>
        <v>4.5</v>
      </c>
      <c r="DT40" s="429">
        <f t="shared" si="465"/>
        <v>27</v>
      </c>
    </row>
    <row r="41" spans="1:124" ht="12.75" customHeight="1" x14ac:dyDescent="0.2">
      <c r="C41" s="20"/>
      <c r="D41" s="20"/>
      <c r="E41" s="530"/>
      <c r="F41" s="537"/>
      <c r="G41" s="537"/>
      <c r="H41" s="580"/>
      <c r="I41" s="390"/>
      <c r="J41" s="391"/>
      <c r="K41" s="392"/>
      <c r="L41" s="393"/>
      <c r="M41" s="394"/>
      <c r="N41" s="395"/>
      <c r="O41" s="395"/>
      <c r="P41" s="396"/>
      <c r="Q41" s="397"/>
      <c r="R41" s="394"/>
      <c r="S41" s="395"/>
      <c r="T41" s="395"/>
      <c r="U41" s="396"/>
      <c r="V41" s="397"/>
      <c r="W41" s="394"/>
      <c r="X41" s="395"/>
      <c r="Y41" s="395"/>
      <c r="Z41" s="396"/>
      <c r="AA41" s="397"/>
      <c r="AB41" s="394"/>
      <c r="AC41" s="395"/>
      <c r="AD41" s="395"/>
      <c r="AE41" s="396"/>
      <c r="AF41" s="397"/>
      <c r="AG41" s="394"/>
      <c r="AH41" s="395"/>
      <c r="AI41" s="395"/>
      <c r="AJ41" s="396"/>
      <c r="AK41" s="397"/>
      <c r="AL41" s="394"/>
      <c r="AM41" s="395"/>
      <c r="AN41" s="395"/>
      <c r="AO41" s="396"/>
      <c r="AP41" s="397"/>
      <c r="AQ41" s="394"/>
      <c r="AR41" s="395"/>
      <c r="AS41" s="395"/>
      <c r="AT41" s="396"/>
      <c r="AU41" s="397"/>
      <c r="AV41" s="394"/>
      <c r="AW41" s="395"/>
      <c r="AX41" s="395"/>
      <c r="AY41" s="396"/>
      <c r="AZ41" s="397"/>
      <c r="BA41" s="394"/>
      <c r="BB41" s="395"/>
      <c r="BC41" s="395"/>
      <c r="BD41" s="396"/>
      <c r="BE41" s="397"/>
      <c r="BF41" s="394"/>
      <c r="BG41" s="395"/>
      <c r="BH41" s="395"/>
      <c r="BI41" s="396"/>
      <c r="BJ41" s="397"/>
      <c r="BK41" s="394"/>
      <c r="BL41" s="395"/>
      <c r="BM41" s="395"/>
      <c r="BN41" s="396"/>
      <c r="BO41" s="397"/>
      <c r="BP41" s="445"/>
      <c r="BQ41" s="399"/>
      <c r="BR41" s="400"/>
      <c r="BS41" s="401"/>
      <c r="BT41" s="401"/>
      <c r="BU41" s="402"/>
      <c r="BV41" s="403"/>
      <c r="BW41" s="400"/>
      <c r="BX41" s="401"/>
      <c r="BY41" s="401"/>
      <c r="BZ41" s="402"/>
      <c r="CA41" s="403"/>
      <c r="CB41" s="400"/>
      <c r="CC41" s="401"/>
      <c r="CD41" s="401"/>
      <c r="CE41" s="402"/>
      <c r="CF41" s="403"/>
      <c r="CG41" s="400"/>
      <c r="CH41" s="401"/>
      <c r="CI41" s="401"/>
      <c r="CJ41" s="402"/>
      <c r="CK41" s="403"/>
      <c r="CL41" s="400"/>
      <c r="CM41" s="401"/>
      <c r="CN41" s="401"/>
      <c r="CO41" s="402"/>
      <c r="CP41" s="403"/>
      <c r="CQ41" s="400"/>
      <c r="CR41" s="401"/>
      <c r="CS41" s="401"/>
      <c r="CT41" s="402"/>
      <c r="CU41" s="403"/>
      <c r="CV41" s="400"/>
      <c r="CW41" s="401"/>
      <c r="CX41" s="401"/>
      <c r="CY41" s="402"/>
      <c r="CZ41" s="403"/>
      <c r="DA41" s="400"/>
      <c r="DB41" s="401"/>
      <c r="DC41" s="401"/>
      <c r="DD41" s="402"/>
      <c r="DE41" s="403"/>
      <c r="DF41" s="400"/>
      <c r="DG41" s="401"/>
      <c r="DH41" s="401"/>
      <c r="DI41" s="402"/>
      <c r="DJ41" s="403"/>
      <c r="DK41" s="400"/>
      <c r="DL41" s="401"/>
      <c r="DM41" s="401"/>
      <c r="DN41" s="402"/>
      <c r="DO41" s="403"/>
      <c r="DP41" s="400"/>
      <c r="DQ41" s="401"/>
      <c r="DR41" s="401"/>
      <c r="DS41" s="402"/>
      <c r="DT41" s="403"/>
    </row>
    <row r="42" spans="1:124" ht="12.75" customHeight="1" x14ac:dyDescent="0.2">
      <c r="C42" s="26" t="s">
        <v>334</v>
      </c>
      <c r="D42" s="26"/>
      <c r="E42" s="535"/>
      <c r="F42" s="705"/>
      <c r="G42" s="705"/>
      <c r="H42" s="579"/>
      <c r="I42" s="422"/>
      <c r="J42" s="423"/>
      <c r="K42" s="462"/>
      <c r="L42" s="424">
        <f t="shared" ref="L42:AQ42" si="466">+L32+L40</f>
        <v>0</v>
      </c>
      <c r="M42" s="425">
        <f t="shared" si="466"/>
        <v>0</v>
      </c>
      <c r="N42" s="426">
        <f t="shared" si="466"/>
        <v>0</v>
      </c>
      <c r="O42" s="426">
        <f t="shared" si="466"/>
        <v>0</v>
      </c>
      <c r="P42" s="427">
        <f t="shared" si="466"/>
        <v>0</v>
      </c>
      <c r="Q42" s="424">
        <f t="shared" si="466"/>
        <v>0</v>
      </c>
      <c r="R42" s="425">
        <f t="shared" si="466"/>
        <v>0</v>
      </c>
      <c r="S42" s="426">
        <f t="shared" si="466"/>
        <v>0</v>
      </c>
      <c r="T42" s="426">
        <f t="shared" si="466"/>
        <v>0</v>
      </c>
      <c r="U42" s="427">
        <f t="shared" si="466"/>
        <v>0</v>
      </c>
      <c r="V42" s="424">
        <f t="shared" si="466"/>
        <v>0</v>
      </c>
      <c r="W42" s="425">
        <f t="shared" si="466"/>
        <v>0</v>
      </c>
      <c r="X42" s="426">
        <f t="shared" si="466"/>
        <v>0</v>
      </c>
      <c r="Y42" s="426">
        <f t="shared" si="466"/>
        <v>0</v>
      </c>
      <c r="Z42" s="427">
        <f t="shared" si="466"/>
        <v>0</v>
      </c>
      <c r="AA42" s="424">
        <f t="shared" si="466"/>
        <v>0</v>
      </c>
      <c r="AB42" s="425">
        <f t="shared" si="466"/>
        <v>0</v>
      </c>
      <c r="AC42" s="426">
        <f t="shared" si="466"/>
        <v>0</v>
      </c>
      <c r="AD42" s="426">
        <f t="shared" si="466"/>
        <v>0</v>
      </c>
      <c r="AE42" s="427">
        <f t="shared" si="466"/>
        <v>0</v>
      </c>
      <c r="AF42" s="424">
        <f t="shared" si="466"/>
        <v>0</v>
      </c>
      <c r="AG42" s="425">
        <f t="shared" si="466"/>
        <v>0</v>
      </c>
      <c r="AH42" s="426">
        <f t="shared" si="466"/>
        <v>0</v>
      </c>
      <c r="AI42" s="426">
        <f t="shared" si="466"/>
        <v>0</v>
      </c>
      <c r="AJ42" s="427">
        <f t="shared" si="466"/>
        <v>0</v>
      </c>
      <c r="AK42" s="424">
        <f t="shared" si="466"/>
        <v>0</v>
      </c>
      <c r="AL42" s="425">
        <f t="shared" si="466"/>
        <v>0</v>
      </c>
      <c r="AM42" s="426">
        <f t="shared" si="466"/>
        <v>0</v>
      </c>
      <c r="AN42" s="426">
        <f t="shared" si="466"/>
        <v>0</v>
      </c>
      <c r="AO42" s="427">
        <f t="shared" si="466"/>
        <v>0</v>
      </c>
      <c r="AP42" s="424">
        <f t="shared" si="466"/>
        <v>0</v>
      </c>
      <c r="AQ42" s="425">
        <f t="shared" si="466"/>
        <v>0</v>
      </c>
      <c r="AR42" s="426">
        <f t="shared" ref="AR42:BJ42" si="467">+AR32+AR40</f>
        <v>-250</v>
      </c>
      <c r="AS42" s="426">
        <f t="shared" si="467"/>
        <v>-0.82250000000000001</v>
      </c>
      <c r="AT42" s="427">
        <f t="shared" si="467"/>
        <v>0</v>
      </c>
      <c r="AU42" s="424">
        <f t="shared" si="467"/>
        <v>-250.82249999999999</v>
      </c>
      <c r="AV42" s="425">
        <f t="shared" si="467"/>
        <v>0</v>
      </c>
      <c r="AW42" s="426">
        <f t="shared" si="467"/>
        <v>0</v>
      </c>
      <c r="AX42" s="426">
        <f t="shared" si="467"/>
        <v>750</v>
      </c>
      <c r="AY42" s="427">
        <f t="shared" si="467"/>
        <v>0</v>
      </c>
      <c r="AZ42" s="424">
        <f t="shared" si="467"/>
        <v>750</v>
      </c>
      <c r="BA42" s="425">
        <f t="shared" si="467"/>
        <v>0</v>
      </c>
      <c r="BB42" s="426">
        <f t="shared" si="467"/>
        <v>0</v>
      </c>
      <c r="BC42" s="426">
        <f t="shared" si="467"/>
        <v>500</v>
      </c>
      <c r="BD42" s="427">
        <f t="shared" si="467"/>
        <v>0</v>
      </c>
      <c r="BE42" s="424">
        <f t="shared" si="467"/>
        <v>500</v>
      </c>
      <c r="BF42" s="425">
        <f t="shared" si="467"/>
        <v>0</v>
      </c>
      <c r="BG42" s="426">
        <f t="shared" si="467"/>
        <v>-550</v>
      </c>
      <c r="BH42" s="426">
        <f t="shared" si="467"/>
        <v>800</v>
      </c>
      <c r="BI42" s="427">
        <f t="shared" si="467"/>
        <v>0</v>
      </c>
      <c r="BJ42" s="424">
        <f t="shared" si="467"/>
        <v>250</v>
      </c>
      <c r="BK42" s="425">
        <f t="shared" ref="BK42:BO42" si="468">+BK32+BK40</f>
        <v>-400</v>
      </c>
      <c r="BL42" s="426">
        <f t="shared" si="468"/>
        <v>0</v>
      </c>
      <c r="BM42" s="426">
        <f t="shared" si="468"/>
        <v>400</v>
      </c>
      <c r="BN42" s="427">
        <f t="shared" si="468"/>
        <v>0</v>
      </c>
      <c r="BO42" s="424">
        <f t="shared" si="468"/>
        <v>0</v>
      </c>
      <c r="BP42" s="481"/>
      <c r="BQ42" s="429">
        <f t="shared" ref="BQ42:CV42" si="469">+BQ32+BQ40</f>
        <v>0</v>
      </c>
      <c r="BR42" s="430">
        <f t="shared" si="469"/>
        <v>0</v>
      </c>
      <c r="BS42" s="431">
        <f t="shared" si="469"/>
        <v>0</v>
      </c>
      <c r="BT42" s="431">
        <f t="shared" si="469"/>
        <v>0</v>
      </c>
      <c r="BU42" s="432">
        <f t="shared" si="469"/>
        <v>0</v>
      </c>
      <c r="BV42" s="429">
        <f t="shared" si="469"/>
        <v>0</v>
      </c>
      <c r="BW42" s="430">
        <f t="shared" si="469"/>
        <v>0</v>
      </c>
      <c r="BX42" s="431">
        <f t="shared" si="469"/>
        <v>0</v>
      </c>
      <c r="BY42" s="431">
        <f t="shared" si="469"/>
        <v>0</v>
      </c>
      <c r="BZ42" s="432">
        <f t="shared" si="469"/>
        <v>0</v>
      </c>
      <c r="CA42" s="429">
        <f t="shared" si="469"/>
        <v>0</v>
      </c>
      <c r="CB42" s="430">
        <f t="shared" si="469"/>
        <v>0</v>
      </c>
      <c r="CC42" s="431">
        <f t="shared" si="469"/>
        <v>0</v>
      </c>
      <c r="CD42" s="431">
        <f t="shared" si="469"/>
        <v>0</v>
      </c>
      <c r="CE42" s="432">
        <f t="shared" si="469"/>
        <v>0</v>
      </c>
      <c r="CF42" s="429">
        <f t="shared" si="469"/>
        <v>0</v>
      </c>
      <c r="CG42" s="430">
        <f t="shared" si="469"/>
        <v>0</v>
      </c>
      <c r="CH42" s="431">
        <f t="shared" si="469"/>
        <v>0</v>
      </c>
      <c r="CI42" s="431">
        <f t="shared" si="469"/>
        <v>0</v>
      </c>
      <c r="CJ42" s="432">
        <f t="shared" si="469"/>
        <v>0</v>
      </c>
      <c r="CK42" s="429">
        <f t="shared" si="469"/>
        <v>0</v>
      </c>
      <c r="CL42" s="430">
        <f t="shared" si="469"/>
        <v>0</v>
      </c>
      <c r="CM42" s="431">
        <f t="shared" si="469"/>
        <v>0</v>
      </c>
      <c r="CN42" s="431">
        <f t="shared" si="469"/>
        <v>0</v>
      </c>
      <c r="CO42" s="432">
        <f t="shared" si="469"/>
        <v>0</v>
      </c>
      <c r="CP42" s="429">
        <f t="shared" si="469"/>
        <v>0</v>
      </c>
      <c r="CQ42" s="430">
        <f t="shared" si="469"/>
        <v>0</v>
      </c>
      <c r="CR42" s="431">
        <f t="shared" si="469"/>
        <v>0</v>
      </c>
      <c r="CS42" s="431">
        <f t="shared" si="469"/>
        <v>0</v>
      </c>
      <c r="CT42" s="432">
        <f t="shared" si="469"/>
        <v>0</v>
      </c>
      <c r="CU42" s="429">
        <f t="shared" si="469"/>
        <v>0</v>
      </c>
      <c r="CV42" s="430">
        <f t="shared" si="469"/>
        <v>0</v>
      </c>
      <c r="CW42" s="431">
        <f t="shared" ref="CW42:DO42" si="470">+CW32+CW40</f>
        <v>-0.25</v>
      </c>
      <c r="CX42" s="431">
        <f t="shared" si="470"/>
        <v>-0.76079531249999999</v>
      </c>
      <c r="CY42" s="432">
        <f t="shared" si="470"/>
        <v>-0.76079531249999999</v>
      </c>
      <c r="CZ42" s="429">
        <f t="shared" si="470"/>
        <v>-1.771590625</v>
      </c>
      <c r="DA42" s="430">
        <f t="shared" si="470"/>
        <v>-0.76079531249999999</v>
      </c>
      <c r="DB42" s="431">
        <f t="shared" si="470"/>
        <v>-0.51079531249999999</v>
      </c>
      <c r="DC42" s="431">
        <f t="shared" si="470"/>
        <v>8.4375</v>
      </c>
      <c r="DD42" s="432">
        <f t="shared" si="470"/>
        <v>8.4375</v>
      </c>
      <c r="DE42" s="429">
        <f t="shared" si="470"/>
        <v>15.603409375</v>
      </c>
      <c r="DF42" s="430">
        <f t="shared" si="470"/>
        <v>8.4375</v>
      </c>
      <c r="DG42" s="431">
        <f t="shared" si="470"/>
        <v>8.4375</v>
      </c>
      <c r="DH42" s="431">
        <f t="shared" si="470"/>
        <v>5.625</v>
      </c>
      <c r="DI42" s="432">
        <f t="shared" si="470"/>
        <v>5.625</v>
      </c>
      <c r="DJ42" s="429">
        <f t="shared" si="470"/>
        <v>28.125</v>
      </c>
      <c r="DK42" s="430">
        <f t="shared" si="470"/>
        <v>5.625</v>
      </c>
      <c r="DL42" s="431">
        <f t="shared" si="470"/>
        <v>1.3166666666666664</v>
      </c>
      <c r="DM42" s="431">
        <f t="shared" si="470"/>
        <v>2.5374999999999996</v>
      </c>
      <c r="DN42" s="432">
        <f t="shared" si="470"/>
        <v>2.5374999999999996</v>
      </c>
      <c r="DO42" s="429">
        <f t="shared" si="470"/>
        <v>12.016666666666666</v>
      </c>
      <c r="DP42" s="430">
        <f t="shared" ref="DP42:DT42" si="471">+DP32+DP40</f>
        <v>1.7374999999999998</v>
      </c>
      <c r="DQ42" s="431">
        <f t="shared" si="471"/>
        <v>4.4458333333333329</v>
      </c>
      <c r="DR42" s="431">
        <f t="shared" si="471"/>
        <v>2.1</v>
      </c>
      <c r="DS42" s="432">
        <f t="shared" si="471"/>
        <v>2.1</v>
      </c>
      <c r="DT42" s="429">
        <f t="shared" si="471"/>
        <v>10.383333333333333</v>
      </c>
    </row>
    <row r="43" spans="1:124" ht="12.75" customHeight="1" x14ac:dyDescent="0.2">
      <c r="C43" s="26"/>
      <c r="D43" s="26"/>
      <c r="E43" s="535"/>
      <c r="F43" s="705"/>
      <c r="G43" s="705"/>
      <c r="H43" s="579"/>
      <c r="I43" s="422"/>
      <c r="J43" s="423"/>
      <c r="K43" s="462"/>
      <c r="L43" s="482"/>
      <c r="M43" s="425"/>
      <c r="N43" s="433"/>
      <c r="O43" s="433"/>
      <c r="P43" s="427"/>
      <c r="Q43" s="424"/>
      <c r="R43" s="425"/>
      <c r="S43" s="433"/>
      <c r="T43" s="433"/>
      <c r="U43" s="427"/>
      <c r="V43" s="424"/>
      <c r="W43" s="425"/>
      <c r="X43" s="433"/>
      <c r="Y43" s="433"/>
      <c r="Z43" s="427"/>
      <c r="AA43" s="424"/>
      <c r="AB43" s="425"/>
      <c r="AC43" s="433"/>
      <c r="AD43" s="433"/>
      <c r="AE43" s="427"/>
      <c r="AF43" s="424"/>
      <c r="AG43" s="425"/>
      <c r="AH43" s="433"/>
      <c r="AI43" s="433"/>
      <c r="AJ43" s="427"/>
      <c r="AK43" s="424"/>
      <c r="AL43" s="425"/>
      <c r="AM43" s="433"/>
      <c r="AN43" s="433"/>
      <c r="AO43" s="427"/>
      <c r="AP43" s="424"/>
      <c r="AQ43" s="425"/>
      <c r="AR43" s="433"/>
      <c r="AS43" s="433"/>
      <c r="AT43" s="427"/>
      <c r="AU43" s="424"/>
      <c r="AV43" s="425"/>
      <c r="AW43" s="433"/>
      <c r="AX43" s="433"/>
      <c r="AY43" s="427"/>
      <c r="AZ43" s="424"/>
      <c r="BA43" s="425"/>
      <c r="BB43" s="433"/>
      <c r="BC43" s="433"/>
      <c r="BD43" s="427"/>
      <c r="BE43" s="424"/>
      <c r="BF43" s="425"/>
      <c r="BG43" s="433"/>
      <c r="BH43" s="433"/>
      <c r="BI43" s="427"/>
      <c r="BJ43" s="424"/>
      <c r="BK43" s="425"/>
      <c r="BL43" s="433"/>
      <c r="BM43" s="433"/>
      <c r="BN43" s="427"/>
      <c r="BO43" s="424"/>
      <c r="BP43" s="481"/>
      <c r="BQ43" s="434"/>
      <c r="BR43" s="430"/>
      <c r="BS43" s="435"/>
      <c r="BT43" s="435"/>
      <c r="BU43" s="432"/>
      <c r="BV43" s="429"/>
      <c r="BW43" s="430"/>
      <c r="BX43" s="435"/>
      <c r="BY43" s="435"/>
      <c r="BZ43" s="432"/>
      <c r="CA43" s="429"/>
      <c r="CB43" s="430"/>
      <c r="CC43" s="435"/>
      <c r="CD43" s="435"/>
      <c r="CE43" s="432"/>
      <c r="CF43" s="429"/>
      <c r="CG43" s="430"/>
      <c r="CH43" s="435"/>
      <c r="CI43" s="435"/>
      <c r="CJ43" s="432"/>
      <c r="CK43" s="429"/>
      <c r="CL43" s="430"/>
      <c r="CM43" s="435"/>
      <c r="CN43" s="435"/>
      <c r="CO43" s="432"/>
      <c r="CP43" s="429"/>
      <c r="CQ43" s="430"/>
      <c r="CR43" s="435"/>
      <c r="CS43" s="435"/>
      <c r="CT43" s="432"/>
      <c r="CU43" s="429"/>
      <c r="CV43" s="430"/>
      <c r="CW43" s="435"/>
      <c r="CX43" s="435"/>
      <c r="CY43" s="432"/>
      <c r="CZ43" s="429"/>
      <c r="DA43" s="430"/>
      <c r="DB43" s="435"/>
      <c r="DC43" s="435"/>
      <c r="DD43" s="432"/>
      <c r="DE43" s="429"/>
      <c r="DF43" s="430"/>
      <c r="DG43" s="435"/>
      <c r="DH43" s="435"/>
      <c r="DI43" s="432"/>
      <c r="DJ43" s="429"/>
      <c r="DK43" s="430"/>
      <c r="DL43" s="435"/>
      <c r="DM43" s="435"/>
      <c r="DN43" s="432"/>
      <c r="DO43" s="429"/>
      <c r="DP43" s="430"/>
      <c r="DQ43" s="435"/>
      <c r="DR43" s="435"/>
      <c r="DS43" s="432"/>
      <c r="DT43" s="429"/>
    </row>
    <row r="44" spans="1:124" ht="12.75" customHeight="1" thickBot="1" x14ac:dyDescent="0.25">
      <c r="B44" s="377"/>
      <c r="C44" s="377"/>
      <c r="D44" s="377"/>
      <c r="E44" s="539"/>
      <c r="F44" s="540"/>
      <c r="G44" s="540"/>
      <c r="H44" s="581"/>
      <c r="I44" s="438"/>
      <c r="J44" s="439"/>
      <c r="K44" s="483"/>
      <c r="L44" s="440"/>
      <c r="M44" s="484"/>
      <c r="N44" s="485"/>
      <c r="O44" s="485"/>
      <c r="P44" s="486"/>
      <c r="Q44" s="440"/>
      <c r="R44" s="484"/>
      <c r="S44" s="485"/>
      <c r="T44" s="485"/>
      <c r="U44" s="486"/>
      <c r="V44" s="440"/>
      <c r="W44" s="484"/>
      <c r="X44" s="485"/>
      <c r="Y44" s="485"/>
      <c r="Z44" s="486"/>
      <c r="AA44" s="440"/>
      <c r="AB44" s="484"/>
      <c r="AC44" s="485"/>
      <c r="AD44" s="485"/>
      <c r="AE44" s="486"/>
      <c r="AF44" s="440"/>
      <c r="AG44" s="484"/>
      <c r="AH44" s="485"/>
      <c r="AI44" s="485"/>
      <c r="AJ44" s="486"/>
      <c r="AK44" s="440"/>
      <c r="AL44" s="484"/>
      <c r="AM44" s="485"/>
      <c r="AN44" s="485"/>
      <c r="AO44" s="486"/>
      <c r="AP44" s="440"/>
      <c r="AQ44" s="484"/>
      <c r="AR44" s="485"/>
      <c r="AS44" s="485"/>
      <c r="AT44" s="486"/>
      <c r="AU44" s="440"/>
      <c r="AV44" s="484"/>
      <c r="AW44" s="485"/>
      <c r="AX44" s="485"/>
      <c r="AY44" s="486"/>
      <c r="AZ44" s="440"/>
      <c r="BA44" s="484"/>
      <c r="BB44" s="485"/>
      <c r="BC44" s="485"/>
      <c r="BD44" s="486"/>
      <c r="BE44" s="440"/>
      <c r="BF44" s="484"/>
      <c r="BG44" s="485"/>
      <c r="BH44" s="485"/>
      <c r="BI44" s="486"/>
      <c r="BJ44" s="440"/>
      <c r="BK44" s="484"/>
      <c r="BL44" s="485"/>
      <c r="BM44" s="485"/>
      <c r="BN44" s="486"/>
      <c r="BO44" s="440"/>
      <c r="BP44" s="487"/>
      <c r="BQ44" s="442"/>
      <c r="BR44" s="488"/>
      <c r="BS44" s="489"/>
      <c r="BT44" s="489"/>
      <c r="BU44" s="490"/>
      <c r="BV44" s="442"/>
      <c r="BW44" s="488"/>
      <c r="BX44" s="489"/>
      <c r="BY44" s="489"/>
      <c r="BZ44" s="490"/>
      <c r="CA44" s="442"/>
      <c r="CB44" s="488"/>
      <c r="CC44" s="489"/>
      <c r="CD44" s="489"/>
      <c r="CE44" s="490"/>
      <c r="CF44" s="442"/>
      <c r="CG44" s="488"/>
      <c r="CH44" s="489"/>
      <c r="CI44" s="489"/>
      <c r="CJ44" s="490"/>
      <c r="CK44" s="442"/>
      <c r="CL44" s="488"/>
      <c r="CM44" s="489"/>
      <c r="CN44" s="489"/>
      <c r="CO44" s="490"/>
      <c r="CP44" s="442"/>
      <c r="CQ44" s="488"/>
      <c r="CR44" s="489"/>
      <c r="CS44" s="489"/>
      <c r="CT44" s="490"/>
      <c r="CU44" s="442"/>
      <c r="CV44" s="488"/>
      <c r="CW44" s="489"/>
      <c r="CX44" s="489"/>
      <c r="CY44" s="490"/>
      <c r="CZ44" s="442"/>
      <c r="DA44" s="488"/>
      <c r="DB44" s="489"/>
      <c r="DC44" s="489"/>
      <c r="DD44" s="490"/>
      <c r="DE44" s="442"/>
      <c r="DF44" s="488"/>
      <c r="DG44" s="489"/>
      <c r="DH44" s="489"/>
      <c r="DI44" s="490"/>
      <c r="DJ44" s="442"/>
      <c r="DK44" s="488"/>
      <c r="DL44" s="489"/>
      <c r="DM44" s="489"/>
      <c r="DN44" s="490"/>
      <c r="DO44" s="442"/>
      <c r="DP44" s="488"/>
      <c r="DQ44" s="489"/>
      <c r="DR44" s="489"/>
      <c r="DS44" s="490"/>
      <c r="DT44" s="442"/>
    </row>
    <row r="45" spans="1:124" ht="12.75" customHeight="1" x14ac:dyDescent="0.2">
      <c r="B45" s="16" t="s">
        <v>244</v>
      </c>
      <c r="C45" s="16"/>
      <c r="D45" s="17"/>
      <c r="E45" s="530"/>
      <c r="F45" s="537"/>
      <c r="G45" s="537"/>
      <c r="H45" s="582"/>
      <c r="I45" s="492"/>
      <c r="J45" s="446"/>
      <c r="K45" s="493"/>
      <c r="L45" s="397"/>
      <c r="M45" s="394"/>
      <c r="N45" s="404"/>
      <c r="O45" s="404"/>
      <c r="P45" s="396"/>
      <c r="Q45" s="397"/>
      <c r="R45" s="394"/>
      <c r="S45" s="404"/>
      <c r="T45" s="404"/>
      <c r="U45" s="396"/>
      <c r="V45" s="397"/>
      <c r="W45" s="394"/>
      <c r="X45" s="404"/>
      <c r="Y45" s="404"/>
      <c r="Z45" s="396"/>
      <c r="AA45" s="397"/>
      <c r="AB45" s="394"/>
      <c r="AC45" s="404"/>
      <c r="AD45" s="404"/>
      <c r="AE45" s="396"/>
      <c r="AF45" s="397"/>
      <c r="AG45" s="394"/>
      <c r="AH45" s="404"/>
      <c r="AI45" s="404"/>
      <c r="AJ45" s="396"/>
      <c r="AK45" s="397"/>
      <c r="AL45" s="394"/>
      <c r="AM45" s="404"/>
      <c r="AN45" s="404"/>
      <c r="AO45" s="396"/>
      <c r="AP45" s="397"/>
      <c r="AQ45" s="394"/>
      <c r="AR45" s="404"/>
      <c r="AS45" s="404"/>
      <c r="AT45" s="396"/>
      <c r="AU45" s="397"/>
      <c r="AV45" s="394"/>
      <c r="AW45" s="404"/>
      <c r="AX45" s="404"/>
      <c r="AY45" s="396"/>
      <c r="AZ45" s="397"/>
      <c r="BA45" s="394"/>
      <c r="BB45" s="404"/>
      <c r="BC45" s="404"/>
      <c r="BD45" s="396"/>
      <c r="BE45" s="397"/>
      <c r="BF45" s="394"/>
      <c r="BG45" s="404"/>
      <c r="BH45" s="404"/>
      <c r="BI45" s="396"/>
      <c r="BJ45" s="397"/>
      <c r="BK45" s="394"/>
      <c r="BL45" s="404"/>
      <c r="BM45" s="404"/>
      <c r="BN45" s="396"/>
      <c r="BO45" s="397"/>
      <c r="BP45" s="494"/>
      <c r="BQ45" s="403"/>
      <c r="BR45" s="400"/>
      <c r="BS45" s="406"/>
      <c r="BT45" s="406"/>
      <c r="BU45" s="402"/>
      <c r="BV45" s="403"/>
      <c r="BW45" s="400"/>
      <c r="BX45" s="406"/>
      <c r="BY45" s="406"/>
      <c r="BZ45" s="402"/>
      <c r="CA45" s="403"/>
      <c r="CB45" s="400"/>
      <c r="CC45" s="406"/>
      <c r="CD45" s="406"/>
      <c r="CE45" s="402"/>
      <c r="CF45" s="403"/>
      <c r="CG45" s="400"/>
      <c r="CH45" s="406"/>
      <c r="CI45" s="406"/>
      <c r="CJ45" s="402"/>
      <c r="CK45" s="403"/>
      <c r="CL45" s="400"/>
      <c r="CM45" s="406"/>
      <c r="CN45" s="406"/>
      <c r="CO45" s="402"/>
      <c r="CP45" s="403"/>
      <c r="CQ45" s="400"/>
      <c r="CR45" s="406"/>
      <c r="CS45" s="406"/>
      <c r="CT45" s="402"/>
      <c r="CU45" s="403"/>
      <c r="CV45" s="400"/>
      <c r="CW45" s="406"/>
      <c r="CX45" s="406"/>
      <c r="CY45" s="402"/>
      <c r="CZ45" s="403"/>
      <c r="DA45" s="400"/>
      <c r="DB45" s="406"/>
      <c r="DC45" s="406"/>
      <c r="DD45" s="402"/>
      <c r="DE45" s="403"/>
      <c r="DF45" s="400"/>
      <c r="DG45" s="406"/>
      <c r="DH45" s="406"/>
      <c r="DI45" s="402"/>
      <c r="DJ45" s="403"/>
      <c r="DK45" s="400"/>
      <c r="DL45" s="406"/>
      <c r="DM45" s="406"/>
      <c r="DN45" s="402"/>
      <c r="DO45" s="403"/>
      <c r="DP45" s="400"/>
      <c r="DQ45" s="406"/>
      <c r="DR45" s="406"/>
      <c r="DS45" s="402"/>
      <c r="DT45" s="403"/>
    </row>
    <row r="46" spans="1:124" ht="12.75" customHeight="1" x14ac:dyDescent="0.2">
      <c r="C46" s="26"/>
      <c r="D46" s="26"/>
      <c r="E46" s="530"/>
      <c r="F46" s="537"/>
      <c r="G46" s="537"/>
      <c r="H46" s="582"/>
      <c r="I46" s="492"/>
      <c r="J46" s="446"/>
      <c r="K46" s="495"/>
      <c r="L46" s="397"/>
      <c r="M46" s="394"/>
      <c r="N46" s="404"/>
      <c r="O46" s="404"/>
      <c r="P46" s="396"/>
      <c r="Q46" s="397"/>
      <c r="R46" s="394"/>
      <c r="S46" s="404"/>
      <c r="T46" s="404"/>
      <c r="U46" s="396"/>
      <c r="V46" s="397"/>
      <c r="W46" s="394"/>
      <c r="X46" s="404"/>
      <c r="Y46" s="404"/>
      <c r="Z46" s="396"/>
      <c r="AA46" s="397"/>
      <c r="AB46" s="394"/>
      <c r="AC46" s="404"/>
      <c r="AD46" s="404"/>
      <c r="AE46" s="396"/>
      <c r="AF46" s="397"/>
      <c r="AG46" s="394"/>
      <c r="AH46" s="404"/>
      <c r="AI46" s="404"/>
      <c r="AJ46" s="396"/>
      <c r="AK46" s="397"/>
      <c r="AL46" s="394"/>
      <c r="AM46" s="404"/>
      <c r="AN46" s="404"/>
      <c r="AO46" s="396"/>
      <c r="AP46" s="397"/>
      <c r="AQ46" s="394"/>
      <c r="AR46" s="404"/>
      <c r="AS46" s="404"/>
      <c r="AT46" s="396"/>
      <c r="AU46" s="397"/>
      <c r="AV46" s="394"/>
      <c r="AW46" s="404"/>
      <c r="AX46" s="404"/>
      <c r="AY46" s="396"/>
      <c r="AZ46" s="397"/>
      <c r="BA46" s="394"/>
      <c r="BB46" s="404"/>
      <c r="BC46" s="404"/>
      <c r="BD46" s="396"/>
      <c r="BE46" s="397"/>
      <c r="BF46" s="394"/>
      <c r="BG46" s="404"/>
      <c r="BH46" s="404"/>
      <c r="BI46" s="396"/>
      <c r="BJ46" s="397"/>
      <c r="BK46" s="394"/>
      <c r="BL46" s="404"/>
      <c r="BM46" s="404"/>
      <c r="BN46" s="396"/>
      <c r="BO46" s="397"/>
      <c r="BP46" s="445"/>
      <c r="BQ46" s="403"/>
      <c r="BR46" s="400"/>
      <c r="BS46" s="406"/>
      <c r="BT46" s="406"/>
      <c r="BU46" s="402"/>
      <c r="BV46" s="403"/>
      <c r="BW46" s="400"/>
      <c r="BX46" s="406"/>
      <c r="BY46" s="406"/>
      <c r="BZ46" s="402"/>
      <c r="CA46" s="403"/>
      <c r="CB46" s="400"/>
      <c r="CC46" s="406"/>
      <c r="CD46" s="406"/>
      <c r="CE46" s="402"/>
      <c r="CF46" s="403"/>
      <c r="CG46" s="400"/>
      <c r="CH46" s="406"/>
      <c r="CI46" s="406"/>
      <c r="CJ46" s="402"/>
      <c r="CK46" s="403"/>
      <c r="CL46" s="400"/>
      <c r="CM46" s="406"/>
      <c r="CN46" s="406"/>
      <c r="CO46" s="402"/>
      <c r="CP46" s="403"/>
      <c r="CQ46" s="400"/>
      <c r="CR46" s="406"/>
      <c r="CS46" s="406"/>
      <c r="CT46" s="402"/>
      <c r="CU46" s="403"/>
      <c r="CV46" s="400"/>
      <c r="CW46" s="406"/>
      <c r="CX46" s="406"/>
      <c r="CY46" s="402"/>
      <c r="CZ46" s="403"/>
      <c r="DA46" s="400"/>
      <c r="DB46" s="406"/>
      <c r="DC46" s="406"/>
      <c r="DD46" s="402"/>
      <c r="DE46" s="403"/>
      <c r="DF46" s="400"/>
      <c r="DG46" s="406"/>
      <c r="DH46" s="406"/>
      <c r="DI46" s="402"/>
      <c r="DJ46" s="403"/>
      <c r="DK46" s="400"/>
      <c r="DL46" s="406"/>
      <c r="DM46" s="406"/>
      <c r="DN46" s="402"/>
      <c r="DO46" s="403"/>
      <c r="DP46" s="400"/>
      <c r="DQ46" s="406"/>
      <c r="DR46" s="406"/>
      <c r="DS46" s="402"/>
      <c r="DT46" s="403"/>
    </row>
    <row r="47" spans="1:124" ht="12.75" customHeight="1" x14ac:dyDescent="0.2">
      <c r="C47" s="240" t="s">
        <v>333</v>
      </c>
      <c r="D47" s="240"/>
      <c r="E47" s="530"/>
      <c r="F47" s="537"/>
      <c r="G47" s="537"/>
      <c r="H47" s="583"/>
      <c r="I47" s="491"/>
      <c r="J47" s="491"/>
      <c r="K47" s="496"/>
      <c r="L47" s="397"/>
      <c r="M47" s="394"/>
      <c r="N47" s="404"/>
      <c r="O47" s="404"/>
      <c r="P47" s="396"/>
      <c r="Q47" s="397"/>
      <c r="R47" s="394"/>
      <c r="S47" s="404"/>
      <c r="T47" s="404"/>
      <c r="U47" s="396"/>
      <c r="V47" s="397"/>
      <c r="W47" s="394"/>
      <c r="X47" s="404"/>
      <c r="Y47" s="404"/>
      <c r="Z47" s="396"/>
      <c r="AA47" s="397"/>
      <c r="AB47" s="394"/>
      <c r="AC47" s="404"/>
      <c r="AD47" s="404"/>
      <c r="AE47" s="396"/>
      <c r="AF47" s="397"/>
      <c r="AG47" s="394"/>
      <c r="AH47" s="404"/>
      <c r="AI47" s="404"/>
      <c r="AJ47" s="396"/>
      <c r="AK47" s="397"/>
      <c r="AL47" s="394"/>
      <c r="AM47" s="404"/>
      <c r="AN47" s="404"/>
      <c r="AO47" s="396"/>
      <c r="AP47" s="397"/>
      <c r="AQ47" s="394"/>
      <c r="AR47" s="404"/>
      <c r="AS47" s="404"/>
      <c r="AT47" s="396"/>
      <c r="AU47" s="397"/>
      <c r="AV47" s="394"/>
      <c r="AW47" s="404"/>
      <c r="AX47" s="404"/>
      <c r="AY47" s="396"/>
      <c r="AZ47" s="397"/>
      <c r="BA47" s="394"/>
      <c r="BB47" s="404"/>
      <c r="BC47" s="404"/>
      <c r="BD47" s="396"/>
      <c r="BE47" s="397"/>
      <c r="BF47" s="394"/>
      <c r="BG47" s="404"/>
      <c r="BH47" s="404"/>
      <c r="BI47" s="396"/>
      <c r="BJ47" s="397"/>
      <c r="BK47" s="394"/>
      <c r="BL47" s="404"/>
      <c r="BM47" s="404"/>
      <c r="BN47" s="396"/>
      <c r="BO47" s="397"/>
      <c r="BP47" s="445"/>
      <c r="BQ47" s="403"/>
      <c r="BR47" s="400"/>
      <c r="BS47" s="406"/>
      <c r="BT47" s="406"/>
      <c r="BU47" s="402"/>
      <c r="BV47" s="403"/>
      <c r="BW47" s="400"/>
      <c r="BX47" s="406"/>
      <c r="BY47" s="406"/>
      <c r="BZ47" s="402"/>
      <c r="CA47" s="403"/>
      <c r="CB47" s="400"/>
      <c r="CC47" s="406"/>
      <c r="CD47" s="406"/>
      <c r="CE47" s="402"/>
      <c r="CF47" s="403"/>
      <c r="CG47" s="400"/>
      <c r="CH47" s="406"/>
      <c r="CI47" s="406"/>
      <c r="CJ47" s="402"/>
      <c r="CK47" s="403"/>
      <c r="CL47" s="400"/>
      <c r="CM47" s="406"/>
      <c r="CN47" s="406"/>
      <c r="CO47" s="402"/>
      <c r="CP47" s="403"/>
      <c r="CQ47" s="400"/>
      <c r="CR47" s="406"/>
      <c r="CS47" s="406"/>
      <c r="CT47" s="402"/>
      <c r="CU47" s="403"/>
      <c r="CV47" s="400"/>
      <c r="CW47" s="406"/>
      <c r="CX47" s="406"/>
      <c r="CY47" s="402"/>
      <c r="CZ47" s="403"/>
      <c r="DA47" s="400"/>
      <c r="DB47" s="406"/>
      <c r="DC47" s="406"/>
      <c r="DD47" s="402"/>
      <c r="DE47" s="403"/>
      <c r="DF47" s="400"/>
      <c r="DG47" s="406"/>
      <c r="DH47" s="406"/>
      <c r="DI47" s="402"/>
      <c r="DJ47" s="403"/>
      <c r="DK47" s="400"/>
      <c r="DL47" s="406"/>
      <c r="DM47" s="406"/>
      <c r="DN47" s="402"/>
      <c r="DO47" s="403"/>
      <c r="DP47" s="400"/>
      <c r="DQ47" s="406"/>
      <c r="DR47" s="406"/>
      <c r="DS47" s="402"/>
      <c r="DT47" s="403"/>
    </row>
    <row r="48" spans="1:124" ht="12.75" customHeight="1" x14ac:dyDescent="0.2">
      <c r="C48" s="20" t="s">
        <v>361</v>
      </c>
      <c r="D48" s="240"/>
      <c r="E48" s="530"/>
      <c r="F48" s="537"/>
      <c r="G48" s="537"/>
      <c r="H48" s="583"/>
      <c r="I48" s="491"/>
      <c r="J48" s="491"/>
      <c r="K48" s="496"/>
      <c r="L48" s="397"/>
      <c r="M48" s="394"/>
      <c r="N48" s="404"/>
      <c r="O48" s="404"/>
      <c r="P48" s="396"/>
      <c r="Q48" s="397"/>
      <c r="R48" s="394"/>
      <c r="S48" s="404"/>
      <c r="T48" s="404"/>
      <c r="U48" s="396"/>
      <c r="V48" s="397"/>
      <c r="W48" s="394"/>
      <c r="X48" s="404"/>
      <c r="Y48" s="404"/>
      <c r="Z48" s="396"/>
      <c r="AA48" s="397"/>
      <c r="AB48" s="394"/>
      <c r="AC48" s="404"/>
      <c r="AD48" s="404"/>
      <c r="AE48" s="396"/>
      <c r="AF48" s="397"/>
      <c r="AG48" s="394"/>
      <c r="AH48" s="404"/>
      <c r="AI48" s="404"/>
      <c r="AJ48" s="396"/>
      <c r="AK48" s="397"/>
      <c r="AL48" s="394"/>
      <c r="AM48" s="404"/>
      <c r="AN48" s="404"/>
      <c r="AO48" s="396"/>
      <c r="AP48" s="397"/>
      <c r="AQ48" s="394"/>
      <c r="AR48" s="404"/>
      <c r="AS48" s="404"/>
      <c r="AT48" s="396"/>
      <c r="AU48" s="397"/>
      <c r="AV48" s="394"/>
      <c r="AW48" s="404"/>
      <c r="AX48" s="404"/>
      <c r="AY48" s="396"/>
      <c r="AZ48" s="397"/>
      <c r="BA48" s="394"/>
      <c r="BB48" s="404"/>
      <c r="BC48" s="404"/>
      <c r="BD48" s="396"/>
      <c r="BE48" s="397"/>
      <c r="BF48" s="394"/>
      <c r="BG48" s="404"/>
      <c r="BH48" s="404"/>
      <c r="BI48" s="396"/>
      <c r="BJ48" s="397"/>
      <c r="BK48" s="394"/>
      <c r="BL48" s="404"/>
      <c r="BM48" s="404"/>
      <c r="BN48" s="396"/>
      <c r="BO48" s="397"/>
      <c r="BP48" s="445"/>
      <c r="BQ48" s="403"/>
      <c r="BR48" s="400"/>
      <c r="BS48" s="406"/>
      <c r="BT48" s="406"/>
      <c r="BU48" s="402"/>
      <c r="BV48" s="403"/>
      <c r="BW48" s="400"/>
      <c r="BX48" s="406"/>
      <c r="BY48" s="406"/>
      <c r="BZ48" s="402"/>
      <c r="CA48" s="403"/>
      <c r="CB48" s="400"/>
      <c r="CC48" s="406"/>
      <c r="CD48" s="406"/>
      <c r="CE48" s="402"/>
      <c r="CF48" s="403"/>
      <c r="CG48" s="400"/>
      <c r="CH48" s="406"/>
      <c r="CI48" s="406"/>
      <c r="CJ48" s="402"/>
      <c r="CK48" s="403"/>
      <c r="CL48" s="400"/>
      <c r="CM48" s="406"/>
      <c r="CN48" s="406"/>
      <c r="CO48" s="402"/>
      <c r="CP48" s="403"/>
      <c r="CQ48" s="400"/>
      <c r="CR48" s="406"/>
      <c r="CS48" s="406"/>
      <c r="CT48" s="402"/>
      <c r="CU48" s="403"/>
      <c r="CV48" s="400"/>
      <c r="CW48" s="406"/>
      <c r="CX48" s="406"/>
      <c r="CY48" s="402"/>
      <c r="CZ48" s="403"/>
      <c r="DA48" s="400"/>
      <c r="DB48" s="406"/>
      <c r="DC48" s="406"/>
      <c r="DD48" s="402"/>
      <c r="DE48" s="403"/>
      <c r="DF48" s="400"/>
      <c r="DG48" s="406"/>
      <c r="DH48" s="406"/>
      <c r="DI48" s="402"/>
      <c r="DJ48" s="403"/>
      <c r="DK48" s="400"/>
      <c r="DL48" s="406"/>
      <c r="DM48" s="406"/>
      <c r="DN48" s="402"/>
      <c r="DO48" s="403"/>
      <c r="DP48" s="400"/>
      <c r="DQ48" s="406"/>
      <c r="DR48" s="406"/>
      <c r="DS48" s="402"/>
      <c r="DT48" s="403"/>
    </row>
    <row r="49" spans="3:139" ht="12.75" customHeight="1" x14ac:dyDescent="0.2">
      <c r="C49" s="511" t="s">
        <v>362</v>
      </c>
      <c r="D49" s="70"/>
      <c r="E49" s="530">
        <f t="shared" ref="E49:E64" si="472">IF(F49=0,G49,F49)</f>
        <v>500</v>
      </c>
      <c r="F49" s="531">
        <v>0</v>
      </c>
      <c r="G49" s="531">
        <v>500</v>
      </c>
      <c r="H49" s="449">
        <v>2017</v>
      </c>
      <c r="I49" s="450">
        <v>5.2499999999999998E-2</v>
      </c>
      <c r="J49" s="451">
        <v>9</v>
      </c>
      <c r="K49" s="392"/>
      <c r="L49" s="397">
        <f t="shared" ref="L49:L63" si="473">IF(L$5=$H49,-$E49,0)</f>
        <v>0</v>
      </c>
      <c r="M49" s="394">
        <f t="shared" ref="M49:M59" si="474">IF(Q49=0,0,IF(Q49&lt;0,IF($J49=3,Q49,IF($J49=2,Q49,IF($J49=1,Q49,0)))))</f>
        <v>0</v>
      </c>
      <c r="N49" s="404">
        <f t="shared" ref="N49:N59" si="475">IF(Q49=0,0,IF(Q49&lt;0,IF($J49=6,Q49,IF($J49=5,Q49,IF($J49=4,Q49,0)))))</f>
        <v>0</v>
      </c>
      <c r="O49" s="404">
        <f t="shared" ref="O49:O59" si="476">IF(Q49=0,0,IF(Q49&lt;0,IF($J49=9,Q49,IF($J49=8,Q49,IF($J49=7,Q49,0)))))</f>
        <v>0</v>
      </c>
      <c r="P49" s="396">
        <f t="shared" ref="P49:P59" si="477">IF(Q49=0,0,IF(Q49&lt;0,IF($J49=12,Q49,IF($J49=11,Q49,IF($J49=10,Q49,0)))))</f>
        <v>0</v>
      </c>
      <c r="Q49" s="397">
        <f t="shared" ref="Q49:Q63" si="478">IF(Q$5=$H49,-$E49,0)</f>
        <v>0</v>
      </c>
      <c r="R49" s="394">
        <f t="shared" ref="R49:R59" si="479">IF(V49=0,0,IF(V49&lt;0,IF($J49=3,V49,IF($J49=2,V49,IF($J49=1,V49,0)))))</f>
        <v>0</v>
      </c>
      <c r="S49" s="404">
        <f t="shared" ref="S49:S59" si="480">IF(V49=0,0,IF(V49&lt;0,IF($J49=6,V49,IF($J49=5,V49,IF($J49=4,V49,0)))))</f>
        <v>0</v>
      </c>
      <c r="T49" s="404">
        <f t="shared" ref="T49:T59" si="481">IF(V49=0,0,IF(V49&lt;0,IF($J49=9,V49,IF($J49=8,V49,IF($J49=7,V49,0)))))</f>
        <v>0</v>
      </c>
      <c r="U49" s="396">
        <f t="shared" ref="U49:U59" si="482">IF(V49=0,0,IF(V49&lt;0,IF($J49=12,V49,IF($J49=11,V49,IF($J49=10,V49,0)))))</f>
        <v>0</v>
      </c>
      <c r="V49" s="397">
        <f t="shared" ref="V49:V63" si="483">IF(V$5=$H49,-$E49,0)</f>
        <v>0</v>
      </c>
      <c r="W49" s="394">
        <f t="shared" ref="W49:W59" si="484">IF(AA49=0,0,IF(AA49&lt;0,IF($J49=3,AA49,IF($J49=2,AA49,IF($J49=1,AA49,0)))))</f>
        <v>0</v>
      </c>
      <c r="X49" s="404">
        <f t="shared" ref="X49:X59" si="485">IF(AA49=0,0,IF(AA49&lt;0,IF($J49=6,AA49,IF($J49=5,AA49,IF($J49=4,AA49,0)))))</f>
        <v>0</v>
      </c>
      <c r="Y49" s="404">
        <f t="shared" ref="Y49:Y59" si="486">IF(AA49=0,0,IF(AA49&lt;0,IF($J49=9,AA49,IF($J49=8,AA49,IF($J49=7,AA49,0)))))</f>
        <v>0</v>
      </c>
      <c r="Z49" s="396">
        <f t="shared" ref="Z49:Z59" si="487">IF(AA49=0,0,IF(AA49&lt;0,IF($J49=12,AA49,IF($J49=11,AA49,IF($J49=10,AA49,0)))))</f>
        <v>0</v>
      </c>
      <c r="AA49" s="397">
        <f t="shared" ref="AA49:AA63" si="488">IF(AA$5=$H49,-$E49,0)</f>
        <v>0</v>
      </c>
      <c r="AB49" s="394">
        <f t="shared" ref="AB49:AB59" si="489">IF(AF49=0,0,IF(AF49&lt;0,IF($J49=3,AF49,IF($J49=2,AF49,IF($J49=1,AF49,0)))))</f>
        <v>0</v>
      </c>
      <c r="AC49" s="404">
        <f t="shared" ref="AC49:AC59" si="490">IF(AF49=0,0,IF(AF49&lt;0,IF($J49=6,AF49,IF($J49=5,AF49,IF($J49=4,AF49,0)))))</f>
        <v>0</v>
      </c>
      <c r="AD49" s="404">
        <f t="shared" ref="AD49:AD59" si="491">IF(AF49=0,0,IF(AF49&lt;0,IF($J49=9,AF49,IF($J49=8,AF49,IF($J49=7,AF49,0)))))</f>
        <v>0</v>
      </c>
      <c r="AE49" s="396">
        <f t="shared" ref="AE49:AE59" si="492">IF(AF49=0,0,IF(AF49&lt;0,IF($J49=12,AF49,IF($J49=11,AF49,IF($J49=10,AF49,0)))))</f>
        <v>0</v>
      </c>
      <c r="AF49" s="397">
        <f t="shared" ref="AF49:AF63" si="493">IF(AF$5=$H49,-$E49,0)</f>
        <v>0</v>
      </c>
      <c r="AG49" s="394">
        <f t="shared" ref="AG49:AG59" si="494">IF(AK49=0,0,IF(AK49&lt;0,IF($J49=3,AK49,IF($J49=2,AK49,IF($J49=1,AK49,0)))))</f>
        <v>0</v>
      </c>
      <c r="AH49" s="404">
        <f t="shared" ref="AH49:AH59" si="495">IF(AK49=0,0,IF(AK49&lt;0,IF($J49=6,AK49,IF($J49=5,AK49,IF($J49=4,AK49,0)))))</f>
        <v>0</v>
      </c>
      <c r="AI49" s="404">
        <f t="shared" ref="AI49:AI59" si="496">IF(AK49=0,0,IF(AK49&lt;0,IF($J49=9,AK49,IF($J49=8,AK49,IF($J49=7,AK49,0)))))</f>
        <v>0</v>
      </c>
      <c r="AJ49" s="396">
        <f t="shared" ref="AJ49:AJ59" si="497">IF(AK49=0,0,IF(AK49&lt;0,IF($J49=12,AK49,IF($J49=11,AK49,IF($J49=10,AK49,0)))))</f>
        <v>0</v>
      </c>
      <c r="AK49" s="397">
        <f t="shared" ref="AK49:AK63" si="498">IF(AK$5=$H49,-$E49,0)</f>
        <v>0</v>
      </c>
      <c r="AL49" s="394">
        <f t="shared" ref="AL49:AL59" si="499">IF(AP49=0,0,IF(AP49&lt;0,IF($J49=3,AP49,IF($J49=2,AP49,IF($J49=1,AP49,0)))))</f>
        <v>0</v>
      </c>
      <c r="AM49" s="404">
        <f t="shared" ref="AM49:AM59" si="500">IF(AP49=0,0,IF(AP49&lt;0,IF($J49=6,AP49,IF($J49=5,AP49,IF($J49=4,AP49,0)))))</f>
        <v>0</v>
      </c>
      <c r="AN49" s="404">
        <f t="shared" ref="AN49:AN59" si="501">IF(AP49=0,0,IF(AP49&lt;0,IF($J49=9,AP49,IF($J49=8,AP49,IF($J49=7,AP49,0)))))</f>
        <v>0</v>
      </c>
      <c r="AO49" s="396">
        <f t="shared" ref="AO49:AO59" si="502">IF(AP49=0,0,IF(AP49&lt;0,IF($J49=12,AP49,IF($J49=11,AP49,IF($J49=10,AP49,0)))))</f>
        <v>0</v>
      </c>
      <c r="AP49" s="397">
        <f t="shared" ref="AP49:AP63" si="503">IF(AP$5=$H49,-$E49,0)</f>
        <v>0</v>
      </c>
      <c r="AQ49" s="394">
        <f t="shared" ref="AQ49:AQ59" si="504">IF(AU49=0,0,IF(AU49&lt;0,IF($J49=3,AU49,IF($J49=2,AU49,IF($J49=1,AU49,0)))))</f>
        <v>0</v>
      </c>
      <c r="AR49" s="404">
        <f t="shared" ref="AR49:AR59" si="505">IF(AU49=0,0,IF(AU49&lt;0,IF($J49=6,AU49,IF($J49=5,AU49,IF($J49=4,AU49,0)))))</f>
        <v>0</v>
      </c>
      <c r="AS49" s="404">
        <f t="shared" ref="AS49:AS59" si="506">IF(AU49=0,0,IF(AU49&lt;0,IF($J49=9,AU49,IF($J49=8,AU49,IF($J49=7,AU49,0)))))</f>
        <v>-500</v>
      </c>
      <c r="AT49" s="396">
        <f t="shared" ref="AT49:AT59" si="507">IF(AU49=0,0,IF(AU49&lt;0,IF($J49=12,AU49,IF($J49=11,AU49,IF($J49=10,AU49,0)))))</f>
        <v>0</v>
      </c>
      <c r="AU49" s="397">
        <f t="shared" ref="AU49:AU63" si="508">IF(AU$5=$H49,-$E49,0)</f>
        <v>-500</v>
      </c>
      <c r="AV49" s="394">
        <f t="shared" ref="AV49:AV59" si="509">IF(AZ49=0,0,IF(AZ49&lt;0,IF($J49=3,AZ49,IF($J49=2,AZ49,IF($J49=1,AZ49,0)))))</f>
        <v>0</v>
      </c>
      <c r="AW49" s="404">
        <f t="shared" ref="AW49:AW59" si="510">IF(AZ49=0,0,IF(AZ49&lt;0,IF($J49=6,AZ49,IF($J49=5,AZ49,IF($J49=4,AZ49,0)))))</f>
        <v>0</v>
      </c>
      <c r="AX49" s="404">
        <f t="shared" ref="AX49:AX59" si="511">IF(AZ49=0,0,IF(AZ49&lt;0,IF($J49=9,AZ49,IF($J49=8,AZ49,IF($J49=7,AZ49,0)))))</f>
        <v>0</v>
      </c>
      <c r="AY49" s="396">
        <f t="shared" ref="AY49:AY59" si="512">IF(AZ49=0,0,IF(AZ49&lt;0,IF($J49=12,AZ49,IF($J49=11,AZ49,IF($J49=10,AZ49,0)))))</f>
        <v>0</v>
      </c>
      <c r="AZ49" s="397">
        <f t="shared" ref="AZ49:AZ63" si="513">IF(AZ$5=$H49,-$E49,0)</f>
        <v>0</v>
      </c>
      <c r="BA49" s="394">
        <f>IF(BE49=0,0,IF(BE49&lt;0,IF($J49=3,BE49,IF($J49=2,BE49,IF($J49=1,BE49,0)))))</f>
        <v>0</v>
      </c>
      <c r="BB49" s="404">
        <f>IF(BE49=0,0,IF(BE49&lt;0,IF($J49=6,BE49,IF($J49=5,BE49,IF($J49=4,BE49,0)))))</f>
        <v>0</v>
      </c>
      <c r="BC49" s="404">
        <f>IF(BE49=0,0,IF(BE49&lt;0,IF($J49=9,BE49,IF($J49=8,BE49,IF($J49=7,BE49,0)))))</f>
        <v>0</v>
      </c>
      <c r="BD49" s="396">
        <f>IF(BE49=0,0,IF(BE49&lt;0,IF($J49=12,BE49,IF($J49=11,BE49,IF($J49=10,BE49,0)))))</f>
        <v>0</v>
      </c>
      <c r="BE49" s="397">
        <f t="shared" ref="BE49:BE63" si="514">IF(BE$5=$H49,-$E49,0)</f>
        <v>0</v>
      </c>
      <c r="BF49" s="394">
        <f>IF(BJ49=0,0,IF(BJ49&lt;0,IF($J49=3,BJ49,IF($J49=2,BJ49,IF($J49=1,BJ49,0)))))</f>
        <v>0</v>
      </c>
      <c r="BG49" s="404">
        <f>IF(BJ49=0,0,IF(BJ49&lt;0,IF($J49=6,BJ49,IF($J49=5,BJ49,IF($J49=4,BJ49,0)))))</f>
        <v>0</v>
      </c>
      <c r="BH49" s="404">
        <f>IF(BJ49=0,0,IF(BJ49&lt;0,IF($J49=9,BJ49,IF($J49=8,BJ49,IF($J49=7,BJ49,0)))))</f>
        <v>0</v>
      </c>
      <c r="BI49" s="396">
        <f>IF(BJ49=0,0,IF(BJ49&lt;0,IF($J49=12,BJ49,IF($J49=11,BJ49,IF($J49=10,BJ49,0)))))</f>
        <v>0</v>
      </c>
      <c r="BJ49" s="397">
        <f t="shared" ref="BJ49:BJ63" si="515">IF(BJ$5=$H49,-$E49,0)</f>
        <v>0</v>
      </c>
      <c r="BK49" s="394">
        <f>IF(BO49=0,0,IF(BO49&lt;0,IF($J49=3,BO49,IF($J49=2,BO49,IF($J49=1,BO49,0)))))</f>
        <v>0</v>
      </c>
      <c r="BL49" s="404">
        <f>IF(BO49=0,0,IF(BO49&lt;0,IF($J49=6,BO49,IF($J49=5,BO49,IF($J49=4,BO49,0)))))</f>
        <v>0</v>
      </c>
      <c r="BM49" s="404">
        <f>IF(BO49=0,0,IF(BO49&lt;0,IF($J49=9,BO49,IF($J49=8,BO49,IF($J49=7,BO49,0)))))</f>
        <v>0</v>
      </c>
      <c r="BN49" s="396">
        <f>IF(BO49=0,0,IF(BO49&lt;0,IF($J49=12,BO49,IF($J49=11,BO49,IF($J49=10,BO49,0)))))</f>
        <v>0</v>
      </c>
      <c r="BO49" s="397">
        <f t="shared" ref="BO49:BO63" si="516">IF(BO$5=$H49,-$E49,0)</f>
        <v>0</v>
      </c>
      <c r="BP49" s="452"/>
      <c r="BQ49" s="403">
        <f t="shared" ref="BQ49:BQ60" si="517">IF(AND(BP49&lt;&gt;0,BP$5=$H49),-$I49*$E49-BP49,IF(BQ$5=$H49,-$I49*$E49*(12-$J49+1)/12,0))</f>
        <v>0</v>
      </c>
      <c r="BR49" s="400">
        <f t="shared" ref="BR49:BR59" si="518">IF($H49&lt;&gt;BV$5,0,IF(BV49&lt;0,IF($J49=1,-$E49*$I49/12*3,IF($J49=2,-$E49*$I49/12*2,IF($J49=3,-$E49*$I49/12*1,0)))))+IF(BQ$5&lt;&gt;$H49,0,IF(BQ49&lt;0,IF($J49=1,-$E49*$I49/12*0,IF($J49=2,-$E49*$I49/12*1,IF($J49=3,-$E49*$I49/12*2,IF($J49&gt;=4,-$E49*$I49/12*3,0))))))</f>
        <v>0</v>
      </c>
      <c r="BS49" s="406">
        <f t="shared" ref="BS49:BS59" si="519">IF($H49&lt;&gt;BV$5,0,IF(BV49&lt;0,IF(OR($J49=1,$J49=2,$J49=3,$J49=4),-$E49*$I49/12*3,IF($J49=5,-$E49*$I49/12*2,IF($J49=6,-$E49*$I49/12*1,0)))))+IF(BQ$5&lt;&gt;$H49,0,IF(BQ49&lt;0,IF($J49=4,-$E49*$I49/12*0,IF($J49=5,-$E49*$I49/12*1,IF($J49=6,-$E49*$I49/12*2,IF($J49&gt;=7,-$E49*$I49/12*3,0))))))</f>
        <v>0</v>
      </c>
      <c r="BT49" s="406">
        <f t="shared" ref="BT49:BT59" si="520">IF($H49&lt;&gt;BV$5,0,IF(BV49&lt;0,IF(OR($J49=1,$J49=2,$J49=3,$J49=4,$J49=5,$J49=6,$J49=7),-$E49*$I49/12*3,IF($J49=8,-$E49*$I49/12*2,IF($J49=9,-$E49*$I49/12*1,0)))))+IF(BQ$5&lt;&gt;$H49,0,IF(BQ49&lt;0,IF($J49=7,-$E49*$I49/12*0,IF($J49=8,-$E49*$I49/12*1,IF($J49=9,-$E49*$I49/12*2,IF($J49&gt;=10,-$E49*$I49/12*3,0))))))</f>
        <v>0</v>
      </c>
      <c r="BU49" s="402">
        <f t="shared" ref="BU49:BU59" si="521">IF($H49&lt;&gt;BV$5,0,IF(BV49&lt;0,IF(OR($J49=1,$J49=2,$J49=3,$J49=4,$J49=5,$J49=6,$J49=7,$J49=8,$J49=9,$J49=10),-$E49*$I49/12*3,IF($J49=11,-$E49*$I49/12*2,IF($J49=12,-$E49*$I49/12*1,0)))))+IF(BQ$5&lt;&gt;$H49,0,IF(BQ49&lt;0,IF($J49=10,-$E49*$I49/12*0,IF($J49=11,-$E49*$I49/12*1,IF($J49=12,-$E49*$I49/12*2,0)))))</f>
        <v>0</v>
      </c>
      <c r="BV49" s="403">
        <f t="shared" ref="BV49:BV59" si="522">IF(AND(BQ49&lt;&gt;0,BQ$5=$H49),-$I49*$E49-BQ49,IF(BV$5=$H49,-$I49*$E49*(12-$J49+1)/12,0))</f>
        <v>0</v>
      </c>
      <c r="BW49" s="400">
        <f t="shared" ref="BW49:BW59" si="523">IF($H49&lt;&gt;CA$5,0,IF(CA49&lt;0,IF($J49=1,-$E49*$I49/12*3,IF($J49=2,-$E49*$I49/12*2,IF($J49=3,-$E49*$I49/12*1,0)))))+IF(BV$5&lt;&gt;$H49,0,IF(BV49&lt;0,IF($J49=1,-$E49*$I49/12*0,IF($J49=2,-$E49*$I49/12*1,IF($J49=3,-$E49*$I49/12*2,IF($J49&gt;=4,-$E49*$I49/12*3,0))))))</f>
        <v>0</v>
      </c>
      <c r="BX49" s="406">
        <f t="shared" ref="BX49:BX59" si="524">IF($H49&lt;&gt;CA$5,0,IF(CA49&lt;0,IF(OR($J49=1,$J49=2,$J49=3,$J49=4),-$E49*$I49/12*3,IF($J49=5,-$E49*$I49/12*2,IF($J49=6,-$E49*$I49/12*1,0)))))+IF(BV$5&lt;&gt;$H49,0,IF(BV49&lt;0,IF($J49=4,-$E49*$I49/12*0,IF($J49=5,-$E49*$I49/12*1,IF($J49=6,-$E49*$I49/12*2,IF($J49&gt;=7,-$E49*$I49/12*3,0))))))</f>
        <v>0</v>
      </c>
      <c r="BY49" s="406">
        <f t="shared" ref="BY49:BY59" si="525">IF($H49&lt;&gt;CA$5,0,IF(CA49&lt;0,IF(OR($J49=1,$J49=2,$J49=3,$J49=4,$J49=5,$J49=6,$J49=7),-$E49*$I49/12*3,IF($J49=8,-$E49*$I49/12*2,IF($J49=9,-$E49*$I49/12*1,0)))))+IF(BV$5&lt;&gt;$H49,0,IF(BV49&lt;0,IF($J49=7,-$E49*$I49/12*0,IF($J49=8,-$E49*$I49/12*1,IF($J49=9,-$E49*$I49/12*2,IF($J49&gt;=10,-$E49*$I49/12*3,0))))))</f>
        <v>0</v>
      </c>
      <c r="BZ49" s="402">
        <f t="shared" ref="BZ49:BZ59" si="526">IF($H49&lt;&gt;CA$5,0,IF(CA49&lt;0,IF(OR($J49=1,$J49=2,$J49=3,$J49=4,$J49=5,$J49=6,$J49=7,$J49=8,$J49=9,$J49=10),-$E49*$I49/12*3,IF($J49=11,-$E49*$I49/12*2,IF($J49=12,-$E49*$I49/12*1,0)))))+IF(BV$5&lt;&gt;$H49,0,IF(BV49&lt;0,IF($J49=10,-$E49*$I49/12*0,IF($J49=11,-$E49*$I49/12*1,IF($J49=12,-$E49*$I49/12*2,0)))))</f>
        <v>0</v>
      </c>
      <c r="CA49" s="403">
        <f t="shared" ref="CA49:CA59" si="527">IF(AND(BV49&lt;&gt;0,BV$5=$H49),-$I49*$E49-BV49,IF(CA$5=$H49,-$I49*$E49*(12-$J49+1)/12,0))</f>
        <v>0</v>
      </c>
      <c r="CB49" s="400">
        <f t="shared" ref="CB49:CB59" si="528">IF($H49&lt;&gt;CF$5,0,IF(CF49&lt;0,IF($J49=1,-$E49*$I49/12*3,IF($J49=2,-$E49*$I49/12*2,IF($J49=3,-$E49*$I49/12*1,0)))))+IF(CA$5&lt;&gt;$H49,0,IF(CA49&lt;0,IF($J49=1,-$E49*$I49/12*0,IF($J49=2,-$E49*$I49/12*1,IF($J49=3,-$E49*$I49/12*2,IF($J49&gt;=4,-$E49*$I49/12*3,0))))))</f>
        <v>0</v>
      </c>
      <c r="CC49" s="406">
        <f t="shared" ref="CC49:CC59" si="529">IF($H49&lt;&gt;CF$5,0,IF(CF49&lt;0,IF(OR($J49=1,$J49=2,$J49=3,$J49=4),-$E49*$I49/12*3,IF($J49=5,-$E49*$I49/12*2,IF($J49=6,-$E49*$I49/12*1,0)))))+IF(CA$5&lt;&gt;$H49,0,IF(CA49&lt;0,IF($J49=4,-$E49*$I49/12*0,IF($J49=5,-$E49*$I49/12*1,IF($J49=6,-$E49*$I49/12*2,IF($J49&gt;=7,-$E49*$I49/12*3,0))))))</f>
        <v>0</v>
      </c>
      <c r="CD49" s="406">
        <f t="shared" ref="CD49:CD59" si="530">IF($H49&lt;&gt;CF$5,0,IF(CF49&lt;0,IF(OR($J49=1,$J49=2,$J49=3,$J49=4,$J49=5,$J49=6,$J49=7),-$E49*$I49/12*3,IF($J49=8,-$E49*$I49/12*2,IF($J49=9,-$E49*$I49/12*1,0)))))+IF(CA$5&lt;&gt;$H49,0,IF(CA49&lt;0,IF($J49=7,-$E49*$I49/12*0,IF($J49=8,-$E49*$I49/12*1,IF($J49=9,-$E49*$I49/12*2,IF($J49&gt;=10,-$E49*$I49/12*3,0))))))</f>
        <v>0</v>
      </c>
      <c r="CE49" s="402">
        <f t="shared" ref="CE49:CE59" si="531">IF($H49&lt;&gt;CF$5,0,IF(CF49&lt;0,IF(OR($J49=1,$J49=2,$J49=3,$J49=4,$J49=5,$J49=6,$J49=7,$J49=8,$J49=9,$J49=10),-$E49*$I49/12*3,IF($J49=11,-$E49*$I49/12*2,IF($J49=12,-$E49*$I49/12*1,0)))))+IF(CA$5&lt;&gt;$H49,0,IF(CA49&lt;0,IF($J49=10,-$E49*$I49/12*0,IF($J49=11,-$E49*$I49/12*1,IF($J49=12,-$E49*$I49/12*2,0)))))</f>
        <v>0</v>
      </c>
      <c r="CF49" s="403">
        <f t="shared" ref="CF49:CF59" si="532">IF(AND(CA49&lt;&gt;0,CA$5=$H49),-$I49*$E49-CA49,IF(CF$5=$H49,-$I49*$E49*(12-$J49+1)/12,0))</f>
        <v>0</v>
      </c>
      <c r="CG49" s="400">
        <f t="shared" ref="CG49:CG59" si="533">IF($H49&lt;&gt;CK$5,0,IF(CK49&lt;0,IF($J49=1,-$E49*$I49/12*3,IF($J49=2,-$E49*$I49/12*2,IF($J49=3,-$E49*$I49/12*1,0)))))+IF(CF$5&lt;&gt;$H49,0,IF(CF49&lt;0,IF($J49=1,-$E49*$I49/12*0,IF($J49=2,-$E49*$I49/12*1,IF($J49=3,-$E49*$I49/12*2,IF($J49&gt;=4,-$E49*$I49/12*3,0))))))</f>
        <v>0</v>
      </c>
      <c r="CH49" s="406">
        <f t="shared" ref="CH49:CH59" si="534">IF($H49&lt;&gt;CK$5,0,IF(CK49&lt;0,IF(OR($J49=1,$J49=2,$J49=3,$J49=4),-$E49*$I49/12*3,IF($J49=5,-$E49*$I49/12*2,IF($J49=6,-$E49*$I49/12*1,0)))))+IF(CF$5&lt;&gt;$H49,0,IF(CF49&lt;0,IF($J49=4,-$E49*$I49/12*0,IF($J49=5,-$E49*$I49/12*1,IF($J49=6,-$E49*$I49/12*2,IF($J49&gt;=7,-$E49*$I49/12*3,0))))))</f>
        <v>0</v>
      </c>
      <c r="CI49" s="406">
        <f t="shared" ref="CI49:CI59" si="535">IF($H49&lt;&gt;CK$5,0,IF(CK49&lt;0,IF(OR($J49=1,$J49=2,$J49=3,$J49=4,$J49=5,$J49=6,$J49=7),-$E49*$I49/12*3,IF($J49=8,-$E49*$I49/12*2,IF($J49=9,-$E49*$I49/12*1,0)))))+IF(CF$5&lt;&gt;$H49,0,IF(CF49&lt;0,IF($J49=7,-$E49*$I49/12*0,IF($J49=8,-$E49*$I49/12*1,IF($J49=9,-$E49*$I49/12*2,IF($J49&gt;=10,-$E49*$I49/12*3,0))))))</f>
        <v>0</v>
      </c>
      <c r="CJ49" s="402">
        <f t="shared" ref="CJ49:CJ59" si="536">IF($H49&lt;&gt;CK$5,0,IF(CK49&lt;0,IF(OR($J49=1,$J49=2,$J49=3,$J49=4,$J49=5,$J49=6,$J49=7,$J49=8,$J49=9,$J49=10),-$E49*$I49/12*3,IF($J49=11,-$E49*$I49/12*2,IF($J49=12,-$E49*$I49/12*1,0)))))+IF(CF$5&lt;&gt;$H49,0,IF(CF49&lt;0,IF($J49=10,-$E49*$I49/12*0,IF($J49=11,-$E49*$I49/12*1,IF($J49=12,-$E49*$I49/12*2,0)))))</f>
        <v>0</v>
      </c>
      <c r="CK49" s="403">
        <f t="shared" ref="CK49:CK59" si="537">IF(AND(CF49&lt;&gt;0,CF$5=$H49),-$I49*$E49-CF49,IF(CK$5=$H49,-$I49*$E49*(12-$J49+1)/12,0))</f>
        <v>0</v>
      </c>
      <c r="CL49" s="400">
        <f t="shared" ref="CL49:CL59" si="538">IF($H49&lt;&gt;CP$5,0,IF(CP49&lt;0,IF($J49=1,-$E49*$I49/12*3,IF($J49=2,-$E49*$I49/12*2,IF($J49=3,-$E49*$I49/12*1,0)))))+IF(CK$5&lt;&gt;$H49,0,IF(CK49&lt;0,IF($J49=1,-$E49*$I49/12*0,IF($J49=2,-$E49*$I49/12*1,IF($J49=3,-$E49*$I49/12*2,IF($J49&gt;=4,-$E49*$I49/12*3,0))))))</f>
        <v>0</v>
      </c>
      <c r="CM49" s="406">
        <f t="shared" ref="CM49:CM59" si="539">IF($H49&lt;&gt;CP$5,0,IF(CP49&lt;0,IF(OR($J49=1,$J49=2,$J49=3,$J49=4),-$E49*$I49/12*3,IF($J49=5,-$E49*$I49/12*2,IF($J49=6,-$E49*$I49/12*1,0)))))+IF(CK$5&lt;&gt;$H49,0,IF(CK49&lt;0,IF($J49=4,-$E49*$I49/12*0,IF($J49=5,-$E49*$I49/12*1,IF($J49=6,-$E49*$I49/12*2,IF($J49&gt;=7,-$E49*$I49/12*3,0))))))</f>
        <v>0</v>
      </c>
      <c r="CN49" s="406">
        <f t="shared" ref="CN49:CN59" si="540">IF($H49&lt;&gt;CP$5,0,IF(CP49&lt;0,IF(OR($J49=1,$J49=2,$J49=3,$J49=4,$J49=5,$J49=6,$J49=7),-$E49*$I49/12*3,IF($J49=8,-$E49*$I49/12*2,IF($J49=9,-$E49*$I49/12*1,0)))))+IF(CK$5&lt;&gt;$H49,0,IF(CK49&lt;0,IF($J49=7,-$E49*$I49/12*0,IF($J49=8,-$E49*$I49/12*1,IF($J49=9,-$E49*$I49/12*2,IF($J49&gt;=10,-$E49*$I49/12*3,0))))))</f>
        <v>0</v>
      </c>
      <c r="CO49" s="402">
        <f t="shared" ref="CO49:CO59" si="541">IF($H49&lt;&gt;CP$5,0,IF(CP49&lt;0,IF(OR($J49=1,$J49=2,$J49=3,$J49=4,$J49=5,$J49=6,$J49=7,$J49=8,$J49=9,$J49=10),-$E49*$I49/12*3,IF($J49=11,-$E49*$I49/12*2,IF($J49=12,-$E49*$I49/12*1,0)))))+IF(CK$5&lt;&gt;$H49,0,IF(CK49&lt;0,IF($J49=10,-$E49*$I49/12*0,IF($J49=11,-$E49*$I49/12*1,IF($J49=12,-$E49*$I49/12*2,0)))))</f>
        <v>0</v>
      </c>
      <c r="CP49" s="403">
        <f t="shared" ref="CP49:CP59" si="542">IF(AND(CK49&lt;&gt;0,CK$5=$H49),-$I49*$E49-CK49,IF(CP$5=$H49,-$I49*$E49*(12-$J49+1)/12,0))</f>
        <v>0</v>
      </c>
      <c r="CQ49" s="400">
        <f t="shared" ref="CQ49:CQ59" si="543">IF($H49&lt;&gt;CU$5,0,IF(CU49&lt;0,IF($J49=1,-$E49*$I49/12*3,IF($J49=2,-$E49*$I49/12*2,IF($J49=3,-$E49*$I49/12*1,0)))))+IF(CP$5&lt;&gt;$H49,0,IF(CP49&lt;0,IF($J49=1,-$E49*$I49/12*0,IF($J49=2,-$E49*$I49/12*1,IF($J49=3,-$E49*$I49/12*2,IF($J49&gt;=4,-$E49*$I49/12*3,0))))))</f>
        <v>0</v>
      </c>
      <c r="CR49" s="406">
        <f t="shared" ref="CR49:CR59" si="544">IF($H49&lt;&gt;CU$5,0,IF(CU49&lt;0,IF(OR($J49=1,$J49=2,$J49=3,$J49=4),-$E49*$I49/12*3,IF($J49=5,-$E49*$I49/12*2,IF($J49=6,-$E49*$I49/12*1,0)))))+IF(CP$5&lt;&gt;$H49,0,IF(CP49&lt;0,IF($J49=4,-$E49*$I49/12*0,IF($J49=5,-$E49*$I49/12*1,IF($J49=6,-$E49*$I49/12*2,IF($J49&gt;=7,-$E49*$I49/12*3,0))))))</f>
        <v>0</v>
      </c>
      <c r="CS49" s="406">
        <f t="shared" ref="CS49:CS59" si="545">IF($H49&lt;&gt;CU$5,0,IF(CU49&lt;0,IF(OR($J49=1,$J49=2,$J49=3,$J49=4,$J49=5,$J49=6,$J49=7),-$E49*$I49/12*3,IF($J49=8,-$E49*$I49/12*2,IF($J49=9,-$E49*$I49/12*1,0)))))+IF(CP$5&lt;&gt;$H49,0,IF(CP49&lt;0,IF($J49=7,-$E49*$I49/12*0,IF($J49=8,-$E49*$I49/12*1,IF($J49=9,-$E49*$I49/12*2,IF($J49&gt;=10,-$E49*$I49/12*3,0))))))</f>
        <v>0</v>
      </c>
      <c r="CT49" s="402">
        <f t="shared" ref="CT49:CT59" si="546">IF($H49&lt;&gt;CU$5,0,IF(CU49&lt;0,IF(OR($J49=1,$J49=2,$J49=3,$J49=4,$J49=5,$J49=6,$J49=7,$J49=8,$J49=9,$J49=10),-$E49*$I49/12*3,IF($J49=11,-$E49*$I49/12*2,IF($J49=12,-$E49*$I49/12*1,0)))))+IF(CP$5&lt;&gt;$H49,0,IF(CP49&lt;0,IF($J49=10,-$E49*$I49/12*0,IF($J49=11,-$E49*$I49/12*1,IF($J49=12,-$E49*$I49/12*2,0)))))</f>
        <v>0</v>
      </c>
      <c r="CU49" s="403">
        <f t="shared" ref="CU49:CU59" si="547">IF(AND(CP49&lt;&gt;0,CP$5=$H49),-$I49*$E49-CP49,IF(CU$5=$H49,-$I49*$E49*(12-$J49+1)/12,0))</f>
        <v>0</v>
      </c>
      <c r="CV49" s="400">
        <f t="shared" ref="CV49:CV59" si="548">IF($H49&lt;&gt;CZ$5,0,IF(CZ49&lt;0,IF($J49=1,-$E49*$I49/12*3,IF($J49=2,-$E49*$I49/12*2,IF($J49=3,-$E49*$I49/12*1,0)))))+IF(CU$5&lt;&gt;$H49,0,IF(CU49&lt;0,IF($J49=1,-$E49*$I49/12*0,IF($J49=2,-$E49*$I49/12*1,IF($J49=3,-$E49*$I49/12*2,IF($J49&gt;=4,-$E49*$I49/12*3,0))))))</f>
        <v>0</v>
      </c>
      <c r="CW49" s="406">
        <f t="shared" ref="CW49:CW59" si="549">IF($H49&lt;&gt;CZ$5,0,IF(CZ49&lt;0,IF(OR($J49=1,$J49=2,$J49=3,$J49=4),-$E49*$I49/12*3,IF($J49=5,-$E49*$I49/12*2,IF($J49=6,-$E49*$I49/12*1,0)))))+IF(CU$5&lt;&gt;$H49,0,IF(CU49&lt;0,IF($J49=4,-$E49*$I49/12*0,IF($J49=5,-$E49*$I49/12*1,IF($J49=6,-$E49*$I49/12*2,IF($J49&gt;=7,-$E49*$I49/12*3,0))))))</f>
        <v>0</v>
      </c>
      <c r="CX49" s="406">
        <f t="shared" ref="CX49:CX59" si="550">IF($H49&lt;&gt;CZ$5,0,IF(CZ49&lt;0,IF(OR($J49=1,$J49=2,$J49=3,$J49=4,$J49=5,$J49=6,$J49=7),-$E49*$I49/12*3,IF($J49=8,-$E49*$I49/12*2,IF($J49=9,-$E49*$I49/12*1,0)))))+IF(CU$5&lt;&gt;$H49,0,IF(CU49&lt;0,IF($J49=7,-$E49*$I49/12*0,IF($J49=8,-$E49*$I49/12*1,IF($J49=9,-$E49*$I49/12*2,IF($J49&gt;=10,-$E49*$I49/12*3,0))))))</f>
        <v>-2.1875</v>
      </c>
      <c r="CY49" s="402">
        <f t="shared" ref="CY49:CY59" si="551">IF($H49&lt;&gt;CZ$5,0,IF(CZ49&lt;0,IF(OR($J49=1,$J49=2,$J49=3,$J49=4,$J49=5,$J49=6,$J49=7,$J49=8,$J49=9,$J49=10),-$E49*$I49/12*3,IF($J49=11,-$E49*$I49/12*2,IF($J49=12,-$E49*$I49/12*1,0)))))+IF(CU$5&lt;&gt;$H49,0,IF(CU49&lt;0,IF($J49=10,-$E49*$I49/12*0,IF($J49=11,-$E49*$I49/12*1,IF($J49=12,-$E49*$I49/12*2,0)))))</f>
        <v>-6.5625</v>
      </c>
      <c r="CZ49" s="403">
        <f t="shared" ref="CZ49:CZ59" si="552">IF(AND(CU49&lt;&gt;0,CU$5=$H49),-$I49*$E49-CU49,IF(CZ$5=$H49,-$I49*$E49*(12-$J49+1)/12,0))</f>
        <v>-8.75</v>
      </c>
      <c r="DA49" s="400">
        <f t="shared" ref="DA49:DA59" si="553">IF($H49&lt;&gt;DE$5,0,IF(DE49&lt;0,IF($J49=1,-$E49*$I49/12*3,IF($J49=2,-$E49*$I49/12*2,IF($J49=3,-$E49*$I49/12*1,0)))))+IF(CZ$5&lt;&gt;$H49,0,IF(CZ49&lt;0,IF($J49=1,-$E49*$I49/12*0,IF($J49=2,-$E49*$I49/12*1,IF($J49=3,-$E49*$I49/12*2,IF($J49&gt;=4,-$E49*$I49/12*3,0))))))</f>
        <v>-6.5625</v>
      </c>
      <c r="DB49" s="406">
        <f t="shared" ref="DB49:DB59" si="554">IF($H49&lt;&gt;DE$5,0,IF(DE49&lt;0,IF(OR($J49=1,$J49=2,$J49=3,$J49=4),-$E49*$I49/12*3,IF($J49=5,-$E49*$I49/12*2,IF($J49=6,-$E49*$I49/12*1,0)))))+IF(CZ$5&lt;&gt;$H49,0,IF(CZ49&lt;0,IF($J49=4,-$E49*$I49/12*0,IF($J49=5,-$E49*$I49/12*1,IF($J49=6,-$E49*$I49/12*2,IF($J49&gt;=7,-$E49*$I49/12*3,0))))))</f>
        <v>-6.5625</v>
      </c>
      <c r="DC49" s="406">
        <f t="shared" ref="DC49:DC59" si="555">IF($H49&lt;&gt;DE$5,0,IF(DE49&lt;0,IF(OR($J49=1,$J49=2,$J49=3,$J49=4,$J49=5,$J49=6,$J49=7),-$E49*$I49/12*3,IF($J49=8,-$E49*$I49/12*2,IF($J49=9,-$E49*$I49/12*1,0)))))+IF(CZ$5&lt;&gt;$H49,0,IF(CZ49&lt;0,IF($J49=7,-$E49*$I49/12*0,IF($J49=8,-$E49*$I49/12*1,IF($J49=9,-$E49*$I49/12*2,IF($J49&gt;=10,-$E49*$I49/12*3,0))))))</f>
        <v>-4.375</v>
      </c>
      <c r="DD49" s="402">
        <f t="shared" ref="DD49:DD59" si="556">IF($H49&lt;&gt;DE$5,0,IF(DE49&lt;0,IF(OR($J49=1,$J49=2,$J49=3,$J49=4,$J49=5,$J49=6,$J49=7,$J49=8,$J49=9,$J49=10),-$E49*$I49/12*3,IF($J49=11,-$E49*$I49/12*2,IF($J49=12,-$E49*$I49/12*1,0)))))+IF(CZ$5&lt;&gt;$H49,0,IF(CZ49&lt;0,IF($J49=10,-$E49*$I49/12*0,IF($J49=11,-$E49*$I49/12*1,IF($J49=12,-$E49*$I49/12*2,0)))))</f>
        <v>0</v>
      </c>
      <c r="DE49" s="403">
        <f t="shared" ref="DE49:DE59" si="557">IF(AND(CZ49&lt;&gt;0,CZ$5=$H49),-$I49*$E49-CZ49,IF(DE$5=$H49,-$I49*$E49*(12-$J49+1)/12,0))</f>
        <v>-17.5</v>
      </c>
      <c r="DF49" s="400">
        <f>IF($H49&lt;&gt;DJ$5,0,IF(DJ49&lt;0,IF($J49=1,-$E49*$I49/12*3,IF($J49=2,-$E49*$I49/12*2,IF($J49=3,-$E49*$I49/12*1,0)))))+IF(DE$5&lt;&gt;$H49,0,IF(DE49&lt;0,IF($J49=1,-$E49*$I49/12*0,IF($J49=2,-$E49*$I49/12*1,IF($J49=3,-$E49*$I49/12*2,IF($J49&gt;=4,-$E49*$I49/12*3,0))))))</f>
        <v>0</v>
      </c>
      <c r="DG49" s="406">
        <f>IF($H49&lt;&gt;DJ$5,0,IF(DJ49&lt;0,IF(OR($J49=1,$J49=2,$J49=3,$J49=4),-$E49*$I49/12*3,IF($J49=5,-$E49*$I49/12*2,IF($J49=6,-$E49*$I49/12*1,0)))))+IF(DE$5&lt;&gt;$H49,0,IF(DE49&lt;0,IF($J49=4,-$E49*$I49/12*0,IF($J49=5,-$E49*$I49/12*1,IF($J49=6,-$E49*$I49/12*2,IF($J49&gt;=7,-$E49*$I49/12*3,0))))))</f>
        <v>0</v>
      </c>
      <c r="DH49" s="406">
        <f>IF($H49&lt;&gt;DJ$5,0,IF(DJ49&lt;0,IF(OR($J49=1,$J49=2,$J49=3,$J49=4,$J49=5,$J49=6,$J49=7),-$E49*$I49/12*3,IF($J49=8,-$E49*$I49/12*2,IF($J49=9,-$E49*$I49/12*1,0)))))+IF(DE$5&lt;&gt;$H49,0,IF(DE49&lt;0,IF($J49=7,-$E49*$I49/12*0,IF($J49=8,-$E49*$I49/12*1,IF($J49=9,-$E49*$I49/12*2,IF($J49&gt;=10,-$E49*$I49/12*3,0))))))</f>
        <v>0</v>
      </c>
      <c r="DI49" s="402">
        <f>IF($H49&lt;&gt;DJ$5,0,IF(DJ49&lt;0,IF(OR($J49=1,$J49=2,$J49=3,$J49=4,$J49=5,$J49=6,$J49=7,$J49=8,$J49=9,$J49=10),-$E49*$I49/12*3,IF($J49=11,-$E49*$I49/12*2,IF($J49=12,-$E49*$I49/12*1,0)))))+IF(DE$5&lt;&gt;$H49,0,IF(DE49&lt;0,IF($J49=10,-$E49*$I49/12*0,IF($J49=11,-$E49*$I49/12*1,IF($J49=12,-$E49*$I49/12*2,0)))))</f>
        <v>0</v>
      </c>
      <c r="DJ49" s="403">
        <f>IF(AND(DE49&lt;&gt;0,DE$5=$H49),-$I49*$E49-DE49,IF(DJ$5=$H49,-$I49*$E49*(12-$J49+1)/12,0))</f>
        <v>0</v>
      </c>
      <c r="DK49" s="400">
        <f>IF($H49&lt;&gt;DO$5,0,IF(DO49&lt;0,IF($J49=1,-$E49*$I49/12*3,IF($J49=2,-$E49*$I49/12*2,IF($J49=3,-$E49*$I49/12*1,0)))))+IF(DJ$5&lt;&gt;$H49,0,IF(DJ49&lt;0,IF($J49=1,-$E49*$I49/12*0,IF($J49=2,-$E49*$I49/12*1,IF($J49=3,-$E49*$I49/12*2,IF($J49&gt;=4,-$E49*$I49/12*3,0))))))</f>
        <v>0</v>
      </c>
      <c r="DL49" s="406">
        <f>IF($H49&lt;&gt;DO$5,0,IF(DO49&lt;0,IF(OR($J49=1,$J49=2,$J49=3,$J49=4),-$E49*$I49/12*3,IF($J49=5,-$E49*$I49/12*2,IF($J49=6,-$E49*$I49/12*1,0)))))+IF(DJ$5&lt;&gt;$H49,0,IF(DJ49&lt;0,IF($J49=4,-$E49*$I49/12*0,IF($J49=5,-$E49*$I49/12*1,IF($J49=6,-$E49*$I49/12*2,IF($J49&gt;=7,-$E49*$I49/12*3,0))))))</f>
        <v>0</v>
      </c>
      <c r="DM49" s="406">
        <f>IF($H49&lt;&gt;DO$5,0,IF(DO49&lt;0,IF(OR($J49=1,$J49=2,$J49=3,$J49=4,$J49=5,$J49=6,$J49=7),-$E49*$I49/12*3,IF($J49=8,-$E49*$I49/12*2,IF($J49=9,-$E49*$I49/12*1,0)))))+IF(DJ$5&lt;&gt;$H49,0,IF(DJ49&lt;0,IF($J49=7,-$E49*$I49/12*0,IF($J49=8,-$E49*$I49/12*1,IF($J49=9,-$E49*$I49/12*2,IF($J49&gt;=10,-$E49*$I49/12*3,0))))))</f>
        <v>0</v>
      </c>
      <c r="DN49" s="402">
        <f>IF($H49&lt;&gt;DO$5,0,IF(DO49&lt;0,IF(OR($J49=1,$J49=2,$J49=3,$J49=4,$J49=5,$J49=6,$J49=7,$J49=8,$J49=9,$J49=10),-$E49*$I49/12*3,IF($J49=11,-$E49*$I49/12*2,IF($J49=12,-$E49*$I49/12*1,0)))))+IF(DJ$5&lt;&gt;$H49,0,IF(DJ49&lt;0,IF($J49=10,-$E49*$I49/12*0,IF($J49=11,-$E49*$I49/12*1,IF($J49=12,-$E49*$I49/12*2,0)))))</f>
        <v>0</v>
      </c>
      <c r="DO49" s="403">
        <f>IF(AND(DJ49&lt;&gt;0,DJ$5=$H49),-$I49*$E49-DJ49,IF(DO$5=$H49,-$I49*$E49*(12-$J49+1)/12,0))</f>
        <v>0</v>
      </c>
      <c r="DP49" s="400">
        <f>IF($H49&lt;&gt;DT$5,0,IF(DT49&lt;0,IF($J49=1,-$E49*$I49/12*3,IF($J49=2,-$E49*$I49/12*2,IF($J49=3,-$E49*$I49/12*1,0)))))+IF(DO$5&lt;&gt;$H49,0,IF(DO49&lt;0,IF($J49=1,-$E49*$I49/12*0,IF($J49=2,-$E49*$I49/12*1,IF($J49=3,-$E49*$I49/12*2,IF($J49&gt;=4,-$E49*$I49/12*3,0))))))</f>
        <v>0</v>
      </c>
      <c r="DQ49" s="406">
        <f>IF($H49&lt;&gt;DT$5,0,IF(DT49&lt;0,IF(OR($J49=1,$J49=2,$J49=3,$J49=4),-$E49*$I49/12*3,IF($J49=5,-$E49*$I49/12*2,IF($J49=6,-$E49*$I49/12*1,0)))))+IF(DO$5&lt;&gt;$H49,0,IF(DO49&lt;0,IF($J49=4,-$E49*$I49/12*0,IF($J49=5,-$E49*$I49/12*1,IF($J49=6,-$E49*$I49/12*2,IF($J49&gt;=7,-$E49*$I49/12*3,0))))))</f>
        <v>0</v>
      </c>
      <c r="DR49" s="406">
        <f>IF($H49&lt;&gt;DT$5,0,IF(DT49&lt;0,IF(OR($J49=1,$J49=2,$J49=3,$J49=4,$J49=5,$J49=6,$J49=7),-$E49*$I49/12*3,IF($J49=8,-$E49*$I49/12*2,IF($J49=9,-$E49*$I49/12*1,0)))))+IF(DO$5&lt;&gt;$H49,0,IF(DO49&lt;0,IF($J49=7,-$E49*$I49/12*0,IF($J49=8,-$E49*$I49/12*1,IF($J49=9,-$E49*$I49/12*2,IF($J49&gt;=10,-$E49*$I49/12*3,0))))))</f>
        <v>0</v>
      </c>
      <c r="DS49" s="402">
        <f>IF($H49&lt;&gt;DT$5,0,IF(DT49&lt;0,IF(OR($J49=1,$J49=2,$J49=3,$J49=4,$J49=5,$J49=6,$J49=7,$J49=8,$J49=9,$J49=10),-$E49*$I49/12*3,IF($J49=11,-$E49*$I49/12*2,IF($J49=12,-$E49*$I49/12*1,0)))))+IF(DO$5&lt;&gt;$H49,0,IF(DO49&lt;0,IF($J49=10,-$E49*$I49/12*0,IF($J49=11,-$E49*$I49/12*1,IF($J49=12,-$E49*$I49/12*2,0)))))</f>
        <v>0</v>
      </c>
      <c r="DT49" s="403">
        <f>IF(AND(DO49&lt;&gt;0,DO$5=$H49),-$I49*$E49-DO49,IF(DT$5=$H49,-$I49*$E49*(12-$J49+1)/12,0))</f>
        <v>0</v>
      </c>
      <c r="EF49" s="35"/>
      <c r="EI49" s="759"/>
    </row>
    <row r="50" spans="3:139" ht="12.75" customHeight="1" x14ac:dyDescent="0.2">
      <c r="C50" s="850" t="s">
        <v>611</v>
      </c>
      <c r="D50" s="826"/>
      <c r="E50" s="530">
        <f>IF(F50=0,G50,F50)</f>
        <v>300</v>
      </c>
      <c r="F50" s="831">
        <v>300</v>
      </c>
      <c r="G50" s="831">
        <v>300</v>
      </c>
      <c r="H50" s="808">
        <v>2020</v>
      </c>
      <c r="I50" s="809">
        <v>2.1999999999999999E-2</v>
      </c>
      <c r="J50" s="810">
        <v>8</v>
      </c>
      <c r="K50" s="392"/>
      <c r="L50" s="397">
        <f>IF(L$5=$H50,-$E50,0)</f>
        <v>0</v>
      </c>
      <c r="M50" s="394">
        <f>IF(Q50=0,0,IF(Q50&lt;0,IF($J50=3,Q50,IF($J50=2,Q50,IF($J50=1,Q50,0)))))</f>
        <v>0</v>
      </c>
      <c r="N50" s="404">
        <f>IF(Q50=0,0,IF(Q50&lt;0,IF($J50=6,Q50,IF($J50=5,Q50,IF($J50=4,Q50,0)))))</f>
        <v>0</v>
      </c>
      <c r="O50" s="404">
        <f>IF(Q50=0,0,IF(Q50&lt;0,IF($J50=9,Q50,IF($J50=8,Q50,IF($J50=7,Q50,0)))))</f>
        <v>0</v>
      </c>
      <c r="P50" s="396">
        <f>IF(Q50=0,0,IF(Q50&lt;0,IF($J50=12,Q50,IF($J50=11,Q50,IF($J50=10,Q50,0)))))</f>
        <v>0</v>
      </c>
      <c r="Q50" s="397">
        <f>IF(Q$5=$H50,-$E50,0)</f>
        <v>0</v>
      </c>
      <c r="R50" s="394">
        <f>IF(V50=0,0,IF(V50&lt;0,IF($J50=3,V50,IF($J50=2,V50,IF($J50=1,V50,0)))))</f>
        <v>0</v>
      </c>
      <c r="S50" s="404">
        <f>IF(V50=0,0,IF(V50&lt;0,IF($J50=6,V50,IF($J50=5,V50,IF($J50=4,V50,0)))))</f>
        <v>0</v>
      </c>
      <c r="T50" s="404">
        <f>IF(V50=0,0,IF(V50&lt;0,IF($J50=9,V50,IF($J50=8,V50,IF($J50=7,V50,0)))))</f>
        <v>0</v>
      </c>
      <c r="U50" s="396">
        <f>IF(V50=0,0,IF(V50&lt;0,IF($J50=12,V50,IF($J50=11,V50,IF($J50=10,V50,0)))))</f>
        <v>0</v>
      </c>
      <c r="V50" s="397">
        <f>IF(V$5=$H50,-$E50,0)</f>
        <v>0</v>
      </c>
      <c r="W50" s="394">
        <f>IF(AA50=0,0,IF(AA50&lt;0,IF($J50=3,AA50,IF($J50=2,AA50,IF($J50=1,AA50,0)))))</f>
        <v>0</v>
      </c>
      <c r="X50" s="404">
        <f>IF(AA50=0,0,IF(AA50&lt;0,IF($J50=6,AA50,IF($J50=5,AA50,IF($J50=4,AA50,0)))))</f>
        <v>0</v>
      </c>
      <c r="Y50" s="404">
        <f>IF(AA50=0,0,IF(AA50&lt;0,IF($J50=9,AA50,IF($J50=8,AA50,IF($J50=7,AA50,0)))))</f>
        <v>0</v>
      </c>
      <c r="Z50" s="396">
        <f>IF(AA50=0,0,IF(AA50&lt;0,IF($J50=12,AA50,IF($J50=11,AA50,IF($J50=10,AA50,0)))))</f>
        <v>0</v>
      </c>
      <c r="AA50" s="397">
        <f>IF(AA$5=$H50,-$E50,0)</f>
        <v>0</v>
      </c>
      <c r="AB50" s="394">
        <f>IF(AF50=0,0,IF(AF50&lt;0,IF($J50=3,AF50,IF($J50=2,AF50,IF($J50=1,AF50,0)))))</f>
        <v>0</v>
      </c>
      <c r="AC50" s="404">
        <f>IF(AF50=0,0,IF(AF50&lt;0,IF($J50=6,AF50,IF($J50=5,AF50,IF($J50=4,AF50,0)))))</f>
        <v>0</v>
      </c>
      <c r="AD50" s="404">
        <f>IF(AF50=0,0,IF(AF50&lt;0,IF($J50=9,AF50,IF($J50=8,AF50,IF($J50=7,AF50,0)))))</f>
        <v>0</v>
      </c>
      <c r="AE50" s="396">
        <f>IF(AF50=0,0,IF(AF50&lt;0,IF($J50=12,AF50,IF($J50=11,AF50,IF($J50=10,AF50,0)))))</f>
        <v>0</v>
      </c>
      <c r="AF50" s="397">
        <f>IF(AF$5=$H50,-$E50,0)</f>
        <v>0</v>
      </c>
      <c r="AG50" s="394">
        <f>IF(AK50=0,0,IF(AK50&lt;0,IF($J50=3,AK50,IF($J50=2,AK50,IF($J50=1,AK50,0)))))</f>
        <v>0</v>
      </c>
      <c r="AH50" s="404">
        <f>IF(AK50=0,0,IF(AK50&lt;0,IF($J50=6,AK50,IF($J50=5,AK50,IF($J50=4,AK50,0)))))</f>
        <v>0</v>
      </c>
      <c r="AI50" s="404">
        <f>IF(AK50=0,0,IF(AK50&lt;0,IF($J50=9,AK50,IF($J50=8,AK50,IF($J50=7,AK50,0)))))</f>
        <v>0</v>
      </c>
      <c r="AJ50" s="396">
        <f>IF(AK50=0,0,IF(AK50&lt;0,IF($J50=12,AK50,IF($J50=11,AK50,IF($J50=10,AK50,0)))))</f>
        <v>0</v>
      </c>
      <c r="AK50" s="397">
        <f>IF(AK$5=$H50,-$E50,0)</f>
        <v>0</v>
      </c>
      <c r="AL50" s="394">
        <f>IF(AP50=0,0,IF(AP50&lt;0,IF($J50=3,AP50,IF($J50=2,AP50,IF($J50=1,AP50,0)))))</f>
        <v>0</v>
      </c>
      <c r="AM50" s="404">
        <f>IF(AP50=0,0,IF(AP50&lt;0,IF($J50=6,AP50,IF($J50=5,AP50,IF($J50=4,AP50,0)))))</f>
        <v>0</v>
      </c>
      <c r="AN50" s="404">
        <f>IF(AP50=0,0,IF(AP50&lt;0,IF($J50=9,AP50,IF($J50=8,AP50,IF($J50=7,AP50,0)))))</f>
        <v>0</v>
      </c>
      <c r="AO50" s="396">
        <f>IF(AP50=0,0,IF(AP50&lt;0,IF($J50=12,AP50,IF($J50=11,AP50,IF($J50=10,AP50,0)))))</f>
        <v>0</v>
      </c>
      <c r="AP50" s="397">
        <f>IF(AP$5=$H50,-$E50,0)</f>
        <v>0</v>
      </c>
      <c r="AQ50" s="394">
        <f>IF(AU50=0,0,IF(AU50&lt;0,IF($J50=3,AU50,IF($J50=2,AU50,IF($J50=1,AU50,0)))))</f>
        <v>0</v>
      </c>
      <c r="AR50" s="404">
        <f>IF(AU50=0,0,IF(AU50&lt;0,IF($J50=6,AU50,IF($J50=5,AU50,IF($J50=4,AU50,0)))))</f>
        <v>0</v>
      </c>
      <c r="AS50" s="404">
        <f>IF(AU50=0,0,IF(AU50&lt;0,IF($J50=9,AU50,IF($J50=8,AU50,IF($J50=7,AU50,0)))))</f>
        <v>0</v>
      </c>
      <c r="AT50" s="396">
        <f>IF(AU50=0,0,IF(AU50&lt;0,IF($J50=12,AU50,IF($J50=11,AU50,IF($J50=10,AU50,0)))))</f>
        <v>0</v>
      </c>
      <c r="AU50" s="397">
        <f>IF(AU$5=$H50,-$E50,0)</f>
        <v>0</v>
      </c>
      <c r="AV50" s="394">
        <f>IF(AZ50=0,0,IF(AZ50&lt;0,IF($J50=3,AZ50,IF($J50=2,AZ50,IF($J50=1,AZ50,0)))))</f>
        <v>0</v>
      </c>
      <c r="AW50" s="404">
        <f>IF(AZ50=0,0,IF(AZ50&lt;0,IF($J50=6,AZ50,IF($J50=5,AZ50,IF($J50=4,AZ50,0)))))</f>
        <v>0</v>
      </c>
      <c r="AX50" s="404">
        <f>IF(AZ50=0,0,IF(AZ50&lt;0,IF($J50=9,AZ50,IF($J50=8,AZ50,IF($J50=7,AZ50,0)))))</f>
        <v>0</v>
      </c>
      <c r="AY50" s="396">
        <f>IF(AZ50=0,0,IF(AZ50&lt;0,IF($J50=12,AZ50,IF($J50=11,AZ50,IF($J50=10,AZ50,0)))))</f>
        <v>0</v>
      </c>
      <c r="AZ50" s="397">
        <f>IF(AZ$5=$H50,-$E50,0)</f>
        <v>0</v>
      </c>
      <c r="BA50" s="394">
        <f>IF(BE50=0,0,IF(BE50&lt;0,IF($J50=3,BE50,IF($J50=2,BE50,IF($J50=1,BE50,0)))))</f>
        <v>0</v>
      </c>
      <c r="BB50" s="404">
        <f>IF(BE50=0,0,IF(BE50&lt;0,IF($J50=6,BE50,IF($J50=5,BE50,IF($J50=4,BE50,0)))))</f>
        <v>0</v>
      </c>
      <c r="BC50" s="404">
        <f>IF(BE50=0,0,IF(BE50&lt;0,IF($J50=9,BE50,IF($J50=8,BE50,IF($J50=7,BE50,0)))))</f>
        <v>0</v>
      </c>
      <c r="BD50" s="396">
        <f>IF(BE50=0,0,IF(BE50&lt;0,IF($J50=12,BE50,IF($J50=11,BE50,IF($J50=10,BE50,0)))))</f>
        <v>0</v>
      </c>
      <c r="BE50" s="397">
        <f>IF(BE$5=$H50,-$E50,0)</f>
        <v>0</v>
      </c>
      <c r="BF50" s="394">
        <f>IF(BJ50=0,0,IF(BJ50&lt;0,IF($J50=3,BJ50,IF($J50=2,BJ50,IF($J50=1,BJ50,0)))))</f>
        <v>0</v>
      </c>
      <c r="BG50" s="404">
        <f>IF(BJ50=0,0,IF(BJ50&lt;0,IF($J50=6,BJ50,IF($J50=5,BJ50,IF($J50=4,BJ50,0)))))</f>
        <v>0</v>
      </c>
      <c r="BH50" s="404">
        <f>IF(BJ50=0,0,IF(BJ50&lt;0,IF($J50=9,BJ50,IF($J50=8,BJ50,IF($J50=7,BJ50,0)))))</f>
        <v>-300</v>
      </c>
      <c r="BI50" s="396">
        <f>IF(BJ50=0,0,IF(BJ50&lt;0,IF($J50=12,BJ50,IF($J50=11,BJ50,IF($J50=10,BJ50,0)))))</f>
        <v>0</v>
      </c>
      <c r="BJ50" s="397">
        <f>IF(BJ$5=$H50,-$E50,0)</f>
        <v>-300</v>
      </c>
      <c r="BK50" s="394">
        <f>IF(BO50=0,0,IF(BO50&lt;0,IF($J50=3,BO50,IF($J50=2,BO50,IF($J50=1,BO50,0)))))</f>
        <v>0</v>
      </c>
      <c r="BL50" s="404">
        <f>IF(BO50=0,0,IF(BO50&lt;0,IF($J50=6,BO50,IF($J50=5,BO50,IF($J50=4,BO50,0)))))</f>
        <v>0</v>
      </c>
      <c r="BM50" s="404">
        <f>IF(BO50=0,0,IF(BO50&lt;0,IF($J50=9,BO50,IF($J50=8,BO50,IF($J50=7,BO50,0)))))</f>
        <v>0</v>
      </c>
      <c r="BN50" s="396">
        <f>IF(BO50=0,0,IF(BO50&lt;0,IF($J50=12,BO50,IF($J50=11,BO50,IF($J50=10,BO50,0)))))</f>
        <v>0</v>
      </c>
      <c r="BO50" s="397">
        <f>IF(BO$5=$H50,-$E50,0)</f>
        <v>0</v>
      </c>
      <c r="BP50" s="452"/>
      <c r="BQ50" s="403">
        <f>IF(AND(BP50&lt;&gt;0,BP$5=$H50),-$I50*$E50-BP50,IF(BQ$5=$H50,-$I50*$E50*(12-$J50+1)/12,0))</f>
        <v>0</v>
      </c>
      <c r="BR50" s="400">
        <f>IF($H50&lt;&gt;BV$5,0,IF(BV50&lt;0,IF($J50=1,-$E50*$I50/12*3,IF($J50=2,-$E50*$I50/12*2,IF($J50=3,-$E50*$I50/12*1,0)))))+IF(BQ$5&lt;&gt;$H50,0,IF(BQ50&lt;0,IF($J50=1,-$E50*$I50/12*0,IF($J50=2,-$E50*$I50/12*1,IF($J50=3,-$E50*$I50/12*2,IF($J50&gt;=4,-$E50*$I50/12*3,0))))))</f>
        <v>0</v>
      </c>
      <c r="BS50" s="406">
        <f>IF($H50&lt;&gt;BV$5,0,IF(BV50&lt;0,IF(OR($J50=1,$J50=2,$J50=3,$J50=4),-$E50*$I50/12*3,IF($J50=5,-$E50*$I50/12*2,IF($J50=6,-$E50*$I50/12*1,0)))))+IF(BQ$5&lt;&gt;$H50,0,IF(BQ50&lt;0,IF($J50=4,-$E50*$I50/12*0,IF($J50=5,-$E50*$I50/12*1,IF($J50=6,-$E50*$I50/12*2,IF($J50&gt;=7,-$E50*$I50/12*3,0))))))</f>
        <v>0</v>
      </c>
      <c r="BT50" s="406">
        <f>IF($H50&lt;&gt;BV$5,0,IF(BV50&lt;0,IF(OR($J50=1,$J50=2,$J50=3,$J50=4,$J50=5,$J50=6,$J50=7),-$E50*$I50/12*3,IF($J50=8,-$E50*$I50/12*2,IF($J50=9,-$E50*$I50/12*1,0)))))+IF(BQ$5&lt;&gt;$H50,0,IF(BQ50&lt;0,IF($J50=7,-$E50*$I50/12*0,IF($J50=8,-$E50*$I50/12*1,IF($J50=9,-$E50*$I50/12*2,IF($J50&gt;=10,-$E50*$I50/12*3,0))))))</f>
        <v>0</v>
      </c>
      <c r="BU50" s="402">
        <f>IF($H50&lt;&gt;BV$5,0,IF(BV50&lt;0,IF(OR($J50=1,$J50=2,$J50=3,$J50=4,$J50=5,$J50=6,$J50=7,$J50=8,$J50=9,$J50=10),-$E50*$I50/12*3,IF($J50=11,-$E50*$I50/12*2,IF($J50=12,-$E50*$I50/12*1,0)))))+IF(BQ$5&lt;&gt;$H50,0,IF(BQ50&lt;0,IF($J50=10,-$E50*$I50/12*0,IF($J50=11,-$E50*$I50/12*1,IF($J50=12,-$E50*$I50/12*2,0)))))</f>
        <v>0</v>
      </c>
      <c r="BV50" s="403">
        <f>IF(AND(BQ50&lt;&gt;0,BQ$5=$H50),-$I50*$E50-BQ50,IF(BV$5=$H50,-$I50*$E50*(12-$J50+1)/12,0))</f>
        <v>0</v>
      </c>
      <c r="BW50" s="400">
        <f>IF($H50&lt;&gt;CA$5,0,IF(CA50&lt;0,IF($J50=1,-$E50*$I50/12*3,IF($J50=2,-$E50*$I50/12*2,IF($J50=3,-$E50*$I50/12*1,0)))))+IF(BV$5&lt;&gt;$H50,0,IF(BV50&lt;0,IF($J50=1,-$E50*$I50/12*0,IF($J50=2,-$E50*$I50/12*1,IF($J50=3,-$E50*$I50/12*2,IF($J50&gt;=4,-$E50*$I50/12*3,0))))))</f>
        <v>0</v>
      </c>
      <c r="BX50" s="406">
        <f>IF($H50&lt;&gt;CA$5,0,IF(CA50&lt;0,IF(OR($J50=1,$J50=2,$J50=3,$J50=4),-$E50*$I50/12*3,IF($J50=5,-$E50*$I50/12*2,IF($J50=6,-$E50*$I50/12*1,0)))))+IF(BV$5&lt;&gt;$H50,0,IF(BV50&lt;0,IF($J50=4,-$E50*$I50/12*0,IF($J50=5,-$E50*$I50/12*1,IF($J50=6,-$E50*$I50/12*2,IF($J50&gt;=7,-$E50*$I50/12*3,0))))))</f>
        <v>0</v>
      </c>
      <c r="BY50" s="406">
        <f>IF($H50&lt;&gt;CA$5,0,IF(CA50&lt;0,IF(OR($J50=1,$J50=2,$J50=3,$J50=4,$J50=5,$J50=6,$J50=7),-$E50*$I50/12*3,IF($J50=8,-$E50*$I50/12*2,IF($J50=9,-$E50*$I50/12*1,0)))))+IF(BV$5&lt;&gt;$H50,0,IF(BV50&lt;0,IF($J50=7,-$E50*$I50/12*0,IF($J50=8,-$E50*$I50/12*1,IF($J50=9,-$E50*$I50/12*2,IF($J50&gt;=10,-$E50*$I50/12*3,0))))))</f>
        <v>0</v>
      </c>
      <c r="BZ50" s="402">
        <f>IF($H50&lt;&gt;CA$5,0,IF(CA50&lt;0,IF(OR($J50=1,$J50=2,$J50=3,$J50=4,$J50=5,$J50=6,$J50=7,$J50=8,$J50=9,$J50=10),-$E50*$I50/12*3,IF($J50=11,-$E50*$I50/12*2,IF($J50=12,-$E50*$I50/12*1,0)))))+IF(BV$5&lt;&gt;$H50,0,IF(BV50&lt;0,IF($J50=10,-$E50*$I50/12*0,IF($J50=11,-$E50*$I50/12*1,IF($J50=12,-$E50*$I50/12*2,0)))))</f>
        <v>0</v>
      </c>
      <c r="CA50" s="403">
        <f>IF(AND(BV50&lt;&gt;0,BV$5=$H50),-$I50*$E50-BV50,IF(CA$5=$H50,-$I50*$E50*(12-$J50+1)/12,0))</f>
        <v>0</v>
      </c>
      <c r="CB50" s="400">
        <f>IF($H50&lt;&gt;CF$5,0,IF(CF50&lt;0,IF($J50=1,-$E50*$I50/12*3,IF($J50=2,-$E50*$I50/12*2,IF($J50=3,-$E50*$I50/12*1,0)))))+IF(CA$5&lt;&gt;$H50,0,IF(CA50&lt;0,IF($J50=1,-$E50*$I50/12*0,IF($J50=2,-$E50*$I50/12*1,IF($J50=3,-$E50*$I50/12*2,IF($J50&gt;=4,-$E50*$I50/12*3,0))))))</f>
        <v>0</v>
      </c>
      <c r="CC50" s="406">
        <f>IF($H50&lt;&gt;CF$5,0,IF(CF50&lt;0,IF(OR($J50=1,$J50=2,$J50=3,$J50=4),-$E50*$I50/12*3,IF($J50=5,-$E50*$I50/12*2,IF($J50=6,-$E50*$I50/12*1,0)))))+IF(CA$5&lt;&gt;$H50,0,IF(CA50&lt;0,IF($J50=4,-$E50*$I50/12*0,IF($J50=5,-$E50*$I50/12*1,IF($J50=6,-$E50*$I50/12*2,IF($J50&gt;=7,-$E50*$I50/12*3,0))))))</f>
        <v>0</v>
      </c>
      <c r="CD50" s="406">
        <f>IF($H50&lt;&gt;CF$5,0,IF(CF50&lt;0,IF(OR($J50=1,$J50=2,$J50=3,$J50=4,$J50=5,$J50=6,$J50=7),-$E50*$I50/12*3,IF($J50=8,-$E50*$I50/12*2,IF($J50=9,-$E50*$I50/12*1,0)))))+IF(CA$5&lt;&gt;$H50,0,IF(CA50&lt;0,IF($J50=7,-$E50*$I50/12*0,IF($J50=8,-$E50*$I50/12*1,IF($J50=9,-$E50*$I50/12*2,IF($J50&gt;=10,-$E50*$I50/12*3,0))))))</f>
        <v>0</v>
      </c>
      <c r="CE50" s="402">
        <f>IF($H50&lt;&gt;CF$5,0,IF(CF50&lt;0,IF(OR($J50=1,$J50=2,$J50=3,$J50=4,$J50=5,$J50=6,$J50=7,$J50=8,$J50=9,$J50=10),-$E50*$I50/12*3,IF($J50=11,-$E50*$I50/12*2,IF($J50=12,-$E50*$I50/12*1,0)))))+IF(CA$5&lt;&gt;$H50,0,IF(CA50&lt;0,IF($J50=10,-$E50*$I50/12*0,IF($J50=11,-$E50*$I50/12*1,IF($J50=12,-$E50*$I50/12*2,0)))))</f>
        <v>0</v>
      </c>
      <c r="CF50" s="403">
        <f>IF(AND(CA50&lt;&gt;0,CA$5=$H50),-$I50*$E50-CA50,IF(CF$5=$H50,-$I50*$E50*(12-$J50+1)/12,0))</f>
        <v>0</v>
      </c>
      <c r="CG50" s="400">
        <f>IF($H50&lt;&gt;CK$5,0,IF(CK50&lt;0,IF($J50=1,-$E50*$I50/12*3,IF($J50=2,-$E50*$I50/12*2,IF($J50=3,-$E50*$I50/12*1,0)))))+IF(CF$5&lt;&gt;$H50,0,IF(CF50&lt;0,IF($J50=1,-$E50*$I50/12*0,IF($J50=2,-$E50*$I50/12*1,IF($J50=3,-$E50*$I50/12*2,IF($J50&gt;=4,-$E50*$I50/12*3,0))))))</f>
        <v>0</v>
      </c>
      <c r="CH50" s="406">
        <f>IF($H50&lt;&gt;CK$5,0,IF(CK50&lt;0,IF(OR($J50=1,$J50=2,$J50=3,$J50=4),-$E50*$I50/12*3,IF($J50=5,-$E50*$I50/12*2,IF($J50=6,-$E50*$I50/12*1,0)))))+IF(CF$5&lt;&gt;$H50,0,IF(CF50&lt;0,IF($J50=4,-$E50*$I50/12*0,IF($J50=5,-$E50*$I50/12*1,IF($J50=6,-$E50*$I50/12*2,IF($J50&gt;=7,-$E50*$I50/12*3,0))))))</f>
        <v>0</v>
      </c>
      <c r="CI50" s="406">
        <f>IF($H50&lt;&gt;CK$5,0,IF(CK50&lt;0,IF(OR($J50=1,$J50=2,$J50=3,$J50=4,$J50=5,$J50=6,$J50=7),-$E50*$I50/12*3,IF($J50=8,-$E50*$I50/12*2,IF($J50=9,-$E50*$I50/12*1,0)))))+IF(CF$5&lt;&gt;$H50,0,IF(CF50&lt;0,IF($J50=7,-$E50*$I50/12*0,IF($J50=8,-$E50*$I50/12*1,IF($J50=9,-$E50*$I50/12*2,IF($J50&gt;=10,-$E50*$I50/12*3,0))))))</f>
        <v>0</v>
      </c>
      <c r="CJ50" s="402">
        <f>IF($H50&lt;&gt;CK$5,0,IF(CK50&lt;0,IF(OR($J50=1,$J50=2,$J50=3,$J50=4,$J50=5,$J50=6,$J50=7,$J50=8,$J50=9,$J50=10),-$E50*$I50/12*3,IF($J50=11,-$E50*$I50/12*2,IF($J50=12,-$E50*$I50/12*1,0)))))+IF(CF$5&lt;&gt;$H50,0,IF(CF50&lt;0,IF($J50=10,-$E50*$I50/12*0,IF($J50=11,-$E50*$I50/12*1,IF($J50=12,-$E50*$I50/12*2,0)))))</f>
        <v>0</v>
      </c>
      <c r="CK50" s="403">
        <f>IF(AND(CF50&lt;&gt;0,CF$5=$H50),-$I50*$E50-CF50,IF(CK$5=$H50,-$I50*$E50*(12-$J50+1)/12,0))</f>
        <v>0</v>
      </c>
      <c r="CL50" s="400">
        <f>IF($H50&lt;&gt;CP$5,0,IF(CP50&lt;0,IF($J50=1,-$E50*$I50/12*3,IF($J50=2,-$E50*$I50/12*2,IF($J50=3,-$E50*$I50/12*1,0)))))+IF(CK$5&lt;&gt;$H50,0,IF(CK50&lt;0,IF($J50=1,-$E50*$I50/12*0,IF($J50=2,-$E50*$I50/12*1,IF($J50=3,-$E50*$I50/12*2,IF($J50&gt;=4,-$E50*$I50/12*3,0))))))</f>
        <v>0</v>
      </c>
      <c r="CM50" s="406">
        <f>IF($H50&lt;&gt;CP$5,0,IF(CP50&lt;0,IF(OR($J50=1,$J50=2,$J50=3,$J50=4),-$E50*$I50/12*3,IF($J50=5,-$E50*$I50/12*2,IF($J50=6,-$E50*$I50/12*1,0)))))+IF(CK$5&lt;&gt;$H50,0,IF(CK50&lt;0,IF($J50=4,-$E50*$I50/12*0,IF($J50=5,-$E50*$I50/12*1,IF($J50=6,-$E50*$I50/12*2,IF($J50&gt;=7,-$E50*$I50/12*3,0))))))</f>
        <v>0</v>
      </c>
      <c r="CN50" s="406">
        <f>IF($H50&lt;&gt;CP$5,0,IF(CP50&lt;0,IF(OR($J50=1,$J50=2,$J50=3,$J50=4,$J50=5,$J50=6,$J50=7),-$E50*$I50/12*3,IF($J50=8,-$E50*$I50/12*2,IF($J50=9,-$E50*$I50/12*1,0)))))+IF(CK$5&lt;&gt;$H50,0,IF(CK50&lt;0,IF($J50=7,-$E50*$I50/12*0,IF($J50=8,-$E50*$I50/12*1,IF($J50=9,-$E50*$I50/12*2,IF($J50&gt;=10,-$E50*$I50/12*3,0))))))</f>
        <v>0</v>
      </c>
      <c r="CO50" s="402">
        <f>IF($H50&lt;&gt;CP$5,0,IF(CP50&lt;0,IF(OR($J50=1,$J50=2,$J50=3,$J50=4,$J50=5,$J50=6,$J50=7,$J50=8,$J50=9,$J50=10),-$E50*$I50/12*3,IF($J50=11,-$E50*$I50/12*2,IF($J50=12,-$E50*$I50/12*1,0)))))+IF(CK$5&lt;&gt;$H50,0,IF(CK50&lt;0,IF($J50=10,-$E50*$I50/12*0,IF($J50=11,-$E50*$I50/12*1,IF($J50=12,-$E50*$I50/12*2,0)))))</f>
        <v>0</v>
      </c>
      <c r="CP50" s="403">
        <f>IF(AND(CK50&lt;&gt;0,CK$5=$H50),-$I50*$E50-CK50,IF(CP$5=$H50,-$I50*$E50*(12-$J50+1)/12,0))</f>
        <v>0</v>
      </c>
      <c r="CQ50" s="400">
        <f>IF($H50&lt;&gt;CU$5,0,IF(CU50&lt;0,IF($J50=1,-$E50*$I50/12*3,IF($J50=2,-$E50*$I50/12*2,IF($J50=3,-$E50*$I50/12*1,0)))))+IF(CP$5&lt;&gt;$H50,0,IF(CP50&lt;0,IF($J50=1,-$E50*$I50/12*0,IF($J50=2,-$E50*$I50/12*1,IF($J50=3,-$E50*$I50/12*2,IF($J50&gt;=4,-$E50*$I50/12*3,0))))))</f>
        <v>0</v>
      </c>
      <c r="CR50" s="406">
        <f>IF($H50&lt;&gt;CU$5,0,IF(CU50&lt;0,IF(OR($J50=1,$J50=2,$J50=3,$J50=4),-$E50*$I50/12*3,IF($J50=5,-$E50*$I50/12*2,IF($J50=6,-$E50*$I50/12*1,0)))))+IF(CP$5&lt;&gt;$H50,0,IF(CP50&lt;0,IF($J50=4,-$E50*$I50/12*0,IF($J50=5,-$E50*$I50/12*1,IF($J50=6,-$E50*$I50/12*2,IF($J50&gt;=7,-$E50*$I50/12*3,0))))))</f>
        <v>0</v>
      </c>
      <c r="CS50" s="406">
        <f>IF($H50&lt;&gt;CU$5,0,IF(CU50&lt;0,IF(OR($J50=1,$J50=2,$J50=3,$J50=4,$J50=5,$J50=6,$J50=7),-$E50*$I50/12*3,IF($J50=8,-$E50*$I50/12*2,IF($J50=9,-$E50*$I50/12*1,0)))))+IF(CP$5&lt;&gt;$H50,0,IF(CP50&lt;0,IF($J50=7,-$E50*$I50/12*0,IF($J50=8,-$E50*$I50/12*1,IF($J50=9,-$E50*$I50/12*2,IF($J50&gt;=10,-$E50*$I50/12*3,0))))))</f>
        <v>0</v>
      </c>
      <c r="CT50" s="402">
        <f>IF($H50&lt;&gt;CU$5,0,IF(CU50&lt;0,IF(OR($J50=1,$J50=2,$J50=3,$J50=4,$J50=5,$J50=6,$J50=7,$J50=8,$J50=9,$J50=10),-$E50*$I50/12*3,IF($J50=11,-$E50*$I50/12*2,IF($J50=12,-$E50*$I50/12*1,0)))))+IF(CP$5&lt;&gt;$H50,0,IF(CP50&lt;0,IF($J50=10,-$E50*$I50/12*0,IF($J50=11,-$E50*$I50/12*1,IF($J50=12,-$E50*$I50/12*2,0)))))</f>
        <v>0</v>
      </c>
      <c r="CU50" s="403">
        <f>IF(AND(CP50&lt;&gt;0,CP$5=$H50),-$I50*$E50-CP50,IF(CU$5=$H50,-$I50*$E50*(12-$J50+1)/12,0))</f>
        <v>0</v>
      </c>
      <c r="CV50" s="400">
        <f>IF($H50&lt;&gt;CZ$5,0,IF(CZ50&lt;0,IF($J50=1,-$E50*$I50/12*3,IF($J50=2,-$E50*$I50/12*2,IF($J50=3,-$E50*$I50/12*1,0)))))+IF(CU$5&lt;&gt;$H50,0,IF(CU50&lt;0,IF($J50=1,-$E50*$I50/12*0,IF($J50=2,-$E50*$I50/12*1,IF($J50=3,-$E50*$I50/12*2,IF($J50&gt;=4,-$E50*$I50/12*3,0))))))</f>
        <v>0</v>
      </c>
      <c r="CW50" s="406">
        <f>IF($H50&lt;&gt;CZ$5,0,IF(CZ50&lt;0,IF(OR($J50=1,$J50=2,$J50=3,$J50=4),-$E50*$I50/12*3,IF($J50=5,-$E50*$I50/12*2,IF($J50=6,-$E50*$I50/12*1,0)))))+IF(CU$5&lt;&gt;$H50,0,IF(CU50&lt;0,IF($J50=4,-$E50*$I50/12*0,IF($J50=5,-$E50*$I50/12*1,IF($J50=6,-$E50*$I50/12*2,IF($J50&gt;=7,-$E50*$I50/12*3,0))))))</f>
        <v>0</v>
      </c>
      <c r="CX50" s="406">
        <f>IF($H50&lt;&gt;CZ$5,0,IF(CZ50&lt;0,IF(OR($J50=1,$J50=2,$J50=3,$J50=4,$J50=5,$J50=6,$J50=7),-$E50*$I50/12*3,IF($J50=8,-$E50*$I50/12*2,IF($J50=9,-$E50*$I50/12*1,0)))))+IF(CU$5&lt;&gt;$H50,0,IF(CU50&lt;0,IF($J50=7,-$E50*$I50/12*0,IF($J50=8,-$E50*$I50/12*1,IF($J50=9,-$E50*$I50/12*2,IF($J50&gt;=10,-$E50*$I50/12*3,0))))))</f>
        <v>0</v>
      </c>
      <c r="CY50" s="402">
        <f>IF($H50&lt;&gt;CZ$5,0,IF(CZ50&lt;0,IF(OR($J50=1,$J50=2,$J50=3,$J50=4,$J50=5,$J50=6,$J50=7,$J50=8,$J50=9,$J50=10),-$E50*$I50/12*3,IF($J50=11,-$E50*$I50/12*2,IF($J50=12,-$E50*$I50/12*1,0)))))+IF(CU$5&lt;&gt;$H50,0,IF(CU50&lt;0,IF($J50=10,-$E50*$I50/12*0,IF($J50=11,-$E50*$I50/12*1,IF($J50=12,-$E50*$I50/12*2,0)))))</f>
        <v>0</v>
      </c>
      <c r="CZ50" s="403">
        <f>IF(AND(CU50&lt;&gt;0,CU$5=$H50),-$I50*$E50-CU50,IF(CZ$5=$H50,-$I50*$E50*(12-$J50+1)/12,0))</f>
        <v>0</v>
      </c>
      <c r="DA50" s="400">
        <f>IF($H50&lt;&gt;DE$5,0,IF(DE50&lt;0,IF($J50=1,-$E50*$I50/12*3,IF($J50=2,-$E50*$I50/12*2,IF($J50=3,-$E50*$I50/12*1,0)))))+IF(CZ$5&lt;&gt;$H50,0,IF(CZ50&lt;0,IF($J50=1,-$E50*$I50/12*0,IF($J50=2,-$E50*$I50/12*1,IF($J50=3,-$E50*$I50/12*2,IF($J50&gt;=4,-$E50*$I50/12*3,0))))))</f>
        <v>0</v>
      </c>
      <c r="DB50" s="406">
        <f>IF($H50&lt;&gt;DE$5,0,IF(DE50&lt;0,IF(OR($J50=1,$J50=2,$J50=3,$J50=4),-$E50*$I50/12*3,IF($J50=5,-$E50*$I50/12*2,IF($J50=6,-$E50*$I50/12*1,0)))))+IF(CZ$5&lt;&gt;$H50,0,IF(CZ50&lt;0,IF($J50=4,-$E50*$I50/12*0,IF($J50=5,-$E50*$I50/12*1,IF($J50=6,-$E50*$I50/12*2,IF($J50&gt;=7,-$E50*$I50/12*3,0))))))</f>
        <v>0</v>
      </c>
      <c r="DC50" s="406">
        <f>IF($H50&lt;&gt;DE$5,0,IF(DE50&lt;0,IF(OR($J50=1,$J50=2,$J50=3,$J50=4,$J50=5,$J50=6,$J50=7),-$E50*$I50/12*3,IF($J50=8,-$E50*$I50/12*2,IF($J50=9,-$E50*$I50/12*1,0)))))+IF(CZ$5&lt;&gt;$H50,0,IF(CZ50&lt;0,IF($J50=7,-$E50*$I50/12*0,IF($J50=8,-$E50*$I50/12*1,IF($J50=9,-$E50*$I50/12*2,IF($J50&gt;=10,-$E50*$I50/12*3,0))))))</f>
        <v>0</v>
      </c>
      <c r="DD50" s="402">
        <f>IF($H50&lt;&gt;DE$5,0,IF(DE50&lt;0,IF(OR($J50=1,$J50=2,$J50=3,$J50=4,$J50=5,$J50=6,$J50=7,$J50=8,$J50=9,$J50=10),-$E50*$I50/12*3,IF($J50=11,-$E50*$I50/12*2,IF($J50=12,-$E50*$I50/12*1,0)))))+IF(CZ$5&lt;&gt;$H50,0,IF(CZ50&lt;0,IF($J50=10,-$E50*$I50/12*0,IF($J50=11,-$E50*$I50/12*1,IF($J50=12,-$E50*$I50/12*2,0)))))</f>
        <v>0</v>
      </c>
      <c r="DE50" s="403">
        <f>IF(AND(CZ50&lt;&gt;0,CZ$5=$H50),-$I50*$E50-CZ50,IF(DE$5=$H50,-$I50*$E50*(12-$J50+1)/12,0))</f>
        <v>0</v>
      </c>
      <c r="DF50" s="400">
        <f>IF($H50&lt;&gt;DJ$5,0,IF(DJ50&lt;0,IF($J50=1,-$E50*$I50/12*3,IF($J50=2,-$E50*$I50/12*2,IF($J50=3,-$E50*$I50/12*1,0)))))+IF(DE$5&lt;&gt;$H50,0,IF(DE50&lt;0,IF($J50=1,-$E50*$I50/12*0,IF($J50=2,-$E50*$I50/12*1,IF($J50=3,-$E50*$I50/12*2,IF($J50&gt;=4,-$E50*$I50/12*3,0))))))</f>
        <v>0</v>
      </c>
      <c r="DG50" s="406">
        <f>IF($H50&lt;&gt;DJ$5,0,IF(DJ50&lt;0,IF(OR($J50=1,$J50=2,$J50=3,$J50=4),-$E50*$I50/12*3,IF($J50=5,-$E50*$I50/12*2,IF($J50=6,-$E50*$I50/12*1,0)))))+IF(DE$5&lt;&gt;$H50,0,IF(DE50&lt;0,IF($J50=4,-$E50*$I50/12*0,IF($J50=5,-$E50*$I50/12*1,IF($J50=6,-$E50*$I50/12*2,IF($J50&gt;=7,-$E50*$I50/12*3,0))))))</f>
        <v>0</v>
      </c>
      <c r="DH50" s="406">
        <f>IF($H50&lt;&gt;DJ$5,0,IF(DJ50&lt;0,IF(OR($J50=1,$J50=2,$J50=3,$J50=4,$J50=5,$J50=6,$J50=7),-$E50*$I50/12*3,IF($J50=8,-$E50*$I50/12*2,IF($J50=9,-$E50*$I50/12*1,0)))))+IF(DE$5&lt;&gt;$H50,0,IF(DE50&lt;0,IF($J50=7,-$E50*$I50/12*0,IF($J50=8,-$E50*$I50/12*1,IF($J50=9,-$E50*$I50/12*2,IF($J50&gt;=10,-$E50*$I50/12*3,0))))))</f>
        <v>0</v>
      </c>
      <c r="DI50" s="402">
        <f>IF($H50&lt;&gt;DJ$5,0,IF(DJ50&lt;0,IF(OR($J50=1,$J50=2,$J50=3,$J50=4,$J50=5,$J50=6,$J50=7,$J50=8,$J50=9,$J50=10),-$E50*$I50/12*3,IF($J50=11,-$E50*$I50/12*2,IF($J50=12,-$E50*$I50/12*1,0)))))+IF(DE$5&lt;&gt;$H50,0,IF(DE50&lt;0,IF($J50=10,-$E50*$I50/12*0,IF($J50=11,-$E50*$I50/12*1,IF($J50=12,-$E50*$I50/12*2,0)))))</f>
        <v>0</v>
      </c>
      <c r="DJ50" s="403">
        <f>IF(AND(DE50&lt;&gt;0,DE$5=$H50),-$I50*$E50-DE50,IF(DJ$5=$H50,-$I50*$E50*(12-$J50+1)/12,0))</f>
        <v>0</v>
      </c>
      <c r="DK50" s="400">
        <f>IF($H50&lt;&gt;DO$5,0,IF(DO50&lt;0,IF($J50=1,-$E50*$I50/12*3,IF($J50=2,-$E50*$I50/12*2,IF($J50=3,-$E50*$I50/12*1,0)))))+IF(DJ$5&lt;&gt;$H50,0,IF(DJ50&lt;0,IF($J50=1,-$E50*$I50/12*0,IF($J50=2,-$E50*$I50/12*1,IF($J50=3,-$E50*$I50/12*2,IF($J50&gt;=4,-$E50*$I50/12*3,0))))))</f>
        <v>0</v>
      </c>
      <c r="DL50" s="406">
        <f>IF($H50&lt;&gt;DO$5,0,IF(DO50&lt;0,IF(OR($J50=1,$J50=2,$J50=3,$J50=4),-$E50*$I50/12*3,IF($J50=5,-$E50*$I50/12*2,IF($J50=6,-$E50*$I50/12*1,0)))))+IF(DJ$5&lt;&gt;$H50,0,IF(DJ50&lt;0,IF($J50=4,-$E50*$I50/12*0,IF($J50=5,-$E50*$I50/12*1,IF($J50=6,-$E50*$I50/12*2,IF($J50&gt;=7,-$E50*$I50/12*3,0))))))</f>
        <v>0</v>
      </c>
      <c r="DM50" s="406">
        <f>IF($H50&lt;&gt;DO$5,0,IF(DO50&lt;0,IF(OR($J50=1,$J50=2,$J50=3,$J50=4,$J50=5,$J50=6,$J50=7),-$E50*$I50/12*3,IF($J50=8,-$E50*$I50/12*2,IF($J50=9,-$E50*$I50/12*1,0)))))+IF(DJ$5&lt;&gt;$H50,0,IF(DJ50&lt;0,IF($J50=7,-$E50*$I50/12*0,IF($J50=8,-$E50*$I50/12*1,IF($J50=9,-$E50*$I50/12*2,IF($J50&gt;=10,-$E50*$I50/12*3,0))))))</f>
        <v>-1.0999999999999999</v>
      </c>
      <c r="DN50" s="402">
        <f>IF($H50&lt;&gt;DO$5,0,IF(DO50&lt;0,IF(OR($J50=1,$J50=2,$J50=3,$J50=4,$J50=5,$J50=6,$J50=7,$J50=8,$J50=9,$J50=10),-$E50*$I50/12*3,IF($J50=11,-$E50*$I50/12*2,IF($J50=12,-$E50*$I50/12*1,0)))))+IF(DJ$5&lt;&gt;$H50,0,IF(DJ50&lt;0,IF($J50=10,-$E50*$I50/12*0,IF($J50=11,-$E50*$I50/12*1,IF($J50=12,-$E50*$I50/12*2,0)))))</f>
        <v>-1.65</v>
      </c>
      <c r="DO50" s="403">
        <f>IF(AND(DJ50&lt;&gt;0,DJ$5=$H50),-$I50*$E50-DJ50,IF(DO$5=$H50,-$I50*$E50*(12-$J50+1)/12,0))</f>
        <v>-2.75</v>
      </c>
      <c r="DP50" s="400">
        <f>IF($H50&lt;&gt;DT$5,0,IF(DT50&lt;0,IF($J50=1,-$E50*$I50/12*3,IF($J50=2,-$E50*$I50/12*2,IF($J50=3,-$E50*$I50/12*1,0)))))+IF(DO$5&lt;&gt;$H50,0,IF(DO50&lt;0,IF($J50=1,-$E50*$I50/12*0,IF($J50=2,-$E50*$I50/12*1,IF($J50=3,-$E50*$I50/12*2,IF($J50&gt;=4,-$E50*$I50/12*3,0))))))</f>
        <v>-1.65</v>
      </c>
      <c r="DQ50" s="406">
        <f>IF($H50&lt;&gt;DT$5,0,IF(DT50&lt;0,IF(OR($J50=1,$J50=2,$J50=3,$J50=4),-$E50*$I50/12*3,IF($J50=5,-$E50*$I50/12*2,IF($J50=6,-$E50*$I50/12*1,0)))))+IF(DO$5&lt;&gt;$H50,0,IF(DO50&lt;0,IF($J50=4,-$E50*$I50/12*0,IF($J50=5,-$E50*$I50/12*1,IF($J50=6,-$E50*$I50/12*2,IF($J50&gt;=7,-$E50*$I50/12*3,0))))))</f>
        <v>-1.65</v>
      </c>
      <c r="DR50" s="406">
        <f>IF($H50&lt;&gt;DT$5,0,IF(DT50&lt;0,IF(OR($J50=1,$J50=2,$J50=3,$J50=4,$J50=5,$J50=6,$J50=7),-$E50*$I50/12*3,IF($J50=8,-$E50*$I50/12*2,IF($J50=9,-$E50*$I50/12*1,0)))))+IF(DO$5&lt;&gt;$H50,0,IF(DO50&lt;0,IF($J50=7,-$E50*$I50/12*0,IF($J50=8,-$E50*$I50/12*1,IF($J50=9,-$E50*$I50/12*2,IF($J50&gt;=10,-$E50*$I50/12*3,0))))))</f>
        <v>-0.54999999999999993</v>
      </c>
      <c r="DS50" s="402">
        <f>IF($H50&lt;&gt;DT$5,0,IF(DT50&lt;0,IF(OR($J50=1,$J50=2,$J50=3,$J50=4,$J50=5,$J50=6,$J50=7,$J50=8,$J50=9,$J50=10),-$E50*$I50/12*3,IF($J50=11,-$E50*$I50/12*2,IF($J50=12,-$E50*$I50/12*1,0)))))+IF(DO$5&lt;&gt;$H50,0,IF(DO50&lt;0,IF($J50=10,-$E50*$I50/12*0,IF($J50=11,-$E50*$I50/12*1,IF($J50=12,-$E50*$I50/12*2,0)))))</f>
        <v>0</v>
      </c>
      <c r="DT50" s="403">
        <f>IF(AND(DO50&lt;&gt;0,DO$5=$H50),-$I50*$E50-DO50,IF(DT$5=$H50,-$I50*$E50*(12-$J50+1)/12,0))</f>
        <v>-3.8499999999999996</v>
      </c>
      <c r="EF50" s="35"/>
    </row>
    <row r="51" spans="3:139" ht="12.75" customHeight="1" x14ac:dyDescent="0.2">
      <c r="C51" s="850" t="s">
        <v>612</v>
      </c>
      <c r="D51" s="70"/>
      <c r="E51" s="530">
        <f>IF(F51=0,G51,F51)</f>
        <v>300</v>
      </c>
      <c r="F51" s="531">
        <v>300</v>
      </c>
      <c r="G51" s="531">
        <v>300</v>
      </c>
      <c r="H51" s="449">
        <v>2022</v>
      </c>
      <c r="I51" s="450">
        <v>2.1499999999999998E-2</v>
      </c>
      <c r="J51" s="451">
        <v>8</v>
      </c>
      <c r="K51" s="392"/>
      <c r="L51" s="397">
        <f>IF(L$5=$H51,-$E51,0)</f>
        <v>0</v>
      </c>
      <c r="M51" s="394">
        <f>IF(Q51=0,0,IF(Q51&lt;0,IF($J51=3,Q51,IF($J51=2,Q51,IF($J51=1,Q51,0)))))</f>
        <v>0</v>
      </c>
      <c r="N51" s="404">
        <f>IF(Q51=0,0,IF(Q51&lt;0,IF($J51=6,Q51,IF($J51=5,Q51,IF($J51=4,Q51,0)))))</f>
        <v>0</v>
      </c>
      <c r="O51" s="404">
        <f>IF(Q51=0,0,IF(Q51&lt;0,IF($J51=9,Q51,IF($J51=8,Q51,IF($J51=7,Q51,0)))))</f>
        <v>0</v>
      </c>
      <c r="P51" s="396">
        <f>IF(Q51=0,0,IF(Q51&lt;0,IF($J51=12,Q51,IF($J51=11,Q51,IF($J51=10,Q51,0)))))</f>
        <v>0</v>
      </c>
      <c r="Q51" s="397">
        <f>IF(Q$5=$H51,-$E51,0)</f>
        <v>0</v>
      </c>
      <c r="R51" s="394">
        <f>IF(V51=0,0,IF(V51&lt;0,IF($J51=3,V51,IF($J51=2,V51,IF($J51=1,V51,0)))))</f>
        <v>0</v>
      </c>
      <c r="S51" s="404">
        <f>IF(V51=0,0,IF(V51&lt;0,IF($J51=6,V51,IF($J51=5,V51,IF($J51=4,V51,0)))))</f>
        <v>0</v>
      </c>
      <c r="T51" s="404">
        <f>IF(V51=0,0,IF(V51&lt;0,IF($J51=9,V51,IF($J51=8,V51,IF($J51=7,V51,0)))))</f>
        <v>0</v>
      </c>
      <c r="U51" s="396">
        <f>IF(V51=0,0,IF(V51&lt;0,IF($J51=12,V51,IF($J51=11,V51,IF($J51=10,V51,0)))))</f>
        <v>0</v>
      </c>
      <c r="V51" s="397">
        <f>IF(V$5=$H51,-$E51,0)</f>
        <v>0</v>
      </c>
      <c r="W51" s="394">
        <f>IF(AA51=0,0,IF(AA51&lt;0,IF($J51=3,AA51,IF($J51=2,AA51,IF($J51=1,AA51,0)))))</f>
        <v>0</v>
      </c>
      <c r="X51" s="404">
        <f>IF(AA51=0,0,IF(AA51&lt;0,IF($J51=6,AA51,IF($J51=5,AA51,IF($J51=4,AA51,0)))))</f>
        <v>0</v>
      </c>
      <c r="Y51" s="404">
        <f>IF(AA51=0,0,IF(AA51&lt;0,IF($J51=9,AA51,IF($J51=8,AA51,IF($J51=7,AA51,0)))))</f>
        <v>0</v>
      </c>
      <c r="Z51" s="396">
        <f>IF(AA51=0,0,IF(AA51&lt;0,IF($J51=12,AA51,IF($J51=11,AA51,IF($J51=10,AA51,0)))))</f>
        <v>0</v>
      </c>
      <c r="AA51" s="397">
        <f>IF(AA$5=$H51,-$E51,0)</f>
        <v>0</v>
      </c>
      <c r="AB51" s="394">
        <f>IF(AF51=0,0,IF(AF51&lt;0,IF($J51=3,AF51,IF($J51=2,AF51,IF($J51=1,AF51,0)))))</f>
        <v>0</v>
      </c>
      <c r="AC51" s="404">
        <f>IF(AF51=0,0,IF(AF51&lt;0,IF($J51=6,AF51,IF($J51=5,AF51,IF($J51=4,AF51,0)))))</f>
        <v>0</v>
      </c>
      <c r="AD51" s="404">
        <f>IF(AF51=0,0,IF(AF51&lt;0,IF($J51=9,AF51,IF($J51=8,AF51,IF($J51=7,AF51,0)))))</f>
        <v>0</v>
      </c>
      <c r="AE51" s="396">
        <f>IF(AF51=0,0,IF(AF51&lt;0,IF($J51=12,AF51,IF($J51=11,AF51,IF($J51=10,AF51,0)))))</f>
        <v>0</v>
      </c>
      <c r="AF51" s="397">
        <f>IF(AF$5=$H51,-$E51,0)</f>
        <v>0</v>
      </c>
      <c r="AG51" s="394">
        <f>IF(AK51=0,0,IF(AK51&lt;0,IF($J51=3,AK51,IF($J51=2,AK51,IF($J51=1,AK51,0)))))</f>
        <v>0</v>
      </c>
      <c r="AH51" s="404">
        <f>IF(AK51=0,0,IF(AK51&lt;0,IF($J51=6,AK51,IF($J51=5,AK51,IF($J51=4,AK51,0)))))</f>
        <v>0</v>
      </c>
      <c r="AI51" s="404">
        <f>IF(AK51=0,0,IF(AK51&lt;0,IF($J51=9,AK51,IF($J51=8,AK51,IF($J51=7,AK51,0)))))</f>
        <v>0</v>
      </c>
      <c r="AJ51" s="396">
        <f>IF(AK51=0,0,IF(AK51&lt;0,IF($J51=12,AK51,IF($J51=11,AK51,IF($J51=10,AK51,0)))))</f>
        <v>0</v>
      </c>
      <c r="AK51" s="397">
        <f>IF(AK$5=$H51,-$E51,0)</f>
        <v>0</v>
      </c>
      <c r="AL51" s="394">
        <f>IF(AP51=0,0,IF(AP51&lt;0,IF($J51=3,AP51,IF($J51=2,AP51,IF($J51=1,AP51,0)))))</f>
        <v>0</v>
      </c>
      <c r="AM51" s="404">
        <f>IF(AP51=0,0,IF(AP51&lt;0,IF($J51=6,AP51,IF($J51=5,AP51,IF($J51=4,AP51,0)))))</f>
        <v>0</v>
      </c>
      <c r="AN51" s="404">
        <f>IF(AP51=0,0,IF(AP51&lt;0,IF($J51=9,AP51,IF($J51=8,AP51,IF($J51=7,AP51,0)))))</f>
        <v>0</v>
      </c>
      <c r="AO51" s="396">
        <f>IF(AP51=0,0,IF(AP51&lt;0,IF($J51=12,AP51,IF($J51=11,AP51,IF($J51=10,AP51,0)))))</f>
        <v>0</v>
      </c>
      <c r="AP51" s="397">
        <f>IF(AP$5=$H51,-$E51,0)</f>
        <v>0</v>
      </c>
      <c r="AQ51" s="394">
        <f>IF(AU51=0,0,IF(AU51&lt;0,IF($J51=3,AU51,IF($J51=2,AU51,IF($J51=1,AU51,0)))))</f>
        <v>0</v>
      </c>
      <c r="AR51" s="404">
        <f>IF(AU51=0,0,IF(AU51&lt;0,IF($J51=6,AU51,IF($J51=5,AU51,IF($J51=4,AU51,0)))))</f>
        <v>0</v>
      </c>
      <c r="AS51" s="404">
        <f>IF(AU51=0,0,IF(AU51&lt;0,IF($J51=9,AU51,IF($J51=8,AU51,IF($J51=7,AU51,0)))))</f>
        <v>0</v>
      </c>
      <c r="AT51" s="396">
        <f>IF(AU51=0,0,IF(AU51&lt;0,IF($J51=12,AU51,IF($J51=11,AU51,IF($J51=10,AU51,0)))))</f>
        <v>0</v>
      </c>
      <c r="AU51" s="397">
        <f>IF(AU$5=$H51,-$E51,0)</f>
        <v>0</v>
      </c>
      <c r="AV51" s="394">
        <f>IF(AZ51=0,0,IF(AZ51&lt;0,IF($J51=3,AZ51,IF($J51=2,AZ51,IF($J51=1,AZ51,0)))))</f>
        <v>0</v>
      </c>
      <c r="AW51" s="404">
        <f>IF(AZ51=0,0,IF(AZ51&lt;0,IF($J51=6,AZ51,IF($J51=5,AZ51,IF($J51=4,AZ51,0)))))</f>
        <v>0</v>
      </c>
      <c r="AX51" s="404">
        <f>IF(AZ51=0,0,IF(AZ51&lt;0,IF($J51=9,AZ51,IF($J51=8,AZ51,IF($J51=7,AZ51,0)))))</f>
        <v>0</v>
      </c>
      <c r="AY51" s="396">
        <f>IF(AZ51=0,0,IF(AZ51&lt;0,IF($J51=12,AZ51,IF($J51=11,AZ51,IF($J51=10,AZ51,0)))))</f>
        <v>0</v>
      </c>
      <c r="AZ51" s="397">
        <f>IF(AZ$5=$H51,-$E51,0)</f>
        <v>0</v>
      </c>
      <c r="BA51" s="394">
        <f>IF(BE51=0,0,IF(BE51&lt;0,IF($J51=3,BE51,IF($J51=2,BE51,IF($J51=1,BE51,0)))))</f>
        <v>0</v>
      </c>
      <c r="BB51" s="404">
        <f>IF(BE51=0,0,IF(BE51&lt;0,IF($J51=6,BE51,IF($J51=5,BE51,IF($J51=4,BE51,0)))))</f>
        <v>0</v>
      </c>
      <c r="BC51" s="404">
        <f>IF(BE51=0,0,IF(BE51&lt;0,IF($J51=9,BE51,IF($J51=8,BE51,IF($J51=7,BE51,0)))))</f>
        <v>0</v>
      </c>
      <c r="BD51" s="396">
        <f>IF(BE51=0,0,IF(BE51&lt;0,IF($J51=12,BE51,IF($J51=11,BE51,IF($J51=10,BE51,0)))))</f>
        <v>0</v>
      </c>
      <c r="BE51" s="397">
        <f>IF(BE$5=$H51,-$E51,0)</f>
        <v>0</v>
      </c>
      <c r="BF51" s="394">
        <f>IF(BJ51=0,0,IF(BJ51&lt;0,IF($J51=3,BJ51,IF($J51=2,BJ51,IF($J51=1,BJ51,0)))))</f>
        <v>0</v>
      </c>
      <c r="BG51" s="404">
        <f>IF(BJ51=0,0,IF(BJ51&lt;0,IF($J51=6,BJ51,IF($J51=5,BJ51,IF($J51=4,BJ51,0)))))</f>
        <v>0</v>
      </c>
      <c r="BH51" s="404">
        <f>IF(BJ51=0,0,IF(BJ51&lt;0,IF($J51=9,BJ51,IF($J51=8,BJ51,IF($J51=7,BJ51,0)))))</f>
        <v>0</v>
      </c>
      <c r="BI51" s="396">
        <f>IF(BJ51=0,0,IF(BJ51&lt;0,IF($J51=12,BJ51,IF($J51=11,BJ51,IF($J51=10,BJ51,0)))))</f>
        <v>0</v>
      </c>
      <c r="BJ51" s="397">
        <f>IF(BJ$5=$H51,-$E51,0)</f>
        <v>0</v>
      </c>
      <c r="BK51" s="394">
        <f>IF(BO51=0,0,IF(BO51&lt;0,IF($J51=3,BO51,IF($J51=2,BO51,IF($J51=1,BO51,0)))))</f>
        <v>0</v>
      </c>
      <c r="BL51" s="404">
        <f>IF(BO51=0,0,IF(BO51&lt;0,IF($J51=6,BO51,IF($J51=5,BO51,IF($J51=4,BO51,0)))))</f>
        <v>0</v>
      </c>
      <c r="BM51" s="404">
        <f>IF(BO51=0,0,IF(BO51&lt;0,IF($J51=9,BO51,IF($J51=8,BO51,IF($J51=7,BO51,0)))))</f>
        <v>0</v>
      </c>
      <c r="BN51" s="396">
        <f>IF(BO51=0,0,IF(BO51&lt;0,IF($J51=12,BO51,IF($J51=11,BO51,IF($J51=10,BO51,0)))))</f>
        <v>0</v>
      </c>
      <c r="BO51" s="397">
        <f>IF(BO$5=$H51,-$E51,0)</f>
        <v>0</v>
      </c>
      <c r="BP51" s="452"/>
      <c r="BQ51" s="403">
        <f>IF(AND(BP51&lt;&gt;0,BP$5=$H51),-$I51*$E51-BP51,IF(BQ$5=$H51,-$I51*$E51*(12-$J51+1)/12,0))</f>
        <v>0</v>
      </c>
      <c r="BR51" s="400">
        <f>IF($H51&lt;&gt;BV$5,0,IF(BV51&lt;0,IF($J51=1,-$E51*$I51/12*3,IF($J51=2,-$E51*$I51/12*2,IF($J51=3,-$E51*$I51/12*1,0)))))+IF(BQ$5&lt;&gt;$H51,0,IF(BQ51&lt;0,IF($J51=1,-$E51*$I51/12*0,IF($J51=2,-$E51*$I51/12*1,IF($J51=3,-$E51*$I51/12*2,IF($J51&gt;=4,-$E51*$I51/12*3,0))))))</f>
        <v>0</v>
      </c>
      <c r="BS51" s="406">
        <f>IF($H51&lt;&gt;BV$5,0,IF(BV51&lt;0,IF(OR($J51=1,$J51=2,$J51=3,$J51=4),-$E51*$I51/12*3,IF($J51=5,-$E51*$I51/12*2,IF($J51=6,-$E51*$I51/12*1,0)))))+IF(BQ$5&lt;&gt;$H51,0,IF(BQ51&lt;0,IF($J51=4,-$E51*$I51/12*0,IF($J51=5,-$E51*$I51/12*1,IF($J51=6,-$E51*$I51/12*2,IF($J51&gt;=7,-$E51*$I51/12*3,0))))))</f>
        <v>0</v>
      </c>
      <c r="BT51" s="406">
        <f>IF($H51&lt;&gt;BV$5,0,IF(BV51&lt;0,IF(OR($J51=1,$J51=2,$J51=3,$J51=4,$J51=5,$J51=6,$J51=7),-$E51*$I51/12*3,IF($J51=8,-$E51*$I51/12*2,IF($J51=9,-$E51*$I51/12*1,0)))))+IF(BQ$5&lt;&gt;$H51,0,IF(BQ51&lt;0,IF($J51=7,-$E51*$I51/12*0,IF($J51=8,-$E51*$I51/12*1,IF($J51=9,-$E51*$I51/12*2,IF($J51&gt;=10,-$E51*$I51/12*3,0))))))</f>
        <v>0</v>
      </c>
      <c r="BU51" s="402">
        <f>IF($H51&lt;&gt;BV$5,0,IF(BV51&lt;0,IF(OR($J51=1,$J51=2,$J51=3,$J51=4,$J51=5,$J51=6,$J51=7,$J51=8,$J51=9,$J51=10),-$E51*$I51/12*3,IF($J51=11,-$E51*$I51/12*2,IF($J51=12,-$E51*$I51/12*1,0)))))+IF(BQ$5&lt;&gt;$H51,0,IF(BQ51&lt;0,IF($J51=10,-$E51*$I51/12*0,IF($J51=11,-$E51*$I51/12*1,IF($J51=12,-$E51*$I51/12*2,0)))))</f>
        <v>0</v>
      </c>
      <c r="BV51" s="403">
        <f>IF(AND(BQ51&lt;&gt;0,BQ$5=$H51),-$I51*$E51-BQ51,IF(BV$5=$H51,-$I51*$E51*(12-$J51+1)/12,0))</f>
        <v>0</v>
      </c>
      <c r="BW51" s="400">
        <f>IF($H51&lt;&gt;CA$5,0,IF(CA51&lt;0,IF($J51=1,-$E51*$I51/12*3,IF($J51=2,-$E51*$I51/12*2,IF($J51=3,-$E51*$I51/12*1,0)))))+IF(BV$5&lt;&gt;$H51,0,IF(BV51&lt;0,IF($J51=1,-$E51*$I51/12*0,IF($J51=2,-$E51*$I51/12*1,IF($J51=3,-$E51*$I51/12*2,IF($J51&gt;=4,-$E51*$I51/12*3,0))))))</f>
        <v>0</v>
      </c>
      <c r="BX51" s="406">
        <f>IF($H51&lt;&gt;CA$5,0,IF(CA51&lt;0,IF(OR($J51=1,$J51=2,$J51=3,$J51=4),-$E51*$I51/12*3,IF($J51=5,-$E51*$I51/12*2,IF($J51=6,-$E51*$I51/12*1,0)))))+IF(BV$5&lt;&gt;$H51,0,IF(BV51&lt;0,IF($J51=4,-$E51*$I51/12*0,IF($J51=5,-$E51*$I51/12*1,IF($J51=6,-$E51*$I51/12*2,IF($J51&gt;=7,-$E51*$I51/12*3,0))))))</f>
        <v>0</v>
      </c>
      <c r="BY51" s="406">
        <f>IF($H51&lt;&gt;CA$5,0,IF(CA51&lt;0,IF(OR($J51=1,$J51=2,$J51=3,$J51=4,$J51=5,$J51=6,$J51=7),-$E51*$I51/12*3,IF($J51=8,-$E51*$I51/12*2,IF($J51=9,-$E51*$I51/12*1,0)))))+IF(BV$5&lt;&gt;$H51,0,IF(BV51&lt;0,IF($J51=7,-$E51*$I51/12*0,IF($J51=8,-$E51*$I51/12*1,IF($J51=9,-$E51*$I51/12*2,IF($J51&gt;=10,-$E51*$I51/12*3,0))))))</f>
        <v>0</v>
      </c>
      <c r="BZ51" s="402">
        <f>IF($H51&lt;&gt;CA$5,0,IF(CA51&lt;0,IF(OR($J51=1,$J51=2,$J51=3,$J51=4,$J51=5,$J51=6,$J51=7,$J51=8,$J51=9,$J51=10),-$E51*$I51/12*3,IF($J51=11,-$E51*$I51/12*2,IF($J51=12,-$E51*$I51/12*1,0)))))+IF(BV$5&lt;&gt;$H51,0,IF(BV51&lt;0,IF($J51=10,-$E51*$I51/12*0,IF($J51=11,-$E51*$I51/12*1,IF($J51=12,-$E51*$I51/12*2,0)))))</f>
        <v>0</v>
      </c>
      <c r="CA51" s="403">
        <f>IF(AND(BV51&lt;&gt;0,BV$5=$H51),-$I51*$E51-BV51,IF(CA$5=$H51,-$I51*$E51*(12-$J51+1)/12,0))</f>
        <v>0</v>
      </c>
      <c r="CB51" s="400">
        <f>IF($H51&lt;&gt;CF$5,0,IF(CF51&lt;0,IF($J51=1,-$E51*$I51/12*3,IF($J51=2,-$E51*$I51/12*2,IF($J51=3,-$E51*$I51/12*1,0)))))+IF(CA$5&lt;&gt;$H51,0,IF(CA51&lt;0,IF($J51=1,-$E51*$I51/12*0,IF($J51=2,-$E51*$I51/12*1,IF($J51=3,-$E51*$I51/12*2,IF($J51&gt;=4,-$E51*$I51/12*3,0))))))</f>
        <v>0</v>
      </c>
      <c r="CC51" s="406">
        <f>IF($H51&lt;&gt;CF$5,0,IF(CF51&lt;0,IF(OR($J51=1,$J51=2,$J51=3,$J51=4),-$E51*$I51/12*3,IF($J51=5,-$E51*$I51/12*2,IF($J51=6,-$E51*$I51/12*1,0)))))+IF(CA$5&lt;&gt;$H51,0,IF(CA51&lt;0,IF($J51=4,-$E51*$I51/12*0,IF($J51=5,-$E51*$I51/12*1,IF($J51=6,-$E51*$I51/12*2,IF($J51&gt;=7,-$E51*$I51/12*3,0))))))</f>
        <v>0</v>
      </c>
      <c r="CD51" s="406">
        <f>IF($H51&lt;&gt;CF$5,0,IF(CF51&lt;0,IF(OR($J51=1,$J51=2,$J51=3,$J51=4,$J51=5,$J51=6,$J51=7),-$E51*$I51/12*3,IF($J51=8,-$E51*$I51/12*2,IF($J51=9,-$E51*$I51/12*1,0)))))+IF(CA$5&lt;&gt;$H51,0,IF(CA51&lt;0,IF($J51=7,-$E51*$I51/12*0,IF($J51=8,-$E51*$I51/12*1,IF($J51=9,-$E51*$I51/12*2,IF($J51&gt;=10,-$E51*$I51/12*3,0))))))</f>
        <v>0</v>
      </c>
      <c r="CE51" s="402">
        <f>IF($H51&lt;&gt;CF$5,0,IF(CF51&lt;0,IF(OR($J51=1,$J51=2,$J51=3,$J51=4,$J51=5,$J51=6,$J51=7,$J51=8,$J51=9,$J51=10),-$E51*$I51/12*3,IF($J51=11,-$E51*$I51/12*2,IF($J51=12,-$E51*$I51/12*1,0)))))+IF(CA$5&lt;&gt;$H51,0,IF(CA51&lt;0,IF($J51=10,-$E51*$I51/12*0,IF($J51=11,-$E51*$I51/12*1,IF($J51=12,-$E51*$I51/12*2,0)))))</f>
        <v>0</v>
      </c>
      <c r="CF51" s="403">
        <f>IF(AND(CA51&lt;&gt;0,CA$5=$H51),-$I51*$E51-CA51,IF(CF$5=$H51,-$I51*$E51*(12-$J51+1)/12,0))</f>
        <v>0</v>
      </c>
      <c r="CG51" s="400">
        <f>IF($H51&lt;&gt;CK$5,0,IF(CK51&lt;0,IF($J51=1,-$E51*$I51/12*3,IF($J51=2,-$E51*$I51/12*2,IF($J51=3,-$E51*$I51/12*1,0)))))+IF(CF$5&lt;&gt;$H51,0,IF(CF51&lt;0,IF($J51=1,-$E51*$I51/12*0,IF($J51=2,-$E51*$I51/12*1,IF($J51=3,-$E51*$I51/12*2,IF($J51&gt;=4,-$E51*$I51/12*3,0))))))</f>
        <v>0</v>
      </c>
      <c r="CH51" s="406">
        <f>IF($H51&lt;&gt;CK$5,0,IF(CK51&lt;0,IF(OR($J51=1,$J51=2,$J51=3,$J51=4),-$E51*$I51/12*3,IF($J51=5,-$E51*$I51/12*2,IF($J51=6,-$E51*$I51/12*1,0)))))+IF(CF$5&lt;&gt;$H51,0,IF(CF51&lt;0,IF($J51=4,-$E51*$I51/12*0,IF($J51=5,-$E51*$I51/12*1,IF($J51=6,-$E51*$I51/12*2,IF($J51&gt;=7,-$E51*$I51/12*3,0))))))</f>
        <v>0</v>
      </c>
      <c r="CI51" s="406">
        <f>IF($H51&lt;&gt;CK$5,0,IF(CK51&lt;0,IF(OR($J51=1,$J51=2,$J51=3,$J51=4,$J51=5,$J51=6,$J51=7),-$E51*$I51/12*3,IF($J51=8,-$E51*$I51/12*2,IF($J51=9,-$E51*$I51/12*1,0)))))+IF(CF$5&lt;&gt;$H51,0,IF(CF51&lt;0,IF($J51=7,-$E51*$I51/12*0,IF($J51=8,-$E51*$I51/12*1,IF($J51=9,-$E51*$I51/12*2,IF($J51&gt;=10,-$E51*$I51/12*3,0))))))</f>
        <v>0</v>
      </c>
      <c r="CJ51" s="402">
        <f>IF($H51&lt;&gt;CK$5,0,IF(CK51&lt;0,IF(OR($J51=1,$J51=2,$J51=3,$J51=4,$J51=5,$J51=6,$J51=7,$J51=8,$J51=9,$J51=10),-$E51*$I51/12*3,IF($J51=11,-$E51*$I51/12*2,IF($J51=12,-$E51*$I51/12*1,0)))))+IF(CF$5&lt;&gt;$H51,0,IF(CF51&lt;0,IF($J51=10,-$E51*$I51/12*0,IF($J51=11,-$E51*$I51/12*1,IF($J51=12,-$E51*$I51/12*2,0)))))</f>
        <v>0</v>
      </c>
      <c r="CK51" s="403">
        <f>IF(AND(CF51&lt;&gt;0,CF$5=$H51),-$I51*$E51-CF51,IF(CK$5=$H51,-$I51*$E51*(12-$J51+1)/12,0))</f>
        <v>0</v>
      </c>
      <c r="CL51" s="400">
        <f>IF($H51&lt;&gt;CP$5,0,IF(CP51&lt;0,IF($J51=1,-$E51*$I51/12*3,IF($J51=2,-$E51*$I51/12*2,IF($J51=3,-$E51*$I51/12*1,0)))))+IF(CK$5&lt;&gt;$H51,0,IF(CK51&lt;0,IF($J51=1,-$E51*$I51/12*0,IF($J51=2,-$E51*$I51/12*1,IF($J51=3,-$E51*$I51/12*2,IF($J51&gt;=4,-$E51*$I51/12*3,0))))))</f>
        <v>0</v>
      </c>
      <c r="CM51" s="406">
        <f>IF($H51&lt;&gt;CP$5,0,IF(CP51&lt;0,IF(OR($J51=1,$J51=2,$J51=3,$J51=4),-$E51*$I51/12*3,IF($J51=5,-$E51*$I51/12*2,IF($J51=6,-$E51*$I51/12*1,0)))))+IF(CK$5&lt;&gt;$H51,0,IF(CK51&lt;0,IF($J51=4,-$E51*$I51/12*0,IF($J51=5,-$E51*$I51/12*1,IF($J51=6,-$E51*$I51/12*2,IF($J51&gt;=7,-$E51*$I51/12*3,0))))))</f>
        <v>0</v>
      </c>
      <c r="CN51" s="406">
        <f>IF($H51&lt;&gt;CP$5,0,IF(CP51&lt;0,IF(OR($J51=1,$J51=2,$J51=3,$J51=4,$J51=5,$J51=6,$J51=7),-$E51*$I51/12*3,IF($J51=8,-$E51*$I51/12*2,IF($J51=9,-$E51*$I51/12*1,0)))))+IF(CK$5&lt;&gt;$H51,0,IF(CK51&lt;0,IF($J51=7,-$E51*$I51/12*0,IF($J51=8,-$E51*$I51/12*1,IF($J51=9,-$E51*$I51/12*2,IF($J51&gt;=10,-$E51*$I51/12*3,0))))))</f>
        <v>0</v>
      </c>
      <c r="CO51" s="402">
        <f>IF($H51&lt;&gt;CP$5,0,IF(CP51&lt;0,IF(OR($J51=1,$J51=2,$J51=3,$J51=4,$J51=5,$J51=6,$J51=7,$J51=8,$J51=9,$J51=10),-$E51*$I51/12*3,IF($J51=11,-$E51*$I51/12*2,IF($J51=12,-$E51*$I51/12*1,0)))))+IF(CK$5&lt;&gt;$H51,0,IF(CK51&lt;0,IF($J51=10,-$E51*$I51/12*0,IF($J51=11,-$E51*$I51/12*1,IF($J51=12,-$E51*$I51/12*2,0)))))</f>
        <v>0</v>
      </c>
      <c r="CP51" s="403">
        <f>IF(AND(CK51&lt;&gt;0,CK$5=$H51),-$I51*$E51-CK51,IF(CP$5=$H51,-$I51*$E51*(12-$J51+1)/12,0))</f>
        <v>0</v>
      </c>
      <c r="CQ51" s="400">
        <f>IF($H51&lt;&gt;CU$5,0,IF(CU51&lt;0,IF($J51=1,-$E51*$I51/12*3,IF($J51=2,-$E51*$I51/12*2,IF($J51=3,-$E51*$I51/12*1,0)))))+IF(CP$5&lt;&gt;$H51,0,IF(CP51&lt;0,IF($J51=1,-$E51*$I51/12*0,IF($J51=2,-$E51*$I51/12*1,IF($J51=3,-$E51*$I51/12*2,IF($J51&gt;=4,-$E51*$I51/12*3,0))))))</f>
        <v>0</v>
      </c>
      <c r="CR51" s="406">
        <f>IF($H51&lt;&gt;CU$5,0,IF(CU51&lt;0,IF(OR($J51=1,$J51=2,$J51=3,$J51=4),-$E51*$I51/12*3,IF($J51=5,-$E51*$I51/12*2,IF($J51=6,-$E51*$I51/12*1,0)))))+IF(CP$5&lt;&gt;$H51,0,IF(CP51&lt;0,IF($J51=4,-$E51*$I51/12*0,IF($J51=5,-$E51*$I51/12*1,IF($J51=6,-$E51*$I51/12*2,IF($J51&gt;=7,-$E51*$I51/12*3,0))))))</f>
        <v>0</v>
      </c>
      <c r="CS51" s="406">
        <f>IF($H51&lt;&gt;CU$5,0,IF(CU51&lt;0,IF(OR($J51=1,$J51=2,$J51=3,$J51=4,$J51=5,$J51=6,$J51=7),-$E51*$I51/12*3,IF($J51=8,-$E51*$I51/12*2,IF($J51=9,-$E51*$I51/12*1,0)))))+IF(CP$5&lt;&gt;$H51,0,IF(CP51&lt;0,IF($J51=7,-$E51*$I51/12*0,IF($J51=8,-$E51*$I51/12*1,IF($J51=9,-$E51*$I51/12*2,IF($J51&gt;=10,-$E51*$I51/12*3,0))))))</f>
        <v>0</v>
      </c>
      <c r="CT51" s="402">
        <f>IF($H51&lt;&gt;CU$5,0,IF(CU51&lt;0,IF(OR($J51=1,$J51=2,$J51=3,$J51=4,$J51=5,$J51=6,$J51=7,$J51=8,$J51=9,$J51=10),-$E51*$I51/12*3,IF($J51=11,-$E51*$I51/12*2,IF($J51=12,-$E51*$I51/12*1,0)))))+IF(CP$5&lt;&gt;$H51,0,IF(CP51&lt;0,IF($J51=10,-$E51*$I51/12*0,IF($J51=11,-$E51*$I51/12*1,IF($J51=12,-$E51*$I51/12*2,0)))))</f>
        <v>0</v>
      </c>
      <c r="CU51" s="403">
        <f>IF(AND(CP51&lt;&gt;0,CP$5=$H51),-$I51*$E51-CP51,IF(CU$5=$H51,-$I51*$E51*(12-$J51+1)/12,0))</f>
        <v>0</v>
      </c>
      <c r="CV51" s="400">
        <f>IF($H51&lt;&gt;CZ$5,0,IF(CZ51&lt;0,IF($J51=1,-$E51*$I51/12*3,IF($J51=2,-$E51*$I51/12*2,IF($J51=3,-$E51*$I51/12*1,0)))))+IF(CU$5&lt;&gt;$H51,0,IF(CU51&lt;0,IF($J51=1,-$E51*$I51/12*0,IF($J51=2,-$E51*$I51/12*1,IF($J51=3,-$E51*$I51/12*2,IF($J51&gt;=4,-$E51*$I51/12*3,0))))))</f>
        <v>0</v>
      </c>
      <c r="CW51" s="406">
        <f>IF($H51&lt;&gt;CZ$5,0,IF(CZ51&lt;0,IF(OR($J51=1,$J51=2,$J51=3,$J51=4),-$E51*$I51/12*3,IF($J51=5,-$E51*$I51/12*2,IF($J51=6,-$E51*$I51/12*1,0)))))+IF(CU$5&lt;&gt;$H51,0,IF(CU51&lt;0,IF($J51=4,-$E51*$I51/12*0,IF($J51=5,-$E51*$I51/12*1,IF($J51=6,-$E51*$I51/12*2,IF($J51&gt;=7,-$E51*$I51/12*3,0))))))</f>
        <v>0</v>
      </c>
      <c r="CX51" s="406">
        <f>IF($H51&lt;&gt;CZ$5,0,IF(CZ51&lt;0,IF(OR($J51=1,$J51=2,$J51=3,$J51=4,$J51=5,$J51=6,$J51=7),-$E51*$I51/12*3,IF($J51=8,-$E51*$I51/12*2,IF($J51=9,-$E51*$I51/12*1,0)))))+IF(CU$5&lt;&gt;$H51,0,IF(CU51&lt;0,IF($J51=7,-$E51*$I51/12*0,IF($J51=8,-$E51*$I51/12*1,IF($J51=9,-$E51*$I51/12*2,IF($J51&gt;=10,-$E51*$I51/12*3,0))))))</f>
        <v>0</v>
      </c>
      <c r="CY51" s="402">
        <f>IF($H51&lt;&gt;CZ$5,0,IF(CZ51&lt;0,IF(OR($J51=1,$J51=2,$J51=3,$J51=4,$J51=5,$J51=6,$J51=7,$J51=8,$J51=9,$J51=10),-$E51*$I51/12*3,IF($J51=11,-$E51*$I51/12*2,IF($J51=12,-$E51*$I51/12*1,0)))))+IF(CU$5&lt;&gt;$H51,0,IF(CU51&lt;0,IF($J51=10,-$E51*$I51/12*0,IF($J51=11,-$E51*$I51/12*1,IF($J51=12,-$E51*$I51/12*2,0)))))</f>
        <v>0</v>
      </c>
      <c r="CZ51" s="403">
        <f>IF(AND(CU51&lt;&gt;0,CU$5=$H51),-$I51*$E51-CU51,IF(CZ$5=$H51,-$I51*$E51*(12-$J51+1)/12,0))</f>
        <v>0</v>
      </c>
      <c r="DA51" s="400">
        <f>IF($H51&lt;&gt;DE$5,0,IF(DE51&lt;0,IF($J51=1,-$E51*$I51/12*3,IF($J51=2,-$E51*$I51/12*2,IF($J51=3,-$E51*$I51/12*1,0)))))+IF(CZ$5&lt;&gt;$H51,0,IF(CZ51&lt;0,IF($J51=1,-$E51*$I51/12*0,IF($J51=2,-$E51*$I51/12*1,IF($J51=3,-$E51*$I51/12*2,IF($J51&gt;=4,-$E51*$I51/12*3,0))))))</f>
        <v>0</v>
      </c>
      <c r="DB51" s="406">
        <f>IF($H51&lt;&gt;DE$5,0,IF(DE51&lt;0,IF(OR($J51=1,$J51=2,$J51=3,$J51=4),-$E51*$I51/12*3,IF($J51=5,-$E51*$I51/12*2,IF($J51=6,-$E51*$I51/12*1,0)))))+IF(CZ$5&lt;&gt;$H51,0,IF(CZ51&lt;0,IF($J51=4,-$E51*$I51/12*0,IF($J51=5,-$E51*$I51/12*1,IF($J51=6,-$E51*$I51/12*2,IF($J51&gt;=7,-$E51*$I51/12*3,0))))))</f>
        <v>0</v>
      </c>
      <c r="DC51" s="406">
        <f>IF($H51&lt;&gt;DE$5,0,IF(DE51&lt;0,IF(OR($J51=1,$J51=2,$J51=3,$J51=4,$J51=5,$J51=6,$J51=7),-$E51*$I51/12*3,IF($J51=8,-$E51*$I51/12*2,IF($J51=9,-$E51*$I51/12*1,0)))))+IF(CZ$5&lt;&gt;$H51,0,IF(CZ51&lt;0,IF($J51=7,-$E51*$I51/12*0,IF($J51=8,-$E51*$I51/12*1,IF($J51=9,-$E51*$I51/12*2,IF($J51&gt;=10,-$E51*$I51/12*3,0))))))</f>
        <v>0</v>
      </c>
      <c r="DD51" s="402">
        <f>IF($H51&lt;&gt;DE$5,0,IF(DE51&lt;0,IF(OR($J51=1,$J51=2,$J51=3,$J51=4,$J51=5,$J51=6,$J51=7,$J51=8,$J51=9,$J51=10),-$E51*$I51/12*3,IF($J51=11,-$E51*$I51/12*2,IF($J51=12,-$E51*$I51/12*1,0)))))+IF(CZ$5&lt;&gt;$H51,0,IF(CZ51&lt;0,IF($J51=10,-$E51*$I51/12*0,IF($J51=11,-$E51*$I51/12*1,IF($J51=12,-$E51*$I51/12*2,0)))))</f>
        <v>0</v>
      </c>
      <c r="DE51" s="403">
        <f>IF(AND(CZ51&lt;&gt;0,CZ$5=$H51),-$I51*$E51-CZ51,IF(DE$5=$H51,-$I51*$E51*(12-$J51+1)/12,0))</f>
        <v>0</v>
      </c>
      <c r="DF51" s="400">
        <f>IF($H51&lt;&gt;DJ$5,0,IF(DJ51&lt;0,IF($J51=1,-$E51*$I51/12*3,IF($J51=2,-$E51*$I51/12*2,IF($J51=3,-$E51*$I51/12*1,0)))))+IF(DE$5&lt;&gt;$H51,0,IF(DE51&lt;0,IF($J51=1,-$E51*$I51/12*0,IF($J51=2,-$E51*$I51/12*1,IF($J51=3,-$E51*$I51/12*2,IF($J51&gt;=4,-$E51*$I51/12*3,0))))))</f>
        <v>0</v>
      </c>
      <c r="DG51" s="406">
        <f>IF($H51&lt;&gt;DJ$5,0,IF(DJ51&lt;0,IF(OR($J51=1,$J51=2,$J51=3,$J51=4),-$E51*$I51/12*3,IF($J51=5,-$E51*$I51/12*2,IF($J51=6,-$E51*$I51/12*1,0)))))+IF(DE$5&lt;&gt;$H51,0,IF(DE51&lt;0,IF($J51=4,-$E51*$I51/12*0,IF($J51=5,-$E51*$I51/12*1,IF($J51=6,-$E51*$I51/12*2,IF($J51&gt;=7,-$E51*$I51/12*3,0))))))</f>
        <v>0</v>
      </c>
      <c r="DH51" s="406">
        <f>IF($H51&lt;&gt;DJ$5,0,IF(DJ51&lt;0,IF(OR($J51=1,$J51=2,$J51=3,$J51=4,$J51=5,$J51=6,$J51=7),-$E51*$I51/12*3,IF($J51=8,-$E51*$I51/12*2,IF($J51=9,-$E51*$I51/12*1,0)))))+IF(DE$5&lt;&gt;$H51,0,IF(DE51&lt;0,IF($J51=7,-$E51*$I51/12*0,IF($J51=8,-$E51*$I51/12*1,IF($J51=9,-$E51*$I51/12*2,IF($J51&gt;=10,-$E51*$I51/12*3,0))))))</f>
        <v>0</v>
      </c>
      <c r="DI51" s="402">
        <f>IF($H51&lt;&gt;DJ$5,0,IF(DJ51&lt;0,IF(OR($J51=1,$J51=2,$J51=3,$J51=4,$J51=5,$J51=6,$J51=7,$J51=8,$J51=9,$J51=10),-$E51*$I51/12*3,IF($J51=11,-$E51*$I51/12*2,IF($J51=12,-$E51*$I51/12*1,0)))))+IF(DE$5&lt;&gt;$H51,0,IF(DE51&lt;0,IF($J51=10,-$E51*$I51/12*0,IF($J51=11,-$E51*$I51/12*1,IF($J51=12,-$E51*$I51/12*2,0)))))</f>
        <v>0</v>
      </c>
      <c r="DJ51" s="403">
        <f>IF(AND(DE51&lt;&gt;0,DE$5=$H51),-$I51*$E51-DE51,IF(DJ$5=$H51,-$I51*$E51*(12-$J51+1)/12,0))</f>
        <v>0</v>
      </c>
      <c r="DK51" s="400">
        <f>IF($H51&lt;&gt;DO$5,0,IF(DO51&lt;0,IF($J51=1,-$E51*$I51/12*3,IF($J51=2,-$E51*$I51/12*2,IF($J51=3,-$E51*$I51/12*1,0)))))+IF(DJ$5&lt;&gt;$H51,0,IF(DJ51&lt;0,IF($J51=1,-$E51*$I51/12*0,IF($J51=2,-$E51*$I51/12*1,IF($J51=3,-$E51*$I51/12*2,IF($J51&gt;=4,-$E51*$I51/12*3,0))))))</f>
        <v>0</v>
      </c>
      <c r="DL51" s="406">
        <f>IF($H51&lt;&gt;DO$5,0,IF(DO51&lt;0,IF(OR($J51=1,$J51=2,$J51=3,$J51=4),-$E51*$I51/12*3,IF($J51=5,-$E51*$I51/12*2,IF($J51=6,-$E51*$I51/12*1,0)))))+IF(DJ$5&lt;&gt;$H51,0,IF(DJ51&lt;0,IF($J51=4,-$E51*$I51/12*0,IF($J51=5,-$E51*$I51/12*1,IF($J51=6,-$E51*$I51/12*2,IF($J51&gt;=7,-$E51*$I51/12*3,0))))))</f>
        <v>0</v>
      </c>
      <c r="DM51" s="406">
        <f>IF($H51&lt;&gt;DO$5,0,IF(DO51&lt;0,IF(OR($J51=1,$J51=2,$J51=3,$J51=4,$J51=5,$J51=6,$J51=7),-$E51*$I51/12*3,IF($J51=8,-$E51*$I51/12*2,IF($J51=9,-$E51*$I51/12*1,0)))))+IF(DJ$5&lt;&gt;$H51,0,IF(DJ51&lt;0,IF($J51=7,-$E51*$I51/12*0,IF($J51=8,-$E51*$I51/12*1,IF($J51=9,-$E51*$I51/12*2,IF($J51&gt;=10,-$E51*$I51/12*3,0))))))</f>
        <v>0</v>
      </c>
      <c r="DN51" s="402">
        <f>IF($H51&lt;&gt;DO$5,0,IF(DO51&lt;0,IF(OR($J51=1,$J51=2,$J51=3,$J51=4,$J51=5,$J51=6,$J51=7,$J51=8,$J51=9,$J51=10),-$E51*$I51/12*3,IF($J51=11,-$E51*$I51/12*2,IF($J51=12,-$E51*$I51/12*1,0)))))+IF(DJ$5&lt;&gt;$H51,0,IF(DJ51&lt;0,IF($J51=10,-$E51*$I51/12*0,IF($J51=11,-$E51*$I51/12*1,IF($J51=12,-$E51*$I51/12*2,0)))))</f>
        <v>0</v>
      </c>
      <c r="DO51" s="403">
        <f>IF(AND(DJ51&lt;&gt;0,DJ$5=$H51),-$I51*$E51-DJ51,IF(DO$5=$H51,-$I51*$E51*(12-$J51+1)/12,0))</f>
        <v>0</v>
      </c>
      <c r="DP51" s="400">
        <f>IF($H51&lt;&gt;DT$5,0,IF(DT51&lt;0,IF($J51=1,-$E51*$I51/12*3,IF($J51=2,-$E51*$I51/12*2,IF($J51=3,-$E51*$I51/12*1,0)))))+IF(DO$5&lt;&gt;$H51,0,IF(DO51&lt;0,IF($J51=1,-$E51*$I51/12*0,IF($J51=2,-$E51*$I51/12*1,IF($J51=3,-$E51*$I51/12*2,IF($J51&gt;=4,-$E51*$I51/12*3,0))))))</f>
        <v>0</v>
      </c>
      <c r="DQ51" s="406">
        <f>IF($H51&lt;&gt;DT$5,0,IF(DT51&lt;0,IF(OR($J51=1,$J51=2,$J51=3,$J51=4),-$E51*$I51/12*3,IF($J51=5,-$E51*$I51/12*2,IF($J51=6,-$E51*$I51/12*1,0)))))+IF(DO$5&lt;&gt;$H51,0,IF(DO51&lt;0,IF($J51=4,-$E51*$I51/12*0,IF($J51=5,-$E51*$I51/12*1,IF($J51=6,-$E51*$I51/12*2,IF($J51&gt;=7,-$E51*$I51/12*3,0))))))</f>
        <v>0</v>
      </c>
      <c r="DR51" s="406">
        <f>IF($H51&lt;&gt;DT$5,0,IF(DT51&lt;0,IF(OR($J51=1,$J51=2,$J51=3,$J51=4,$J51=5,$J51=6,$J51=7),-$E51*$I51/12*3,IF($J51=8,-$E51*$I51/12*2,IF($J51=9,-$E51*$I51/12*1,0)))))+IF(DO$5&lt;&gt;$H51,0,IF(DO51&lt;0,IF($J51=7,-$E51*$I51/12*0,IF($J51=8,-$E51*$I51/12*1,IF($J51=9,-$E51*$I51/12*2,IF($J51&gt;=10,-$E51*$I51/12*3,0))))))</f>
        <v>0</v>
      </c>
      <c r="DS51" s="402">
        <f>IF($H51&lt;&gt;DT$5,0,IF(DT51&lt;0,IF(OR($J51=1,$J51=2,$J51=3,$J51=4,$J51=5,$J51=6,$J51=7,$J51=8,$J51=9,$J51=10),-$E51*$I51/12*3,IF($J51=11,-$E51*$I51/12*2,IF($J51=12,-$E51*$I51/12*1,0)))))+IF(DO$5&lt;&gt;$H51,0,IF(DO51&lt;0,IF($J51=10,-$E51*$I51/12*0,IF($J51=11,-$E51*$I51/12*1,IF($J51=12,-$E51*$I51/12*2,0)))))</f>
        <v>0</v>
      </c>
      <c r="DT51" s="403">
        <f>IF(AND(DO51&lt;&gt;0,DO$5=$H51),-$I51*$E51-DO51,IF(DT$5=$H51,-$I51*$E51*(12-$J51+1)/12,0))</f>
        <v>0</v>
      </c>
      <c r="EF51" s="35"/>
    </row>
    <row r="52" spans="3:139" ht="12.75" customHeight="1" x14ac:dyDescent="0.2">
      <c r="C52" s="850" t="s">
        <v>613</v>
      </c>
      <c r="D52" s="70"/>
      <c r="E52" s="530">
        <f>IF(F52=0,G52,F52)</f>
        <v>400</v>
      </c>
      <c r="F52" s="531">
        <v>400</v>
      </c>
      <c r="G52" s="531">
        <v>400</v>
      </c>
      <c r="H52" s="449">
        <v>2023</v>
      </c>
      <c r="I52" s="450">
        <v>2.5999999999999999E-2</v>
      </c>
      <c r="J52" s="451">
        <v>5</v>
      </c>
      <c r="K52" s="392"/>
      <c r="L52" s="397">
        <f>IF(L$5=$H52,-$E52,0)</f>
        <v>0</v>
      </c>
      <c r="M52" s="394">
        <f>IF(Q52=0,0,IF(Q52&lt;0,IF($J52=3,Q52,IF($J52=2,Q52,IF($J52=1,Q52,0)))))</f>
        <v>0</v>
      </c>
      <c r="N52" s="404">
        <f>IF(Q52=0,0,IF(Q52&lt;0,IF($J52=6,Q52,IF($J52=5,Q52,IF($J52=4,Q52,0)))))</f>
        <v>0</v>
      </c>
      <c r="O52" s="404">
        <f>IF(Q52=0,0,IF(Q52&lt;0,IF($J52=9,Q52,IF($J52=8,Q52,IF($J52=7,Q52,0)))))</f>
        <v>0</v>
      </c>
      <c r="P52" s="396">
        <f>IF(Q52=0,0,IF(Q52&lt;0,IF($J52=12,Q52,IF($J52=11,Q52,IF($J52=10,Q52,0)))))</f>
        <v>0</v>
      </c>
      <c r="Q52" s="397">
        <f>IF(Q$5=$H52,-$E52,0)</f>
        <v>0</v>
      </c>
      <c r="R52" s="394">
        <f>IF(V52=0,0,IF(V52&lt;0,IF($J52=3,V52,IF($J52=2,V52,IF($J52=1,V52,0)))))</f>
        <v>0</v>
      </c>
      <c r="S52" s="404">
        <f>IF(V52=0,0,IF(V52&lt;0,IF($J52=6,V52,IF($J52=5,V52,IF($J52=4,V52,0)))))</f>
        <v>0</v>
      </c>
      <c r="T52" s="404">
        <f>IF(V52=0,0,IF(V52&lt;0,IF($J52=9,V52,IF($J52=8,V52,IF($J52=7,V52,0)))))</f>
        <v>0</v>
      </c>
      <c r="U52" s="396">
        <f>IF(V52=0,0,IF(V52&lt;0,IF($J52=12,V52,IF($J52=11,V52,IF($J52=10,V52,0)))))</f>
        <v>0</v>
      </c>
      <c r="V52" s="397">
        <f>IF(V$5=$H52,-$E52,0)</f>
        <v>0</v>
      </c>
      <c r="W52" s="394">
        <f>IF(AA52=0,0,IF(AA52&lt;0,IF($J52=3,AA52,IF($J52=2,AA52,IF($J52=1,AA52,0)))))</f>
        <v>0</v>
      </c>
      <c r="X52" s="404">
        <f>IF(AA52=0,0,IF(AA52&lt;0,IF($J52=6,AA52,IF($J52=5,AA52,IF($J52=4,AA52,0)))))</f>
        <v>0</v>
      </c>
      <c r="Y52" s="404">
        <f>IF(AA52=0,0,IF(AA52&lt;0,IF($J52=9,AA52,IF($J52=8,AA52,IF($J52=7,AA52,0)))))</f>
        <v>0</v>
      </c>
      <c r="Z52" s="396">
        <f>IF(AA52=0,0,IF(AA52&lt;0,IF($J52=12,AA52,IF($J52=11,AA52,IF($J52=10,AA52,0)))))</f>
        <v>0</v>
      </c>
      <c r="AA52" s="397">
        <f>IF(AA$5=$H52,-$E52,0)</f>
        <v>0</v>
      </c>
      <c r="AB52" s="394">
        <f>IF(AF52=0,0,IF(AF52&lt;0,IF($J52=3,AF52,IF($J52=2,AF52,IF($J52=1,AF52,0)))))</f>
        <v>0</v>
      </c>
      <c r="AC52" s="404">
        <f>IF(AF52=0,0,IF(AF52&lt;0,IF($J52=6,AF52,IF($J52=5,AF52,IF($J52=4,AF52,0)))))</f>
        <v>0</v>
      </c>
      <c r="AD52" s="404">
        <f>IF(AF52=0,0,IF(AF52&lt;0,IF($J52=9,AF52,IF($J52=8,AF52,IF($J52=7,AF52,0)))))</f>
        <v>0</v>
      </c>
      <c r="AE52" s="396">
        <f>IF(AF52=0,0,IF(AF52&lt;0,IF($J52=12,AF52,IF($J52=11,AF52,IF($J52=10,AF52,0)))))</f>
        <v>0</v>
      </c>
      <c r="AF52" s="397">
        <f>IF(AF$5=$H52,-$E52,0)</f>
        <v>0</v>
      </c>
      <c r="AG52" s="394">
        <f>IF(AK52=0,0,IF(AK52&lt;0,IF($J52=3,AK52,IF($J52=2,AK52,IF($J52=1,AK52,0)))))</f>
        <v>0</v>
      </c>
      <c r="AH52" s="404">
        <f>IF(AK52=0,0,IF(AK52&lt;0,IF($J52=6,AK52,IF($J52=5,AK52,IF($J52=4,AK52,0)))))</f>
        <v>0</v>
      </c>
      <c r="AI52" s="404">
        <f>IF(AK52=0,0,IF(AK52&lt;0,IF($J52=9,AK52,IF($J52=8,AK52,IF($J52=7,AK52,0)))))</f>
        <v>0</v>
      </c>
      <c r="AJ52" s="396">
        <f>IF(AK52=0,0,IF(AK52&lt;0,IF($J52=12,AK52,IF($J52=11,AK52,IF($J52=10,AK52,0)))))</f>
        <v>0</v>
      </c>
      <c r="AK52" s="397">
        <f>IF(AK$5=$H52,-$E52,0)</f>
        <v>0</v>
      </c>
      <c r="AL52" s="394">
        <f>IF(AP52=0,0,IF(AP52&lt;0,IF($J52=3,AP52,IF($J52=2,AP52,IF($J52=1,AP52,0)))))</f>
        <v>0</v>
      </c>
      <c r="AM52" s="404">
        <f>IF(AP52=0,0,IF(AP52&lt;0,IF($J52=6,AP52,IF($J52=5,AP52,IF($J52=4,AP52,0)))))</f>
        <v>0</v>
      </c>
      <c r="AN52" s="404">
        <f>IF(AP52=0,0,IF(AP52&lt;0,IF($J52=9,AP52,IF($J52=8,AP52,IF($J52=7,AP52,0)))))</f>
        <v>0</v>
      </c>
      <c r="AO52" s="396">
        <f>IF(AP52=0,0,IF(AP52&lt;0,IF($J52=12,AP52,IF($J52=11,AP52,IF($J52=10,AP52,0)))))</f>
        <v>0</v>
      </c>
      <c r="AP52" s="397">
        <f>IF(AP$5=$H52,-$E52,0)</f>
        <v>0</v>
      </c>
      <c r="AQ52" s="394">
        <f>IF(AU52=0,0,IF(AU52&lt;0,IF($J52=3,AU52,IF($J52=2,AU52,IF($J52=1,AU52,0)))))</f>
        <v>0</v>
      </c>
      <c r="AR52" s="404">
        <f>IF(AU52=0,0,IF(AU52&lt;0,IF($J52=6,AU52,IF($J52=5,AU52,IF($J52=4,AU52,0)))))</f>
        <v>0</v>
      </c>
      <c r="AS52" s="404">
        <f>IF(AU52=0,0,IF(AU52&lt;0,IF($J52=9,AU52,IF($J52=8,AU52,IF($J52=7,AU52,0)))))</f>
        <v>0</v>
      </c>
      <c r="AT52" s="396">
        <f>IF(AU52=0,0,IF(AU52&lt;0,IF($J52=12,AU52,IF($J52=11,AU52,IF($J52=10,AU52,0)))))</f>
        <v>0</v>
      </c>
      <c r="AU52" s="397">
        <f>IF(AU$5=$H52,-$E52,0)</f>
        <v>0</v>
      </c>
      <c r="AV52" s="394">
        <f>IF(AZ52=0,0,IF(AZ52&lt;0,IF($J52=3,AZ52,IF($J52=2,AZ52,IF($J52=1,AZ52,0)))))</f>
        <v>0</v>
      </c>
      <c r="AW52" s="404">
        <f>IF(AZ52=0,0,IF(AZ52&lt;0,IF($J52=6,AZ52,IF($J52=5,AZ52,IF($J52=4,AZ52,0)))))</f>
        <v>0</v>
      </c>
      <c r="AX52" s="404">
        <f>IF(AZ52=0,0,IF(AZ52&lt;0,IF($J52=9,AZ52,IF($J52=8,AZ52,IF($J52=7,AZ52,0)))))</f>
        <v>0</v>
      </c>
      <c r="AY52" s="396">
        <f>IF(AZ52=0,0,IF(AZ52&lt;0,IF($J52=12,AZ52,IF($J52=11,AZ52,IF($J52=10,AZ52,0)))))</f>
        <v>0</v>
      </c>
      <c r="AZ52" s="397">
        <f>IF(AZ$5=$H52,-$E52,0)</f>
        <v>0</v>
      </c>
      <c r="BA52" s="394">
        <f>IF(BE52=0,0,IF(BE52&lt;0,IF($J52=3,BE52,IF($J52=2,BE52,IF($J52=1,BE52,0)))))</f>
        <v>0</v>
      </c>
      <c r="BB52" s="404">
        <f>IF(BE52=0,0,IF(BE52&lt;0,IF($J52=6,BE52,IF($J52=5,BE52,IF($J52=4,BE52,0)))))</f>
        <v>0</v>
      </c>
      <c r="BC52" s="404">
        <f>IF(BE52=0,0,IF(BE52&lt;0,IF($J52=9,BE52,IF($J52=8,BE52,IF($J52=7,BE52,0)))))</f>
        <v>0</v>
      </c>
      <c r="BD52" s="396">
        <f>IF(BE52=0,0,IF(BE52&lt;0,IF($J52=12,BE52,IF($J52=11,BE52,IF($J52=10,BE52,0)))))</f>
        <v>0</v>
      </c>
      <c r="BE52" s="397">
        <f>IF(BE$5=$H52,-$E52,0)</f>
        <v>0</v>
      </c>
      <c r="BF52" s="394">
        <f>IF(BJ52=0,0,IF(BJ52&lt;0,IF($J52=3,BJ52,IF($J52=2,BJ52,IF($J52=1,BJ52,0)))))</f>
        <v>0</v>
      </c>
      <c r="BG52" s="404">
        <f>IF(BJ52=0,0,IF(BJ52&lt;0,IF($J52=6,BJ52,IF($J52=5,BJ52,IF($J52=4,BJ52,0)))))</f>
        <v>0</v>
      </c>
      <c r="BH52" s="404">
        <f>IF(BJ52=0,0,IF(BJ52&lt;0,IF($J52=9,BJ52,IF($J52=8,BJ52,IF($J52=7,BJ52,0)))))</f>
        <v>0</v>
      </c>
      <c r="BI52" s="396">
        <f>IF(BJ52=0,0,IF(BJ52&lt;0,IF($J52=12,BJ52,IF($J52=11,BJ52,IF($J52=10,BJ52,0)))))</f>
        <v>0</v>
      </c>
      <c r="BJ52" s="397">
        <f>IF(BJ$5=$H52,-$E52,0)</f>
        <v>0</v>
      </c>
      <c r="BK52" s="394">
        <f>IF(BO52=0,0,IF(BO52&lt;0,IF($J52=3,BO52,IF($J52=2,BO52,IF($J52=1,BO52,0)))))</f>
        <v>0</v>
      </c>
      <c r="BL52" s="404">
        <f>IF(BO52=0,0,IF(BO52&lt;0,IF($J52=6,BO52,IF($J52=5,BO52,IF($J52=4,BO52,0)))))</f>
        <v>0</v>
      </c>
      <c r="BM52" s="404">
        <f>IF(BO52=0,0,IF(BO52&lt;0,IF($J52=9,BO52,IF($J52=8,BO52,IF($J52=7,BO52,0)))))</f>
        <v>0</v>
      </c>
      <c r="BN52" s="396">
        <f>IF(BO52=0,0,IF(BO52&lt;0,IF($J52=12,BO52,IF($J52=11,BO52,IF($J52=10,BO52,0)))))</f>
        <v>0</v>
      </c>
      <c r="BO52" s="397">
        <f>IF(BO$5=$H52,-$E52,0)</f>
        <v>0</v>
      </c>
      <c r="BP52" s="452"/>
      <c r="BQ52" s="403">
        <f>IF(AND(BP52&lt;&gt;0,BP$5=$H52),-$I52*$E52-BP52,IF(BQ$5=$H52,-$I52*$E52*(12-$J52+1)/12,0))</f>
        <v>0</v>
      </c>
      <c r="BR52" s="400">
        <f>IF($H52&lt;&gt;BV$5,0,IF(BV52&lt;0,IF($J52=1,-$E52*$I52/12*3,IF($J52=2,-$E52*$I52/12*2,IF($J52=3,-$E52*$I52/12*1,0)))))+IF(BQ$5&lt;&gt;$H52,0,IF(BQ52&lt;0,IF($J52=1,-$E52*$I52/12*0,IF($J52=2,-$E52*$I52/12*1,IF($J52=3,-$E52*$I52/12*2,IF($J52&gt;=4,-$E52*$I52/12*3,0))))))</f>
        <v>0</v>
      </c>
      <c r="BS52" s="406">
        <f>IF($H52&lt;&gt;BV$5,0,IF(BV52&lt;0,IF(OR($J52=1,$J52=2,$J52=3,$J52=4),-$E52*$I52/12*3,IF($J52=5,-$E52*$I52/12*2,IF($J52=6,-$E52*$I52/12*1,0)))))+IF(BQ$5&lt;&gt;$H52,0,IF(BQ52&lt;0,IF($J52=4,-$E52*$I52/12*0,IF($J52=5,-$E52*$I52/12*1,IF($J52=6,-$E52*$I52/12*2,IF($J52&gt;=7,-$E52*$I52/12*3,0))))))</f>
        <v>0</v>
      </c>
      <c r="BT52" s="406">
        <f>IF($H52&lt;&gt;BV$5,0,IF(BV52&lt;0,IF(OR($J52=1,$J52=2,$J52=3,$J52=4,$J52=5,$J52=6,$J52=7),-$E52*$I52/12*3,IF($J52=8,-$E52*$I52/12*2,IF($J52=9,-$E52*$I52/12*1,0)))))+IF(BQ$5&lt;&gt;$H52,0,IF(BQ52&lt;0,IF($J52=7,-$E52*$I52/12*0,IF($J52=8,-$E52*$I52/12*1,IF($J52=9,-$E52*$I52/12*2,IF($J52&gt;=10,-$E52*$I52/12*3,0))))))</f>
        <v>0</v>
      </c>
      <c r="BU52" s="402">
        <f>IF($H52&lt;&gt;BV$5,0,IF(BV52&lt;0,IF(OR($J52=1,$J52=2,$J52=3,$J52=4,$J52=5,$J52=6,$J52=7,$J52=8,$J52=9,$J52=10),-$E52*$I52/12*3,IF($J52=11,-$E52*$I52/12*2,IF($J52=12,-$E52*$I52/12*1,0)))))+IF(BQ$5&lt;&gt;$H52,0,IF(BQ52&lt;0,IF($J52=10,-$E52*$I52/12*0,IF($J52=11,-$E52*$I52/12*1,IF($J52=12,-$E52*$I52/12*2,0)))))</f>
        <v>0</v>
      </c>
      <c r="BV52" s="403">
        <f>IF(AND(BQ52&lt;&gt;0,BQ$5=$H52),-$I52*$E52-BQ52,IF(BV$5=$H52,-$I52*$E52*(12-$J52+1)/12,0))</f>
        <v>0</v>
      </c>
      <c r="BW52" s="400">
        <f>IF($H52&lt;&gt;CA$5,0,IF(CA52&lt;0,IF($J52=1,-$E52*$I52/12*3,IF($J52=2,-$E52*$I52/12*2,IF($J52=3,-$E52*$I52/12*1,0)))))+IF(BV$5&lt;&gt;$H52,0,IF(BV52&lt;0,IF($J52=1,-$E52*$I52/12*0,IF($J52=2,-$E52*$I52/12*1,IF($J52=3,-$E52*$I52/12*2,IF($J52&gt;=4,-$E52*$I52/12*3,0))))))</f>
        <v>0</v>
      </c>
      <c r="BX52" s="406">
        <f>IF($H52&lt;&gt;CA$5,0,IF(CA52&lt;0,IF(OR($J52=1,$J52=2,$J52=3,$J52=4),-$E52*$I52/12*3,IF($J52=5,-$E52*$I52/12*2,IF($J52=6,-$E52*$I52/12*1,0)))))+IF(BV$5&lt;&gt;$H52,0,IF(BV52&lt;0,IF($J52=4,-$E52*$I52/12*0,IF($J52=5,-$E52*$I52/12*1,IF($J52=6,-$E52*$I52/12*2,IF($J52&gt;=7,-$E52*$I52/12*3,0))))))</f>
        <v>0</v>
      </c>
      <c r="BY52" s="406">
        <f>IF($H52&lt;&gt;CA$5,0,IF(CA52&lt;0,IF(OR($J52=1,$J52=2,$J52=3,$J52=4,$J52=5,$J52=6,$J52=7),-$E52*$I52/12*3,IF($J52=8,-$E52*$I52/12*2,IF($J52=9,-$E52*$I52/12*1,0)))))+IF(BV$5&lt;&gt;$H52,0,IF(BV52&lt;0,IF($J52=7,-$E52*$I52/12*0,IF($J52=8,-$E52*$I52/12*1,IF($J52=9,-$E52*$I52/12*2,IF($J52&gt;=10,-$E52*$I52/12*3,0))))))</f>
        <v>0</v>
      </c>
      <c r="BZ52" s="402">
        <f>IF($H52&lt;&gt;CA$5,0,IF(CA52&lt;0,IF(OR($J52=1,$J52=2,$J52=3,$J52=4,$J52=5,$J52=6,$J52=7,$J52=8,$J52=9,$J52=10),-$E52*$I52/12*3,IF($J52=11,-$E52*$I52/12*2,IF($J52=12,-$E52*$I52/12*1,0)))))+IF(BV$5&lt;&gt;$H52,0,IF(BV52&lt;0,IF($J52=10,-$E52*$I52/12*0,IF($J52=11,-$E52*$I52/12*1,IF($J52=12,-$E52*$I52/12*2,0)))))</f>
        <v>0</v>
      </c>
      <c r="CA52" s="403">
        <f>IF(AND(BV52&lt;&gt;0,BV$5=$H52),-$I52*$E52-BV52,IF(CA$5=$H52,-$I52*$E52*(12-$J52+1)/12,0))</f>
        <v>0</v>
      </c>
      <c r="CB52" s="400">
        <f>IF($H52&lt;&gt;CF$5,0,IF(CF52&lt;0,IF($J52=1,-$E52*$I52/12*3,IF($J52=2,-$E52*$I52/12*2,IF($J52=3,-$E52*$I52/12*1,0)))))+IF(CA$5&lt;&gt;$H52,0,IF(CA52&lt;0,IF($J52=1,-$E52*$I52/12*0,IF($J52=2,-$E52*$I52/12*1,IF($J52=3,-$E52*$I52/12*2,IF($J52&gt;=4,-$E52*$I52/12*3,0))))))</f>
        <v>0</v>
      </c>
      <c r="CC52" s="406">
        <f>IF($H52&lt;&gt;CF$5,0,IF(CF52&lt;0,IF(OR($J52=1,$J52=2,$J52=3,$J52=4),-$E52*$I52/12*3,IF($J52=5,-$E52*$I52/12*2,IF($J52=6,-$E52*$I52/12*1,0)))))+IF(CA$5&lt;&gt;$H52,0,IF(CA52&lt;0,IF($J52=4,-$E52*$I52/12*0,IF($J52=5,-$E52*$I52/12*1,IF($J52=6,-$E52*$I52/12*2,IF($J52&gt;=7,-$E52*$I52/12*3,0))))))</f>
        <v>0</v>
      </c>
      <c r="CD52" s="406">
        <f>IF($H52&lt;&gt;CF$5,0,IF(CF52&lt;0,IF(OR($J52=1,$J52=2,$J52=3,$J52=4,$J52=5,$J52=6,$J52=7),-$E52*$I52/12*3,IF($J52=8,-$E52*$I52/12*2,IF($J52=9,-$E52*$I52/12*1,0)))))+IF(CA$5&lt;&gt;$H52,0,IF(CA52&lt;0,IF($J52=7,-$E52*$I52/12*0,IF($J52=8,-$E52*$I52/12*1,IF($J52=9,-$E52*$I52/12*2,IF($J52&gt;=10,-$E52*$I52/12*3,0))))))</f>
        <v>0</v>
      </c>
      <c r="CE52" s="402">
        <f>IF($H52&lt;&gt;CF$5,0,IF(CF52&lt;0,IF(OR($J52=1,$J52=2,$J52=3,$J52=4,$J52=5,$J52=6,$J52=7,$J52=8,$J52=9,$J52=10),-$E52*$I52/12*3,IF($J52=11,-$E52*$I52/12*2,IF($J52=12,-$E52*$I52/12*1,0)))))+IF(CA$5&lt;&gt;$H52,0,IF(CA52&lt;0,IF($J52=10,-$E52*$I52/12*0,IF($J52=11,-$E52*$I52/12*1,IF($J52=12,-$E52*$I52/12*2,0)))))</f>
        <v>0</v>
      </c>
      <c r="CF52" s="403">
        <f>IF(AND(CA52&lt;&gt;0,CA$5=$H52),-$I52*$E52-CA52,IF(CF$5=$H52,-$I52*$E52*(12-$J52+1)/12,0))</f>
        <v>0</v>
      </c>
      <c r="CG52" s="400">
        <f>IF($H52&lt;&gt;CK$5,0,IF(CK52&lt;0,IF($J52=1,-$E52*$I52/12*3,IF($J52=2,-$E52*$I52/12*2,IF($J52=3,-$E52*$I52/12*1,0)))))+IF(CF$5&lt;&gt;$H52,0,IF(CF52&lt;0,IF($J52=1,-$E52*$I52/12*0,IF($J52=2,-$E52*$I52/12*1,IF($J52=3,-$E52*$I52/12*2,IF($J52&gt;=4,-$E52*$I52/12*3,0))))))</f>
        <v>0</v>
      </c>
      <c r="CH52" s="406">
        <f>IF($H52&lt;&gt;CK$5,0,IF(CK52&lt;0,IF(OR($J52=1,$J52=2,$J52=3,$J52=4),-$E52*$I52/12*3,IF($J52=5,-$E52*$I52/12*2,IF($J52=6,-$E52*$I52/12*1,0)))))+IF(CF$5&lt;&gt;$H52,0,IF(CF52&lt;0,IF($J52=4,-$E52*$I52/12*0,IF($J52=5,-$E52*$I52/12*1,IF($J52=6,-$E52*$I52/12*2,IF($J52&gt;=7,-$E52*$I52/12*3,0))))))</f>
        <v>0</v>
      </c>
      <c r="CI52" s="406">
        <f>IF($H52&lt;&gt;CK$5,0,IF(CK52&lt;0,IF(OR($J52=1,$J52=2,$J52=3,$J52=4,$J52=5,$J52=6,$J52=7),-$E52*$I52/12*3,IF($J52=8,-$E52*$I52/12*2,IF($J52=9,-$E52*$I52/12*1,0)))))+IF(CF$5&lt;&gt;$H52,0,IF(CF52&lt;0,IF($J52=7,-$E52*$I52/12*0,IF($J52=8,-$E52*$I52/12*1,IF($J52=9,-$E52*$I52/12*2,IF($J52&gt;=10,-$E52*$I52/12*3,0))))))</f>
        <v>0</v>
      </c>
      <c r="CJ52" s="402">
        <f>IF($H52&lt;&gt;CK$5,0,IF(CK52&lt;0,IF(OR($J52=1,$J52=2,$J52=3,$J52=4,$J52=5,$J52=6,$J52=7,$J52=8,$J52=9,$J52=10),-$E52*$I52/12*3,IF($J52=11,-$E52*$I52/12*2,IF($J52=12,-$E52*$I52/12*1,0)))))+IF(CF$5&lt;&gt;$H52,0,IF(CF52&lt;0,IF($J52=10,-$E52*$I52/12*0,IF($J52=11,-$E52*$I52/12*1,IF($J52=12,-$E52*$I52/12*2,0)))))</f>
        <v>0</v>
      </c>
      <c r="CK52" s="403">
        <f>IF(AND(CF52&lt;&gt;0,CF$5=$H52),-$I52*$E52-CF52,IF(CK$5=$H52,-$I52*$E52*(12-$J52+1)/12,0))</f>
        <v>0</v>
      </c>
      <c r="CL52" s="400">
        <f>IF($H52&lt;&gt;CP$5,0,IF(CP52&lt;0,IF($J52=1,-$E52*$I52/12*3,IF($J52=2,-$E52*$I52/12*2,IF($J52=3,-$E52*$I52/12*1,0)))))+IF(CK$5&lt;&gt;$H52,0,IF(CK52&lt;0,IF($J52=1,-$E52*$I52/12*0,IF($J52=2,-$E52*$I52/12*1,IF($J52=3,-$E52*$I52/12*2,IF($J52&gt;=4,-$E52*$I52/12*3,0))))))</f>
        <v>0</v>
      </c>
      <c r="CM52" s="406">
        <f>IF($H52&lt;&gt;CP$5,0,IF(CP52&lt;0,IF(OR($J52=1,$J52=2,$J52=3,$J52=4),-$E52*$I52/12*3,IF($J52=5,-$E52*$I52/12*2,IF($J52=6,-$E52*$I52/12*1,0)))))+IF(CK$5&lt;&gt;$H52,0,IF(CK52&lt;0,IF($J52=4,-$E52*$I52/12*0,IF($J52=5,-$E52*$I52/12*1,IF($J52=6,-$E52*$I52/12*2,IF($J52&gt;=7,-$E52*$I52/12*3,0))))))</f>
        <v>0</v>
      </c>
      <c r="CN52" s="406">
        <f>IF($H52&lt;&gt;CP$5,0,IF(CP52&lt;0,IF(OR($J52=1,$J52=2,$J52=3,$J52=4,$J52=5,$J52=6,$J52=7),-$E52*$I52/12*3,IF($J52=8,-$E52*$I52/12*2,IF($J52=9,-$E52*$I52/12*1,0)))))+IF(CK$5&lt;&gt;$H52,0,IF(CK52&lt;0,IF($J52=7,-$E52*$I52/12*0,IF($J52=8,-$E52*$I52/12*1,IF($J52=9,-$E52*$I52/12*2,IF($J52&gt;=10,-$E52*$I52/12*3,0))))))</f>
        <v>0</v>
      </c>
      <c r="CO52" s="402">
        <f>IF($H52&lt;&gt;CP$5,0,IF(CP52&lt;0,IF(OR($J52=1,$J52=2,$J52=3,$J52=4,$J52=5,$J52=6,$J52=7,$J52=8,$J52=9,$J52=10),-$E52*$I52/12*3,IF($J52=11,-$E52*$I52/12*2,IF($J52=12,-$E52*$I52/12*1,0)))))+IF(CK$5&lt;&gt;$H52,0,IF(CK52&lt;0,IF($J52=10,-$E52*$I52/12*0,IF($J52=11,-$E52*$I52/12*1,IF($J52=12,-$E52*$I52/12*2,0)))))</f>
        <v>0</v>
      </c>
      <c r="CP52" s="403">
        <f>IF(AND(CK52&lt;&gt;0,CK$5=$H52),-$I52*$E52-CK52,IF(CP$5=$H52,-$I52*$E52*(12-$J52+1)/12,0))</f>
        <v>0</v>
      </c>
      <c r="CQ52" s="400">
        <f>IF($H52&lt;&gt;CU$5,0,IF(CU52&lt;0,IF($J52=1,-$E52*$I52/12*3,IF($J52=2,-$E52*$I52/12*2,IF($J52=3,-$E52*$I52/12*1,0)))))+IF(CP$5&lt;&gt;$H52,0,IF(CP52&lt;0,IF($J52=1,-$E52*$I52/12*0,IF($J52=2,-$E52*$I52/12*1,IF($J52=3,-$E52*$I52/12*2,IF($J52&gt;=4,-$E52*$I52/12*3,0))))))</f>
        <v>0</v>
      </c>
      <c r="CR52" s="406">
        <f>IF($H52&lt;&gt;CU$5,0,IF(CU52&lt;0,IF(OR($J52=1,$J52=2,$J52=3,$J52=4),-$E52*$I52/12*3,IF($J52=5,-$E52*$I52/12*2,IF($J52=6,-$E52*$I52/12*1,0)))))+IF(CP$5&lt;&gt;$H52,0,IF(CP52&lt;0,IF($J52=4,-$E52*$I52/12*0,IF($J52=5,-$E52*$I52/12*1,IF($J52=6,-$E52*$I52/12*2,IF($J52&gt;=7,-$E52*$I52/12*3,0))))))</f>
        <v>0</v>
      </c>
      <c r="CS52" s="406">
        <f>IF($H52&lt;&gt;CU$5,0,IF(CU52&lt;0,IF(OR($J52=1,$J52=2,$J52=3,$J52=4,$J52=5,$J52=6,$J52=7),-$E52*$I52/12*3,IF($J52=8,-$E52*$I52/12*2,IF($J52=9,-$E52*$I52/12*1,0)))))+IF(CP$5&lt;&gt;$H52,0,IF(CP52&lt;0,IF($J52=7,-$E52*$I52/12*0,IF($J52=8,-$E52*$I52/12*1,IF($J52=9,-$E52*$I52/12*2,IF($J52&gt;=10,-$E52*$I52/12*3,0))))))</f>
        <v>0</v>
      </c>
      <c r="CT52" s="402">
        <f>IF($H52&lt;&gt;CU$5,0,IF(CU52&lt;0,IF(OR($J52=1,$J52=2,$J52=3,$J52=4,$J52=5,$J52=6,$J52=7,$J52=8,$J52=9,$J52=10),-$E52*$I52/12*3,IF($J52=11,-$E52*$I52/12*2,IF($J52=12,-$E52*$I52/12*1,0)))))+IF(CP$5&lt;&gt;$H52,0,IF(CP52&lt;0,IF($J52=10,-$E52*$I52/12*0,IF($J52=11,-$E52*$I52/12*1,IF($J52=12,-$E52*$I52/12*2,0)))))</f>
        <v>0</v>
      </c>
      <c r="CU52" s="403">
        <f>IF(AND(CP52&lt;&gt;0,CP$5=$H52),-$I52*$E52-CP52,IF(CU$5=$H52,-$I52*$E52*(12-$J52+1)/12,0))</f>
        <v>0</v>
      </c>
      <c r="CV52" s="400">
        <f>IF($H52&lt;&gt;CZ$5,0,IF(CZ52&lt;0,IF($J52=1,-$E52*$I52/12*3,IF($J52=2,-$E52*$I52/12*2,IF($J52=3,-$E52*$I52/12*1,0)))))+IF(CU$5&lt;&gt;$H52,0,IF(CU52&lt;0,IF($J52=1,-$E52*$I52/12*0,IF($J52=2,-$E52*$I52/12*1,IF($J52=3,-$E52*$I52/12*2,IF($J52&gt;=4,-$E52*$I52/12*3,0))))))</f>
        <v>0</v>
      </c>
      <c r="CW52" s="406">
        <f>IF($H52&lt;&gt;CZ$5,0,IF(CZ52&lt;0,IF(OR($J52=1,$J52=2,$J52=3,$J52=4),-$E52*$I52/12*3,IF($J52=5,-$E52*$I52/12*2,IF($J52=6,-$E52*$I52/12*1,0)))))+IF(CU$5&lt;&gt;$H52,0,IF(CU52&lt;0,IF($J52=4,-$E52*$I52/12*0,IF($J52=5,-$E52*$I52/12*1,IF($J52=6,-$E52*$I52/12*2,IF($J52&gt;=7,-$E52*$I52/12*3,0))))))</f>
        <v>0</v>
      </c>
      <c r="CX52" s="406">
        <f>IF($H52&lt;&gt;CZ$5,0,IF(CZ52&lt;0,IF(OR($J52=1,$J52=2,$J52=3,$J52=4,$J52=5,$J52=6,$J52=7),-$E52*$I52/12*3,IF($J52=8,-$E52*$I52/12*2,IF($J52=9,-$E52*$I52/12*1,0)))))+IF(CU$5&lt;&gt;$H52,0,IF(CU52&lt;0,IF($J52=7,-$E52*$I52/12*0,IF($J52=8,-$E52*$I52/12*1,IF($J52=9,-$E52*$I52/12*2,IF($J52&gt;=10,-$E52*$I52/12*3,0))))))</f>
        <v>0</v>
      </c>
      <c r="CY52" s="402">
        <f>IF($H52&lt;&gt;CZ$5,0,IF(CZ52&lt;0,IF(OR($J52=1,$J52=2,$J52=3,$J52=4,$J52=5,$J52=6,$J52=7,$J52=8,$J52=9,$J52=10),-$E52*$I52/12*3,IF($J52=11,-$E52*$I52/12*2,IF($J52=12,-$E52*$I52/12*1,0)))))+IF(CU$5&lt;&gt;$H52,0,IF(CU52&lt;0,IF($J52=10,-$E52*$I52/12*0,IF($J52=11,-$E52*$I52/12*1,IF($J52=12,-$E52*$I52/12*2,0)))))</f>
        <v>0</v>
      </c>
      <c r="CZ52" s="403">
        <f>IF(AND(CU52&lt;&gt;0,CU$5=$H52),-$I52*$E52-CU52,IF(CZ$5=$H52,-$I52*$E52*(12-$J52+1)/12,0))</f>
        <v>0</v>
      </c>
      <c r="DA52" s="400">
        <f>IF($H52&lt;&gt;DE$5,0,IF(DE52&lt;0,IF($J52=1,-$E52*$I52/12*3,IF($J52=2,-$E52*$I52/12*2,IF($J52=3,-$E52*$I52/12*1,0)))))+IF(CZ$5&lt;&gt;$H52,0,IF(CZ52&lt;0,IF($J52=1,-$E52*$I52/12*0,IF($J52=2,-$E52*$I52/12*1,IF($J52=3,-$E52*$I52/12*2,IF($J52&gt;=4,-$E52*$I52/12*3,0))))))</f>
        <v>0</v>
      </c>
      <c r="DB52" s="406">
        <f>IF($H52&lt;&gt;DE$5,0,IF(DE52&lt;0,IF(OR($J52=1,$J52=2,$J52=3,$J52=4),-$E52*$I52/12*3,IF($J52=5,-$E52*$I52/12*2,IF($J52=6,-$E52*$I52/12*1,0)))))+IF(CZ$5&lt;&gt;$H52,0,IF(CZ52&lt;0,IF($J52=4,-$E52*$I52/12*0,IF($J52=5,-$E52*$I52/12*1,IF($J52=6,-$E52*$I52/12*2,IF($J52&gt;=7,-$E52*$I52/12*3,0))))))</f>
        <v>0</v>
      </c>
      <c r="DC52" s="406">
        <f>IF($H52&lt;&gt;DE$5,0,IF(DE52&lt;0,IF(OR($J52=1,$J52=2,$J52=3,$J52=4,$J52=5,$J52=6,$J52=7),-$E52*$I52/12*3,IF($J52=8,-$E52*$I52/12*2,IF($J52=9,-$E52*$I52/12*1,0)))))+IF(CZ$5&lt;&gt;$H52,0,IF(CZ52&lt;0,IF($J52=7,-$E52*$I52/12*0,IF($J52=8,-$E52*$I52/12*1,IF($J52=9,-$E52*$I52/12*2,IF($J52&gt;=10,-$E52*$I52/12*3,0))))))</f>
        <v>0</v>
      </c>
      <c r="DD52" s="402">
        <f>IF($H52&lt;&gt;DE$5,0,IF(DE52&lt;0,IF(OR($J52=1,$J52=2,$J52=3,$J52=4,$J52=5,$J52=6,$J52=7,$J52=8,$J52=9,$J52=10),-$E52*$I52/12*3,IF($J52=11,-$E52*$I52/12*2,IF($J52=12,-$E52*$I52/12*1,0)))))+IF(CZ$5&lt;&gt;$H52,0,IF(CZ52&lt;0,IF($J52=10,-$E52*$I52/12*0,IF($J52=11,-$E52*$I52/12*1,IF($J52=12,-$E52*$I52/12*2,0)))))</f>
        <v>0</v>
      </c>
      <c r="DE52" s="403">
        <f>IF(AND(CZ52&lt;&gt;0,CZ$5=$H52),-$I52*$E52-CZ52,IF(DE$5=$H52,-$I52*$E52*(12-$J52+1)/12,0))</f>
        <v>0</v>
      </c>
      <c r="DF52" s="400">
        <f>IF($H52&lt;&gt;DJ$5,0,IF(DJ52&lt;0,IF($J52=1,-$E52*$I52/12*3,IF($J52=2,-$E52*$I52/12*2,IF($J52=3,-$E52*$I52/12*1,0)))))+IF(DE$5&lt;&gt;$H52,0,IF(DE52&lt;0,IF($J52=1,-$E52*$I52/12*0,IF($J52=2,-$E52*$I52/12*1,IF($J52=3,-$E52*$I52/12*2,IF($J52&gt;=4,-$E52*$I52/12*3,0))))))</f>
        <v>0</v>
      </c>
      <c r="DG52" s="406">
        <f>IF($H52&lt;&gt;DJ$5,0,IF(DJ52&lt;0,IF(OR($J52=1,$J52=2,$J52=3,$J52=4),-$E52*$I52/12*3,IF($J52=5,-$E52*$I52/12*2,IF($J52=6,-$E52*$I52/12*1,0)))))+IF(DE$5&lt;&gt;$H52,0,IF(DE52&lt;0,IF($J52=4,-$E52*$I52/12*0,IF($J52=5,-$E52*$I52/12*1,IF($J52=6,-$E52*$I52/12*2,IF($J52&gt;=7,-$E52*$I52/12*3,0))))))</f>
        <v>0</v>
      </c>
      <c r="DH52" s="406">
        <f>IF($H52&lt;&gt;DJ$5,0,IF(DJ52&lt;0,IF(OR($J52=1,$J52=2,$J52=3,$J52=4,$J52=5,$J52=6,$J52=7),-$E52*$I52/12*3,IF($J52=8,-$E52*$I52/12*2,IF($J52=9,-$E52*$I52/12*1,0)))))+IF(DE$5&lt;&gt;$H52,0,IF(DE52&lt;0,IF($J52=7,-$E52*$I52/12*0,IF($J52=8,-$E52*$I52/12*1,IF($J52=9,-$E52*$I52/12*2,IF($J52&gt;=10,-$E52*$I52/12*3,0))))))</f>
        <v>0</v>
      </c>
      <c r="DI52" s="402">
        <f>IF($H52&lt;&gt;DJ$5,0,IF(DJ52&lt;0,IF(OR($J52=1,$J52=2,$J52=3,$J52=4,$J52=5,$J52=6,$J52=7,$J52=8,$J52=9,$J52=10),-$E52*$I52/12*3,IF($J52=11,-$E52*$I52/12*2,IF($J52=12,-$E52*$I52/12*1,0)))))+IF(DE$5&lt;&gt;$H52,0,IF(DE52&lt;0,IF($J52=10,-$E52*$I52/12*0,IF($J52=11,-$E52*$I52/12*1,IF($J52=12,-$E52*$I52/12*2,0)))))</f>
        <v>0</v>
      </c>
      <c r="DJ52" s="403">
        <f>IF(AND(DE52&lt;&gt;0,DE$5=$H52),-$I52*$E52-DE52,IF(DJ$5=$H52,-$I52*$E52*(12-$J52+1)/12,0))</f>
        <v>0</v>
      </c>
      <c r="DK52" s="400">
        <f>IF($H52&lt;&gt;DO$5,0,IF(DO52&lt;0,IF($J52=1,-$E52*$I52/12*3,IF($J52=2,-$E52*$I52/12*2,IF($J52=3,-$E52*$I52/12*1,0)))))+IF(DJ$5&lt;&gt;$H52,0,IF(DJ52&lt;0,IF($J52=1,-$E52*$I52/12*0,IF($J52=2,-$E52*$I52/12*1,IF($J52=3,-$E52*$I52/12*2,IF($J52&gt;=4,-$E52*$I52/12*3,0))))))</f>
        <v>0</v>
      </c>
      <c r="DL52" s="406">
        <f>IF($H52&lt;&gt;DO$5,0,IF(DO52&lt;0,IF(OR($J52=1,$J52=2,$J52=3,$J52=4),-$E52*$I52/12*3,IF($J52=5,-$E52*$I52/12*2,IF($J52=6,-$E52*$I52/12*1,0)))))+IF(DJ$5&lt;&gt;$H52,0,IF(DJ52&lt;0,IF($J52=4,-$E52*$I52/12*0,IF($J52=5,-$E52*$I52/12*1,IF($J52=6,-$E52*$I52/12*2,IF($J52&gt;=7,-$E52*$I52/12*3,0))))))</f>
        <v>0</v>
      </c>
      <c r="DM52" s="406">
        <f>IF($H52&lt;&gt;DO$5,0,IF(DO52&lt;0,IF(OR($J52=1,$J52=2,$J52=3,$J52=4,$J52=5,$J52=6,$J52=7),-$E52*$I52/12*3,IF($J52=8,-$E52*$I52/12*2,IF($J52=9,-$E52*$I52/12*1,0)))))+IF(DJ$5&lt;&gt;$H52,0,IF(DJ52&lt;0,IF($J52=7,-$E52*$I52/12*0,IF($J52=8,-$E52*$I52/12*1,IF($J52=9,-$E52*$I52/12*2,IF($J52&gt;=10,-$E52*$I52/12*3,0))))))</f>
        <v>0</v>
      </c>
      <c r="DN52" s="402">
        <f>IF($H52&lt;&gt;DO$5,0,IF(DO52&lt;0,IF(OR($J52=1,$J52=2,$J52=3,$J52=4,$J52=5,$J52=6,$J52=7,$J52=8,$J52=9,$J52=10),-$E52*$I52/12*3,IF($J52=11,-$E52*$I52/12*2,IF($J52=12,-$E52*$I52/12*1,0)))))+IF(DJ$5&lt;&gt;$H52,0,IF(DJ52&lt;0,IF($J52=10,-$E52*$I52/12*0,IF($J52=11,-$E52*$I52/12*1,IF($J52=12,-$E52*$I52/12*2,0)))))</f>
        <v>0</v>
      </c>
      <c r="DO52" s="403">
        <f>IF(AND(DJ52&lt;&gt;0,DJ$5=$H52),-$I52*$E52-DJ52,IF(DO$5=$H52,-$I52*$E52*(12-$J52+1)/12,0))</f>
        <v>0</v>
      </c>
      <c r="DP52" s="400">
        <f>IF($H52&lt;&gt;DT$5,0,IF(DT52&lt;0,IF($J52=1,-$E52*$I52/12*3,IF($J52=2,-$E52*$I52/12*2,IF($J52=3,-$E52*$I52/12*1,0)))))+IF(DO$5&lt;&gt;$H52,0,IF(DO52&lt;0,IF($J52=1,-$E52*$I52/12*0,IF($J52=2,-$E52*$I52/12*1,IF($J52=3,-$E52*$I52/12*2,IF($J52&gt;=4,-$E52*$I52/12*3,0))))))</f>
        <v>0</v>
      </c>
      <c r="DQ52" s="406">
        <f>IF($H52&lt;&gt;DT$5,0,IF(DT52&lt;0,IF(OR($J52=1,$J52=2,$J52=3,$J52=4),-$E52*$I52/12*3,IF($J52=5,-$E52*$I52/12*2,IF($J52=6,-$E52*$I52/12*1,0)))))+IF(DO$5&lt;&gt;$H52,0,IF(DO52&lt;0,IF($J52=4,-$E52*$I52/12*0,IF($J52=5,-$E52*$I52/12*1,IF($J52=6,-$E52*$I52/12*2,IF($J52&gt;=7,-$E52*$I52/12*3,0))))))</f>
        <v>0</v>
      </c>
      <c r="DR52" s="406">
        <f>IF($H52&lt;&gt;DT$5,0,IF(DT52&lt;0,IF(OR($J52=1,$J52=2,$J52=3,$J52=4,$J52=5,$J52=6,$J52=7),-$E52*$I52/12*3,IF($J52=8,-$E52*$I52/12*2,IF($J52=9,-$E52*$I52/12*1,0)))))+IF(DO$5&lt;&gt;$H52,0,IF(DO52&lt;0,IF($J52=7,-$E52*$I52/12*0,IF($J52=8,-$E52*$I52/12*1,IF($J52=9,-$E52*$I52/12*2,IF($J52&gt;=10,-$E52*$I52/12*3,0))))))</f>
        <v>0</v>
      </c>
      <c r="DS52" s="402">
        <f>IF($H52&lt;&gt;DT$5,0,IF(DT52&lt;0,IF(OR($J52=1,$J52=2,$J52=3,$J52=4,$J52=5,$J52=6,$J52=7,$J52=8,$J52=9,$J52=10),-$E52*$I52/12*3,IF($J52=11,-$E52*$I52/12*2,IF($J52=12,-$E52*$I52/12*1,0)))))+IF(DO$5&lt;&gt;$H52,0,IF(DO52&lt;0,IF($J52=10,-$E52*$I52/12*0,IF($J52=11,-$E52*$I52/12*1,IF($J52=12,-$E52*$I52/12*2,0)))))</f>
        <v>0</v>
      </c>
      <c r="DT52" s="403">
        <f>IF(AND(DO52&lt;&gt;0,DO$5=$H52),-$I52*$E52-DO52,IF(DT$5=$H52,-$I52*$E52*(12-$J52+1)/12,0))</f>
        <v>0</v>
      </c>
      <c r="EF52" s="35"/>
      <c r="EI52" s="759"/>
    </row>
    <row r="53" spans="3:139" ht="12.75" customHeight="1" x14ac:dyDescent="0.2">
      <c r="C53" s="511" t="s">
        <v>363</v>
      </c>
      <c r="D53" s="70"/>
      <c r="E53" s="530">
        <f t="shared" si="472"/>
        <v>250</v>
      </c>
      <c r="F53" s="531">
        <v>250</v>
      </c>
      <c r="G53" s="531">
        <v>250</v>
      </c>
      <c r="H53" s="449">
        <v>2025</v>
      </c>
      <c r="I53" s="450">
        <v>7.1249999999999994E-2</v>
      </c>
      <c r="J53" s="451">
        <v>7</v>
      </c>
      <c r="K53" s="392"/>
      <c r="L53" s="397">
        <f t="shared" si="473"/>
        <v>0</v>
      </c>
      <c r="M53" s="394">
        <f t="shared" si="474"/>
        <v>0</v>
      </c>
      <c r="N53" s="404">
        <f t="shared" si="475"/>
        <v>0</v>
      </c>
      <c r="O53" s="404">
        <f t="shared" si="476"/>
        <v>0</v>
      </c>
      <c r="P53" s="396">
        <f t="shared" si="477"/>
        <v>0</v>
      </c>
      <c r="Q53" s="397">
        <f t="shared" si="478"/>
        <v>0</v>
      </c>
      <c r="R53" s="394">
        <f t="shared" si="479"/>
        <v>0</v>
      </c>
      <c r="S53" s="404">
        <f t="shared" si="480"/>
        <v>0</v>
      </c>
      <c r="T53" s="404">
        <f t="shared" si="481"/>
        <v>0</v>
      </c>
      <c r="U53" s="396">
        <f t="shared" si="482"/>
        <v>0</v>
      </c>
      <c r="V53" s="397">
        <f t="shared" si="483"/>
        <v>0</v>
      </c>
      <c r="W53" s="394">
        <f t="shared" si="484"/>
        <v>0</v>
      </c>
      <c r="X53" s="404">
        <f t="shared" si="485"/>
        <v>0</v>
      </c>
      <c r="Y53" s="404">
        <f t="shared" si="486"/>
        <v>0</v>
      </c>
      <c r="Z53" s="396">
        <f t="shared" si="487"/>
        <v>0</v>
      </c>
      <c r="AA53" s="397">
        <f t="shared" si="488"/>
        <v>0</v>
      </c>
      <c r="AB53" s="394">
        <f t="shared" si="489"/>
        <v>0</v>
      </c>
      <c r="AC53" s="404">
        <f t="shared" si="490"/>
        <v>0</v>
      </c>
      <c r="AD53" s="404">
        <f t="shared" si="491"/>
        <v>0</v>
      </c>
      <c r="AE53" s="396">
        <f t="shared" si="492"/>
        <v>0</v>
      </c>
      <c r="AF53" s="397">
        <f t="shared" si="493"/>
        <v>0</v>
      </c>
      <c r="AG53" s="394">
        <f t="shared" si="494"/>
        <v>0</v>
      </c>
      <c r="AH53" s="404">
        <f t="shared" si="495"/>
        <v>0</v>
      </c>
      <c r="AI53" s="404">
        <f t="shared" si="496"/>
        <v>0</v>
      </c>
      <c r="AJ53" s="396">
        <f t="shared" si="497"/>
        <v>0</v>
      </c>
      <c r="AK53" s="397">
        <f t="shared" si="498"/>
        <v>0</v>
      </c>
      <c r="AL53" s="394">
        <f t="shared" si="499"/>
        <v>0</v>
      </c>
      <c r="AM53" s="404">
        <f t="shared" si="500"/>
        <v>0</v>
      </c>
      <c r="AN53" s="404">
        <f t="shared" si="501"/>
        <v>0</v>
      </c>
      <c r="AO53" s="396">
        <f t="shared" si="502"/>
        <v>0</v>
      </c>
      <c r="AP53" s="397">
        <f t="shared" si="503"/>
        <v>0</v>
      </c>
      <c r="AQ53" s="394">
        <f t="shared" si="504"/>
        <v>0</v>
      </c>
      <c r="AR53" s="404">
        <f t="shared" si="505"/>
        <v>0</v>
      </c>
      <c r="AS53" s="404">
        <f t="shared" si="506"/>
        <v>0</v>
      </c>
      <c r="AT53" s="396">
        <f t="shared" si="507"/>
        <v>0</v>
      </c>
      <c r="AU53" s="397">
        <f t="shared" si="508"/>
        <v>0</v>
      </c>
      <c r="AV53" s="394">
        <f t="shared" si="509"/>
        <v>0</v>
      </c>
      <c r="AW53" s="404">
        <f t="shared" si="510"/>
        <v>0</v>
      </c>
      <c r="AX53" s="404">
        <f t="shared" si="511"/>
        <v>0</v>
      </c>
      <c r="AY53" s="396">
        <f t="shared" si="512"/>
        <v>0</v>
      </c>
      <c r="AZ53" s="397">
        <f t="shared" si="513"/>
        <v>0</v>
      </c>
      <c r="BA53" s="394">
        <f t="shared" ref="BA53:BA59" si="558">IF(BE53=0,0,IF(BE53&lt;0,IF($J53=3,BE53,IF($J53=2,BE53,IF($J53=1,BE53,0)))))</f>
        <v>0</v>
      </c>
      <c r="BB53" s="404">
        <f t="shared" ref="BB53:BB59" si="559">IF(BE53=0,0,IF(BE53&lt;0,IF($J53=6,BE53,IF($J53=5,BE53,IF($J53=4,BE53,0)))))</f>
        <v>0</v>
      </c>
      <c r="BC53" s="404">
        <f t="shared" ref="BC53:BC59" si="560">IF(BE53=0,0,IF(BE53&lt;0,IF($J53=9,BE53,IF($J53=8,BE53,IF($J53=7,BE53,0)))))</f>
        <v>0</v>
      </c>
      <c r="BD53" s="396">
        <f t="shared" ref="BD53:BD59" si="561">IF(BE53=0,0,IF(BE53&lt;0,IF($J53=12,BE53,IF($J53=11,BE53,IF($J53=10,BE53,0)))))</f>
        <v>0</v>
      </c>
      <c r="BE53" s="397">
        <f t="shared" si="514"/>
        <v>0</v>
      </c>
      <c r="BF53" s="394">
        <f t="shared" ref="BF53:BF59" si="562">IF(BJ53=0,0,IF(BJ53&lt;0,IF($J53=3,BJ53,IF($J53=2,BJ53,IF($J53=1,BJ53,0)))))</f>
        <v>0</v>
      </c>
      <c r="BG53" s="404">
        <f t="shared" ref="BG53:BG59" si="563">IF(BJ53=0,0,IF(BJ53&lt;0,IF($J53=6,BJ53,IF($J53=5,BJ53,IF($J53=4,BJ53,0)))))</f>
        <v>0</v>
      </c>
      <c r="BH53" s="404">
        <f t="shared" ref="BH53:BH59" si="564">IF(BJ53=0,0,IF(BJ53&lt;0,IF($J53=9,BJ53,IF($J53=8,BJ53,IF($J53=7,BJ53,0)))))</f>
        <v>0</v>
      </c>
      <c r="BI53" s="396">
        <f t="shared" ref="BI53:BI59" si="565">IF(BJ53=0,0,IF(BJ53&lt;0,IF($J53=12,BJ53,IF($J53=11,BJ53,IF($J53=10,BJ53,0)))))</f>
        <v>0</v>
      </c>
      <c r="BJ53" s="397">
        <f t="shared" si="515"/>
        <v>0</v>
      </c>
      <c r="BK53" s="394">
        <f t="shared" ref="BK53:BK59" si="566">IF(BO53=0,0,IF(BO53&lt;0,IF($J53=3,BO53,IF($J53=2,BO53,IF($J53=1,BO53,0)))))</f>
        <v>0</v>
      </c>
      <c r="BL53" s="404">
        <f t="shared" ref="BL53:BL59" si="567">IF(BO53=0,0,IF(BO53&lt;0,IF($J53=6,BO53,IF($J53=5,BO53,IF($J53=4,BO53,0)))))</f>
        <v>0</v>
      </c>
      <c r="BM53" s="404">
        <f t="shared" ref="BM53:BM59" si="568">IF(BO53=0,0,IF(BO53&lt;0,IF($J53=9,BO53,IF($J53=8,BO53,IF($J53=7,BO53,0)))))</f>
        <v>0</v>
      </c>
      <c r="BN53" s="396">
        <f t="shared" ref="BN53:BN59" si="569">IF(BO53=0,0,IF(BO53&lt;0,IF($J53=12,BO53,IF($J53=11,BO53,IF($J53=10,BO53,0)))))</f>
        <v>0</v>
      </c>
      <c r="BO53" s="397">
        <f t="shared" si="516"/>
        <v>0</v>
      </c>
      <c r="BP53" s="452"/>
      <c r="BQ53" s="403">
        <f t="shared" si="517"/>
        <v>0</v>
      </c>
      <c r="BR53" s="400">
        <f t="shared" si="518"/>
        <v>0</v>
      </c>
      <c r="BS53" s="406">
        <f t="shared" si="519"/>
        <v>0</v>
      </c>
      <c r="BT53" s="406">
        <f t="shared" si="520"/>
        <v>0</v>
      </c>
      <c r="BU53" s="402">
        <f t="shared" si="521"/>
        <v>0</v>
      </c>
      <c r="BV53" s="403">
        <f t="shared" si="522"/>
        <v>0</v>
      </c>
      <c r="BW53" s="400">
        <f t="shared" si="523"/>
        <v>0</v>
      </c>
      <c r="BX53" s="406">
        <f t="shared" si="524"/>
        <v>0</v>
      </c>
      <c r="BY53" s="406">
        <f t="shared" si="525"/>
        <v>0</v>
      </c>
      <c r="BZ53" s="402">
        <f t="shared" si="526"/>
        <v>0</v>
      </c>
      <c r="CA53" s="403">
        <f t="shared" si="527"/>
        <v>0</v>
      </c>
      <c r="CB53" s="400">
        <f t="shared" si="528"/>
        <v>0</v>
      </c>
      <c r="CC53" s="406">
        <f t="shared" si="529"/>
        <v>0</v>
      </c>
      <c r="CD53" s="406">
        <f t="shared" si="530"/>
        <v>0</v>
      </c>
      <c r="CE53" s="402">
        <f t="shared" si="531"/>
        <v>0</v>
      </c>
      <c r="CF53" s="403">
        <f t="shared" si="532"/>
        <v>0</v>
      </c>
      <c r="CG53" s="400">
        <f t="shared" si="533"/>
        <v>0</v>
      </c>
      <c r="CH53" s="406">
        <f t="shared" si="534"/>
        <v>0</v>
      </c>
      <c r="CI53" s="406">
        <f t="shared" si="535"/>
        <v>0</v>
      </c>
      <c r="CJ53" s="402">
        <f t="shared" si="536"/>
        <v>0</v>
      </c>
      <c r="CK53" s="403">
        <f t="shared" si="537"/>
        <v>0</v>
      </c>
      <c r="CL53" s="400">
        <f t="shared" si="538"/>
        <v>0</v>
      </c>
      <c r="CM53" s="406">
        <f t="shared" si="539"/>
        <v>0</v>
      </c>
      <c r="CN53" s="406">
        <f t="shared" si="540"/>
        <v>0</v>
      </c>
      <c r="CO53" s="402">
        <f t="shared" si="541"/>
        <v>0</v>
      </c>
      <c r="CP53" s="403">
        <f t="shared" si="542"/>
        <v>0</v>
      </c>
      <c r="CQ53" s="400">
        <f t="shared" si="543"/>
        <v>0</v>
      </c>
      <c r="CR53" s="406">
        <f t="shared" si="544"/>
        <v>0</v>
      </c>
      <c r="CS53" s="406">
        <f t="shared" si="545"/>
        <v>0</v>
      </c>
      <c r="CT53" s="402">
        <f t="shared" si="546"/>
        <v>0</v>
      </c>
      <c r="CU53" s="403">
        <f t="shared" si="547"/>
        <v>0</v>
      </c>
      <c r="CV53" s="400">
        <f t="shared" si="548"/>
        <v>0</v>
      </c>
      <c r="CW53" s="406">
        <f t="shared" si="549"/>
        <v>0</v>
      </c>
      <c r="CX53" s="406">
        <f t="shared" si="550"/>
        <v>0</v>
      </c>
      <c r="CY53" s="402">
        <f t="shared" si="551"/>
        <v>0</v>
      </c>
      <c r="CZ53" s="403">
        <f t="shared" si="552"/>
        <v>0</v>
      </c>
      <c r="DA53" s="400">
        <f t="shared" si="553"/>
        <v>0</v>
      </c>
      <c r="DB53" s="406">
        <f t="shared" si="554"/>
        <v>0</v>
      </c>
      <c r="DC53" s="406">
        <f t="shared" si="555"/>
        <v>0</v>
      </c>
      <c r="DD53" s="402">
        <f t="shared" si="556"/>
        <v>0</v>
      </c>
      <c r="DE53" s="403">
        <f t="shared" si="557"/>
        <v>0</v>
      </c>
      <c r="DF53" s="400">
        <f t="shared" ref="DF53:DF59" si="570">IF($H53&lt;&gt;DJ$5,0,IF(DJ53&lt;0,IF($J53=1,-$E53*$I53/12*3,IF($J53=2,-$E53*$I53/12*2,IF($J53=3,-$E53*$I53/12*1,0)))))+IF(DE$5&lt;&gt;$H53,0,IF(DE53&lt;0,IF($J53=1,-$E53*$I53/12*0,IF($J53=2,-$E53*$I53/12*1,IF($J53=3,-$E53*$I53/12*2,IF($J53&gt;=4,-$E53*$I53/12*3,0))))))</f>
        <v>0</v>
      </c>
      <c r="DG53" s="406">
        <f t="shared" ref="DG53:DG59" si="571">IF($H53&lt;&gt;DJ$5,0,IF(DJ53&lt;0,IF(OR($J53=1,$J53=2,$J53=3,$J53=4),-$E53*$I53/12*3,IF($J53=5,-$E53*$I53/12*2,IF($J53=6,-$E53*$I53/12*1,0)))))+IF(DE$5&lt;&gt;$H53,0,IF(DE53&lt;0,IF($J53=4,-$E53*$I53/12*0,IF($J53=5,-$E53*$I53/12*1,IF($J53=6,-$E53*$I53/12*2,IF($J53&gt;=7,-$E53*$I53/12*3,0))))))</f>
        <v>0</v>
      </c>
      <c r="DH53" s="406">
        <f t="shared" ref="DH53:DH59" si="572">IF($H53&lt;&gt;DJ$5,0,IF(DJ53&lt;0,IF(OR($J53=1,$J53=2,$J53=3,$J53=4,$J53=5,$J53=6,$J53=7),-$E53*$I53/12*3,IF($J53=8,-$E53*$I53/12*2,IF($J53=9,-$E53*$I53/12*1,0)))))+IF(DE$5&lt;&gt;$H53,0,IF(DE53&lt;0,IF($J53=7,-$E53*$I53/12*0,IF($J53=8,-$E53*$I53/12*1,IF($J53=9,-$E53*$I53/12*2,IF($J53&gt;=10,-$E53*$I53/12*3,0))))))</f>
        <v>0</v>
      </c>
      <c r="DI53" s="402">
        <f t="shared" ref="DI53:DI59" si="573">IF($H53&lt;&gt;DJ$5,0,IF(DJ53&lt;0,IF(OR($J53=1,$J53=2,$J53=3,$J53=4,$J53=5,$J53=6,$J53=7,$J53=8,$J53=9,$J53=10),-$E53*$I53/12*3,IF($J53=11,-$E53*$I53/12*2,IF($J53=12,-$E53*$I53/12*1,0)))))+IF(DE$5&lt;&gt;$H53,0,IF(DE53&lt;0,IF($J53=10,-$E53*$I53/12*0,IF($J53=11,-$E53*$I53/12*1,IF($J53=12,-$E53*$I53/12*2,0)))))</f>
        <v>0</v>
      </c>
      <c r="DJ53" s="403">
        <f t="shared" ref="DJ53:DJ59" si="574">IF(AND(DE53&lt;&gt;0,DE$5=$H53),-$I53*$E53-DE53,IF(DJ$5=$H53,-$I53*$E53*(12-$J53+1)/12,0))</f>
        <v>0</v>
      </c>
      <c r="DK53" s="400">
        <f t="shared" ref="DK53:DK59" si="575">IF($H53&lt;&gt;DO$5,0,IF(DO53&lt;0,IF($J53=1,-$E53*$I53/12*3,IF($J53=2,-$E53*$I53/12*2,IF($J53=3,-$E53*$I53/12*1,0)))))+IF(DJ$5&lt;&gt;$H53,0,IF(DJ53&lt;0,IF($J53=1,-$E53*$I53/12*0,IF($J53=2,-$E53*$I53/12*1,IF($J53=3,-$E53*$I53/12*2,IF($J53&gt;=4,-$E53*$I53/12*3,0))))))</f>
        <v>0</v>
      </c>
      <c r="DL53" s="406">
        <f t="shared" ref="DL53:DL59" si="576">IF($H53&lt;&gt;DO$5,0,IF(DO53&lt;0,IF(OR($J53=1,$J53=2,$J53=3,$J53=4),-$E53*$I53/12*3,IF($J53=5,-$E53*$I53/12*2,IF($J53=6,-$E53*$I53/12*1,0)))))+IF(DJ$5&lt;&gt;$H53,0,IF(DJ53&lt;0,IF($J53=4,-$E53*$I53/12*0,IF($J53=5,-$E53*$I53/12*1,IF($J53=6,-$E53*$I53/12*2,IF($J53&gt;=7,-$E53*$I53/12*3,0))))))</f>
        <v>0</v>
      </c>
      <c r="DM53" s="406">
        <f t="shared" ref="DM53:DM59" si="577">IF($H53&lt;&gt;DO$5,0,IF(DO53&lt;0,IF(OR($J53=1,$J53=2,$J53=3,$J53=4,$J53=5,$J53=6,$J53=7),-$E53*$I53/12*3,IF($J53=8,-$E53*$I53/12*2,IF($J53=9,-$E53*$I53/12*1,0)))))+IF(DJ$5&lt;&gt;$H53,0,IF(DJ53&lt;0,IF($J53=7,-$E53*$I53/12*0,IF($J53=8,-$E53*$I53/12*1,IF($J53=9,-$E53*$I53/12*2,IF($J53&gt;=10,-$E53*$I53/12*3,0))))))</f>
        <v>0</v>
      </c>
      <c r="DN53" s="402">
        <f t="shared" ref="DN53:DN59" si="578">IF($H53&lt;&gt;DO$5,0,IF(DO53&lt;0,IF(OR($J53=1,$J53=2,$J53=3,$J53=4,$J53=5,$J53=6,$J53=7,$J53=8,$J53=9,$J53=10),-$E53*$I53/12*3,IF($J53=11,-$E53*$I53/12*2,IF($J53=12,-$E53*$I53/12*1,0)))))+IF(DJ$5&lt;&gt;$H53,0,IF(DJ53&lt;0,IF($J53=10,-$E53*$I53/12*0,IF($J53=11,-$E53*$I53/12*1,IF($J53=12,-$E53*$I53/12*2,0)))))</f>
        <v>0</v>
      </c>
      <c r="DO53" s="403">
        <f t="shared" ref="DO53:DO59" si="579">IF(AND(DJ53&lt;&gt;0,DJ$5=$H53),-$I53*$E53-DJ53,IF(DO$5=$H53,-$I53*$E53*(12-$J53+1)/12,0))</f>
        <v>0</v>
      </c>
      <c r="DP53" s="400">
        <f t="shared" ref="DP53:DP59" si="580">IF($H53&lt;&gt;DT$5,0,IF(DT53&lt;0,IF($J53=1,-$E53*$I53/12*3,IF($J53=2,-$E53*$I53/12*2,IF($J53=3,-$E53*$I53/12*1,0)))))+IF(DO$5&lt;&gt;$H53,0,IF(DO53&lt;0,IF($J53=1,-$E53*$I53/12*0,IF($J53=2,-$E53*$I53/12*1,IF($J53=3,-$E53*$I53/12*2,IF($J53&gt;=4,-$E53*$I53/12*3,0))))))</f>
        <v>0</v>
      </c>
      <c r="DQ53" s="406">
        <f t="shared" ref="DQ53:DQ59" si="581">IF($H53&lt;&gt;DT$5,0,IF(DT53&lt;0,IF(OR($J53=1,$J53=2,$J53=3,$J53=4),-$E53*$I53/12*3,IF($J53=5,-$E53*$I53/12*2,IF($J53=6,-$E53*$I53/12*1,0)))))+IF(DO$5&lt;&gt;$H53,0,IF(DO53&lt;0,IF($J53=4,-$E53*$I53/12*0,IF($J53=5,-$E53*$I53/12*1,IF($J53=6,-$E53*$I53/12*2,IF($J53&gt;=7,-$E53*$I53/12*3,0))))))</f>
        <v>0</v>
      </c>
      <c r="DR53" s="406">
        <f t="shared" ref="DR53:DR59" si="582">IF($H53&lt;&gt;DT$5,0,IF(DT53&lt;0,IF(OR($J53=1,$J53=2,$J53=3,$J53=4,$J53=5,$J53=6,$J53=7),-$E53*$I53/12*3,IF($J53=8,-$E53*$I53/12*2,IF($J53=9,-$E53*$I53/12*1,0)))))+IF(DO$5&lt;&gt;$H53,0,IF(DO53&lt;0,IF($J53=7,-$E53*$I53/12*0,IF($J53=8,-$E53*$I53/12*1,IF($J53=9,-$E53*$I53/12*2,IF($J53&gt;=10,-$E53*$I53/12*3,0))))))</f>
        <v>0</v>
      </c>
      <c r="DS53" s="402">
        <f t="shared" ref="DS53:DS59" si="583">IF($H53&lt;&gt;DT$5,0,IF(DT53&lt;0,IF(OR($J53=1,$J53=2,$J53=3,$J53=4,$J53=5,$J53=6,$J53=7,$J53=8,$J53=9,$J53=10),-$E53*$I53/12*3,IF($J53=11,-$E53*$I53/12*2,IF($J53=12,-$E53*$I53/12*1,0)))))+IF(DO$5&lt;&gt;$H53,0,IF(DO53&lt;0,IF($J53=10,-$E53*$I53/12*0,IF($J53=11,-$E53*$I53/12*1,IF($J53=12,-$E53*$I53/12*2,0)))))</f>
        <v>0</v>
      </c>
      <c r="DT53" s="403">
        <f t="shared" ref="DT53:DT59" si="584">IF(AND(DO53&lt;&gt;0,DO$5=$H53),-$I53*$E53-DO53,IF(DT$5=$H53,-$I53*$E53*(12-$J53+1)/12,0))</f>
        <v>0</v>
      </c>
      <c r="EF53" s="35"/>
      <c r="EI53" s="759"/>
    </row>
    <row r="54" spans="3:139" ht="12.75" customHeight="1" x14ac:dyDescent="0.2">
      <c r="C54" s="511" t="s">
        <v>364</v>
      </c>
      <c r="D54" s="70"/>
      <c r="E54" s="530">
        <f t="shared" si="472"/>
        <v>150</v>
      </c>
      <c r="F54" s="531">
        <v>150</v>
      </c>
      <c r="G54" s="531">
        <v>150</v>
      </c>
      <c r="H54" s="449">
        <v>2028</v>
      </c>
      <c r="I54" s="450">
        <v>6.5000000000000002E-2</v>
      </c>
      <c r="J54" s="451">
        <v>3</v>
      </c>
      <c r="K54" s="392"/>
      <c r="L54" s="397">
        <f t="shared" si="473"/>
        <v>0</v>
      </c>
      <c r="M54" s="394">
        <f t="shared" si="474"/>
        <v>0</v>
      </c>
      <c r="N54" s="404">
        <f t="shared" si="475"/>
        <v>0</v>
      </c>
      <c r="O54" s="404">
        <f t="shared" si="476"/>
        <v>0</v>
      </c>
      <c r="P54" s="396">
        <f t="shared" si="477"/>
        <v>0</v>
      </c>
      <c r="Q54" s="397">
        <f t="shared" si="478"/>
        <v>0</v>
      </c>
      <c r="R54" s="394">
        <f t="shared" si="479"/>
        <v>0</v>
      </c>
      <c r="S54" s="404">
        <f t="shared" si="480"/>
        <v>0</v>
      </c>
      <c r="T54" s="404">
        <f t="shared" si="481"/>
        <v>0</v>
      </c>
      <c r="U54" s="396">
        <f t="shared" si="482"/>
        <v>0</v>
      </c>
      <c r="V54" s="397">
        <f t="shared" si="483"/>
        <v>0</v>
      </c>
      <c r="W54" s="394">
        <f t="shared" si="484"/>
        <v>0</v>
      </c>
      <c r="X54" s="404">
        <f t="shared" si="485"/>
        <v>0</v>
      </c>
      <c r="Y54" s="404">
        <f t="shared" si="486"/>
        <v>0</v>
      </c>
      <c r="Z54" s="396">
        <f t="shared" si="487"/>
        <v>0</v>
      </c>
      <c r="AA54" s="397">
        <f t="shared" si="488"/>
        <v>0</v>
      </c>
      <c r="AB54" s="394">
        <f t="shared" si="489"/>
        <v>0</v>
      </c>
      <c r="AC54" s="404">
        <f t="shared" si="490"/>
        <v>0</v>
      </c>
      <c r="AD54" s="404">
        <f t="shared" si="491"/>
        <v>0</v>
      </c>
      <c r="AE54" s="396">
        <f t="shared" si="492"/>
        <v>0</v>
      </c>
      <c r="AF54" s="397">
        <f t="shared" si="493"/>
        <v>0</v>
      </c>
      <c r="AG54" s="394">
        <f t="shared" si="494"/>
        <v>0</v>
      </c>
      <c r="AH54" s="404">
        <f t="shared" si="495"/>
        <v>0</v>
      </c>
      <c r="AI54" s="404">
        <f t="shared" si="496"/>
        <v>0</v>
      </c>
      <c r="AJ54" s="396">
        <f t="shared" si="497"/>
        <v>0</v>
      </c>
      <c r="AK54" s="397">
        <f t="shared" si="498"/>
        <v>0</v>
      </c>
      <c r="AL54" s="394">
        <f t="shared" si="499"/>
        <v>0</v>
      </c>
      <c r="AM54" s="404">
        <f t="shared" si="500"/>
        <v>0</v>
      </c>
      <c r="AN54" s="404">
        <f t="shared" si="501"/>
        <v>0</v>
      </c>
      <c r="AO54" s="396">
        <f t="shared" si="502"/>
        <v>0</v>
      </c>
      <c r="AP54" s="397">
        <f t="shared" si="503"/>
        <v>0</v>
      </c>
      <c r="AQ54" s="394">
        <f t="shared" si="504"/>
        <v>0</v>
      </c>
      <c r="AR54" s="404">
        <f t="shared" si="505"/>
        <v>0</v>
      </c>
      <c r="AS54" s="404">
        <f t="shared" si="506"/>
        <v>0</v>
      </c>
      <c r="AT54" s="396">
        <f t="shared" si="507"/>
        <v>0</v>
      </c>
      <c r="AU54" s="397">
        <f t="shared" si="508"/>
        <v>0</v>
      </c>
      <c r="AV54" s="394">
        <f t="shared" si="509"/>
        <v>0</v>
      </c>
      <c r="AW54" s="404">
        <f t="shared" si="510"/>
        <v>0</v>
      </c>
      <c r="AX54" s="404">
        <f t="shared" si="511"/>
        <v>0</v>
      </c>
      <c r="AY54" s="396">
        <f t="shared" si="512"/>
        <v>0</v>
      </c>
      <c r="AZ54" s="397">
        <f t="shared" si="513"/>
        <v>0</v>
      </c>
      <c r="BA54" s="394">
        <f t="shared" si="558"/>
        <v>0</v>
      </c>
      <c r="BB54" s="404">
        <f t="shared" si="559"/>
        <v>0</v>
      </c>
      <c r="BC54" s="404">
        <f t="shared" si="560"/>
        <v>0</v>
      </c>
      <c r="BD54" s="396">
        <f t="shared" si="561"/>
        <v>0</v>
      </c>
      <c r="BE54" s="397">
        <f t="shared" si="514"/>
        <v>0</v>
      </c>
      <c r="BF54" s="394">
        <f t="shared" si="562"/>
        <v>0</v>
      </c>
      <c r="BG54" s="404">
        <f t="shared" si="563"/>
        <v>0</v>
      </c>
      <c r="BH54" s="404">
        <f t="shared" si="564"/>
        <v>0</v>
      </c>
      <c r="BI54" s="396">
        <f t="shared" si="565"/>
        <v>0</v>
      </c>
      <c r="BJ54" s="397">
        <f t="shared" si="515"/>
        <v>0</v>
      </c>
      <c r="BK54" s="394">
        <f t="shared" si="566"/>
        <v>0</v>
      </c>
      <c r="BL54" s="404">
        <f t="shared" si="567"/>
        <v>0</v>
      </c>
      <c r="BM54" s="404">
        <f t="shared" si="568"/>
        <v>0</v>
      </c>
      <c r="BN54" s="396">
        <f t="shared" si="569"/>
        <v>0</v>
      </c>
      <c r="BO54" s="397">
        <f t="shared" si="516"/>
        <v>0</v>
      </c>
      <c r="BP54" s="452"/>
      <c r="BQ54" s="403">
        <f t="shared" si="517"/>
        <v>0</v>
      </c>
      <c r="BR54" s="400">
        <f t="shared" si="518"/>
        <v>0</v>
      </c>
      <c r="BS54" s="406">
        <f t="shared" si="519"/>
        <v>0</v>
      </c>
      <c r="BT54" s="406">
        <f t="shared" si="520"/>
        <v>0</v>
      </c>
      <c r="BU54" s="402">
        <f t="shared" si="521"/>
        <v>0</v>
      </c>
      <c r="BV54" s="403">
        <f t="shared" si="522"/>
        <v>0</v>
      </c>
      <c r="BW54" s="400">
        <f t="shared" si="523"/>
        <v>0</v>
      </c>
      <c r="BX54" s="406">
        <f t="shared" si="524"/>
        <v>0</v>
      </c>
      <c r="BY54" s="406">
        <f t="shared" si="525"/>
        <v>0</v>
      </c>
      <c r="BZ54" s="402">
        <f t="shared" si="526"/>
        <v>0</v>
      </c>
      <c r="CA54" s="403">
        <f t="shared" si="527"/>
        <v>0</v>
      </c>
      <c r="CB54" s="400">
        <f t="shared" si="528"/>
        <v>0</v>
      </c>
      <c r="CC54" s="406">
        <f t="shared" si="529"/>
        <v>0</v>
      </c>
      <c r="CD54" s="406">
        <f t="shared" si="530"/>
        <v>0</v>
      </c>
      <c r="CE54" s="402">
        <f t="shared" si="531"/>
        <v>0</v>
      </c>
      <c r="CF54" s="403">
        <f t="shared" si="532"/>
        <v>0</v>
      </c>
      <c r="CG54" s="400">
        <f t="shared" si="533"/>
        <v>0</v>
      </c>
      <c r="CH54" s="406">
        <f t="shared" si="534"/>
        <v>0</v>
      </c>
      <c r="CI54" s="406">
        <f t="shared" si="535"/>
        <v>0</v>
      </c>
      <c r="CJ54" s="402">
        <f t="shared" si="536"/>
        <v>0</v>
      </c>
      <c r="CK54" s="403">
        <f t="shared" si="537"/>
        <v>0</v>
      </c>
      <c r="CL54" s="400">
        <f t="shared" si="538"/>
        <v>0</v>
      </c>
      <c r="CM54" s="406">
        <f t="shared" si="539"/>
        <v>0</v>
      </c>
      <c r="CN54" s="406">
        <f t="shared" si="540"/>
        <v>0</v>
      </c>
      <c r="CO54" s="402">
        <f t="shared" si="541"/>
        <v>0</v>
      </c>
      <c r="CP54" s="403">
        <f t="shared" si="542"/>
        <v>0</v>
      </c>
      <c r="CQ54" s="400">
        <f t="shared" si="543"/>
        <v>0</v>
      </c>
      <c r="CR54" s="406">
        <f t="shared" si="544"/>
        <v>0</v>
      </c>
      <c r="CS54" s="406">
        <f t="shared" si="545"/>
        <v>0</v>
      </c>
      <c r="CT54" s="402">
        <f t="shared" si="546"/>
        <v>0</v>
      </c>
      <c r="CU54" s="403">
        <f t="shared" si="547"/>
        <v>0</v>
      </c>
      <c r="CV54" s="400">
        <f t="shared" si="548"/>
        <v>0</v>
      </c>
      <c r="CW54" s="406">
        <f t="shared" si="549"/>
        <v>0</v>
      </c>
      <c r="CX54" s="406">
        <f t="shared" si="550"/>
        <v>0</v>
      </c>
      <c r="CY54" s="402">
        <f t="shared" si="551"/>
        <v>0</v>
      </c>
      <c r="CZ54" s="403">
        <f t="shared" si="552"/>
        <v>0</v>
      </c>
      <c r="DA54" s="400">
        <f t="shared" si="553"/>
        <v>0</v>
      </c>
      <c r="DB54" s="406">
        <f t="shared" si="554"/>
        <v>0</v>
      </c>
      <c r="DC54" s="406">
        <f t="shared" si="555"/>
        <v>0</v>
      </c>
      <c r="DD54" s="402">
        <f t="shared" si="556"/>
        <v>0</v>
      </c>
      <c r="DE54" s="403">
        <f t="shared" si="557"/>
        <v>0</v>
      </c>
      <c r="DF54" s="400">
        <f t="shared" si="570"/>
        <v>0</v>
      </c>
      <c r="DG54" s="406">
        <f t="shared" si="571"/>
        <v>0</v>
      </c>
      <c r="DH54" s="406">
        <f t="shared" si="572"/>
        <v>0</v>
      </c>
      <c r="DI54" s="402">
        <f t="shared" si="573"/>
        <v>0</v>
      </c>
      <c r="DJ54" s="403">
        <f t="shared" si="574"/>
        <v>0</v>
      </c>
      <c r="DK54" s="400">
        <f t="shared" si="575"/>
        <v>0</v>
      </c>
      <c r="DL54" s="406">
        <f t="shared" si="576"/>
        <v>0</v>
      </c>
      <c r="DM54" s="406">
        <f t="shared" si="577"/>
        <v>0</v>
      </c>
      <c r="DN54" s="402">
        <f t="shared" si="578"/>
        <v>0</v>
      </c>
      <c r="DO54" s="403">
        <f t="shared" si="579"/>
        <v>0</v>
      </c>
      <c r="DP54" s="400">
        <f t="shared" si="580"/>
        <v>0</v>
      </c>
      <c r="DQ54" s="406">
        <f t="shared" si="581"/>
        <v>0</v>
      </c>
      <c r="DR54" s="406">
        <f t="shared" si="582"/>
        <v>0</v>
      </c>
      <c r="DS54" s="402">
        <f t="shared" si="583"/>
        <v>0</v>
      </c>
      <c r="DT54" s="403">
        <f t="shared" si="584"/>
        <v>0</v>
      </c>
      <c r="EF54" s="35"/>
      <c r="EI54" s="759"/>
    </row>
    <row r="55" spans="3:139" ht="12.75" customHeight="1" x14ac:dyDescent="0.2">
      <c r="C55" s="511" t="s">
        <v>365</v>
      </c>
      <c r="D55" s="70"/>
      <c r="E55" s="530">
        <f t="shared" si="472"/>
        <v>250</v>
      </c>
      <c r="F55" s="531">
        <v>250</v>
      </c>
      <c r="G55" s="531">
        <v>250</v>
      </c>
      <c r="H55" s="449">
        <v>2035</v>
      </c>
      <c r="I55" s="450">
        <v>5.2499999999999998E-2</v>
      </c>
      <c r="J55" s="451">
        <v>7</v>
      </c>
      <c r="K55" s="392"/>
      <c r="L55" s="397">
        <f t="shared" si="473"/>
        <v>0</v>
      </c>
      <c r="M55" s="394">
        <f t="shared" si="474"/>
        <v>0</v>
      </c>
      <c r="N55" s="404">
        <f t="shared" si="475"/>
        <v>0</v>
      </c>
      <c r="O55" s="404">
        <f t="shared" si="476"/>
        <v>0</v>
      </c>
      <c r="P55" s="396">
        <f t="shared" si="477"/>
        <v>0</v>
      </c>
      <c r="Q55" s="397">
        <f t="shared" si="478"/>
        <v>0</v>
      </c>
      <c r="R55" s="394">
        <f t="shared" si="479"/>
        <v>0</v>
      </c>
      <c r="S55" s="404">
        <f t="shared" si="480"/>
        <v>0</v>
      </c>
      <c r="T55" s="404">
        <f t="shared" si="481"/>
        <v>0</v>
      </c>
      <c r="U55" s="396">
        <f t="shared" si="482"/>
        <v>0</v>
      </c>
      <c r="V55" s="397">
        <f t="shared" si="483"/>
        <v>0</v>
      </c>
      <c r="W55" s="394">
        <f t="shared" si="484"/>
        <v>0</v>
      </c>
      <c r="X55" s="404">
        <f t="shared" si="485"/>
        <v>0</v>
      </c>
      <c r="Y55" s="404">
        <f t="shared" si="486"/>
        <v>0</v>
      </c>
      <c r="Z55" s="396">
        <f t="shared" si="487"/>
        <v>0</v>
      </c>
      <c r="AA55" s="397">
        <f t="shared" si="488"/>
        <v>0</v>
      </c>
      <c r="AB55" s="394">
        <f t="shared" si="489"/>
        <v>0</v>
      </c>
      <c r="AC55" s="404">
        <f t="shared" si="490"/>
        <v>0</v>
      </c>
      <c r="AD55" s="404">
        <f t="shared" si="491"/>
        <v>0</v>
      </c>
      <c r="AE55" s="396">
        <f t="shared" si="492"/>
        <v>0</v>
      </c>
      <c r="AF55" s="397">
        <f t="shared" si="493"/>
        <v>0</v>
      </c>
      <c r="AG55" s="394">
        <f t="shared" si="494"/>
        <v>0</v>
      </c>
      <c r="AH55" s="404">
        <f t="shared" si="495"/>
        <v>0</v>
      </c>
      <c r="AI55" s="404">
        <f t="shared" si="496"/>
        <v>0</v>
      </c>
      <c r="AJ55" s="396">
        <f t="shared" si="497"/>
        <v>0</v>
      </c>
      <c r="AK55" s="397">
        <f t="shared" si="498"/>
        <v>0</v>
      </c>
      <c r="AL55" s="394">
        <f t="shared" si="499"/>
        <v>0</v>
      </c>
      <c r="AM55" s="404">
        <f t="shared" si="500"/>
        <v>0</v>
      </c>
      <c r="AN55" s="404">
        <f t="shared" si="501"/>
        <v>0</v>
      </c>
      <c r="AO55" s="396">
        <f t="shared" si="502"/>
        <v>0</v>
      </c>
      <c r="AP55" s="397">
        <f t="shared" si="503"/>
        <v>0</v>
      </c>
      <c r="AQ55" s="394">
        <f t="shared" si="504"/>
        <v>0</v>
      </c>
      <c r="AR55" s="404">
        <f t="shared" si="505"/>
        <v>0</v>
      </c>
      <c r="AS55" s="404">
        <f t="shared" si="506"/>
        <v>0</v>
      </c>
      <c r="AT55" s="396">
        <f t="shared" si="507"/>
        <v>0</v>
      </c>
      <c r="AU55" s="397">
        <f t="shared" si="508"/>
        <v>0</v>
      </c>
      <c r="AV55" s="394">
        <f t="shared" si="509"/>
        <v>0</v>
      </c>
      <c r="AW55" s="404">
        <f t="shared" si="510"/>
        <v>0</v>
      </c>
      <c r="AX55" s="404">
        <f t="shared" si="511"/>
        <v>0</v>
      </c>
      <c r="AY55" s="396">
        <f t="shared" si="512"/>
        <v>0</v>
      </c>
      <c r="AZ55" s="397">
        <f t="shared" si="513"/>
        <v>0</v>
      </c>
      <c r="BA55" s="394">
        <f t="shared" si="558"/>
        <v>0</v>
      </c>
      <c r="BB55" s="404">
        <f t="shared" si="559"/>
        <v>0</v>
      </c>
      <c r="BC55" s="404">
        <f t="shared" si="560"/>
        <v>0</v>
      </c>
      <c r="BD55" s="396">
        <f t="shared" si="561"/>
        <v>0</v>
      </c>
      <c r="BE55" s="397">
        <f t="shared" si="514"/>
        <v>0</v>
      </c>
      <c r="BF55" s="394">
        <f t="shared" si="562"/>
        <v>0</v>
      </c>
      <c r="BG55" s="404">
        <f t="shared" si="563"/>
        <v>0</v>
      </c>
      <c r="BH55" s="404">
        <f t="shared" si="564"/>
        <v>0</v>
      </c>
      <c r="BI55" s="396">
        <f t="shared" si="565"/>
        <v>0</v>
      </c>
      <c r="BJ55" s="397">
        <f t="shared" si="515"/>
        <v>0</v>
      </c>
      <c r="BK55" s="394">
        <f t="shared" si="566"/>
        <v>0</v>
      </c>
      <c r="BL55" s="404">
        <f t="shared" si="567"/>
        <v>0</v>
      </c>
      <c r="BM55" s="404">
        <f t="shared" si="568"/>
        <v>0</v>
      </c>
      <c r="BN55" s="396">
        <f t="shared" si="569"/>
        <v>0</v>
      </c>
      <c r="BO55" s="397">
        <f t="shared" si="516"/>
        <v>0</v>
      </c>
      <c r="BP55" s="452"/>
      <c r="BQ55" s="403">
        <f t="shared" si="517"/>
        <v>0</v>
      </c>
      <c r="BR55" s="400">
        <f t="shared" si="518"/>
        <v>0</v>
      </c>
      <c r="BS55" s="406">
        <f t="shared" si="519"/>
        <v>0</v>
      </c>
      <c r="BT55" s="406">
        <f t="shared" si="520"/>
        <v>0</v>
      </c>
      <c r="BU55" s="402">
        <f t="shared" si="521"/>
        <v>0</v>
      </c>
      <c r="BV55" s="403">
        <f t="shared" si="522"/>
        <v>0</v>
      </c>
      <c r="BW55" s="400">
        <f t="shared" si="523"/>
        <v>0</v>
      </c>
      <c r="BX55" s="406">
        <f t="shared" si="524"/>
        <v>0</v>
      </c>
      <c r="BY55" s="406">
        <f t="shared" si="525"/>
        <v>0</v>
      </c>
      <c r="BZ55" s="402">
        <f t="shared" si="526"/>
        <v>0</v>
      </c>
      <c r="CA55" s="403">
        <f t="shared" si="527"/>
        <v>0</v>
      </c>
      <c r="CB55" s="400">
        <f t="shared" si="528"/>
        <v>0</v>
      </c>
      <c r="CC55" s="406">
        <f t="shared" si="529"/>
        <v>0</v>
      </c>
      <c r="CD55" s="406">
        <f t="shared" si="530"/>
        <v>0</v>
      </c>
      <c r="CE55" s="402">
        <f t="shared" si="531"/>
        <v>0</v>
      </c>
      <c r="CF55" s="403">
        <f t="shared" si="532"/>
        <v>0</v>
      </c>
      <c r="CG55" s="400">
        <f t="shared" si="533"/>
        <v>0</v>
      </c>
      <c r="CH55" s="406">
        <f t="shared" si="534"/>
        <v>0</v>
      </c>
      <c r="CI55" s="406">
        <f t="shared" si="535"/>
        <v>0</v>
      </c>
      <c r="CJ55" s="402">
        <f t="shared" si="536"/>
        <v>0</v>
      </c>
      <c r="CK55" s="403">
        <f t="shared" si="537"/>
        <v>0</v>
      </c>
      <c r="CL55" s="400">
        <f t="shared" si="538"/>
        <v>0</v>
      </c>
      <c r="CM55" s="406">
        <f t="shared" si="539"/>
        <v>0</v>
      </c>
      <c r="CN55" s="406">
        <f t="shared" si="540"/>
        <v>0</v>
      </c>
      <c r="CO55" s="402">
        <f t="shared" si="541"/>
        <v>0</v>
      </c>
      <c r="CP55" s="403">
        <f t="shared" si="542"/>
        <v>0</v>
      </c>
      <c r="CQ55" s="400">
        <f t="shared" si="543"/>
        <v>0</v>
      </c>
      <c r="CR55" s="406">
        <f t="shared" si="544"/>
        <v>0</v>
      </c>
      <c r="CS55" s="406">
        <f t="shared" si="545"/>
        <v>0</v>
      </c>
      <c r="CT55" s="402">
        <f t="shared" si="546"/>
        <v>0</v>
      </c>
      <c r="CU55" s="403">
        <f t="shared" si="547"/>
        <v>0</v>
      </c>
      <c r="CV55" s="400">
        <f t="shared" si="548"/>
        <v>0</v>
      </c>
      <c r="CW55" s="406">
        <f t="shared" si="549"/>
        <v>0</v>
      </c>
      <c r="CX55" s="406">
        <f t="shared" si="550"/>
        <v>0</v>
      </c>
      <c r="CY55" s="402">
        <f t="shared" si="551"/>
        <v>0</v>
      </c>
      <c r="CZ55" s="403">
        <f t="shared" si="552"/>
        <v>0</v>
      </c>
      <c r="DA55" s="400">
        <f t="shared" si="553"/>
        <v>0</v>
      </c>
      <c r="DB55" s="406">
        <f t="shared" si="554"/>
        <v>0</v>
      </c>
      <c r="DC55" s="406">
        <f t="shared" si="555"/>
        <v>0</v>
      </c>
      <c r="DD55" s="402">
        <f t="shared" si="556"/>
        <v>0</v>
      </c>
      <c r="DE55" s="403">
        <f t="shared" si="557"/>
        <v>0</v>
      </c>
      <c r="DF55" s="400">
        <f t="shared" si="570"/>
        <v>0</v>
      </c>
      <c r="DG55" s="406">
        <f t="shared" si="571"/>
        <v>0</v>
      </c>
      <c r="DH55" s="406">
        <f t="shared" si="572"/>
        <v>0</v>
      </c>
      <c r="DI55" s="402">
        <f t="shared" si="573"/>
        <v>0</v>
      </c>
      <c r="DJ55" s="403">
        <f t="shared" si="574"/>
        <v>0</v>
      </c>
      <c r="DK55" s="400">
        <f t="shared" si="575"/>
        <v>0</v>
      </c>
      <c r="DL55" s="406">
        <f t="shared" si="576"/>
        <v>0</v>
      </c>
      <c r="DM55" s="406">
        <f t="shared" si="577"/>
        <v>0</v>
      </c>
      <c r="DN55" s="402">
        <f t="shared" si="578"/>
        <v>0</v>
      </c>
      <c r="DO55" s="403">
        <f t="shared" si="579"/>
        <v>0</v>
      </c>
      <c r="DP55" s="400">
        <f t="shared" si="580"/>
        <v>0</v>
      </c>
      <c r="DQ55" s="406">
        <f t="shared" si="581"/>
        <v>0</v>
      </c>
      <c r="DR55" s="406">
        <f t="shared" si="582"/>
        <v>0</v>
      </c>
      <c r="DS55" s="402">
        <f t="shared" si="583"/>
        <v>0</v>
      </c>
      <c r="DT55" s="403">
        <f t="shared" si="584"/>
        <v>0</v>
      </c>
      <c r="EF55" s="35"/>
      <c r="EI55" s="759"/>
    </row>
    <row r="56" spans="3:139" ht="12.75" customHeight="1" x14ac:dyDescent="0.2">
      <c r="C56" s="511" t="s">
        <v>366</v>
      </c>
      <c r="D56" s="70"/>
      <c r="E56" s="530">
        <f t="shared" si="472"/>
        <v>400</v>
      </c>
      <c r="F56" s="531">
        <v>400</v>
      </c>
      <c r="G56" s="531">
        <v>400</v>
      </c>
      <c r="H56" s="449">
        <v>2036</v>
      </c>
      <c r="I56" s="450">
        <v>6.25E-2</v>
      </c>
      <c r="J56" s="451">
        <v>6</v>
      </c>
      <c r="K56" s="392"/>
      <c r="L56" s="397">
        <f t="shared" si="473"/>
        <v>0</v>
      </c>
      <c r="M56" s="394">
        <f t="shared" si="474"/>
        <v>0</v>
      </c>
      <c r="N56" s="404">
        <f t="shared" si="475"/>
        <v>0</v>
      </c>
      <c r="O56" s="404">
        <f t="shared" si="476"/>
        <v>0</v>
      </c>
      <c r="P56" s="396">
        <f t="shared" si="477"/>
        <v>0</v>
      </c>
      <c r="Q56" s="397">
        <f t="shared" si="478"/>
        <v>0</v>
      </c>
      <c r="R56" s="394">
        <f t="shared" si="479"/>
        <v>0</v>
      </c>
      <c r="S56" s="404">
        <f t="shared" si="480"/>
        <v>0</v>
      </c>
      <c r="T56" s="404">
        <f t="shared" si="481"/>
        <v>0</v>
      </c>
      <c r="U56" s="396">
        <f t="shared" si="482"/>
        <v>0</v>
      </c>
      <c r="V56" s="397">
        <f t="shared" si="483"/>
        <v>0</v>
      </c>
      <c r="W56" s="394">
        <f t="shared" si="484"/>
        <v>0</v>
      </c>
      <c r="X56" s="404">
        <f t="shared" si="485"/>
        <v>0</v>
      </c>
      <c r="Y56" s="404">
        <f t="shared" si="486"/>
        <v>0</v>
      </c>
      <c r="Z56" s="396">
        <f t="shared" si="487"/>
        <v>0</v>
      </c>
      <c r="AA56" s="397">
        <f t="shared" si="488"/>
        <v>0</v>
      </c>
      <c r="AB56" s="394">
        <f t="shared" si="489"/>
        <v>0</v>
      </c>
      <c r="AC56" s="404">
        <f t="shared" si="490"/>
        <v>0</v>
      </c>
      <c r="AD56" s="404">
        <f t="shared" si="491"/>
        <v>0</v>
      </c>
      <c r="AE56" s="396">
        <f t="shared" si="492"/>
        <v>0</v>
      </c>
      <c r="AF56" s="397">
        <f t="shared" si="493"/>
        <v>0</v>
      </c>
      <c r="AG56" s="394">
        <f t="shared" si="494"/>
        <v>0</v>
      </c>
      <c r="AH56" s="404">
        <f t="shared" si="495"/>
        <v>0</v>
      </c>
      <c r="AI56" s="404">
        <f t="shared" si="496"/>
        <v>0</v>
      </c>
      <c r="AJ56" s="396">
        <f t="shared" si="497"/>
        <v>0</v>
      </c>
      <c r="AK56" s="397">
        <f t="shared" si="498"/>
        <v>0</v>
      </c>
      <c r="AL56" s="394">
        <f t="shared" si="499"/>
        <v>0</v>
      </c>
      <c r="AM56" s="404">
        <f t="shared" si="500"/>
        <v>0</v>
      </c>
      <c r="AN56" s="404">
        <f t="shared" si="501"/>
        <v>0</v>
      </c>
      <c r="AO56" s="396">
        <f t="shared" si="502"/>
        <v>0</v>
      </c>
      <c r="AP56" s="397">
        <f t="shared" si="503"/>
        <v>0</v>
      </c>
      <c r="AQ56" s="394">
        <f t="shared" si="504"/>
        <v>0</v>
      </c>
      <c r="AR56" s="404">
        <f t="shared" si="505"/>
        <v>0</v>
      </c>
      <c r="AS56" s="404">
        <f t="shared" si="506"/>
        <v>0</v>
      </c>
      <c r="AT56" s="396">
        <f t="shared" si="507"/>
        <v>0</v>
      </c>
      <c r="AU56" s="397">
        <f t="shared" si="508"/>
        <v>0</v>
      </c>
      <c r="AV56" s="394">
        <f t="shared" si="509"/>
        <v>0</v>
      </c>
      <c r="AW56" s="404">
        <f t="shared" si="510"/>
        <v>0</v>
      </c>
      <c r="AX56" s="404">
        <f t="shared" si="511"/>
        <v>0</v>
      </c>
      <c r="AY56" s="396">
        <f t="shared" si="512"/>
        <v>0</v>
      </c>
      <c r="AZ56" s="397">
        <f t="shared" si="513"/>
        <v>0</v>
      </c>
      <c r="BA56" s="394">
        <f t="shared" si="558"/>
        <v>0</v>
      </c>
      <c r="BB56" s="404">
        <f t="shared" si="559"/>
        <v>0</v>
      </c>
      <c r="BC56" s="404">
        <f t="shared" si="560"/>
        <v>0</v>
      </c>
      <c r="BD56" s="396">
        <f t="shared" si="561"/>
        <v>0</v>
      </c>
      <c r="BE56" s="397">
        <f t="shared" si="514"/>
        <v>0</v>
      </c>
      <c r="BF56" s="394">
        <f t="shared" si="562"/>
        <v>0</v>
      </c>
      <c r="BG56" s="404">
        <f t="shared" si="563"/>
        <v>0</v>
      </c>
      <c r="BH56" s="404">
        <f t="shared" si="564"/>
        <v>0</v>
      </c>
      <c r="BI56" s="396">
        <f t="shared" si="565"/>
        <v>0</v>
      </c>
      <c r="BJ56" s="397">
        <f t="shared" si="515"/>
        <v>0</v>
      </c>
      <c r="BK56" s="394">
        <f t="shared" si="566"/>
        <v>0</v>
      </c>
      <c r="BL56" s="404">
        <f t="shared" si="567"/>
        <v>0</v>
      </c>
      <c r="BM56" s="404">
        <f t="shared" si="568"/>
        <v>0</v>
      </c>
      <c r="BN56" s="396">
        <f t="shared" si="569"/>
        <v>0</v>
      </c>
      <c r="BO56" s="397">
        <f t="shared" si="516"/>
        <v>0</v>
      </c>
      <c r="BP56" s="452"/>
      <c r="BQ56" s="403">
        <f t="shared" si="517"/>
        <v>0</v>
      </c>
      <c r="BR56" s="400">
        <f t="shared" si="518"/>
        <v>0</v>
      </c>
      <c r="BS56" s="406">
        <f t="shared" si="519"/>
        <v>0</v>
      </c>
      <c r="BT56" s="406">
        <f t="shared" si="520"/>
        <v>0</v>
      </c>
      <c r="BU56" s="402">
        <f t="shared" si="521"/>
        <v>0</v>
      </c>
      <c r="BV56" s="403">
        <f t="shared" si="522"/>
        <v>0</v>
      </c>
      <c r="BW56" s="400">
        <f t="shared" si="523"/>
        <v>0</v>
      </c>
      <c r="BX56" s="406">
        <f t="shared" si="524"/>
        <v>0</v>
      </c>
      <c r="BY56" s="406">
        <f t="shared" si="525"/>
        <v>0</v>
      </c>
      <c r="BZ56" s="402">
        <f t="shared" si="526"/>
        <v>0</v>
      </c>
      <c r="CA56" s="403">
        <f t="shared" si="527"/>
        <v>0</v>
      </c>
      <c r="CB56" s="400">
        <f t="shared" si="528"/>
        <v>0</v>
      </c>
      <c r="CC56" s="406">
        <f t="shared" si="529"/>
        <v>0</v>
      </c>
      <c r="CD56" s="406">
        <f t="shared" si="530"/>
        <v>0</v>
      </c>
      <c r="CE56" s="402">
        <f t="shared" si="531"/>
        <v>0</v>
      </c>
      <c r="CF56" s="403">
        <f t="shared" si="532"/>
        <v>0</v>
      </c>
      <c r="CG56" s="400">
        <f t="shared" si="533"/>
        <v>0</v>
      </c>
      <c r="CH56" s="406">
        <f t="shared" si="534"/>
        <v>0</v>
      </c>
      <c r="CI56" s="406">
        <f t="shared" si="535"/>
        <v>0</v>
      </c>
      <c r="CJ56" s="402">
        <f t="shared" si="536"/>
        <v>0</v>
      </c>
      <c r="CK56" s="403">
        <f t="shared" si="537"/>
        <v>0</v>
      </c>
      <c r="CL56" s="400">
        <f t="shared" si="538"/>
        <v>0</v>
      </c>
      <c r="CM56" s="406">
        <f t="shared" si="539"/>
        <v>0</v>
      </c>
      <c r="CN56" s="406">
        <f t="shared" si="540"/>
        <v>0</v>
      </c>
      <c r="CO56" s="402">
        <f t="shared" si="541"/>
        <v>0</v>
      </c>
      <c r="CP56" s="403">
        <f t="shared" si="542"/>
        <v>0</v>
      </c>
      <c r="CQ56" s="400">
        <f t="shared" si="543"/>
        <v>0</v>
      </c>
      <c r="CR56" s="406">
        <f t="shared" si="544"/>
        <v>0</v>
      </c>
      <c r="CS56" s="406">
        <f t="shared" si="545"/>
        <v>0</v>
      </c>
      <c r="CT56" s="402">
        <f t="shared" si="546"/>
        <v>0</v>
      </c>
      <c r="CU56" s="403">
        <f t="shared" si="547"/>
        <v>0</v>
      </c>
      <c r="CV56" s="400">
        <f t="shared" si="548"/>
        <v>0</v>
      </c>
      <c r="CW56" s="406">
        <f t="shared" si="549"/>
        <v>0</v>
      </c>
      <c r="CX56" s="406">
        <f t="shared" si="550"/>
        <v>0</v>
      </c>
      <c r="CY56" s="402">
        <f t="shared" si="551"/>
        <v>0</v>
      </c>
      <c r="CZ56" s="403">
        <f t="shared" si="552"/>
        <v>0</v>
      </c>
      <c r="DA56" s="400">
        <f t="shared" si="553"/>
        <v>0</v>
      </c>
      <c r="DB56" s="406">
        <f t="shared" si="554"/>
        <v>0</v>
      </c>
      <c r="DC56" s="406">
        <f t="shared" si="555"/>
        <v>0</v>
      </c>
      <c r="DD56" s="402">
        <f t="shared" si="556"/>
        <v>0</v>
      </c>
      <c r="DE56" s="403">
        <f t="shared" si="557"/>
        <v>0</v>
      </c>
      <c r="DF56" s="400">
        <f t="shared" si="570"/>
        <v>0</v>
      </c>
      <c r="DG56" s="406">
        <f t="shared" si="571"/>
        <v>0</v>
      </c>
      <c r="DH56" s="406">
        <f t="shared" si="572"/>
        <v>0</v>
      </c>
      <c r="DI56" s="402">
        <f t="shared" si="573"/>
        <v>0</v>
      </c>
      <c r="DJ56" s="403">
        <f t="shared" si="574"/>
        <v>0</v>
      </c>
      <c r="DK56" s="400">
        <f t="shared" si="575"/>
        <v>0</v>
      </c>
      <c r="DL56" s="406">
        <f t="shared" si="576"/>
        <v>0</v>
      </c>
      <c r="DM56" s="406">
        <f t="shared" si="577"/>
        <v>0</v>
      </c>
      <c r="DN56" s="402">
        <f t="shared" si="578"/>
        <v>0</v>
      </c>
      <c r="DO56" s="403">
        <f t="shared" si="579"/>
        <v>0</v>
      </c>
      <c r="DP56" s="400">
        <f t="shared" si="580"/>
        <v>0</v>
      </c>
      <c r="DQ56" s="406">
        <f t="shared" si="581"/>
        <v>0</v>
      </c>
      <c r="DR56" s="406">
        <f t="shared" si="582"/>
        <v>0</v>
      </c>
      <c r="DS56" s="402">
        <f t="shared" si="583"/>
        <v>0</v>
      </c>
      <c r="DT56" s="403">
        <f t="shared" si="584"/>
        <v>0</v>
      </c>
      <c r="EF56" s="35"/>
      <c r="EI56" s="759"/>
    </row>
    <row r="57" spans="3:139" ht="12.75" customHeight="1" x14ac:dyDescent="0.2">
      <c r="C57" s="511" t="s">
        <v>367</v>
      </c>
      <c r="D57" s="70"/>
      <c r="E57" s="530">
        <f t="shared" si="472"/>
        <v>350</v>
      </c>
      <c r="F57" s="531">
        <v>350</v>
      </c>
      <c r="G57" s="531">
        <v>350</v>
      </c>
      <c r="H57" s="449">
        <v>2037</v>
      </c>
      <c r="I57" s="450">
        <v>6.2E-2</v>
      </c>
      <c r="J57" s="451">
        <v>7</v>
      </c>
      <c r="K57" s="392"/>
      <c r="L57" s="397">
        <f t="shared" si="473"/>
        <v>0</v>
      </c>
      <c r="M57" s="394">
        <f t="shared" si="474"/>
        <v>0</v>
      </c>
      <c r="N57" s="404">
        <f t="shared" si="475"/>
        <v>0</v>
      </c>
      <c r="O57" s="404">
        <f t="shared" si="476"/>
        <v>0</v>
      </c>
      <c r="P57" s="396">
        <f t="shared" si="477"/>
        <v>0</v>
      </c>
      <c r="Q57" s="397">
        <f t="shared" si="478"/>
        <v>0</v>
      </c>
      <c r="R57" s="394">
        <f t="shared" si="479"/>
        <v>0</v>
      </c>
      <c r="S57" s="404">
        <f t="shared" si="480"/>
        <v>0</v>
      </c>
      <c r="T57" s="404">
        <f t="shared" si="481"/>
        <v>0</v>
      </c>
      <c r="U57" s="396">
        <f t="shared" si="482"/>
        <v>0</v>
      </c>
      <c r="V57" s="397">
        <f t="shared" si="483"/>
        <v>0</v>
      </c>
      <c r="W57" s="394">
        <f t="shared" si="484"/>
        <v>0</v>
      </c>
      <c r="X57" s="404">
        <f t="shared" si="485"/>
        <v>0</v>
      </c>
      <c r="Y57" s="404">
        <f t="shared" si="486"/>
        <v>0</v>
      </c>
      <c r="Z57" s="396">
        <f t="shared" si="487"/>
        <v>0</v>
      </c>
      <c r="AA57" s="397">
        <f t="shared" si="488"/>
        <v>0</v>
      </c>
      <c r="AB57" s="394">
        <f t="shared" si="489"/>
        <v>0</v>
      </c>
      <c r="AC57" s="404">
        <f t="shared" si="490"/>
        <v>0</v>
      </c>
      <c r="AD57" s="404">
        <f t="shared" si="491"/>
        <v>0</v>
      </c>
      <c r="AE57" s="396">
        <f t="shared" si="492"/>
        <v>0</v>
      </c>
      <c r="AF57" s="397">
        <f t="shared" si="493"/>
        <v>0</v>
      </c>
      <c r="AG57" s="394">
        <f t="shared" si="494"/>
        <v>0</v>
      </c>
      <c r="AH57" s="404">
        <f t="shared" si="495"/>
        <v>0</v>
      </c>
      <c r="AI57" s="404">
        <f t="shared" si="496"/>
        <v>0</v>
      </c>
      <c r="AJ57" s="396">
        <f t="shared" si="497"/>
        <v>0</v>
      </c>
      <c r="AK57" s="397">
        <f t="shared" si="498"/>
        <v>0</v>
      </c>
      <c r="AL57" s="394">
        <f t="shared" si="499"/>
        <v>0</v>
      </c>
      <c r="AM57" s="404">
        <f t="shared" si="500"/>
        <v>0</v>
      </c>
      <c r="AN57" s="404">
        <f t="shared" si="501"/>
        <v>0</v>
      </c>
      <c r="AO57" s="396">
        <f t="shared" si="502"/>
        <v>0</v>
      </c>
      <c r="AP57" s="397">
        <f t="shared" si="503"/>
        <v>0</v>
      </c>
      <c r="AQ57" s="394">
        <f t="shared" si="504"/>
        <v>0</v>
      </c>
      <c r="AR57" s="404">
        <f t="shared" si="505"/>
        <v>0</v>
      </c>
      <c r="AS57" s="404">
        <f t="shared" si="506"/>
        <v>0</v>
      </c>
      <c r="AT57" s="396">
        <f t="shared" si="507"/>
        <v>0</v>
      </c>
      <c r="AU57" s="397">
        <f t="shared" si="508"/>
        <v>0</v>
      </c>
      <c r="AV57" s="394">
        <f t="shared" si="509"/>
        <v>0</v>
      </c>
      <c r="AW57" s="404">
        <f t="shared" si="510"/>
        <v>0</v>
      </c>
      <c r="AX57" s="404">
        <f t="shared" si="511"/>
        <v>0</v>
      </c>
      <c r="AY57" s="396">
        <f t="shared" si="512"/>
        <v>0</v>
      </c>
      <c r="AZ57" s="397">
        <f t="shared" si="513"/>
        <v>0</v>
      </c>
      <c r="BA57" s="394">
        <f t="shared" si="558"/>
        <v>0</v>
      </c>
      <c r="BB57" s="404">
        <f t="shared" si="559"/>
        <v>0</v>
      </c>
      <c r="BC57" s="404">
        <f t="shared" si="560"/>
        <v>0</v>
      </c>
      <c r="BD57" s="396">
        <f t="shared" si="561"/>
        <v>0</v>
      </c>
      <c r="BE57" s="397">
        <f t="shared" si="514"/>
        <v>0</v>
      </c>
      <c r="BF57" s="394">
        <f t="shared" si="562"/>
        <v>0</v>
      </c>
      <c r="BG57" s="404">
        <f t="shared" si="563"/>
        <v>0</v>
      </c>
      <c r="BH57" s="404">
        <f t="shared" si="564"/>
        <v>0</v>
      </c>
      <c r="BI57" s="396">
        <f t="shared" si="565"/>
        <v>0</v>
      </c>
      <c r="BJ57" s="397">
        <f t="shared" si="515"/>
        <v>0</v>
      </c>
      <c r="BK57" s="394">
        <f t="shared" si="566"/>
        <v>0</v>
      </c>
      <c r="BL57" s="404">
        <f t="shared" si="567"/>
        <v>0</v>
      </c>
      <c r="BM57" s="404">
        <f t="shared" si="568"/>
        <v>0</v>
      </c>
      <c r="BN57" s="396">
        <f t="shared" si="569"/>
        <v>0</v>
      </c>
      <c r="BO57" s="397">
        <f t="shared" si="516"/>
        <v>0</v>
      </c>
      <c r="BP57" s="452"/>
      <c r="BQ57" s="403">
        <f t="shared" si="517"/>
        <v>0</v>
      </c>
      <c r="BR57" s="400">
        <f t="shared" si="518"/>
        <v>0</v>
      </c>
      <c r="BS57" s="406">
        <f t="shared" si="519"/>
        <v>0</v>
      </c>
      <c r="BT57" s="406">
        <f t="shared" si="520"/>
        <v>0</v>
      </c>
      <c r="BU57" s="402">
        <f t="shared" si="521"/>
        <v>0</v>
      </c>
      <c r="BV57" s="403">
        <f t="shared" si="522"/>
        <v>0</v>
      </c>
      <c r="BW57" s="400">
        <f t="shared" si="523"/>
        <v>0</v>
      </c>
      <c r="BX57" s="406">
        <f t="shared" si="524"/>
        <v>0</v>
      </c>
      <c r="BY57" s="406">
        <f t="shared" si="525"/>
        <v>0</v>
      </c>
      <c r="BZ57" s="402">
        <f t="shared" si="526"/>
        <v>0</v>
      </c>
      <c r="CA57" s="403">
        <f t="shared" si="527"/>
        <v>0</v>
      </c>
      <c r="CB57" s="400">
        <f t="shared" si="528"/>
        <v>0</v>
      </c>
      <c r="CC57" s="406">
        <f t="shared" si="529"/>
        <v>0</v>
      </c>
      <c r="CD57" s="406">
        <f t="shared" si="530"/>
        <v>0</v>
      </c>
      <c r="CE57" s="402">
        <f t="shared" si="531"/>
        <v>0</v>
      </c>
      <c r="CF57" s="403">
        <f t="shared" si="532"/>
        <v>0</v>
      </c>
      <c r="CG57" s="400">
        <f t="shared" si="533"/>
        <v>0</v>
      </c>
      <c r="CH57" s="406">
        <f t="shared" si="534"/>
        <v>0</v>
      </c>
      <c r="CI57" s="406">
        <f t="shared" si="535"/>
        <v>0</v>
      </c>
      <c r="CJ57" s="402">
        <f t="shared" si="536"/>
        <v>0</v>
      </c>
      <c r="CK57" s="403">
        <f t="shared" si="537"/>
        <v>0</v>
      </c>
      <c r="CL57" s="400">
        <f t="shared" si="538"/>
        <v>0</v>
      </c>
      <c r="CM57" s="406">
        <f t="shared" si="539"/>
        <v>0</v>
      </c>
      <c r="CN57" s="406">
        <f t="shared" si="540"/>
        <v>0</v>
      </c>
      <c r="CO57" s="402">
        <f t="shared" si="541"/>
        <v>0</v>
      </c>
      <c r="CP57" s="403">
        <f t="shared" si="542"/>
        <v>0</v>
      </c>
      <c r="CQ57" s="400">
        <f t="shared" si="543"/>
        <v>0</v>
      </c>
      <c r="CR57" s="406">
        <f t="shared" si="544"/>
        <v>0</v>
      </c>
      <c r="CS57" s="406">
        <f t="shared" si="545"/>
        <v>0</v>
      </c>
      <c r="CT57" s="402">
        <f t="shared" si="546"/>
        <v>0</v>
      </c>
      <c r="CU57" s="403">
        <f t="shared" si="547"/>
        <v>0</v>
      </c>
      <c r="CV57" s="400">
        <f t="shared" si="548"/>
        <v>0</v>
      </c>
      <c r="CW57" s="406">
        <f t="shared" si="549"/>
        <v>0</v>
      </c>
      <c r="CX57" s="406">
        <f t="shared" si="550"/>
        <v>0</v>
      </c>
      <c r="CY57" s="402">
        <f t="shared" si="551"/>
        <v>0</v>
      </c>
      <c r="CZ57" s="403">
        <f t="shared" si="552"/>
        <v>0</v>
      </c>
      <c r="DA57" s="400">
        <f t="shared" si="553"/>
        <v>0</v>
      </c>
      <c r="DB57" s="406">
        <f t="shared" si="554"/>
        <v>0</v>
      </c>
      <c r="DC57" s="406">
        <f t="shared" si="555"/>
        <v>0</v>
      </c>
      <c r="DD57" s="402">
        <f t="shared" si="556"/>
        <v>0</v>
      </c>
      <c r="DE57" s="403">
        <f t="shared" si="557"/>
        <v>0</v>
      </c>
      <c r="DF57" s="400">
        <f t="shared" si="570"/>
        <v>0</v>
      </c>
      <c r="DG57" s="406">
        <f t="shared" si="571"/>
        <v>0</v>
      </c>
      <c r="DH57" s="406">
        <f t="shared" si="572"/>
        <v>0</v>
      </c>
      <c r="DI57" s="402">
        <f t="shared" si="573"/>
        <v>0</v>
      </c>
      <c r="DJ57" s="403">
        <f t="shared" si="574"/>
        <v>0</v>
      </c>
      <c r="DK57" s="400">
        <f t="shared" si="575"/>
        <v>0</v>
      </c>
      <c r="DL57" s="406">
        <f t="shared" si="576"/>
        <v>0</v>
      </c>
      <c r="DM57" s="406">
        <f t="shared" si="577"/>
        <v>0</v>
      </c>
      <c r="DN57" s="402">
        <f t="shared" si="578"/>
        <v>0</v>
      </c>
      <c r="DO57" s="403">
        <f t="shared" si="579"/>
        <v>0</v>
      </c>
      <c r="DP57" s="400">
        <f t="shared" si="580"/>
        <v>0</v>
      </c>
      <c r="DQ57" s="406">
        <f t="shared" si="581"/>
        <v>0</v>
      </c>
      <c r="DR57" s="406">
        <f t="shared" si="582"/>
        <v>0</v>
      </c>
      <c r="DS57" s="402">
        <f t="shared" si="583"/>
        <v>0</v>
      </c>
      <c r="DT57" s="403">
        <f t="shared" si="584"/>
        <v>0</v>
      </c>
      <c r="EF57" s="35"/>
      <c r="EI57" s="759"/>
    </row>
    <row r="58" spans="3:139" ht="12.75" customHeight="1" x14ac:dyDescent="0.2">
      <c r="C58" s="511" t="s">
        <v>368</v>
      </c>
      <c r="D58" s="70"/>
      <c r="E58" s="530">
        <f t="shared" si="472"/>
        <v>300</v>
      </c>
      <c r="F58" s="531">
        <v>300</v>
      </c>
      <c r="G58" s="531">
        <v>300</v>
      </c>
      <c r="H58" s="449">
        <v>2039</v>
      </c>
      <c r="I58" s="450">
        <v>5.3499999999999999E-2</v>
      </c>
      <c r="J58" s="451">
        <v>11</v>
      </c>
      <c r="K58" s="392"/>
      <c r="L58" s="397">
        <f t="shared" si="473"/>
        <v>0</v>
      </c>
      <c r="M58" s="394">
        <f t="shared" si="474"/>
        <v>0</v>
      </c>
      <c r="N58" s="404">
        <f t="shared" si="475"/>
        <v>0</v>
      </c>
      <c r="O58" s="404">
        <f t="shared" si="476"/>
        <v>0</v>
      </c>
      <c r="P58" s="396">
        <f t="shared" si="477"/>
        <v>0</v>
      </c>
      <c r="Q58" s="397">
        <f t="shared" si="478"/>
        <v>0</v>
      </c>
      <c r="R58" s="394">
        <f t="shared" si="479"/>
        <v>0</v>
      </c>
      <c r="S58" s="404">
        <f t="shared" si="480"/>
        <v>0</v>
      </c>
      <c r="T58" s="404">
        <f t="shared" si="481"/>
        <v>0</v>
      </c>
      <c r="U58" s="396">
        <f t="shared" si="482"/>
        <v>0</v>
      </c>
      <c r="V58" s="397">
        <f t="shared" si="483"/>
        <v>0</v>
      </c>
      <c r="W58" s="394">
        <f t="shared" si="484"/>
        <v>0</v>
      </c>
      <c r="X58" s="404">
        <f t="shared" si="485"/>
        <v>0</v>
      </c>
      <c r="Y58" s="404">
        <f t="shared" si="486"/>
        <v>0</v>
      </c>
      <c r="Z58" s="396">
        <f t="shared" si="487"/>
        <v>0</v>
      </c>
      <c r="AA58" s="397">
        <f t="shared" si="488"/>
        <v>0</v>
      </c>
      <c r="AB58" s="394">
        <f t="shared" si="489"/>
        <v>0</v>
      </c>
      <c r="AC58" s="404">
        <f t="shared" si="490"/>
        <v>0</v>
      </c>
      <c r="AD58" s="404">
        <f t="shared" si="491"/>
        <v>0</v>
      </c>
      <c r="AE58" s="396">
        <f t="shared" si="492"/>
        <v>0</v>
      </c>
      <c r="AF58" s="397">
        <f t="shared" si="493"/>
        <v>0</v>
      </c>
      <c r="AG58" s="394">
        <f t="shared" si="494"/>
        <v>0</v>
      </c>
      <c r="AH58" s="404">
        <f t="shared" si="495"/>
        <v>0</v>
      </c>
      <c r="AI58" s="404">
        <f t="shared" si="496"/>
        <v>0</v>
      </c>
      <c r="AJ58" s="396">
        <f t="shared" si="497"/>
        <v>0</v>
      </c>
      <c r="AK58" s="397">
        <f t="shared" si="498"/>
        <v>0</v>
      </c>
      <c r="AL58" s="394">
        <f t="shared" si="499"/>
        <v>0</v>
      </c>
      <c r="AM58" s="404">
        <f t="shared" si="500"/>
        <v>0</v>
      </c>
      <c r="AN58" s="404">
        <f t="shared" si="501"/>
        <v>0</v>
      </c>
      <c r="AO58" s="396">
        <f t="shared" si="502"/>
        <v>0</v>
      </c>
      <c r="AP58" s="397">
        <f t="shared" si="503"/>
        <v>0</v>
      </c>
      <c r="AQ58" s="394">
        <f t="shared" si="504"/>
        <v>0</v>
      </c>
      <c r="AR58" s="404">
        <f t="shared" si="505"/>
        <v>0</v>
      </c>
      <c r="AS58" s="404">
        <f t="shared" si="506"/>
        <v>0</v>
      </c>
      <c r="AT58" s="396">
        <f t="shared" si="507"/>
        <v>0</v>
      </c>
      <c r="AU58" s="397">
        <f t="shared" si="508"/>
        <v>0</v>
      </c>
      <c r="AV58" s="394">
        <f t="shared" si="509"/>
        <v>0</v>
      </c>
      <c r="AW58" s="404">
        <f t="shared" si="510"/>
        <v>0</v>
      </c>
      <c r="AX58" s="404">
        <f t="shared" si="511"/>
        <v>0</v>
      </c>
      <c r="AY58" s="396">
        <f t="shared" si="512"/>
        <v>0</v>
      </c>
      <c r="AZ58" s="397">
        <f t="shared" si="513"/>
        <v>0</v>
      </c>
      <c r="BA58" s="394">
        <f t="shared" si="558"/>
        <v>0</v>
      </c>
      <c r="BB58" s="404">
        <f t="shared" si="559"/>
        <v>0</v>
      </c>
      <c r="BC58" s="404">
        <f t="shared" si="560"/>
        <v>0</v>
      </c>
      <c r="BD58" s="396">
        <f t="shared" si="561"/>
        <v>0</v>
      </c>
      <c r="BE58" s="397">
        <f t="shared" si="514"/>
        <v>0</v>
      </c>
      <c r="BF58" s="394">
        <f t="shared" si="562"/>
        <v>0</v>
      </c>
      <c r="BG58" s="404">
        <f t="shared" si="563"/>
        <v>0</v>
      </c>
      <c r="BH58" s="404">
        <f t="shared" si="564"/>
        <v>0</v>
      </c>
      <c r="BI58" s="396">
        <f t="shared" si="565"/>
        <v>0</v>
      </c>
      <c r="BJ58" s="397">
        <f t="shared" si="515"/>
        <v>0</v>
      </c>
      <c r="BK58" s="394">
        <f t="shared" si="566"/>
        <v>0</v>
      </c>
      <c r="BL58" s="404">
        <f t="shared" si="567"/>
        <v>0</v>
      </c>
      <c r="BM58" s="404">
        <f t="shared" si="568"/>
        <v>0</v>
      </c>
      <c r="BN58" s="396">
        <f t="shared" si="569"/>
        <v>0</v>
      </c>
      <c r="BO58" s="397">
        <f t="shared" si="516"/>
        <v>0</v>
      </c>
      <c r="BP58" s="452"/>
      <c r="BQ58" s="403">
        <f t="shared" si="517"/>
        <v>0</v>
      </c>
      <c r="BR58" s="400">
        <f t="shared" si="518"/>
        <v>0</v>
      </c>
      <c r="BS58" s="406">
        <f t="shared" si="519"/>
        <v>0</v>
      </c>
      <c r="BT58" s="406">
        <f t="shared" si="520"/>
        <v>0</v>
      </c>
      <c r="BU58" s="402">
        <f t="shared" si="521"/>
        <v>0</v>
      </c>
      <c r="BV58" s="403">
        <f t="shared" si="522"/>
        <v>0</v>
      </c>
      <c r="BW58" s="400">
        <f t="shared" si="523"/>
        <v>0</v>
      </c>
      <c r="BX58" s="406">
        <f t="shared" si="524"/>
        <v>0</v>
      </c>
      <c r="BY58" s="406">
        <f t="shared" si="525"/>
        <v>0</v>
      </c>
      <c r="BZ58" s="402">
        <f t="shared" si="526"/>
        <v>0</v>
      </c>
      <c r="CA58" s="403">
        <f t="shared" si="527"/>
        <v>0</v>
      </c>
      <c r="CB58" s="400">
        <f t="shared" si="528"/>
        <v>0</v>
      </c>
      <c r="CC58" s="406">
        <f t="shared" si="529"/>
        <v>0</v>
      </c>
      <c r="CD58" s="406">
        <f t="shared" si="530"/>
        <v>0</v>
      </c>
      <c r="CE58" s="402">
        <f t="shared" si="531"/>
        <v>0</v>
      </c>
      <c r="CF58" s="403">
        <f t="shared" si="532"/>
        <v>0</v>
      </c>
      <c r="CG58" s="400">
        <f t="shared" si="533"/>
        <v>0</v>
      </c>
      <c r="CH58" s="406">
        <f t="shared" si="534"/>
        <v>0</v>
      </c>
      <c r="CI58" s="406">
        <f t="shared" si="535"/>
        <v>0</v>
      </c>
      <c r="CJ58" s="402">
        <f t="shared" si="536"/>
        <v>0</v>
      </c>
      <c r="CK58" s="403">
        <f t="shared" si="537"/>
        <v>0</v>
      </c>
      <c r="CL58" s="400">
        <f t="shared" si="538"/>
        <v>0</v>
      </c>
      <c r="CM58" s="406">
        <f t="shared" si="539"/>
        <v>0</v>
      </c>
      <c r="CN58" s="406">
        <f t="shared" si="540"/>
        <v>0</v>
      </c>
      <c r="CO58" s="402">
        <f t="shared" si="541"/>
        <v>0</v>
      </c>
      <c r="CP58" s="403">
        <f t="shared" si="542"/>
        <v>0</v>
      </c>
      <c r="CQ58" s="400">
        <f t="shared" si="543"/>
        <v>0</v>
      </c>
      <c r="CR58" s="406">
        <f t="shared" si="544"/>
        <v>0</v>
      </c>
      <c r="CS58" s="406">
        <f t="shared" si="545"/>
        <v>0</v>
      </c>
      <c r="CT58" s="402">
        <f t="shared" si="546"/>
        <v>0</v>
      </c>
      <c r="CU58" s="403">
        <f t="shared" si="547"/>
        <v>0</v>
      </c>
      <c r="CV58" s="400">
        <f t="shared" si="548"/>
        <v>0</v>
      </c>
      <c r="CW58" s="406">
        <f t="shared" si="549"/>
        <v>0</v>
      </c>
      <c r="CX58" s="406">
        <f t="shared" si="550"/>
        <v>0</v>
      </c>
      <c r="CY58" s="402">
        <f t="shared" si="551"/>
        <v>0</v>
      </c>
      <c r="CZ58" s="403">
        <f t="shared" si="552"/>
        <v>0</v>
      </c>
      <c r="DA58" s="400">
        <f t="shared" si="553"/>
        <v>0</v>
      </c>
      <c r="DB58" s="406">
        <f t="shared" si="554"/>
        <v>0</v>
      </c>
      <c r="DC58" s="406">
        <f t="shared" si="555"/>
        <v>0</v>
      </c>
      <c r="DD58" s="402">
        <f t="shared" si="556"/>
        <v>0</v>
      </c>
      <c r="DE58" s="403">
        <f t="shared" si="557"/>
        <v>0</v>
      </c>
      <c r="DF58" s="400">
        <f t="shared" si="570"/>
        <v>0</v>
      </c>
      <c r="DG58" s="406">
        <f t="shared" si="571"/>
        <v>0</v>
      </c>
      <c r="DH58" s="406">
        <f t="shared" si="572"/>
        <v>0</v>
      </c>
      <c r="DI58" s="402">
        <f t="shared" si="573"/>
        <v>0</v>
      </c>
      <c r="DJ58" s="403">
        <f t="shared" si="574"/>
        <v>0</v>
      </c>
      <c r="DK58" s="400">
        <f t="shared" si="575"/>
        <v>0</v>
      </c>
      <c r="DL58" s="406">
        <f t="shared" si="576"/>
        <v>0</v>
      </c>
      <c r="DM58" s="406">
        <f t="shared" si="577"/>
        <v>0</v>
      </c>
      <c r="DN58" s="402">
        <f t="shared" si="578"/>
        <v>0</v>
      </c>
      <c r="DO58" s="403">
        <f t="shared" si="579"/>
        <v>0</v>
      </c>
      <c r="DP58" s="400">
        <f t="shared" si="580"/>
        <v>0</v>
      </c>
      <c r="DQ58" s="406">
        <f t="shared" si="581"/>
        <v>0</v>
      </c>
      <c r="DR58" s="406">
        <f t="shared" si="582"/>
        <v>0</v>
      </c>
      <c r="DS58" s="402">
        <f t="shared" si="583"/>
        <v>0</v>
      </c>
      <c r="DT58" s="403">
        <f t="shared" si="584"/>
        <v>0</v>
      </c>
      <c r="EF58" s="35"/>
      <c r="EI58" s="759"/>
    </row>
    <row r="59" spans="3:139" ht="12.75" customHeight="1" x14ac:dyDescent="0.2">
      <c r="C59" s="511" t="s">
        <v>369</v>
      </c>
      <c r="D59" s="70"/>
      <c r="E59" s="530">
        <f t="shared" si="472"/>
        <v>250</v>
      </c>
      <c r="F59" s="531">
        <v>250</v>
      </c>
      <c r="G59" s="531">
        <v>250</v>
      </c>
      <c r="H59" s="449">
        <v>2040</v>
      </c>
      <c r="I59" s="450">
        <v>4.8500000000000001E-2</v>
      </c>
      <c r="J59" s="451">
        <v>8</v>
      </c>
      <c r="K59" s="392"/>
      <c r="L59" s="397">
        <f t="shared" si="473"/>
        <v>0</v>
      </c>
      <c r="M59" s="394">
        <f t="shared" si="474"/>
        <v>0</v>
      </c>
      <c r="N59" s="404">
        <f t="shared" si="475"/>
        <v>0</v>
      </c>
      <c r="O59" s="404">
        <f t="shared" si="476"/>
        <v>0</v>
      </c>
      <c r="P59" s="396">
        <f t="shared" si="477"/>
        <v>0</v>
      </c>
      <c r="Q59" s="397">
        <f t="shared" si="478"/>
        <v>0</v>
      </c>
      <c r="R59" s="394">
        <f t="shared" si="479"/>
        <v>0</v>
      </c>
      <c r="S59" s="404">
        <f t="shared" si="480"/>
        <v>0</v>
      </c>
      <c r="T59" s="404">
        <f t="shared" si="481"/>
        <v>0</v>
      </c>
      <c r="U59" s="396">
        <f t="shared" si="482"/>
        <v>0</v>
      </c>
      <c r="V59" s="397">
        <f t="shared" si="483"/>
        <v>0</v>
      </c>
      <c r="W59" s="394">
        <f t="shared" si="484"/>
        <v>0</v>
      </c>
      <c r="X59" s="404">
        <f t="shared" si="485"/>
        <v>0</v>
      </c>
      <c r="Y59" s="404">
        <f t="shared" si="486"/>
        <v>0</v>
      </c>
      <c r="Z59" s="396">
        <f t="shared" si="487"/>
        <v>0</v>
      </c>
      <c r="AA59" s="397">
        <f t="shared" si="488"/>
        <v>0</v>
      </c>
      <c r="AB59" s="394">
        <f t="shared" si="489"/>
        <v>0</v>
      </c>
      <c r="AC59" s="404">
        <f t="shared" si="490"/>
        <v>0</v>
      </c>
      <c r="AD59" s="404">
        <f t="shared" si="491"/>
        <v>0</v>
      </c>
      <c r="AE59" s="396">
        <f t="shared" si="492"/>
        <v>0</v>
      </c>
      <c r="AF59" s="397">
        <f t="shared" si="493"/>
        <v>0</v>
      </c>
      <c r="AG59" s="394">
        <f t="shared" si="494"/>
        <v>0</v>
      </c>
      <c r="AH59" s="404">
        <f t="shared" si="495"/>
        <v>0</v>
      </c>
      <c r="AI59" s="404">
        <f t="shared" si="496"/>
        <v>0</v>
      </c>
      <c r="AJ59" s="396">
        <f t="shared" si="497"/>
        <v>0</v>
      </c>
      <c r="AK59" s="397">
        <f t="shared" si="498"/>
        <v>0</v>
      </c>
      <c r="AL59" s="394">
        <f t="shared" si="499"/>
        <v>0</v>
      </c>
      <c r="AM59" s="404">
        <f t="shared" si="500"/>
        <v>0</v>
      </c>
      <c r="AN59" s="404">
        <f t="shared" si="501"/>
        <v>0</v>
      </c>
      <c r="AO59" s="396">
        <f t="shared" si="502"/>
        <v>0</v>
      </c>
      <c r="AP59" s="397">
        <f t="shared" si="503"/>
        <v>0</v>
      </c>
      <c r="AQ59" s="394">
        <f t="shared" si="504"/>
        <v>0</v>
      </c>
      <c r="AR59" s="404">
        <f t="shared" si="505"/>
        <v>0</v>
      </c>
      <c r="AS59" s="404">
        <f t="shared" si="506"/>
        <v>0</v>
      </c>
      <c r="AT59" s="396">
        <f t="shared" si="507"/>
        <v>0</v>
      </c>
      <c r="AU59" s="397">
        <f t="shared" si="508"/>
        <v>0</v>
      </c>
      <c r="AV59" s="394">
        <f t="shared" si="509"/>
        <v>0</v>
      </c>
      <c r="AW59" s="404">
        <f t="shared" si="510"/>
        <v>0</v>
      </c>
      <c r="AX59" s="404">
        <f t="shared" si="511"/>
        <v>0</v>
      </c>
      <c r="AY59" s="396">
        <f t="shared" si="512"/>
        <v>0</v>
      </c>
      <c r="AZ59" s="397">
        <f t="shared" si="513"/>
        <v>0</v>
      </c>
      <c r="BA59" s="394">
        <f t="shared" si="558"/>
        <v>0</v>
      </c>
      <c r="BB59" s="404">
        <f t="shared" si="559"/>
        <v>0</v>
      </c>
      <c r="BC59" s="404">
        <f t="shared" si="560"/>
        <v>0</v>
      </c>
      <c r="BD59" s="396">
        <f t="shared" si="561"/>
        <v>0</v>
      </c>
      <c r="BE59" s="397">
        <f t="shared" si="514"/>
        <v>0</v>
      </c>
      <c r="BF59" s="394">
        <f t="shared" si="562"/>
        <v>0</v>
      </c>
      <c r="BG59" s="404">
        <f t="shared" si="563"/>
        <v>0</v>
      </c>
      <c r="BH59" s="404">
        <f t="shared" si="564"/>
        <v>0</v>
      </c>
      <c r="BI59" s="396">
        <f t="shared" si="565"/>
        <v>0</v>
      </c>
      <c r="BJ59" s="397">
        <f t="shared" si="515"/>
        <v>0</v>
      </c>
      <c r="BK59" s="394">
        <f t="shared" si="566"/>
        <v>0</v>
      </c>
      <c r="BL59" s="404">
        <f t="shared" si="567"/>
        <v>0</v>
      </c>
      <c r="BM59" s="404">
        <f t="shared" si="568"/>
        <v>0</v>
      </c>
      <c r="BN59" s="396">
        <f t="shared" si="569"/>
        <v>0</v>
      </c>
      <c r="BO59" s="397">
        <f t="shared" si="516"/>
        <v>0</v>
      </c>
      <c r="BP59" s="452"/>
      <c r="BQ59" s="403">
        <f t="shared" si="517"/>
        <v>0</v>
      </c>
      <c r="BR59" s="400">
        <f t="shared" si="518"/>
        <v>0</v>
      </c>
      <c r="BS59" s="406">
        <f t="shared" si="519"/>
        <v>0</v>
      </c>
      <c r="BT59" s="406">
        <f t="shared" si="520"/>
        <v>0</v>
      </c>
      <c r="BU59" s="402">
        <f t="shared" si="521"/>
        <v>0</v>
      </c>
      <c r="BV59" s="403">
        <f t="shared" si="522"/>
        <v>0</v>
      </c>
      <c r="BW59" s="400">
        <f t="shared" si="523"/>
        <v>0</v>
      </c>
      <c r="BX59" s="406">
        <f t="shared" si="524"/>
        <v>0</v>
      </c>
      <c r="BY59" s="406">
        <f t="shared" si="525"/>
        <v>0</v>
      </c>
      <c r="BZ59" s="402">
        <f t="shared" si="526"/>
        <v>0</v>
      </c>
      <c r="CA59" s="403">
        <f t="shared" si="527"/>
        <v>0</v>
      </c>
      <c r="CB59" s="400">
        <f t="shared" si="528"/>
        <v>0</v>
      </c>
      <c r="CC59" s="406">
        <f t="shared" si="529"/>
        <v>0</v>
      </c>
      <c r="CD59" s="406">
        <f t="shared" si="530"/>
        <v>0</v>
      </c>
      <c r="CE59" s="402">
        <f t="shared" si="531"/>
        <v>0</v>
      </c>
      <c r="CF59" s="403">
        <f t="shared" si="532"/>
        <v>0</v>
      </c>
      <c r="CG59" s="400">
        <f t="shared" si="533"/>
        <v>0</v>
      </c>
      <c r="CH59" s="406">
        <f t="shared" si="534"/>
        <v>0</v>
      </c>
      <c r="CI59" s="406">
        <f t="shared" si="535"/>
        <v>0</v>
      </c>
      <c r="CJ59" s="402">
        <f t="shared" si="536"/>
        <v>0</v>
      </c>
      <c r="CK59" s="403">
        <f t="shared" si="537"/>
        <v>0</v>
      </c>
      <c r="CL59" s="400">
        <f t="shared" si="538"/>
        <v>0</v>
      </c>
      <c r="CM59" s="406">
        <f t="shared" si="539"/>
        <v>0</v>
      </c>
      <c r="CN59" s="406">
        <f t="shared" si="540"/>
        <v>0</v>
      </c>
      <c r="CO59" s="402">
        <f t="shared" si="541"/>
        <v>0</v>
      </c>
      <c r="CP59" s="403">
        <f t="shared" si="542"/>
        <v>0</v>
      </c>
      <c r="CQ59" s="400">
        <f t="shared" si="543"/>
        <v>0</v>
      </c>
      <c r="CR59" s="406">
        <f t="shared" si="544"/>
        <v>0</v>
      </c>
      <c r="CS59" s="406">
        <f t="shared" si="545"/>
        <v>0</v>
      </c>
      <c r="CT59" s="402">
        <f t="shared" si="546"/>
        <v>0</v>
      </c>
      <c r="CU59" s="403">
        <f t="shared" si="547"/>
        <v>0</v>
      </c>
      <c r="CV59" s="400">
        <f t="shared" si="548"/>
        <v>0</v>
      </c>
      <c r="CW59" s="406">
        <f t="shared" si="549"/>
        <v>0</v>
      </c>
      <c r="CX59" s="406">
        <f t="shared" si="550"/>
        <v>0</v>
      </c>
      <c r="CY59" s="402">
        <f t="shared" si="551"/>
        <v>0</v>
      </c>
      <c r="CZ59" s="403">
        <f t="shared" si="552"/>
        <v>0</v>
      </c>
      <c r="DA59" s="400">
        <f t="shared" si="553"/>
        <v>0</v>
      </c>
      <c r="DB59" s="406">
        <f t="shared" si="554"/>
        <v>0</v>
      </c>
      <c r="DC59" s="406">
        <f t="shared" si="555"/>
        <v>0</v>
      </c>
      <c r="DD59" s="402">
        <f t="shared" si="556"/>
        <v>0</v>
      </c>
      <c r="DE59" s="403">
        <f t="shared" si="557"/>
        <v>0</v>
      </c>
      <c r="DF59" s="400">
        <f t="shared" si="570"/>
        <v>0</v>
      </c>
      <c r="DG59" s="406">
        <f t="shared" si="571"/>
        <v>0</v>
      </c>
      <c r="DH59" s="406">
        <f t="shared" si="572"/>
        <v>0</v>
      </c>
      <c r="DI59" s="402">
        <f t="shared" si="573"/>
        <v>0</v>
      </c>
      <c r="DJ59" s="403">
        <f t="shared" si="574"/>
        <v>0</v>
      </c>
      <c r="DK59" s="400">
        <f t="shared" si="575"/>
        <v>0</v>
      </c>
      <c r="DL59" s="406">
        <f t="shared" si="576"/>
        <v>0</v>
      </c>
      <c r="DM59" s="406">
        <f t="shared" si="577"/>
        <v>0</v>
      </c>
      <c r="DN59" s="402">
        <f t="shared" si="578"/>
        <v>0</v>
      </c>
      <c r="DO59" s="403">
        <f t="shared" si="579"/>
        <v>0</v>
      </c>
      <c r="DP59" s="400">
        <f t="shared" si="580"/>
        <v>0</v>
      </c>
      <c r="DQ59" s="406">
        <f t="shared" si="581"/>
        <v>0</v>
      </c>
      <c r="DR59" s="406">
        <f t="shared" si="582"/>
        <v>0</v>
      </c>
      <c r="DS59" s="402">
        <f t="shared" si="583"/>
        <v>0</v>
      </c>
      <c r="DT59" s="403">
        <f t="shared" si="584"/>
        <v>0</v>
      </c>
      <c r="EF59" s="35"/>
      <c r="EI59" s="759"/>
    </row>
    <row r="60" spans="3:139" ht="12.75" customHeight="1" x14ac:dyDescent="0.2">
      <c r="C60" s="511" t="s">
        <v>511</v>
      </c>
      <c r="D60" s="70"/>
      <c r="E60" s="530">
        <f t="shared" si="472"/>
        <v>500</v>
      </c>
      <c r="F60" s="531">
        <v>500</v>
      </c>
      <c r="G60" s="531">
        <v>500</v>
      </c>
      <c r="H60" s="449">
        <v>2042</v>
      </c>
      <c r="I60" s="450">
        <v>3.4000000000000002E-2</v>
      </c>
      <c r="J60" s="451">
        <v>8</v>
      </c>
      <c r="K60" s="392"/>
      <c r="L60" s="397">
        <f t="shared" si="473"/>
        <v>0</v>
      </c>
      <c r="M60" s="394">
        <f>IF(Q60=0,0,IF(Q60&lt;0,IF($J60=3,Q60,IF($J60=2,Q60,IF($J60=1,Q60,0)))))</f>
        <v>0</v>
      </c>
      <c r="N60" s="404">
        <f>IF(Q60=0,0,IF(Q60&lt;0,IF($J60=6,Q60,IF($J60=5,Q60,IF($J60=4,Q60,0)))))</f>
        <v>0</v>
      </c>
      <c r="O60" s="404">
        <f>IF(Q60=0,0,IF(Q60&lt;0,IF($J60=9,Q60,IF($J60=8,Q60,IF($J60=7,Q60,0)))))</f>
        <v>0</v>
      </c>
      <c r="P60" s="396">
        <f>IF(Q60=0,0,IF(Q60&lt;0,IF($J60=12,Q60,IF($J60=11,Q60,IF($J60=10,Q60,0)))))</f>
        <v>0</v>
      </c>
      <c r="Q60" s="397">
        <f t="shared" si="478"/>
        <v>0</v>
      </c>
      <c r="R60" s="394">
        <f>IF(V60=0,0,IF(V60&lt;0,IF($J60=3,V60,IF($J60=2,V60,IF($J60=1,V60,0)))))</f>
        <v>0</v>
      </c>
      <c r="S60" s="404">
        <f>IF(V60=0,0,IF(V60&lt;0,IF($J60=6,V60,IF($J60=5,V60,IF($J60=4,V60,0)))))</f>
        <v>0</v>
      </c>
      <c r="T60" s="404">
        <f>IF(V60=0,0,IF(V60&lt;0,IF($J60=9,V60,IF($J60=8,V60,IF($J60=7,V60,0)))))</f>
        <v>0</v>
      </c>
      <c r="U60" s="396">
        <f>IF(V60=0,0,IF(V60&lt;0,IF($J60=12,V60,IF($J60=11,V60,IF($J60=10,V60,0)))))</f>
        <v>0</v>
      </c>
      <c r="V60" s="397">
        <f t="shared" si="483"/>
        <v>0</v>
      </c>
      <c r="W60" s="394">
        <f>IF(AA60=0,0,IF(AA60&lt;0,IF($J60=3,AA60,IF($J60=2,AA60,IF($J60=1,AA60,0)))))</f>
        <v>0</v>
      </c>
      <c r="X60" s="404">
        <f>IF(AA60=0,0,IF(AA60&lt;0,IF($J60=6,AA60,IF($J60=5,AA60,IF($J60=4,AA60,0)))))</f>
        <v>0</v>
      </c>
      <c r="Y60" s="404">
        <f>IF(AA60=0,0,IF(AA60&lt;0,IF($J60=9,AA60,IF($J60=8,AA60,IF($J60=7,AA60,0)))))</f>
        <v>0</v>
      </c>
      <c r="Z60" s="396">
        <f>IF(AA60=0,0,IF(AA60&lt;0,IF($J60=12,AA60,IF($J60=11,AA60,IF($J60=10,AA60,0)))))</f>
        <v>0</v>
      </c>
      <c r="AA60" s="397">
        <f t="shared" si="488"/>
        <v>0</v>
      </c>
      <c r="AB60" s="394">
        <f>IF(AF60=0,0,IF(AF60&lt;0,IF($J60=3,AF60,IF($J60=2,AF60,IF($J60=1,AF60,0)))))</f>
        <v>0</v>
      </c>
      <c r="AC60" s="404">
        <f>IF(AF60=0,0,IF(AF60&lt;0,IF($J60=6,AF60,IF($J60=5,AF60,IF($J60=4,AF60,0)))))</f>
        <v>0</v>
      </c>
      <c r="AD60" s="404">
        <f>IF(AF60=0,0,IF(AF60&lt;0,IF($J60=9,AF60,IF($J60=8,AF60,IF($J60=7,AF60,0)))))</f>
        <v>0</v>
      </c>
      <c r="AE60" s="396">
        <f>IF(AF60=0,0,IF(AF60&lt;0,IF($J60=12,AF60,IF($J60=11,AF60,IF($J60=10,AF60,0)))))</f>
        <v>0</v>
      </c>
      <c r="AF60" s="397">
        <f t="shared" si="493"/>
        <v>0</v>
      </c>
      <c r="AG60" s="394">
        <f>IF(AK60=0,0,IF(AK60&lt;0,IF($J60=3,AK60,IF($J60=2,AK60,IF($J60=1,AK60,0)))))</f>
        <v>0</v>
      </c>
      <c r="AH60" s="404">
        <f>IF(AK60=0,0,IF(AK60&lt;0,IF($J60=6,AK60,IF($J60=5,AK60,IF($J60=4,AK60,0)))))</f>
        <v>0</v>
      </c>
      <c r="AI60" s="404">
        <f>IF(AK60=0,0,IF(AK60&lt;0,IF($J60=9,AK60,IF($J60=8,AK60,IF($J60=7,AK60,0)))))</f>
        <v>0</v>
      </c>
      <c r="AJ60" s="396">
        <f>IF(AK60=0,0,IF(AK60&lt;0,IF($J60=12,AK60,IF($J60=11,AK60,IF($J60=10,AK60,0)))))</f>
        <v>0</v>
      </c>
      <c r="AK60" s="397">
        <f t="shared" si="498"/>
        <v>0</v>
      </c>
      <c r="AL60" s="394">
        <f>IF(AP60=0,0,IF(AP60&lt;0,IF($J60=3,AP60,IF($J60=2,AP60,IF($J60=1,AP60,0)))))</f>
        <v>0</v>
      </c>
      <c r="AM60" s="404">
        <f>IF(AP60=0,0,IF(AP60&lt;0,IF($J60=6,AP60,IF($J60=5,AP60,IF($J60=4,AP60,0)))))</f>
        <v>0</v>
      </c>
      <c r="AN60" s="404">
        <f>IF(AP60=0,0,IF(AP60&lt;0,IF($J60=9,AP60,IF($J60=8,AP60,IF($J60=7,AP60,0)))))</f>
        <v>0</v>
      </c>
      <c r="AO60" s="396">
        <f>IF(AP60=0,0,IF(AP60&lt;0,IF($J60=12,AP60,IF($J60=11,AP60,IF($J60=10,AP60,0)))))</f>
        <v>0</v>
      </c>
      <c r="AP60" s="397">
        <f t="shared" si="503"/>
        <v>0</v>
      </c>
      <c r="AQ60" s="394">
        <f>IF(AU60=0,0,IF(AU60&lt;0,IF($J60=3,AU60,IF($J60=2,AU60,IF($J60=1,AU60,0)))))</f>
        <v>0</v>
      </c>
      <c r="AR60" s="404">
        <f>IF(AU60=0,0,IF(AU60&lt;0,IF($J60=6,AU60,IF($J60=5,AU60,IF($J60=4,AU60,0)))))</f>
        <v>0</v>
      </c>
      <c r="AS60" s="404">
        <f>IF(AU60=0,0,IF(AU60&lt;0,IF($J60=9,AU60,IF($J60=8,AU60,IF($J60=7,AU60,0)))))</f>
        <v>0</v>
      </c>
      <c r="AT60" s="396">
        <f>IF(AU60=0,0,IF(AU60&lt;0,IF($J60=12,AU60,IF($J60=11,AU60,IF($J60=10,AU60,0)))))</f>
        <v>0</v>
      </c>
      <c r="AU60" s="397">
        <f t="shared" si="508"/>
        <v>0</v>
      </c>
      <c r="AV60" s="394">
        <f>IF(AZ60=0,0,IF(AZ60&lt;0,IF($J60=3,AZ60,IF($J60=2,AZ60,IF($J60=1,AZ60,0)))))</f>
        <v>0</v>
      </c>
      <c r="AW60" s="404">
        <f>IF(AZ60=0,0,IF(AZ60&lt;0,IF($J60=6,AZ60,IF($J60=5,AZ60,IF($J60=4,AZ60,0)))))</f>
        <v>0</v>
      </c>
      <c r="AX60" s="404">
        <f>IF(AZ60=0,0,IF(AZ60&lt;0,IF($J60=9,AZ60,IF($J60=8,AZ60,IF($J60=7,AZ60,0)))))</f>
        <v>0</v>
      </c>
      <c r="AY60" s="396">
        <f>IF(AZ60=0,0,IF(AZ60&lt;0,IF($J60=12,AZ60,IF($J60=11,AZ60,IF($J60=10,AZ60,0)))))</f>
        <v>0</v>
      </c>
      <c r="AZ60" s="397">
        <f t="shared" si="513"/>
        <v>0</v>
      </c>
      <c r="BA60" s="394">
        <f>IF(BE60=0,0,IF(BE60&lt;0,IF($J60=3,BE60,IF($J60=2,BE60,IF($J60=1,BE60,0)))))</f>
        <v>0</v>
      </c>
      <c r="BB60" s="404">
        <f>IF(BE60=0,0,IF(BE60&lt;0,IF($J60=6,BE60,IF($J60=5,BE60,IF($J60=4,BE60,0)))))</f>
        <v>0</v>
      </c>
      <c r="BC60" s="404">
        <f>IF(BE60=0,0,IF(BE60&lt;0,IF($J60=9,BE60,IF($J60=8,BE60,IF($J60=7,BE60,0)))))</f>
        <v>0</v>
      </c>
      <c r="BD60" s="396">
        <f>IF(BE60=0,0,IF(BE60&lt;0,IF($J60=12,BE60,IF($J60=11,BE60,IF($J60=10,BE60,0)))))</f>
        <v>0</v>
      </c>
      <c r="BE60" s="397">
        <f t="shared" si="514"/>
        <v>0</v>
      </c>
      <c r="BF60" s="394">
        <f>IF(BJ60=0,0,IF(BJ60&lt;0,IF($J60=3,BJ60,IF($J60=2,BJ60,IF($J60=1,BJ60,0)))))</f>
        <v>0</v>
      </c>
      <c r="BG60" s="404">
        <f>IF(BJ60=0,0,IF(BJ60&lt;0,IF($J60=6,BJ60,IF($J60=5,BJ60,IF($J60=4,BJ60,0)))))</f>
        <v>0</v>
      </c>
      <c r="BH60" s="404">
        <f>IF(BJ60=0,0,IF(BJ60&lt;0,IF($J60=9,BJ60,IF($J60=8,BJ60,IF($J60=7,BJ60,0)))))</f>
        <v>0</v>
      </c>
      <c r="BI60" s="396">
        <f>IF(BJ60=0,0,IF(BJ60&lt;0,IF($J60=12,BJ60,IF($J60=11,BJ60,IF($J60=10,BJ60,0)))))</f>
        <v>0</v>
      </c>
      <c r="BJ60" s="397">
        <f t="shared" si="515"/>
        <v>0</v>
      </c>
      <c r="BK60" s="394">
        <f>IF(BO60=0,0,IF(BO60&lt;0,IF($J60=3,BO60,IF($J60=2,BO60,IF($J60=1,BO60,0)))))</f>
        <v>0</v>
      </c>
      <c r="BL60" s="404">
        <f>IF(BO60=0,0,IF(BO60&lt;0,IF($J60=6,BO60,IF($J60=5,BO60,IF($J60=4,BO60,0)))))</f>
        <v>0</v>
      </c>
      <c r="BM60" s="404">
        <f>IF(BO60=0,0,IF(BO60&lt;0,IF($J60=9,BO60,IF($J60=8,BO60,IF($J60=7,BO60,0)))))</f>
        <v>0</v>
      </c>
      <c r="BN60" s="396">
        <f>IF(BO60=0,0,IF(BO60&lt;0,IF($J60=12,BO60,IF($J60=11,BO60,IF($J60=10,BO60,0)))))</f>
        <v>0</v>
      </c>
      <c r="BO60" s="397">
        <f t="shared" si="516"/>
        <v>0</v>
      </c>
      <c r="BP60" s="452"/>
      <c r="BQ60" s="403">
        <f t="shared" si="517"/>
        <v>0</v>
      </c>
      <c r="BR60" s="400">
        <f>IF($H60&lt;&gt;BV$5,0,IF(BV60&lt;0,IF($J60=1,-$E60*$I60/12*3,IF($J60=2,-$E60*$I60/12*2,IF($J60=3,-$E60*$I60/12*1,0)))))+IF(BQ$5&lt;&gt;$H60,0,IF(BQ60&lt;0,IF($J60=1,-$E60*$I60/12*0,IF($J60=2,-$E60*$I60/12*1,IF($J60=3,-$E60*$I60/12*2,IF($J60&gt;=4,-$E60*$I60/12*3,0))))))</f>
        <v>0</v>
      </c>
      <c r="BS60" s="406">
        <f>IF($H60&lt;&gt;BV$5,0,IF(BV60&lt;0,IF(OR($J60=1,$J60=2,$J60=3,$J60=4),-$E60*$I60/12*3,IF($J60=5,-$E60*$I60/12*2,IF($J60=6,-$E60*$I60/12*1,0)))))+IF(BQ$5&lt;&gt;$H60,0,IF(BQ60&lt;0,IF($J60=4,-$E60*$I60/12*0,IF($J60=5,-$E60*$I60/12*1,IF($J60=6,-$E60*$I60/12*2,IF($J60&gt;=7,-$E60*$I60/12*3,0))))))</f>
        <v>0</v>
      </c>
      <c r="BT60" s="406">
        <f>IF($H60&lt;&gt;BV$5,0,IF(BV60&lt;0,IF(OR($J60=1,$J60=2,$J60=3,$J60=4,$J60=5,$J60=6,$J60=7),-$E60*$I60/12*3,IF($J60=8,-$E60*$I60/12*2,IF($J60=9,-$E60*$I60/12*1,0)))))+IF(BQ$5&lt;&gt;$H60,0,IF(BQ60&lt;0,IF($J60=7,-$E60*$I60/12*0,IF($J60=8,-$E60*$I60/12*1,IF($J60=9,-$E60*$I60/12*2,IF($J60&gt;=10,-$E60*$I60/12*3,0))))))</f>
        <v>0</v>
      </c>
      <c r="BU60" s="402">
        <f>IF($H60&lt;&gt;BV$5,0,IF(BV60&lt;0,IF(OR($J60=1,$J60=2,$J60=3,$J60=4,$J60=5,$J60=6,$J60=7,$J60=8,$J60=9,$J60=10),-$E60*$I60/12*3,IF($J60=11,-$E60*$I60/12*2,IF($J60=12,-$E60*$I60/12*1,0)))))+IF(BQ$5&lt;&gt;$H60,0,IF(BQ60&lt;0,IF($J60=10,-$E60*$I60/12*0,IF($J60=11,-$E60*$I60/12*1,IF($J60=12,-$E60*$I60/12*2,0)))))</f>
        <v>0</v>
      </c>
      <c r="BV60" s="403">
        <f>IF(AND(BQ60&lt;&gt;0,BQ$5=$H60),-$I60*$E60-BQ60,IF(BV$5=$H60,-$I60*$E60*(12-$J60+1)/12,0))</f>
        <v>0</v>
      </c>
      <c r="BW60" s="400">
        <f>IF($H60&lt;&gt;CA$5,0,IF(CA60&lt;0,IF($J60=1,-$E60*$I60/12*3,IF($J60=2,-$E60*$I60/12*2,IF($J60=3,-$E60*$I60/12*1,0)))))+IF(BV$5&lt;&gt;$H60,0,IF(BV60&lt;0,IF($J60=1,-$E60*$I60/12*0,IF($J60=2,-$E60*$I60/12*1,IF($J60=3,-$E60*$I60/12*2,IF($J60&gt;=4,-$E60*$I60/12*3,0))))))</f>
        <v>0</v>
      </c>
      <c r="BX60" s="406">
        <f>IF($H60&lt;&gt;CA$5,0,IF(CA60&lt;0,IF(OR($J60=1,$J60=2,$J60=3,$J60=4),-$E60*$I60/12*3,IF($J60=5,-$E60*$I60/12*2,IF($J60=6,-$E60*$I60/12*1,0)))))+IF(BV$5&lt;&gt;$H60,0,IF(BV60&lt;0,IF($J60=4,-$E60*$I60/12*0,IF($J60=5,-$E60*$I60/12*1,IF($J60=6,-$E60*$I60/12*2,IF($J60&gt;=7,-$E60*$I60/12*3,0))))))</f>
        <v>0</v>
      </c>
      <c r="BY60" s="406">
        <f>IF($H60&lt;&gt;CA$5,0,IF(CA60&lt;0,IF(OR($J60=1,$J60=2,$J60=3,$J60=4,$J60=5,$J60=6,$J60=7),-$E60*$I60/12*3,IF($J60=8,-$E60*$I60/12*2,IF($J60=9,-$E60*$I60/12*1,0)))))+IF(BV$5&lt;&gt;$H60,0,IF(BV60&lt;0,IF($J60=7,-$E60*$I60/12*0,IF($J60=8,-$E60*$I60/12*1,IF($J60=9,-$E60*$I60/12*2,IF($J60&gt;=10,-$E60*$I60/12*3,0))))))</f>
        <v>0</v>
      </c>
      <c r="BZ60" s="402">
        <f>IF($H60&lt;&gt;CA$5,0,IF(CA60&lt;0,IF(OR($J60=1,$J60=2,$J60=3,$J60=4,$J60=5,$J60=6,$J60=7,$J60=8,$J60=9,$J60=10),-$E60*$I60/12*3,IF($J60=11,-$E60*$I60/12*2,IF($J60=12,-$E60*$I60/12*1,0)))))+IF(BV$5&lt;&gt;$H60,0,IF(BV60&lt;0,IF($J60=10,-$E60*$I60/12*0,IF($J60=11,-$E60*$I60/12*1,IF($J60=12,-$E60*$I60/12*2,0)))))</f>
        <v>0</v>
      </c>
      <c r="CA60" s="403">
        <f>IF(AND(BV60&lt;&gt;0,BV$5=$H60),-$I60*$E60-BV60,IF(CA$5=$H60,-$I60*$E60*(12-$J60+1)/12,0))</f>
        <v>0</v>
      </c>
      <c r="CB60" s="400">
        <f>IF($H60&lt;&gt;CF$5,0,IF(CF60&lt;0,IF($J60=1,-$E60*$I60/12*3,IF($J60=2,-$E60*$I60/12*2,IF($J60=3,-$E60*$I60/12*1,0)))))+IF(CA$5&lt;&gt;$H60,0,IF(CA60&lt;0,IF($J60=1,-$E60*$I60/12*0,IF($J60=2,-$E60*$I60/12*1,IF($J60=3,-$E60*$I60/12*2,IF($J60&gt;=4,-$E60*$I60/12*3,0))))))</f>
        <v>0</v>
      </c>
      <c r="CC60" s="406">
        <f>IF($H60&lt;&gt;CF$5,0,IF(CF60&lt;0,IF(OR($J60=1,$J60=2,$J60=3,$J60=4),-$E60*$I60/12*3,IF($J60=5,-$E60*$I60/12*2,IF($J60=6,-$E60*$I60/12*1,0)))))+IF(CA$5&lt;&gt;$H60,0,IF(CA60&lt;0,IF($J60=4,-$E60*$I60/12*0,IF($J60=5,-$E60*$I60/12*1,IF($J60=6,-$E60*$I60/12*2,IF($J60&gt;=7,-$E60*$I60/12*3,0))))))</f>
        <v>0</v>
      </c>
      <c r="CD60" s="406">
        <f>IF($H60&lt;&gt;CF$5,0,IF(CF60&lt;0,IF(OR($J60=1,$J60=2,$J60=3,$J60=4,$J60=5,$J60=6,$J60=7),-$E60*$I60/12*3,IF($J60=8,-$E60*$I60/12*2,IF($J60=9,-$E60*$I60/12*1,0)))))+IF(CA$5&lt;&gt;$H60,0,IF(CA60&lt;0,IF($J60=7,-$E60*$I60/12*0,IF($J60=8,-$E60*$I60/12*1,IF($J60=9,-$E60*$I60/12*2,IF($J60&gt;=10,-$E60*$I60/12*3,0))))))</f>
        <v>0</v>
      </c>
      <c r="CE60" s="402">
        <f>IF($H60&lt;&gt;CF$5,0,IF(CF60&lt;0,IF(OR($J60=1,$J60=2,$J60=3,$J60=4,$J60=5,$J60=6,$J60=7,$J60=8,$J60=9,$J60=10),-$E60*$I60/12*3,IF($J60=11,-$E60*$I60/12*2,IF($J60=12,-$E60*$I60/12*1,0)))))+IF(CA$5&lt;&gt;$H60,0,IF(CA60&lt;0,IF($J60=10,-$E60*$I60/12*0,IF($J60=11,-$E60*$I60/12*1,IF($J60=12,-$E60*$I60/12*2,0)))))</f>
        <v>0</v>
      </c>
      <c r="CF60" s="403">
        <f>IF(AND(CA60&lt;&gt;0,CA$5=$H60),-$I60*$E60-CA60,IF(CF$5=$H60,-$I60*$E60*(12-$J60+1)/12,0))</f>
        <v>0</v>
      </c>
      <c r="CG60" s="400">
        <f>IF($H60&lt;&gt;CK$5,0,IF(CK60&lt;0,IF($J60=1,-$E60*$I60/12*3,IF($J60=2,-$E60*$I60/12*2,IF($J60=3,-$E60*$I60/12*1,0)))))+IF(CF$5&lt;&gt;$H60,0,IF(CF60&lt;0,IF($J60=1,-$E60*$I60/12*0,IF($J60=2,-$E60*$I60/12*1,IF($J60=3,-$E60*$I60/12*2,IF($J60&gt;=4,-$E60*$I60/12*3,0))))))</f>
        <v>0</v>
      </c>
      <c r="CH60" s="406">
        <f>IF($H60&lt;&gt;CK$5,0,IF(CK60&lt;0,IF(OR($J60=1,$J60=2,$J60=3,$J60=4),-$E60*$I60/12*3,IF($J60=5,-$E60*$I60/12*2,IF($J60=6,-$E60*$I60/12*1,0)))))+IF(CF$5&lt;&gt;$H60,0,IF(CF60&lt;0,IF($J60=4,-$E60*$I60/12*0,IF($J60=5,-$E60*$I60/12*1,IF($J60=6,-$E60*$I60/12*2,IF($J60&gt;=7,-$E60*$I60/12*3,0))))))</f>
        <v>0</v>
      </c>
      <c r="CI60" s="406">
        <f>IF($H60&lt;&gt;CK$5,0,IF(CK60&lt;0,IF(OR($J60=1,$J60=2,$J60=3,$J60=4,$J60=5,$J60=6,$J60=7),-$E60*$I60/12*3,IF($J60=8,-$E60*$I60/12*2,IF($J60=9,-$E60*$I60/12*1,0)))))+IF(CF$5&lt;&gt;$H60,0,IF(CF60&lt;0,IF($J60=7,-$E60*$I60/12*0,IF($J60=8,-$E60*$I60/12*1,IF($J60=9,-$E60*$I60/12*2,IF($J60&gt;=10,-$E60*$I60/12*3,0))))))</f>
        <v>0</v>
      </c>
      <c r="CJ60" s="402">
        <f>IF($H60&lt;&gt;CK$5,0,IF(CK60&lt;0,IF(OR($J60=1,$J60=2,$J60=3,$J60=4,$J60=5,$J60=6,$J60=7,$J60=8,$J60=9,$J60=10),-$E60*$I60/12*3,IF($J60=11,-$E60*$I60/12*2,IF($J60=12,-$E60*$I60/12*1,0)))))+IF(CF$5&lt;&gt;$H60,0,IF(CF60&lt;0,IF($J60=10,-$E60*$I60/12*0,IF($J60=11,-$E60*$I60/12*1,IF($J60=12,-$E60*$I60/12*2,0)))))</f>
        <v>0</v>
      </c>
      <c r="CK60" s="403">
        <f>IF(AND(CF60&lt;&gt;0,CF$5=$H60),-$I60*$E60-CF60,IF(CK$5=$H60,-$I60*$E60*(12-$J60+1)/12,0))</f>
        <v>0</v>
      </c>
      <c r="CL60" s="400">
        <f>IF($H60&lt;&gt;CP$5,0,IF(CP60&lt;0,IF($J60=1,-$E60*$I60/12*3,IF($J60=2,-$E60*$I60/12*2,IF($J60=3,-$E60*$I60/12*1,0)))))+IF(CK$5&lt;&gt;$H60,0,IF(CK60&lt;0,IF($J60=1,-$E60*$I60/12*0,IF($J60=2,-$E60*$I60/12*1,IF($J60=3,-$E60*$I60/12*2,IF($J60&gt;=4,-$E60*$I60/12*3,0))))))</f>
        <v>0</v>
      </c>
      <c r="CM60" s="406">
        <f>IF($H60&lt;&gt;CP$5,0,IF(CP60&lt;0,IF(OR($J60=1,$J60=2,$J60=3,$J60=4),-$E60*$I60/12*3,IF($J60=5,-$E60*$I60/12*2,IF($J60=6,-$E60*$I60/12*1,0)))))+IF(CK$5&lt;&gt;$H60,0,IF(CK60&lt;0,IF($J60=4,-$E60*$I60/12*0,IF($J60=5,-$E60*$I60/12*1,IF($J60=6,-$E60*$I60/12*2,IF($J60&gt;=7,-$E60*$I60/12*3,0))))))</f>
        <v>0</v>
      </c>
      <c r="CN60" s="406">
        <f>IF($H60&lt;&gt;CP$5,0,IF(CP60&lt;0,IF(OR($J60=1,$J60=2,$J60=3,$J60=4,$J60=5,$J60=6,$J60=7),-$E60*$I60/12*3,IF($J60=8,-$E60*$I60/12*2,IF($J60=9,-$E60*$I60/12*1,0)))))+IF(CK$5&lt;&gt;$H60,0,IF(CK60&lt;0,IF($J60=7,-$E60*$I60/12*0,IF($J60=8,-$E60*$I60/12*1,IF($J60=9,-$E60*$I60/12*2,IF($J60&gt;=10,-$E60*$I60/12*3,0))))))</f>
        <v>0</v>
      </c>
      <c r="CO60" s="402">
        <f>IF($H60&lt;&gt;CP$5,0,IF(CP60&lt;0,IF(OR($J60=1,$J60=2,$J60=3,$J60=4,$J60=5,$J60=6,$J60=7,$J60=8,$J60=9,$J60=10),-$E60*$I60/12*3,IF($J60=11,-$E60*$I60/12*2,IF($J60=12,-$E60*$I60/12*1,0)))))+IF(CK$5&lt;&gt;$H60,0,IF(CK60&lt;0,IF($J60=10,-$E60*$I60/12*0,IF($J60=11,-$E60*$I60/12*1,IF($J60=12,-$E60*$I60/12*2,0)))))</f>
        <v>0</v>
      </c>
      <c r="CP60" s="403">
        <f>IF(AND(CK60&lt;&gt;0,CK$5=$H60),-$I60*$E60-CK60,IF(CP$5=$H60,-$I60*$E60*(12-$J60+1)/12,0))</f>
        <v>0</v>
      </c>
      <c r="CQ60" s="400">
        <f>IF($H60&lt;&gt;CU$5,0,IF(CU60&lt;0,IF($J60=1,-$E60*$I60/12*3,IF($J60=2,-$E60*$I60/12*2,IF($J60=3,-$E60*$I60/12*1,0)))))+IF(CP$5&lt;&gt;$H60,0,IF(CP60&lt;0,IF($J60=1,-$E60*$I60/12*0,IF($J60=2,-$E60*$I60/12*1,IF($J60=3,-$E60*$I60/12*2,IF($J60&gt;=4,-$E60*$I60/12*3,0))))))</f>
        <v>0</v>
      </c>
      <c r="CR60" s="406">
        <f>IF($H60&lt;&gt;CU$5,0,IF(CU60&lt;0,IF(OR($J60=1,$J60=2,$J60=3,$J60=4),-$E60*$I60/12*3,IF($J60=5,-$E60*$I60/12*2,IF($J60=6,-$E60*$I60/12*1,0)))))+IF(CP$5&lt;&gt;$H60,0,IF(CP60&lt;0,IF($J60=4,-$E60*$I60/12*0,IF($J60=5,-$E60*$I60/12*1,IF($J60=6,-$E60*$I60/12*2,IF($J60&gt;=7,-$E60*$I60/12*3,0))))))</f>
        <v>0</v>
      </c>
      <c r="CS60" s="406">
        <f>IF($H60&lt;&gt;CU$5,0,IF(CU60&lt;0,IF(OR($J60=1,$J60=2,$J60=3,$J60=4,$J60=5,$J60=6,$J60=7),-$E60*$I60/12*3,IF($J60=8,-$E60*$I60/12*2,IF($J60=9,-$E60*$I60/12*1,0)))))+IF(CP$5&lt;&gt;$H60,0,IF(CP60&lt;0,IF($J60=7,-$E60*$I60/12*0,IF($J60=8,-$E60*$I60/12*1,IF($J60=9,-$E60*$I60/12*2,IF($J60&gt;=10,-$E60*$I60/12*3,0))))))</f>
        <v>0</v>
      </c>
      <c r="CT60" s="402">
        <f>IF($H60&lt;&gt;CU$5,0,IF(CU60&lt;0,IF(OR($J60=1,$J60=2,$J60=3,$J60=4,$J60=5,$J60=6,$J60=7,$J60=8,$J60=9,$J60=10),-$E60*$I60/12*3,IF($J60=11,-$E60*$I60/12*2,IF($J60=12,-$E60*$I60/12*1,0)))))+IF(CP$5&lt;&gt;$H60,0,IF(CP60&lt;0,IF($J60=10,-$E60*$I60/12*0,IF($J60=11,-$E60*$I60/12*1,IF($J60=12,-$E60*$I60/12*2,0)))))</f>
        <v>0</v>
      </c>
      <c r="CU60" s="403">
        <f>IF(AND(CP60&lt;&gt;0,CP$5=$H60),-$I60*$E60-CP60,IF(CU$5=$H60,-$I60*$E60*(12-$J60+1)/12,0))</f>
        <v>0</v>
      </c>
      <c r="CV60" s="400">
        <f>IF($H60&lt;&gt;CZ$5,0,IF(CZ60&lt;0,IF($J60=1,-$E60*$I60/12*3,IF($J60=2,-$E60*$I60/12*2,IF($J60=3,-$E60*$I60/12*1,0)))))+IF(CU$5&lt;&gt;$H60,0,IF(CU60&lt;0,IF($J60=1,-$E60*$I60/12*0,IF($J60=2,-$E60*$I60/12*1,IF($J60=3,-$E60*$I60/12*2,IF($J60&gt;=4,-$E60*$I60/12*3,0))))))</f>
        <v>0</v>
      </c>
      <c r="CW60" s="406">
        <f>IF($H60&lt;&gt;CZ$5,0,IF(CZ60&lt;0,IF(OR($J60=1,$J60=2,$J60=3,$J60=4),-$E60*$I60/12*3,IF($J60=5,-$E60*$I60/12*2,IF($J60=6,-$E60*$I60/12*1,0)))))+IF(CU$5&lt;&gt;$H60,0,IF(CU60&lt;0,IF($J60=4,-$E60*$I60/12*0,IF($J60=5,-$E60*$I60/12*1,IF($J60=6,-$E60*$I60/12*2,IF($J60&gt;=7,-$E60*$I60/12*3,0))))))</f>
        <v>0</v>
      </c>
      <c r="CX60" s="406">
        <f>IF($H60&lt;&gt;CZ$5,0,IF(CZ60&lt;0,IF(OR($J60=1,$J60=2,$J60=3,$J60=4,$J60=5,$J60=6,$J60=7),-$E60*$I60/12*3,IF($J60=8,-$E60*$I60/12*2,IF($J60=9,-$E60*$I60/12*1,0)))))+IF(CU$5&lt;&gt;$H60,0,IF(CU60&lt;0,IF($J60=7,-$E60*$I60/12*0,IF($J60=8,-$E60*$I60/12*1,IF($J60=9,-$E60*$I60/12*2,IF($J60&gt;=10,-$E60*$I60/12*3,0))))))</f>
        <v>0</v>
      </c>
      <c r="CY60" s="402">
        <f>IF($H60&lt;&gt;CZ$5,0,IF(CZ60&lt;0,IF(OR($J60=1,$J60=2,$J60=3,$J60=4,$J60=5,$J60=6,$J60=7,$J60=8,$J60=9,$J60=10),-$E60*$I60/12*3,IF($J60=11,-$E60*$I60/12*2,IF($J60=12,-$E60*$I60/12*1,0)))))+IF(CU$5&lt;&gt;$H60,0,IF(CU60&lt;0,IF($J60=10,-$E60*$I60/12*0,IF($J60=11,-$E60*$I60/12*1,IF($J60=12,-$E60*$I60/12*2,0)))))</f>
        <v>0</v>
      </c>
      <c r="CZ60" s="403">
        <f>IF(AND(CU60&lt;&gt;0,CU$5=$H60),-$I60*$E60-CU60,IF(CZ$5=$H60,-$I60*$E60*(12-$J60+1)/12,0))</f>
        <v>0</v>
      </c>
      <c r="DA60" s="400">
        <f>IF($H60&lt;&gt;DE$5,0,IF(DE60&lt;0,IF($J60=1,-$E60*$I60/12*3,IF($J60=2,-$E60*$I60/12*2,IF($J60=3,-$E60*$I60/12*1,0)))))+IF(CZ$5&lt;&gt;$H60,0,IF(CZ60&lt;0,IF($J60=1,-$E60*$I60/12*0,IF($J60=2,-$E60*$I60/12*1,IF($J60=3,-$E60*$I60/12*2,IF($J60&gt;=4,-$E60*$I60/12*3,0))))))</f>
        <v>0</v>
      </c>
      <c r="DB60" s="406">
        <f>IF($H60&lt;&gt;DE$5,0,IF(DE60&lt;0,IF(OR($J60=1,$J60=2,$J60=3,$J60=4),-$E60*$I60/12*3,IF($J60=5,-$E60*$I60/12*2,IF($J60=6,-$E60*$I60/12*1,0)))))+IF(CZ$5&lt;&gt;$H60,0,IF(CZ60&lt;0,IF($J60=4,-$E60*$I60/12*0,IF($J60=5,-$E60*$I60/12*1,IF($J60=6,-$E60*$I60/12*2,IF($J60&gt;=7,-$E60*$I60/12*3,0))))))</f>
        <v>0</v>
      </c>
      <c r="DC60" s="406">
        <f>IF($H60&lt;&gt;DE$5,0,IF(DE60&lt;0,IF(OR($J60=1,$J60=2,$J60=3,$J60=4,$J60=5,$J60=6,$J60=7),-$E60*$I60/12*3,IF($J60=8,-$E60*$I60/12*2,IF($J60=9,-$E60*$I60/12*1,0)))))+IF(CZ$5&lt;&gt;$H60,0,IF(CZ60&lt;0,IF($J60=7,-$E60*$I60/12*0,IF($J60=8,-$E60*$I60/12*1,IF($J60=9,-$E60*$I60/12*2,IF($J60&gt;=10,-$E60*$I60/12*3,0))))))</f>
        <v>0</v>
      </c>
      <c r="DD60" s="402">
        <f>IF($H60&lt;&gt;DE$5,0,IF(DE60&lt;0,IF(OR($J60=1,$J60=2,$J60=3,$J60=4,$J60=5,$J60=6,$J60=7,$J60=8,$J60=9,$J60=10),-$E60*$I60/12*3,IF($J60=11,-$E60*$I60/12*2,IF($J60=12,-$E60*$I60/12*1,0)))))+IF(CZ$5&lt;&gt;$H60,0,IF(CZ60&lt;0,IF($J60=10,-$E60*$I60/12*0,IF($J60=11,-$E60*$I60/12*1,IF($J60=12,-$E60*$I60/12*2,0)))))</f>
        <v>0</v>
      </c>
      <c r="DE60" s="403">
        <f>IF(AND(CZ60&lt;&gt;0,CZ$5=$H60),-$I60*$E60-CZ60,IF(DE$5=$H60,-$I60*$E60*(12-$J60+1)/12,0))</f>
        <v>0</v>
      </c>
      <c r="DF60" s="400">
        <f>IF($H60&lt;&gt;DJ$5,0,IF(DJ60&lt;0,IF($J60=1,-$E60*$I60/12*3,IF($J60=2,-$E60*$I60/12*2,IF($J60=3,-$E60*$I60/12*1,0)))))+IF(DE$5&lt;&gt;$H60,0,IF(DE60&lt;0,IF($J60=1,-$E60*$I60/12*0,IF($J60=2,-$E60*$I60/12*1,IF($J60=3,-$E60*$I60/12*2,IF($J60&gt;=4,-$E60*$I60/12*3,0))))))</f>
        <v>0</v>
      </c>
      <c r="DG60" s="406">
        <f>IF($H60&lt;&gt;DJ$5,0,IF(DJ60&lt;0,IF(OR($J60=1,$J60=2,$J60=3,$J60=4),-$E60*$I60/12*3,IF($J60=5,-$E60*$I60/12*2,IF($J60=6,-$E60*$I60/12*1,0)))))+IF(DE$5&lt;&gt;$H60,0,IF(DE60&lt;0,IF($J60=4,-$E60*$I60/12*0,IF($J60=5,-$E60*$I60/12*1,IF($J60=6,-$E60*$I60/12*2,IF($J60&gt;=7,-$E60*$I60/12*3,0))))))</f>
        <v>0</v>
      </c>
      <c r="DH60" s="406">
        <f>IF($H60&lt;&gt;DJ$5,0,IF(DJ60&lt;0,IF(OR($J60=1,$J60=2,$J60=3,$J60=4,$J60=5,$J60=6,$J60=7),-$E60*$I60/12*3,IF($J60=8,-$E60*$I60/12*2,IF($J60=9,-$E60*$I60/12*1,0)))))+IF(DE$5&lt;&gt;$H60,0,IF(DE60&lt;0,IF($J60=7,-$E60*$I60/12*0,IF($J60=8,-$E60*$I60/12*1,IF($J60=9,-$E60*$I60/12*2,IF($J60&gt;=10,-$E60*$I60/12*3,0))))))</f>
        <v>0</v>
      </c>
      <c r="DI60" s="402">
        <f>IF($H60&lt;&gt;DJ$5,0,IF(DJ60&lt;0,IF(OR($J60=1,$J60=2,$J60=3,$J60=4,$J60=5,$J60=6,$J60=7,$J60=8,$J60=9,$J60=10),-$E60*$I60/12*3,IF($J60=11,-$E60*$I60/12*2,IF($J60=12,-$E60*$I60/12*1,0)))))+IF(DE$5&lt;&gt;$H60,0,IF(DE60&lt;0,IF($J60=10,-$E60*$I60/12*0,IF($J60=11,-$E60*$I60/12*1,IF($J60=12,-$E60*$I60/12*2,0)))))</f>
        <v>0</v>
      </c>
      <c r="DJ60" s="403">
        <f>IF(AND(DE60&lt;&gt;0,DE$5=$H60),-$I60*$E60-DE60,IF(DJ$5=$H60,-$I60*$E60*(12-$J60+1)/12,0))</f>
        <v>0</v>
      </c>
      <c r="DK60" s="400">
        <f>IF($H60&lt;&gt;DO$5,0,IF(DO60&lt;0,IF($J60=1,-$E60*$I60/12*3,IF($J60=2,-$E60*$I60/12*2,IF($J60=3,-$E60*$I60/12*1,0)))))+IF(DJ$5&lt;&gt;$H60,0,IF(DJ60&lt;0,IF($J60=1,-$E60*$I60/12*0,IF($J60=2,-$E60*$I60/12*1,IF($J60=3,-$E60*$I60/12*2,IF($J60&gt;=4,-$E60*$I60/12*3,0))))))</f>
        <v>0</v>
      </c>
      <c r="DL60" s="406">
        <f>IF($H60&lt;&gt;DO$5,0,IF(DO60&lt;0,IF(OR($J60=1,$J60=2,$J60=3,$J60=4),-$E60*$I60/12*3,IF($J60=5,-$E60*$I60/12*2,IF($J60=6,-$E60*$I60/12*1,0)))))+IF(DJ$5&lt;&gt;$H60,0,IF(DJ60&lt;0,IF($J60=4,-$E60*$I60/12*0,IF($J60=5,-$E60*$I60/12*1,IF($J60=6,-$E60*$I60/12*2,IF($J60&gt;=7,-$E60*$I60/12*3,0))))))</f>
        <v>0</v>
      </c>
      <c r="DM60" s="406">
        <f>IF($H60&lt;&gt;DO$5,0,IF(DO60&lt;0,IF(OR($J60=1,$J60=2,$J60=3,$J60=4,$J60=5,$J60=6,$J60=7),-$E60*$I60/12*3,IF($J60=8,-$E60*$I60/12*2,IF($J60=9,-$E60*$I60/12*1,0)))))+IF(DJ$5&lt;&gt;$H60,0,IF(DJ60&lt;0,IF($J60=7,-$E60*$I60/12*0,IF($J60=8,-$E60*$I60/12*1,IF($J60=9,-$E60*$I60/12*2,IF($J60&gt;=10,-$E60*$I60/12*3,0))))))</f>
        <v>0</v>
      </c>
      <c r="DN60" s="402">
        <f>IF($H60&lt;&gt;DO$5,0,IF(DO60&lt;0,IF(OR($J60=1,$J60=2,$J60=3,$J60=4,$J60=5,$J60=6,$J60=7,$J60=8,$J60=9,$J60=10),-$E60*$I60/12*3,IF($J60=11,-$E60*$I60/12*2,IF($J60=12,-$E60*$I60/12*1,0)))))+IF(DJ$5&lt;&gt;$H60,0,IF(DJ60&lt;0,IF($J60=10,-$E60*$I60/12*0,IF($J60=11,-$E60*$I60/12*1,IF($J60=12,-$E60*$I60/12*2,0)))))</f>
        <v>0</v>
      </c>
      <c r="DO60" s="403">
        <f>IF(AND(DJ60&lt;&gt;0,DJ$5=$H60),-$I60*$E60-DJ60,IF(DO$5=$H60,-$I60*$E60*(12-$J60+1)/12,0))</f>
        <v>0</v>
      </c>
      <c r="DP60" s="400">
        <f>IF($H60&lt;&gt;DT$5,0,IF(DT60&lt;0,IF($J60=1,-$E60*$I60/12*3,IF($J60=2,-$E60*$I60/12*2,IF($J60=3,-$E60*$I60/12*1,0)))))+IF(DO$5&lt;&gt;$H60,0,IF(DO60&lt;0,IF($J60=1,-$E60*$I60/12*0,IF($J60=2,-$E60*$I60/12*1,IF($J60=3,-$E60*$I60/12*2,IF($J60&gt;=4,-$E60*$I60/12*3,0))))))</f>
        <v>0</v>
      </c>
      <c r="DQ60" s="406">
        <f>IF($H60&lt;&gt;DT$5,0,IF(DT60&lt;0,IF(OR($J60=1,$J60=2,$J60=3,$J60=4),-$E60*$I60/12*3,IF($J60=5,-$E60*$I60/12*2,IF($J60=6,-$E60*$I60/12*1,0)))))+IF(DO$5&lt;&gt;$H60,0,IF(DO60&lt;0,IF($J60=4,-$E60*$I60/12*0,IF($J60=5,-$E60*$I60/12*1,IF($J60=6,-$E60*$I60/12*2,IF($J60&gt;=7,-$E60*$I60/12*3,0))))))</f>
        <v>0</v>
      </c>
      <c r="DR60" s="406">
        <f>IF($H60&lt;&gt;DT$5,0,IF(DT60&lt;0,IF(OR($J60=1,$J60=2,$J60=3,$J60=4,$J60=5,$J60=6,$J60=7),-$E60*$I60/12*3,IF($J60=8,-$E60*$I60/12*2,IF($J60=9,-$E60*$I60/12*1,0)))))+IF(DO$5&lt;&gt;$H60,0,IF(DO60&lt;0,IF($J60=7,-$E60*$I60/12*0,IF($J60=8,-$E60*$I60/12*1,IF($J60=9,-$E60*$I60/12*2,IF($J60&gt;=10,-$E60*$I60/12*3,0))))))</f>
        <v>0</v>
      </c>
      <c r="DS60" s="402">
        <f>IF($H60&lt;&gt;DT$5,0,IF(DT60&lt;0,IF(OR($J60=1,$J60=2,$J60=3,$J60=4,$J60=5,$J60=6,$J60=7,$J60=8,$J60=9,$J60=10),-$E60*$I60/12*3,IF($J60=11,-$E60*$I60/12*2,IF($J60=12,-$E60*$I60/12*1,0)))))+IF(DO$5&lt;&gt;$H60,0,IF(DO60&lt;0,IF($J60=10,-$E60*$I60/12*0,IF($J60=11,-$E60*$I60/12*1,IF($J60=12,-$E60*$I60/12*2,0)))))</f>
        <v>0</v>
      </c>
      <c r="DT60" s="403">
        <f>IF(AND(DO60&lt;&gt;0,DO$5=$H60),-$I60*$E60-DO60,IF(DT$5=$H60,-$I60*$E60*(12-$J60+1)/12,0))</f>
        <v>0</v>
      </c>
      <c r="EF60" s="35"/>
    </row>
    <row r="61" spans="3:139" ht="12.75" customHeight="1" x14ac:dyDescent="0.2">
      <c r="C61" s="830" t="s">
        <v>545</v>
      </c>
      <c r="D61" s="826"/>
      <c r="E61" s="530">
        <f t="shared" si="472"/>
        <v>300</v>
      </c>
      <c r="F61" s="531">
        <v>300</v>
      </c>
      <c r="G61" s="531">
        <v>300</v>
      </c>
      <c r="H61" s="808">
        <v>2044</v>
      </c>
      <c r="I61" s="809">
        <v>4.1250000000000002E-2</v>
      </c>
      <c r="J61" s="810">
        <v>5</v>
      </c>
      <c r="K61" s="392"/>
      <c r="L61" s="397">
        <f t="shared" si="473"/>
        <v>0</v>
      </c>
      <c r="M61" s="394">
        <f>IF(Q61=0,0,IF(Q61&lt;0,IF($J61=3,Q61,IF($J61=2,Q61,IF($J61=1,Q61,0)))))</f>
        <v>0</v>
      </c>
      <c r="N61" s="404">
        <f>IF(Q61=0,0,IF(Q61&lt;0,IF($J61=6,Q61,IF($J61=5,Q61,IF($J61=4,Q61,0)))))</f>
        <v>0</v>
      </c>
      <c r="O61" s="404">
        <f>IF(Q61=0,0,IF(Q61&lt;0,IF($J61=9,Q61,IF($J61=8,Q61,IF($J61=7,Q61,0)))))</f>
        <v>0</v>
      </c>
      <c r="P61" s="396">
        <f>IF(Q61=0,0,IF(Q61&lt;0,IF($J61=12,Q61,IF($J61=11,Q61,IF($J61=10,Q61,0)))))</f>
        <v>0</v>
      </c>
      <c r="Q61" s="397">
        <f t="shared" si="478"/>
        <v>0</v>
      </c>
      <c r="R61" s="394">
        <f>IF(V61=0,0,IF(V61&lt;0,IF($J61=3,V61,IF($J61=2,V61,IF($J61=1,V61,0)))))</f>
        <v>0</v>
      </c>
      <c r="S61" s="404">
        <f>IF(V61=0,0,IF(V61&lt;0,IF($J61=6,V61,IF($J61=5,V61,IF($J61=4,V61,0)))))</f>
        <v>0</v>
      </c>
      <c r="T61" s="404">
        <f>IF(V61=0,0,IF(V61&lt;0,IF($J61=9,V61,IF($J61=8,V61,IF($J61=7,V61,0)))))</f>
        <v>0</v>
      </c>
      <c r="U61" s="396">
        <f>IF(V61=0,0,IF(V61&lt;0,IF($J61=12,V61,IF($J61=11,V61,IF($J61=10,V61,0)))))</f>
        <v>0</v>
      </c>
      <c r="V61" s="397">
        <f t="shared" si="483"/>
        <v>0</v>
      </c>
      <c r="W61" s="394">
        <f>IF(AA61=0,0,IF(AA61&lt;0,IF($J61=3,AA61,IF($J61=2,AA61,IF($J61=1,AA61,0)))))</f>
        <v>0</v>
      </c>
      <c r="X61" s="404">
        <f>IF(AA61=0,0,IF(AA61&lt;0,IF($J61=6,AA61,IF($J61=5,AA61,IF($J61=4,AA61,0)))))</f>
        <v>0</v>
      </c>
      <c r="Y61" s="404">
        <f>IF(AA61=0,0,IF(AA61&lt;0,IF($J61=9,AA61,IF($J61=8,AA61,IF($J61=7,AA61,0)))))</f>
        <v>0</v>
      </c>
      <c r="Z61" s="396">
        <f>IF(AA61=0,0,IF(AA61&lt;0,IF($J61=12,AA61,IF($J61=11,AA61,IF($J61=10,AA61,0)))))</f>
        <v>0</v>
      </c>
      <c r="AA61" s="397">
        <f t="shared" si="488"/>
        <v>0</v>
      </c>
      <c r="AB61" s="394">
        <f>IF(AF61=0,0,IF(AF61&lt;0,IF($J61=3,AF61,IF($J61=2,AF61,IF($J61=1,AF61,0)))))</f>
        <v>0</v>
      </c>
      <c r="AC61" s="404">
        <f>IF(AF61=0,0,IF(AF61&lt;0,IF($J61=6,AF61,IF($J61=5,AF61,IF($J61=4,AF61,0)))))</f>
        <v>0</v>
      </c>
      <c r="AD61" s="404">
        <f>IF(AF61=0,0,IF(AF61&lt;0,IF($J61=9,AF61,IF($J61=8,AF61,IF($J61=7,AF61,0)))))</f>
        <v>0</v>
      </c>
      <c r="AE61" s="396">
        <f>IF(AF61=0,0,IF(AF61&lt;0,IF($J61=12,AF61,IF($J61=11,AF61,IF($J61=10,AF61,0)))))</f>
        <v>0</v>
      </c>
      <c r="AF61" s="397">
        <f t="shared" si="493"/>
        <v>0</v>
      </c>
      <c r="AG61" s="394">
        <f>IF(AK61=0,0,IF(AK61&lt;0,IF($J61=3,AK61,IF($J61=2,AK61,IF($J61=1,AK61,0)))))</f>
        <v>0</v>
      </c>
      <c r="AH61" s="404">
        <f>IF(AK61=0,0,IF(AK61&lt;0,IF($J61=6,AK61,IF($J61=5,AK61,IF($J61=4,AK61,0)))))</f>
        <v>0</v>
      </c>
      <c r="AI61" s="404">
        <f>IF(AK61=0,0,IF(AK61&lt;0,IF($J61=9,AK61,IF($J61=8,AK61,IF($J61=7,AK61,0)))))</f>
        <v>0</v>
      </c>
      <c r="AJ61" s="396">
        <f>IF(AK61=0,0,IF(AK61&lt;0,IF($J61=12,AK61,IF($J61=11,AK61,IF($J61=10,AK61,0)))))</f>
        <v>0</v>
      </c>
      <c r="AK61" s="397">
        <f t="shared" si="498"/>
        <v>0</v>
      </c>
      <c r="AL61" s="394">
        <f>IF(AP61=0,0,IF(AP61&lt;0,IF($J61=3,AP61,IF($J61=2,AP61,IF($J61=1,AP61,0)))))</f>
        <v>0</v>
      </c>
      <c r="AM61" s="404">
        <f>IF(AP61=0,0,IF(AP61&lt;0,IF($J61=6,AP61,IF($J61=5,AP61,IF($J61=4,AP61,0)))))</f>
        <v>0</v>
      </c>
      <c r="AN61" s="404">
        <f>IF(AP61=0,0,IF(AP61&lt;0,IF($J61=9,AP61,IF($J61=8,AP61,IF($J61=7,AP61,0)))))</f>
        <v>0</v>
      </c>
      <c r="AO61" s="396">
        <f>IF(AP61=0,0,IF(AP61&lt;0,IF($J61=12,AP61,IF($J61=11,AP61,IF($J61=10,AP61,0)))))</f>
        <v>0</v>
      </c>
      <c r="AP61" s="397">
        <f t="shared" si="503"/>
        <v>0</v>
      </c>
      <c r="AQ61" s="394">
        <f>IF(AU61=0,0,IF(AU61&lt;0,IF($J61=3,AU61,IF($J61=2,AU61,IF($J61=1,AU61,0)))))</f>
        <v>0</v>
      </c>
      <c r="AR61" s="404">
        <f>IF(AU61=0,0,IF(AU61&lt;0,IF($J61=6,AU61,IF($J61=5,AU61,IF($J61=4,AU61,0)))))</f>
        <v>0</v>
      </c>
      <c r="AS61" s="404">
        <f>IF(AU61=0,0,IF(AU61&lt;0,IF($J61=9,AU61,IF($J61=8,AU61,IF($J61=7,AU61,0)))))</f>
        <v>0</v>
      </c>
      <c r="AT61" s="396">
        <f>IF(AU61=0,0,IF(AU61&lt;0,IF($J61=12,AU61,IF($J61=11,AU61,IF($J61=10,AU61,0)))))</f>
        <v>0</v>
      </c>
      <c r="AU61" s="397">
        <f t="shared" si="508"/>
        <v>0</v>
      </c>
      <c r="AV61" s="394">
        <f>IF(AZ61=0,0,IF(AZ61&lt;0,IF($J61=3,AZ61,IF($J61=2,AZ61,IF($J61=1,AZ61,0)))))</f>
        <v>0</v>
      </c>
      <c r="AW61" s="404">
        <f>IF(AZ61=0,0,IF(AZ61&lt;0,IF($J61=6,AZ61,IF($J61=5,AZ61,IF($J61=4,AZ61,0)))))</f>
        <v>0</v>
      </c>
      <c r="AX61" s="404">
        <f>IF(AZ61=0,0,IF(AZ61&lt;0,IF($J61=9,AZ61,IF($J61=8,AZ61,IF($J61=7,AZ61,0)))))</f>
        <v>0</v>
      </c>
      <c r="AY61" s="396">
        <f>IF(AZ61=0,0,IF(AZ61&lt;0,IF($J61=12,AZ61,IF($J61=11,AZ61,IF($J61=10,AZ61,0)))))</f>
        <v>0</v>
      </c>
      <c r="AZ61" s="397">
        <f t="shared" si="513"/>
        <v>0</v>
      </c>
      <c r="BA61" s="394">
        <f>IF(BE61=0,0,IF(BE61&lt;0,IF($J61=3,BE61,IF($J61=2,BE61,IF($J61=1,BE61,0)))))</f>
        <v>0</v>
      </c>
      <c r="BB61" s="404">
        <f>IF(BE61=0,0,IF(BE61&lt;0,IF($J61=6,BE61,IF($J61=5,BE61,IF($J61=4,BE61,0)))))</f>
        <v>0</v>
      </c>
      <c r="BC61" s="404">
        <f>IF(BE61=0,0,IF(BE61&lt;0,IF($J61=9,BE61,IF($J61=8,BE61,IF($J61=7,BE61,0)))))</f>
        <v>0</v>
      </c>
      <c r="BD61" s="396">
        <f>IF(BE61=0,0,IF(BE61&lt;0,IF($J61=12,BE61,IF($J61=11,BE61,IF($J61=10,BE61,0)))))</f>
        <v>0</v>
      </c>
      <c r="BE61" s="397">
        <f t="shared" si="514"/>
        <v>0</v>
      </c>
      <c r="BF61" s="394">
        <f>IF(BJ61=0,0,IF(BJ61&lt;0,IF($J61=3,BJ61,IF($J61=2,BJ61,IF($J61=1,BJ61,0)))))</f>
        <v>0</v>
      </c>
      <c r="BG61" s="404">
        <f>IF(BJ61=0,0,IF(BJ61&lt;0,IF($J61=6,BJ61,IF($J61=5,BJ61,IF($J61=4,BJ61,0)))))</f>
        <v>0</v>
      </c>
      <c r="BH61" s="404">
        <f>IF(BJ61=0,0,IF(BJ61&lt;0,IF($J61=9,BJ61,IF($J61=8,BJ61,IF($J61=7,BJ61,0)))))</f>
        <v>0</v>
      </c>
      <c r="BI61" s="396">
        <f>IF(BJ61=0,0,IF(BJ61&lt;0,IF($J61=12,BJ61,IF($J61=11,BJ61,IF($J61=10,BJ61,0)))))</f>
        <v>0</v>
      </c>
      <c r="BJ61" s="397">
        <f t="shared" si="515"/>
        <v>0</v>
      </c>
      <c r="BK61" s="394">
        <f>IF(BO61=0,0,IF(BO61&lt;0,IF($J61=3,BO61,IF($J61=2,BO61,IF($J61=1,BO61,0)))))</f>
        <v>0</v>
      </c>
      <c r="BL61" s="404">
        <f>IF(BO61=0,0,IF(BO61&lt;0,IF($J61=6,BO61,IF($J61=5,BO61,IF($J61=4,BO61,0)))))</f>
        <v>0</v>
      </c>
      <c r="BM61" s="404">
        <f>IF(BO61=0,0,IF(BO61&lt;0,IF($J61=9,BO61,IF($J61=8,BO61,IF($J61=7,BO61,0)))))</f>
        <v>0</v>
      </c>
      <c r="BN61" s="396">
        <f>IF(BO61=0,0,IF(BO61&lt;0,IF($J61=12,BO61,IF($J61=11,BO61,IF($J61=10,BO61,0)))))</f>
        <v>0</v>
      </c>
      <c r="BO61" s="397">
        <f t="shared" si="516"/>
        <v>0</v>
      </c>
      <c r="BP61" s="452"/>
      <c r="BQ61" s="403">
        <f>IF(AND(BP61&lt;&gt;0,BP$5=$H61),-$I61*$E61-BP61,IF(BQ$5=$H61,-$I61*$E61*(12-$J61+1)/12,0))</f>
        <v>0</v>
      </c>
      <c r="BR61" s="400">
        <f>IF($H61&lt;&gt;BV$5,0,IF(BV61&lt;0,IF($J61=1,-$E61*$I61/12*3,IF($J61=2,-$E61*$I61/12*2,IF($J61=3,-$E61*$I61/12*1,0)))))+IF(BQ$5&lt;&gt;$H61,0,IF(BQ61&lt;0,IF($J61=1,-$E61*$I61/12*0,IF($J61=2,-$E61*$I61/12*1,IF($J61=3,-$E61*$I61/12*2,IF($J61&gt;=4,-$E61*$I61/12*3,0))))))</f>
        <v>0</v>
      </c>
      <c r="BS61" s="406">
        <f>IF($H61&lt;&gt;BV$5,0,IF(BV61&lt;0,IF(OR($J61=1,$J61=2,$J61=3,$J61=4),-$E61*$I61/12*3,IF($J61=5,-$E61*$I61/12*2,IF($J61=6,-$E61*$I61/12*1,0)))))+IF(BQ$5&lt;&gt;$H61,0,IF(BQ61&lt;0,IF($J61=4,-$E61*$I61/12*0,IF($J61=5,-$E61*$I61/12*1,IF($J61=6,-$E61*$I61/12*2,IF($J61&gt;=7,-$E61*$I61/12*3,0))))))</f>
        <v>0</v>
      </c>
      <c r="BT61" s="406">
        <f>IF($H61&lt;&gt;BV$5,0,IF(BV61&lt;0,IF(OR($J61=1,$J61=2,$J61=3,$J61=4,$J61=5,$J61=6,$J61=7),-$E61*$I61/12*3,IF($J61=8,-$E61*$I61/12*2,IF($J61=9,-$E61*$I61/12*1,0)))))+IF(BQ$5&lt;&gt;$H61,0,IF(BQ61&lt;0,IF($J61=7,-$E61*$I61/12*0,IF($J61=8,-$E61*$I61/12*1,IF($J61=9,-$E61*$I61/12*2,IF($J61&gt;=10,-$E61*$I61/12*3,0))))))</f>
        <v>0</v>
      </c>
      <c r="BU61" s="402">
        <f>IF($H61&lt;&gt;BV$5,0,IF(BV61&lt;0,IF(OR($J61=1,$J61=2,$J61=3,$J61=4,$J61=5,$J61=6,$J61=7,$J61=8,$J61=9,$J61=10),-$E61*$I61/12*3,IF($J61=11,-$E61*$I61/12*2,IF($J61=12,-$E61*$I61/12*1,0)))))+IF(BQ$5&lt;&gt;$H61,0,IF(BQ61&lt;0,IF($J61=10,-$E61*$I61/12*0,IF($J61=11,-$E61*$I61/12*1,IF($J61=12,-$E61*$I61/12*2,0)))))</f>
        <v>0</v>
      </c>
      <c r="BV61" s="403">
        <f>IF(AND(BQ61&lt;&gt;0,BQ$5=$H61),-$I61*$E61-BQ61,IF(BV$5=$H61,-$I61*$E61*(12-$J61+1)/12,0))</f>
        <v>0</v>
      </c>
      <c r="BW61" s="400">
        <f>IF($H61&lt;&gt;CA$5,0,IF(CA61&lt;0,IF($J61=1,-$E61*$I61/12*3,IF($J61=2,-$E61*$I61/12*2,IF($J61=3,-$E61*$I61/12*1,0)))))+IF(BV$5&lt;&gt;$H61,0,IF(BV61&lt;0,IF($J61=1,-$E61*$I61/12*0,IF($J61=2,-$E61*$I61/12*1,IF($J61=3,-$E61*$I61/12*2,IF($J61&gt;=4,-$E61*$I61/12*3,0))))))</f>
        <v>0</v>
      </c>
      <c r="BX61" s="406">
        <f>IF($H61&lt;&gt;CA$5,0,IF(CA61&lt;0,IF(OR($J61=1,$J61=2,$J61=3,$J61=4),-$E61*$I61/12*3,IF($J61=5,-$E61*$I61/12*2,IF($J61=6,-$E61*$I61/12*1,0)))))+IF(BV$5&lt;&gt;$H61,0,IF(BV61&lt;0,IF($J61=4,-$E61*$I61/12*0,IF($J61=5,-$E61*$I61/12*1,IF($J61=6,-$E61*$I61/12*2,IF($J61&gt;=7,-$E61*$I61/12*3,0))))))</f>
        <v>0</v>
      </c>
      <c r="BY61" s="406">
        <f>IF($H61&lt;&gt;CA$5,0,IF(CA61&lt;0,IF(OR($J61=1,$J61=2,$J61=3,$J61=4,$J61=5,$J61=6,$J61=7),-$E61*$I61/12*3,IF($J61=8,-$E61*$I61/12*2,IF($J61=9,-$E61*$I61/12*1,0)))))+IF(BV$5&lt;&gt;$H61,0,IF(BV61&lt;0,IF($J61=7,-$E61*$I61/12*0,IF($J61=8,-$E61*$I61/12*1,IF($J61=9,-$E61*$I61/12*2,IF($J61&gt;=10,-$E61*$I61/12*3,0))))))</f>
        <v>0</v>
      </c>
      <c r="BZ61" s="402">
        <f>IF($H61&lt;&gt;CA$5,0,IF(CA61&lt;0,IF(OR($J61=1,$J61=2,$J61=3,$J61=4,$J61=5,$J61=6,$J61=7,$J61=8,$J61=9,$J61=10),-$E61*$I61/12*3,IF($J61=11,-$E61*$I61/12*2,IF($J61=12,-$E61*$I61/12*1,0)))))+IF(BV$5&lt;&gt;$H61,0,IF(BV61&lt;0,IF($J61=10,-$E61*$I61/12*0,IF($J61=11,-$E61*$I61/12*1,IF($J61=12,-$E61*$I61/12*2,0)))))</f>
        <v>0</v>
      </c>
      <c r="CA61" s="403">
        <f>IF(AND(BV61&lt;&gt;0,BV$5=$H61),-$I61*$E61-BV61,IF(CA$5=$H61,-$I61*$E61*(12-$J61+1)/12,0))</f>
        <v>0</v>
      </c>
      <c r="CB61" s="400">
        <f>IF($H61&lt;&gt;CF$5,0,IF(CF61&lt;0,IF($J61=1,-$E61*$I61/12*3,IF($J61=2,-$E61*$I61/12*2,IF($J61=3,-$E61*$I61/12*1,0)))))+IF(CA$5&lt;&gt;$H61,0,IF(CA61&lt;0,IF($J61=1,-$E61*$I61/12*0,IF($J61=2,-$E61*$I61/12*1,IF($J61=3,-$E61*$I61/12*2,IF($J61&gt;=4,-$E61*$I61/12*3,0))))))</f>
        <v>0</v>
      </c>
      <c r="CC61" s="406">
        <f>IF($H61&lt;&gt;CF$5,0,IF(CF61&lt;0,IF(OR($J61=1,$J61=2,$J61=3,$J61=4),-$E61*$I61/12*3,IF($J61=5,-$E61*$I61/12*2,IF($J61=6,-$E61*$I61/12*1,0)))))+IF(CA$5&lt;&gt;$H61,0,IF(CA61&lt;0,IF($J61=4,-$E61*$I61/12*0,IF($J61=5,-$E61*$I61/12*1,IF($J61=6,-$E61*$I61/12*2,IF($J61&gt;=7,-$E61*$I61/12*3,0))))))</f>
        <v>0</v>
      </c>
      <c r="CD61" s="406">
        <f>IF($H61&lt;&gt;CF$5,0,IF(CF61&lt;0,IF(OR($J61=1,$J61=2,$J61=3,$J61=4,$J61=5,$J61=6,$J61=7),-$E61*$I61/12*3,IF($J61=8,-$E61*$I61/12*2,IF($J61=9,-$E61*$I61/12*1,0)))))+IF(CA$5&lt;&gt;$H61,0,IF(CA61&lt;0,IF($J61=7,-$E61*$I61/12*0,IF($J61=8,-$E61*$I61/12*1,IF($J61=9,-$E61*$I61/12*2,IF($J61&gt;=10,-$E61*$I61/12*3,0))))))</f>
        <v>0</v>
      </c>
      <c r="CE61" s="402">
        <f>IF($H61&lt;&gt;CF$5,0,IF(CF61&lt;0,IF(OR($J61=1,$J61=2,$J61=3,$J61=4,$J61=5,$J61=6,$J61=7,$J61=8,$J61=9,$J61=10),-$E61*$I61/12*3,IF($J61=11,-$E61*$I61/12*2,IF($J61=12,-$E61*$I61/12*1,0)))))+IF(CA$5&lt;&gt;$H61,0,IF(CA61&lt;0,IF($J61=10,-$E61*$I61/12*0,IF($J61=11,-$E61*$I61/12*1,IF($J61=12,-$E61*$I61/12*2,0)))))</f>
        <v>0</v>
      </c>
      <c r="CF61" s="403">
        <f>IF(AND(CA61&lt;&gt;0,CA$5=$H61),-$I61*$E61-CA61,IF(CF$5=$H61,-$I61*$E61*(12-$J61+1)/12,0))</f>
        <v>0</v>
      </c>
      <c r="CG61" s="400">
        <f>IF($H61&lt;&gt;CK$5,0,IF(CK61&lt;0,IF($J61=1,-$E61*$I61/12*3,IF($J61=2,-$E61*$I61/12*2,IF($J61=3,-$E61*$I61/12*1,0)))))+IF(CF$5&lt;&gt;$H61,0,IF(CF61&lt;0,IF($J61=1,-$E61*$I61/12*0,IF($J61=2,-$E61*$I61/12*1,IF($J61=3,-$E61*$I61/12*2,IF($J61&gt;=4,-$E61*$I61/12*3,0))))))</f>
        <v>0</v>
      </c>
      <c r="CH61" s="406">
        <f>IF($H61&lt;&gt;CK$5,0,IF(CK61&lt;0,IF(OR($J61=1,$J61=2,$J61=3,$J61=4),-$E61*$I61/12*3,IF($J61=5,-$E61*$I61/12*2,IF($J61=6,-$E61*$I61/12*1,0)))))+IF(CF$5&lt;&gt;$H61,0,IF(CF61&lt;0,IF($J61=4,-$E61*$I61/12*0,IF($J61=5,-$E61*$I61/12*1,IF($J61=6,-$E61*$I61/12*2,IF($J61&gt;=7,-$E61*$I61/12*3,0))))))</f>
        <v>0</v>
      </c>
      <c r="CI61" s="406">
        <f>IF($H61&lt;&gt;CK$5,0,IF(CK61&lt;0,IF(OR($J61=1,$J61=2,$J61=3,$J61=4,$J61=5,$J61=6,$J61=7),-$E61*$I61/12*3,IF($J61=8,-$E61*$I61/12*2,IF($J61=9,-$E61*$I61/12*1,0)))))+IF(CF$5&lt;&gt;$H61,0,IF(CF61&lt;0,IF($J61=7,-$E61*$I61/12*0,IF($J61=8,-$E61*$I61/12*1,IF($J61=9,-$E61*$I61/12*2,IF($J61&gt;=10,-$E61*$I61/12*3,0))))))</f>
        <v>0</v>
      </c>
      <c r="CJ61" s="402">
        <f>IF($H61&lt;&gt;CK$5,0,IF(CK61&lt;0,IF(OR($J61=1,$J61=2,$J61=3,$J61=4,$J61=5,$J61=6,$J61=7,$J61=8,$J61=9,$J61=10),-$E61*$I61/12*3,IF($J61=11,-$E61*$I61/12*2,IF($J61=12,-$E61*$I61/12*1,0)))))+IF(CF$5&lt;&gt;$H61,0,IF(CF61&lt;0,IF($J61=10,-$E61*$I61/12*0,IF($J61=11,-$E61*$I61/12*1,IF($J61=12,-$E61*$I61/12*2,0)))))</f>
        <v>0</v>
      </c>
      <c r="CK61" s="403">
        <f>IF(AND(CF61&lt;&gt;0,CF$5=$H61),-$I61*$E61-CF61,IF(CK$5=$H61,-$I61*$E61*(12-$J61+1)/12,0))</f>
        <v>0</v>
      </c>
      <c r="CL61" s="400">
        <f>IF($H61&lt;&gt;CP$5,0,IF(CP61&lt;0,IF($J61=1,-$E61*$I61/12*3,IF($J61=2,-$E61*$I61/12*2,IF($J61=3,-$E61*$I61/12*1,0)))))+IF(CK$5&lt;&gt;$H61,0,IF(CK61&lt;0,IF($J61=1,-$E61*$I61/12*0,IF($J61=2,-$E61*$I61/12*1,IF($J61=3,-$E61*$I61/12*2,IF($J61&gt;=4,-$E61*$I61/12*3,0))))))</f>
        <v>0</v>
      </c>
      <c r="CM61" s="406">
        <f>IF($H61&lt;&gt;CP$5,0,IF(CP61&lt;0,IF(OR($J61=1,$J61=2,$J61=3,$J61=4),-$E61*$I61/12*3,IF($J61=5,-$E61*$I61/12*2,IF($J61=6,-$E61*$I61/12*1,0)))))+IF(CK$5&lt;&gt;$H61,0,IF(CK61&lt;0,IF($J61=4,-$E61*$I61/12*0,IF($J61=5,-$E61*$I61/12*1,IF($J61=6,-$E61*$I61/12*2,IF($J61&gt;=7,-$E61*$I61/12*3,0))))))</f>
        <v>0</v>
      </c>
      <c r="CN61" s="406">
        <f>IF($H61&lt;&gt;CP$5,0,IF(CP61&lt;0,IF(OR($J61=1,$J61=2,$J61=3,$J61=4,$J61=5,$J61=6,$J61=7),-$E61*$I61/12*3,IF($J61=8,-$E61*$I61/12*2,IF($J61=9,-$E61*$I61/12*1,0)))))+IF(CK$5&lt;&gt;$H61,0,IF(CK61&lt;0,IF($J61=7,-$E61*$I61/12*0,IF($J61=8,-$E61*$I61/12*1,IF($J61=9,-$E61*$I61/12*2,IF($J61&gt;=10,-$E61*$I61/12*3,0))))))</f>
        <v>0</v>
      </c>
      <c r="CO61" s="402">
        <f>IF($H61&lt;&gt;CP$5,0,IF(CP61&lt;0,IF(OR($J61=1,$J61=2,$J61=3,$J61=4,$J61=5,$J61=6,$J61=7,$J61=8,$J61=9,$J61=10),-$E61*$I61/12*3,IF($J61=11,-$E61*$I61/12*2,IF($J61=12,-$E61*$I61/12*1,0)))))+IF(CK$5&lt;&gt;$H61,0,IF(CK61&lt;0,IF($J61=10,-$E61*$I61/12*0,IF($J61=11,-$E61*$I61/12*1,IF($J61=12,-$E61*$I61/12*2,0)))))</f>
        <v>0</v>
      </c>
      <c r="CP61" s="403">
        <f>IF(AND(CK61&lt;&gt;0,CK$5=$H61),-$I61*$E61-CK61,IF(CP$5=$H61,-$I61*$E61*(12-$J61+1)/12,0))</f>
        <v>0</v>
      </c>
      <c r="CQ61" s="400">
        <f>IF($H61&lt;&gt;CU$5,0,IF(CU61&lt;0,IF($J61=1,-$E61*$I61/12*3,IF($J61=2,-$E61*$I61/12*2,IF($J61=3,-$E61*$I61/12*1,0)))))+IF(CP$5&lt;&gt;$H61,0,IF(CP61&lt;0,IF($J61=1,-$E61*$I61/12*0,IF($J61=2,-$E61*$I61/12*1,IF($J61=3,-$E61*$I61/12*2,IF($J61&gt;=4,-$E61*$I61/12*3,0))))))</f>
        <v>0</v>
      </c>
      <c r="CR61" s="406">
        <f>IF($H61&lt;&gt;CU$5,0,IF(CU61&lt;0,IF(OR($J61=1,$J61=2,$J61=3,$J61=4),-$E61*$I61/12*3,IF($J61=5,-$E61*$I61/12*2,IF($J61=6,-$E61*$I61/12*1,0)))))+IF(CP$5&lt;&gt;$H61,0,IF(CP61&lt;0,IF($J61=4,-$E61*$I61/12*0,IF($J61=5,-$E61*$I61/12*1,IF($J61=6,-$E61*$I61/12*2,IF($J61&gt;=7,-$E61*$I61/12*3,0))))))</f>
        <v>0</v>
      </c>
      <c r="CS61" s="406">
        <f>IF($H61&lt;&gt;CU$5,0,IF(CU61&lt;0,IF(OR($J61=1,$J61=2,$J61=3,$J61=4,$J61=5,$J61=6,$J61=7),-$E61*$I61/12*3,IF($J61=8,-$E61*$I61/12*2,IF($J61=9,-$E61*$I61/12*1,0)))))+IF(CP$5&lt;&gt;$H61,0,IF(CP61&lt;0,IF($J61=7,-$E61*$I61/12*0,IF($J61=8,-$E61*$I61/12*1,IF($J61=9,-$E61*$I61/12*2,IF($J61&gt;=10,-$E61*$I61/12*3,0))))))</f>
        <v>0</v>
      </c>
      <c r="CT61" s="402">
        <f>IF($H61&lt;&gt;CU$5,0,IF(CU61&lt;0,IF(OR($J61=1,$J61=2,$J61=3,$J61=4,$J61=5,$J61=6,$J61=7,$J61=8,$J61=9,$J61=10),-$E61*$I61/12*3,IF($J61=11,-$E61*$I61/12*2,IF($J61=12,-$E61*$I61/12*1,0)))))+IF(CP$5&lt;&gt;$H61,0,IF(CP61&lt;0,IF($J61=10,-$E61*$I61/12*0,IF($J61=11,-$E61*$I61/12*1,IF($J61=12,-$E61*$I61/12*2,0)))))</f>
        <v>0</v>
      </c>
      <c r="CU61" s="403">
        <f>IF(AND(CP61&lt;&gt;0,CP$5=$H61),-$I61*$E61-CP61,IF(CU$5=$H61,-$I61*$E61*(12-$J61+1)/12,0))</f>
        <v>0</v>
      </c>
      <c r="CV61" s="400">
        <f>IF($H61&lt;&gt;CZ$5,0,IF(CZ61&lt;0,IF($J61=1,-$E61*$I61/12*3,IF($J61=2,-$E61*$I61/12*2,IF($J61=3,-$E61*$I61/12*1,0)))))+IF(CU$5&lt;&gt;$H61,0,IF(CU61&lt;0,IF($J61=1,-$E61*$I61/12*0,IF($J61=2,-$E61*$I61/12*1,IF($J61=3,-$E61*$I61/12*2,IF($J61&gt;=4,-$E61*$I61/12*3,0))))))</f>
        <v>0</v>
      </c>
      <c r="CW61" s="406">
        <f>IF($H61&lt;&gt;CZ$5,0,IF(CZ61&lt;0,IF(OR($J61=1,$J61=2,$J61=3,$J61=4),-$E61*$I61/12*3,IF($J61=5,-$E61*$I61/12*2,IF($J61=6,-$E61*$I61/12*1,0)))))+IF(CU$5&lt;&gt;$H61,0,IF(CU61&lt;0,IF($J61=4,-$E61*$I61/12*0,IF($J61=5,-$E61*$I61/12*1,IF($J61=6,-$E61*$I61/12*2,IF($J61&gt;=7,-$E61*$I61/12*3,0))))))</f>
        <v>0</v>
      </c>
      <c r="CX61" s="406">
        <f>IF($H61&lt;&gt;CZ$5,0,IF(CZ61&lt;0,IF(OR($J61=1,$J61=2,$J61=3,$J61=4,$J61=5,$J61=6,$J61=7),-$E61*$I61/12*3,IF($J61=8,-$E61*$I61/12*2,IF($J61=9,-$E61*$I61/12*1,0)))))+IF(CU$5&lt;&gt;$H61,0,IF(CU61&lt;0,IF($J61=7,-$E61*$I61/12*0,IF($J61=8,-$E61*$I61/12*1,IF($J61=9,-$E61*$I61/12*2,IF($J61&gt;=10,-$E61*$I61/12*3,0))))))</f>
        <v>0</v>
      </c>
      <c r="CY61" s="402">
        <f>IF($H61&lt;&gt;CZ$5,0,IF(CZ61&lt;0,IF(OR($J61=1,$J61=2,$J61=3,$J61=4,$J61=5,$J61=6,$J61=7,$J61=8,$J61=9,$J61=10),-$E61*$I61/12*3,IF($J61=11,-$E61*$I61/12*2,IF($J61=12,-$E61*$I61/12*1,0)))))+IF(CU$5&lt;&gt;$H61,0,IF(CU61&lt;0,IF($J61=10,-$E61*$I61/12*0,IF($J61=11,-$E61*$I61/12*1,IF($J61=12,-$E61*$I61/12*2,0)))))</f>
        <v>0</v>
      </c>
      <c r="CZ61" s="403">
        <f>IF(AND(CU61&lt;&gt;0,CU$5=$H61),-$I61*$E61-CU61,IF(CZ$5=$H61,-$I61*$E61*(12-$J61+1)/12,0))</f>
        <v>0</v>
      </c>
      <c r="DA61" s="400">
        <f>IF($H61&lt;&gt;DE$5,0,IF(DE61&lt;0,IF($J61=1,-$E61*$I61/12*3,IF($J61=2,-$E61*$I61/12*2,IF($J61=3,-$E61*$I61/12*1,0)))))+IF(CZ$5&lt;&gt;$H61,0,IF(CZ61&lt;0,IF($J61=1,-$E61*$I61/12*0,IF($J61=2,-$E61*$I61/12*1,IF($J61=3,-$E61*$I61/12*2,IF($J61&gt;=4,-$E61*$I61/12*3,0))))))</f>
        <v>0</v>
      </c>
      <c r="DB61" s="406">
        <f>IF($H61&lt;&gt;DE$5,0,IF(DE61&lt;0,IF(OR($J61=1,$J61=2,$J61=3,$J61=4),-$E61*$I61/12*3,IF($J61=5,-$E61*$I61/12*2,IF($J61=6,-$E61*$I61/12*1,0)))))+IF(CZ$5&lt;&gt;$H61,0,IF(CZ61&lt;0,IF($J61=4,-$E61*$I61/12*0,IF($J61=5,-$E61*$I61/12*1,IF($J61=6,-$E61*$I61/12*2,IF($J61&gt;=7,-$E61*$I61/12*3,0))))))</f>
        <v>0</v>
      </c>
      <c r="DC61" s="406">
        <f>IF($H61&lt;&gt;DE$5,0,IF(DE61&lt;0,IF(OR($J61=1,$J61=2,$J61=3,$J61=4,$J61=5,$J61=6,$J61=7),-$E61*$I61/12*3,IF($J61=8,-$E61*$I61/12*2,IF($J61=9,-$E61*$I61/12*1,0)))))+IF(CZ$5&lt;&gt;$H61,0,IF(CZ61&lt;0,IF($J61=7,-$E61*$I61/12*0,IF($J61=8,-$E61*$I61/12*1,IF($J61=9,-$E61*$I61/12*2,IF($J61&gt;=10,-$E61*$I61/12*3,0))))))</f>
        <v>0</v>
      </c>
      <c r="DD61" s="402">
        <f>IF($H61&lt;&gt;DE$5,0,IF(DE61&lt;0,IF(OR($J61=1,$J61=2,$J61=3,$J61=4,$J61=5,$J61=6,$J61=7,$J61=8,$J61=9,$J61=10),-$E61*$I61/12*3,IF($J61=11,-$E61*$I61/12*2,IF($J61=12,-$E61*$I61/12*1,0)))))+IF(CZ$5&lt;&gt;$H61,0,IF(CZ61&lt;0,IF($J61=10,-$E61*$I61/12*0,IF($J61=11,-$E61*$I61/12*1,IF($J61=12,-$E61*$I61/12*2,0)))))</f>
        <v>0</v>
      </c>
      <c r="DE61" s="403">
        <f>IF(AND(CZ61&lt;&gt;0,CZ$5=$H61),-$I61*$E61-CZ61,IF(DE$5=$H61,-$I61*$E61*(12-$J61+1)/12,0))</f>
        <v>0</v>
      </c>
      <c r="DF61" s="400">
        <f>IF($H61&lt;&gt;DJ$5,0,IF(DJ61&lt;0,IF($J61=1,-$E61*$I61/12*3,IF($J61=2,-$E61*$I61/12*2,IF($J61=3,-$E61*$I61/12*1,0)))))+IF(DE$5&lt;&gt;$H61,0,IF(DE61&lt;0,IF($J61=1,-$E61*$I61/12*0,IF($J61=2,-$E61*$I61/12*1,IF($J61=3,-$E61*$I61/12*2,IF($J61&gt;=4,-$E61*$I61/12*3,0))))))</f>
        <v>0</v>
      </c>
      <c r="DG61" s="406">
        <f>IF($H61&lt;&gt;DJ$5,0,IF(DJ61&lt;0,IF(OR($J61=1,$J61=2,$J61=3,$J61=4),-$E61*$I61/12*3,IF($J61=5,-$E61*$I61/12*2,IF($J61=6,-$E61*$I61/12*1,0)))))+IF(DE$5&lt;&gt;$H61,0,IF(DE61&lt;0,IF($J61=4,-$E61*$I61/12*0,IF($J61=5,-$E61*$I61/12*1,IF($J61=6,-$E61*$I61/12*2,IF($J61&gt;=7,-$E61*$I61/12*3,0))))))</f>
        <v>0</v>
      </c>
      <c r="DH61" s="406">
        <f>IF($H61&lt;&gt;DJ$5,0,IF(DJ61&lt;0,IF(OR($J61=1,$J61=2,$J61=3,$J61=4,$J61=5,$J61=6,$J61=7),-$E61*$I61/12*3,IF($J61=8,-$E61*$I61/12*2,IF($J61=9,-$E61*$I61/12*1,0)))))+IF(DE$5&lt;&gt;$H61,0,IF(DE61&lt;0,IF($J61=7,-$E61*$I61/12*0,IF($J61=8,-$E61*$I61/12*1,IF($J61=9,-$E61*$I61/12*2,IF($J61&gt;=10,-$E61*$I61/12*3,0))))))</f>
        <v>0</v>
      </c>
      <c r="DI61" s="402">
        <f>IF($H61&lt;&gt;DJ$5,0,IF(DJ61&lt;0,IF(OR($J61=1,$J61=2,$J61=3,$J61=4,$J61=5,$J61=6,$J61=7,$J61=8,$J61=9,$J61=10),-$E61*$I61/12*3,IF($J61=11,-$E61*$I61/12*2,IF($J61=12,-$E61*$I61/12*1,0)))))+IF(DE$5&lt;&gt;$H61,0,IF(DE61&lt;0,IF($J61=10,-$E61*$I61/12*0,IF($J61=11,-$E61*$I61/12*1,IF($J61=12,-$E61*$I61/12*2,0)))))</f>
        <v>0</v>
      </c>
      <c r="DJ61" s="403">
        <f>IF(AND(DE61&lt;&gt;0,DE$5=$H61),-$I61*$E61-DE61,IF(DJ$5=$H61,-$I61*$E61*(12-$J61+1)/12,0))</f>
        <v>0</v>
      </c>
      <c r="DK61" s="400">
        <f>IF($H61&lt;&gt;DO$5,0,IF(DO61&lt;0,IF($J61=1,-$E61*$I61/12*3,IF($J61=2,-$E61*$I61/12*2,IF($J61=3,-$E61*$I61/12*1,0)))))+IF(DJ$5&lt;&gt;$H61,0,IF(DJ61&lt;0,IF($J61=1,-$E61*$I61/12*0,IF($J61=2,-$E61*$I61/12*1,IF($J61=3,-$E61*$I61/12*2,IF($J61&gt;=4,-$E61*$I61/12*3,0))))))</f>
        <v>0</v>
      </c>
      <c r="DL61" s="406">
        <f>IF($H61&lt;&gt;DO$5,0,IF(DO61&lt;0,IF(OR($J61=1,$J61=2,$J61=3,$J61=4),-$E61*$I61/12*3,IF($J61=5,-$E61*$I61/12*2,IF($J61=6,-$E61*$I61/12*1,0)))))+IF(DJ$5&lt;&gt;$H61,0,IF(DJ61&lt;0,IF($J61=4,-$E61*$I61/12*0,IF($J61=5,-$E61*$I61/12*1,IF($J61=6,-$E61*$I61/12*2,IF($J61&gt;=7,-$E61*$I61/12*3,0))))))</f>
        <v>0</v>
      </c>
      <c r="DM61" s="406">
        <f>IF($H61&lt;&gt;DO$5,0,IF(DO61&lt;0,IF(OR($J61=1,$J61=2,$J61=3,$J61=4,$J61=5,$J61=6,$J61=7),-$E61*$I61/12*3,IF($J61=8,-$E61*$I61/12*2,IF($J61=9,-$E61*$I61/12*1,0)))))+IF(DJ$5&lt;&gt;$H61,0,IF(DJ61&lt;0,IF($J61=7,-$E61*$I61/12*0,IF($J61=8,-$E61*$I61/12*1,IF($J61=9,-$E61*$I61/12*2,IF($J61&gt;=10,-$E61*$I61/12*3,0))))))</f>
        <v>0</v>
      </c>
      <c r="DN61" s="402">
        <f>IF($H61&lt;&gt;DO$5,0,IF(DO61&lt;0,IF(OR($J61=1,$J61=2,$J61=3,$J61=4,$J61=5,$J61=6,$J61=7,$J61=8,$J61=9,$J61=10),-$E61*$I61/12*3,IF($J61=11,-$E61*$I61/12*2,IF($J61=12,-$E61*$I61/12*1,0)))))+IF(DJ$5&lt;&gt;$H61,0,IF(DJ61&lt;0,IF($J61=10,-$E61*$I61/12*0,IF($J61=11,-$E61*$I61/12*1,IF($J61=12,-$E61*$I61/12*2,0)))))</f>
        <v>0</v>
      </c>
      <c r="DO61" s="403">
        <f>IF(AND(DJ61&lt;&gt;0,DJ$5=$H61),-$I61*$E61-DJ61,IF(DO$5=$H61,-$I61*$E61*(12-$J61+1)/12,0))</f>
        <v>0</v>
      </c>
      <c r="DP61" s="400">
        <f>IF($H61&lt;&gt;DT$5,0,IF(DT61&lt;0,IF($J61=1,-$E61*$I61/12*3,IF($J61=2,-$E61*$I61/12*2,IF($J61=3,-$E61*$I61/12*1,0)))))+IF(DO$5&lt;&gt;$H61,0,IF(DO61&lt;0,IF($J61=1,-$E61*$I61/12*0,IF($J61=2,-$E61*$I61/12*1,IF($J61=3,-$E61*$I61/12*2,IF($J61&gt;=4,-$E61*$I61/12*3,0))))))</f>
        <v>0</v>
      </c>
      <c r="DQ61" s="406">
        <f>IF($H61&lt;&gt;DT$5,0,IF(DT61&lt;0,IF(OR($J61=1,$J61=2,$J61=3,$J61=4),-$E61*$I61/12*3,IF($J61=5,-$E61*$I61/12*2,IF($J61=6,-$E61*$I61/12*1,0)))))+IF(DO$5&lt;&gt;$H61,0,IF(DO61&lt;0,IF($J61=4,-$E61*$I61/12*0,IF($J61=5,-$E61*$I61/12*1,IF($J61=6,-$E61*$I61/12*2,IF($J61&gt;=7,-$E61*$I61/12*3,0))))))</f>
        <v>0</v>
      </c>
      <c r="DR61" s="406">
        <f>IF($H61&lt;&gt;DT$5,0,IF(DT61&lt;0,IF(OR($J61=1,$J61=2,$J61=3,$J61=4,$J61=5,$J61=6,$J61=7),-$E61*$I61/12*3,IF($J61=8,-$E61*$I61/12*2,IF($J61=9,-$E61*$I61/12*1,0)))))+IF(DO$5&lt;&gt;$H61,0,IF(DO61&lt;0,IF($J61=7,-$E61*$I61/12*0,IF($J61=8,-$E61*$I61/12*1,IF($J61=9,-$E61*$I61/12*2,IF($J61&gt;=10,-$E61*$I61/12*3,0))))))</f>
        <v>0</v>
      </c>
      <c r="DS61" s="402">
        <f>IF($H61&lt;&gt;DT$5,0,IF(DT61&lt;0,IF(OR($J61=1,$J61=2,$J61=3,$J61=4,$J61=5,$J61=6,$J61=7,$J61=8,$J61=9,$J61=10),-$E61*$I61/12*3,IF($J61=11,-$E61*$I61/12*2,IF($J61=12,-$E61*$I61/12*1,0)))))+IF(DO$5&lt;&gt;$H61,0,IF(DO61&lt;0,IF($J61=10,-$E61*$I61/12*0,IF($J61=11,-$E61*$I61/12*1,IF($J61=12,-$E61*$I61/12*2,0)))))</f>
        <v>0</v>
      </c>
      <c r="DT61" s="403">
        <f>IF(AND(DO61&lt;&gt;0,DO$5=$H61),-$I61*$E61-DO61,IF(DT$5=$H61,-$I61*$E61*(12-$J61+1)/12,0))</f>
        <v>0</v>
      </c>
      <c r="EF61" s="35"/>
    </row>
    <row r="62" spans="3:139" ht="12.75" customHeight="1" x14ac:dyDescent="0.2">
      <c r="C62" s="830" t="s">
        <v>572</v>
      </c>
      <c r="D62" s="826"/>
      <c r="E62" s="530">
        <f t="shared" si="472"/>
        <v>300</v>
      </c>
      <c r="F62" s="831">
        <v>300</v>
      </c>
      <c r="G62" s="831">
        <v>300</v>
      </c>
      <c r="H62" s="808">
        <v>2045</v>
      </c>
      <c r="I62" s="809">
        <v>0.04</v>
      </c>
      <c r="J62" s="810">
        <v>8</v>
      </c>
      <c r="K62" s="392"/>
      <c r="L62" s="397">
        <f t="shared" si="473"/>
        <v>0</v>
      </c>
      <c r="M62" s="394">
        <f>IF(Q62=0,0,IF(Q62&lt;0,IF($J62=3,Q62,IF($J62=2,Q62,IF($J62=1,Q62,0)))))</f>
        <v>0</v>
      </c>
      <c r="N62" s="404">
        <f>IF(Q62=0,0,IF(Q62&lt;0,IF($J62=6,Q62,IF($J62=5,Q62,IF($J62=4,Q62,0)))))</f>
        <v>0</v>
      </c>
      <c r="O62" s="404">
        <f>IF(Q62=0,0,IF(Q62&lt;0,IF($J62=9,Q62,IF($J62=8,Q62,IF($J62=7,Q62,0)))))</f>
        <v>0</v>
      </c>
      <c r="P62" s="396">
        <f>IF(Q62=0,0,IF(Q62&lt;0,IF($J62=12,Q62,IF($J62=11,Q62,IF($J62=10,Q62,0)))))</f>
        <v>0</v>
      </c>
      <c r="Q62" s="397">
        <f t="shared" si="478"/>
        <v>0</v>
      </c>
      <c r="R62" s="394">
        <f>IF(V62=0,0,IF(V62&lt;0,IF($J62=3,V62,IF($J62=2,V62,IF($J62=1,V62,0)))))</f>
        <v>0</v>
      </c>
      <c r="S62" s="404">
        <f>IF(V62=0,0,IF(V62&lt;0,IF($J62=6,V62,IF($J62=5,V62,IF($J62=4,V62,0)))))</f>
        <v>0</v>
      </c>
      <c r="T62" s="404">
        <f>IF(V62=0,0,IF(V62&lt;0,IF($J62=9,V62,IF($J62=8,V62,IF($J62=7,V62,0)))))</f>
        <v>0</v>
      </c>
      <c r="U62" s="396">
        <f>IF(V62=0,0,IF(V62&lt;0,IF($J62=12,V62,IF($J62=11,V62,IF($J62=10,V62,0)))))</f>
        <v>0</v>
      </c>
      <c r="V62" s="397">
        <f t="shared" si="483"/>
        <v>0</v>
      </c>
      <c r="W62" s="394">
        <f>IF(AA62=0,0,IF(AA62&lt;0,IF($J62=3,AA62,IF($J62=2,AA62,IF($J62=1,AA62,0)))))</f>
        <v>0</v>
      </c>
      <c r="X62" s="404">
        <f>IF(AA62=0,0,IF(AA62&lt;0,IF($J62=6,AA62,IF($J62=5,AA62,IF($J62=4,AA62,0)))))</f>
        <v>0</v>
      </c>
      <c r="Y62" s="404">
        <f>IF(AA62=0,0,IF(AA62&lt;0,IF($J62=9,AA62,IF($J62=8,AA62,IF($J62=7,AA62,0)))))</f>
        <v>0</v>
      </c>
      <c r="Z62" s="396">
        <f>IF(AA62=0,0,IF(AA62&lt;0,IF($J62=12,AA62,IF($J62=11,AA62,IF($J62=10,AA62,0)))))</f>
        <v>0</v>
      </c>
      <c r="AA62" s="397">
        <f t="shared" si="488"/>
        <v>0</v>
      </c>
      <c r="AB62" s="394">
        <f>IF(AF62=0,0,IF(AF62&lt;0,IF($J62=3,AF62,IF($J62=2,AF62,IF($J62=1,AF62,0)))))</f>
        <v>0</v>
      </c>
      <c r="AC62" s="404">
        <f>IF(AF62=0,0,IF(AF62&lt;0,IF($J62=6,AF62,IF($J62=5,AF62,IF($J62=4,AF62,0)))))</f>
        <v>0</v>
      </c>
      <c r="AD62" s="404">
        <f>IF(AF62=0,0,IF(AF62&lt;0,IF($J62=9,AF62,IF($J62=8,AF62,IF($J62=7,AF62,0)))))</f>
        <v>0</v>
      </c>
      <c r="AE62" s="396">
        <f>IF(AF62=0,0,IF(AF62&lt;0,IF($J62=12,AF62,IF($J62=11,AF62,IF($J62=10,AF62,0)))))</f>
        <v>0</v>
      </c>
      <c r="AF62" s="397">
        <f t="shared" si="493"/>
        <v>0</v>
      </c>
      <c r="AG62" s="394">
        <f>IF(AK62=0,0,IF(AK62&lt;0,IF($J62=3,AK62,IF($J62=2,AK62,IF($J62=1,AK62,0)))))</f>
        <v>0</v>
      </c>
      <c r="AH62" s="404">
        <f>IF(AK62=0,0,IF(AK62&lt;0,IF($J62=6,AK62,IF($J62=5,AK62,IF($J62=4,AK62,0)))))</f>
        <v>0</v>
      </c>
      <c r="AI62" s="404">
        <f>IF(AK62=0,0,IF(AK62&lt;0,IF($J62=9,AK62,IF($J62=8,AK62,IF($J62=7,AK62,0)))))</f>
        <v>0</v>
      </c>
      <c r="AJ62" s="396">
        <f>IF(AK62=0,0,IF(AK62&lt;0,IF($J62=12,AK62,IF($J62=11,AK62,IF($J62=10,AK62,0)))))</f>
        <v>0</v>
      </c>
      <c r="AK62" s="397">
        <f t="shared" si="498"/>
        <v>0</v>
      </c>
      <c r="AL62" s="394">
        <f>IF(AP62=0,0,IF(AP62&lt;0,IF($J62=3,AP62,IF($J62=2,AP62,IF($J62=1,AP62,0)))))</f>
        <v>0</v>
      </c>
      <c r="AM62" s="404">
        <f>IF(AP62=0,0,IF(AP62&lt;0,IF($J62=6,AP62,IF($J62=5,AP62,IF($J62=4,AP62,0)))))</f>
        <v>0</v>
      </c>
      <c r="AN62" s="404">
        <f>IF(AP62=0,0,IF(AP62&lt;0,IF($J62=9,AP62,IF($J62=8,AP62,IF($J62=7,AP62,0)))))</f>
        <v>0</v>
      </c>
      <c r="AO62" s="396">
        <f>IF(AP62=0,0,IF(AP62&lt;0,IF($J62=12,AP62,IF($J62=11,AP62,IF($J62=10,AP62,0)))))</f>
        <v>0</v>
      </c>
      <c r="AP62" s="397">
        <f t="shared" si="503"/>
        <v>0</v>
      </c>
      <c r="AQ62" s="394">
        <f>IF(AU62=0,0,IF(AU62&lt;0,IF($J62=3,AU62,IF($J62=2,AU62,IF($J62=1,AU62,0)))))</f>
        <v>0</v>
      </c>
      <c r="AR62" s="404">
        <f>IF(AU62=0,0,IF(AU62&lt;0,IF($J62=6,AU62,IF($J62=5,AU62,IF($J62=4,AU62,0)))))</f>
        <v>0</v>
      </c>
      <c r="AS62" s="404">
        <f>IF(AU62=0,0,IF(AU62&lt;0,IF($J62=9,AU62,IF($J62=8,AU62,IF($J62=7,AU62,0)))))</f>
        <v>0</v>
      </c>
      <c r="AT62" s="396">
        <f>IF(AU62=0,0,IF(AU62&lt;0,IF($J62=12,AU62,IF($J62=11,AU62,IF($J62=10,AU62,0)))))</f>
        <v>0</v>
      </c>
      <c r="AU62" s="397">
        <f t="shared" si="508"/>
        <v>0</v>
      </c>
      <c r="AV62" s="394">
        <f>IF(AZ62=0,0,IF(AZ62&lt;0,IF($J62=3,AZ62,IF($J62=2,AZ62,IF($J62=1,AZ62,0)))))</f>
        <v>0</v>
      </c>
      <c r="AW62" s="404">
        <f>IF(AZ62=0,0,IF(AZ62&lt;0,IF($J62=6,AZ62,IF($J62=5,AZ62,IF($J62=4,AZ62,0)))))</f>
        <v>0</v>
      </c>
      <c r="AX62" s="404">
        <f>IF(AZ62=0,0,IF(AZ62&lt;0,IF($J62=9,AZ62,IF($J62=8,AZ62,IF($J62=7,AZ62,0)))))</f>
        <v>0</v>
      </c>
      <c r="AY62" s="396">
        <f>IF(AZ62=0,0,IF(AZ62&lt;0,IF($J62=12,AZ62,IF($J62=11,AZ62,IF($J62=10,AZ62,0)))))</f>
        <v>0</v>
      </c>
      <c r="AZ62" s="397">
        <f t="shared" si="513"/>
        <v>0</v>
      </c>
      <c r="BA62" s="394">
        <f>IF(BE62=0,0,IF(BE62&lt;0,IF($J62=3,BE62,IF($J62=2,BE62,IF($J62=1,BE62,0)))))</f>
        <v>0</v>
      </c>
      <c r="BB62" s="404">
        <f>IF(BE62=0,0,IF(BE62&lt;0,IF($J62=6,BE62,IF($J62=5,BE62,IF($J62=4,BE62,0)))))</f>
        <v>0</v>
      </c>
      <c r="BC62" s="404">
        <f>IF(BE62=0,0,IF(BE62&lt;0,IF($J62=9,BE62,IF($J62=8,BE62,IF($J62=7,BE62,0)))))</f>
        <v>0</v>
      </c>
      <c r="BD62" s="396">
        <f>IF(BE62=0,0,IF(BE62&lt;0,IF($J62=12,BE62,IF($J62=11,BE62,IF($J62=10,BE62,0)))))</f>
        <v>0</v>
      </c>
      <c r="BE62" s="397">
        <f t="shared" si="514"/>
        <v>0</v>
      </c>
      <c r="BF62" s="394">
        <f>IF(BJ62=0,0,IF(BJ62&lt;0,IF($J62=3,BJ62,IF($J62=2,BJ62,IF($J62=1,BJ62,0)))))</f>
        <v>0</v>
      </c>
      <c r="BG62" s="404">
        <f>IF(BJ62=0,0,IF(BJ62&lt;0,IF($J62=6,BJ62,IF($J62=5,BJ62,IF($J62=4,BJ62,0)))))</f>
        <v>0</v>
      </c>
      <c r="BH62" s="404">
        <f>IF(BJ62=0,0,IF(BJ62&lt;0,IF($J62=9,BJ62,IF($J62=8,BJ62,IF($J62=7,BJ62,0)))))</f>
        <v>0</v>
      </c>
      <c r="BI62" s="396">
        <f>IF(BJ62=0,0,IF(BJ62&lt;0,IF($J62=12,BJ62,IF($J62=11,BJ62,IF($J62=10,BJ62,0)))))</f>
        <v>0</v>
      </c>
      <c r="BJ62" s="397">
        <f t="shared" si="515"/>
        <v>0</v>
      </c>
      <c r="BK62" s="394">
        <f>IF(BO62=0,0,IF(BO62&lt;0,IF($J62=3,BO62,IF($J62=2,BO62,IF($J62=1,BO62,0)))))</f>
        <v>0</v>
      </c>
      <c r="BL62" s="404">
        <f>IF(BO62=0,0,IF(BO62&lt;0,IF($J62=6,BO62,IF($J62=5,BO62,IF($J62=4,BO62,0)))))</f>
        <v>0</v>
      </c>
      <c r="BM62" s="404">
        <f>IF(BO62=0,0,IF(BO62&lt;0,IF($J62=9,BO62,IF($J62=8,BO62,IF($J62=7,BO62,0)))))</f>
        <v>0</v>
      </c>
      <c r="BN62" s="396">
        <f>IF(BO62=0,0,IF(BO62&lt;0,IF($J62=12,BO62,IF($J62=11,BO62,IF($J62=10,BO62,0)))))</f>
        <v>0</v>
      </c>
      <c r="BO62" s="397">
        <f t="shared" si="516"/>
        <v>0</v>
      </c>
      <c r="BP62" s="452"/>
      <c r="BQ62" s="403">
        <f>IF(AND(BP62&lt;&gt;0,BP$5=$H62),-$I62*$E62-BP62,IF(BQ$5=$H62,-$I62*$E62*(12-$J62+1)/12,0))</f>
        <v>0</v>
      </c>
      <c r="BR62" s="400">
        <f>IF($H62&lt;&gt;BV$5,0,IF(BV62&lt;0,IF($J62=1,-$E62*$I62/12*3,IF($J62=2,-$E62*$I62/12*2,IF($J62=3,-$E62*$I62/12*1,0)))))+IF(BQ$5&lt;&gt;$H62,0,IF(BQ62&lt;0,IF($J62=1,-$E62*$I62/12*0,IF($J62=2,-$E62*$I62/12*1,IF($J62=3,-$E62*$I62/12*2,IF($J62&gt;=4,-$E62*$I62/12*3,0))))))</f>
        <v>0</v>
      </c>
      <c r="BS62" s="406">
        <f>IF($H62&lt;&gt;BV$5,0,IF(BV62&lt;0,IF(OR($J62=1,$J62=2,$J62=3,$J62=4),-$E62*$I62/12*3,IF($J62=5,-$E62*$I62/12*2,IF($J62=6,-$E62*$I62/12*1,0)))))+IF(BQ$5&lt;&gt;$H62,0,IF(BQ62&lt;0,IF($J62=4,-$E62*$I62/12*0,IF($J62=5,-$E62*$I62/12*1,IF($J62=6,-$E62*$I62/12*2,IF($J62&gt;=7,-$E62*$I62/12*3,0))))))</f>
        <v>0</v>
      </c>
      <c r="BT62" s="406">
        <f>IF($H62&lt;&gt;BV$5,0,IF(BV62&lt;0,IF(OR($J62=1,$J62=2,$J62=3,$J62=4,$J62=5,$J62=6,$J62=7),-$E62*$I62/12*3,IF($J62=8,-$E62*$I62/12*2,IF($J62=9,-$E62*$I62/12*1,0)))))+IF(BQ$5&lt;&gt;$H62,0,IF(BQ62&lt;0,IF($J62=7,-$E62*$I62/12*0,IF($J62=8,-$E62*$I62/12*1,IF($J62=9,-$E62*$I62/12*2,IF($J62&gt;=10,-$E62*$I62/12*3,0))))))</f>
        <v>0</v>
      </c>
      <c r="BU62" s="402">
        <f>IF($H62&lt;&gt;BV$5,0,IF(BV62&lt;0,IF(OR($J62=1,$J62=2,$J62=3,$J62=4,$J62=5,$J62=6,$J62=7,$J62=8,$J62=9,$J62=10),-$E62*$I62/12*3,IF($J62=11,-$E62*$I62/12*2,IF($J62=12,-$E62*$I62/12*1,0)))))+IF(BQ$5&lt;&gt;$H62,0,IF(BQ62&lt;0,IF($J62=10,-$E62*$I62/12*0,IF($J62=11,-$E62*$I62/12*1,IF($J62=12,-$E62*$I62/12*2,0)))))</f>
        <v>0</v>
      </c>
      <c r="BV62" s="403">
        <f>IF(AND(BQ62&lt;&gt;0,BQ$5=$H62),-$I62*$E62-BQ62,IF(BV$5=$H62,-$I62*$E62*(12-$J62+1)/12,0))</f>
        <v>0</v>
      </c>
      <c r="BW62" s="400">
        <f>IF($H62&lt;&gt;CA$5,0,IF(CA62&lt;0,IF($J62=1,-$E62*$I62/12*3,IF($J62=2,-$E62*$I62/12*2,IF($J62=3,-$E62*$I62/12*1,0)))))+IF(BV$5&lt;&gt;$H62,0,IF(BV62&lt;0,IF($J62=1,-$E62*$I62/12*0,IF($J62=2,-$E62*$I62/12*1,IF($J62=3,-$E62*$I62/12*2,IF($J62&gt;=4,-$E62*$I62/12*3,0))))))</f>
        <v>0</v>
      </c>
      <c r="BX62" s="406">
        <f>IF($H62&lt;&gt;CA$5,0,IF(CA62&lt;0,IF(OR($J62=1,$J62=2,$J62=3,$J62=4),-$E62*$I62/12*3,IF($J62=5,-$E62*$I62/12*2,IF($J62=6,-$E62*$I62/12*1,0)))))+IF(BV$5&lt;&gt;$H62,0,IF(BV62&lt;0,IF($J62=4,-$E62*$I62/12*0,IF($J62=5,-$E62*$I62/12*1,IF($J62=6,-$E62*$I62/12*2,IF($J62&gt;=7,-$E62*$I62/12*3,0))))))</f>
        <v>0</v>
      </c>
      <c r="BY62" s="406">
        <f>IF($H62&lt;&gt;CA$5,0,IF(CA62&lt;0,IF(OR($J62=1,$J62=2,$J62=3,$J62=4,$J62=5,$J62=6,$J62=7),-$E62*$I62/12*3,IF($J62=8,-$E62*$I62/12*2,IF($J62=9,-$E62*$I62/12*1,0)))))+IF(BV$5&lt;&gt;$H62,0,IF(BV62&lt;0,IF($J62=7,-$E62*$I62/12*0,IF($J62=8,-$E62*$I62/12*1,IF($J62=9,-$E62*$I62/12*2,IF($J62&gt;=10,-$E62*$I62/12*3,0))))))</f>
        <v>0</v>
      </c>
      <c r="BZ62" s="402">
        <f>IF($H62&lt;&gt;CA$5,0,IF(CA62&lt;0,IF(OR($J62=1,$J62=2,$J62=3,$J62=4,$J62=5,$J62=6,$J62=7,$J62=8,$J62=9,$J62=10),-$E62*$I62/12*3,IF($J62=11,-$E62*$I62/12*2,IF($J62=12,-$E62*$I62/12*1,0)))))+IF(BV$5&lt;&gt;$H62,0,IF(BV62&lt;0,IF($J62=10,-$E62*$I62/12*0,IF($J62=11,-$E62*$I62/12*1,IF($J62=12,-$E62*$I62/12*2,0)))))</f>
        <v>0</v>
      </c>
      <c r="CA62" s="403">
        <f>IF(AND(BV62&lt;&gt;0,BV$5=$H62),-$I62*$E62-BV62,IF(CA$5=$H62,-$I62*$E62*(12-$J62+1)/12,0))</f>
        <v>0</v>
      </c>
      <c r="CB62" s="400">
        <f>IF($H62&lt;&gt;CF$5,0,IF(CF62&lt;0,IF($J62=1,-$E62*$I62/12*3,IF($J62=2,-$E62*$I62/12*2,IF($J62=3,-$E62*$I62/12*1,0)))))+IF(CA$5&lt;&gt;$H62,0,IF(CA62&lt;0,IF($J62=1,-$E62*$I62/12*0,IF($J62=2,-$E62*$I62/12*1,IF($J62=3,-$E62*$I62/12*2,IF($J62&gt;=4,-$E62*$I62/12*3,0))))))</f>
        <v>0</v>
      </c>
      <c r="CC62" s="406">
        <f>IF($H62&lt;&gt;CF$5,0,IF(CF62&lt;0,IF(OR($J62=1,$J62=2,$J62=3,$J62=4),-$E62*$I62/12*3,IF($J62=5,-$E62*$I62/12*2,IF($J62=6,-$E62*$I62/12*1,0)))))+IF(CA$5&lt;&gt;$H62,0,IF(CA62&lt;0,IF($J62=4,-$E62*$I62/12*0,IF($J62=5,-$E62*$I62/12*1,IF($J62=6,-$E62*$I62/12*2,IF($J62&gt;=7,-$E62*$I62/12*3,0))))))</f>
        <v>0</v>
      </c>
      <c r="CD62" s="406">
        <f>IF($H62&lt;&gt;CF$5,0,IF(CF62&lt;0,IF(OR($J62=1,$J62=2,$J62=3,$J62=4,$J62=5,$J62=6,$J62=7),-$E62*$I62/12*3,IF($J62=8,-$E62*$I62/12*2,IF($J62=9,-$E62*$I62/12*1,0)))))+IF(CA$5&lt;&gt;$H62,0,IF(CA62&lt;0,IF($J62=7,-$E62*$I62/12*0,IF($J62=8,-$E62*$I62/12*1,IF($J62=9,-$E62*$I62/12*2,IF($J62&gt;=10,-$E62*$I62/12*3,0))))))</f>
        <v>0</v>
      </c>
      <c r="CE62" s="402">
        <f>IF($H62&lt;&gt;CF$5,0,IF(CF62&lt;0,IF(OR($J62=1,$J62=2,$J62=3,$J62=4,$J62=5,$J62=6,$J62=7,$J62=8,$J62=9,$J62=10),-$E62*$I62/12*3,IF($J62=11,-$E62*$I62/12*2,IF($J62=12,-$E62*$I62/12*1,0)))))+IF(CA$5&lt;&gt;$H62,0,IF(CA62&lt;0,IF($J62=10,-$E62*$I62/12*0,IF($J62=11,-$E62*$I62/12*1,IF($J62=12,-$E62*$I62/12*2,0)))))</f>
        <v>0</v>
      </c>
      <c r="CF62" s="403">
        <f>IF(AND(CA62&lt;&gt;0,CA$5=$H62),-$I62*$E62-CA62,IF(CF$5=$H62,-$I62*$E62*(12-$J62+1)/12,0))</f>
        <v>0</v>
      </c>
      <c r="CG62" s="400">
        <f>IF($H62&lt;&gt;CK$5,0,IF(CK62&lt;0,IF($J62=1,-$E62*$I62/12*3,IF($J62=2,-$E62*$I62/12*2,IF($J62=3,-$E62*$I62/12*1,0)))))+IF(CF$5&lt;&gt;$H62,0,IF(CF62&lt;0,IF($J62=1,-$E62*$I62/12*0,IF($J62=2,-$E62*$I62/12*1,IF($J62=3,-$E62*$I62/12*2,IF($J62&gt;=4,-$E62*$I62/12*3,0))))))</f>
        <v>0</v>
      </c>
      <c r="CH62" s="406">
        <f>IF($H62&lt;&gt;CK$5,0,IF(CK62&lt;0,IF(OR($J62=1,$J62=2,$J62=3,$J62=4),-$E62*$I62/12*3,IF($J62=5,-$E62*$I62/12*2,IF($J62=6,-$E62*$I62/12*1,0)))))+IF(CF$5&lt;&gt;$H62,0,IF(CF62&lt;0,IF($J62=4,-$E62*$I62/12*0,IF($J62=5,-$E62*$I62/12*1,IF($J62=6,-$E62*$I62/12*2,IF($J62&gt;=7,-$E62*$I62/12*3,0))))))</f>
        <v>0</v>
      </c>
      <c r="CI62" s="406">
        <f>IF($H62&lt;&gt;CK$5,0,IF(CK62&lt;0,IF(OR($J62=1,$J62=2,$J62=3,$J62=4,$J62=5,$J62=6,$J62=7),-$E62*$I62/12*3,IF($J62=8,-$E62*$I62/12*2,IF($J62=9,-$E62*$I62/12*1,0)))))+IF(CF$5&lt;&gt;$H62,0,IF(CF62&lt;0,IF($J62=7,-$E62*$I62/12*0,IF($J62=8,-$E62*$I62/12*1,IF($J62=9,-$E62*$I62/12*2,IF($J62&gt;=10,-$E62*$I62/12*3,0))))))</f>
        <v>0</v>
      </c>
      <c r="CJ62" s="402">
        <f>IF($H62&lt;&gt;CK$5,0,IF(CK62&lt;0,IF(OR($J62=1,$J62=2,$J62=3,$J62=4,$J62=5,$J62=6,$J62=7,$J62=8,$J62=9,$J62=10),-$E62*$I62/12*3,IF($J62=11,-$E62*$I62/12*2,IF($J62=12,-$E62*$I62/12*1,0)))))+IF(CF$5&lt;&gt;$H62,0,IF(CF62&lt;0,IF($J62=10,-$E62*$I62/12*0,IF($J62=11,-$E62*$I62/12*1,IF($J62=12,-$E62*$I62/12*2,0)))))</f>
        <v>0</v>
      </c>
      <c r="CK62" s="403">
        <f>IF(AND(CF62&lt;&gt;0,CF$5=$H62),-$I62*$E62-CF62,IF(CK$5=$H62,-$I62*$E62*(12-$J62+1)/12,0))</f>
        <v>0</v>
      </c>
      <c r="CL62" s="400">
        <f>IF($H62&lt;&gt;CP$5,0,IF(CP62&lt;0,IF($J62=1,-$E62*$I62/12*3,IF($J62=2,-$E62*$I62/12*2,IF($J62=3,-$E62*$I62/12*1,0)))))+IF(CK$5&lt;&gt;$H62,0,IF(CK62&lt;0,IF($J62=1,-$E62*$I62/12*0,IF($J62=2,-$E62*$I62/12*1,IF($J62=3,-$E62*$I62/12*2,IF($J62&gt;=4,-$E62*$I62/12*3,0))))))</f>
        <v>0</v>
      </c>
      <c r="CM62" s="406">
        <f>IF($H62&lt;&gt;CP$5,0,IF(CP62&lt;0,IF(OR($J62=1,$J62=2,$J62=3,$J62=4),-$E62*$I62/12*3,IF($J62=5,-$E62*$I62/12*2,IF($J62=6,-$E62*$I62/12*1,0)))))+IF(CK$5&lt;&gt;$H62,0,IF(CK62&lt;0,IF($J62=4,-$E62*$I62/12*0,IF($J62=5,-$E62*$I62/12*1,IF($J62=6,-$E62*$I62/12*2,IF($J62&gt;=7,-$E62*$I62/12*3,0))))))</f>
        <v>0</v>
      </c>
      <c r="CN62" s="406">
        <f>IF($H62&lt;&gt;CP$5,0,IF(CP62&lt;0,IF(OR($J62=1,$J62=2,$J62=3,$J62=4,$J62=5,$J62=6,$J62=7),-$E62*$I62/12*3,IF($J62=8,-$E62*$I62/12*2,IF($J62=9,-$E62*$I62/12*1,0)))))+IF(CK$5&lt;&gt;$H62,0,IF(CK62&lt;0,IF($J62=7,-$E62*$I62/12*0,IF($J62=8,-$E62*$I62/12*1,IF($J62=9,-$E62*$I62/12*2,IF($J62&gt;=10,-$E62*$I62/12*3,0))))))</f>
        <v>0</v>
      </c>
      <c r="CO62" s="402">
        <f>IF($H62&lt;&gt;CP$5,0,IF(CP62&lt;0,IF(OR($J62=1,$J62=2,$J62=3,$J62=4,$J62=5,$J62=6,$J62=7,$J62=8,$J62=9,$J62=10),-$E62*$I62/12*3,IF($J62=11,-$E62*$I62/12*2,IF($J62=12,-$E62*$I62/12*1,0)))))+IF(CK$5&lt;&gt;$H62,0,IF(CK62&lt;0,IF($J62=10,-$E62*$I62/12*0,IF($J62=11,-$E62*$I62/12*1,IF($J62=12,-$E62*$I62/12*2,0)))))</f>
        <v>0</v>
      </c>
      <c r="CP62" s="403">
        <f>IF(AND(CK62&lt;&gt;0,CK$5=$H62),-$I62*$E62-CK62,IF(CP$5=$H62,-$I62*$E62*(12-$J62+1)/12,0))</f>
        <v>0</v>
      </c>
      <c r="CQ62" s="400">
        <f>IF($H62&lt;&gt;CU$5,0,IF(CU62&lt;0,IF($J62=1,-$E62*$I62/12*3,IF($J62=2,-$E62*$I62/12*2,IF($J62=3,-$E62*$I62/12*1,0)))))+IF(CP$5&lt;&gt;$H62,0,IF(CP62&lt;0,IF($J62=1,-$E62*$I62/12*0,IF($J62=2,-$E62*$I62/12*1,IF($J62=3,-$E62*$I62/12*2,IF($J62&gt;=4,-$E62*$I62/12*3,0))))))</f>
        <v>0</v>
      </c>
      <c r="CR62" s="406">
        <f>IF($H62&lt;&gt;CU$5,0,IF(CU62&lt;0,IF(OR($J62=1,$J62=2,$J62=3,$J62=4),-$E62*$I62/12*3,IF($J62=5,-$E62*$I62/12*2,IF($J62=6,-$E62*$I62/12*1,0)))))+IF(CP$5&lt;&gt;$H62,0,IF(CP62&lt;0,IF($J62=4,-$E62*$I62/12*0,IF($J62=5,-$E62*$I62/12*1,IF($J62=6,-$E62*$I62/12*2,IF($J62&gt;=7,-$E62*$I62/12*3,0))))))</f>
        <v>0</v>
      </c>
      <c r="CS62" s="406">
        <f>IF($H62&lt;&gt;CU$5,0,IF(CU62&lt;0,IF(OR($J62=1,$J62=2,$J62=3,$J62=4,$J62=5,$J62=6,$J62=7),-$E62*$I62/12*3,IF($J62=8,-$E62*$I62/12*2,IF($J62=9,-$E62*$I62/12*1,0)))))+IF(CP$5&lt;&gt;$H62,0,IF(CP62&lt;0,IF($J62=7,-$E62*$I62/12*0,IF($J62=8,-$E62*$I62/12*1,IF($J62=9,-$E62*$I62/12*2,IF($J62&gt;=10,-$E62*$I62/12*3,0))))))</f>
        <v>0</v>
      </c>
      <c r="CT62" s="402">
        <f>IF($H62&lt;&gt;CU$5,0,IF(CU62&lt;0,IF(OR($J62=1,$J62=2,$J62=3,$J62=4,$J62=5,$J62=6,$J62=7,$J62=8,$J62=9,$J62=10),-$E62*$I62/12*3,IF($J62=11,-$E62*$I62/12*2,IF($J62=12,-$E62*$I62/12*1,0)))))+IF(CP$5&lt;&gt;$H62,0,IF(CP62&lt;0,IF($J62=10,-$E62*$I62/12*0,IF($J62=11,-$E62*$I62/12*1,IF($J62=12,-$E62*$I62/12*2,0)))))</f>
        <v>0</v>
      </c>
      <c r="CU62" s="403">
        <f>IF(AND(CP62&lt;&gt;0,CP$5=$H62),-$I62*$E62-CP62,IF(CU$5=$H62,-$I62*$E62*(12-$J62+1)/12,0))</f>
        <v>0</v>
      </c>
      <c r="CV62" s="400">
        <f>IF($H62&lt;&gt;CZ$5,0,IF(CZ62&lt;0,IF($J62=1,-$E62*$I62/12*3,IF($J62=2,-$E62*$I62/12*2,IF($J62=3,-$E62*$I62/12*1,0)))))+IF(CU$5&lt;&gt;$H62,0,IF(CU62&lt;0,IF($J62=1,-$E62*$I62/12*0,IF($J62=2,-$E62*$I62/12*1,IF($J62=3,-$E62*$I62/12*2,IF($J62&gt;=4,-$E62*$I62/12*3,0))))))</f>
        <v>0</v>
      </c>
      <c r="CW62" s="406">
        <f>IF($H62&lt;&gt;CZ$5,0,IF(CZ62&lt;0,IF(OR($J62=1,$J62=2,$J62=3,$J62=4),-$E62*$I62/12*3,IF($J62=5,-$E62*$I62/12*2,IF($J62=6,-$E62*$I62/12*1,0)))))+IF(CU$5&lt;&gt;$H62,0,IF(CU62&lt;0,IF($J62=4,-$E62*$I62/12*0,IF($J62=5,-$E62*$I62/12*1,IF($J62=6,-$E62*$I62/12*2,IF($J62&gt;=7,-$E62*$I62/12*3,0))))))</f>
        <v>0</v>
      </c>
      <c r="CX62" s="406">
        <f>IF($H62&lt;&gt;CZ$5,0,IF(CZ62&lt;0,IF(OR($J62=1,$J62=2,$J62=3,$J62=4,$J62=5,$J62=6,$J62=7),-$E62*$I62/12*3,IF($J62=8,-$E62*$I62/12*2,IF($J62=9,-$E62*$I62/12*1,0)))))+IF(CU$5&lt;&gt;$H62,0,IF(CU62&lt;0,IF($J62=7,-$E62*$I62/12*0,IF($J62=8,-$E62*$I62/12*1,IF($J62=9,-$E62*$I62/12*2,IF($J62&gt;=10,-$E62*$I62/12*3,0))))))</f>
        <v>0</v>
      </c>
      <c r="CY62" s="402">
        <f>IF($H62&lt;&gt;CZ$5,0,IF(CZ62&lt;0,IF(OR($J62=1,$J62=2,$J62=3,$J62=4,$J62=5,$J62=6,$J62=7,$J62=8,$J62=9,$J62=10),-$E62*$I62/12*3,IF($J62=11,-$E62*$I62/12*2,IF($J62=12,-$E62*$I62/12*1,0)))))+IF(CU$5&lt;&gt;$H62,0,IF(CU62&lt;0,IF($J62=10,-$E62*$I62/12*0,IF($J62=11,-$E62*$I62/12*1,IF($J62=12,-$E62*$I62/12*2,0)))))</f>
        <v>0</v>
      </c>
      <c r="CZ62" s="403">
        <f>IF(AND(CU62&lt;&gt;0,CU$5=$H62),-$I62*$E62-CU62,IF(CZ$5=$H62,-$I62*$E62*(12-$J62+1)/12,0))</f>
        <v>0</v>
      </c>
      <c r="DA62" s="400">
        <f>IF($H62&lt;&gt;DE$5,0,IF(DE62&lt;0,IF($J62=1,-$E62*$I62/12*3,IF($J62=2,-$E62*$I62/12*2,IF($J62=3,-$E62*$I62/12*1,0)))))+IF(CZ$5&lt;&gt;$H62,0,IF(CZ62&lt;0,IF($J62=1,-$E62*$I62/12*0,IF($J62=2,-$E62*$I62/12*1,IF($J62=3,-$E62*$I62/12*2,IF($J62&gt;=4,-$E62*$I62/12*3,0))))))</f>
        <v>0</v>
      </c>
      <c r="DB62" s="406">
        <f>IF($H62&lt;&gt;DE$5,0,IF(DE62&lt;0,IF(OR($J62=1,$J62=2,$J62=3,$J62=4),-$E62*$I62/12*3,IF($J62=5,-$E62*$I62/12*2,IF($J62=6,-$E62*$I62/12*1,0)))))+IF(CZ$5&lt;&gt;$H62,0,IF(CZ62&lt;0,IF($J62=4,-$E62*$I62/12*0,IF($J62=5,-$E62*$I62/12*1,IF($J62=6,-$E62*$I62/12*2,IF($J62&gt;=7,-$E62*$I62/12*3,0))))))</f>
        <v>0</v>
      </c>
      <c r="DC62" s="406">
        <f>IF($H62&lt;&gt;DE$5,0,IF(DE62&lt;0,IF(OR($J62=1,$J62=2,$J62=3,$J62=4,$J62=5,$J62=6,$J62=7),-$E62*$I62/12*3,IF($J62=8,-$E62*$I62/12*2,IF($J62=9,-$E62*$I62/12*1,0)))))+IF(CZ$5&lt;&gt;$H62,0,IF(CZ62&lt;0,IF($J62=7,-$E62*$I62/12*0,IF($J62=8,-$E62*$I62/12*1,IF($J62=9,-$E62*$I62/12*2,IF($J62&gt;=10,-$E62*$I62/12*3,0))))))</f>
        <v>0</v>
      </c>
      <c r="DD62" s="402">
        <f>IF($H62&lt;&gt;DE$5,0,IF(DE62&lt;0,IF(OR($J62=1,$J62=2,$J62=3,$J62=4,$J62=5,$J62=6,$J62=7,$J62=8,$J62=9,$J62=10),-$E62*$I62/12*3,IF($J62=11,-$E62*$I62/12*2,IF($J62=12,-$E62*$I62/12*1,0)))))+IF(CZ$5&lt;&gt;$H62,0,IF(CZ62&lt;0,IF($J62=10,-$E62*$I62/12*0,IF($J62=11,-$E62*$I62/12*1,IF($J62=12,-$E62*$I62/12*2,0)))))</f>
        <v>0</v>
      </c>
      <c r="DE62" s="403">
        <f>IF(AND(CZ62&lt;&gt;0,CZ$5=$H62),-$I62*$E62-CZ62,IF(DE$5=$H62,-$I62*$E62*(12-$J62+1)/12,0))</f>
        <v>0</v>
      </c>
      <c r="DF62" s="400">
        <f>IF($H62&lt;&gt;DJ$5,0,IF(DJ62&lt;0,IF($J62=1,-$E62*$I62/12*3,IF($J62=2,-$E62*$I62/12*2,IF($J62=3,-$E62*$I62/12*1,0)))))+IF(DE$5&lt;&gt;$H62,0,IF(DE62&lt;0,IF($J62=1,-$E62*$I62/12*0,IF($J62=2,-$E62*$I62/12*1,IF($J62=3,-$E62*$I62/12*2,IF($J62&gt;=4,-$E62*$I62/12*3,0))))))</f>
        <v>0</v>
      </c>
      <c r="DG62" s="406">
        <f>IF($H62&lt;&gt;DJ$5,0,IF(DJ62&lt;0,IF(OR($J62=1,$J62=2,$J62=3,$J62=4),-$E62*$I62/12*3,IF($J62=5,-$E62*$I62/12*2,IF($J62=6,-$E62*$I62/12*1,0)))))+IF(DE$5&lt;&gt;$H62,0,IF(DE62&lt;0,IF($J62=4,-$E62*$I62/12*0,IF($J62=5,-$E62*$I62/12*1,IF($J62=6,-$E62*$I62/12*2,IF($J62&gt;=7,-$E62*$I62/12*3,0))))))</f>
        <v>0</v>
      </c>
      <c r="DH62" s="406">
        <f>IF($H62&lt;&gt;DJ$5,0,IF(DJ62&lt;0,IF(OR($J62=1,$J62=2,$J62=3,$J62=4,$J62=5,$J62=6,$J62=7),-$E62*$I62/12*3,IF($J62=8,-$E62*$I62/12*2,IF($J62=9,-$E62*$I62/12*1,0)))))+IF(DE$5&lt;&gt;$H62,0,IF(DE62&lt;0,IF($J62=7,-$E62*$I62/12*0,IF($J62=8,-$E62*$I62/12*1,IF($J62=9,-$E62*$I62/12*2,IF($J62&gt;=10,-$E62*$I62/12*3,0))))))</f>
        <v>0</v>
      </c>
      <c r="DI62" s="402">
        <f>IF($H62&lt;&gt;DJ$5,0,IF(DJ62&lt;0,IF(OR($J62=1,$J62=2,$J62=3,$J62=4,$J62=5,$J62=6,$J62=7,$J62=8,$J62=9,$J62=10),-$E62*$I62/12*3,IF($J62=11,-$E62*$I62/12*2,IF($J62=12,-$E62*$I62/12*1,0)))))+IF(DE$5&lt;&gt;$H62,0,IF(DE62&lt;0,IF($J62=10,-$E62*$I62/12*0,IF($J62=11,-$E62*$I62/12*1,IF($J62=12,-$E62*$I62/12*2,0)))))</f>
        <v>0</v>
      </c>
      <c r="DJ62" s="403">
        <f>IF(AND(DE62&lt;&gt;0,DE$5=$H62),-$I62*$E62-DE62,IF(DJ$5=$H62,-$I62*$E62*(12-$J62+1)/12,0))</f>
        <v>0</v>
      </c>
      <c r="DK62" s="400">
        <f>IF($H62&lt;&gt;DO$5,0,IF(DO62&lt;0,IF($J62=1,-$E62*$I62/12*3,IF($J62=2,-$E62*$I62/12*2,IF($J62=3,-$E62*$I62/12*1,0)))))+IF(DJ$5&lt;&gt;$H62,0,IF(DJ62&lt;0,IF($J62=1,-$E62*$I62/12*0,IF($J62=2,-$E62*$I62/12*1,IF($J62=3,-$E62*$I62/12*2,IF($J62&gt;=4,-$E62*$I62/12*3,0))))))</f>
        <v>0</v>
      </c>
      <c r="DL62" s="406">
        <f>IF($H62&lt;&gt;DO$5,0,IF(DO62&lt;0,IF(OR($J62=1,$J62=2,$J62=3,$J62=4),-$E62*$I62/12*3,IF($J62=5,-$E62*$I62/12*2,IF($J62=6,-$E62*$I62/12*1,0)))))+IF(DJ$5&lt;&gt;$H62,0,IF(DJ62&lt;0,IF($J62=4,-$E62*$I62/12*0,IF($J62=5,-$E62*$I62/12*1,IF($J62=6,-$E62*$I62/12*2,IF($J62&gt;=7,-$E62*$I62/12*3,0))))))</f>
        <v>0</v>
      </c>
      <c r="DM62" s="406">
        <f>IF($H62&lt;&gt;DO$5,0,IF(DO62&lt;0,IF(OR($J62=1,$J62=2,$J62=3,$J62=4,$J62=5,$J62=6,$J62=7),-$E62*$I62/12*3,IF($J62=8,-$E62*$I62/12*2,IF($J62=9,-$E62*$I62/12*1,0)))))+IF(DJ$5&lt;&gt;$H62,0,IF(DJ62&lt;0,IF($J62=7,-$E62*$I62/12*0,IF($J62=8,-$E62*$I62/12*1,IF($J62=9,-$E62*$I62/12*2,IF($J62&gt;=10,-$E62*$I62/12*3,0))))))</f>
        <v>0</v>
      </c>
      <c r="DN62" s="402">
        <f>IF($H62&lt;&gt;DO$5,0,IF(DO62&lt;0,IF(OR($J62=1,$J62=2,$J62=3,$J62=4,$J62=5,$J62=6,$J62=7,$J62=8,$J62=9,$J62=10),-$E62*$I62/12*3,IF($J62=11,-$E62*$I62/12*2,IF($J62=12,-$E62*$I62/12*1,0)))))+IF(DJ$5&lt;&gt;$H62,0,IF(DJ62&lt;0,IF($J62=10,-$E62*$I62/12*0,IF($J62=11,-$E62*$I62/12*1,IF($J62=12,-$E62*$I62/12*2,0)))))</f>
        <v>0</v>
      </c>
      <c r="DO62" s="403">
        <f>IF(AND(DJ62&lt;&gt;0,DJ$5=$H62),-$I62*$E62-DJ62,IF(DO$5=$H62,-$I62*$E62*(12-$J62+1)/12,0))</f>
        <v>0</v>
      </c>
      <c r="DP62" s="400">
        <f>IF($H62&lt;&gt;DT$5,0,IF(DT62&lt;0,IF($J62=1,-$E62*$I62/12*3,IF($J62=2,-$E62*$I62/12*2,IF($J62=3,-$E62*$I62/12*1,0)))))+IF(DO$5&lt;&gt;$H62,0,IF(DO62&lt;0,IF($J62=1,-$E62*$I62/12*0,IF($J62=2,-$E62*$I62/12*1,IF($J62=3,-$E62*$I62/12*2,IF($J62&gt;=4,-$E62*$I62/12*3,0))))))</f>
        <v>0</v>
      </c>
      <c r="DQ62" s="406">
        <f>IF($H62&lt;&gt;DT$5,0,IF(DT62&lt;0,IF(OR($J62=1,$J62=2,$J62=3,$J62=4),-$E62*$I62/12*3,IF($J62=5,-$E62*$I62/12*2,IF($J62=6,-$E62*$I62/12*1,0)))))+IF(DO$5&lt;&gt;$H62,0,IF(DO62&lt;0,IF($J62=4,-$E62*$I62/12*0,IF($J62=5,-$E62*$I62/12*1,IF($J62=6,-$E62*$I62/12*2,IF($J62&gt;=7,-$E62*$I62/12*3,0))))))</f>
        <v>0</v>
      </c>
      <c r="DR62" s="406">
        <f>IF($H62&lt;&gt;DT$5,0,IF(DT62&lt;0,IF(OR($J62=1,$J62=2,$J62=3,$J62=4,$J62=5,$J62=6,$J62=7),-$E62*$I62/12*3,IF($J62=8,-$E62*$I62/12*2,IF($J62=9,-$E62*$I62/12*1,0)))))+IF(DO$5&lt;&gt;$H62,0,IF(DO62&lt;0,IF($J62=7,-$E62*$I62/12*0,IF($J62=8,-$E62*$I62/12*1,IF($J62=9,-$E62*$I62/12*2,IF($J62&gt;=10,-$E62*$I62/12*3,0))))))</f>
        <v>0</v>
      </c>
      <c r="DS62" s="402">
        <f>IF($H62&lt;&gt;DT$5,0,IF(DT62&lt;0,IF(OR($J62=1,$J62=2,$J62=3,$J62=4,$J62=5,$J62=6,$J62=7,$J62=8,$J62=9,$J62=10),-$E62*$I62/12*3,IF($J62=11,-$E62*$I62/12*2,IF($J62=12,-$E62*$I62/12*1,0)))))+IF(DO$5&lt;&gt;$H62,0,IF(DO62&lt;0,IF($J62=10,-$E62*$I62/12*0,IF($J62=11,-$E62*$I62/12*1,IF($J62=12,-$E62*$I62/12*2,0)))))</f>
        <v>0</v>
      </c>
      <c r="DT62" s="403">
        <f>IF(AND(DO62&lt;&gt;0,DO$5=$H62),-$I62*$E62-DO62,IF(DT$5=$H62,-$I62*$E62*(12-$J62+1)/12,0))</f>
        <v>0</v>
      </c>
      <c r="EF62" s="35"/>
    </row>
    <row r="63" spans="3:139" ht="12.75" customHeight="1" x14ac:dyDescent="0.2">
      <c r="C63" s="922" t="s">
        <v>594</v>
      </c>
      <c r="D63" s="826"/>
      <c r="E63" s="530">
        <f t="shared" si="472"/>
        <v>350</v>
      </c>
      <c r="F63" s="831">
        <v>350</v>
      </c>
      <c r="G63" s="831">
        <v>350</v>
      </c>
      <c r="H63" s="808">
        <v>2046</v>
      </c>
      <c r="I63" s="809">
        <v>3.5999999999999997E-2</v>
      </c>
      <c r="J63" s="810">
        <v>5</v>
      </c>
      <c r="K63" s="392"/>
      <c r="L63" s="397">
        <f t="shared" si="473"/>
        <v>0</v>
      </c>
      <c r="M63" s="394">
        <f>IF(Q63=0,0,IF(Q63&lt;0,IF($J63=3,Q63,IF($J63=2,Q63,IF($J63=1,Q63,0)))))</f>
        <v>0</v>
      </c>
      <c r="N63" s="404">
        <f>IF(Q63=0,0,IF(Q63&lt;0,IF($J63=6,Q63,IF($J63=5,Q63,IF($J63=4,Q63,0)))))</f>
        <v>0</v>
      </c>
      <c r="O63" s="404">
        <f>IF(Q63=0,0,IF(Q63&lt;0,IF($J63=9,Q63,IF($J63=8,Q63,IF($J63=7,Q63,0)))))</f>
        <v>0</v>
      </c>
      <c r="P63" s="396">
        <f>IF(Q63=0,0,IF(Q63&lt;0,IF($J63=12,Q63,IF($J63=11,Q63,IF($J63=10,Q63,0)))))</f>
        <v>0</v>
      </c>
      <c r="Q63" s="397">
        <f t="shared" si="478"/>
        <v>0</v>
      </c>
      <c r="R63" s="394">
        <f>IF(V63=0,0,IF(V63&lt;0,IF($J63=3,V63,IF($J63=2,V63,IF($J63=1,V63,0)))))</f>
        <v>0</v>
      </c>
      <c r="S63" s="404">
        <f>IF(V63=0,0,IF(V63&lt;0,IF($J63=6,V63,IF($J63=5,V63,IF($J63=4,V63,0)))))</f>
        <v>0</v>
      </c>
      <c r="T63" s="404">
        <f>IF(V63=0,0,IF(V63&lt;0,IF($J63=9,V63,IF($J63=8,V63,IF($J63=7,V63,0)))))</f>
        <v>0</v>
      </c>
      <c r="U63" s="396">
        <f>IF(V63=0,0,IF(V63&lt;0,IF($J63=12,V63,IF($J63=11,V63,IF($J63=10,V63,0)))))</f>
        <v>0</v>
      </c>
      <c r="V63" s="397">
        <f t="shared" si="483"/>
        <v>0</v>
      </c>
      <c r="W63" s="394">
        <f>IF(AA63=0,0,IF(AA63&lt;0,IF($J63=3,AA63,IF($J63=2,AA63,IF($J63=1,AA63,0)))))</f>
        <v>0</v>
      </c>
      <c r="X63" s="404">
        <f>IF(AA63=0,0,IF(AA63&lt;0,IF($J63=6,AA63,IF($J63=5,AA63,IF($J63=4,AA63,0)))))</f>
        <v>0</v>
      </c>
      <c r="Y63" s="404">
        <f>IF(AA63=0,0,IF(AA63&lt;0,IF($J63=9,AA63,IF($J63=8,AA63,IF($J63=7,AA63,0)))))</f>
        <v>0</v>
      </c>
      <c r="Z63" s="396">
        <f>IF(AA63=0,0,IF(AA63&lt;0,IF($J63=12,AA63,IF($J63=11,AA63,IF($J63=10,AA63,0)))))</f>
        <v>0</v>
      </c>
      <c r="AA63" s="397">
        <f t="shared" si="488"/>
        <v>0</v>
      </c>
      <c r="AB63" s="394">
        <f>IF(AF63=0,0,IF(AF63&lt;0,IF($J63=3,AF63,IF($J63=2,AF63,IF($J63=1,AF63,0)))))</f>
        <v>0</v>
      </c>
      <c r="AC63" s="404">
        <f>IF(AF63=0,0,IF(AF63&lt;0,IF($J63=6,AF63,IF($J63=5,AF63,IF($J63=4,AF63,0)))))</f>
        <v>0</v>
      </c>
      <c r="AD63" s="404">
        <f>IF(AF63=0,0,IF(AF63&lt;0,IF($J63=9,AF63,IF($J63=8,AF63,IF($J63=7,AF63,0)))))</f>
        <v>0</v>
      </c>
      <c r="AE63" s="396">
        <f>IF(AF63=0,0,IF(AF63&lt;0,IF($J63=12,AF63,IF($J63=11,AF63,IF($J63=10,AF63,0)))))</f>
        <v>0</v>
      </c>
      <c r="AF63" s="397">
        <f t="shared" si="493"/>
        <v>0</v>
      </c>
      <c r="AG63" s="394">
        <f>IF(AK63=0,0,IF(AK63&lt;0,IF($J63=3,AK63,IF($J63=2,AK63,IF($J63=1,AK63,0)))))</f>
        <v>0</v>
      </c>
      <c r="AH63" s="404">
        <f>IF(AK63=0,0,IF(AK63&lt;0,IF($J63=6,AK63,IF($J63=5,AK63,IF($J63=4,AK63,0)))))</f>
        <v>0</v>
      </c>
      <c r="AI63" s="404">
        <f>IF(AK63=0,0,IF(AK63&lt;0,IF($J63=9,AK63,IF($J63=8,AK63,IF($J63=7,AK63,0)))))</f>
        <v>0</v>
      </c>
      <c r="AJ63" s="396">
        <f>IF(AK63=0,0,IF(AK63&lt;0,IF($J63=12,AK63,IF($J63=11,AK63,IF($J63=10,AK63,0)))))</f>
        <v>0</v>
      </c>
      <c r="AK63" s="397">
        <f t="shared" si="498"/>
        <v>0</v>
      </c>
      <c r="AL63" s="394">
        <f>IF(AP63=0,0,IF(AP63&lt;0,IF($J63=3,AP63,IF($J63=2,AP63,IF($J63=1,AP63,0)))))</f>
        <v>0</v>
      </c>
      <c r="AM63" s="404">
        <f>IF(AP63=0,0,IF(AP63&lt;0,IF($J63=6,AP63,IF($J63=5,AP63,IF($J63=4,AP63,0)))))</f>
        <v>0</v>
      </c>
      <c r="AN63" s="404">
        <f>IF(AP63=0,0,IF(AP63&lt;0,IF($J63=9,AP63,IF($J63=8,AP63,IF($J63=7,AP63,0)))))</f>
        <v>0</v>
      </c>
      <c r="AO63" s="396">
        <f>IF(AP63=0,0,IF(AP63&lt;0,IF($J63=12,AP63,IF($J63=11,AP63,IF($J63=10,AP63,0)))))</f>
        <v>0</v>
      </c>
      <c r="AP63" s="397">
        <f t="shared" si="503"/>
        <v>0</v>
      </c>
      <c r="AQ63" s="394">
        <f>IF(AU63=0,0,IF(AU63&lt;0,IF($J63=3,AU63,IF($J63=2,AU63,IF($J63=1,AU63,0)))))</f>
        <v>0</v>
      </c>
      <c r="AR63" s="404">
        <f>IF(AU63=0,0,IF(AU63&lt;0,IF($J63=6,AU63,IF($J63=5,AU63,IF($J63=4,AU63,0)))))</f>
        <v>0</v>
      </c>
      <c r="AS63" s="404">
        <f>IF(AU63=0,0,IF(AU63&lt;0,IF($J63=9,AU63,IF($J63=8,AU63,IF($J63=7,AU63,0)))))</f>
        <v>0</v>
      </c>
      <c r="AT63" s="396">
        <f>IF(AU63=0,0,IF(AU63&lt;0,IF($J63=12,AU63,IF($J63=11,AU63,IF($J63=10,AU63,0)))))</f>
        <v>0</v>
      </c>
      <c r="AU63" s="397">
        <f t="shared" si="508"/>
        <v>0</v>
      </c>
      <c r="AV63" s="394">
        <f>IF(AZ63=0,0,IF(AZ63&lt;0,IF($J63=3,AZ63,IF($J63=2,AZ63,IF($J63=1,AZ63,0)))))</f>
        <v>0</v>
      </c>
      <c r="AW63" s="404">
        <f>IF(AZ63=0,0,IF(AZ63&lt;0,IF($J63=6,AZ63,IF($J63=5,AZ63,IF($J63=4,AZ63,0)))))</f>
        <v>0</v>
      </c>
      <c r="AX63" s="404">
        <f>IF(AZ63=0,0,IF(AZ63&lt;0,IF($J63=9,AZ63,IF($J63=8,AZ63,IF($J63=7,AZ63,0)))))</f>
        <v>0</v>
      </c>
      <c r="AY63" s="396">
        <f>IF(AZ63=0,0,IF(AZ63&lt;0,IF($J63=12,AZ63,IF($J63=11,AZ63,IF($J63=10,AZ63,0)))))</f>
        <v>0</v>
      </c>
      <c r="AZ63" s="397">
        <f t="shared" si="513"/>
        <v>0</v>
      </c>
      <c r="BA63" s="394">
        <f>IF(BE63=0,0,IF(BE63&lt;0,IF($J63=3,BE63,IF($J63=2,BE63,IF($J63=1,BE63,0)))))</f>
        <v>0</v>
      </c>
      <c r="BB63" s="404">
        <f>IF(BE63=0,0,IF(BE63&lt;0,IF($J63=6,BE63,IF($J63=5,BE63,IF($J63=4,BE63,0)))))</f>
        <v>0</v>
      </c>
      <c r="BC63" s="404">
        <f>IF(BE63=0,0,IF(BE63&lt;0,IF($J63=9,BE63,IF($J63=8,BE63,IF($J63=7,BE63,0)))))</f>
        <v>0</v>
      </c>
      <c r="BD63" s="396">
        <f>IF(BE63=0,0,IF(BE63&lt;0,IF($J63=12,BE63,IF($J63=11,BE63,IF($J63=10,BE63,0)))))</f>
        <v>0</v>
      </c>
      <c r="BE63" s="397">
        <f t="shared" si="514"/>
        <v>0</v>
      </c>
      <c r="BF63" s="394">
        <f>IF(BJ63=0,0,IF(BJ63&lt;0,IF($J63=3,BJ63,IF($J63=2,BJ63,IF($J63=1,BJ63,0)))))</f>
        <v>0</v>
      </c>
      <c r="BG63" s="404">
        <f>IF(BJ63=0,0,IF(BJ63&lt;0,IF($J63=6,BJ63,IF($J63=5,BJ63,IF($J63=4,BJ63,0)))))</f>
        <v>0</v>
      </c>
      <c r="BH63" s="404">
        <f>IF(BJ63=0,0,IF(BJ63&lt;0,IF($J63=9,BJ63,IF($J63=8,BJ63,IF($J63=7,BJ63,0)))))</f>
        <v>0</v>
      </c>
      <c r="BI63" s="396">
        <f>IF(BJ63=0,0,IF(BJ63&lt;0,IF($J63=12,BJ63,IF($J63=11,BJ63,IF($J63=10,BJ63,0)))))</f>
        <v>0</v>
      </c>
      <c r="BJ63" s="397">
        <f t="shared" si="515"/>
        <v>0</v>
      </c>
      <c r="BK63" s="394">
        <f>IF(BO63=0,0,IF(BO63&lt;0,IF($J63=3,BO63,IF($J63=2,BO63,IF($J63=1,BO63,0)))))</f>
        <v>0</v>
      </c>
      <c r="BL63" s="404">
        <f>IF(BO63=0,0,IF(BO63&lt;0,IF($J63=6,BO63,IF($J63=5,BO63,IF($J63=4,BO63,0)))))</f>
        <v>0</v>
      </c>
      <c r="BM63" s="404">
        <f>IF(BO63=0,0,IF(BO63&lt;0,IF($J63=9,BO63,IF($J63=8,BO63,IF($J63=7,BO63,0)))))</f>
        <v>0</v>
      </c>
      <c r="BN63" s="396">
        <f>IF(BO63=0,0,IF(BO63&lt;0,IF($J63=12,BO63,IF($J63=11,BO63,IF($J63=10,BO63,0)))))</f>
        <v>0</v>
      </c>
      <c r="BO63" s="397">
        <f t="shared" si="516"/>
        <v>0</v>
      </c>
      <c r="BP63" s="452"/>
      <c r="BQ63" s="403">
        <f>IF(AND(BP63&lt;&gt;0,BP$5=$H63),-$I63*$E63-BP63,IF(BQ$5=$H63,-$I63*$E63*(12-$J63+1)/12,0))</f>
        <v>0</v>
      </c>
      <c r="BR63" s="400">
        <f>IF($H63&lt;&gt;BV$5,0,IF(BV63&lt;0,IF($J63=1,-$E63*$I63/12*3,IF($J63=2,-$E63*$I63/12*2,IF($J63=3,-$E63*$I63/12*1,0)))))+IF(BQ$5&lt;&gt;$H63,0,IF(BQ63&lt;0,IF($J63=1,-$E63*$I63/12*0,IF($J63=2,-$E63*$I63/12*1,IF($J63=3,-$E63*$I63/12*2,IF($J63&gt;=4,-$E63*$I63/12*3,0))))))</f>
        <v>0</v>
      </c>
      <c r="BS63" s="406">
        <f>IF($H63&lt;&gt;BV$5,0,IF(BV63&lt;0,IF(OR($J63=1,$J63=2,$J63=3,$J63=4),-$E63*$I63/12*3,IF($J63=5,-$E63*$I63/12*2,IF($J63=6,-$E63*$I63/12*1,0)))))+IF(BQ$5&lt;&gt;$H63,0,IF(BQ63&lt;0,IF($J63=4,-$E63*$I63/12*0,IF($J63=5,-$E63*$I63/12*1,IF($J63=6,-$E63*$I63/12*2,IF($J63&gt;=7,-$E63*$I63/12*3,0))))))</f>
        <v>0</v>
      </c>
      <c r="BT63" s="406">
        <f>IF($H63&lt;&gt;BV$5,0,IF(BV63&lt;0,IF(OR($J63=1,$J63=2,$J63=3,$J63=4,$J63=5,$J63=6,$J63=7),-$E63*$I63/12*3,IF($J63=8,-$E63*$I63/12*2,IF($J63=9,-$E63*$I63/12*1,0)))))+IF(BQ$5&lt;&gt;$H63,0,IF(BQ63&lt;0,IF($J63=7,-$E63*$I63/12*0,IF($J63=8,-$E63*$I63/12*1,IF($J63=9,-$E63*$I63/12*2,IF($J63&gt;=10,-$E63*$I63/12*3,0))))))</f>
        <v>0</v>
      </c>
      <c r="BU63" s="402">
        <f>IF($H63&lt;&gt;BV$5,0,IF(BV63&lt;0,IF(OR($J63=1,$J63=2,$J63=3,$J63=4,$J63=5,$J63=6,$J63=7,$J63=8,$J63=9,$J63=10),-$E63*$I63/12*3,IF($J63=11,-$E63*$I63/12*2,IF($J63=12,-$E63*$I63/12*1,0)))))+IF(BQ$5&lt;&gt;$H63,0,IF(BQ63&lt;0,IF($J63=10,-$E63*$I63/12*0,IF($J63=11,-$E63*$I63/12*1,IF($J63=12,-$E63*$I63/12*2,0)))))</f>
        <v>0</v>
      </c>
      <c r="BV63" s="403">
        <f>IF(AND(BQ63&lt;&gt;0,BQ$5=$H63),-$I63*$E63-BQ63,IF(BV$5=$H63,-$I63*$E63*(12-$J63+1)/12,0))</f>
        <v>0</v>
      </c>
      <c r="BW63" s="400">
        <f>IF($H63&lt;&gt;CA$5,0,IF(CA63&lt;0,IF($J63=1,-$E63*$I63/12*3,IF($J63=2,-$E63*$I63/12*2,IF($J63=3,-$E63*$I63/12*1,0)))))+IF(BV$5&lt;&gt;$H63,0,IF(BV63&lt;0,IF($J63=1,-$E63*$I63/12*0,IF($J63=2,-$E63*$I63/12*1,IF($J63=3,-$E63*$I63/12*2,IF($J63&gt;=4,-$E63*$I63/12*3,0))))))</f>
        <v>0</v>
      </c>
      <c r="BX63" s="406">
        <f>IF($H63&lt;&gt;CA$5,0,IF(CA63&lt;0,IF(OR($J63=1,$J63=2,$J63=3,$J63=4),-$E63*$I63/12*3,IF($J63=5,-$E63*$I63/12*2,IF($J63=6,-$E63*$I63/12*1,0)))))+IF(BV$5&lt;&gt;$H63,0,IF(BV63&lt;0,IF($J63=4,-$E63*$I63/12*0,IF($J63=5,-$E63*$I63/12*1,IF($J63=6,-$E63*$I63/12*2,IF($J63&gt;=7,-$E63*$I63/12*3,0))))))</f>
        <v>0</v>
      </c>
      <c r="BY63" s="406">
        <f>IF($H63&lt;&gt;CA$5,0,IF(CA63&lt;0,IF(OR($J63=1,$J63=2,$J63=3,$J63=4,$J63=5,$J63=6,$J63=7),-$E63*$I63/12*3,IF($J63=8,-$E63*$I63/12*2,IF($J63=9,-$E63*$I63/12*1,0)))))+IF(BV$5&lt;&gt;$H63,0,IF(BV63&lt;0,IF($J63=7,-$E63*$I63/12*0,IF($J63=8,-$E63*$I63/12*1,IF($J63=9,-$E63*$I63/12*2,IF($J63&gt;=10,-$E63*$I63/12*3,0))))))</f>
        <v>0</v>
      </c>
      <c r="BZ63" s="402">
        <f>IF($H63&lt;&gt;CA$5,0,IF(CA63&lt;0,IF(OR($J63=1,$J63=2,$J63=3,$J63=4,$J63=5,$J63=6,$J63=7,$J63=8,$J63=9,$J63=10),-$E63*$I63/12*3,IF($J63=11,-$E63*$I63/12*2,IF($J63=12,-$E63*$I63/12*1,0)))))+IF(BV$5&lt;&gt;$H63,0,IF(BV63&lt;0,IF($J63=10,-$E63*$I63/12*0,IF($J63=11,-$E63*$I63/12*1,IF($J63=12,-$E63*$I63/12*2,0)))))</f>
        <v>0</v>
      </c>
      <c r="CA63" s="403">
        <f>IF(AND(BV63&lt;&gt;0,BV$5=$H63),-$I63*$E63-BV63,IF(CA$5=$H63,-$I63*$E63*(12-$J63+1)/12,0))</f>
        <v>0</v>
      </c>
      <c r="CB63" s="400">
        <f>IF($H63&lt;&gt;CF$5,0,IF(CF63&lt;0,IF($J63=1,-$E63*$I63/12*3,IF($J63=2,-$E63*$I63/12*2,IF($J63=3,-$E63*$I63/12*1,0)))))+IF(CA$5&lt;&gt;$H63,0,IF(CA63&lt;0,IF($J63=1,-$E63*$I63/12*0,IF($J63=2,-$E63*$I63/12*1,IF($J63=3,-$E63*$I63/12*2,IF($J63&gt;=4,-$E63*$I63/12*3,0))))))</f>
        <v>0</v>
      </c>
      <c r="CC63" s="406">
        <f>IF($H63&lt;&gt;CF$5,0,IF(CF63&lt;0,IF(OR($J63=1,$J63=2,$J63=3,$J63=4),-$E63*$I63/12*3,IF($J63=5,-$E63*$I63/12*2,IF($J63=6,-$E63*$I63/12*1,0)))))+IF(CA$5&lt;&gt;$H63,0,IF(CA63&lt;0,IF($J63=4,-$E63*$I63/12*0,IF($J63=5,-$E63*$I63/12*1,IF($J63=6,-$E63*$I63/12*2,IF($J63&gt;=7,-$E63*$I63/12*3,0))))))</f>
        <v>0</v>
      </c>
      <c r="CD63" s="406">
        <f>IF($H63&lt;&gt;CF$5,0,IF(CF63&lt;0,IF(OR($J63=1,$J63=2,$J63=3,$J63=4,$J63=5,$J63=6,$J63=7),-$E63*$I63/12*3,IF($J63=8,-$E63*$I63/12*2,IF($J63=9,-$E63*$I63/12*1,0)))))+IF(CA$5&lt;&gt;$H63,0,IF(CA63&lt;0,IF($J63=7,-$E63*$I63/12*0,IF($J63=8,-$E63*$I63/12*1,IF($J63=9,-$E63*$I63/12*2,IF($J63&gt;=10,-$E63*$I63/12*3,0))))))</f>
        <v>0</v>
      </c>
      <c r="CE63" s="402">
        <f>IF($H63&lt;&gt;CF$5,0,IF(CF63&lt;0,IF(OR($J63=1,$J63=2,$J63=3,$J63=4,$J63=5,$J63=6,$J63=7,$J63=8,$J63=9,$J63=10),-$E63*$I63/12*3,IF($J63=11,-$E63*$I63/12*2,IF($J63=12,-$E63*$I63/12*1,0)))))+IF(CA$5&lt;&gt;$H63,0,IF(CA63&lt;0,IF($J63=10,-$E63*$I63/12*0,IF($J63=11,-$E63*$I63/12*1,IF($J63=12,-$E63*$I63/12*2,0)))))</f>
        <v>0</v>
      </c>
      <c r="CF63" s="403">
        <f>IF(AND(CA63&lt;&gt;0,CA$5=$H63),-$I63*$E63-CA63,IF(CF$5=$H63,-$I63*$E63*(12-$J63+1)/12,0))</f>
        <v>0</v>
      </c>
      <c r="CG63" s="400">
        <f>IF($H63&lt;&gt;CK$5,0,IF(CK63&lt;0,IF($J63=1,-$E63*$I63/12*3,IF($J63=2,-$E63*$I63/12*2,IF($J63=3,-$E63*$I63/12*1,0)))))+IF(CF$5&lt;&gt;$H63,0,IF(CF63&lt;0,IF($J63=1,-$E63*$I63/12*0,IF($J63=2,-$E63*$I63/12*1,IF($J63=3,-$E63*$I63/12*2,IF($J63&gt;=4,-$E63*$I63/12*3,0))))))</f>
        <v>0</v>
      </c>
      <c r="CH63" s="406">
        <f>IF($H63&lt;&gt;CK$5,0,IF(CK63&lt;0,IF(OR($J63=1,$J63=2,$J63=3,$J63=4),-$E63*$I63/12*3,IF($J63=5,-$E63*$I63/12*2,IF($J63=6,-$E63*$I63/12*1,0)))))+IF(CF$5&lt;&gt;$H63,0,IF(CF63&lt;0,IF($J63=4,-$E63*$I63/12*0,IF($J63=5,-$E63*$I63/12*1,IF($J63=6,-$E63*$I63/12*2,IF($J63&gt;=7,-$E63*$I63/12*3,0))))))</f>
        <v>0</v>
      </c>
      <c r="CI63" s="406">
        <f>IF($H63&lt;&gt;CK$5,0,IF(CK63&lt;0,IF(OR($J63=1,$J63=2,$J63=3,$J63=4,$J63=5,$J63=6,$J63=7),-$E63*$I63/12*3,IF($J63=8,-$E63*$I63/12*2,IF($J63=9,-$E63*$I63/12*1,0)))))+IF(CF$5&lt;&gt;$H63,0,IF(CF63&lt;0,IF($J63=7,-$E63*$I63/12*0,IF($J63=8,-$E63*$I63/12*1,IF($J63=9,-$E63*$I63/12*2,IF($J63&gt;=10,-$E63*$I63/12*3,0))))))</f>
        <v>0</v>
      </c>
      <c r="CJ63" s="402">
        <f>IF($H63&lt;&gt;CK$5,0,IF(CK63&lt;0,IF(OR($J63=1,$J63=2,$J63=3,$J63=4,$J63=5,$J63=6,$J63=7,$J63=8,$J63=9,$J63=10),-$E63*$I63/12*3,IF($J63=11,-$E63*$I63/12*2,IF($J63=12,-$E63*$I63/12*1,0)))))+IF(CF$5&lt;&gt;$H63,0,IF(CF63&lt;0,IF($J63=10,-$E63*$I63/12*0,IF($J63=11,-$E63*$I63/12*1,IF($J63=12,-$E63*$I63/12*2,0)))))</f>
        <v>0</v>
      </c>
      <c r="CK63" s="403">
        <f>IF(AND(CF63&lt;&gt;0,CF$5=$H63),-$I63*$E63-CF63,IF(CK$5=$H63,-$I63*$E63*(12-$J63+1)/12,0))</f>
        <v>0</v>
      </c>
      <c r="CL63" s="400">
        <f>IF($H63&lt;&gt;CP$5,0,IF(CP63&lt;0,IF($J63=1,-$E63*$I63/12*3,IF($J63=2,-$E63*$I63/12*2,IF($J63=3,-$E63*$I63/12*1,0)))))+IF(CK$5&lt;&gt;$H63,0,IF(CK63&lt;0,IF($J63=1,-$E63*$I63/12*0,IF($J63=2,-$E63*$I63/12*1,IF($J63=3,-$E63*$I63/12*2,IF($J63&gt;=4,-$E63*$I63/12*3,0))))))</f>
        <v>0</v>
      </c>
      <c r="CM63" s="406">
        <f>IF($H63&lt;&gt;CP$5,0,IF(CP63&lt;0,IF(OR($J63=1,$J63=2,$J63=3,$J63=4),-$E63*$I63/12*3,IF($J63=5,-$E63*$I63/12*2,IF($J63=6,-$E63*$I63/12*1,0)))))+IF(CK$5&lt;&gt;$H63,0,IF(CK63&lt;0,IF($J63=4,-$E63*$I63/12*0,IF($J63=5,-$E63*$I63/12*1,IF($J63=6,-$E63*$I63/12*2,IF($J63&gt;=7,-$E63*$I63/12*3,0))))))</f>
        <v>0</v>
      </c>
      <c r="CN63" s="406">
        <f>IF($H63&lt;&gt;CP$5,0,IF(CP63&lt;0,IF(OR($J63=1,$J63=2,$J63=3,$J63=4,$J63=5,$J63=6,$J63=7),-$E63*$I63/12*3,IF($J63=8,-$E63*$I63/12*2,IF($J63=9,-$E63*$I63/12*1,0)))))+IF(CK$5&lt;&gt;$H63,0,IF(CK63&lt;0,IF($J63=7,-$E63*$I63/12*0,IF($J63=8,-$E63*$I63/12*1,IF($J63=9,-$E63*$I63/12*2,IF($J63&gt;=10,-$E63*$I63/12*3,0))))))</f>
        <v>0</v>
      </c>
      <c r="CO63" s="402">
        <f>IF($H63&lt;&gt;CP$5,0,IF(CP63&lt;0,IF(OR($J63=1,$J63=2,$J63=3,$J63=4,$J63=5,$J63=6,$J63=7,$J63=8,$J63=9,$J63=10),-$E63*$I63/12*3,IF($J63=11,-$E63*$I63/12*2,IF($J63=12,-$E63*$I63/12*1,0)))))+IF(CK$5&lt;&gt;$H63,0,IF(CK63&lt;0,IF($J63=10,-$E63*$I63/12*0,IF($J63=11,-$E63*$I63/12*1,IF($J63=12,-$E63*$I63/12*2,0)))))</f>
        <v>0</v>
      </c>
      <c r="CP63" s="403">
        <f>IF(AND(CK63&lt;&gt;0,CK$5=$H63),-$I63*$E63-CK63,IF(CP$5=$H63,-$I63*$E63*(12-$J63+1)/12,0))</f>
        <v>0</v>
      </c>
      <c r="CQ63" s="400">
        <f>IF($H63&lt;&gt;CU$5,0,IF(CU63&lt;0,IF($J63=1,-$E63*$I63/12*3,IF($J63=2,-$E63*$I63/12*2,IF($J63=3,-$E63*$I63/12*1,0)))))+IF(CP$5&lt;&gt;$H63,0,IF(CP63&lt;0,IF($J63=1,-$E63*$I63/12*0,IF($J63=2,-$E63*$I63/12*1,IF($J63=3,-$E63*$I63/12*2,IF($J63&gt;=4,-$E63*$I63/12*3,0))))))</f>
        <v>0</v>
      </c>
      <c r="CR63" s="406">
        <f>IF($H63&lt;&gt;CU$5,0,IF(CU63&lt;0,IF(OR($J63=1,$J63=2,$J63=3,$J63=4),-$E63*$I63/12*3,IF($J63=5,-$E63*$I63/12*2,IF($J63=6,-$E63*$I63/12*1,0)))))+IF(CP$5&lt;&gt;$H63,0,IF(CP63&lt;0,IF($J63=4,-$E63*$I63/12*0,IF($J63=5,-$E63*$I63/12*1,IF($J63=6,-$E63*$I63/12*2,IF($J63&gt;=7,-$E63*$I63/12*3,0))))))</f>
        <v>0</v>
      </c>
      <c r="CS63" s="406">
        <f>IF($H63&lt;&gt;CU$5,0,IF(CU63&lt;0,IF(OR($J63=1,$J63=2,$J63=3,$J63=4,$J63=5,$J63=6,$J63=7),-$E63*$I63/12*3,IF($J63=8,-$E63*$I63/12*2,IF($J63=9,-$E63*$I63/12*1,0)))))+IF(CP$5&lt;&gt;$H63,0,IF(CP63&lt;0,IF($J63=7,-$E63*$I63/12*0,IF($J63=8,-$E63*$I63/12*1,IF($J63=9,-$E63*$I63/12*2,IF($J63&gt;=10,-$E63*$I63/12*3,0))))))</f>
        <v>0</v>
      </c>
      <c r="CT63" s="402">
        <f>IF($H63&lt;&gt;CU$5,0,IF(CU63&lt;0,IF(OR($J63=1,$J63=2,$J63=3,$J63=4,$J63=5,$J63=6,$J63=7,$J63=8,$J63=9,$J63=10),-$E63*$I63/12*3,IF($J63=11,-$E63*$I63/12*2,IF($J63=12,-$E63*$I63/12*1,0)))))+IF(CP$5&lt;&gt;$H63,0,IF(CP63&lt;0,IF($J63=10,-$E63*$I63/12*0,IF($J63=11,-$E63*$I63/12*1,IF($J63=12,-$E63*$I63/12*2,0)))))</f>
        <v>0</v>
      </c>
      <c r="CU63" s="403">
        <f>IF(AND(CP63&lt;&gt;0,CP$5=$H63),-$I63*$E63-CP63,IF(CU$5=$H63,-$I63*$E63*(12-$J63+1)/12,0))</f>
        <v>0</v>
      </c>
      <c r="CV63" s="400">
        <f>IF($H63&lt;&gt;CZ$5,0,IF(CZ63&lt;0,IF($J63=1,-$E63*$I63/12*3,IF($J63=2,-$E63*$I63/12*2,IF($J63=3,-$E63*$I63/12*1,0)))))+IF(CU$5&lt;&gt;$H63,0,IF(CU63&lt;0,IF($J63=1,-$E63*$I63/12*0,IF($J63=2,-$E63*$I63/12*1,IF($J63=3,-$E63*$I63/12*2,IF($J63&gt;=4,-$E63*$I63/12*3,0))))))</f>
        <v>0</v>
      </c>
      <c r="CW63" s="406">
        <f>IF($H63&lt;&gt;CZ$5,0,IF(CZ63&lt;0,IF(OR($J63=1,$J63=2,$J63=3,$J63=4),-$E63*$I63/12*3,IF($J63=5,-$E63*$I63/12*2,IF($J63=6,-$E63*$I63/12*1,0)))))+IF(CU$5&lt;&gt;$H63,0,IF(CU63&lt;0,IF($J63=4,-$E63*$I63/12*0,IF($J63=5,-$E63*$I63/12*1,IF($J63=6,-$E63*$I63/12*2,IF($J63&gt;=7,-$E63*$I63/12*3,0))))))</f>
        <v>0</v>
      </c>
      <c r="CX63" s="406">
        <f>IF($H63&lt;&gt;CZ$5,0,IF(CZ63&lt;0,IF(OR($J63=1,$J63=2,$J63=3,$J63=4,$J63=5,$J63=6,$J63=7),-$E63*$I63/12*3,IF($J63=8,-$E63*$I63/12*2,IF($J63=9,-$E63*$I63/12*1,0)))))+IF(CU$5&lt;&gt;$H63,0,IF(CU63&lt;0,IF($J63=7,-$E63*$I63/12*0,IF($J63=8,-$E63*$I63/12*1,IF($J63=9,-$E63*$I63/12*2,IF($J63&gt;=10,-$E63*$I63/12*3,0))))))</f>
        <v>0</v>
      </c>
      <c r="CY63" s="402">
        <f>IF($H63&lt;&gt;CZ$5,0,IF(CZ63&lt;0,IF(OR($J63=1,$J63=2,$J63=3,$J63=4,$J63=5,$J63=6,$J63=7,$J63=8,$J63=9,$J63=10),-$E63*$I63/12*3,IF($J63=11,-$E63*$I63/12*2,IF($J63=12,-$E63*$I63/12*1,0)))))+IF(CU$5&lt;&gt;$H63,0,IF(CU63&lt;0,IF($J63=10,-$E63*$I63/12*0,IF($J63=11,-$E63*$I63/12*1,IF($J63=12,-$E63*$I63/12*2,0)))))</f>
        <v>0</v>
      </c>
      <c r="CZ63" s="403">
        <f>IF(AND(CU63&lt;&gt;0,CU$5=$H63),-$I63*$E63-CU63,IF(CZ$5=$H63,-$I63*$E63*(12-$J63+1)/12,0))</f>
        <v>0</v>
      </c>
      <c r="DA63" s="400">
        <f>IF($H63&lt;&gt;DE$5,0,IF(DE63&lt;0,IF($J63=1,-$E63*$I63/12*3,IF($J63=2,-$E63*$I63/12*2,IF($J63=3,-$E63*$I63/12*1,0)))))+IF(CZ$5&lt;&gt;$H63,0,IF(CZ63&lt;0,IF($J63=1,-$E63*$I63/12*0,IF($J63=2,-$E63*$I63/12*1,IF($J63=3,-$E63*$I63/12*2,IF($J63&gt;=4,-$E63*$I63/12*3,0))))))</f>
        <v>0</v>
      </c>
      <c r="DB63" s="406">
        <f>IF($H63&lt;&gt;DE$5,0,IF(DE63&lt;0,IF(OR($J63=1,$J63=2,$J63=3,$J63=4),-$E63*$I63/12*3,IF($J63=5,-$E63*$I63/12*2,IF($J63=6,-$E63*$I63/12*1,0)))))+IF(CZ$5&lt;&gt;$H63,0,IF(CZ63&lt;0,IF($J63=4,-$E63*$I63/12*0,IF($J63=5,-$E63*$I63/12*1,IF($J63=6,-$E63*$I63/12*2,IF($J63&gt;=7,-$E63*$I63/12*3,0))))))</f>
        <v>0</v>
      </c>
      <c r="DC63" s="406">
        <f>IF($H63&lt;&gt;DE$5,0,IF(DE63&lt;0,IF(OR($J63=1,$J63=2,$J63=3,$J63=4,$J63=5,$J63=6,$J63=7),-$E63*$I63/12*3,IF($J63=8,-$E63*$I63/12*2,IF($J63=9,-$E63*$I63/12*1,0)))))+IF(CZ$5&lt;&gt;$H63,0,IF(CZ63&lt;0,IF($J63=7,-$E63*$I63/12*0,IF($J63=8,-$E63*$I63/12*1,IF($J63=9,-$E63*$I63/12*2,IF($J63&gt;=10,-$E63*$I63/12*3,0))))))</f>
        <v>0</v>
      </c>
      <c r="DD63" s="402">
        <f>IF($H63&lt;&gt;DE$5,0,IF(DE63&lt;0,IF(OR($J63=1,$J63=2,$J63=3,$J63=4,$J63=5,$J63=6,$J63=7,$J63=8,$J63=9,$J63=10),-$E63*$I63/12*3,IF($J63=11,-$E63*$I63/12*2,IF($J63=12,-$E63*$I63/12*1,0)))))+IF(CZ$5&lt;&gt;$H63,0,IF(CZ63&lt;0,IF($J63=10,-$E63*$I63/12*0,IF($J63=11,-$E63*$I63/12*1,IF($J63=12,-$E63*$I63/12*2,0)))))</f>
        <v>0</v>
      </c>
      <c r="DE63" s="403">
        <f>IF(AND(CZ63&lt;&gt;0,CZ$5=$H63),-$I63*$E63-CZ63,IF(DE$5=$H63,-$I63*$E63*(12-$J63+1)/12,0))</f>
        <v>0</v>
      </c>
      <c r="DF63" s="400">
        <f>IF($H63&lt;&gt;DJ$5,0,IF(DJ63&lt;0,IF($J63=1,-$E63*$I63/12*3,IF($J63=2,-$E63*$I63/12*2,IF($J63=3,-$E63*$I63/12*1,0)))))+IF(DE$5&lt;&gt;$H63,0,IF(DE63&lt;0,IF($J63=1,-$E63*$I63/12*0,IF($J63=2,-$E63*$I63/12*1,IF($J63=3,-$E63*$I63/12*2,IF($J63&gt;=4,-$E63*$I63/12*3,0))))))</f>
        <v>0</v>
      </c>
      <c r="DG63" s="406">
        <f>IF($H63&lt;&gt;DJ$5,0,IF(DJ63&lt;0,IF(OR($J63=1,$J63=2,$J63=3,$J63=4),-$E63*$I63/12*3,IF($J63=5,-$E63*$I63/12*2,IF($J63=6,-$E63*$I63/12*1,0)))))+IF(DE$5&lt;&gt;$H63,0,IF(DE63&lt;0,IF($J63=4,-$E63*$I63/12*0,IF($J63=5,-$E63*$I63/12*1,IF($J63=6,-$E63*$I63/12*2,IF($J63&gt;=7,-$E63*$I63/12*3,0))))))</f>
        <v>0</v>
      </c>
      <c r="DH63" s="406">
        <f>IF($H63&lt;&gt;DJ$5,0,IF(DJ63&lt;0,IF(OR($J63=1,$J63=2,$J63=3,$J63=4,$J63=5,$J63=6,$J63=7),-$E63*$I63/12*3,IF($J63=8,-$E63*$I63/12*2,IF($J63=9,-$E63*$I63/12*1,0)))))+IF(DE$5&lt;&gt;$H63,0,IF(DE63&lt;0,IF($J63=7,-$E63*$I63/12*0,IF($J63=8,-$E63*$I63/12*1,IF($J63=9,-$E63*$I63/12*2,IF($J63&gt;=10,-$E63*$I63/12*3,0))))))</f>
        <v>0</v>
      </c>
      <c r="DI63" s="402">
        <f>IF($H63&lt;&gt;DJ$5,0,IF(DJ63&lt;0,IF(OR($J63=1,$J63=2,$J63=3,$J63=4,$J63=5,$J63=6,$J63=7,$J63=8,$J63=9,$J63=10),-$E63*$I63/12*3,IF($J63=11,-$E63*$I63/12*2,IF($J63=12,-$E63*$I63/12*1,0)))))+IF(DE$5&lt;&gt;$H63,0,IF(DE63&lt;0,IF($J63=10,-$E63*$I63/12*0,IF($J63=11,-$E63*$I63/12*1,IF($J63=12,-$E63*$I63/12*2,0)))))</f>
        <v>0</v>
      </c>
      <c r="DJ63" s="403">
        <f>IF(AND(DE63&lt;&gt;0,DE$5=$H63),-$I63*$E63-DE63,IF(DJ$5=$H63,-$I63*$E63*(12-$J63+1)/12,0))</f>
        <v>0</v>
      </c>
      <c r="DK63" s="400">
        <f>IF($H63&lt;&gt;DO$5,0,IF(DO63&lt;0,IF($J63=1,-$E63*$I63/12*3,IF($J63=2,-$E63*$I63/12*2,IF($J63=3,-$E63*$I63/12*1,0)))))+IF(DJ$5&lt;&gt;$H63,0,IF(DJ63&lt;0,IF($J63=1,-$E63*$I63/12*0,IF($J63=2,-$E63*$I63/12*1,IF($J63=3,-$E63*$I63/12*2,IF($J63&gt;=4,-$E63*$I63/12*3,0))))))</f>
        <v>0</v>
      </c>
      <c r="DL63" s="406">
        <f>IF($H63&lt;&gt;DO$5,0,IF(DO63&lt;0,IF(OR($J63=1,$J63=2,$J63=3,$J63=4),-$E63*$I63/12*3,IF($J63=5,-$E63*$I63/12*2,IF($J63=6,-$E63*$I63/12*1,0)))))+IF(DJ$5&lt;&gt;$H63,0,IF(DJ63&lt;0,IF($J63=4,-$E63*$I63/12*0,IF($J63=5,-$E63*$I63/12*1,IF($J63=6,-$E63*$I63/12*2,IF($J63&gt;=7,-$E63*$I63/12*3,0))))))</f>
        <v>0</v>
      </c>
      <c r="DM63" s="406">
        <f>IF($H63&lt;&gt;DO$5,0,IF(DO63&lt;0,IF(OR($J63=1,$J63=2,$J63=3,$J63=4,$J63=5,$J63=6,$J63=7),-$E63*$I63/12*3,IF($J63=8,-$E63*$I63/12*2,IF($J63=9,-$E63*$I63/12*1,0)))))+IF(DJ$5&lt;&gt;$H63,0,IF(DJ63&lt;0,IF($J63=7,-$E63*$I63/12*0,IF($J63=8,-$E63*$I63/12*1,IF($J63=9,-$E63*$I63/12*2,IF($J63&gt;=10,-$E63*$I63/12*3,0))))))</f>
        <v>0</v>
      </c>
      <c r="DN63" s="402">
        <f>IF($H63&lt;&gt;DO$5,0,IF(DO63&lt;0,IF(OR($J63=1,$J63=2,$J63=3,$J63=4,$J63=5,$J63=6,$J63=7,$J63=8,$J63=9,$J63=10),-$E63*$I63/12*3,IF($J63=11,-$E63*$I63/12*2,IF($J63=12,-$E63*$I63/12*1,0)))))+IF(DJ$5&lt;&gt;$H63,0,IF(DJ63&lt;0,IF($J63=10,-$E63*$I63/12*0,IF($J63=11,-$E63*$I63/12*1,IF($J63=12,-$E63*$I63/12*2,0)))))</f>
        <v>0</v>
      </c>
      <c r="DO63" s="403">
        <f>IF(AND(DJ63&lt;&gt;0,DJ$5=$H63),-$I63*$E63-DJ63,IF(DO$5=$H63,-$I63*$E63*(12-$J63+1)/12,0))</f>
        <v>0</v>
      </c>
      <c r="DP63" s="400">
        <f>IF($H63&lt;&gt;DT$5,0,IF(DT63&lt;0,IF($J63=1,-$E63*$I63/12*3,IF($J63=2,-$E63*$I63/12*2,IF($J63=3,-$E63*$I63/12*1,0)))))+IF(DO$5&lt;&gt;$H63,0,IF(DO63&lt;0,IF($J63=1,-$E63*$I63/12*0,IF($J63=2,-$E63*$I63/12*1,IF($J63=3,-$E63*$I63/12*2,IF($J63&gt;=4,-$E63*$I63/12*3,0))))))</f>
        <v>0</v>
      </c>
      <c r="DQ63" s="406">
        <f>IF($H63&lt;&gt;DT$5,0,IF(DT63&lt;0,IF(OR($J63=1,$J63=2,$J63=3,$J63=4),-$E63*$I63/12*3,IF($J63=5,-$E63*$I63/12*2,IF($J63=6,-$E63*$I63/12*1,0)))))+IF(DO$5&lt;&gt;$H63,0,IF(DO63&lt;0,IF($J63=4,-$E63*$I63/12*0,IF($J63=5,-$E63*$I63/12*1,IF($J63=6,-$E63*$I63/12*2,IF($J63&gt;=7,-$E63*$I63/12*3,0))))))</f>
        <v>0</v>
      </c>
      <c r="DR63" s="406">
        <f>IF($H63&lt;&gt;DT$5,0,IF(DT63&lt;0,IF(OR($J63=1,$J63=2,$J63=3,$J63=4,$J63=5,$J63=6,$J63=7),-$E63*$I63/12*3,IF($J63=8,-$E63*$I63/12*2,IF($J63=9,-$E63*$I63/12*1,0)))))+IF(DO$5&lt;&gt;$H63,0,IF(DO63&lt;0,IF($J63=7,-$E63*$I63/12*0,IF($J63=8,-$E63*$I63/12*1,IF($J63=9,-$E63*$I63/12*2,IF($J63&gt;=10,-$E63*$I63/12*3,0))))))</f>
        <v>0</v>
      </c>
      <c r="DS63" s="402">
        <f>IF($H63&lt;&gt;DT$5,0,IF(DT63&lt;0,IF(OR($J63=1,$J63=2,$J63=3,$J63=4,$J63=5,$J63=6,$J63=7,$J63=8,$J63=9,$J63=10),-$E63*$I63/12*3,IF($J63=11,-$E63*$I63/12*2,IF($J63=12,-$E63*$I63/12*1,0)))))+IF(DO$5&lt;&gt;$H63,0,IF(DO63&lt;0,IF($J63=10,-$E63*$I63/12*0,IF($J63=11,-$E63*$I63/12*1,IF($J63=12,-$E63*$I63/12*2,0)))))</f>
        <v>0</v>
      </c>
      <c r="DT63" s="403">
        <f>IF(AND(DO63&lt;&gt;0,DO$5=$H63),-$I63*$E63-DO63,IF(DT$5=$H63,-$I63*$E63*(12-$J63+1)/12,0))</f>
        <v>0</v>
      </c>
      <c r="EF63" s="35"/>
    </row>
    <row r="64" spans="3:139" ht="12.75" customHeight="1" x14ac:dyDescent="0.2">
      <c r="C64" s="922" t="s">
        <v>642</v>
      </c>
      <c r="D64" s="52"/>
      <c r="E64" s="530">
        <f t="shared" si="472"/>
        <v>600</v>
      </c>
      <c r="F64" s="831">
        <v>600</v>
      </c>
      <c r="G64" s="831">
        <v>0</v>
      </c>
      <c r="H64" s="808">
        <v>2047</v>
      </c>
      <c r="I64" s="809">
        <v>3.5999999999999997E-2</v>
      </c>
      <c r="J64" s="810">
        <v>9</v>
      </c>
      <c r="K64" s="392"/>
      <c r="L64" s="393">
        <f>IF(L$5=$H64,$E64,0)</f>
        <v>0</v>
      </c>
      <c r="M64" s="394">
        <f>IF(Q64=0,0,IF(Q64&gt;0,IF($J64=3,Q64,IF($J64=2,Q64,IF($J64=1,Q64,0)))))</f>
        <v>0</v>
      </c>
      <c r="N64" s="395">
        <f>IF(Q64=0,0,IF(Q64&gt;0,IF($J64=6,Q64,IF($J64=5,Q64,IF($J64=4,Q64,0)))))</f>
        <v>0</v>
      </c>
      <c r="O64" s="395">
        <f>IF(Q64=0,0,IF(Q64&gt;0,IF($J64=9,Q64,IF($J64=8,Q64,IF($J64=7,Q64,0)))))</f>
        <v>0</v>
      </c>
      <c r="P64" s="396">
        <f>IF(Q64=0,0,IF(Q64&gt;0,IF($J64=12,Q64,IF($J64=11,Q64,IF($J64=10,Q64,0)))))</f>
        <v>0</v>
      </c>
      <c r="Q64" s="397">
        <f>IF(Q$5=$H64,$E64,0)</f>
        <v>0</v>
      </c>
      <c r="R64" s="394">
        <f>IF(V64=0,0,IF(V64&gt;0,IF($J64=3,V64,IF($J64=2,V64,IF($J64=1,V64,0)))))</f>
        <v>0</v>
      </c>
      <c r="S64" s="395">
        <f>IF(V64=0,0,IF(V64&gt;0,IF($J64=6,V64,IF($J64=5,V64,IF($J64=4,V64,0)))))</f>
        <v>0</v>
      </c>
      <c r="T64" s="395">
        <f>IF(V64=0,0,IF(V64&gt;0,IF($J64=9,V64,IF($J64=8,V64,IF($J64=7,V64,0)))))</f>
        <v>0</v>
      </c>
      <c r="U64" s="396">
        <f>IF(V64=0,0,IF(V64&gt;0,IF($J64=12,V64,IF($J64=11,V64,IF($J64=10,V64,0)))))</f>
        <v>0</v>
      </c>
      <c r="V64" s="397">
        <f>IF(V$5=$H64,$E64,0)</f>
        <v>0</v>
      </c>
      <c r="W64" s="394">
        <f>IF(AA64=0,0,IF(AA64&gt;0,IF($J64=3,AA64,IF($J64=2,AA64,IF($J64=1,AA64,0)))))</f>
        <v>0</v>
      </c>
      <c r="X64" s="395">
        <f>IF(AA64=0,0,IF(AA64&gt;0,IF($J64=6,AA64,IF($J64=5,AA64,IF($J64=4,AA64,0)))))</f>
        <v>0</v>
      </c>
      <c r="Y64" s="395">
        <f>IF(AA64=0,0,IF(AA64&gt;0,IF($J64=9,AA64,IF($J64=8,AA64,IF($J64=7,AA64,0)))))</f>
        <v>0</v>
      </c>
      <c r="Z64" s="396">
        <f>IF(AA64=0,0,IF(AA64&gt;0,IF($J64=12,AA64,IF($J64=11,AA64,IF($J64=10,AA64,0)))))</f>
        <v>0</v>
      </c>
      <c r="AA64" s="397">
        <f>IF(AA$5=$H64,$E64,0)</f>
        <v>0</v>
      </c>
      <c r="AB64" s="394">
        <f>IF(AF64=0,0,IF(AF64&gt;0,IF($J64=3,AF64,IF($J64=2,AF64,IF($J64=1,AF64,0)))))</f>
        <v>0</v>
      </c>
      <c r="AC64" s="395">
        <f>IF(AF64=0,0,IF(AF64&gt;0,IF($J64=6,AF64,IF($J64=5,AF64,IF($J64=4,AF64,0)))))</f>
        <v>0</v>
      </c>
      <c r="AD64" s="395">
        <f>IF(AF64=0,0,IF(AF64&gt;0,IF($J64=9,AF64,IF($J64=8,AF64,IF($J64=7,AF64,0)))))</f>
        <v>0</v>
      </c>
      <c r="AE64" s="396">
        <f>IF(AF64=0,0,IF(AF64&gt;0,IF($J64=12,AF64,IF($J64=11,AF64,IF($J64=10,AF64,0)))))</f>
        <v>0</v>
      </c>
      <c r="AF64" s="397">
        <f>IF(AF$5=$H64,$E64,0)</f>
        <v>0</v>
      </c>
      <c r="AG64" s="394">
        <f>IF(AK64=0,0,IF(AK64&gt;0,IF($J64=3,AK64,IF($J64=2,AK64,IF($J64=1,AK64,0)))))</f>
        <v>0</v>
      </c>
      <c r="AH64" s="395">
        <f>IF(AK64=0,0,IF(AK64&gt;0,IF($J64=6,AK64,IF($J64=5,AK64,IF($J64=4,AK64,0)))))</f>
        <v>0</v>
      </c>
      <c r="AI64" s="395">
        <f>IF(AK64=0,0,IF(AK64&gt;0,IF($J64=9,AK64,IF($J64=8,AK64,IF($J64=7,AK64,0)))))</f>
        <v>0</v>
      </c>
      <c r="AJ64" s="396">
        <f>IF(AK64=0,0,IF(AK64&gt;0,IF($J64=12,AK64,IF($J64=11,AK64,IF($J64=10,AK64,0)))))</f>
        <v>0</v>
      </c>
      <c r="AK64" s="397">
        <f>IF(AK$5=$H64,$E64,0)</f>
        <v>0</v>
      </c>
      <c r="AL64" s="394">
        <f>IF(AP64=0,0,IF(AP64&gt;0,IF($J64=3,AP64,IF($J64=2,AP64,IF($J64=1,AP64,0)))))</f>
        <v>0</v>
      </c>
      <c r="AM64" s="395">
        <f>IF(AP64=0,0,IF(AP64&gt;0,IF($J64=6,AP64,IF($J64=5,AP64,IF($J64=4,AP64,0)))))</f>
        <v>0</v>
      </c>
      <c r="AN64" s="395">
        <f>IF(AP64=0,0,IF(AP64&gt;0,IF($J64=9,AP64,IF($J64=8,AP64,IF($J64=7,AP64,0)))))</f>
        <v>0</v>
      </c>
      <c r="AO64" s="396">
        <f>IF(AP64=0,0,IF(AP64&gt;0,IF($J64=12,AP64,IF($J64=11,AP64,IF($J64=10,AP64,0)))))</f>
        <v>0</v>
      </c>
      <c r="AP64" s="397">
        <f>IF(AP$5=$H64,$E64,0)</f>
        <v>0</v>
      </c>
      <c r="AQ64" s="394">
        <f>IF(AU64=0,0,IF(AU64&gt;0,IF($J64=3,AU64,IF($J64=2,AU64,IF($J64=1,AU64,0)))))</f>
        <v>0</v>
      </c>
      <c r="AR64" s="395">
        <f>IF(AU64=0,0,IF(AU64&gt;0,IF($J64=6,AU64,IF($J64=5,AU64,IF($J64=4,AU64,0)))))</f>
        <v>0</v>
      </c>
      <c r="AS64" s="395">
        <f>IF(AU64=0,0,IF(AU64&gt;0,IF($J64=9,AU64,IF($J64=8,AU64,IF($J64=7,AU64,0)))))</f>
        <v>0</v>
      </c>
      <c r="AT64" s="396">
        <f>IF(AU64=0,0,IF(AU64&gt;0,IF($J64=12,AU64,IF($J64=11,AU64,IF($J64=10,AU64,0)))))</f>
        <v>0</v>
      </c>
      <c r="AU64" s="397">
        <f>IF(AU$5=$H64,$E64,0)</f>
        <v>0</v>
      </c>
      <c r="AV64" s="394">
        <f>IF(AZ64=0,0,IF(AZ64&gt;0,IF($J64=3,AZ64,IF($J64=2,AZ64,IF($J64=1,AZ64,0)))))</f>
        <v>0</v>
      </c>
      <c r="AW64" s="395">
        <f>IF(AZ64=0,0,IF(AZ64&gt;0,IF($J64=6,AZ64,IF($J64=5,AZ64,IF($J64=4,AZ64,0)))))</f>
        <v>0</v>
      </c>
      <c r="AX64" s="395">
        <f>IF(AZ64=0,0,IF(AZ64&gt;0,IF($J64=9,AZ64,IF($J64=8,AZ64,IF($J64=7,AZ64,0)))))</f>
        <v>0</v>
      </c>
      <c r="AY64" s="396">
        <f>IF(AZ64=0,0,IF(AZ64&gt;0,IF($J64=12,AZ64,IF($J64=11,AZ64,IF($J64=10,AZ64,0)))))</f>
        <v>0</v>
      </c>
      <c r="AZ64" s="397">
        <f>IF(AZ$5=$H64,$E64,0)</f>
        <v>0</v>
      </c>
      <c r="BA64" s="394">
        <f>IF(BE64=0,0,IF(BE64&gt;0,IF($J64=3,BE64,IF($J64=2,BE64,IF($J64=1,BE64,0)))))</f>
        <v>0</v>
      </c>
      <c r="BB64" s="395">
        <f>IF(BE64=0,0,IF(BE64&gt;0,IF($J64=6,BE64,IF($J64=5,BE64,IF($J64=4,BE64,0)))))</f>
        <v>0</v>
      </c>
      <c r="BC64" s="395">
        <f>IF(BE64=0,0,IF(BE64&gt;0,IF($J64=9,BE64,IF($J64=8,BE64,IF($J64=7,BE64,0)))))</f>
        <v>0</v>
      </c>
      <c r="BD64" s="396">
        <f>IF(BE64=0,0,IF(BE64&gt;0,IF($J64=12,BE64,IF($J64=11,BE64,IF($J64=10,BE64,0)))))</f>
        <v>0</v>
      </c>
      <c r="BE64" s="397">
        <f>IF(BE$5=$H64,$E64,0)</f>
        <v>0</v>
      </c>
      <c r="BF64" s="394">
        <f>IF(BJ64=0,0,IF(BJ64&gt;0,IF($J64=3,BJ64,IF($J64=2,BJ64,IF($J64=1,BJ64,0)))))</f>
        <v>0</v>
      </c>
      <c r="BG64" s="395">
        <f>IF(BJ64=0,0,IF(BJ64&gt;0,IF($J64=6,BJ64,IF($J64=5,BJ64,IF($J64=4,BJ64,0)))))</f>
        <v>0</v>
      </c>
      <c r="BH64" s="395">
        <f>IF(BJ64=0,0,IF(BJ64&gt;0,IF($J64=9,BJ64,IF($J64=8,BJ64,IF($J64=7,BJ64,0)))))</f>
        <v>0</v>
      </c>
      <c r="BI64" s="396">
        <f>IF(BJ64=0,0,IF(BJ64&gt;0,IF($J64=12,BJ64,IF($J64=11,BJ64,IF($J64=10,BJ64,0)))))</f>
        <v>0</v>
      </c>
      <c r="BJ64" s="397">
        <f>IF(BJ$5=$H64,$E64,0)</f>
        <v>0</v>
      </c>
      <c r="BK64" s="394">
        <f>IF(BO64=0,0,IF(BO64&gt;0,IF($J64=3,BO64,IF($J64=2,BO64,IF($J64=1,BO64,0)))))</f>
        <v>0</v>
      </c>
      <c r="BL64" s="395">
        <f>IF(BO64=0,0,IF(BO64&gt;0,IF($J64=6,BO64,IF($J64=5,BO64,IF($J64=4,BO64,0)))))</f>
        <v>0</v>
      </c>
      <c r="BM64" s="395">
        <f>IF(BO64=0,0,IF(BO64&gt;0,IF($J64=9,BO64,IF($J64=8,BO64,IF($J64=7,BO64,0)))))</f>
        <v>0</v>
      </c>
      <c r="BN64" s="396">
        <f>IF(BO64=0,0,IF(BO64&gt;0,IF($J64=12,BO64,IF($J64=11,BO64,IF($J64=10,BO64,0)))))</f>
        <v>0</v>
      </c>
      <c r="BO64" s="397">
        <f>IF(BO$5=$H64,$E64,0)</f>
        <v>0</v>
      </c>
      <c r="BP64" s="445"/>
      <c r="BQ64" s="399">
        <f>IF(AND(BP64&lt;&gt;0,BP$5=$H64),$I64*$E64-BP64,IF(BQ$5=$H64,$I64*$E64*(12-$J64+1)/12,0))</f>
        <v>0</v>
      </c>
      <c r="BR64" s="400">
        <f>IF($H64&lt;&gt;BV$5,0,IF(BV64&gt;0,IF($J64=1,$E64*$I64/12*3,IF($J64=2,$E64*$I64/12*2,IF($J64=3,$E64*$I64/12*1,0)))))+IF(BQ$5&lt;&gt;$H64,0,IF(BQ64&gt;0,IF($J64=1,$E64*$I64/12*0,IF($J64=2,$E64*$I64/12*1,IF($J64=3,$E64*$I64/12*2,IF($J64&gt;=4,$E64*$I64/12*3,0))))))</f>
        <v>0</v>
      </c>
      <c r="BS64" s="401">
        <f>IF($H64&lt;&gt;BV$5,0,IF(BV64&gt;0,IF(OR($J64=1,$J64=2,$J64=3,$J64=4),$E64*$I64/12*3,IF($J64=5,$E64*$I64/12*2,IF($J64=6,$E64*$I64/12*1,0)))))+IF(BQ$5&lt;&gt;$H64,0,IF(BQ64&gt;0,IF($J64=4,$E64*$I64/12*0,IF($J64=5,$E64*$I64/12*1,IF($J64=6,$E64*$I64/12*2,IF($J64&gt;=7,$E64*$I64/12*3,0))))))</f>
        <v>0</v>
      </c>
      <c r="BT64" s="401">
        <f>IF($H64&lt;&gt;BV$5,0,IF(BV64&gt;0,IF(OR($J64=1,$J64=2,$J64=3,$J64=4,$J64=5,$J64=6,$J64=7),$E64*$I64/12*3,IF($J64=8,$E64*$I64/12*2,IF($J64=9,$E64*$I64/12*1,0)))))+IF(BQ$5&lt;&gt;$H64,0,IF(BQ64&gt;0,IF($J64=7,$E64*$I64/12*0,IF($J64=8,$E64*$I64/12*1,IF($J64=9,$E64*$I64/12*2,IF($J64&gt;=10,$E64*$I64/12*3,0))))))</f>
        <v>0</v>
      </c>
      <c r="BU64" s="402">
        <f>IF($H64&lt;&gt;BV$5,0,IF(BV64&gt;0,IF(OR($J64=1,$J64=2,$J64=3,$J64=4,$J64=5,$J64=6,$J64=7,$J64=8,$J64=9,$J64=10),$E64*$I64/12*3,IF($J64=11,$E64*$I64/12*2,IF($J64=12,$E64*$I64/12*1,0)))))+IF(BQ$5&lt;&gt;$H64,0,IF(BQ64&gt;0,IF($J64=10,$E64*$I64/12*0,IF($J64=11,$E64*$I64/12*1,IF($J64=12,$E64*$I64/12*2,0)))))</f>
        <v>0</v>
      </c>
      <c r="BV64" s="403">
        <f>IF(AND(BQ64&lt;&gt;0,BQ$5=$H64),$I64*$E64-BQ64,IF(BV$5=$H64,$I64*$E64*(12-$J64+1)/12,0))</f>
        <v>0</v>
      </c>
      <c r="BW64" s="400">
        <f>IF($H64&lt;&gt;CA$5,0,IF(CA64&gt;0,IF($J64=1,$E64*$I64/12*3,IF($J64=2,$E64*$I64/12*2,IF($J64=3,$E64*$I64/12*1,0)))))+IF(BV$5&lt;&gt;$H64,0,IF(BV64&gt;0,IF($J64=1,$E64*$I64/12*0,IF($J64=2,$E64*$I64/12*1,IF($J64=3,$E64*$I64/12*2,IF($J64&gt;=4,$E64*$I64/12*3,0))))))</f>
        <v>0</v>
      </c>
      <c r="BX64" s="401">
        <f>IF($H64&lt;&gt;CA$5,0,IF(CA64&gt;0,IF(OR($J64=1,$J64=2,$J64=3,$J64=4),$E64*$I64/12*3,IF($J64=5,$E64*$I64/12*2,IF($J64=6,$E64*$I64/12*1,0)))))+IF(BV$5&lt;&gt;$H64,0,IF(BV64&gt;0,IF($J64=4,$E64*$I64/12*0,IF($J64=5,$E64*$I64/12*1,IF($J64=6,$E64*$I64/12*2,IF($J64&gt;=7,$E64*$I64/12*3,0))))))</f>
        <v>0</v>
      </c>
      <c r="BY64" s="401">
        <f>IF($H64&lt;&gt;CA$5,0,IF(CA64&gt;0,IF(OR($J64=1,$J64=2,$J64=3,$J64=4,$J64=5,$J64=6,$J64=7),$E64*$I64/12*3,IF($J64=8,$E64*$I64/12*2,IF($J64=9,$E64*$I64/12*1,0)))))+IF(BV$5&lt;&gt;$H64,0,IF(BV64&gt;0,IF($J64=7,$E64*$I64/12*0,IF($J64=8,$E64*$I64/12*1,IF($J64=9,$E64*$I64/12*2,IF($J64&gt;=10,$E64*$I64/12*3,0))))))</f>
        <v>0</v>
      </c>
      <c r="BZ64" s="402">
        <f>IF($H64&lt;&gt;CA$5,0,IF(CA64&gt;0,IF(OR($J64=1,$J64=2,$J64=3,$J64=4,$J64=5,$J64=6,$J64=7,$J64=8,$J64=9,$J64=10),$E64*$I64/12*3,IF($J64=11,$E64*$I64/12*2,IF($J64=12,$E64*$I64/12*1,0)))))+IF(BV$5&lt;&gt;$H64,0,IF(BV64&gt;0,IF($J64=10,$E64*$I64/12*0,IF($J64=11,$E64*$I64/12*1,IF($J64=12,$E64*$I64/12*2,0)))))</f>
        <v>0</v>
      </c>
      <c r="CA64" s="403">
        <f>IF(AND(BV64&lt;&gt;0,BV$5=$H64),$I64*$E64-BV64,IF(CA$5=$H64,$I64*$E64*(12-$J64+1)/12,0))</f>
        <v>0</v>
      </c>
      <c r="CB64" s="400">
        <f>IF($H64&lt;&gt;CF$5,0,IF(CF64&gt;0,IF($J64=1,$E64*$I64/12*3,IF($J64=2,$E64*$I64/12*2,IF($J64=3,$E64*$I64/12*1,0)))))+IF(CA$5&lt;&gt;$H64,0,IF(CA64&gt;0,IF($J64=1,$E64*$I64/12*0,IF($J64=2,$E64*$I64/12*1,IF($J64=3,$E64*$I64/12*2,IF($J64&gt;=4,$E64*$I64/12*3,0))))))</f>
        <v>0</v>
      </c>
      <c r="CC64" s="401">
        <f>IF($H64&lt;&gt;CF$5,0,IF(CF64&gt;0,IF(OR($J64=1,$J64=2,$J64=3,$J64=4),$E64*$I64/12*3,IF($J64=5,$E64*$I64/12*2,IF($J64=6,$E64*$I64/12*1,0)))))+IF(CA$5&lt;&gt;$H64,0,IF(CA64&gt;0,IF($J64=4,$E64*$I64/12*0,IF($J64=5,$E64*$I64/12*1,IF($J64=6,$E64*$I64/12*2,IF($J64&gt;=7,$E64*$I64/12*3,0))))))</f>
        <v>0</v>
      </c>
      <c r="CD64" s="401">
        <f>IF($H64&lt;&gt;CF$5,0,IF(CF64&gt;0,IF(OR($J64=1,$J64=2,$J64=3,$J64=4,$J64=5,$J64=6,$J64=7),$E64*$I64/12*3,IF($J64=8,$E64*$I64/12*2,IF($J64=9,$E64*$I64/12*1,0)))))+IF(CA$5&lt;&gt;$H64,0,IF(CA64&gt;0,IF($J64=7,$E64*$I64/12*0,IF($J64=8,$E64*$I64/12*1,IF($J64=9,$E64*$I64/12*2,IF($J64&gt;=10,$E64*$I64/12*3,0))))))</f>
        <v>0</v>
      </c>
      <c r="CE64" s="402">
        <f>IF($H64&lt;&gt;CF$5,0,IF(CF64&gt;0,IF(OR($J64=1,$J64=2,$J64=3,$J64=4,$J64=5,$J64=6,$J64=7,$J64=8,$J64=9,$J64=10),$E64*$I64/12*3,IF($J64=11,$E64*$I64/12*2,IF($J64=12,$E64*$I64/12*1,0)))))+IF(CA$5&lt;&gt;$H64,0,IF(CA64&gt;0,IF($J64=10,$E64*$I64/12*0,IF($J64=11,$E64*$I64/12*1,IF($J64=12,$E64*$I64/12*2,0)))))</f>
        <v>0</v>
      </c>
      <c r="CF64" s="403">
        <f>IF(AND(CA64&lt;&gt;0,CA$5=$H64),$I64*$E64-CA64,IF(CF$5=$H64,$I64*$E64*(12-$J64+1)/12,0))</f>
        <v>0</v>
      </c>
      <c r="CG64" s="400">
        <f>IF($H64&lt;&gt;CK$5,0,IF(CK64&gt;0,IF($J64=1,$E64*$I64/12*3,IF($J64=2,$E64*$I64/12*2,IF($J64=3,$E64*$I64/12*1,0)))))+IF(CF$5&lt;&gt;$H64,0,IF(CF64&gt;0,IF($J64=1,$E64*$I64/12*0,IF($J64=2,$E64*$I64/12*1,IF($J64=3,$E64*$I64/12*2,IF($J64&gt;=4,$E64*$I64/12*3,0))))))</f>
        <v>0</v>
      </c>
      <c r="CH64" s="401">
        <f>IF($H64&lt;&gt;CK$5,0,IF(CK64&gt;0,IF(OR($J64=1,$J64=2,$J64=3,$J64=4),$E64*$I64/12*3,IF($J64=5,$E64*$I64/12*2,IF($J64=6,$E64*$I64/12*1,0)))))+IF(CF$5&lt;&gt;$H64,0,IF(CF64&gt;0,IF($J64=4,$E64*$I64/12*0,IF($J64=5,$E64*$I64/12*1,IF($J64=6,$E64*$I64/12*2,IF($J64&gt;=7,$E64*$I64/12*3,0))))))</f>
        <v>0</v>
      </c>
      <c r="CI64" s="401">
        <f>IF($H64&lt;&gt;CK$5,0,IF(CK64&gt;0,IF(OR($J64=1,$J64=2,$J64=3,$J64=4,$J64=5,$J64=6,$J64=7),$E64*$I64/12*3,IF($J64=8,$E64*$I64/12*2,IF($J64=9,$E64*$I64/12*1,0)))))+IF(CF$5&lt;&gt;$H64,0,IF(CF64&gt;0,IF($J64=7,$E64*$I64/12*0,IF($J64=8,$E64*$I64/12*1,IF($J64=9,$E64*$I64/12*2,IF($J64&gt;=10,$E64*$I64/12*3,0))))))</f>
        <v>0</v>
      </c>
      <c r="CJ64" s="402">
        <f>IF($H64&lt;&gt;CK$5,0,IF(CK64&gt;0,IF(OR($J64=1,$J64=2,$J64=3,$J64=4,$J64=5,$J64=6,$J64=7,$J64=8,$J64=9,$J64=10),$E64*$I64/12*3,IF($J64=11,$E64*$I64/12*2,IF($J64=12,$E64*$I64/12*1,0)))))+IF(CF$5&lt;&gt;$H64,0,IF(CF64&gt;0,IF($J64=10,$E64*$I64/12*0,IF($J64=11,$E64*$I64/12*1,IF($J64=12,$E64*$I64/12*2,0)))))</f>
        <v>0</v>
      </c>
      <c r="CK64" s="403">
        <f>IF(AND(CF64&lt;&gt;0,CF$5=$H64),$I64*$E64-CF64,IF(CK$5=$H64,$I64*$E64*(12-$J64+1)/12,0))</f>
        <v>0</v>
      </c>
      <c r="CL64" s="400">
        <f>IF($H64&lt;&gt;CP$5,0,IF(CP64&gt;0,IF($J64=1,$E64*$I64/12*3,IF($J64=2,$E64*$I64/12*2,IF($J64=3,$E64*$I64/12*1,0)))))+IF(CK$5&lt;&gt;$H64,0,IF(CK64&gt;0,IF($J64=1,$E64*$I64/12*0,IF($J64=2,$E64*$I64/12*1,IF($J64=3,$E64*$I64/12*2,IF($J64&gt;=4,$E64*$I64/12*3,0))))))</f>
        <v>0</v>
      </c>
      <c r="CM64" s="401">
        <f>IF($H64&lt;&gt;CP$5,0,IF(CP64&gt;0,IF(OR($J64=1,$J64=2,$J64=3,$J64=4),$E64*$I64/12*3,IF($J64=5,$E64*$I64/12*2,IF($J64=6,$E64*$I64/12*1,0)))))+IF(CK$5&lt;&gt;$H64,0,IF(CK64&gt;0,IF($J64=4,$E64*$I64/12*0,IF($J64=5,$E64*$I64/12*1,IF($J64=6,$E64*$I64/12*2,IF($J64&gt;=7,$E64*$I64/12*3,0))))))</f>
        <v>0</v>
      </c>
      <c r="CN64" s="401">
        <f>IF($H64&lt;&gt;CP$5,0,IF(CP64&gt;0,IF(OR($J64=1,$J64=2,$J64=3,$J64=4,$J64=5,$J64=6,$J64=7),$E64*$I64/12*3,IF($J64=8,$E64*$I64/12*2,IF($J64=9,$E64*$I64/12*1,0)))))+IF(CK$5&lt;&gt;$H64,0,IF(CK64&gt;0,IF($J64=7,$E64*$I64/12*0,IF($J64=8,$E64*$I64/12*1,IF($J64=9,$E64*$I64/12*2,IF($J64&gt;=10,$E64*$I64/12*3,0))))))</f>
        <v>0</v>
      </c>
      <c r="CO64" s="402">
        <f>IF($H64&lt;&gt;CP$5,0,IF(CP64&gt;0,IF(OR($J64=1,$J64=2,$J64=3,$J64=4,$J64=5,$J64=6,$J64=7,$J64=8,$J64=9,$J64=10),$E64*$I64/12*3,IF($J64=11,$E64*$I64/12*2,IF($J64=12,$E64*$I64/12*1,0)))))+IF(CK$5&lt;&gt;$H64,0,IF(CK64&gt;0,IF($J64=10,$E64*$I64/12*0,IF($J64=11,$E64*$I64/12*1,IF($J64=12,$E64*$I64/12*2,0)))))</f>
        <v>0</v>
      </c>
      <c r="CP64" s="403">
        <f>IF(AND(CK64&lt;&gt;0,CK$5=$H64),$I64*$E64-CK64,IF(CP$5=$H64,$I64*$E64*(12-$J64+1)/12,0))</f>
        <v>0</v>
      </c>
      <c r="CQ64" s="400">
        <f>IF($H64&lt;&gt;CU$5,0,IF(CU64&gt;0,IF($J64=1,$E64*$I64/12*3,IF($J64=2,$E64*$I64/12*2,IF($J64=3,$E64*$I64/12*1,0)))))+IF(CP$5&lt;&gt;$H64,0,IF(CP64&gt;0,IF($J64=1,$E64*$I64/12*0,IF($J64=2,$E64*$I64/12*1,IF($J64=3,$E64*$I64/12*2,IF($J64&gt;=4,$E64*$I64/12*3,0))))))</f>
        <v>0</v>
      </c>
      <c r="CR64" s="401">
        <f>IF($H64&lt;&gt;CU$5,0,IF(CU64&gt;0,IF(OR($J64=1,$J64=2,$J64=3,$J64=4),$E64*$I64/12*3,IF($J64=5,$E64*$I64/12*2,IF($J64=6,$E64*$I64/12*1,0)))))+IF(CP$5&lt;&gt;$H64,0,IF(CP64&gt;0,IF($J64=4,$E64*$I64/12*0,IF($J64=5,$E64*$I64/12*1,IF($J64=6,$E64*$I64/12*2,IF($J64&gt;=7,$E64*$I64/12*3,0))))))</f>
        <v>0</v>
      </c>
      <c r="CS64" s="401">
        <f>IF($H64&lt;&gt;CU$5,0,IF(CU64&gt;0,IF(OR($J64=1,$J64=2,$J64=3,$J64=4,$J64=5,$J64=6,$J64=7),$E64*$I64/12*3,IF($J64=8,$E64*$I64/12*2,IF($J64=9,$E64*$I64/12*1,0)))))+IF(CP$5&lt;&gt;$H64,0,IF(CP64&gt;0,IF($J64=7,$E64*$I64/12*0,IF($J64=8,$E64*$I64/12*1,IF($J64=9,$E64*$I64/12*2,IF($J64&gt;=10,$E64*$I64/12*3,0))))))</f>
        <v>0</v>
      </c>
      <c r="CT64" s="402">
        <f>IF($H64&lt;&gt;CU$5,0,IF(CU64&gt;0,IF(OR($J64=1,$J64=2,$J64=3,$J64=4,$J64=5,$J64=6,$J64=7,$J64=8,$J64=9,$J64=10),$E64*$I64/12*3,IF($J64=11,$E64*$I64/12*2,IF($J64=12,$E64*$I64/12*1,0)))))+IF(CP$5&lt;&gt;$H64,0,IF(CP64&gt;0,IF($J64=10,$E64*$I64/12*0,IF($J64=11,$E64*$I64/12*1,IF($J64=12,$E64*$I64/12*2,0)))))</f>
        <v>0</v>
      </c>
      <c r="CU64" s="403">
        <f>IF(AND(CP64&lt;&gt;0,CP$5=$H64),$I64*$E64-CP64,IF(CU$5=$H64,$I64*$E64*(12-$J64+1)/12,0))</f>
        <v>0</v>
      </c>
      <c r="CV64" s="400">
        <f>IF($H64&lt;&gt;CZ$5,0,IF(CZ64&gt;0,IF($J64=1,$E64*$I64/12*3,IF($J64=2,$E64*$I64/12*2,IF($J64=3,$E64*$I64/12*1,0)))))+IF(CU$5&lt;&gt;$H64,0,IF(CU64&gt;0,IF($J64=1,$E64*$I64/12*0,IF($J64=2,$E64*$I64/12*1,IF($J64=3,$E64*$I64/12*2,IF($J64&gt;=4,$E64*$I64/12*3,0))))))</f>
        <v>0</v>
      </c>
      <c r="CW64" s="401">
        <f>IF($H64&lt;&gt;CZ$5,0,IF(CZ64&gt;0,IF(OR($J64=1,$J64=2,$J64=3,$J64=4),$E64*$I64/12*3,IF($J64=5,$E64*$I64/12*2,IF($J64=6,$E64*$I64/12*1,0)))))+IF(CU$5&lt;&gt;$H64,0,IF(CU64&gt;0,IF($J64=4,$E64*$I64/12*0,IF($J64=5,$E64*$I64/12*1,IF($J64=6,$E64*$I64/12*2,IF($J64&gt;=7,$E64*$I64/12*3,0))))))</f>
        <v>0</v>
      </c>
      <c r="CX64" s="401">
        <f>IF($H64&lt;&gt;CZ$5,0,IF(CZ64&gt;0,IF(OR($J64=1,$J64=2,$J64=3,$J64=4,$J64=5,$J64=6,$J64=7),$E64*$I64/12*3,IF($J64=8,$E64*$I64/12*2,IF($J64=9,$E64*$I64/12*1,0)))))+IF(CU$5&lt;&gt;$H64,0,IF(CU64&gt;0,IF($J64=7,$E64*$I64/12*0,IF($J64=8,$E64*$I64/12*1,IF($J64=9,$E64*$I64/12*2,IF($J64&gt;=10,$E64*$I64/12*3,0))))))</f>
        <v>0</v>
      </c>
      <c r="CY64" s="402">
        <f>IF($H64&lt;&gt;CZ$5,0,IF(CZ64&gt;0,IF(OR($J64=1,$J64=2,$J64=3,$J64=4,$J64=5,$J64=6,$J64=7,$J64=8,$J64=9,$J64=10),$E64*$I64/12*3,IF($J64=11,$E64*$I64/12*2,IF($J64=12,$E64*$I64/12*1,0)))))+IF(CU$5&lt;&gt;$H64,0,IF(CU64&gt;0,IF($J64=10,$E64*$I64/12*0,IF($J64=11,$E64*$I64/12*1,IF($J64=12,$E64*$I64/12*2,0)))))</f>
        <v>0</v>
      </c>
      <c r="CZ64" s="403">
        <f>IF(AND(CU64&lt;&gt;0,CU$5=$H64),$I64*$E64-CU64,IF(CZ$5=$H64,$I64*$E64*(12-$J64+1)/12,0))</f>
        <v>0</v>
      </c>
      <c r="DA64" s="400">
        <f>IF($H64&lt;&gt;DE$5,0,IF(DE64&gt;0,IF($J64=1,$E64*$I64/12*3,IF($J64=2,$E64*$I64/12*2,IF($J64=3,$E64*$I64/12*1,0)))))+IF(CZ$5&lt;&gt;$H64,0,IF(CZ64&gt;0,IF($J64=1,$E64*$I64/12*0,IF($J64=2,$E64*$I64/12*1,IF($J64=3,$E64*$I64/12*2,IF($J64&gt;=4,$E64*$I64/12*3,0))))))</f>
        <v>0</v>
      </c>
      <c r="DB64" s="401">
        <f>IF($H64&lt;&gt;DE$5,0,IF(DE64&gt;0,IF(OR($J64=1,$J64=2,$J64=3,$J64=4),$E64*$I64/12*3,IF($J64=5,$E64*$I64/12*2,IF($J64=6,$E64*$I64/12*1,0)))))+IF(CZ$5&lt;&gt;$H64,0,IF(CZ64&gt;0,IF($J64=4,$E64*$I64/12*0,IF($J64=5,$E64*$I64/12*1,IF($J64=6,$E64*$I64/12*2,IF($J64&gt;=7,$E64*$I64/12*3,0))))))</f>
        <v>0</v>
      </c>
      <c r="DC64" s="401">
        <f>IF($H64&lt;&gt;DE$5,0,IF(DE64&gt;0,IF(OR($J64=1,$J64=2,$J64=3,$J64=4,$J64=5,$J64=6,$J64=7),$E64*$I64/12*3,IF($J64=8,$E64*$I64/12*2,IF($J64=9,$E64*$I64/12*1,0)))))+IF(CZ$5&lt;&gt;$H64,0,IF(CZ64&gt;0,IF($J64=7,$E64*$I64/12*0,IF($J64=8,$E64*$I64/12*1,IF($J64=9,$E64*$I64/12*2,IF($J64&gt;=10,$E64*$I64/12*3,0))))))</f>
        <v>0</v>
      </c>
      <c r="DD64" s="402">
        <f>IF($H64&lt;&gt;DE$5,0,IF(DE64&gt;0,IF(OR($J64=1,$J64=2,$J64=3,$J64=4,$J64=5,$J64=6,$J64=7,$J64=8,$J64=9,$J64=10),$E64*$I64/12*3,IF($J64=11,$E64*$I64/12*2,IF($J64=12,$E64*$I64/12*1,0)))))+IF(CZ$5&lt;&gt;$H64,0,IF(CZ64&gt;0,IF($J64=10,$E64*$I64/12*0,IF($J64=11,$E64*$I64/12*1,IF($J64=12,$E64*$I64/12*2,0)))))</f>
        <v>0</v>
      </c>
      <c r="DE64" s="403">
        <f>IF(AND(CZ64&lt;&gt;0,CZ$5=$H64),$I64*$E64-CZ64,IF(DE$5=$H64,$I64*$E64*(12-$J64+1)/12,0))</f>
        <v>0</v>
      </c>
      <c r="DF64" s="400">
        <f>IF($H64&lt;&gt;DJ$5,0,IF(DJ64&gt;0,IF($J64=1,$E64*$I64/12*3,IF($J64=2,$E64*$I64/12*2,IF($J64=3,$E64*$I64/12*1,0)))))+IF(DE$5&lt;&gt;$H64,0,IF(DE64&gt;0,IF($J64=1,$E64*$I64/12*0,IF($J64=2,$E64*$I64/12*1,IF($J64=3,$E64*$I64/12*2,IF($J64&gt;=4,$E64*$I64/12*3,0))))))</f>
        <v>0</v>
      </c>
      <c r="DG64" s="401">
        <f>IF($H64&lt;&gt;DJ$5,0,IF(DJ64&gt;0,IF(OR($J64=1,$J64=2,$J64=3,$J64=4),$E64*$I64/12*3,IF($J64=5,$E64*$I64/12*2,IF($J64=6,$E64*$I64/12*1,0)))))+IF(DE$5&lt;&gt;$H64,0,IF(DE64&gt;0,IF($J64=4,$E64*$I64/12*0,IF($J64=5,$E64*$I64/12*1,IF($J64=6,$E64*$I64/12*2,IF($J64&gt;=7,$E64*$I64/12*3,0))))))</f>
        <v>0</v>
      </c>
      <c r="DH64" s="401">
        <f>IF($H64&lt;&gt;DJ$5,0,IF(DJ64&gt;0,IF(OR($J64=1,$J64=2,$J64=3,$J64=4,$J64=5,$J64=6,$J64=7),$E64*$I64/12*3,IF($J64=8,$E64*$I64/12*2,IF($J64=9,$E64*$I64/12*1,0)))))+IF(DE$5&lt;&gt;$H64,0,IF(DE64&gt;0,IF($J64=7,$E64*$I64/12*0,IF($J64=8,$E64*$I64/12*1,IF($J64=9,$E64*$I64/12*2,IF($J64&gt;=10,$E64*$I64/12*3,0))))))</f>
        <v>0</v>
      </c>
      <c r="DI64" s="402">
        <f>IF($H64&lt;&gt;DJ$5,0,IF(DJ64&gt;0,IF(OR($J64=1,$J64=2,$J64=3,$J64=4,$J64=5,$J64=6,$J64=7,$J64=8,$J64=9,$J64=10),$E64*$I64/12*3,IF($J64=11,$E64*$I64/12*2,IF($J64=12,$E64*$I64/12*1,0)))))+IF(DE$5&lt;&gt;$H64,0,IF(DE64&gt;0,IF($J64=10,$E64*$I64/12*0,IF($J64=11,$E64*$I64/12*1,IF($J64=12,$E64*$I64/12*2,0)))))</f>
        <v>0</v>
      </c>
      <c r="DJ64" s="403">
        <f>IF(AND(DE64&lt;&gt;0,DE$5=$H64),$I64*$E64-DE64,IF(DJ$5=$H64,$I64*$E64*(12-$J64+1)/12,0))</f>
        <v>0</v>
      </c>
      <c r="DK64" s="400">
        <f>IF($H64&lt;&gt;DO$5,0,IF(DO64&gt;0,IF($J64=1,$E64*$I64/12*3,IF($J64=2,$E64*$I64/12*2,IF($J64=3,$E64*$I64/12*1,0)))))+IF(DJ$5&lt;&gt;$H64,0,IF(DJ64&gt;0,IF($J64=1,$E64*$I64/12*0,IF($J64=2,$E64*$I64/12*1,IF($J64=3,$E64*$I64/12*2,IF($J64&gt;=4,$E64*$I64/12*3,0))))))</f>
        <v>0</v>
      </c>
      <c r="DL64" s="401">
        <f>IF($H64&lt;&gt;DO$5,0,IF(DO64&gt;0,IF(OR($J64=1,$J64=2,$J64=3,$J64=4),$E64*$I64/12*3,IF($J64=5,$E64*$I64/12*2,IF($J64=6,$E64*$I64/12*1,0)))))+IF(DJ$5&lt;&gt;$H64,0,IF(DJ64&gt;0,IF($J64=4,$E64*$I64/12*0,IF($J64=5,$E64*$I64/12*1,IF($J64=6,$E64*$I64/12*2,IF($J64&gt;=7,$E64*$I64/12*3,0))))))</f>
        <v>0</v>
      </c>
      <c r="DM64" s="401">
        <f>IF($H64&lt;&gt;DO$5,0,IF(DO64&gt;0,IF(OR($J64=1,$J64=2,$J64=3,$J64=4,$J64=5,$J64=6,$J64=7),$E64*$I64/12*3,IF($J64=8,$E64*$I64/12*2,IF($J64=9,$E64*$I64/12*1,0)))))+IF(DJ$5&lt;&gt;$H64,0,IF(DJ64&gt;0,IF($J64=7,$E64*$I64/12*0,IF($J64=8,$E64*$I64/12*1,IF($J64=9,$E64*$I64/12*2,IF($J64&gt;=10,$E64*$I64/12*3,0))))))</f>
        <v>0</v>
      </c>
      <c r="DN64" s="402">
        <f>IF($H64&lt;&gt;DO$5,0,IF(DO64&gt;0,IF(OR($J64=1,$J64=2,$J64=3,$J64=4,$J64=5,$J64=6,$J64=7,$J64=8,$J64=9,$J64=10),$E64*$I64/12*3,IF($J64=11,$E64*$I64/12*2,IF($J64=12,$E64*$I64/12*1,0)))))+IF(DJ$5&lt;&gt;$H64,0,IF(DJ64&gt;0,IF($J64=10,$E64*$I64/12*0,IF($J64=11,$E64*$I64/12*1,IF($J64=12,$E64*$I64/12*2,0)))))</f>
        <v>0</v>
      </c>
      <c r="DO64" s="403">
        <f>IF(AND(DJ64&lt;&gt;0,DJ$5=$H64),$I64*$E64-DJ64,IF(DO$5=$H64,$I64*$E64*(12-$J64+1)/12,0))</f>
        <v>0</v>
      </c>
      <c r="DP64" s="400">
        <f>IF($H64&lt;&gt;DT$5,0,IF(DT64&gt;0,IF($J64=1,$E64*$I64/12*3,IF($J64=2,$E64*$I64/12*2,IF($J64=3,$E64*$I64/12*1,0)))))+IF(DO$5&lt;&gt;$H64,0,IF(DO64&gt;0,IF($J64=1,$E64*$I64/12*0,IF($J64=2,$E64*$I64/12*1,IF($J64=3,$E64*$I64/12*2,IF($J64&gt;=4,$E64*$I64/12*3,0))))))</f>
        <v>0</v>
      </c>
      <c r="DQ64" s="401">
        <f>IF($H64&lt;&gt;DT$5,0,IF(DT64&gt;0,IF(OR($J64=1,$J64=2,$J64=3,$J64=4),$E64*$I64/12*3,IF($J64=5,$E64*$I64/12*2,IF($J64=6,$E64*$I64/12*1,0)))))+IF(DO$5&lt;&gt;$H64,0,IF(DO64&gt;0,IF($J64=4,$E64*$I64/12*0,IF($J64=5,$E64*$I64/12*1,IF($J64=6,$E64*$I64/12*2,IF($J64&gt;=7,$E64*$I64/12*3,0))))))</f>
        <v>0</v>
      </c>
      <c r="DR64" s="401">
        <f>IF($H64&lt;&gt;DT$5,0,IF(DT64&gt;0,IF(OR($J64=1,$J64=2,$J64=3,$J64=4,$J64=5,$J64=6,$J64=7),$E64*$I64/12*3,IF($J64=8,$E64*$I64/12*2,IF($J64=9,$E64*$I64/12*1,0)))))+IF(DO$5&lt;&gt;$H64,0,IF(DO64&gt;0,IF($J64=7,$E64*$I64/12*0,IF($J64=8,$E64*$I64/12*1,IF($J64=9,$E64*$I64/12*2,IF($J64&gt;=10,$E64*$I64/12*3,0))))))</f>
        <v>0</v>
      </c>
      <c r="DS64" s="402">
        <f>IF($H64&lt;&gt;DT$5,0,IF(DT64&gt;0,IF(OR($J64=1,$J64=2,$J64=3,$J64=4,$J64=5,$J64=6,$J64=7,$J64=8,$J64=9,$J64=10),$E64*$I64/12*3,IF($J64=11,$E64*$I64/12*2,IF($J64=12,$E64*$I64/12*1,0)))))+IF(DO$5&lt;&gt;$H64,0,IF(DO64&gt;0,IF($J64=10,$E64*$I64/12*0,IF($J64=11,$E64*$I64/12*1,IF($J64=12,$E64*$I64/12*2,0)))))</f>
        <v>0</v>
      </c>
      <c r="DT64" s="403">
        <f>IF(AND(DO64&lt;&gt;0,DO$5=$H64),$I64*$E64-DO64,IF(DT$5=$H64,$I64*$E64*(12-$J64+1)/12,0))</f>
        <v>0</v>
      </c>
    </row>
    <row r="65" spans="1:124" s="302" customFormat="1" ht="12.75" customHeight="1" x14ac:dyDescent="0.2">
      <c r="C65" s="832"/>
      <c r="D65" s="811"/>
      <c r="E65" s="812"/>
      <c r="F65" s="813"/>
      <c r="G65" s="813"/>
      <c r="H65" s="814"/>
      <c r="I65" s="833"/>
      <c r="J65" s="834"/>
      <c r="K65" s="411"/>
      <c r="L65" s="412"/>
      <c r="M65" s="413"/>
      <c r="N65" s="414"/>
      <c r="O65" s="414"/>
      <c r="P65" s="415"/>
      <c r="Q65" s="412"/>
      <c r="R65" s="413"/>
      <c r="S65" s="414"/>
      <c r="T65" s="414"/>
      <c r="U65" s="415"/>
      <c r="V65" s="412"/>
      <c r="W65" s="413"/>
      <c r="X65" s="414"/>
      <c r="Y65" s="414"/>
      <c r="Z65" s="415"/>
      <c r="AA65" s="412"/>
      <c r="AB65" s="413"/>
      <c r="AC65" s="414"/>
      <c r="AD65" s="414"/>
      <c r="AE65" s="415"/>
      <c r="AF65" s="412"/>
      <c r="AG65" s="413"/>
      <c r="AH65" s="414"/>
      <c r="AI65" s="414"/>
      <c r="AJ65" s="415"/>
      <c r="AK65" s="412"/>
      <c r="AL65" s="413"/>
      <c r="AM65" s="414"/>
      <c r="AN65" s="414"/>
      <c r="AO65" s="415"/>
      <c r="AP65" s="412"/>
      <c r="AQ65" s="413"/>
      <c r="AR65" s="414"/>
      <c r="AS65" s="414"/>
      <c r="AT65" s="415"/>
      <c r="AU65" s="412"/>
      <c r="AV65" s="413"/>
      <c r="AW65" s="414"/>
      <c r="AX65" s="414"/>
      <c r="AY65" s="415"/>
      <c r="AZ65" s="412"/>
      <c r="BA65" s="413"/>
      <c r="BB65" s="414"/>
      <c r="BC65" s="414"/>
      <c r="BD65" s="415"/>
      <c r="BE65" s="412"/>
      <c r="BF65" s="413"/>
      <c r="BG65" s="414"/>
      <c r="BH65" s="414"/>
      <c r="BI65" s="415"/>
      <c r="BJ65" s="412"/>
      <c r="BK65" s="413"/>
      <c r="BL65" s="414"/>
      <c r="BM65" s="414"/>
      <c r="BN65" s="415"/>
      <c r="BO65" s="412"/>
      <c r="BP65" s="458"/>
      <c r="BQ65" s="417"/>
      <c r="BR65" s="418"/>
      <c r="BS65" s="419"/>
      <c r="BT65" s="419"/>
      <c r="BU65" s="420"/>
      <c r="BV65" s="417"/>
      <c r="BW65" s="418"/>
      <c r="BX65" s="419"/>
      <c r="BY65" s="419"/>
      <c r="BZ65" s="420"/>
      <c r="CA65" s="417"/>
      <c r="CB65" s="418"/>
      <c r="CC65" s="419"/>
      <c r="CD65" s="419"/>
      <c r="CE65" s="420"/>
      <c r="CF65" s="417"/>
      <c r="CG65" s="418"/>
      <c r="CH65" s="419"/>
      <c r="CI65" s="419"/>
      <c r="CJ65" s="420"/>
      <c r="CK65" s="417"/>
      <c r="CL65" s="418"/>
      <c r="CM65" s="419"/>
      <c r="CN65" s="419"/>
      <c r="CO65" s="420"/>
      <c r="CP65" s="417"/>
      <c r="CQ65" s="418"/>
      <c r="CR65" s="419"/>
      <c r="CS65" s="419"/>
      <c r="CT65" s="420"/>
      <c r="CU65" s="417"/>
      <c r="CV65" s="418"/>
      <c r="CW65" s="419"/>
      <c r="CX65" s="419"/>
      <c r="CY65" s="420"/>
      <c r="CZ65" s="417"/>
      <c r="DA65" s="418"/>
      <c r="DB65" s="419"/>
      <c r="DC65" s="419"/>
      <c r="DD65" s="420"/>
      <c r="DE65" s="417"/>
      <c r="DF65" s="418"/>
      <c r="DG65" s="419"/>
      <c r="DH65" s="419"/>
      <c r="DI65" s="420"/>
      <c r="DJ65" s="417"/>
      <c r="DK65" s="418"/>
      <c r="DL65" s="419"/>
      <c r="DM65" s="419"/>
      <c r="DN65" s="420"/>
      <c r="DO65" s="417"/>
      <c r="DP65" s="418"/>
      <c r="DQ65" s="419"/>
      <c r="DR65" s="419"/>
      <c r="DS65" s="420"/>
      <c r="DT65" s="417"/>
    </row>
    <row r="66" spans="1:124" ht="12.75" customHeight="1" x14ac:dyDescent="0.2">
      <c r="A66" s="26"/>
      <c r="B66" s="26"/>
      <c r="C66" s="711" t="s">
        <v>170</v>
      </c>
      <c r="D66" s="711"/>
      <c r="E66" s="817">
        <f>SUM(E49:E65)</f>
        <v>5500</v>
      </c>
      <c r="F66" s="818">
        <f>SUM(F49:F65)</f>
        <v>5000</v>
      </c>
      <c r="G66" s="818">
        <f>SUM(G49:G65)</f>
        <v>4900</v>
      </c>
      <c r="H66" s="819"/>
      <c r="I66" s="835"/>
      <c r="J66" s="836"/>
      <c r="K66" s="462"/>
      <c r="L66" s="424">
        <f t="shared" ref="L66:AQ66" si="585">SUM(L49:L65)</f>
        <v>0</v>
      </c>
      <c r="M66" s="425">
        <f t="shared" si="585"/>
        <v>0</v>
      </c>
      <c r="N66" s="426">
        <f t="shared" si="585"/>
        <v>0</v>
      </c>
      <c r="O66" s="426">
        <f t="shared" si="585"/>
        <v>0</v>
      </c>
      <c r="P66" s="427">
        <f t="shared" si="585"/>
        <v>0</v>
      </c>
      <c r="Q66" s="424">
        <f t="shared" si="585"/>
        <v>0</v>
      </c>
      <c r="R66" s="425">
        <f t="shared" si="585"/>
        <v>0</v>
      </c>
      <c r="S66" s="426">
        <f t="shared" si="585"/>
        <v>0</v>
      </c>
      <c r="T66" s="426">
        <f t="shared" si="585"/>
        <v>0</v>
      </c>
      <c r="U66" s="427">
        <f t="shared" si="585"/>
        <v>0</v>
      </c>
      <c r="V66" s="424">
        <f t="shared" si="585"/>
        <v>0</v>
      </c>
      <c r="W66" s="425">
        <f t="shared" si="585"/>
        <v>0</v>
      </c>
      <c r="X66" s="426">
        <f t="shared" si="585"/>
        <v>0</v>
      </c>
      <c r="Y66" s="426">
        <f t="shared" si="585"/>
        <v>0</v>
      </c>
      <c r="Z66" s="427">
        <f t="shared" si="585"/>
        <v>0</v>
      </c>
      <c r="AA66" s="424">
        <f t="shared" si="585"/>
        <v>0</v>
      </c>
      <c r="AB66" s="425">
        <f t="shared" si="585"/>
        <v>0</v>
      </c>
      <c r="AC66" s="426">
        <f t="shared" si="585"/>
        <v>0</v>
      </c>
      <c r="AD66" s="426">
        <f t="shared" si="585"/>
        <v>0</v>
      </c>
      <c r="AE66" s="427">
        <f t="shared" si="585"/>
        <v>0</v>
      </c>
      <c r="AF66" s="424">
        <f t="shared" si="585"/>
        <v>0</v>
      </c>
      <c r="AG66" s="425">
        <f t="shared" si="585"/>
        <v>0</v>
      </c>
      <c r="AH66" s="426">
        <f t="shared" si="585"/>
        <v>0</v>
      </c>
      <c r="AI66" s="426">
        <f t="shared" si="585"/>
        <v>0</v>
      </c>
      <c r="AJ66" s="427">
        <f t="shared" si="585"/>
        <v>0</v>
      </c>
      <c r="AK66" s="424">
        <f t="shared" si="585"/>
        <v>0</v>
      </c>
      <c r="AL66" s="425">
        <f t="shared" si="585"/>
        <v>0</v>
      </c>
      <c r="AM66" s="426">
        <f t="shared" si="585"/>
        <v>0</v>
      </c>
      <c r="AN66" s="426">
        <f t="shared" si="585"/>
        <v>0</v>
      </c>
      <c r="AO66" s="427">
        <f t="shared" si="585"/>
        <v>0</v>
      </c>
      <c r="AP66" s="424">
        <f t="shared" si="585"/>
        <v>0</v>
      </c>
      <c r="AQ66" s="425">
        <f t="shared" si="585"/>
        <v>0</v>
      </c>
      <c r="AR66" s="426">
        <f t="shared" ref="AR66:BJ66" si="586">SUM(AR49:AR65)</f>
        <v>0</v>
      </c>
      <c r="AS66" s="426">
        <f t="shared" si="586"/>
        <v>-500</v>
      </c>
      <c r="AT66" s="427">
        <f t="shared" si="586"/>
        <v>0</v>
      </c>
      <c r="AU66" s="424">
        <f t="shared" si="586"/>
        <v>-500</v>
      </c>
      <c r="AV66" s="425">
        <f t="shared" si="586"/>
        <v>0</v>
      </c>
      <c r="AW66" s="426">
        <f t="shared" si="586"/>
        <v>0</v>
      </c>
      <c r="AX66" s="426">
        <f t="shared" si="586"/>
        <v>0</v>
      </c>
      <c r="AY66" s="427">
        <f t="shared" si="586"/>
        <v>0</v>
      </c>
      <c r="AZ66" s="424">
        <f t="shared" si="586"/>
        <v>0</v>
      </c>
      <c r="BA66" s="425">
        <f t="shared" si="586"/>
        <v>0</v>
      </c>
      <c r="BB66" s="426">
        <f t="shared" si="586"/>
        <v>0</v>
      </c>
      <c r="BC66" s="426">
        <f t="shared" si="586"/>
        <v>0</v>
      </c>
      <c r="BD66" s="427">
        <f t="shared" si="586"/>
        <v>0</v>
      </c>
      <c r="BE66" s="424">
        <f t="shared" si="586"/>
        <v>0</v>
      </c>
      <c r="BF66" s="425">
        <f t="shared" si="586"/>
        <v>0</v>
      </c>
      <c r="BG66" s="426">
        <f t="shared" si="586"/>
        <v>0</v>
      </c>
      <c r="BH66" s="426">
        <f t="shared" si="586"/>
        <v>-300</v>
      </c>
      <c r="BI66" s="427">
        <f t="shared" si="586"/>
        <v>0</v>
      </c>
      <c r="BJ66" s="424">
        <f t="shared" si="586"/>
        <v>-300</v>
      </c>
      <c r="BK66" s="425">
        <f t="shared" ref="BK66:BO66" si="587">SUM(BK49:BK65)</f>
        <v>0</v>
      </c>
      <c r="BL66" s="426">
        <f t="shared" si="587"/>
        <v>0</v>
      </c>
      <c r="BM66" s="426">
        <f t="shared" si="587"/>
        <v>0</v>
      </c>
      <c r="BN66" s="427">
        <f t="shared" si="587"/>
        <v>0</v>
      </c>
      <c r="BO66" s="424">
        <f t="shared" si="587"/>
        <v>0</v>
      </c>
      <c r="BP66" s="463"/>
      <c r="BQ66" s="429">
        <f t="shared" ref="BQ66:CV66" si="588">SUM(BQ49:BQ65)</f>
        <v>0</v>
      </c>
      <c r="BR66" s="430">
        <f t="shared" si="588"/>
        <v>0</v>
      </c>
      <c r="BS66" s="431">
        <f t="shared" si="588"/>
        <v>0</v>
      </c>
      <c r="BT66" s="431">
        <f t="shared" si="588"/>
        <v>0</v>
      </c>
      <c r="BU66" s="432">
        <f t="shared" si="588"/>
        <v>0</v>
      </c>
      <c r="BV66" s="429">
        <f t="shared" si="588"/>
        <v>0</v>
      </c>
      <c r="BW66" s="430">
        <f t="shared" si="588"/>
        <v>0</v>
      </c>
      <c r="BX66" s="431">
        <f t="shared" si="588"/>
        <v>0</v>
      </c>
      <c r="BY66" s="431">
        <f t="shared" si="588"/>
        <v>0</v>
      </c>
      <c r="BZ66" s="432">
        <f t="shared" si="588"/>
        <v>0</v>
      </c>
      <c r="CA66" s="429">
        <f t="shared" si="588"/>
        <v>0</v>
      </c>
      <c r="CB66" s="430">
        <f t="shared" si="588"/>
        <v>0</v>
      </c>
      <c r="CC66" s="431">
        <f t="shared" si="588"/>
        <v>0</v>
      </c>
      <c r="CD66" s="431">
        <f t="shared" si="588"/>
        <v>0</v>
      </c>
      <c r="CE66" s="432">
        <f t="shared" si="588"/>
        <v>0</v>
      </c>
      <c r="CF66" s="429">
        <f t="shared" si="588"/>
        <v>0</v>
      </c>
      <c r="CG66" s="430">
        <f t="shared" si="588"/>
        <v>0</v>
      </c>
      <c r="CH66" s="431">
        <f t="shared" si="588"/>
        <v>0</v>
      </c>
      <c r="CI66" s="431">
        <f t="shared" si="588"/>
        <v>0</v>
      </c>
      <c r="CJ66" s="432">
        <f t="shared" si="588"/>
        <v>0</v>
      </c>
      <c r="CK66" s="429">
        <f t="shared" si="588"/>
        <v>0</v>
      </c>
      <c r="CL66" s="430">
        <f t="shared" si="588"/>
        <v>0</v>
      </c>
      <c r="CM66" s="431">
        <f t="shared" si="588"/>
        <v>0</v>
      </c>
      <c r="CN66" s="431">
        <f t="shared" si="588"/>
        <v>0</v>
      </c>
      <c r="CO66" s="432">
        <f t="shared" si="588"/>
        <v>0</v>
      </c>
      <c r="CP66" s="429">
        <f t="shared" si="588"/>
        <v>0</v>
      </c>
      <c r="CQ66" s="430">
        <f t="shared" si="588"/>
        <v>0</v>
      </c>
      <c r="CR66" s="431">
        <f t="shared" si="588"/>
        <v>0</v>
      </c>
      <c r="CS66" s="431">
        <f t="shared" si="588"/>
        <v>0</v>
      </c>
      <c r="CT66" s="432">
        <f t="shared" si="588"/>
        <v>0</v>
      </c>
      <c r="CU66" s="429">
        <f t="shared" si="588"/>
        <v>0</v>
      </c>
      <c r="CV66" s="430">
        <f t="shared" si="588"/>
        <v>0</v>
      </c>
      <c r="CW66" s="431">
        <f t="shared" ref="CW66:DO66" si="589">SUM(CW49:CW65)</f>
        <v>0</v>
      </c>
      <c r="CX66" s="431">
        <f t="shared" si="589"/>
        <v>-2.1875</v>
      </c>
      <c r="CY66" s="432">
        <f t="shared" si="589"/>
        <v>-6.5625</v>
      </c>
      <c r="CZ66" s="429">
        <f t="shared" si="589"/>
        <v>-8.75</v>
      </c>
      <c r="DA66" s="430">
        <f t="shared" si="589"/>
        <v>-6.5625</v>
      </c>
      <c r="DB66" s="431">
        <f t="shared" si="589"/>
        <v>-6.5625</v>
      </c>
      <c r="DC66" s="431">
        <f t="shared" si="589"/>
        <v>-4.375</v>
      </c>
      <c r="DD66" s="432">
        <f t="shared" si="589"/>
        <v>0</v>
      </c>
      <c r="DE66" s="429">
        <f t="shared" si="589"/>
        <v>-17.5</v>
      </c>
      <c r="DF66" s="430">
        <f t="shared" si="589"/>
        <v>0</v>
      </c>
      <c r="DG66" s="431">
        <f t="shared" si="589"/>
        <v>0</v>
      </c>
      <c r="DH66" s="431">
        <f t="shared" si="589"/>
        <v>0</v>
      </c>
      <c r="DI66" s="432">
        <f t="shared" si="589"/>
        <v>0</v>
      </c>
      <c r="DJ66" s="429">
        <f t="shared" si="589"/>
        <v>0</v>
      </c>
      <c r="DK66" s="430">
        <f t="shared" si="589"/>
        <v>0</v>
      </c>
      <c r="DL66" s="431">
        <f t="shared" si="589"/>
        <v>0</v>
      </c>
      <c r="DM66" s="431">
        <f t="shared" si="589"/>
        <v>-1.0999999999999999</v>
      </c>
      <c r="DN66" s="432">
        <f t="shared" si="589"/>
        <v>-1.65</v>
      </c>
      <c r="DO66" s="429">
        <f t="shared" si="589"/>
        <v>-2.75</v>
      </c>
      <c r="DP66" s="430">
        <f t="shared" ref="DP66:DT66" si="590">SUM(DP49:DP65)</f>
        <v>-1.65</v>
      </c>
      <c r="DQ66" s="431">
        <f t="shared" si="590"/>
        <v>-1.65</v>
      </c>
      <c r="DR66" s="431">
        <f t="shared" si="590"/>
        <v>-0.54999999999999993</v>
      </c>
      <c r="DS66" s="432">
        <f t="shared" si="590"/>
        <v>0</v>
      </c>
      <c r="DT66" s="429">
        <f t="shared" si="590"/>
        <v>-3.8499999999999996</v>
      </c>
    </row>
    <row r="67" spans="1:124" ht="12.75" customHeight="1" x14ac:dyDescent="0.2">
      <c r="C67" s="822"/>
      <c r="D67" s="822"/>
      <c r="E67" s="823"/>
      <c r="F67" s="537"/>
      <c r="G67" s="537"/>
      <c r="H67" s="808"/>
      <c r="I67" s="715"/>
      <c r="J67" s="837"/>
      <c r="K67" s="392"/>
      <c r="L67" s="393"/>
      <c r="M67" s="394"/>
      <c r="N67" s="395"/>
      <c r="O67" s="395"/>
      <c r="P67" s="396"/>
      <c r="Q67" s="397"/>
      <c r="R67" s="394"/>
      <c r="S67" s="395"/>
      <c r="T67" s="395"/>
      <c r="U67" s="396"/>
      <c r="V67" s="397"/>
      <c r="W67" s="394"/>
      <c r="X67" s="395"/>
      <c r="Y67" s="395"/>
      <c r="Z67" s="396"/>
      <c r="AA67" s="397"/>
      <c r="AB67" s="394"/>
      <c r="AC67" s="395"/>
      <c r="AD67" s="395"/>
      <c r="AE67" s="396"/>
      <c r="AF67" s="397"/>
      <c r="AG67" s="394"/>
      <c r="AH67" s="395"/>
      <c r="AI67" s="395"/>
      <c r="AJ67" s="396"/>
      <c r="AK67" s="397"/>
      <c r="AL67" s="394"/>
      <c r="AM67" s="395"/>
      <c r="AN67" s="395"/>
      <c r="AO67" s="396"/>
      <c r="AP67" s="397"/>
      <c r="AQ67" s="394"/>
      <c r="AR67" s="395"/>
      <c r="AS67" s="395"/>
      <c r="AT67" s="396"/>
      <c r="AU67" s="397"/>
      <c r="AV67" s="394"/>
      <c r="AW67" s="395"/>
      <c r="AX67" s="395"/>
      <c r="AY67" s="396"/>
      <c r="AZ67" s="397"/>
      <c r="BA67" s="394"/>
      <c r="BB67" s="395"/>
      <c r="BC67" s="395"/>
      <c r="BD67" s="396"/>
      <c r="BE67" s="397"/>
      <c r="BF67" s="394"/>
      <c r="BG67" s="395"/>
      <c r="BH67" s="395"/>
      <c r="BI67" s="396"/>
      <c r="BJ67" s="397"/>
      <c r="BK67" s="394"/>
      <c r="BL67" s="395"/>
      <c r="BM67" s="395"/>
      <c r="BN67" s="396"/>
      <c r="BO67" s="397"/>
      <c r="BP67" s="452"/>
      <c r="BQ67" s="403" t="s">
        <v>315</v>
      </c>
      <c r="BR67" s="400"/>
      <c r="BS67" s="401"/>
      <c r="BT67" s="401"/>
      <c r="BU67" s="402"/>
      <c r="BV67" s="403"/>
      <c r="BW67" s="400"/>
      <c r="BX67" s="401"/>
      <c r="BY67" s="401"/>
      <c r="BZ67" s="402"/>
      <c r="CA67" s="403"/>
      <c r="CB67" s="400"/>
      <c r="CC67" s="401"/>
      <c r="CD67" s="401"/>
      <c r="CE67" s="402"/>
      <c r="CF67" s="403"/>
      <c r="CG67" s="400"/>
      <c r="CH67" s="401"/>
      <c r="CI67" s="401"/>
      <c r="CJ67" s="402"/>
      <c r="CK67" s="403"/>
      <c r="CL67" s="400"/>
      <c r="CM67" s="401"/>
      <c r="CN67" s="401"/>
      <c r="CO67" s="402"/>
      <c r="CP67" s="403"/>
      <c r="CQ67" s="400"/>
      <c r="CR67" s="401"/>
      <c r="CS67" s="401"/>
      <c r="CT67" s="402"/>
      <c r="CU67" s="403"/>
      <c r="CV67" s="400"/>
      <c r="CW67" s="401"/>
      <c r="CX67" s="401"/>
      <c r="CY67" s="402"/>
      <c r="CZ67" s="403"/>
      <c r="DA67" s="400"/>
      <c r="DB67" s="401"/>
      <c r="DC67" s="401"/>
      <c r="DD67" s="402"/>
      <c r="DE67" s="403"/>
      <c r="DF67" s="400"/>
      <c r="DG67" s="401"/>
      <c r="DH67" s="401"/>
      <c r="DI67" s="402"/>
      <c r="DJ67" s="403"/>
      <c r="DK67" s="400"/>
      <c r="DL67" s="401"/>
      <c r="DM67" s="401"/>
      <c r="DN67" s="402"/>
      <c r="DO67" s="403"/>
      <c r="DP67" s="400"/>
      <c r="DQ67" s="401"/>
      <c r="DR67" s="401"/>
      <c r="DS67" s="402"/>
      <c r="DT67" s="403"/>
    </row>
    <row r="68" spans="1:124" ht="12.75" customHeight="1" x14ac:dyDescent="0.2">
      <c r="C68" s="826" t="s">
        <v>330</v>
      </c>
      <c r="D68" s="826"/>
      <c r="E68" s="823"/>
      <c r="F68" s="537"/>
      <c r="G68" s="537"/>
      <c r="H68" s="827"/>
      <c r="I68" s="838"/>
      <c r="J68" s="839"/>
      <c r="K68" s="392"/>
      <c r="L68" s="393"/>
      <c r="M68" s="394"/>
      <c r="N68" s="395"/>
      <c r="O68" s="395"/>
      <c r="P68" s="396"/>
      <c r="Q68" s="397"/>
      <c r="R68" s="394"/>
      <c r="S68" s="395"/>
      <c r="T68" s="395"/>
      <c r="U68" s="396"/>
      <c r="V68" s="397"/>
      <c r="W68" s="394"/>
      <c r="X68" s="395"/>
      <c r="Y68" s="395"/>
      <c r="Z68" s="396"/>
      <c r="AA68" s="397"/>
      <c r="AB68" s="394"/>
      <c r="AC68" s="395"/>
      <c r="AD68" s="395"/>
      <c r="AE68" s="396"/>
      <c r="AF68" s="397"/>
      <c r="AG68" s="394"/>
      <c r="AH68" s="395"/>
      <c r="AI68" s="395"/>
      <c r="AJ68" s="396"/>
      <c r="AK68" s="397"/>
      <c r="AL68" s="394"/>
      <c r="AM68" s="395"/>
      <c r="AN68" s="395"/>
      <c r="AO68" s="396"/>
      <c r="AP68" s="397"/>
      <c r="AQ68" s="394"/>
      <c r="AR68" s="395"/>
      <c r="AS68" s="395"/>
      <c r="AT68" s="396"/>
      <c r="AU68" s="397"/>
      <c r="AV68" s="394"/>
      <c r="AW68" s="395"/>
      <c r="AX68" s="395"/>
      <c r="AY68" s="396"/>
      <c r="AZ68" s="397"/>
      <c r="BA68" s="394"/>
      <c r="BB68" s="395"/>
      <c r="BC68" s="395"/>
      <c r="BD68" s="396"/>
      <c r="BE68" s="397"/>
      <c r="BF68" s="394"/>
      <c r="BG68" s="395"/>
      <c r="BH68" s="395"/>
      <c r="BI68" s="396"/>
      <c r="BJ68" s="397"/>
      <c r="BK68" s="394"/>
      <c r="BL68" s="395"/>
      <c r="BM68" s="395"/>
      <c r="BN68" s="396"/>
      <c r="BO68" s="397"/>
      <c r="BP68" s="445"/>
      <c r="BQ68" s="399"/>
      <c r="BR68" s="400"/>
      <c r="BS68" s="401"/>
      <c r="BT68" s="401"/>
      <c r="BU68" s="402"/>
      <c r="BV68" s="403"/>
      <c r="BW68" s="400"/>
      <c r="BX68" s="401"/>
      <c r="BY68" s="401"/>
      <c r="BZ68" s="402"/>
      <c r="CA68" s="403"/>
      <c r="CB68" s="400"/>
      <c r="CC68" s="401"/>
      <c r="CD68" s="401"/>
      <c r="CE68" s="402"/>
      <c r="CF68" s="403"/>
      <c r="CG68" s="400"/>
      <c r="CH68" s="401"/>
      <c r="CI68" s="401"/>
      <c r="CJ68" s="402"/>
      <c r="CK68" s="403"/>
      <c r="CL68" s="400"/>
      <c r="CM68" s="401"/>
      <c r="CN68" s="401"/>
      <c r="CO68" s="402"/>
      <c r="CP68" s="403"/>
      <c r="CQ68" s="400"/>
      <c r="CR68" s="401"/>
      <c r="CS68" s="401"/>
      <c r="CT68" s="402"/>
      <c r="CU68" s="403"/>
      <c r="CV68" s="400"/>
      <c r="CW68" s="401"/>
      <c r="CX68" s="401"/>
      <c r="CY68" s="402"/>
      <c r="CZ68" s="403"/>
      <c r="DA68" s="400"/>
      <c r="DB68" s="401"/>
      <c r="DC68" s="401"/>
      <c r="DD68" s="402"/>
      <c r="DE68" s="403"/>
      <c r="DF68" s="400"/>
      <c r="DG68" s="401"/>
      <c r="DH68" s="401"/>
      <c r="DI68" s="402"/>
      <c r="DJ68" s="403"/>
      <c r="DK68" s="400"/>
      <c r="DL68" s="401"/>
      <c r="DM68" s="401"/>
      <c r="DN68" s="402"/>
      <c r="DO68" s="403"/>
      <c r="DP68" s="400"/>
      <c r="DQ68" s="401"/>
      <c r="DR68" s="401"/>
      <c r="DS68" s="402"/>
      <c r="DT68" s="403"/>
    </row>
    <row r="69" spans="1:124" ht="12.75" customHeight="1" x14ac:dyDescent="0.2">
      <c r="C69" s="840" t="s">
        <v>642</v>
      </c>
      <c r="D69" s="52"/>
      <c r="E69" s="831">
        <v>600</v>
      </c>
      <c r="F69" s="537"/>
      <c r="G69" s="537"/>
      <c r="H69" s="808">
        <v>2017</v>
      </c>
      <c r="I69" s="809">
        <v>3.5999999999999997E-2</v>
      </c>
      <c r="J69" s="810">
        <v>9</v>
      </c>
      <c r="K69" s="392"/>
      <c r="L69" s="393">
        <f t="shared" ref="L69:L73" si="591">IF(L$5=$H69,$E69,0)</f>
        <v>0</v>
      </c>
      <c r="M69" s="394">
        <f t="shared" ref="M69:M72" si="592">IF(Q69=0,0,IF(Q69&gt;0,IF($J69=3,Q69,IF($J69=2,Q69,IF($J69=1,Q69,0)))))</f>
        <v>0</v>
      </c>
      <c r="N69" s="395">
        <f t="shared" ref="N69:N72" si="593">IF(Q69=0,0,IF(Q69&gt;0,IF($J69=6,Q69,IF($J69=5,Q69,IF($J69=4,Q69,0)))))</f>
        <v>0</v>
      </c>
      <c r="O69" s="395">
        <f t="shared" ref="O69:O72" si="594">IF(Q69=0,0,IF(Q69&gt;0,IF($J69=9,Q69,IF($J69=8,Q69,IF($J69=7,Q69,0)))))</f>
        <v>0</v>
      </c>
      <c r="P69" s="396">
        <f t="shared" ref="P69:P72" si="595">IF(Q69=0,0,IF(Q69&gt;0,IF($J69=12,Q69,IF($J69=11,Q69,IF($J69=10,Q69,0)))))</f>
        <v>0</v>
      </c>
      <c r="Q69" s="397">
        <f t="shared" ref="Q69:Q73" si="596">IF(Q$5=$H69,$E69,0)</f>
        <v>0</v>
      </c>
      <c r="R69" s="394">
        <f t="shared" ref="R69:R72" si="597">IF(V69=0,0,IF(V69&gt;0,IF($J69=3,V69,IF($J69=2,V69,IF($J69=1,V69,0)))))</f>
        <v>0</v>
      </c>
      <c r="S69" s="395">
        <f t="shared" ref="S69:S72" si="598">IF(V69=0,0,IF(V69&gt;0,IF($J69=6,V69,IF($J69=5,V69,IF($J69=4,V69,0)))))</f>
        <v>0</v>
      </c>
      <c r="T69" s="395">
        <f t="shared" ref="T69:T72" si="599">IF(V69=0,0,IF(V69&gt;0,IF($J69=9,V69,IF($J69=8,V69,IF($J69=7,V69,0)))))</f>
        <v>0</v>
      </c>
      <c r="U69" s="396">
        <f t="shared" ref="U69:U72" si="600">IF(V69=0,0,IF(V69&gt;0,IF($J69=12,V69,IF($J69=11,V69,IF($J69=10,V69,0)))))</f>
        <v>0</v>
      </c>
      <c r="V69" s="397">
        <f t="shared" ref="V69:V73" si="601">IF(V$5=$H69,$E69,0)</f>
        <v>0</v>
      </c>
      <c r="W69" s="394">
        <f t="shared" ref="W69:W72" si="602">IF(AA69=0,0,IF(AA69&gt;0,IF($J69=3,AA69,IF($J69=2,AA69,IF($J69=1,AA69,0)))))</f>
        <v>0</v>
      </c>
      <c r="X69" s="395">
        <f t="shared" ref="X69:X72" si="603">IF(AA69=0,0,IF(AA69&gt;0,IF($J69=6,AA69,IF($J69=5,AA69,IF($J69=4,AA69,0)))))</f>
        <v>0</v>
      </c>
      <c r="Y69" s="395">
        <f t="shared" ref="Y69:Y72" si="604">IF(AA69=0,0,IF(AA69&gt;0,IF($J69=9,AA69,IF($J69=8,AA69,IF($J69=7,AA69,0)))))</f>
        <v>0</v>
      </c>
      <c r="Z69" s="396">
        <f t="shared" ref="Z69:Z72" si="605">IF(AA69=0,0,IF(AA69&gt;0,IF($J69=12,AA69,IF($J69=11,AA69,IF($J69=10,AA69,0)))))</f>
        <v>0</v>
      </c>
      <c r="AA69" s="397">
        <f t="shared" ref="AA69:AA73" si="606">IF(AA$5=$H69,$E69,0)</f>
        <v>0</v>
      </c>
      <c r="AB69" s="394">
        <f t="shared" ref="AB69:AB72" si="607">IF(AF69=0,0,IF(AF69&gt;0,IF($J69=3,AF69,IF($J69=2,AF69,IF($J69=1,AF69,0)))))</f>
        <v>0</v>
      </c>
      <c r="AC69" s="395">
        <f t="shared" ref="AC69:AC72" si="608">IF(AF69=0,0,IF(AF69&gt;0,IF($J69=6,AF69,IF($J69=5,AF69,IF($J69=4,AF69,0)))))</f>
        <v>0</v>
      </c>
      <c r="AD69" s="395">
        <f t="shared" ref="AD69:AD72" si="609">IF(AF69=0,0,IF(AF69&gt;0,IF($J69=9,AF69,IF($J69=8,AF69,IF($J69=7,AF69,0)))))</f>
        <v>0</v>
      </c>
      <c r="AE69" s="396">
        <f t="shared" ref="AE69:AE72" si="610">IF(AF69=0,0,IF(AF69&gt;0,IF($J69=12,AF69,IF($J69=11,AF69,IF($J69=10,AF69,0)))))</f>
        <v>0</v>
      </c>
      <c r="AF69" s="397">
        <f t="shared" ref="AF69:AF73" si="611">IF(AF$5=$H69,$E69,0)</f>
        <v>0</v>
      </c>
      <c r="AG69" s="394">
        <f t="shared" ref="AG69:AG72" si="612">IF(AK69=0,0,IF(AK69&gt;0,IF($J69=3,AK69,IF($J69=2,AK69,IF($J69=1,AK69,0)))))</f>
        <v>0</v>
      </c>
      <c r="AH69" s="395">
        <f t="shared" ref="AH69:AH72" si="613">IF(AK69=0,0,IF(AK69&gt;0,IF($J69=6,AK69,IF($J69=5,AK69,IF($J69=4,AK69,0)))))</f>
        <v>0</v>
      </c>
      <c r="AI69" s="395">
        <f t="shared" ref="AI69:AI72" si="614">IF(AK69=0,0,IF(AK69&gt;0,IF($J69=9,AK69,IF($J69=8,AK69,IF($J69=7,AK69,0)))))</f>
        <v>0</v>
      </c>
      <c r="AJ69" s="396">
        <f t="shared" ref="AJ69:AJ72" si="615">IF(AK69=0,0,IF(AK69&gt;0,IF($J69=12,AK69,IF($J69=11,AK69,IF($J69=10,AK69,0)))))</f>
        <v>0</v>
      </c>
      <c r="AK69" s="397">
        <f t="shared" ref="AK69:AK73" si="616">IF(AK$5=$H69,$E69,0)</f>
        <v>0</v>
      </c>
      <c r="AL69" s="394">
        <f t="shared" ref="AL69:AL72" si="617">IF(AP69=0,0,IF(AP69&gt;0,IF($J69=3,AP69,IF($J69=2,AP69,IF($J69=1,AP69,0)))))</f>
        <v>0</v>
      </c>
      <c r="AM69" s="395">
        <f t="shared" ref="AM69:AM72" si="618">IF(AP69=0,0,IF(AP69&gt;0,IF($J69=6,AP69,IF($J69=5,AP69,IF($J69=4,AP69,0)))))</f>
        <v>0</v>
      </c>
      <c r="AN69" s="395">
        <f t="shared" ref="AN69:AN72" si="619">IF(AP69=0,0,IF(AP69&gt;0,IF($J69=9,AP69,IF($J69=8,AP69,IF($J69=7,AP69,0)))))</f>
        <v>0</v>
      </c>
      <c r="AO69" s="396">
        <f t="shared" ref="AO69:AO72" si="620">IF(AP69=0,0,IF(AP69&gt;0,IF($J69=12,AP69,IF($J69=11,AP69,IF($J69=10,AP69,0)))))</f>
        <v>0</v>
      </c>
      <c r="AP69" s="397">
        <f t="shared" ref="AP69:AP73" si="621">IF(AP$5=$H69,$E69,0)</f>
        <v>0</v>
      </c>
      <c r="AQ69" s="394">
        <f t="shared" ref="AQ69:AQ72" si="622">IF(AU69=0,0,IF(AU69&gt;0,IF($J69=3,AU69,IF($J69=2,AU69,IF($J69=1,AU69,0)))))</f>
        <v>0</v>
      </c>
      <c r="AR69" s="395">
        <f t="shared" ref="AR69:AR72" si="623">IF(AU69=0,0,IF(AU69&gt;0,IF($J69=6,AU69,IF($J69=5,AU69,IF($J69=4,AU69,0)))))</f>
        <v>0</v>
      </c>
      <c r="AS69" s="395">
        <f t="shared" ref="AS69:AS72" si="624">IF(AU69=0,0,IF(AU69&gt;0,IF($J69=9,AU69,IF($J69=8,AU69,IF($J69=7,AU69,0)))))</f>
        <v>600</v>
      </c>
      <c r="AT69" s="396">
        <f t="shared" ref="AT69:AT72" si="625">IF(AU69=0,0,IF(AU69&gt;0,IF($J69=12,AU69,IF($J69=11,AU69,IF($J69=10,AU69,0)))))</f>
        <v>0</v>
      </c>
      <c r="AU69" s="397">
        <f t="shared" ref="AU69:AU73" si="626">IF(AU$5=$H69,$E69,0)</f>
        <v>600</v>
      </c>
      <c r="AV69" s="394">
        <f t="shared" ref="AV69:AV72" si="627">IF(AZ69=0,0,IF(AZ69&gt;0,IF($J69=3,AZ69,IF($J69=2,AZ69,IF($J69=1,AZ69,0)))))</f>
        <v>0</v>
      </c>
      <c r="AW69" s="395">
        <f t="shared" ref="AW69:AW72" si="628">IF(AZ69=0,0,IF(AZ69&gt;0,IF($J69=6,AZ69,IF($J69=5,AZ69,IF($J69=4,AZ69,0)))))</f>
        <v>0</v>
      </c>
      <c r="AX69" s="395">
        <f t="shared" ref="AX69:AX72" si="629">IF(AZ69=0,0,IF(AZ69&gt;0,IF($J69=9,AZ69,IF($J69=8,AZ69,IF($J69=7,AZ69,0)))))</f>
        <v>0</v>
      </c>
      <c r="AY69" s="396">
        <f t="shared" ref="AY69:AY72" si="630">IF(AZ69=0,0,IF(AZ69&gt;0,IF($J69=12,AZ69,IF($J69=11,AZ69,IF($J69=10,AZ69,0)))))</f>
        <v>0</v>
      </c>
      <c r="AZ69" s="397">
        <f t="shared" ref="AZ69:AZ73" si="631">IF(AZ$5=$H69,$E69,0)</f>
        <v>0</v>
      </c>
      <c r="BA69" s="394">
        <f t="shared" ref="BA69:BA72" si="632">IF(BE69=0,0,IF(BE69&gt;0,IF($J69=3,BE69,IF($J69=2,BE69,IF($J69=1,BE69,0)))))</f>
        <v>0</v>
      </c>
      <c r="BB69" s="395">
        <f t="shared" ref="BB69:BB72" si="633">IF(BE69=0,0,IF(BE69&gt;0,IF($J69=6,BE69,IF($J69=5,BE69,IF($J69=4,BE69,0)))))</f>
        <v>0</v>
      </c>
      <c r="BC69" s="395">
        <f t="shared" ref="BC69:BC72" si="634">IF(BE69=0,0,IF(BE69&gt;0,IF($J69=9,BE69,IF($J69=8,BE69,IF($J69=7,BE69,0)))))</f>
        <v>0</v>
      </c>
      <c r="BD69" s="396">
        <f t="shared" ref="BD69:BD72" si="635">IF(BE69=0,0,IF(BE69&gt;0,IF($J69=12,BE69,IF($J69=11,BE69,IF($J69=10,BE69,0)))))</f>
        <v>0</v>
      </c>
      <c r="BE69" s="397">
        <f t="shared" ref="BE69:BE73" si="636">IF(BE$5=$H69,$E69,0)</f>
        <v>0</v>
      </c>
      <c r="BF69" s="394">
        <f t="shared" ref="BF69:BF72" si="637">IF(BJ69=0,0,IF(BJ69&gt;0,IF($J69=3,BJ69,IF($J69=2,BJ69,IF($J69=1,BJ69,0)))))</f>
        <v>0</v>
      </c>
      <c r="BG69" s="395">
        <f t="shared" ref="BG69:BG72" si="638">IF(BJ69=0,0,IF(BJ69&gt;0,IF($J69=6,BJ69,IF($J69=5,BJ69,IF($J69=4,BJ69,0)))))</f>
        <v>0</v>
      </c>
      <c r="BH69" s="395">
        <f t="shared" ref="BH69:BH72" si="639">IF(BJ69=0,0,IF(BJ69&gt;0,IF($J69=9,BJ69,IF($J69=8,BJ69,IF($J69=7,BJ69,0)))))</f>
        <v>0</v>
      </c>
      <c r="BI69" s="396">
        <f t="shared" ref="BI69:BI72" si="640">IF(BJ69=0,0,IF(BJ69&gt;0,IF($J69=12,BJ69,IF($J69=11,BJ69,IF($J69=10,BJ69,0)))))</f>
        <v>0</v>
      </c>
      <c r="BJ69" s="397">
        <f t="shared" ref="BJ69:BJ73" si="641">IF(BJ$5=$H69,$E69,0)</f>
        <v>0</v>
      </c>
      <c r="BK69" s="394">
        <f t="shared" ref="BK69:BK72" si="642">IF(BO69=0,0,IF(BO69&gt;0,IF($J69=3,BO69,IF($J69=2,BO69,IF($J69=1,BO69,0)))))</f>
        <v>0</v>
      </c>
      <c r="BL69" s="395">
        <f t="shared" ref="BL69:BL72" si="643">IF(BO69=0,0,IF(BO69&gt;0,IF($J69=6,BO69,IF($J69=5,BO69,IF($J69=4,BO69,0)))))</f>
        <v>0</v>
      </c>
      <c r="BM69" s="395">
        <f t="shared" ref="BM69:BM72" si="644">IF(BO69=0,0,IF(BO69&gt;0,IF($J69=9,BO69,IF($J69=8,BO69,IF($J69=7,BO69,0)))))</f>
        <v>0</v>
      </c>
      <c r="BN69" s="396">
        <f t="shared" ref="BN69:BN72" si="645">IF(BO69=0,0,IF(BO69&gt;0,IF($J69=12,BO69,IF($J69=11,BO69,IF($J69=10,BO69,0)))))</f>
        <v>0</v>
      </c>
      <c r="BO69" s="397">
        <f t="shared" ref="BO69:BO73" si="646">IF(BO$5=$H69,$E69,0)</f>
        <v>0</v>
      </c>
      <c r="BP69" s="445"/>
      <c r="BQ69" s="399">
        <f t="shared" ref="BQ69:BQ72" si="647">IF(AND(BP69&lt;&gt;0,BP$5=$H69),$I69*$E69-BP69,IF(BQ$5=$H69,$I69*$E69*(12-$J69+1)/12,0))</f>
        <v>0</v>
      </c>
      <c r="BR69" s="400">
        <f t="shared" ref="BR69:BR72" si="648">IF($H69&lt;&gt;BV$5,0,IF(BV69&gt;0,IF($J69=1,$E69*$I69/12*3,IF($J69=2,$E69*$I69/12*2,IF($J69=3,$E69*$I69/12*1,0)))))+IF(BQ$5&lt;&gt;$H69,0,IF(BQ69&gt;0,IF($J69=1,$E69*$I69/12*0,IF($J69=2,$E69*$I69/12*1,IF($J69=3,$E69*$I69/12*2,IF($J69&gt;=4,$E69*$I69/12*3,0))))))</f>
        <v>0</v>
      </c>
      <c r="BS69" s="401">
        <f t="shared" ref="BS69:BS72" si="649">IF($H69&lt;&gt;BV$5,0,IF(BV69&gt;0,IF(OR($J69=1,$J69=2,$J69=3,$J69=4),$E69*$I69/12*3,IF($J69=5,$E69*$I69/12*2,IF($J69=6,$E69*$I69/12*1,0)))))+IF(BQ$5&lt;&gt;$H69,0,IF(BQ69&gt;0,IF($J69=4,$E69*$I69/12*0,IF($J69=5,$E69*$I69/12*1,IF($J69=6,$E69*$I69/12*2,IF($J69&gt;=7,$E69*$I69/12*3,0))))))</f>
        <v>0</v>
      </c>
      <c r="BT69" s="401">
        <f t="shared" ref="BT69:BT72" si="650">IF($H69&lt;&gt;BV$5,0,IF(BV69&gt;0,IF(OR($J69=1,$J69=2,$J69=3,$J69=4,$J69=5,$J69=6,$J69=7),$E69*$I69/12*3,IF($J69=8,$E69*$I69/12*2,IF($J69=9,$E69*$I69/12*1,0)))))+IF(BQ$5&lt;&gt;$H69,0,IF(BQ69&gt;0,IF($J69=7,$E69*$I69/12*0,IF($J69=8,$E69*$I69/12*1,IF($J69=9,$E69*$I69/12*2,IF($J69&gt;=10,$E69*$I69/12*3,0))))))</f>
        <v>0</v>
      </c>
      <c r="BU69" s="402">
        <f t="shared" ref="BU69:BU72" si="651">IF($H69&lt;&gt;BV$5,0,IF(BV69&gt;0,IF(OR($J69=1,$J69=2,$J69=3,$J69=4,$J69=5,$J69=6,$J69=7,$J69=8,$J69=9,$J69=10),$E69*$I69/12*3,IF($J69=11,$E69*$I69/12*2,IF($J69=12,$E69*$I69/12*1,0)))))+IF(BQ$5&lt;&gt;$H69,0,IF(BQ69&gt;0,IF($J69=10,$E69*$I69/12*0,IF($J69=11,$E69*$I69/12*1,IF($J69=12,$E69*$I69/12*2,0)))))</f>
        <v>0</v>
      </c>
      <c r="BV69" s="403">
        <f t="shared" ref="BV69:BV72" si="652">IF(AND(BQ69&lt;&gt;0,BQ$5=$H69),$I69*$E69-BQ69,IF(BV$5=$H69,$I69*$E69*(12-$J69+1)/12,0))</f>
        <v>0</v>
      </c>
      <c r="BW69" s="400">
        <f t="shared" ref="BW69:BW72" si="653">IF($H69&lt;&gt;CA$5,0,IF(CA69&gt;0,IF($J69=1,$E69*$I69/12*3,IF($J69=2,$E69*$I69/12*2,IF($J69=3,$E69*$I69/12*1,0)))))+IF(BV$5&lt;&gt;$H69,0,IF(BV69&gt;0,IF($J69=1,$E69*$I69/12*0,IF($J69=2,$E69*$I69/12*1,IF($J69=3,$E69*$I69/12*2,IF($J69&gt;=4,$E69*$I69/12*3,0))))))</f>
        <v>0</v>
      </c>
      <c r="BX69" s="401">
        <f t="shared" ref="BX69:BX72" si="654">IF($H69&lt;&gt;CA$5,0,IF(CA69&gt;0,IF(OR($J69=1,$J69=2,$J69=3,$J69=4),$E69*$I69/12*3,IF($J69=5,$E69*$I69/12*2,IF($J69=6,$E69*$I69/12*1,0)))))+IF(BV$5&lt;&gt;$H69,0,IF(BV69&gt;0,IF($J69=4,$E69*$I69/12*0,IF($J69=5,$E69*$I69/12*1,IF($J69=6,$E69*$I69/12*2,IF($J69&gt;=7,$E69*$I69/12*3,0))))))</f>
        <v>0</v>
      </c>
      <c r="BY69" s="401">
        <f t="shared" ref="BY69:BY72" si="655">IF($H69&lt;&gt;CA$5,0,IF(CA69&gt;0,IF(OR($J69=1,$J69=2,$J69=3,$J69=4,$J69=5,$J69=6,$J69=7),$E69*$I69/12*3,IF($J69=8,$E69*$I69/12*2,IF($J69=9,$E69*$I69/12*1,0)))))+IF(BV$5&lt;&gt;$H69,0,IF(BV69&gt;0,IF($J69=7,$E69*$I69/12*0,IF($J69=8,$E69*$I69/12*1,IF($J69=9,$E69*$I69/12*2,IF($J69&gt;=10,$E69*$I69/12*3,0))))))</f>
        <v>0</v>
      </c>
      <c r="BZ69" s="402">
        <f t="shared" ref="BZ69:BZ72" si="656">IF($H69&lt;&gt;CA$5,0,IF(CA69&gt;0,IF(OR($J69=1,$J69=2,$J69=3,$J69=4,$J69=5,$J69=6,$J69=7,$J69=8,$J69=9,$J69=10),$E69*$I69/12*3,IF($J69=11,$E69*$I69/12*2,IF($J69=12,$E69*$I69/12*1,0)))))+IF(BV$5&lt;&gt;$H69,0,IF(BV69&gt;0,IF($J69=10,$E69*$I69/12*0,IF($J69=11,$E69*$I69/12*1,IF($J69=12,$E69*$I69/12*2,0)))))</f>
        <v>0</v>
      </c>
      <c r="CA69" s="403">
        <f t="shared" ref="CA69:CA72" si="657">IF(AND(BV69&lt;&gt;0,BV$5=$H69),$I69*$E69-BV69,IF(CA$5=$H69,$I69*$E69*(12-$J69+1)/12,0))</f>
        <v>0</v>
      </c>
      <c r="CB69" s="400">
        <f t="shared" ref="CB69:CB72" si="658">IF($H69&lt;&gt;CF$5,0,IF(CF69&gt;0,IF($J69=1,$E69*$I69/12*3,IF($J69=2,$E69*$I69/12*2,IF($J69=3,$E69*$I69/12*1,0)))))+IF(CA$5&lt;&gt;$H69,0,IF(CA69&gt;0,IF($J69=1,$E69*$I69/12*0,IF($J69=2,$E69*$I69/12*1,IF($J69=3,$E69*$I69/12*2,IF($J69&gt;=4,$E69*$I69/12*3,0))))))</f>
        <v>0</v>
      </c>
      <c r="CC69" s="401">
        <f t="shared" ref="CC69:CC72" si="659">IF($H69&lt;&gt;CF$5,0,IF(CF69&gt;0,IF(OR($J69=1,$J69=2,$J69=3,$J69=4),$E69*$I69/12*3,IF($J69=5,$E69*$I69/12*2,IF($J69=6,$E69*$I69/12*1,0)))))+IF(CA$5&lt;&gt;$H69,0,IF(CA69&gt;0,IF($J69=4,$E69*$I69/12*0,IF($J69=5,$E69*$I69/12*1,IF($J69=6,$E69*$I69/12*2,IF($J69&gt;=7,$E69*$I69/12*3,0))))))</f>
        <v>0</v>
      </c>
      <c r="CD69" s="401">
        <f t="shared" ref="CD69:CD72" si="660">IF($H69&lt;&gt;CF$5,0,IF(CF69&gt;0,IF(OR($J69=1,$J69=2,$J69=3,$J69=4,$J69=5,$J69=6,$J69=7),$E69*$I69/12*3,IF($J69=8,$E69*$I69/12*2,IF($J69=9,$E69*$I69/12*1,0)))))+IF(CA$5&lt;&gt;$H69,0,IF(CA69&gt;0,IF($J69=7,$E69*$I69/12*0,IF($J69=8,$E69*$I69/12*1,IF($J69=9,$E69*$I69/12*2,IF($J69&gt;=10,$E69*$I69/12*3,0))))))</f>
        <v>0</v>
      </c>
      <c r="CE69" s="402">
        <f t="shared" ref="CE69:CE72" si="661">IF($H69&lt;&gt;CF$5,0,IF(CF69&gt;0,IF(OR($J69=1,$J69=2,$J69=3,$J69=4,$J69=5,$J69=6,$J69=7,$J69=8,$J69=9,$J69=10),$E69*$I69/12*3,IF($J69=11,$E69*$I69/12*2,IF($J69=12,$E69*$I69/12*1,0)))))+IF(CA$5&lt;&gt;$H69,0,IF(CA69&gt;0,IF($J69=10,$E69*$I69/12*0,IF($J69=11,$E69*$I69/12*1,IF($J69=12,$E69*$I69/12*2,0)))))</f>
        <v>0</v>
      </c>
      <c r="CF69" s="403">
        <f t="shared" ref="CF69:CF72" si="662">IF(AND(CA69&lt;&gt;0,CA$5=$H69),$I69*$E69-CA69,IF(CF$5=$H69,$I69*$E69*(12-$J69+1)/12,0))</f>
        <v>0</v>
      </c>
      <c r="CG69" s="400">
        <f t="shared" ref="CG69:CG72" si="663">IF($H69&lt;&gt;CK$5,0,IF(CK69&gt;0,IF($J69=1,$E69*$I69/12*3,IF($J69=2,$E69*$I69/12*2,IF($J69=3,$E69*$I69/12*1,0)))))+IF(CF$5&lt;&gt;$H69,0,IF(CF69&gt;0,IF($J69=1,$E69*$I69/12*0,IF($J69=2,$E69*$I69/12*1,IF($J69=3,$E69*$I69/12*2,IF($J69&gt;=4,$E69*$I69/12*3,0))))))</f>
        <v>0</v>
      </c>
      <c r="CH69" s="401">
        <f t="shared" ref="CH69:CH72" si="664">IF($H69&lt;&gt;CK$5,0,IF(CK69&gt;0,IF(OR($J69=1,$J69=2,$J69=3,$J69=4),$E69*$I69/12*3,IF($J69=5,$E69*$I69/12*2,IF($J69=6,$E69*$I69/12*1,0)))))+IF(CF$5&lt;&gt;$H69,0,IF(CF69&gt;0,IF($J69=4,$E69*$I69/12*0,IF($J69=5,$E69*$I69/12*1,IF($J69=6,$E69*$I69/12*2,IF($J69&gt;=7,$E69*$I69/12*3,0))))))</f>
        <v>0</v>
      </c>
      <c r="CI69" s="401">
        <f t="shared" ref="CI69:CI72" si="665">IF($H69&lt;&gt;CK$5,0,IF(CK69&gt;0,IF(OR($J69=1,$J69=2,$J69=3,$J69=4,$J69=5,$J69=6,$J69=7),$E69*$I69/12*3,IF($J69=8,$E69*$I69/12*2,IF($J69=9,$E69*$I69/12*1,0)))))+IF(CF$5&lt;&gt;$H69,0,IF(CF69&gt;0,IF($J69=7,$E69*$I69/12*0,IF($J69=8,$E69*$I69/12*1,IF($J69=9,$E69*$I69/12*2,IF($J69&gt;=10,$E69*$I69/12*3,0))))))</f>
        <v>0</v>
      </c>
      <c r="CJ69" s="402">
        <f t="shared" ref="CJ69:CJ72" si="666">IF($H69&lt;&gt;CK$5,0,IF(CK69&gt;0,IF(OR($J69=1,$J69=2,$J69=3,$J69=4,$J69=5,$J69=6,$J69=7,$J69=8,$J69=9,$J69=10),$E69*$I69/12*3,IF($J69=11,$E69*$I69/12*2,IF($J69=12,$E69*$I69/12*1,0)))))+IF(CF$5&lt;&gt;$H69,0,IF(CF69&gt;0,IF($J69=10,$E69*$I69/12*0,IF($J69=11,$E69*$I69/12*1,IF($J69=12,$E69*$I69/12*2,0)))))</f>
        <v>0</v>
      </c>
      <c r="CK69" s="403">
        <f t="shared" ref="CK69:CK72" si="667">IF(AND(CF69&lt;&gt;0,CF$5=$H69),$I69*$E69-CF69,IF(CK$5=$H69,$I69*$E69*(12-$J69+1)/12,0))</f>
        <v>0</v>
      </c>
      <c r="CL69" s="400">
        <f t="shared" ref="CL69:CL72" si="668">IF($H69&lt;&gt;CP$5,0,IF(CP69&gt;0,IF($J69=1,$E69*$I69/12*3,IF($J69=2,$E69*$I69/12*2,IF($J69=3,$E69*$I69/12*1,0)))))+IF(CK$5&lt;&gt;$H69,0,IF(CK69&gt;0,IF($J69=1,$E69*$I69/12*0,IF($J69=2,$E69*$I69/12*1,IF($J69=3,$E69*$I69/12*2,IF($J69&gt;=4,$E69*$I69/12*3,0))))))</f>
        <v>0</v>
      </c>
      <c r="CM69" s="401">
        <f t="shared" ref="CM69:CM72" si="669">IF($H69&lt;&gt;CP$5,0,IF(CP69&gt;0,IF(OR($J69=1,$J69=2,$J69=3,$J69=4),$E69*$I69/12*3,IF($J69=5,$E69*$I69/12*2,IF($J69=6,$E69*$I69/12*1,0)))))+IF(CK$5&lt;&gt;$H69,0,IF(CK69&gt;0,IF($J69=4,$E69*$I69/12*0,IF($J69=5,$E69*$I69/12*1,IF($J69=6,$E69*$I69/12*2,IF($J69&gt;=7,$E69*$I69/12*3,0))))))</f>
        <v>0</v>
      </c>
      <c r="CN69" s="401">
        <f t="shared" ref="CN69:CN72" si="670">IF($H69&lt;&gt;CP$5,0,IF(CP69&gt;0,IF(OR($J69=1,$J69=2,$J69=3,$J69=4,$J69=5,$J69=6,$J69=7),$E69*$I69/12*3,IF($J69=8,$E69*$I69/12*2,IF($J69=9,$E69*$I69/12*1,0)))))+IF(CK$5&lt;&gt;$H69,0,IF(CK69&gt;0,IF($J69=7,$E69*$I69/12*0,IF($J69=8,$E69*$I69/12*1,IF($J69=9,$E69*$I69/12*2,IF($J69&gt;=10,$E69*$I69/12*3,0))))))</f>
        <v>0</v>
      </c>
      <c r="CO69" s="402">
        <f t="shared" ref="CO69:CO72" si="671">IF($H69&lt;&gt;CP$5,0,IF(CP69&gt;0,IF(OR($J69=1,$J69=2,$J69=3,$J69=4,$J69=5,$J69=6,$J69=7,$J69=8,$J69=9,$J69=10),$E69*$I69/12*3,IF($J69=11,$E69*$I69/12*2,IF($J69=12,$E69*$I69/12*1,0)))))+IF(CK$5&lt;&gt;$H69,0,IF(CK69&gt;0,IF($J69=10,$E69*$I69/12*0,IF($J69=11,$E69*$I69/12*1,IF($J69=12,$E69*$I69/12*2,0)))))</f>
        <v>0</v>
      </c>
      <c r="CP69" s="403">
        <f t="shared" ref="CP69:CP72" si="672">IF(AND(CK69&lt;&gt;0,CK$5=$H69),$I69*$E69-CK69,IF(CP$5=$H69,$I69*$E69*(12-$J69+1)/12,0))</f>
        <v>0</v>
      </c>
      <c r="CQ69" s="400">
        <f t="shared" ref="CQ69:CQ72" si="673">IF($H69&lt;&gt;CU$5,0,IF(CU69&gt;0,IF($J69=1,$E69*$I69/12*3,IF($J69=2,$E69*$I69/12*2,IF($J69=3,$E69*$I69/12*1,0)))))+IF(CP$5&lt;&gt;$H69,0,IF(CP69&gt;0,IF($J69=1,$E69*$I69/12*0,IF($J69=2,$E69*$I69/12*1,IF($J69=3,$E69*$I69/12*2,IF($J69&gt;=4,$E69*$I69/12*3,0))))))</f>
        <v>0</v>
      </c>
      <c r="CR69" s="401">
        <f t="shared" ref="CR69:CR72" si="674">IF($H69&lt;&gt;CU$5,0,IF(CU69&gt;0,IF(OR($J69=1,$J69=2,$J69=3,$J69=4),$E69*$I69/12*3,IF($J69=5,$E69*$I69/12*2,IF($J69=6,$E69*$I69/12*1,0)))))+IF(CP$5&lt;&gt;$H69,0,IF(CP69&gt;0,IF($J69=4,$E69*$I69/12*0,IF($J69=5,$E69*$I69/12*1,IF($J69=6,$E69*$I69/12*2,IF($J69&gt;=7,$E69*$I69/12*3,0))))))</f>
        <v>0</v>
      </c>
      <c r="CS69" s="401">
        <f t="shared" ref="CS69:CS72" si="675">IF($H69&lt;&gt;CU$5,0,IF(CU69&gt;0,IF(OR($J69=1,$J69=2,$J69=3,$J69=4,$J69=5,$J69=6,$J69=7),$E69*$I69/12*3,IF($J69=8,$E69*$I69/12*2,IF($J69=9,$E69*$I69/12*1,0)))))+IF(CP$5&lt;&gt;$H69,0,IF(CP69&gt;0,IF($J69=7,$E69*$I69/12*0,IF($J69=8,$E69*$I69/12*1,IF($J69=9,$E69*$I69/12*2,IF($J69&gt;=10,$E69*$I69/12*3,0))))))</f>
        <v>0</v>
      </c>
      <c r="CT69" s="402">
        <f t="shared" ref="CT69:CT72" si="676">IF($H69&lt;&gt;CU$5,0,IF(CU69&gt;0,IF(OR($J69=1,$J69=2,$J69=3,$J69=4,$J69=5,$J69=6,$J69=7,$J69=8,$J69=9,$J69=10),$E69*$I69/12*3,IF($J69=11,$E69*$I69/12*2,IF($J69=12,$E69*$I69/12*1,0)))))+IF(CP$5&lt;&gt;$H69,0,IF(CP69&gt;0,IF($J69=10,$E69*$I69/12*0,IF($J69=11,$E69*$I69/12*1,IF($J69=12,$E69*$I69/12*2,0)))))</f>
        <v>0</v>
      </c>
      <c r="CU69" s="403">
        <f t="shared" ref="CU69:CU72" si="677">IF(AND(CP69&lt;&gt;0,CP$5=$H69),$I69*$E69-CP69,IF(CU$5=$H69,$I69*$E69*(12-$J69+1)/12,0))</f>
        <v>0</v>
      </c>
      <c r="CV69" s="400">
        <f t="shared" ref="CV69:CV72" si="678">IF($H69&lt;&gt;CZ$5,0,IF(CZ69&gt;0,IF($J69=1,$E69*$I69/12*3,IF($J69=2,$E69*$I69/12*2,IF($J69=3,$E69*$I69/12*1,0)))))+IF(CU$5&lt;&gt;$H69,0,IF(CU69&gt;0,IF($J69=1,$E69*$I69/12*0,IF($J69=2,$E69*$I69/12*1,IF($J69=3,$E69*$I69/12*2,IF($J69&gt;=4,$E69*$I69/12*3,0))))))</f>
        <v>0</v>
      </c>
      <c r="CW69" s="401">
        <f t="shared" ref="CW69:CW72" si="679">IF($H69&lt;&gt;CZ$5,0,IF(CZ69&gt;0,IF(OR($J69=1,$J69=2,$J69=3,$J69=4),$E69*$I69/12*3,IF($J69=5,$E69*$I69/12*2,IF($J69=6,$E69*$I69/12*1,0)))))+IF(CU$5&lt;&gt;$H69,0,IF(CU69&gt;0,IF($J69=4,$E69*$I69/12*0,IF($J69=5,$E69*$I69/12*1,IF($J69=6,$E69*$I69/12*2,IF($J69&gt;=7,$E69*$I69/12*3,0))))))</f>
        <v>0</v>
      </c>
      <c r="CX69" s="401">
        <f t="shared" ref="CX69:CX72" si="680">IF($H69&lt;&gt;CZ$5,0,IF(CZ69&gt;0,IF(OR($J69=1,$J69=2,$J69=3,$J69=4,$J69=5,$J69=6,$J69=7),$E69*$I69/12*3,IF($J69=8,$E69*$I69/12*2,IF($J69=9,$E69*$I69/12*1,0)))))+IF(CU$5&lt;&gt;$H69,0,IF(CU69&gt;0,IF($J69=7,$E69*$I69/12*0,IF($J69=8,$E69*$I69/12*1,IF($J69=9,$E69*$I69/12*2,IF($J69&gt;=10,$E69*$I69/12*3,0))))))</f>
        <v>1.7999999999999998</v>
      </c>
      <c r="CY69" s="402">
        <f t="shared" ref="CY69:CY72" si="681">IF($H69&lt;&gt;CZ$5,0,IF(CZ69&gt;0,IF(OR($J69=1,$J69=2,$J69=3,$J69=4,$J69=5,$J69=6,$J69=7,$J69=8,$J69=9,$J69=10),$E69*$I69/12*3,IF($J69=11,$E69*$I69/12*2,IF($J69=12,$E69*$I69/12*1,0)))))+IF(CU$5&lt;&gt;$H69,0,IF(CU69&gt;0,IF($J69=10,$E69*$I69/12*0,IF($J69=11,$E69*$I69/12*1,IF($J69=12,$E69*$I69/12*2,0)))))</f>
        <v>5.3999999999999995</v>
      </c>
      <c r="CZ69" s="403">
        <f t="shared" ref="CZ69:CZ72" si="682">IF(AND(CU69&lt;&gt;0,CU$5=$H69),$I69*$E69-CU69,IF(CZ$5=$H69,$I69*$E69*(12-$J69+1)/12,0))</f>
        <v>7.1999999999999993</v>
      </c>
      <c r="DA69" s="400">
        <f t="shared" ref="DA69:DA72" si="683">IF($H69&lt;&gt;DE$5,0,IF(DE69&gt;0,IF($J69=1,$E69*$I69/12*3,IF($J69=2,$E69*$I69/12*2,IF($J69=3,$E69*$I69/12*1,0)))))+IF(CZ$5&lt;&gt;$H69,0,IF(CZ69&gt;0,IF($J69=1,$E69*$I69/12*0,IF($J69=2,$E69*$I69/12*1,IF($J69=3,$E69*$I69/12*2,IF($J69&gt;=4,$E69*$I69/12*3,0))))))</f>
        <v>5.3999999999999995</v>
      </c>
      <c r="DB69" s="401">
        <f t="shared" ref="DB69:DB72" si="684">IF($H69&lt;&gt;DE$5,0,IF(DE69&gt;0,IF(OR($J69=1,$J69=2,$J69=3,$J69=4),$E69*$I69/12*3,IF($J69=5,$E69*$I69/12*2,IF($J69=6,$E69*$I69/12*1,0)))))+IF(CZ$5&lt;&gt;$H69,0,IF(CZ69&gt;0,IF($J69=4,$E69*$I69/12*0,IF($J69=5,$E69*$I69/12*1,IF($J69=6,$E69*$I69/12*2,IF($J69&gt;=7,$E69*$I69/12*3,0))))))</f>
        <v>5.3999999999999995</v>
      </c>
      <c r="DC69" s="401">
        <f t="shared" ref="DC69:DC72" si="685">IF($H69&lt;&gt;DE$5,0,IF(DE69&gt;0,IF(OR($J69=1,$J69=2,$J69=3,$J69=4,$J69=5,$J69=6,$J69=7),$E69*$I69/12*3,IF($J69=8,$E69*$I69/12*2,IF($J69=9,$E69*$I69/12*1,0)))))+IF(CZ$5&lt;&gt;$H69,0,IF(CZ69&gt;0,IF($J69=7,$E69*$I69/12*0,IF($J69=8,$E69*$I69/12*1,IF($J69=9,$E69*$I69/12*2,IF($J69&gt;=10,$E69*$I69/12*3,0))))))</f>
        <v>3.5999999999999996</v>
      </c>
      <c r="DD69" s="402">
        <f t="shared" ref="DD69:DD72" si="686">IF($H69&lt;&gt;DE$5,0,IF(DE69&gt;0,IF(OR($J69=1,$J69=2,$J69=3,$J69=4,$J69=5,$J69=6,$J69=7,$J69=8,$J69=9,$J69=10),$E69*$I69/12*3,IF($J69=11,$E69*$I69/12*2,IF($J69=12,$E69*$I69/12*1,0)))))+IF(CZ$5&lt;&gt;$H69,0,IF(CZ69&gt;0,IF($J69=10,$E69*$I69/12*0,IF($J69=11,$E69*$I69/12*1,IF($J69=12,$E69*$I69/12*2,0)))))</f>
        <v>0</v>
      </c>
      <c r="DE69" s="403">
        <f t="shared" ref="DE69:DE72" si="687">IF(AND(CZ69&lt;&gt;0,CZ$5=$H69),$I69*$E69-CZ69,IF(DE$5=$H69,$I69*$E69*(12-$J69+1)/12,0))</f>
        <v>14.399999999999999</v>
      </c>
      <c r="DF69" s="400">
        <f t="shared" ref="DF69:DF72" si="688">IF($H69&lt;&gt;DJ$5,0,IF(DJ69&gt;0,IF($J69=1,$E69*$I69/12*3,IF($J69=2,$E69*$I69/12*2,IF($J69=3,$E69*$I69/12*1,0)))))+IF(DE$5&lt;&gt;$H69,0,IF(DE69&gt;0,IF($J69=1,$E69*$I69/12*0,IF($J69=2,$E69*$I69/12*1,IF($J69=3,$E69*$I69/12*2,IF($J69&gt;=4,$E69*$I69/12*3,0))))))</f>
        <v>0</v>
      </c>
      <c r="DG69" s="401">
        <f t="shared" ref="DG69:DG72" si="689">IF($H69&lt;&gt;DJ$5,0,IF(DJ69&gt;0,IF(OR($J69=1,$J69=2,$J69=3,$J69=4),$E69*$I69/12*3,IF($J69=5,$E69*$I69/12*2,IF($J69=6,$E69*$I69/12*1,0)))))+IF(DE$5&lt;&gt;$H69,0,IF(DE69&gt;0,IF($J69=4,$E69*$I69/12*0,IF($J69=5,$E69*$I69/12*1,IF($J69=6,$E69*$I69/12*2,IF($J69&gt;=7,$E69*$I69/12*3,0))))))</f>
        <v>0</v>
      </c>
      <c r="DH69" s="401">
        <f t="shared" ref="DH69:DH72" si="690">IF($H69&lt;&gt;DJ$5,0,IF(DJ69&gt;0,IF(OR($J69=1,$J69=2,$J69=3,$J69=4,$J69=5,$J69=6,$J69=7),$E69*$I69/12*3,IF($J69=8,$E69*$I69/12*2,IF($J69=9,$E69*$I69/12*1,0)))))+IF(DE$5&lt;&gt;$H69,0,IF(DE69&gt;0,IF($J69=7,$E69*$I69/12*0,IF($J69=8,$E69*$I69/12*1,IF($J69=9,$E69*$I69/12*2,IF($J69&gt;=10,$E69*$I69/12*3,0))))))</f>
        <v>0</v>
      </c>
      <c r="DI69" s="402">
        <f t="shared" ref="DI69:DI72" si="691">IF($H69&lt;&gt;DJ$5,0,IF(DJ69&gt;0,IF(OR($J69=1,$J69=2,$J69=3,$J69=4,$J69=5,$J69=6,$J69=7,$J69=8,$J69=9,$J69=10),$E69*$I69/12*3,IF($J69=11,$E69*$I69/12*2,IF($J69=12,$E69*$I69/12*1,0)))))+IF(DE$5&lt;&gt;$H69,0,IF(DE69&gt;0,IF($J69=10,$E69*$I69/12*0,IF($J69=11,$E69*$I69/12*1,IF($J69=12,$E69*$I69/12*2,0)))))</f>
        <v>0</v>
      </c>
      <c r="DJ69" s="403">
        <f t="shared" ref="DJ69:DJ72" si="692">IF(AND(DE69&lt;&gt;0,DE$5=$H69),$I69*$E69-DE69,IF(DJ$5=$H69,$I69*$E69*(12-$J69+1)/12,0))</f>
        <v>0</v>
      </c>
      <c r="DK69" s="400">
        <f t="shared" ref="DK69:DK72" si="693">IF($H69&lt;&gt;DO$5,0,IF(DO69&gt;0,IF($J69=1,$E69*$I69/12*3,IF($J69=2,$E69*$I69/12*2,IF($J69=3,$E69*$I69/12*1,0)))))+IF(DJ$5&lt;&gt;$H69,0,IF(DJ69&gt;0,IF($J69=1,$E69*$I69/12*0,IF($J69=2,$E69*$I69/12*1,IF($J69=3,$E69*$I69/12*2,IF($J69&gt;=4,$E69*$I69/12*3,0))))))</f>
        <v>0</v>
      </c>
      <c r="DL69" s="401">
        <f t="shared" ref="DL69:DL72" si="694">IF($H69&lt;&gt;DO$5,0,IF(DO69&gt;0,IF(OR($J69=1,$J69=2,$J69=3,$J69=4),$E69*$I69/12*3,IF($J69=5,$E69*$I69/12*2,IF($J69=6,$E69*$I69/12*1,0)))))+IF(DJ$5&lt;&gt;$H69,0,IF(DJ69&gt;0,IF($J69=4,$E69*$I69/12*0,IF($J69=5,$E69*$I69/12*1,IF($J69=6,$E69*$I69/12*2,IF($J69&gt;=7,$E69*$I69/12*3,0))))))</f>
        <v>0</v>
      </c>
      <c r="DM69" s="401">
        <f t="shared" ref="DM69:DM72" si="695">IF($H69&lt;&gt;DO$5,0,IF(DO69&gt;0,IF(OR($J69=1,$J69=2,$J69=3,$J69=4,$J69=5,$J69=6,$J69=7),$E69*$I69/12*3,IF($J69=8,$E69*$I69/12*2,IF($J69=9,$E69*$I69/12*1,0)))))+IF(DJ$5&lt;&gt;$H69,0,IF(DJ69&gt;0,IF($J69=7,$E69*$I69/12*0,IF($J69=8,$E69*$I69/12*1,IF($J69=9,$E69*$I69/12*2,IF($J69&gt;=10,$E69*$I69/12*3,0))))))</f>
        <v>0</v>
      </c>
      <c r="DN69" s="402">
        <f t="shared" ref="DN69:DN72" si="696">IF($H69&lt;&gt;DO$5,0,IF(DO69&gt;0,IF(OR($J69=1,$J69=2,$J69=3,$J69=4,$J69=5,$J69=6,$J69=7,$J69=8,$J69=9,$J69=10),$E69*$I69/12*3,IF($J69=11,$E69*$I69/12*2,IF($J69=12,$E69*$I69/12*1,0)))))+IF(DJ$5&lt;&gt;$H69,0,IF(DJ69&gt;0,IF($J69=10,$E69*$I69/12*0,IF($J69=11,$E69*$I69/12*1,IF($J69=12,$E69*$I69/12*2,0)))))</f>
        <v>0</v>
      </c>
      <c r="DO69" s="403">
        <f t="shared" ref="DO69:DO72" si="697">IF(AND(DJ69&lt;&gt;0,DJ$5=$H69),$I69*$E69-DJ69,IF(DO$5=$H69,$I69*$E69*(12-$J69+1)/12,0))</f>
        <v>0</v>
      </c>
      <c r="DP69" s="400">
        <f t="shared" ref="DP69:DP72" si="698">IF($H69&lt;&gt;DT$5,0,IF(DT69&gt;0,IF($J69=1,$E69*$I69/12*3,IF($J69=2,$E69*$I69/12*2,IF($J69=3,$E69*$I69/12*1,0)))))+IF(DO$5&lt;&gt;$H69,0,IF(DO69&gt;0,IF($J69=1,$E69*$I69/12*0,IF($J69=2,$E69*$I69/12*1,IF($J69=3,$E69*$I69/12*2,IF($J69&gt;=4,$E69*$I69/12*3,0))))))</f>
        <v>0</v>
      </c>
      <c r="DQ69" s="401">
        <f t="shared" ref="DQ69:DQ72" si="699">IF($H69&lt;&gt;DT$5,0,IF(DT69&gt;0,IF(OR($J69=1,$J69=2,$J69=3,$J69=4),$E69*$I69/12*3,IF($J69=5,$E69*$I69/12*2,IF($J69=6,$E69*$I69/12*1,0)))))+IF(DO$5&lt;&gt;$H69,0,IF(DO69&gt;0,IF($J69=4,$E69*$I69/12*0,IF($J69=5,$E69*$I69/12*1,IF($J69=6,$E69*$I69/12*2,IF($J69&gt;=7,$E69*$I69/12*3,0))))))</f>
        <v>0</v>
      </c>
      <c r="DR69" s="401">
        <f t="shared" ref="DR69:DR72" si="700">IF($H69&lt;&gt;DT$5,0,IF(DT69&gt;0,IF(OR($J69=1,$J69=2,$J69=3,$J69=4,$J69=5,$J69=6,$J69=7),$E69*$I69/12*3,IF($J69=8,$E69*$I69/12*2,IF($J69=9,$E69*$I69/12*1,0)))))+IF(DO$5&lt;&gt;$H69,0,IF(DO69&gt;0,IF($J69=7,$E69*$I69/12*0,IF($J69=8,$E69*$I69/12*1,IF($J69=9,$E69*$I69/12*2,IF($J69&gt;=10,$E69*$I69/12*3,0))))))</f>
        <v>0</v>
      </c>
      <c r="DS69" s="402">
        <f t="shared" ref="DS69:DS72" si="701">IF($H69&lt;&gt;DT$5,0,IF(DT69&gt;0,IF(OR($J69=1,$J69=2,$J69=3,$J69=4,$J69=5,$J69=6,$J69=7,$J69=8,$J69=9,$J69=10),$E69*$I69/12*3,IF($J69=11,$E69*$I69/12*2,IF($J69=12,$E69*$I69/12*1,0)))))+IF(DO$5&lt;&gt;$H69,0,IF(DO69&gt;0,IF($J69=10,$E69*$I69/12*0,IF($J69=11,$E69*$I69/12*1,IF($J69=12,$E69*$I69/12*2,0)))))</f>
        <v>0</v>
      </c>
      <c r="DT69" s="403">
        <f t="shared" ref="DT69:DT72" si="702">IF(AND(DO69&lt;&gt;0,DO$5=$H69),$I69*$E69-DO69,IF(DT$5=$H69,$I69*$E69*(12-$J69+1)/12,0))</f>
        <v>0</v>
      </c>
    </row>
    <row r="70" spans="1:124" ht="12.75" customHeight="1" x14ac:dyDescent="0.2">
      <c r="C70" s="52" t="s">
        <v>533</v>
      </c>
      <c r="D70" s="52"/>
      <c r="E70" s="530">
        <f>'NSP-MN'!BB192</f>
        <v>300</v>
      </c>
      <c r="F70" s="537"/>
      <c r="G70" s="537"/>
      <c r="H70" s="468">
        <v>2018</v>
      </c>
      <c r="I70" s="469">
        <v>0.04</v>
      </c>
      <c r="J70" s="470">
        <v>1</v>
      </c>
      <c r="K70" s="392"/>
      <c r="L70" s="393">
        <f t="shared" si="591"/>
        <v>0</v>
      </c>
      <c r="M70" s="394">
        <f t="shared" si="592"/>
        <v>0</v>
      </c>
      <c r="N70" s="395">
        <f t="shared" si="593"/>
        <v>0</v>
      </c>
      <c r="O70" s="395">
        <f t="shared" si="594"/>
        <v>0</v>
      </c>
      <c r="P70" s="396">
        <f t="shared" si="595"/>
        <v>0</v>
      </c>
      <c r="Q70" s="397">
        <f t="shared" si="596"/>
        <v>0</v>
      </c>
      <c r="R70" s="394">
        <f t="shared" si="597"/>
        <v>0</v>
      </c>
      <c r="S70" s="395">
        <f t="shared" si="598"/>
        <v>0</v>
      </c>
      <c r="T70" s="395">
        <f t="shared" si="599"/>
        <v>0</v>
      </c>
      <c r="U70" s="396">
        <f t="shared" si="600"/>
        <v>0</v>
      </c>
      <c r="V70" s="397">
        <f t="shared" si="601"/>
        <v>0</v>
      </c>
      <c r="W70" s="394">
        <f t="shared" si="602"/>
        <v>0</v>
      </c>
      <c r="X70" s="395">
        <f t="shared" si="603"/>
        <v>0</v>
      </c>
      <c r="Y70" s="395">
        <f t="shared" si="604"/>
        <v>0</v>
      </c>
      <c r="Z70" s="396">
        <f t="shared" si="605"/>
        <v>0</v>
      </c>
      <c r="AA70" s="397">
        <f t="shared" si="606"/>
        <v>0</v>
      </c>
      <c r="AB70" s="394">
        <f t="shared" si="607"/>
        <v>0</v>
      </c>
      <c r="AC70" s="395">
        <f t="shared" si="608"/>
        <v>0</v>
      </c>
      <c r="AD70" s="395">
        <f t="shared" si="609"/>
        <v>0</v>
      </c>
      <c r="AE70" s="396">
        <f t="shared" si="610"/>
        <v>0</v>
      </c>
      <c r="AF70" s="397">
        <f t="shared" si="611"/>
        <v>0</v>
      </c>
      <c r="AG70" s="394">
        <f t="shared" si="612"/>
        <v>0</v>
      </c>
      <c r="AH70" s="395">
        <f t="shared" si="613"/>
        <v>0</v>
      </c>
      <c r="AI70" s="395">
        <f t="shared" si="614"/>
        <v>0</v>
      </c>
      <c r="AJ70" s="396">
        <f t="shared" si="615"/>
        <v>0</v>
      </c>
      <c r="AK70" s="397">
        <f t="shared" si="616"/>
        <v>0</v>
      </c>
      <c r="AL70" s="394">
        <f t="shared" si="617"/>
        <v>0</v>
      </c>
      <c r="AM70" s="395">
        <f t="shared" si="618"/>
        <v>0</v>
      </c>
      <c r="AN70" s="395">
        <f t="shared" si="619"/>
        <v>0</v>
      </c>
      <c r="AO70" s="396">
        <f t="shared" si="620"/>
        <v>0</v>
      </c>
      <c r="AP70" s="397">
        <f t="shared" si="621"/>
        <v>0</v>
      </c>
      <c r="AQ70" s="394">
        <f t="shared" si="622"/>
        <v>0</v>
      </c>
      <c r="AR70" s="395">
        <f t="shared" si="623"/>
        <v>0</v>
      </c>
      <c r="AS70" s="395">
        <f t="shared" si="624"/>
        <v>0</v>
      </c>
      <c r="AT70" s="396">
        <f t="shared" si="625"/>
        <v>0</v>
      </c>
      <c r="AU70" s="397">
        <f t="shared" si="626"/>
        <v>0</v>
      </c>
      <c r="AV70" s="394">
        <f t="shared" si="627"/>
        <v>300</v>
      </c>
      <c r="AW70" s="395">
        <f t="shared" si="628"/>
        <v>0</v>
      </c>
      <c r="AX70" s="395">
        <f t="shared" si="629"/>
        <v>0</v>
      </c>
      <c r="AY70" s="396">
        <f t="shared" si="630"/>
        <v>0</v>
      </c>
      <c r="AZ70" s="397">
        <f t="shared" si="631"/>
        <v>300</v>
      </c>
      <c r="BA70" s="394">
        <f t="shared" si="632"/>
        <v>0</v>
      </c>
      <c r="BB70" s="395">
        <f t="shared" si="633"/>
        <v>0</v>
      </c>
      <c r="BC70" s="395">
        <f t="shared" si="634"/>
        <v>0</v>
      </c>
      <c r="BD70" s="396">
        <f t="shared" si="635"/>
        <v>0</v>
      </c>
      <c r="BE70" s="397">
        <f t="shared" si="636"/>
        <v>0</v>
      </c>
      <c r="BF70" s="394">
        <f t="shared" si="637"/>
        <v>0</v>
      </c>
      <c r="BG70" s="395">
        <f t="shared" si="638"/>
        <v>0</v>
      </c>
      <c r="BH70" s="395">
        <f t="shared" si="639"/>
        <v>0</v>
      </c>
      <c r="BI70" s="396">
        <f t="shared" si="640"/>
        <v>0</v>
      </c>
      <c r="BJ70" s="397">
        <f t="shared" si="641"/>
        <v>0</v>
      </c>
      <c r="BK70" s="394">
        <f t="shared" si="642"/>
        <v>0</v>
      </c>
      <c r="BL70" s="395">
        <f t="shared" si="643"/>
        <v>0</v>
      </c>
      <c r="BM70" s="395">
        <f t="shared" si="644"/>
        <v>0</v>
      </c>
      <c r="BN70" s="396">
        <f t="shared" si="645"/>
        <v>0</v>
      </c>
      <c r="BO70" s="397">
        <f t="shared" si="646"/>
        <v>0</v>
      </c>
      <c r="BP70" s="445"/>
      <c r="BQ70" s="399">
        <f t="shared" si="647"/>
        <v>0</v>
      </c>
      <c r="BR70" s="400">
        <f t="shared" si="648"/>
        <v>0</v>
      </c>
      <c r="BS70" s="401">
        <f t="shared" si="649"/>
        <v>0</v>
      </c>
      <c r="BT70" s="401">
        <f t="shared" si="650"/>
        <v>0</v>
      </c>
      <c r="BU70" s="402">
        <f t="shared" si="651"/>
        <v>0</v>
      </c>
      <c r="BV70" s="403">
        <f t="shared" si="652"/>
        <v>0</v>
      </c>
      <c r="BW70" s="400">
        <f t="shared" si="653"/>
        <v>0</v>
      </c>
      <c r="BX70" s="401">
        <f t="shared" si="654"/>
        <v>0</v>
      </c>
      <c r="BY70" s="401">
        <f t="shared" si="655"/>
        <v>0</v>
      </c>
      <c r="BZ70" s="402">
        <f t="shared" si="656"/>
        <v>0</v>
      </c>
      <c r="CA70" s="403">
        <f t="shared" si="657"/>
        <v>0</v>
      </c>
      <c r="CB70" s="400">
        <f t="shared" si="658"/>
        <v>0</v>
      </c>
      <c r="CC70" s="401">
        <f t="shared" si="659"/>
        <v>0</v>
      </c>
      <c r="CD70" s="401">
        <f t="shared" si="660"/>
        <v>0</v>
      </c>
      <c r="CE70" s="402">
        <f t="shared" si="661"/>
        <v>0</v>
      </c>
      <c r="CF70" s="403">
        <f t="shared" si="662"/>
        <v>0</v>
      </c>
      <c r="CG70" s="400">
        <f t="shared" si="663"/>
        <v>0</v>
      </c>
      <c r="CH70" s="401">
        <f t="shared" si="664"/>
        <v>0</v>
      </c>
      <c r="CI70" s="401">
        <f t="shared" si="665"/>
        <v>0</v>
      </c>
      <c r="CJ70" s="402">
        <f t="shared" si="666"/>
        <v>0</v>
      </c>
      <c r="CK70" s="403">
        <f t="shared" si="667"/>
        <v>0</v>
      </c>
      <c r="CL70" s="400">
        <f t="shared" si="668"/>
        <v>0</v>
      </c>
      <c r="CM70" s="401">
        <f t="shared" si="669"/>
        <v>0</v>
      </c>
      <c r="CN70" s="401">
        <f t="shared" si="670"/>
        <v>0</v>
      </c>
      <c r="CO70" s="402">
        <f t="shared" si="671"/>
        <v>0</v>
      </c>
      <c r="CP70" s="403">
        <f t="shared" si="672"/>
        <v>0</v>
      </c>
      <c r="CQ70" s="400">
        <f t="shared" si="673"/>
        <v>0</v>
      </c>
      <c r="CR70" s="401">
        <f t="shared" si="674"/>
        <v>0</v>
      </c>
      <c r="CS70" s="401">
        <f t="shared" si="675"/>
        <v>0</v>
      </c>
      <c r="CT70" s="402">
        <f t="shared" si="676"/>
        <v>0</v>
      </c>
      <c r="CU70" s="403">
        <f t="shared" si="677"/>
        <v>0</v>
      </c>
      <c r="CV70" s="400">
        <f t="shared" si="678"/>
        <v>0</v>
      </c>
      <c r="CW70" s="401">
        <f t="shared" si="679"/>
        <v>0</v>
      </c>
      <c r="CX70" s="401">
        <f t="shared" si="680"/>
        <v>0</v>
      </c>
      <c r="CY70" s="402">
        <f t="shared" si="681"/>
        <v>0</v>
      </c>
      <c r="CZ70" s="403">
        <f t="shared" si="682"/>
        <v>0</v>
      </c>
      <c r="DA70" s="400">
        <f t="shared" si="683"/>
        <v>3</v>
      </c>
      <c r="DB70" s="401">
        <f t="shared" si="684"/>
        <v>3</v>
      </c>
      <c r="DC70" s="401">
        <f t="shared" si="685"/>
        <v>3</v>
      </c>
      <c r="DD70" s="402">
        <f t="shared" si="686"/>
        <v>3</v>
      </c>
      <c r="DE70" s="403">
        <f t="shared" si="687"/>
        <v>12</v>
      </c>
      <c r="DF70" s="400">
        <f t="shared" si="688"/>
        <v>0</v>
      </c>
      <c r="DG70" s="401">
        <f t="shared" si="689"/>
        <v>0</v>
      </c>
      <c r="DH70" s="401">
        <f t="shared" si="690"/>
        <v>0</v>
      </c>
      <c r="DI70" s="402">
        <f t="shared" si="691"/>
        <v>0</v>
      </c>
      <c r="DJ70" s="403">
        <f t="shared" si="692"/>
        <v>0</v>
      </c>
      <c r="DK70" s="400">
        <f t="shared" si="693"/>
        <v>0</v>
      </c>
      <c r="DL70" s="401">
        <f t="shared" si="694"/>
        <v>0</v>
      </c>
      <c r="DM70" s="401">
        <f t="shared" si="695"/>
        <v>0</v>
      </c>
      <c r="DN70" s="402">
        <f t="shared" si="696"/>
        <v>0</v>
      </c>
      <c r="DO70" s="403">
        <f t="shared" si="697"/>
        <v>0</v>
      </c>
      <c r="DP70" s="400">
        <f t="shared" si="698"/>
        <v>0</v>
      </c>
      <c r="DQ70" s="401">
        <f t="shared" si="699"/>
        <v>0</v>
      </c>
      <c r="DR70" s="401">
        <f t="shared" si="700"/>
        <v>0</v>
      </c>
      <c r="DS70" s="402">
        <f t="shared" si="701"/>
        <v>0</v>
      </c>
      <c r="DT70" s="403">
        <f t="shared" si="702"/>
        <v>0</v>
      </c>
    </row>
    <row r="71" spans="1:124" ht="12.75" customHeight="1" x14ac:dyDescent="0.2">
      <c r="C71" s="847" t="s">
        <v>560</v>
      </c>
      <c r="D71" s="52"/>
      <c r="E71" s="530">
        <f>+'NSP-MN'!BG192</f>
        <v>200</v>
      </c>
      <c r="F71" s="537"/>
      <c r="G71" s="537"/>
      <c r="H71" s="468">
        <v>2019</v>
      </c>
      <c r="I71" s="469">
        <v>4.4999999999999998E-2</v>
      </c>
      <c r="J71" s="470">
        <v>7</v>
      </c>
      <c r="K71" s="392"/>
      <c r="L71" s="393">
        <f t="shared" si="591"/>
        <v>0</v>
      </c>
      <c r="M71" s="394">
        <f t="shared" si="592"/>
        <v>0</v>
      </c>
      <c r="N71" s="395">
        <f t="shared" si="593"/>
        <v>0</v>
      </c>
      <c r="O71" s="395">
        <f t="shared" si="594"/>
        <v>0</v>
      </c>
      <c r="P71" s="396">
        <f t="shared" si="595"/>
        <v>0</v>
      </c>
      <c r="Q71" s="397">
        <f t="shared" si="596"/>
        <v>0</v>
      </c>
      <c r="R71" s="394">
        <f t="shared" si="597"/>
        <v>0</v>
      </c>
      <c r="S71" s="395">
        <f t="shared" si="598"/>
        <v>0</v>
      </c>
      <c r="T71" s="395">
        <f t="shared" si="599"/>
        <v>0</v>
      </c>
      <c r="U71" s="396">
        <f t="shared" si="600"/>
        <v>0</v>
      </c>
      <c r="V71" s="397">
        <f t="shared" si="601"/>
        <v>0</v>
      </c>
      <c r="W71" s="394">
        <f t="shared" si="602"/>
        <v>0</v>
      </c>
      <c r="X71" s="395">
        <f t="shared" si="603"/>
        <v>0</v>
      </c>
      <c r="Y71" s="395">
        <f t="shared" si="604"/>
        <v>0</v>
      </c>
      <c r="Z71" s="396">
        <f t="shared" si="605"/>
        <v>0</v>
      </c>
      <c r="AA71" s="397">
        <f t="shared" si="606"/>
        <v>0</v>
      </c>
      <c r="AB71" s="394">
        <f t="shared" si="607"/>
        <v>0</v>
      </c>
      <c r="AC71" s="395">
        <f t="shared" si="608"/>
        <v>0</v>
      </c>
      <c r="AD71" s="395">
        <f t="shared" si="609"/>
        <v>0</v>
      </c>
      <c r="AE71" s="396">
        <f t="shared" si="610"/>
        <v>0</v>
      </c>
      <c r="AF71" s="397">
        <f t="shared" si="611"/>
        <v>0</v>
      </c>
      <c r="AG71" s="394">
        <f t="shared" si="612"/>
        <v>0</v>
      </c>
      <c r="AH71" s="395">
        <f t="shared" si="613"/>
        <v>0</v>
      </c>
      <c r="AI71" s="395">
        <f t="shared" si="614"/>
        <v>0</v>
      </c>
      <c r="AJ71" s="396">
        <f t="shared" si="615"/>
        <v>0</v>
      </c>
      <c r="AK71" s="397">
        <f t="shared" si="616"/>
        <v>0</v>
      </c>
      <c r="AL71" s="394">
        <f t="shared" si="617"/>
        <v>0</v>
      </c>
      <c r="AM71" s="395">
        <f t="shared" si="618"/>
        <v>0</v>
      </c>
      <c r="AN71" s="395">
        <f t="shared" si="619"/>
        <v>0</v>
      </c>
      <c r="AO71" s="396">
        <f t="shared" si="620"/>
        <v>0</v>
      </c>
      <c r="AP71" s="397">
        <f t="shared" si="621"/>
        <v>0</v>
      </c>
      <c r="AQ71" s="394">
        <f t="shared" si="622"/>
        <v>0</v>
      </c>
      <c r="AR71" s="395">
        <f t="shared" si="623"/>
        <v>0</v>
      </c>
      <c r="AS71" s="395">
        <f t="shared" si="624"/>
        <v>0</v>
      </c>
      <c r="AT71" s="396">
        <f t="shared" si="625"/>
        <v>0</v>
      </c>
      <c r="AU71" s="397">
        <f t="shared" si="626"/>
        <v>0</v>
      </c>
      <c r="AV71" s="394">
        <f t="shared" si="627"/>
        <v>0</v>
      </c>
      <c r="AW71" s="395">
        <f t="shared" si="628"/>
        <v>0</v>
      </c>
      <c r="AX71" s="395">
        <f t="shared" si="629"/>
        <v>0</v>
      </c>
      <c r="AY71" s="396">
        <f t="shared" si="630"/>
        <v>0</v>
      </c>
      <c r="AZ71" s="397">
        <f t="shared" si="631"/>
        <v>0</v>
      </c>
      <c r="BA71" s="394">
        <f t="shared" si="632"/>
        <v>0</v>
      </c>
      <c r="BB71" s="395">
        <f t="shared" si="633"/>
        <v>0</v>
      </c>
      <c r="BC71" s="395">
        <f t="shared" si="634"/>
        <v>200</v>
      </c>
      <c r="BD71" s="396">
        <f t="shared" si="635"/>
        <v>0</v>
      </c>
      <c r="BE71" s="397">
        <f t="shared" si="636"/>
        <v>200</v>
      </c>
      <c r="BF71" s="394">
        <f t="shared" si="637"/>
        <v>0</v>
      </c>
      <c r="BG71" s="395">
        <f t="shared" si="638"/>
        <v>0</v>
      </c>
      <c r="BH71" s="395">
        <f t="shared" si="639"/>
        <v>0</v>
      </c>
      <c r="BI71" s="396">
        <f t="shared" si="640"/>
        <v>0</v>
      </c>
      <c r="BJ71" s="397">
        <f t="shared" si="641"/>
        <v>0</v>
      </c>
      <c r="BK71" s="394">
        <f t="shared" si="642"/>
        <v>0</v>
      </c>
      <c r="BL71" s="395">
        <f t="shared" si="643"/>
        <v>0</v>
      </c>
      <c r="BM71" s="395">
        <f t="shared" si="644"/>
        <v>0</v>
      </c>
      <c r="BN71" s="396">
        <f t="shared" si="645"/>
        <v>0</v>
      </c>
      <c r="BO71" s="397">
        <f t="shared" si="646"/>
        <v>0</v>
      </c>
      <c r="BP71" s="445"/>
      <c r="BQ71" s="399">
        <f t="shared" si="647"/>
        <v>0</v>
      </c>
      <c r="BR71" s="400">
        <f t="shared" si="648"/>
        <v>0</v>
      </c>
      <c r="BS71" s="401">
        <f t="shared" si="649"/>
        <v>0</v>
      </c>
      <c r="BT71" s="401">
        <f t="shared" si="650"/>
        <v>0</v>
      </c>
      <c r="BU71" s="402">
        <f t="shared" si="651"/>
        <v>0</v>
      </c>
      <c r="BV71" s="403">
        <f t="shared" si="652"/>
        <v>0</v>
      </c>
      <c r="BW71" s="400">
        <f t="shared" si="653"/>
        <v>0</v>
      </c>
      <c r="BX71" s="401">
        <f t="shared" si="654"/>
        <v>0</v>
      </c>
      <c r="BY71" s="401">
        <f t="shared" si="655"/>
        <v>0</v>
      </c>
      <c r="BZ71" s="402">
        <f t="shared" si="656"/>
        <v>0</v>
      </c>
      <c r="CA71" s="403">
        <f t="shared" si="657"/>
        <v>0</v>
      </c>
      <c r="CB71" s="400">
        <f t="shared" si="658"/>
        <v>0</v>
      </c>
      <c r="CC71" s="401">
        <f t="shared" si="659"/>
        <v>0</v>
      </c>
      <c r="CD71" s="401">
        <f t="shared" si="660"/>
        <v>0</v>
      </c>
      <c r="CE71" s="402">
        <f t="shared" si="661"/>
        <v>0</v>
      </c>
      <c r="CF71" s="403">
        <f t="shared" si="662"/>
        <v>0</v>
      </c>
      <c r="CG71" s="400">
        <f t="shared" si="663"/>
        <v>0</v>
      </c>
      <c r="CH71" s="401">
        <f t="shared" si="664"/>
        <v>0</v>
      </c>
      <c r="CI71" s="401">
        <f t="shared" si="665"/>
        <v>0</v>
      </c>
      <c r="CJ71" s="402">
        <f t="shared" si="666"/>
        <v>0</v>
      </c>
      <c r="CK71" s="403">
        <f t="shared" si="667"/>
        <v>0</v>
      </c>
      <c r="CL71" s="400">
        <f t="shared" si="668"/>
        <v>0</v>
      </c>
      <c r="CM71" s="401">
        <f t="shared" si="669"/>
        <v>0</v>
      </c>
      <c r="CN71" s="401">
        <f t="shared" si="670"/>
        <v>0</v>
      </c>
      <c r="CO71" s="402">
        <f t="shared" si="671"/>
        <v>0</v>
      </c>
      <c r="CP71" s="403">
        <f t="shared" si="672"/>
        <v>0</v>
      </c>
      <c r="CQ71" s="400">
        <f t="shared" si="673"/>
        <v>0</v>
      </c>
      <c r="CR71" s="401">
        <f t="shared" si="674"/>
        <v>0</v>
      </c>
      <c r="CS71" s="401">
        <f t="shared" si="675"/>
        <v>0</v>
      </c>
      <c r="CT71" s="402">
        <f t="shared" si="676"/>
        <v>0</v>
      </c>
      <c r="CU71" s="403">
        <f t="shared" si="677"/>
        <v>0</v>
      </c>
      <c r="CV71" s="400">
        <f t="shared" si="678"/>
        <v>0</v>
      </c>
      <c r="CW71" s="401">
        <f t="shared" si="679"/>
        <v>0</v>
      </c>
      <c r="CX71" s="401">
        <f t="shared" si="680"/>
        <v>0</v>
      </c>
      <c r="CY71" s="402">
        <f t="shared" si="681"/>
        <v>0</v>
      </c>
      <c r="CZ71" s="403">
        <f t="shared" si="682"/>
        <v>0</v>
      </c>
      <c r="DA71" s="400">
        <f t="shared" si="683"/>
        <v>0</v>
      </c>
      <c r="DB71" s="401">
        <f t="shared" si="684"/>
        <v>0</v>
      </c>
      <c r="DC71" s="401">
        <f t="shared" si="685"/>
        <v>0</v>
      </c>
      <c r="DD71" s="402">
        <f t="shared" si="686"/>
        <v>0</v>
      </c>
      <c r="DE71" s="403">
        <f t="shared" si="687"/>
        <v>0</v>
      </c>
      <c r="DF71" s="400">
        <f t="shared" si="688"/>
        <v>0</v>
      </c>
      <c r="DG71" s="401">
        <f t="shared" si="689"/>
        <v>0</v>
      </c>
      <c r="DH71" s="401">
        <f t="shared" si="690"/>
        <v>2.25</v>
      </c>
      <c r="DI71" s="402">
        <f t="shared" si="691"/>
        <v>2.25</v>
      </c>
      <c r="DJ71" s="403">
        <f t="shared" si="692"/>
        <v>4.5</v>
      </c>
      <c r="DK71" s="400">
        <f t="shared" si="693"/>
        <v>2.25</v>
      </c>
      <c r="DL71" s="401">
        <f t="shared" si="694"/>
        <v>2.25</v>
      </c>
      <c r="DM71" s="401">
        <f t="shared" si="695"/>
        <v>0</v>
      </c>
      <c r="DN71" s="402">
        <f t="shared" si="696"/>
        <v>0</v>
      </c>
      <c r="DO71" s="403">
        <f t="shared" si="697"/>
        <v>4.5</v>
      </c>
      <c r="DP71" s="400">
        <f t="shared" si="698"/>
        <v>0</v>
      </c>
      <c r="DQ71" s="401">
        <f t="shared" si="699"/>
        <v>0</v>
      </c>
      <c r="DR71" s="401">
        <f t="shared" si="700"/>
        <v>0</v>
      </c>
      <c r="DS71" s="402">
        <f t="shared" si="701"/>
        <v>0</v>
      </c>
      <c r="DT71" s="403">
        <f t="shared" si="702"/>
        <v>0</v>
      </c>
    </row>
    <row r="72" spans="1:124" ht="12.75" customHeight="1" x14ac:dyDescent="0.2">
      <c r="C72" s="847" t="s">
        <v>603</v>
      </c>
      <c r="D72" s="52"/>
      <c r="E72" s="530">
        <f>+'NSP-MN'!BL192</f>
        <v>550</v>
      </c>
      <c r="F72" s="537"/>
      <c r="G72" s="537"/>
      <c r="H72" s="468">
        <v>2020</v>
      </c>
      <c r="I72" s="469">
        <v>4.4999999999999998E-2</v>
      </c>
      <c r="J72" s="470">
        <v>7</v>
      </c>
      <c r="K72" s="392"/>
      <c r="L72" s="393">
        <f t="shared" si="591"/>
        <v>0</v>
      </c>
      <c r="M72" s="394">
        <f t="shared" si="592"/>
        <v>0</v>
      </c>
      <c r="N72" s="395">
        <f t="shared" si="593"/>
        <v>0</v>
      </c>
      <c r="O72" s="395">
        <f t="shared" si="594"/>
        <v>0</v>
      </c>
      <c r="P72" s="396">
        <f t="shared" si="595"/>
        <v>0</v>
      </c>
      <c r="Q72" s="397">
        <f t="shared" si="596"/>
        <v>0</v>
      </c>
      <c r="R72" s="394">
        <f t="shared" si="597"/>
        <v>0</v>
      </c>
      <c r="S72" s="395">
        <f t="shared" si="598"/>
        <v>0</v>
      </c>
      <c r="T72" s="395">
        <f t="shared" si="599"/>
        <v>0</v>
      </c>
      <c r="U72" s="396">
        <f t="shared" si="600"/>
        <v>0</v>
      </c>
      <c r="V72" s="397">
        <f t="shared" si="601"/>
        <v>0</v>
      </c>
      <c r="W72" s="394">
        <f t="shared" si="602"/>
        <v>0</v>
      </c>
      <c r="X72" s="395">
        <f t="shared" si="603"/>
        <v>0</v>
      </c>
      <c r="Y72" s="395">
        <f t="shared" si="604"/>
        <v>0</v>
      </c>
      <c r="Z72" s="396">
        <f t="shared" si="605"/>
        <v>0</v>
      </c>
      <c r="AA72" s="397">
        <f t="shared" si="606"/>
        <v>0</v>
      </c>
      <c r="AB72" s="394">
        <f t="shared" si="607"/>
        <v>0</v>
      </c>
      <c r="AC72" s="395">
        <f t="shared" si="608"/>
        <v>0</v>
      </c>
      <c r="AD72" s="395">
        <f t="shared" si="609"/>
        <v>0</v>
      </c>
      <c r="AE72" s="396">
        <f t="shared" si="610"/>
        <v>0</v>
      </c>
      <c r="AF72" s="397">
        <f t="shared" si="611"/>
        <v>0</v>
      </c>
      <c r="AG72" s="394">
        <f t="shared" si="612"/>
        <v>0</v>
      </c>
      <c r="AH72" s="395">
        <f t="shared" si="613"/>
        <v>0</v>
      </c>
      <c r="AI72" s="395">
        <f t="shared" si="614"/>
        <v>0</v>
      </c>
      <c r="AJ72" s="396">
        <f t="shared" si="615"/>
        <v>0</v>
      </c>
      <c r="AK72" s="397">
        <f t="shared" si="616"/>
        <v>0</v>
      </c>
      <c r="AL72" s="394">
        <f t="shared" si="617"/>
        <v>0</v>
      </c>
      <c r="AM72" s="395">
        <f t="shared" si="618"/>
        <v>0</v>
      </c>
      <c r="AN72" s="395">
        <f t="shared" si="619"/>
        <v>0</v>
      </c>
      <c r="AO72" s="396">
        <f t="shared" si="620"/>
        <v>0</v>
      </c>
      <c r="AP72" s="397">
        <f t="shared" si="621"/>
        <v>0</v>
      </c>
      <c r="AQ72" s="394">
        <f t="shared" si="622"/>
        <v>0</v>
      </c>
      <c r="AR72" s="395">
        <f t="shared" si="623"/>
        <v>0</v>
      </c>
      <c r="AS72" s="395">
        <f t="shared" si="624"/>
        <v>0</v>
      </c>
      <c r="AT72" s="396">
        <f t="shared" si="625"/>
        <v>0</v>
      </c>
      <c r="AU72" s="397">
        <f t="shared" si="626"/>
        <v>0</v>
      </c>
      <c r="AV72" s="394">
        <f t="shared" si="627"/>
        <v>0</v>
      </c>
      <c r="AW72" s="395">
        <f t="shared" si="628"/>
        <v>0</v>
      </c>
      <c r="AX72" s="395">
        <f t="shared" si="629"/>
        <v>0</v>
      </c>
      <c r="AY72" s="396">
        <f t="shared" si="630"/>
        <v>0</v>
      </c>
      <c r="AZ72" s="397">
        <f t="shared" si="631"/>
        <v>0</v>
      </c>
      <c r="BA72" s="394">
        <f t="shared" si="632"/>
        <v>0</v>
      </c>
      <c r="BB72" s="395">
        <f t="shared" si="633"/>
        <v>0</v>
      </c>
      <c r="BC72" s="395">
        <f t="shared" si="634"/>
        <v>0</v>
      </c>
      <c r="BD72" s="396">
        <f t="shared" si="635"/>
        <v>0</v>
      </c>
      <c r="BE72" s="397">
        <f t="shared" si="636"/>
        <v>0</v>
      </c>
      <c r="BF72" s="394">
        <f t="shared" si="637"/>
        <v>0</v>
      </c>
      <c r="BG72" s="395">
        <f t="shared" si="638"/>
        <v>0</v>
      </c>
      <c r="BH72" s="395">
        <f t="shared" si="639"/>
        <v>550</v>
      </c>
      <c r="BI72" s="396">
        <f t="shared" si="640"/>
        <v>0</v>
      </c>
      <c r="BJ72" s="397">
        <f t="shared" si="641"/>
        <v>550</v>
      </c>
      <c r="BK72" s="394">
        <f t="shared" si="642"/>
        <v>0</v>
      </c>
      <c r="BL72" s="395">
        <f t="shared" si="643"/>
        <v>0</v>
      </c>
      <c r="BM72" s="395">
        <f t="shared" si="644"/>
        <v>0</v>
      </c>
      <c r="BN72" s="396">
        <f t="shared" si="645"/>
        <v>0</v>
      </c>
      <c r="BO72" s="397">
        <f t="shared" si="646"/>
        <v>0</v>
      </c>
      <c r="BP72" s="445"/>
      <c r="BQ72" s="399">
        <f t="shared" si="647"/>
        <v>0</v>
      </c>
      <c r="BR72" s="400">
        <f t="shared" si="648"/>
        <v>0</v>
      </c>
      <c r="BS72" s="401">
        <f t="shared" si="649"/>
        <v>0</v>
      </c>
      <c r="BT72" s="401">
        <f t="shared" si="650"/>
        <v>0</v>
      </c>
      <c r="BU72" s="402">
        <f t="shared" si="651"/>
        <v>0</v>
      </c>
      <c r="BV72" s="403">
        <f t="shared" si="652"/>
        <v>0</v>
      </c>
      <c r="BW72" s="400">
        <f t="shared" si="653"/>
        <v>0</v>
      </c>
      <c r="BX72" s="401">
        <f t="shared" si="654"/>
        <v>0</v>
      </c>
      <c r="BY72" s="401">
        <f t="shared" si="655"/>
        <v>0</v>
      </c>
      <c r="BZ72" s="402">
        <f t="shared" si="656"/>
        <v>0</v>
      </c>
      <c r="CA72" s="403">
        <f t="shared" si="657"/>
        <v>0</v>
      </c>
      <c r="CB72" s="400">
        <f t="shared" si="658"/>
        <v>0</v>
      </c>
      <c r="CC72" s="401">
        <f t="shared" si="659"/>
        <v>0</v>
      </c>
      <c r="CD72" s="401">
        <f t="shared" si="660"/>
        <v>0</v>
      </c>
      <c r="CE72" s="402">
        <f t="shared" si="661"/>
        <v>0</v>
      </c>
      <c r="CF72" s="403">
        <f t="shared" si="662"/>
        <v>0</v>
      </c>
      <c r="CG72" s="400">
        <f t="shared" si="663"/>
        <v>0</v>
      </c>
      <c r="CH72" s="401">
        <f t="shared" si="664"/>
        <v>0</v>
      </c>
      <c r="CI72" s="401">
        <f t="shared" si="665"/>
        <v>0</v>
      </c>
      <c r="CJ72" s="402">
        <f t="shared" si="666"/>
        <v>0</v>
      </c>
      <c r="CK72" s="403">
        <f t="shared" si="667"/>
        <v>0</v>
      </c>
      <c r="CL72" s="400">
        <f t="shared" si="668"/>
        <v>0</v>
      </c>
      <c r="CM72" s="401">
        <f t="shared" si="669"/>
        <v>0</v>
      </c>
      <c r="CN72" s="401">
        <f t="shared" si="670"/>
        <v>0</v>
      </c>
      <c r="CO72" s="402">
        <f t="shared" si="671"/>
        <v>0</v>
      </c>
      <c r="CP72" s="403">
        <f t="shared" si="672"/>
        <v>0</v>
      </c>
      <c r="CQ72" s="400">
        <f t="shared" si="673"/>
        <v>0</v>
      </c>
      <c r="CR72" s="401">
        <f t="shared" si="674"/>
        <v>0</v>
      </c>
      <c r="CS72" s="401">
        <f t="shared" si="675"/>
        <v>0</v>
      </c>
      <c r="CT72" s="402">
        <f t="shared" si="676"/>
        <v>0</v>
      </c>
      <c r="CU72" s="403">
        <f t="shared" si="677"/>
        <v>0</v>
      </c>
      <c r="CV72" s="400">
        <f t="shared" si="678"/>
        <v>0</v>
      </c>
      <c r="CW72" s="401">
        <f t="shared" si="679"/>
        <v>0</v>
      </c>
      <c r="CX72" s="401">
        <f t="shared" si="680"/>
        <v>0</v>
      </c>
      <c r="CY72" s="402">
        <f t="shared" si="681"/>
        <v>0</v>
      </c>
      <c r="CZ72" s="403">
        <f t="shared" si="682"/>
        <v>0</v>
      </c>
      <c r="DA72" s="400">
        <f t="shared" si="683"/>
        <v>0</v>
      </c>
      <c r="DB72" s="401">
        <f t="shared" si="684"/>
        <v>0</v>
      </c>
      <c r="DC72" s="401">
        <f t="shared" si="685"/>
        <v>0</v>
      </c>
      <c r="DD72" s="402">
        <f t="shared" si="686"/>
        <v>0</v>
      </c>
      <c r="DE72" s="403">
        <f t="shared" si="687"/>
        <v>0</v>
      </c>
      <c r="DF72" s="400">
        <f t="shared" si="688"/>
        <v>0</v>
      </c>
      <c r="DG72" s="401">
        <f t="shared" si="689"/>
        <v>0</v>
      </c>
      <c r="DH72" s="401">
        <f t="shared" si="690"/>
        <v>0</v>
      </c>
      <c r="DI72" s="402">
        <f t="shared" si="691"/>
        <v>0</v>
      </c>
      <c r="DJ72" s="403">
        <f t="shared" si="692"/>
        <v>0</v>
      </c>
      <c r="DK72" s="400">
        <f t="shared" si="693"/>
        <v>0</v>
      </c>
      <c r="DL72" s="401">
        <f t="shared" si="694"/>
        <v>0</v>
      </c>
      <c r="DM72" s="401">
        <f t="shared" si="695"/>
        <v>6.1875</v>
      </c>
      <c r="DN72" s="402">
        <f t="shared" si="696"/>
        <v>6.1875</v>
      </c>
      <c r="DO72" s="403">
        <f t="shared" si="697"/>
        <v>12.375</v>
      </c>
      <c r="DP72" s="400">
        <f t="shared" si="698"/>
        <v>6.1875</v>
      </c>
      <c r="DQ72" s="401">
        <f t="shared" si="699"/>
        <v>6.1875</v>
      </c>
      <c r="DR72" s="401">
        <f t="shared" si="700"/>
        <v>0</v>
      </c>
      <c r="DS72" s="402">
        <f t="shared" si="701"/>
        <v>0</v>
      </c>
      <c r="DT72" s="403">
        <f t="shared" si="702"/>
        <v>12.375</v>
      </c>
    </row>
    <row r="73" spans="1:124" ht="12.75" customHeight="1" x14ac:dyDescent="0.2">
      <c r="C73" s="996" t="s">
        <v>674</v>
      </c>
      <c r="D73" s="52"/>
      <c r="E73" s="530">
        <f>+'NSP-MN'!BQ192</f>
        <v>550</v>
      </c>
      <c r="F73" s="537"/>
      <c r="G73" s="537"/>
      <c r="H73" s="468">
        <v>2021</v>
      </c>
      <c r="I73" s="469">
        <v>4.4999999999999998E-2</v>
      </c>
      <c r="J73" s="470">
        <v>7</v>
      </c>
      <c r="K73" s="392"/>
      <c r="L73" s="393">
        <f t="shared" si="591"/>
        <v>0</v>
      </c>
      <c r="M73" s="394">
        <f t="shared" ref="M73" si="703">IF(Q73=0,0,IF(Q73&gt;0,IF($J73=3,Q73,IF($J73=2,Q73,IF($J73=1,Q73,0)))))</f>
        <v>0</v>
      </c>
      <c r="N73" s="395">
        <f t="shared" ref="N73" si="704">IF(Q73=0,0,IF(Q73&gt;0,IF($J73=6,Q73,IF($J73=5,Q73,IF($J73=4,Q73,0)))))</f>
        <v>0</v>
      </c>
      <c r="O73" s="395">
        <f t="shared" ref="O73" si="705">IF(Q73=0,0,IF(Q73&gt;0,IF($J73=9,Q73,IF($J73=8,Q73,IF($J73=7,Q73,0)))))</f>
        <v>0</v>
      </c>
      <c r="P73" s="396">
        <f t="shared" ref="P73" si="706">IF(Q73=0,0,IF(Q73&gt;0,IF($J73=12,Q73,IF($J73=11,Q73,IF($J73=10,Q73,0)))))</f>
        <v>0</v>
      </c>
      <c r="Q73" s="397">
        <f t="shared" si="596"/>
        <v>0</v>
      </c>
      <c r="R73" s="394">
        <f t="shared" ref="R73" si="707">IF(V73=0,0,IF(V73&gt;0,IF($J73=3,V73,IF($J73=2,V73,IF($J73=1,V73,0)))))</f>
        <v>0</v>
      </c>
      <c r="S73" s="395">
        <f t="shared" ref="S73" si="708">IF(V73=0,0,IF(V73&gt;0,IF($J73=6,V73,IF($J73=5,V73,IF($J73=4,V73,0)))))</f>
        <v>0</v>
      </c>
      <c r="T73" s="395">
        <f t="shared" ref="T73" si="709">IF(V73=0,0,IF(V73&gt;0,IF($J73=9,V73,IF($J73=8,V73,IF($J73=7,V73,0)))))</f>
        <v>0</v>
      </c>
      <c r="U73" s="396">
        <f t="shared" ref="U73" si="710">IF(V73=0,0,IF(V73&gt;0,IF($J73=12,V73,IF($J73=11,V73,IF($J73=10,V73,0)))))</f>
        <v>0</v>
      </c>
      <c r="V73" s="397">
        <f t="shared" si="601"/>
        <v>0</v>
      </c>
      <c r="W73" s="394">
        <f t="shared" ref="W73" si="711">IF(AA73=0,0,IF(AA73&gt;0,IF($J73=3,AA73,IF($J73=2,AA73,IF($J73=1,AA73,0)))))</f>
        <v>0</v>
      </c>
      <c r="X73" s="395">
        <f t="shared" ref="X73" si="712">IF(AA73=0,0,IF(AA73&gt;0,IF($J73=6,AA73,IF($J73=5,AA73,IF($J73=4,AA73,0)))))</f>
        <v>0</v>
      </c>
      <c r="Y73" s="395">
        <f t="shared" ref="Y73" si="713">IF(AA73=0,0,IF(AA73&gt;0,IF($J73=9,AA73,IF($J73=8,AA73,IF($J73=7,AA73,0)))))</f>
        <v>0</v>
      </c>
      <c r="Z73" s="396">
        <f t="shared" ref="Z73" si="714">IF(AA73=0,0,IF(AA73&gt;0,IF($J73=12,AA73,IF($J73=11,AA73,IF($J73=10,AA73,0)))))</f>
        <v>0</v>
      </c>
      <c r="AA73" s="397">
        <f t="shared" si="606"/>
        <v>0</v>
      </c>
      <c r="AB73" s="394">
        <f t="shared" ref="AB73" si="715">IF(AF73=0,0,IF(AF73&gt;0,IF($J73=3,AF73,IF($J73=2,AF73,IF($J73=1,AF73,0)))))</f>
        <v>0</v>
      </c>
      <c r="AC73" s="395">
        <f t="shared" ref="AC73" si="716">IF(AF73=0,0,IF(AF73&gt;0,IF($J73=6,AF73,IF($J73=5,AF73,IF($J73=4,AF73,0)))))</f>
        <v>0</v>
      </c>
      <c r="AD73" s="395">
        <f t="shared" ref="AD73" si="717">IF(AF73=0,0,IF(AF73&gt;0,IF($J73=9,AF73,IF($J73=8,AF73,IF($J73=7,AF73,0)))))</f>
        <v>0</v>
      </c>
      <c r="AE73" s="396">
        <f t="shared" ref="AE73" si="718">IF(AF73=0,0,IF(AF73&gt;0,IF($J73=12,AF73,IF($J73=11,AF73,IF($J73=10,AF73,0)))))</f>
        <v>0</v>
      </c>
      <c r="AF73" s="397">
        <f t="shared" si="611"/>
        <v>0</v>
      </c>
      <c r="AG73" s="394">
        <f t="shared" ref="AG73" si="719">IF(AK73=0,0,IF(AK73&gt;0,IF($J73=3,AK73,IF($J73=2,AK73,IF($J73=1,AK73,0)))))</f>
        <v>0</v>
      </c>
      <c r="AH73" s="395">
        <f t="shared" ref="AH73" si="720">IF(AK73=0,0,IF(AK73&gt;0,IF($J73=6,AK73,IF($J73=5,AK73,IF($J73=4,AK73,0)))))</f>
        <v>0</v>
      </c>
      <c r="AI73" s="395">
        <f t="shared" ref="AI73" si="721">IF(AK73=0,0,IF(AK73&gt;0,IF($J73=9,AK73,IF($J73=8,AK73,IF($J73=7,AK73,0)))))</f>
        <v>0</v>
      </c>
      <c r="AJ73" s="396">
        <f t="shared" ref="AJ73" si="722">IF(AK73=0,0,IF(AK73&gt;0,IF($J73=12,AK73,IF($J73=11,AK73,IF($J73=10,AK73,0)))))</f>
        <v>0</v>
      </c>
      <c r="AK73" s="397">
        <f t="shared" si="616"/>
        <v>0</v>
      </c>
      <c r="AL73" s="394">
        <f t="shared" ref="AL73" si="723">IF(AP73=0,0,IF(AP73&gt;0,IF($J73=3,AP73,IF($J73=2,AP73,IF($J73=1,AP73,0)))))</f>
        <v>0</v>
      </c>
      <c r="AM73" s="395">
        <f t="shared" ref="AM73" si="724">IF(AP73=0,0,IF(AP73&gt;0,IF($J73=6,AP73,IF($J73=5,AP73,IF($J73=4,AP73,0)))))</f>
        <v>0</v>
      </c>
      <c r="AN73" s="395">
        <f t="shared" ref="AN73" si="725">IF(AP73=0,0,IF(AP73&gt;0,IF($J73=9,AP73,IF($J73=8,AP73,IF($J73=7,AP73,0)))))</f>
        <v>0</v>
      </c>
      <c r="AO73" s="396">
        <f t="shared" ref="AO73" si="726">IF(AP73=0,0,IF(AP73&gt;0,IF($J73=12,AP73,IF($J73=11,AP73,IF($J73=10,AP73,0)))))</f>
        <v>0</v>
      </c>
      <c r="AP73" s="397">
        <f t="shared" si="621"/>
        <v>0</v>
      </c>
      <c r="AQ73" s="394">
        <f t="shared" ref="AQ73" si="727">IF(AU73=0,0,IF(AU73&gt;0,IF($J73=3,AU73,IF($J73=2,AU73,IF($J73=1,AU73,0)))))</f>
        <v>0</v>
      </c>
      <c r="AR73" s="395">
        <f t="shared" ref="AR73" si="728">IF(AU73=0,0,IF(AU73&gt;0,IF($J73=6,AU73,IF($J73=5,AU73,IF($J73=4,AU73,0)))))</f>
        <v>0</v>
      </c>
      <c r="AS73" s="395">
        <f t="shared" ref="AS73" si="729">IF(AU73=0,0,IF(AU73&gt;0,IF($J73=9,AU73,IF($J73=8,AU73,IF($J73=7,AU73,0)))))</f>
        <v>0</v>
      </c>
      <c r="AT73" s="396">
        <f t="shared" ref="AT73" si="730">IF(AU73=0,0,IF(AU73&gt;0,IF($J73=12,AU73,IF($J73=11,AU73,IF($J73=10,AU73,0)))))</f>
        <v>0</v>
      </c>
      <c r="AU73" s="397">
        <f t="shared" si="626"/>
        <v>0</v>
      </c>
      <c r="AV73" s="394">
        <f t="shared" ref="AV73" si="731">IF(AZ73=0,0,IF(AZ73&gt;0,IF($J73=3,AZ73,IF($J73=2,AZ73,IF($J73=1,AZ73,0)))))</f>
        <v>0</v>
      </c>
      <c r="AW73" s="395">
        <f t="shared" ref="AW73" si="732">IF(AZ73=0,0,IF(AZ73&gt;0,IF($J73=6,AZ73,IF($J73=5,AZ73,IF($J73=4,AZ73,0)))))</f>
        <v>0</v>
      </c>
      <c r="AX73" s="395">
        <f t="shared" ref="AX73" si="733">IF(AZ73=0,0,IF(AZ73&gt;0,IF($J73=9,AZ73,IF($J73=8,AZ73,IF($J73=7,AZ73,0)))))</f>
        <v>0</v>
      </c>
      <c r="AY73" s="396">
        <f t="shared" ref="AY73" si="734">IF(AZ73=0,0,IF(AZ73&gt;0,IF($J73=12,AZ73,IF($J73=11,AZ73,IF($J73=10,AZ73,0)))))</f>
        <v>0</v>
      </c>
      <c r="AZ73" s="397">
        <f t="shared" si="631"/>
        <v>0</v>
      </c>
      <c r="BA73" s="394">
        <f t="shared" ref="BA73" si="735">IF(BE73=0,0,IF(BE73&gt;0,IF($J73=3,BE73,IF($J73=2,BE73,IF($J73=1,BE73,0)))))</f>
        <v>0</v>
      </c>
      <c r="BB73" s="395">
        <f t="shared" ref="BB73" si="736">IF(BE73=0,0,IF(BE73&gt;0,IF($J73=6,BE73,IF($J73=5,BE73,IF($J73=4,BE73,0)))))</f>
        <v>0</v>
      </c>
      <c r="BC73" s="395">
        <f t="shared" ref="BC73" si="737">IF(BE73=0,0,IF(BE73&gt;0,IF($J73=9,BE73,IF($J73=8,BE73,IF($J73=7,BE73,0)))))</f>
        <v>0</v>
      </c>
      <c r="BD73" s="396">
        <f t="shared" ref="BD73" si="738">IF(BE73=0,0,IF(BE73&gt;0,IF($J73=12,BE73,IF($J73=11,BE73,IF($J73=10,BE73,0)))))</f>
        <v>0</v>
      </c>
      <c r="BE73" s="397">
        <f t="shared" si="636"/>
        <v>0</v>
      </c>
      <c r="BF73" s="394">
        <f t="shared" ref="BF73" si="739">IF(BJ73=0,0,IF(BJ73&gt;0,IF($J73=3,BJ73,IF($J73=2,BJ73,IF($J73=1,BJ73,0)))))</f>
        <v>0</v>
      </c>
      <c r="BG73" s="395">
        <f t="shared" ref="BG73" si="740">IF(BJ73=0,0,IF(BJ73&gt;0,IF($J73=6,BJ73,IF($J73=5,BJ73,IF($J73=4,BJ73,0)))))</f>
        <v>0</v>
      </c>
      <c r="BH73" s="395">
        <f t="shared" ref="BH73" si="741">IF(BJ73=0,0,IF(BJ73&gt;0,IF($J73=9,BJ73,IF($J73=8,BJ73,IF($J73=7,BJ73,0)))))</f>
        <v>0</v>
      </c>
      <c r="BI73" s="396">
        <f t="shared" ref="BI73" si="742">IF(BJ73=0,0,IF(BJ73&gt;0,IF($J73=12,BJ73,IF($J73=11,BJ73,IF($J73=10,BJ73,0)))))</f>
        <v>0</v>
      </c>
      <c r="BJ73" s="397">
        <f t="shared" si="641"/>
        <v>0</v>
      </c>
      <c r="BK73" s="394">
        <f t="shared" ref="BK73" si="743">IF(BO73=0,0,IF(BO73&gt;0,IF($J73=3,BO73,IF($J73=2,BO73,IF($J73=1,BO73,0)))))</f>
        <v>0</v>
      </c>
      <c r="BL73" s="395">
        <f t="shared" ref="BL73" si="744">IF(BO73=0,0,IF(BO73&gt;0,IF($J73=6,BO73,IF($J73=5,BO73,IF($J73=4,BO73,0)))))</f>
        <v>0</v>
      </c>
      <c r="BM73" s="395">
        <f t="shared" ref="BM73" si="745">IF(BO73=0,0,IF(BO73&gt;0,IF($J73=9,BO73,IF($J73=8,BO73,IF($J73=7,BO73,0)))))</f>
        <v>550</v>
      </c>
      <c r="BN73" s="396">
        <f t="shared" ref="BN73" si="746">IF(BO73=0,0,IF(BO73&gt;0,IF($J73=12,BO73,IF($J73=11,BO73,IF($J73=10,BO73,0)))))</f>
        <v>0</v>
      </c>
      <c r="BO73" s="397">
        <f t="shared" si="646"/>
        <v>550</v>
      </c>
      <c r="BP73" s="445"/>
      <c r="BQ73" s="399">
        <f t="shared" ref="BQ73" si="747">IF(AND(BP73&lt;&gt;0,BP$5=$H73),$I73*$E73-BP73,IF(BQ$5=$H73,$I73*$E73*(12-$J73+1)/12,0))</f>
        <v>0</v>
      </c>
      <c r="BR73" s="400">
        <f t="shared" ref="BR73" si="748">IF($H73&lt;&gt;BV$5,0,IF(BV73&gt;0,IF($J73=1,$E73*$I73/12*3,IF($J73=2,$E73*$I73/12*2,IF($J73=3,$E73*$I73/12*1,0)))))+IF(BQ$5&lt;&gt;$H73,0,IF(BQ73&gt;0,IF($J73=1,$E73*$I73/12*0,IF($J73=2,$E73*$I73/12*1,IF($J73=3,$E73*$I73/12*2,IF($J73&gt;=4,$E73*$I73/12*3,0))))))</f>
        <v>0</v>
      </c>
      <c r="BS73" s="401">
        <f t="shared" ref="BS73" si="749">IF($H73&lt;&gt;BV$5,0,IF(BV73&gt;0,IF(OR($J73=1,$J73=2,$J73=3,$J73=4),$E73*$I73/12*3,IF($J73=5,$E73*$I73/12*2,IF($J73=6,$E73*$I73/12*1,0)))))+IF(BQ$5&lt;&gt;$H73,0,IF(BQ73&gt;0,IF($J73=4,$E73*$I73/12*0,IF($J73=5,$E73*$I73/12*1,IF($J73=6,$E73*$I73/12*2,IF($J73&gt;=7,$E73*$I73/12*3,0))))))</f>
        <v>0</v>
      </c>
      <c r="BT73" s="401">
        <f t="shared" ref="BT73" si="750">IF($H73&lt;&gt;BV$5,0,IF(BV73&gt;0,IF(OR($J73=1,$J73=2,$J73=3,$J73=4,$J73=5,$J73=6,$J73=7),$E73*$I73/12*3,IF($J73=8,$E73*$I73/12*2,IF($J73=9,$E73*$I73/12*1,0)))))+IF(BQ$5&lt;&gt;$H73,0,IF(BQ73&gt;0,IF($J73=7,$E73*$I73/12*0,IF($J73=8,$E73*$I73/12*1,IF($J73=9,$E73*$I73/12*2,IF($J73&gt;=10,$E73*$I73/12*3,0))))))</f>
        <v>0</v>
      </c>
      <c r="BU73" s="402">
        <f t="shared" ref="BU73" si="751">IF($H73&lt;&gt;BV$5,0,IF(BV73&gt;0,IF(OR($J73=1,$J73=2,$J73=3,$J73=4,$J73=5,$J73=6,$J73=7,$J73=8,$J73=9,$J73=10),$E73*$I73/12*3,IF($J73=11,$E73*$I73/12*2,IF($J73=12,$E73*$I73/12*1,0)))))+IF(BQ$5&lt;&gt;$H73,0,IF(BQ73&gt;0,IF($J73=10,$E73*$I73/12*0,IF($J73=11,$E73*$I73/12*1,IF($J73=12,$E73*$I73/12*2,0)))))</f>
        <v>0</v>
      </c>
      <c r="BV73" s="403">
        <f t="shared" ref="BV73" si="752">IF(AND(BQ73&lt;&gt;0,BQ$5=$H73),$I73*$E73-BQ73,IF(BV$5=$H73,$I73*$E73*(12-$J73+1)/12,0))</f>
        <v>0</v>
      </c>
      <c r="BW73" s="400">
        <f t="shared" ref="BW73" si="753">IF($H73&lt;&gt;CA$5,0,IF(CA73&gt;0,IF($J73=1,$E73*$I73/12*3,IF($J73=2,$E73*$I73/12*2,IF($J73=3,$E73*$I73/12*1,0)))))+IF(BV$5&lt;&gt;$H73,0,IF(BV73&gt;0,IF($J73=1,$E73*$I73/12*0,IF($J73=2,$E73*$I73/12*1,IF($J73=3,$E73*$I73/12*2,IF($J73&gt;=4,$E73*$I73/12*3,0))))))</f>
        <v>0</v>
      </c>
      <c r="BX73" s="401">
        <f t="shared" ref="BX73" si="754">IF($H73&lt;&gt;CA$5,0,IF(CA73&gt;0,IF(OR($J73=1,$J73=2,$J73=3,$J73=4),$E73*$I73/12*3,IF($J73=5,$E73*$I73/12*2,IF($J73=6,$E73*$I73/12*1,0)))))+IF(BV$5&lt;&gt;$H73,0,IF(BV73&gt;0,IF($J73=4,$E73*$I73/12*0,IF($J73=5,$E73*$I73/12*1,IF($J73=6,$E73*$I73/12*2,IF($J73&gt;=7,$E73*$I73/12*3,0))))))</f>
        <v>0</v>
      </c>
      <c r="BY73" s="401">
        <f t="shared" ref="BY73" si="755">IF($H73&lt;&gt;CA$5,0,IF(CA73&gt;0,IF(OR($J73=1,$J73=2,$J73=3,$J73=4,$J73=5,$J73=6,$J73=7),$E73*$I73/12*3,IF($J73=8,$E73*$I73/12*2,IF($J73=9,$E73*$I73/12*1,0)))))+IF(BV$5&lt;&gt;$H73,0,IF(BV73&gt;0,IF($J73=7,$E73*$I73/12*0,IF($J73=8,$E73*$I73/12*1,IF($J73=9,$E73*$I73/12*2,IF($J73&gt;=10,$E73*$I73/12*3,0))))))</f>
        <v>0</v>
      </c>
      <c r="BZ73" s="402">
        <f t="shared" ref="BZ73" si="756">IF($H73&lt;&gt;CA$5,0,IF(CA73&gt;0,IF(OR($J73=1,$J73=2,$J73=3,$J73=4,$J73=5,$J73=6,$J73=7,$J73=8,$J73=9,$J73=10),$E73*$I73/12*3,IF($J73=11,$E73*$I73/12*2,IF($J73=12,$E73*$I73/12*1,0)))))+IF(BV$5&lt;&gt;$H73,0,IF(BV73&gt;0,IF($J73=10,$E73*$I73/12*0,IF($J73=11,$E73*$I73/12*1,IF($J73=12,$E73*$I73/12*2,0)))))</f>
        <v>0</v>
      </c>
      <c r="CA73" s="403">
        <f t="shared" ref="CA73" si="757">IF(AND(BV73&lt;&gt;0,BV$5=$H73),$I73*$E73-BV73,IF(CA$5=$H73,$I73*$E73*(12-$J73+1)/12,0))</f>
        <v>0</v>
      </c>
      <c r="CB73" s="400">
        <f t="shared" ref="CB73" si="758">IF($H73&lt;&gt;CF$5,0,IF(CF73&gt;0,IF($J73=1,$E73*$I73/12*3,IF($J73=2,$E73*$I73/12*2,IF($J73=3,$E73*$I73/12*1,0)))))+IF(CA$5&lt;&gt;$H73,0,IF(CA73&gt;0,IF($J73=1,$E73*$I73/12*0,IF($J73=2,$E73*$I73/12*1,IF($J73=3,$E73*$I73/12*2,IF($J73&gt;=4,$E73*$I73/12*3,0))))))</f>
        <v>0</v>
      </c>
      <c r="CC73" s="401">
        <f t="shared" ref="CC73" si="759">IF($H73&lt;&gt;CF$5,0,IF(CF73&gt;0,IF(OR($J73=1,$J73=2,$J73=3,$J73=4),$E73*$I73/12*3,IF($J73=5,$E73*$I73/12*2,IF($J73=6,$E73*$I73/12*1,0)))))+IF(CA$5&lt;&gt;$H73,0,IF(CA73&gt;0,IF($J73=4,$E73*$I73/12*0,IF($J73=5,$E73*$I73/12*1,IF($J73=6,$E73*$I73/12*2,IF($J73&gt;=7,$E73*$I73/12*3,0))))))</f>
        <v>0</v>
      </c>
      <c r="CD73" s="401">
        <f t="shared" ref="CD73" si="760">IF($H73&lt;&gt;CF$5,0,IF(CF73&gt;0,IF(OR($J73=1,$J73=2,$J73=3,$J73=4,$J73=5,$J73=6,$J73=7),$E73*$I73/12*3,IF($J73=8,$E73*$I73/12*2,IF($J73=9,$E73*$I73/12*1,0)))))+IF(CA$5&lt;&gt;$H73,0,IF(CA73&gt;0,IF($J73=7,$E73*$I73/12*0,IF($J73=8,$E73*$I73/12*1,IF($J73=9,$E73*$I73/12*2,IF($J73&gt;=10,$E73*$I73/12*3,0))))))</f>
        <v>0</v>
      </c>
      <c r="CE73" s="402">
        <f t="shared" ref="CE73" si="761">IF($H73&lt;&gt;CF$5,0,IF(CF73&gt;0,IF(OR($J73=1,$J73=2,$J73=3,$J73=4,$J73=5,$J73=6,$J73=7,$J73=8,$J73=9,$J73=10),$E73*$I73/12*3,IF($J73=11,$E73*$I73/12*2,IF($J73=12,$E73*$I73/12*1,0)))))+IF(CA$5&lt;&gt;$H73,0,IF(CA73&gt;0,IF($J73=10,$E73*$I73/12*0,IF($J73=11,$E73*$I73/12*1,IF($J73=12,$E73*$I73/12*2,0)))))</f>
        <v>0</v>
      </c>
      <c r="CF73" s="403">
        <f t="shared" ref="CF73" si="762">IF(AND(CA73&lt;&gt;0,CA$5=$H73),$I73*$E73-CA73,IF(CF$5=$H73,$I73*$E73*(12-$J73+1)/12,0))</f>
        <v>0</v>
      </c>
      <c r="CG73" s="400">
        <f t="shared" ref="CG73" si="763">IF($H73&lt;&gt;CK$5,0,IF(CK73&gt;0,IF($J73=1,$E73*$I73/12*3,IF($J73=2,$E73*$I73/12*2,IF($J73=3,$E73*$I73/12*1,0)))))+IF(CF$5&lt;&gt;$H73,0,IF(CF73&gt;0,IF($J73=1,$E73*$I73/12*0,IF($J73=2,$E73*$I73/12*1,IF($J73=3,$E73*$I73/12*2,IF($J73&gt;=4,$E73*$I73/12*3,0))))))</f>
        <v>0</v>
      </c>
      <c r="CH73" s="401">
        <f t="shared" ref="CH73" si="764">IF($H73&lt;&gt;CK$5,0,IF(CK73&gt;0,IF(OR($J73=1,$J73=2,$J73=3,$J73=4),$E73*$I73/12*3,IF($J73=5,$E73*$I73/12*2,IF($J73=6,$E73*$I73/12*1,0)))))+IF(CF$5&lt;&gt;$H73,0,IF(CF73&gt;0,IF($J73=4,$E73*$I73/12*0,IF($J73=5,$E73*$I73/12*1,IF($J73=6,$E73*$I73/12*2,IF($J73&gt;=7,$E73*$I73/12*3,0))))))</f>
        <v>0</v>
      </c>
      <c r="CI73" s="401">
        <f t="shared" ref="CI73" si="765">IF($H73&lt;&gt;CK$5,0,IF(CK73&gt;0,IF(OR($J73=1,$J73=2,$J73=3,$J73=4,$J73=5,$J73=6,$J73=7),$E73*$I73/12*3,IF($J73=8,$E73*$I73/12*2,IF($J73=9,$E73*$I73/12*1,0)))))+IF(CF$5&lt;&gt;$H73,0,IF(CF73&gt;0,IF($J73=7,$E73*$I73/12*0,IF($J73=8,$E73*$I73/12*1,IF($J73=9,$E73*$I73/12*2,IF($J73&gt;=10,$E73*$I73/12*3,0))))))</f>
        <v>0</v>
      </c>
      <c r="CJ73" s="402">
        <f t="shared" ref="CJ73" si="766">IF($H73&lt;&gt;CK$5,0,IF(CK73&gt;0,IF(OR($J73=1,$J73=2,$J73=3,$J73=4,$J73=5,$J73=6,$J73=7,$J73=8,$J73=9,$J73=10),$E73*$I73/12*3,IF($J73=11,$E73*$I73/12*2,IF($J73=12,$E73*$I73/12*1,0)))))+IF(CF$5&lt;&gt;$H73,0,IF(CF73&gt;0,IF($J73=10,$E73*$I73/12*0,IF($J73=11,$E73*$I73/12*1,IF($J73=12,$E73*$I73/12*2,0)))))</f>
        <v>0</v>
      </c>
      <c r="CK73" s="403">
        <f t="shared" ref="CK73" si="767">IF(AND(CF73&lt;&gt;0,CF$5=$H73),$I73*$E73-CF73,IF(CK$5=$H73,$I73*$E73*(12-$J73+1)/12,0))</f>
        <v>0</v>
      </c>
      <c r="CL73" s="400">
        <f t="shared" ref="CL73" si="768">IF($H73&lt;&gt;CP$5,0,IF(CP73&gt;0,IF($J73=1,$E73*$I73/12*3,IF($J73=2,$E73*$I73/12*2,IF($J73=3,$E73*$I73/12*1,0)))))+IF(CK$5&lt;&gt;$H73,0,IF(CK73&gt;0,IF($J73=1,$E73*$I73/12*0,IF($J73=2,$E73*$I73/12*1,IF($J73=3,$E73*$I73/12*2,IF($J73&gt;=4,$E73*$I73/12*3,0))))))</f>
        <v>0</v>
      </c>
      <c r="CM73" s="401">
        <f t="shared" ref="CM73" si="769">IF($H73&lt;&gt;CP$5,0,IF(CP73&gt;0,IF(OR($J73=1,$J73=2,$J73=3,$J73=4),$E73*$I73/12*3,IF($J73=5,$E73*$I73/12*2,IF($J73=6,$E73*$I73/12*1,0)))))+IF(CK$5&lt;&gt;$H73,0,IF(CK73&gt;0,IF($J73=4,$E73*$I73/12*0,IF($J73=5,$E73*$I73/12*1,IF($J73=6,$E73*$I73/12*2,IF($J73&gt;=7,$E73*$I73/12*3,0))))))</f>
        <v>0</v>
      </c>
      <c r="CN73" s="401">
        <f t="shared" ref="CN73" si="770">IF($H73&lt;&gt;CP$5,0,IF(CP73&gt;0,IF(OR($J73=1,$J73=2,$J73=3,$J73=4,$J73=5,$J73=6,$J73=7),$E73*$I73/12*3,IF($J73=8,$E73*$I73/12*2,IF($J73=9,$E73*$I73/12*1,0)))))+IF(CK$5&lt;&gt;$H73,0,IF(CK73&gt;0,IF($J73=7,$E73*$I73/12*0,IF($J73=8,$E73*$I73/12*1,IF($J73=9,$E73*$I73/12*2,IF($J73&gt;=10,$E73*$I73/12*3,0))))))</f>
        <v>0</v>
      </c>
      <c r="CO73" s="402">
        <f t="shared" ref="CO73" si="771">IF($H73&lt;&gt;CP$5,0,IF(CP73&gt;0,IF(OR($J73=1,$J73=2,$J73=3,$J73=4,$J73=5,$J73=6,$J73=7,$J73=8,$J73=9,$J73=10),$E73*$I73/12*3,IF($J73=11,$E73*$I73/12*2,IF($J73=12,$E73*$I73/12*1,0)))))+IF(CK$5&lt;&gt;$H73,0,IF(CK73&gt;0,IF($J73=10,$E73*$I73/12*0,IF($J73=11,$E73*$I73/12*1,IF($J73=12,$E73*$I73/12*2,0)))))</f>
        <v>0</v>
      </c>
      <c r="CP73" s="403">
        <f t="shared" ref="CP73" si="772">IF(AND(CK73&lt;&gt;0,CK$5=$H73),$I73*$E73-CK73,IF(CP$5=$H73,$I73*$E73*(12-$J73+1)/12,0))</f>
        <v>0</v>
      </c>
      <c r="CQ73" s="400">
        <f t="shared" ref="CQ73" si="773">IF($H73&lt;&gt;CU$5,0,IF(CU73&gt;0,IF($J73=1,$E73*$I73/12*3,IF($J73=2,$E73*$I73/12*2,IF($J73=3,$E73*$I73/12*1,0)))))+IF(CP$5&lt;&gt;$H73,0,IF(CP73&gt;0,IF($J73=1,$E73*$I73/12*0,IF($J73=2,$E73*$I73/12*1,IF($J73=3,$E73*$I73/12*2,IF($J73&gt;=4,$E73*$I73/12*3,0))))))</f>
        <v>0</v>
      </c>
      <c r="CR73" s="401">
        <f t="shared" ref="CR73" si="774">IF($H73&lt;&gt;CU$5,0,IF(CU73&gt;0,IF(OR($J73=1,$J73=2,$J73=3,$J73=4),$E73*$I73/12*3,IF($J73=5,$E73*$I73/12*2,IF($J73=6,$E73*$I73/12*1,0)))))+IF(CP$5&lt;&gt;$H73,0,IF(CP73&gt;0,IF($J73=4,$E73*$I73/12*0,IF($J73=5,$E73*$I73/12*1,IF($J73=6,$E73*$I73/12*2,IF($J73&gt;=7,$E73*$I73/12*3,0))))))</f>
        <v>0</v>
      </c>
      <c r="CS73" s="401">
        <f t="shared" ref="CS73" si="775">IF($H73&lt;&gt;CU$5,0,IF(CU73&gt;0,IF(OR($J73=1,$J73=2,$J73=3,$J73=4,$J73=5,$J73=6,$J73=7),$E73*$I73/12*3,IF($J73=8,$E73*$I73/12*2,IF($J73=9,$E73*$I73/12*1,0)))))+IF(CP$5&lt;&gt;$H73,0,IF(CP73&gt;0,IF($J73=7,$E73*$I73/12*0,IF($J73=8,$E73*$I73/12*1,IF($J73=9,$E73*$I73/12*2,IF($J73&gt;=10,$E73*$I73/12*3,0))))))</f>
        <v>0</v>
      </c>
      <c r="CT73" s="402">
        <f t="shared" ref="CT73" si="776">IF($H73&lt;&gt;CU$5,0,IF(CU73&gt;0,IF(OR($J73=1,$J73=2,$J73=3,$J73=4,$J73=5,$J73=6,$J73=7,$J73=8,$J73=9,$J73=10),$E73*$I73/12*3,IF($J73=11,$E73*$I73/12*2,IF($J73=12,$E73*$I73/12*1,0)))))+IF(CP$5&lt;&gt;$H73,0,IF(CP73&gt;0,IF($J73=10,$E73*$I73/12*0,IF($J73=11,$E73*$I73/12*1,IF($J73=12,$E73*$I73/12*2,0)))))</f>
        <v>0</v>
      </c>
      <c r="CU73" s="403">
        <f t="shared" ref="CU73" si="777">IF(AND(CP73&lt;&gt;0,CP$5=$H73),$I73*$E73-CP73,IF(CU$5=$H73,$I73*$E73*(12-$J73+1)/12,0))</f>
        <v>0</v>
      </c>
      <c r="CV73" s="400">
        <f t="shared" ref="CV73" si="778">IF($H73&lt;&gt;CZ$5,0,IF(CZ73&gt;0,IF($J73=1,$E73*$I73/12*3,IF($J73=2,$E73*$I73/12*2,IF($J73=3,$E73*$I73/12*1,0)))))+IF(CU$5&lt;&gt;$H73,0,IF(CU73&gt;0,IF($J73=1,$E73*$I73/12*0,IF($J73=2,$E73*$I73/12*1,IF($J73=3,$E73*$I73/12*2,IF($J73&gt;=4,$E73*$I73/12*3,0))))))</f>
        <v>0</v>
      </c>
      <c r="CW73" s="401">
        <f t="shared" ref="CW73" si="779">IF($H73&lt;&gt;CZ$5,0,IF(CZ73&gt;0,IF(OR($J73=1,$J73=2,$J73=3,$J73=4),$E73*$I73/12*3,IF($J73=5,$E73*$I73/12*2,IF($J73=6,$E73*$I73/12*1,0)))))+IF(CU$5&lt;&gt;$H73,0,IF(CU73&gt;0,IF($J73=4,$E73*$I73/12*0,IF($J73=5,$E73*$I73/12*1,IF($J73=6,$E73*$I73/12*2,IF($J73&gt;=7,$E73*$I73/12*3,0))))))</f>
        <v>0</v>
      </c>
      <c r="CX73" s="401">
        <f t="shared" ref="CX73" si="780">IF($H73&lt;&gt;CZ$5,0,IF(CZ73&gt;0,IF(OR($J73=1,$J73=2,$J73=3,$J73=4,$J73=5,$J73=6,$J73=7),$E73*$I73/12*3,IF($J73=8,$E73*$I73/12*2,IF($J73=9,$E73*$I73/12*1,0)))))+IF(CU$5&lt;&gt;$H73,0,IF(CU73&gt;0,IF($J73=7,$E73*$I73/12*0,IF($J73=8,$E73*$I73/12*1,IF($J73=9,$E73*$I73/12*2,IF($J73&gt;=10,$E73*$I73/12*3,0))))))</f>
        <v>0</v>
      </c>
      <c r="CY73" s="402">
        <f t="shared" ref="CY73" si="781">IF($H73&lt;&gt;CZ$5,0,IF(CZ73&gt;0,IF(OR($J73=1,$J73=2,$J73=3,$J73=4,$J73=5,$J73=6,$J73=7,$J73=8,$J73=9,$J73=10),$E73*$I73/12*3,IF($J73=11,$E73*$I73/12*2,IF($J73=12,$E73*$I73/12*1,0)))))+IF(CU$5&lt;&gt;$H73,0,IF(CU73&gt;0,IF($J73=10,$E73*$I73/12*0,IF($J73=11,$E73*$I73/12*1,IF($J73=12,$E73*$I73/12*2,0)))))</f>
        <v>0</v>
      </c>
      <c r="CZ73" s="403">
        <f t="shared" ref="CZ73" si="782">IF(AND(CU73&lt;&gt;0,CU$5=$H73),$I73*$E73-CU73,IF(CZ$5=$H73,$I73*$E73*(12-$J73+1)/12,0))</f>
        <v>0</v>
      </c>
      <c r="DA73" s="400">
        <f t="shared" ref="DA73" si="783">IF($H73&lt;&gt;DE$5,0,IF(DE73&gt;0,IF($J73=1,$E73*$I73/12*3,IF($J73=2,$E73*$I73/12*2,IF($J73=3,$E73*$I73/12*1,0)))))+IF(CZ$5&lt;&gt;$H73,0,IF(CZ73&gt;0,IF($J73=1,$E73*$I73/12*0,IF($J73=2,$E73*$I73/12*1,IF($J73=3,$E73*$I73/12*2,IF($J73&gt;=4,$E73*$I73/12*3,0))))))</f>
        <v>0</v>
      </c>
      <c r="DB73" s="401">
        <f t="shared" ref="DB73" si="784">IF($H73&lt;&gt;DE$5,0,IF(DE73&gt;0,IF(OR($J73=1,$J73=2,$J73=3,$J73=4),$E73*$I73/12*3,IF($J73=5,$E73*$I73/12*2,IF($J73=6,$E73*$I73/12*1,0)))))+IF(CZ$5&lt;&gt;$H73,0,IF(CZ73&gt;0,IF($J73=4,$E73*$I73/12*0,IF($J73=5,$E73*$I73/12*1,IF($J73=6,$E73*$I73/12*2,IF($J73&gt;=7,$E73*$I73/12*3,0))))))</f>
        <v>0</v>
      </c>
      <c r="DC73" s="401">
        <f t="shared" ref="DC73" si="785">IF($H73&lt;&gt;DE$5,0,IF(DE73&gt;0,IF(OR($J73=1,$J73=2,$J73=3,$J73=4,$J73=5,$J73=6,$J73=7),$E73*$I73/12*3,IF($J73=8,$E73*$I73/12*2,IF($J73=9,$E73*$I73/12*1,0)))))+IF(CZ$5&lt;&gt;$H73,0,IF(CZ73&gt;0,IF($J73=7,$E73*$I73/12*0,IF($J73=8,$E73*$I73/12*1,IF($J73=9,$E73*$I73/12*2,IF($J73&gt;=10,$E73*$I73/12*3,0))))))</f>
        <v>0</v>
      </c>
      <c r="DD73" s="402">
        <f t="shared" ref="DD73" si="786">IF($H73&lt;&gt;DE$5,0,IF(DE73&gt;0,IF(OR($J73=1,$J73=2,$J73=3,$J73=4,$J73=5,$J73=6,$J73=7,$J73=8,$J73=9,$J73=10),$E73*$I73/12*3,IF($J73=11,$E73*$I73/12*2,IF($J73=12,$E73*$I73/12*1,0)))))+IF(CZ$5&lt;&gt;$H73,0,IF(CZ73&gt;0,IF($J73=10,$E73*$I73/12*0,IF($J73=11,$E73*$I73/12*1,IF($J73=12,$E73*$I73/12*2,0)))))</f>
        <v>0</v>
      </c>
      <c r="DE73" s="403">
        <f t="shared" ref="DE73" si="787">IF(AND(CZ73&lt;&gt;0,CZ$5=$H73),$I73*$E73-CZ73,IF(DE$5=$H73,$I73*$E73*(12-$J73+1)/12,0))</f>
        <v>0</v>
      </c>
      <c r="DF73" s="400">
        <f t="shared" ref="DF73" si="788">IF($H73&lt;&gt;DJ$5,0,IF(DJ73&gt;0,IF($J73=1,$E73*$I73/12*3,IF($J73=2,$E73*$I73/12*2,IF($J73=3,$E73*$I73/12*1,0)))))+IF(DE$5&lt;&gt;$H73,0,IF(DE73&gt;0,IF($J73=1,$E73*$I73/12*0,IF($J73=2,$E73*$I73/12*1,IF($J73=3,$E73*$I73/12*2,IF($J73&gt;=4,$E73*$I73/12*3,0))))))</f>
        <v>0</v>
      </c>
      <c r="DG73" s="401">
        <f t="shared" ref="DG73" si="789">IF($H73&lt;&gt;DJ$5,0,IF(DJ73&gt;0,IF(OR($J73=1,$J73=2,$J73=3,$J73=4),$E73*$I73/12*3,IF($J73=5,$E73*$I73/12*2,IF($J73=6,$E73*$I73/12*1,0)))))+IF(DE$5&lt;&gt;$H73,0,IF(DE73&gt;0,IF($J73=4,$E73*$I73/12*0,IF($J73=5,$E73*$I73/12*1,IF($J73=6,$E73*$I73/12*2,IF($J73&gt;=7,$E73*$I73/12*3,0))))))</f>
        <v>0</v>
      </c>
      <c r="DH73" s="401">
        <f t="shared" ref="DH73" si="790">IF($H73&lt;&gt;DJ$5,0,IF(DJ73&gt;0,IF(OR($J73=1,$J73=2,$J73=3,$J73=4,$J73=5,$J73=6,$J73=7),$E73*$I73/12*3,IF($J73=8,$E73*$I73/12*2,IF($J73=9,$E73*$I73/12*1,0)))))+IF(DE$5&lt;&gt;$H73,0,IF(DE73&gt;0,IF($J73=7,$E73*$I73/12*0,IF($J73=8,$E73*$I73/12*1,IF($J73=9,$E73*$I73/12*2,IF($J73&gt;=10,$E73*$I73/12*3,0))))))</f>
        <v>0</v>
      </c>
      <c r="DI73" s="402">
        <f t="shared" ref="DI73" si="791">IF($H73&lt;&gt;DJ$5,0,IF(DJ73&gt;0,IF(OR($J73=1,$J73=2,$J73=3,$J73=4,$J73=5,$J73=6,$J73=7,$J73=8,$J73=9,$J73=10),$E73*$I73/12*3,IF($J73=11,$E73*$I73/12*2,IF($J73=12,$E73*$I73/12*1,0)))))+IF(DE$5&lt;&gt;$H73,0,IF(DE73&gt;0,IF($J73=10,$E73*$I73/12*0,IF($J73=11,$E73*$I73/12*1,IF($J73=12,$E73*$I73/12*2,0)))))</f>
        <v>0</v>
      </c>
      <c r="DJ73" s="403">
        <f t="shared" ref="DJ73" si="792">IF(AND(DE73&lt;&gt;0,DE$5=$H73),$I73*$E73-DE73,IF(DJ$5=$H73,$I73*$E73*(12-$J73+1)/12,0))</f>
        <v>0</v>
      </c>
      <c r="DK73" s="400">
        <f t="shared" ref="DK73" si="793">IF($H73&lt;&gt;DO$5,0,IF(DO73&gt;0,IF($J73=1,$E73*$I73/12*3,IF($J73=2,$E73*$I73/12*2,IF($J73=3,$E73*$I73/12*1,0)))))+IF(DJ$5&lt;&gt;$H73,0,IF(DJ73&gt;0,IF($J73=1,$E73*$I73/12*0,IF($J73=2,$E73*$I73/12*1,IF($J73=3,$E73*$I73/12*2,IF($J73&gt;=4,$E73*$I73/12*3,0))))))</f>
        <v>0</v>
      </c>
      <c r="DL73" s="401">
        <f t="shared" ref="DL73" si="794">IF($H73&lt;&gt;DO$5,0,IF(DO73&gt;0,IF(OR($J73=1,$J73=2,$J73=3,$J73=4),$E73*$I73/12*3,IF($J73=5,$E73*$I73/12*2,IF($J73=6,$E73*$I73/12*1,0)))))+IF(DJ$5&lt;&gt;$H73,0,IF(DJ73&gt;0,IF($J73=4,$E73*$I73/12*0,IF($J73=5,$E73*$I73/12*1,IF($J73=6,$E73*$I73/12*2,IF($J73&gt;=7,$E73*$I73/12*3,0))))))</f>
        <v>0</v>
      </c>
      <c r="DM73" s="401">
        <f t="shared" ref="DM73" si="795">IF($H73&lt;&gt;DO$5,0,IF(DO73&gt;0,IF(OR($J73=1,$J73=2,$J73=3,$J73=4,$J73=5,$J73=6,$J73=7),$E73*$I73/12*3,IF($J73=8,$E73*$I73/12*2,IF($J73=9,$E73*$I73/12*1,0)))))+IF(DJ$5&lt;&gt;$H73,0,IF(DJ73&gt;0,IF($J73=7,$E73*$I73/12*0,IF($J73=8,$E73*$I73/12*1,IF($J73=9,$E73*$I73/12*2,IF($J73&gt;=10,$E73*$I73/12*3,0))))))</f>
        <v>0</v>
      </c>
      <c r="DN73" s="402">
        <f t="shared" ref="DN73" si="796">IF($H73&lt;&gt;DO$5,0,IF(DO73&gt;0,IF(OR($J73=1,$J73=2,$J73=3,$J73=4,$J73=5,$J73=6,$J73=7,$J73=8,$J73=9,$J73=10),$E73*$I73/12*3,IF($J73=11,$E73*$I73/12*2,IF($J73=12,$E73*$I73/12*1,0)))))+IF(DJ$5&lt;&gt;$H73,0,IF(DJ73&gt;0,IF($J73=10,$E73*$I73/12*0,IF($J73=11,$E73*$I73/12*1,IF($J73=12,$E73*$I73/12*2,0)))))</f>
        <v>0</v>
      </c>
      <c r="DO73" s="403">
        <f t="shared" ref="DO73" si="797">IF(AND(DJ73&lt;&gt;0,DJ$5=$H73),$I73*$E73-DJ73,IF(DO$5=$H73,$I73*$E73*(12-$J73+1)/12,0))</f>
        <v>0</v>
      </c>
      <c r="DP73" s="400">
        <f t="shared" ref="DP73" si="798">IF($H73&lt;&gt;DT$5,0,IF(DT73&gt;0,IF($J73=1,$E73*$I73/12*3,IF($J73=2,$E73*$I73/12*2,IF($J73=3,$E73*$I73/12*1,0)))))+IF(DO$5&lt;&gt;$H73,0,IF(DO73&gt;0,IF($J73=1,$E73*$I73/12*0,IF($J73=2,$E73*$I73/12*1,IF($J73=3,$E73*$I73/12*2,IF($J73&gt;=4,$E73*$I73/12*3,0))))))</f>
        <v>0</v>
      </c>
      <c r="DQ73" s="401">
        <f t="shared" ref="DQ73" si="799">IF($H73&lt;&gt;DT$5,0,IF(DT73&gt;0,IF(OR($J73=1,$J73=2,$J73=3,$J73=4),$E73*$I73/12*3,IF($J73=5,$E73*$I73/12*2,IF($J73=6,$E73*$I73/12*1,0)))))+IF(DO$5&lt;&gt;$H73,0,IF(DO73&gt;0,IF($J73=4,$E73*$I73/12*0,IF($J73=5,$E73*$I73/12*1,IF($J73=6,$E73*$I73/12*2,IF($J73&gt;=7,$E73*$I73/12*3,0))))))</f>
        <v>0</v>
      </c>
      <c r="DR73" s="401">
        <f t="shared" ref="DR73" si="800">IF($H73&lt;&gt;DT$5,0,IF(DT73&gt;0,IF(OR($J73=1,$J73=2,$J73=3,$J73=4,$J73=5,$J73=6,$J73=7),$E73*$I73/12*3,IF($J73=8,$E73*$I73/12*2,IF($J73=9,$E73*$I73/12*1,0)))))+IF(DO$5&lt;&gt;$H73,0,IF(DO73&gt;0,IF($J73=7,$E73*$I73/12*0,IF($J73=8,$E73*$I73/12*1,IF($J73=9,$E73*$I73/12*2,IF($J73&gt;=10,$E73*$I73/12*3,0))))))</f>
        <v>6.1875</v>
      </c>
      <c r="DS73" s="402">
        <f t="shared" ref="DS73" si="801">IF($H73&lt;&gt;DT$5,0,IF(DT73&gt;0,IF(OR($J73=1,$J73=2,$J73=3,$J73=4,$J73=5,$J73=6,$J73=7,$J73=8,$J73=9,$J73=10),$E73*$I73/12*3,IF($J73=11,$E73*$I73/12*2,IF($J73=12,$E73*$I73/12*1,0)))))+IF(DO$5&lt;&gt;$H73,0,IF(DO73&gt;0,IF($J73=10,$E73*$I73/12*0,IF($J73=11,$E73*$I73/12*1,IF($J73=12,$E73*$I73/12*2,0)))))</f>
        <v>6.1875</v>
      </c>
      <c r="DT73" s="403">
        <f t="shared" ref="DT73" si="802">IF(AND(DO73&lt;&gt;0,DO$5=$H73),$I73*$E73-DO73,IF(DT$5=$H73,$I73*$E73*(12-$J73+1)/12,0))</f>
        <v>12.375</v>
      </c>
    </row>
    <row r="74" spans="1:124" ht="12.75" customHeight="1" x14ac:dyDescent="0.2">
      <c r="C74" s="471"/>
      <c r="D74" s="472"/>
      <c r="E74" s="533"/>
      <c r="F74" s="538"/>
      <c r="G74" s="538"/>
      <c r="H74" s="578"/>
      <c r="I74" s="588"/>
      <c r="J74" s="500"/>
      <c r="K74" s="475"/>
      <c r="L74" s="476"/>
      <c r="M74" s="477"/>
      <c r="N74" s="478"/>
      <c r="O74" s="478"/>
      <c r="P74" s="479"/>
      <c r="Q74" s="476"/>
      <c r="R74" s="477"/>
      <c r="S74" s="478"/>
      <c r="T74" s="478"/>
      <c r="U74" s="479"/>
      <c r="V74" s="476"/>
      <c r="W74" s="477"/>
      <c r="X74" s="478"/>
      <c r="Y74" s="478"/>
      <c r="Z74" s="479"/>
      <c r="AA74" s="476"/>
      <c r="AB74" s="477"/>
      <c r="AC74" s="478"/>
      <c r="AD74" s="478"/>
      <c r="AE74" s="479"/>
      <c r="AF74" s="476"/>
      <c r="AG74" s="477"/>
      <c r="AH74" s="478"/>
      <c r="AI74" s="478"/>
      <c r="AJ74" s="479"/>
      <c r="AK74" s="476"/>
      <c r="AL74" s="477"/>
      <c r="AM74" s="478"/>
      <c r="AN74" s="478"/>
      <c r="AO74" s="479"/>
      <c r="AP74" s="476"/>
      <c r="AQ74" s="477"/>
      <c r="AR74" s="478"/>
      <c r="AS74" s="478"/>
      <c r="AT74" s="479"/>
      <c r="AU74" s="476"/>
      <c r="AV74" s="477"/>
      <c r="AW74" s="478"/>
      <c r="AX74" s="478"/>
      <c r="AY74" s="479"/>
      <c r="AZ74" s="476"/>
      <c r="BA74" s="477"/>
      <c r="BB74" s="478"/>
      <c r="BC74" s="478"/>
      <c r="BD74" s="479"/>
      <c r="BE74" s="476"/>
      <c r="BF74" s="477"/>
      <c r="BG74" s="478"/>
      <c r="BH74" s="478"/>
      <c r="BI74" s="479"/>
      <c r="BJ74" s="476"/>
      <c r="BK74" s="477"/>
      <c r="BL74" s="478"/>
      <c r="BM74" s="478"/>
      <c r="BN74" s="479"/>
      <c r="BO74" s="476"/>
      <c r="BP74" s="480"/>
      <c r="BQ74" s="417"/>
      <c r="BR74" s="418"/>
      <c r="BS74" s="419"/>
      <c r="BT74" s="419"/>
      <c r="BU74" s="420"/>
      <c r="BV74" s="417"/>
      <c r="BW74" s="418"/>
      <c r="BX74" s="419"/>
      <c r="BY74" s="419"/>
      <c r="BZ74" s="420"/>
      <c r="CA74" s="417"/>
      <c r="CB74" s="418"/>
      <c r="CC74" s="419"/>
      <c r="CD74" s="419"/>
      <c r="CE74" s="420"/>
      <c r="CF74" s="417"/>
      <c r="CG74" s="418"/>
      <c r="CH74" s="419"/>
      <c r="CI74" s="419"/>
      <c r="CJ74" s="420"/>
      <c r="CK74" s="417"/>
      <c r="CL74" s="418"/>
      <c r="CM74" s="419"/>
      <c r="CN74" s="419"/>
      <c r="CO74" s="420"/>
      <c r="CP74" s="417"/>
      <c r="CQ74" s="418"/>
      <c r="CR74" s="419"/>
      <c r="CS74" s="419"/>
      <c r="CT74" s="420"/>
      <c r="CU74" s="417"/>
      <c r="CV74" s="418"/>
      <c r="CW74" s="419"/>
      <c r="CX74" s="419"/>
      <c r="CY74" s="420"/>
      <c r="CZ74" s="417"/>
      <c r="DA74" s="418"/>
      <c r="DB74" s="419"/>
      <c r="DC74" s="419"/>
      <c r="DD74" s="420"/>
      <c r="DE74" s="417"/>
      <c r="DF74" s="418"/>
      <c r="DG74" s="419"/>
      <c r="DH74" s="419"/>
      <c r="DI74" s="420"/>
      <c r="DJ74" s="417"/>
      <c r="DK74" s="418"/>
      <c r="DL74" s="419"/>
      <c r="DM74" s="419"/>
      <c r="DN74" s="420"/>
      <c r="DO74" s="417"/>
      <c r="DP74" s="418"/>
      <c r="DQ74" s="419"/>
      <c r="DR74" s="419"/>
      <c r="DS74" s="420"/>
      <c r="DT74" s="417"/>
    </row>
    <row r="75" spans="1:124" ht="12.75" customHeight="1" x14ac:dyDescent="0.2">
      <c r="A75" s="26"/>
      <c r="B75" s="26"/>
      <c r="C75" s="141" t="s">
        <v>170</v>
      </c>
      <c r="D75" s="26"/>
      <c r="E75" s="535">
        <f>SUM(E69:E74)</f>
        <v>2200</v>
      </c>
      <c r="F75" s="705"/>
      <c r="G75" s="705"/>
      <c r="H75" s="579"/>
      <c r="I75" s="422"/>
      <c r="J75" s="501"/>
      <c r="K75" s="462">
        <f t="shared" ref="K75:AP75" si="803">SUM(K69:K74)</f>
        <v>0</v>
      </c>
      <c r="L75" s="424">
        <f t="shared" si="803"/>
        <v>0</v>
      </c>
      <c r="M75" s="425">
        <f t="shared" si="803"/>
        <v>0</v>
      </c>
      <c r="N75" s="426">
        <f t="shared" si="803"/>
        <v>0</v>
      </c>
      <c r="O75" s="426">
        <f t="shared" si="803"/>
        <v>0</v>
      </c>
      <c r="P75" s="427">
        <f t="shared" si="803"/>
        <v>0</v>
      </c>
      <c r="Q75" s="424">
        <f t="shared" si="803"/>
        <v>0</v>
      </c>
      <c r="R75" s="425">
        <f t="shared" si="803"/>
        <v>0</v>
      </c>
      <c r="S75" s="426">
        <f t="shared" si="803"/>
        <v>0</v>
      </c>
      <c r="T75" s="426">
        <f t="shared" si="803"/>
        <v>0</v>
      </c>
      <c r="U75" s="427">
        <f t="shared" si="803"/>
        <v>0</v>
      </c>
      <c r="V75" s="424">
        <f t="shared" si="803"/>
        <v>0</v>
      </c>
      <c r="W75" s="425">
        <f t="shared" si="803"/>
        <v>0</v>
      </c>
      <c r="X75" s="426">
        <f t="shared" si="803"/>
        <v>0</v>
      </c>
      <c r="Y75" s="426">
        <f t="shared" si="803"/>
        <v>0</v>
      </c>
      <c r="Z75" s="427">
        <f t="shared" si="803"/>
        <v>0</v>
      </c>
      <c r="AA75" s="424">
        <f t="shared" si="803"/>
        <v>0</v>
      </c>
      <c r="AB75" s="425">
        <f t="shared" si="803"/>
        <v>0</v>
      </c>
      <c r="AC75" s="426">
        <f t="shared" si="803"/>
        <v>0</v>
      </c>
      <c r="AD75" s="426">
        <f t="shared" si="803"/>
        <v>0</v>
      </c>
      <c r="AE75" s="427">
        <f t="shared" si="803"/>
        <v>0</v>
      </c>
      <c r="AF75" s="424">
        <f t="shared" si="803"/>
        <v>0</v>
      </c>
      <c r="AG75" s="425">
        <f t="shared" si="803"/>
        <v>0</v>
      </c>
      <c r="AH75" s="426">
        <f t="shared" si="803"/>
        <v>0</v>
      </c>
      <c r="AI75" s="426">
        <f t="shared" si="803"/>
        <v>0</v>
      </c>
      <c r="AJ75" s="427">
        <f t="shared" si="803"/>
        <v>0</v>
      </c>
      <c r="AK75" s="424">
        <f t="shared" si="803"/>
        <v>0</v>
      </c>
      <c r="AL75" s="425">
        <f t="shared" si="803"/>
        <v>0</v>
      </c>
      <c r="AM75" s="426">
        <f t="shared" si="803"/>
        <v>0</v>
      </c>
      <c r="AN75" s="426">
        <f t="shared" si="803"/>
        <v>0</v>
      </c>
      <c r="AO75" s="427">
        <f t="shared" si="803"/>
        <v>0</v>
      </c>
      <c r="AP75" s="424">
        <f t="shared" si="803"/>
        <v>0</v>
      </c>
      <c r="AQ75" s="425">
        <f t="shared" ref="AQ75:BJ75" si="804">SUM(AQ69:AQ74)</f>
        <v>0</v>
      </c>
      <c r="AR75" s="426">
        <f t="shared" si="804"/>
        <v>0</v>
      </c>
      <c r="AS75" s="426">
        <f t="shared" si="804"/>
        <v>600</v>
      </c>
      <c r="AT75" s="427">
        <f t="shared" si="804"/>
        <v>0</v>
      </c>
      <c r="AU75" s="424">
        <f t="shared" si="804"/>
        <v>600</v>
      </c>
      <c r="AV75" s="425">
        <f t="shared" si="804"/>
        <v>300</v>
      </c>
      <c r="AW75" s="426">
        <f t="shared" si="804"/>
        <v>0</v>
      </c>
      <c r="AX75" s="426">
        <f t="shared" si="804"/>
        <v>0</v>
      </c>
      <c r="AY75" s="427">
        <f t="shared" si="804"/>
        <v>0</v>
      </c>
      <c r="AZ75" s="424">
        <f t="shared" si="804"/>
        <v>300</v>
      </c>
      <c r="BA75" s="425">
        <f t="shared" si="804"/>
        <v>0</v>
      </c>
      <c r="BB75" s="426">
        <f t="shared" si="804"/>
        <v>0</v>
      </c>
      <c r="BC75" s="426">
        <f t="shared" si="804"/>
        <v>200</v>
      </c>
      <c r="BD75" s="427">
        <f t="shared" si="804"/>
        <v>0</v>
      </c>
      <c r="BE75" s="424">
        <f t="shared" si="804"/>
        <v>200</v>
      </c>
      <c r="BF75" s="425">
        <f t="shared" si="804"/>
        <v>0</v>
      </c>
      <c r="BG75" s="426">
        <f t="shared" si="804"/>
        <v>0</v>
      </c>
      <c r="BH75" s="426">
        <f t="shared" si="804"/>
        <v>550</v>
      </c>
      <c r="BI75" s="427">
        <f t="shared" si="804"/>
        <v>0</v>
      </c>
      <c r="BJ75" s="424">
        <f t="shared" si="804"/>
        <v>550</v>
      </c>
      <c r="BK75" s="425">
        <f t="shared" ref="BK75:BO75" si="805">SUM(BK69:BK74)</f>
        <v>0</v>
      </c>
      <c r="BL75" s="426">
        <f t="shared" si="805"/>
        <v>0</v>
      </c>
      <c r="BM75" s="426">
        <f t="shared" si="805"/>
        <v>550</v>
      </c>
      <c r="BN75" s="427">
        <f t="shared" si="805"/>
        <v>0</v>
      </c>
      <c r="BO75" s="424">
        <f t="shared" si="805"/>
        <v>550</v>
      </c>
      <c r="BP75" s="481"/>
      <c r="BQ75" s="429">
        <f t="shared" ref="BQ75:CV75" si="806">SUM(BQ69:BQ74)</f>
        <v>0</v>
      </c>
      <c r="BR75" s="430">
        <f t="shared" si="806"/>
        <v>0</v>
      </c>
      <c r="BS75" s="431">
        <f t="shared" si="806"/>
        <v>0</v>
      </c>
      <c r="BT75" s="431">
        <f t="shared" si="806"/>
        <v>0</v>
      </c>
      <c r="BU75" s="432">
        <f t="shared" si="806"/>
        <v>0</v>
      </c>
      <c r="BV75" s="429">
        <f t="shared" si="806"/>
        <v>0</v>
      </c>
      <c r="BW75" s="430">
        <f t="shared" si="806"/>
        <v>0</v>
      </c>
      <c r="BX75" s="431">
        <f t="shared" si="806"/>
        <v>0</v>
      </c>
      <c r="BY75" s="431">
        <f t="shared" si="806"/>
        <v>0</v>
      </c>
      <c r="BZ75" s="432">
        <f t="shared" si="806"/>
        <v>0</v>
      </c>
      <c r="CA75" s="429">
        <f t="shared" si="806"/>
        <v>0</v>
      </c>
      <c r="CB75" s="430">
        <f t="shared" si="806"/>
        <v>0</v>
      </c>
      <c r="CC75" s="431">
        <f t="shared" si="806"/>
        <v>0</v>
      </c>
      <c r="CD75" s="431">
        <f t="shared" si="806"/>
        <v>0</v>
      </c>
      <c r="CE75" s="432">
        <f t="shared" si="806"/>
        <v>0</v>
      </c>
      <c r="CF75" s="429">
        <f t="shared" si="806"/>
        <v>0</v>
      </c>
      <c r="CG75" s="430">
        <f t="shared" si="806"/>
        <v>0</v>
      </c>
      <c r="CH75" s="431">
        <f t="shared" si="806"/>
        <v>0</v>
      </c>
      <c r="CI75" s="431">
        <f t="shared" si="806"/>
        <v>0</v>
      </c>
      <c r="CJ75" s="432">
        <f t="shared" si="806"/>
        <v>0</v>
      </c>
      <c r="CK75" s="429">
        <f t="shared" si="806"/>
        <v>0</v>
      </c>
      <c r="CL75" s="430">
        <f t="shared" si="806"/>
        <v>0</v>
      </c>
      <c r="CM75" s="431">
        <f t="shared" si="806"/>
        <v>0</v>
      </c>
      <c r="CN75" s="431">
        <f t="shared" si="806"/>
        <v>0</v>
      </c>
      <c r="CO75" s="432">
        <f t="shared" si="806"/>
        <v>0</v>
      </c>
      <c r="CP75" s="429">
        <f t="shared" si="806"/>
        <v>0</v>
      </c>
      <c r="CQ75" s="430">
        <f t="shared" si="806"/>
        <v>0</v>
      </c>
      <c r="CR75" s="431">
        <f t="shared" si="806"/>
        <v>0</v>
      </c>
      <c r="CS75" s="431">
        <f t="shared" si="806"/>
        <v>0</v>
      </c>
      <c r="CT75" s="432">
        <f t="shared" si="806"/>
        <v>0</v>
      </c>
      <c r="CU75" s="429">
        <f t="shared" si="806"/>
        <v>0</v>
      </c>
      <c r="CV75" s="430">
        <f t="shared" si="806"/>
        <v>0</v>
      </c>
      <c r="CW75" s="431">
        <f t="shared" ref="CW75:DO75" si="807">SUM(CW69:CW74)</f>
        <v>0</v>
      </c>
      <c r="CX75" s="431">
        <f t="shared" si="807"/>
        <v>1.7999999999999998</v>
      </c>
      <c r="CY75" s="432">
        <f t="shared" si="807"/>
        <v>5.3999999999999995</v>
      </c>
      <c r="CZ75" s="429">
        <f t="shared" si="807"/>
        <v>7.1999999999999993</v>
      </c>
      <c r="DA75" s="430">
        <f t="shared" si="807"/>
        <v>8.3999999999999986</v>
      </c>
      <c r="DB75" s="431">
        <f t="shared" si="807"/>
        <v>8.3999999999999986</v>
      </c>
      <c r="DC75" s="431">
        <f t="shared" si="807"/>
        <v>6.6</v>
      </c>
      <c r="DD75" s="432">
        <f t="shared" si="807"/>
        <v>3</v>
      </c>
      <c r="DE75" s="429">
        <f t="shared" si="807"/>
        <v>26.4</v>
      </c>
      <c r="DF75" s="430">
        <f t="shared" si="807"/>
        <v>0</v>
      </c>
      <c r="DG75" s="431">
        <f t="shared" si="807"/>
        <v>0</v>
      </c>
      <c r="DH75" s="431">
        <f t="shared" si="807"/>
        <v>2.25</v>
      </c>
      <c r="DI75" s="432">
        <f t="shared" si="807"/>
        <v>2.25</v>
      </c>
      <c r="DJ75" s="429">
        <f t="shared" si="807"/>
        <v>4.5</v>
      </c>
      <c r="DK75" s="430">
        <f t="shared" si="807"/>
        <v>2.25</v>
      </c>
      <c r="DL75" s="431">
        <f t="shared" si="807"/>
        <v>2.25</v>
      </c>
      <c r="DM75" s="431">
        <f t="shared" si="807"/>
        <v>6.1875</v>
      </c>
      <c r="DN75" s="432">
        <f t="shared" si="807"/>
        <v>6.1875</v>
      </c>
      <c r="DO75" s="429">
        <f t="shared" si="807"/>
        <v>16.875</v>
      </c>
      <c r="DP75" s="430">
        <f t="shared" ref="DP75:DT75" si="808">SUM(DP69:DP74)</f>
        <v>6.1875</v>
      </c>
      <c r="DQ75" s="431">
        <f t="shared" si="808"/>
        <v>6.1875</v>
      </c>
      <c r="DR75" s="431">
        <f t="shared" si="808"/>
        <v>6.1875</v>
      </c>
      <c r="DS75" s="432">
        <f t="shared" si="808"/>
        <v>6.1875</v>
      </c>
      <c r="DT75" s="429">
        <f t="shared" si="808"/>
        <v>24.75</v>
      </c>
    </row>
    <row r="76" spans="1:124" ht="12.75" customHeight="1" x14ac:dyDescent="0.2">
      <c r="C76" s="26"/>
      <c r="D76" s="26"/>
      <c r="E76" s="530"/>
      <c r="F76" s="537"/>
      <c r="G76" s="537"/>
      <c r="H76" s="580"/>
      <c r="I76" s="390"/>
      <c r="J76" s="499"/>
      <c r="K76" s="392"/>
      <c r="L76" s="393"/>
      <c r="M76" s="394"/>
      <c r="N76" s="395"/>
      <c r="O76" s="395"/>
      <c r="P76" s="396"/>
      <c r="Q76" s="397"/>
      <c r="R76" s="394"/>
      <c r="S76" s="395"/>
      <c r="T76" s="395"/>
      <c r="U76" s="396"/>
      <c r="V76" s="397"/>
      <c r="W76" s="394"/>
      <c r="X76" s="395"/>
      <c r="Y76" s="395"/>
      <c r="Z76" s="396"/>
      <c r="AA76" s="397"/>
      <c r="AB76" s="394"/>
      <c r="AC76" s="395"/>
      <c r="AD76" s="395"/>
      <c r="AE76" s="396"/>
      <c r="AF76" s="397"/>
      <c r="AG76" s="394"/>
      <c r="AH76" s="395"/>
      <c r="AI76" s="395"/>
      <c r="AJ76" s="396"/>
      <c r="AK76" s="397"/>
      <c r="AL76" s="394"/>
      <c r="AM76" s="395"/>
      <c r="AN76" s="395"/>
      <c r="AO76" s="396"/>
      <c r="AP76" s="397"/>
      <c r="AQ76" s="394"/>
      <c r="AR76" s="395"/>
      <c r="AS76" s="395"/>
      <c r="AT76" s="396"/>
      <c r="AU76" s="397"/>
      <c r="AV76" s="394"/>
      <c r="AW76" s="395"/>
      <c r="AX76" s="395"/>
      <c r="AY76" s="396"/>
      <c r="AZ76" s="397"/>
      <c r="BA76" s="394"/>
      <c r="BB76" s="395"/>
      <c r="BC76" s="395"/>
      <c r="BD76" s="396"/>
      <c r="BE76" s="397"/>
      <c r="BF76" s="394"/>
      <c r="BG76" s="395"/>
      <c r="BH76" s="395"/>
      <c r="BI76" s="396"/>
      <c r="BJ76" s="397"/>
      <c r="BK76" s="394"/>
      <c r="BL76" s="395"/>
      <c r="BM76" s="395"/>
      <c r="BN76" s="396"/>
      <c r="BO76" s="397"/>
      <c r="BP76" s="445"/>
      <c r="BQ76" s="399"/>
      <c r="BR76" s="400"/>
      <c r="BS76" s="401"/>
      <c r="BT76" s="401"/>
      <c r="BU76" s="402"/>
      <c r="BV76" s="403"/>
      <c r="BW76" s="400"/>
      <c r="BX76" s="401"/>
      <c r="BY76" s="401"/>
      <c r="BZ76" s="402"/>
      <c r="CA76" s="403"/>
      <c r="CB76" s="400"/>
      <c r="CC76" s="401"/>
      <c r="CD76" s="401"/>
      <c r="CE76" s="402"/>
      <c r="CF76" s="403"/>
      <c r="CG76" s="400"/>
      <c r="CH76" s="401"/>
      <c r="CI76" s="401"/>
      <c r="CJ76" s="402"/>
      <c r="CK76" s="403"/>
      <c r="CL76" s="400"/>
      <c r="CM76" s="401"/>
      <c r="CN76" s="401"/>
      <c r="CO76" s="402"/>
      <c r="CP76" s="403"/>
      <c r="CQ76" s="400"/>
      <c r="CR76" s="401"/>
      <c r="CS76" s="401"/>
      <c r="CT76" s="402"/>
      <c r="CU76" s="403"/>
      <c r="CV76" s="400"/>
      <c r="CW76" s="401"/>
      <c r="CX76" s="401"/>
      <c r="CY76" s="402"/>
      <c r="CZ76" s="403"/>
      <c r="DA76" s="400"/>
      <c r="DB76" s="401"/>
      <c r="DC76" s="401"/>
      <c r="DD76" s="402"/>
      <c r="DE76" s="403"/>
      <c r="DF76" s="400"/>
      <c r="DG76" s="401"/>
      <c r="DH76" s="401"/>
      <c r="DI76" s="402"/>
      <c r="DJ76" s="403"/>
      <c r="DK76" s="400"/>
      <c r="DL76" s="401"/>
      <c r="DM76" s="401"/>
      <c r="DN76" s="402"/>
      <c r="DO76" s="403"/>
      <c r="DP76" s="400"/>
      <c r="DQ76" s="401"/>
      <c r="DR76" s="401"/>
      <c r="DS76" s="402"/>
      <c r="DT76" s="403"/>
    </row>
    <row r="77" spans="1:124" ht="12.75" customHeight="1" x14ac:dyDescent="0.2">
      <c r="C77" s="26" t="s">
        <v>334</v>
      </c>
      <c r="D77" s="26"/>
      <c r="E77" s="535"/>
      <c r="F77" s="705"/>
      <c r="G77" s="705"/>
      <c r="H77" s="579"/>
      <c r="I77" s="422"/>
      <c r="J77" s="501"/>
      <c r="K77" s="462"/>
      <c r="L77" s="424">
        <f t="shared" ref="L77:AQ77" si="809">+L66+L75</f>
        <v>0</v>
      </c>
      <c r="M77" s="425">
        <f t="shared" si="809"/>
        <v>0</v>
      </c>
      <c r="N77" s="426">
        <f t="shared" si="809"/>
        <v>0</v>
      </c>
      <c r="O77" s="426">
        <f t="shared" si="809"/>
        <v>0</v>
      </c>
      <c r="P77" s="427">
        <f t="shared" si="809"/>
        <v>0</v>
      </c>
      <c r="Q77" s="424">
        <f t="shared" si="809"/>
        <v>0</v>
      </c>
      <c r="R77" s="425">
        <f t="shared" si="809"/>
        <v>0</v>
      </c>
      <c r="S77" s="426">
        <f t="shared" si="809"/>
        <v>0</v>
      </c>
      <c r="T77" s="426">
        <f t="shared" si="809"/>
        <v>0</v>
      </c>
      <c r="U77" s="427">
        <f t="shared" si="809"/>
        <v>0</v>
      </c>
      <c r="V77" s="424">
        <f t="shared" si="809"/>
        <v>0</v>
      </c>
      <c r="W77" s="425">
        <f t="shared" si="809"/>
        <v>0</v>
      </c>
      <c r="X77" s="426">
        <f t="shared" si="809"/>
        <v>0</v>
      </c>
      <c r="Y77" s="426">
        <f t="shared" si="809"/>
        <v>0</v>
      </c>
      <c r="Z77" s="427">
        <f t="shared" si="809"/>
        <v>0</v>
      </c>
      <c r="AA77" s="424">
        <f t="shared" si="809"/>
        <v>0</v>
      </c>
      <c r="AB77" s="425">
        <f t="shared" si="809"/>
        <v>0</v>
      </c>
      <c r="AC77" s="426">
        <f t="shared" si="809"/>
        <v>0</v>
      </c>
      <c r="AD77" s="426">
        <f t="shared" si="809"/>
        <v>0</v>
      </c>
      <c r="AE77" s="427">
        <f t="shared" si="809"/>
        <v>0</v>
      </c>
      <c r="AF77" s="424">
        <f t="shared" si="809"/>
        <v>0</v>
      </c>
      <c r="AG77" s="425">
        <f t="shared" si="809"/>
        <v>0</v>
      </c>
      <c r="AH77" s="426">
        <f t="shared" si="809"/>
        <v>0</v>
      </c>
      <c r="AI77" s="426">
        <f t="shared" si="809"/>
        <v>0</v>
      </c>
      <c r="AJ77" s="427">
        <f t="shared" si="809"/>
        <v>0</v>
      </c>
      <c r="AK77" s="424">
        <f t="shared" si="809"/>
        <v>0</v>
      </c>
      <c r="AL77" s="425">
        <f t="shared" si="809"/>
        <v>0</v>
      </c>
      <c r="AM77" s="426">
        <f t="shared" si="809"/>
        <v>0</v>
      </c>
      <c r="AN77" s="426">
        <f t="shared" si="809"/>
        <v>0</v>
      </c>
      <c r="AO77" s="427">
        <f t="shared" si="809"/>
        <v>0</v>
      </c>
      <c r="AP77" s="424">
        <f t="shared" si="809"/>
        <v>0</v>
      </c>
      <c r="AQ77" s="425">
        <f t="shared" si="809"/>
        <v>0</v>
      </c>
      <c r="AR77" s="426">
        <f t="shared" ref="AR77:BJ77" si="810">+AR66+AR75</f>
        <v>0</v>
      </c>
      <c r="AS77" s="426">
        <f t="shared" si="810"/>
        <v>100</v>
      </c>
      <c r="AT77" s="427">
        <f t="shared" si="810"/>
        <v>0</v>
      </c>
      <c r="AU77" s="424">
        <f t="shared" si="810"/>
        <v>100</v>
      </c>
      <c r="AV77" s="425">
        <f t="shared" si="810"/>
        <v>300</v>
      </c>
      <c r="AW77" s="426">
        <f t="shared" si="810"/>
        <v>0</v>
      </c>
      <c r="AX77" s="426">
        <f t="shared" si="810"/>
        <v>0</v>
      </c>
      <c r="AY77" s="427">
        <f t="shared" si="810"/>
        <v>0</v>
      </c>
      <c r="AZ77" s="424">
        <f t="shared" si="810"/>
        <v>300</v>
      </c>
      <c r="BA77" s="425">
        <f t="shared" si="810"/>
        <v>0</v>
      </c>
      <c r="BB77" s="426">
        <f t="shared" si="810"/>
        <v>0</v>
      </c>
      <c r="BC77" s="426">
        <f t="shared" si="810"/>
        <v>200</v>
      </c>
      <c r="BD77" s="427">
        <f t="shared" si="810"/>
        <v>0</v>
      </c>
      <c r="BE77" s="424">
        <f t="shared" si="810"/>
        <v>200</v>
      </c>
      <c r="BF77" s="425">
        <f t="shared" si="810"/>
        <v>0</v>
      </c>
      <c r="BG77" s="426">
        <f t="shared" si="810"/>
        <v>0</v>
      </c>
      <c r="BH77" s="426">
        <f t="shared" si="810"/>
        <v>250</v>
      </c>
      <c r="BI77" s="427">
        <f t="shared" si="810"/>
        <v>0</v>
      </c>
      <c r="BJ77" s="424">
        <f t="shared" si="810"/>
        <v>250</v>
      </c>
      <c r="BK77" s="425">
        <f t="shared" ref="BK77:BO77" si="811">+BK66+BK75</f>
        <v>0</v>
      </c>
      <c r="BL77" s="426">
        <f t="shared" si="811"/>
        <v>0</v>
      </c>
      <c r="BM77" s="426">
        <f t="shared" si="811"/>
        <v>550</v>
      </c>
      <c r="BN77" s="427">
        <f t="shared" si="811"/>
        <v>0</v>
      </c>
      <c r="BO77" s="424">
        <f t="shared" si="811"/>
        <v>550</v>
      </c>
      <c r="BP77" s="481"/>
      <c r="BQ77" s="429">
        <f t="shared" ref="BQ77:CV77" si="812">+BQ66+BQ75</f>
        <v>0</v>
      </c>
      <c r="BR77" s="430">
        <f t="shared" si="812"/>
        <v>0</v>
      </c>
      <c r="BS77" s="431">
        <f t="shared" si="812"/>
        <v>0</v>
      </c>
      <c r="BT77" s="431">
        <f t="shared" si="812"/>
        <v>0</v>
      </c>
      <c r="BU77" s="432">
        <f t="shared" si="812"/>
        <v>0</v>
      </c>
      <c r="BV77" s="429">
        <f t="shared" si="812"/>
        <v>0</v>
      </c>
      <c r="BW77" s="430">
        <f t="shared" si="812"/>
        <v>0</v>
      </c>
      <c r="BX77" s="431">
        <f t="shared" si="812"/>
        <v>0</v>
      </c>
      <c r="BY77" s="431">
        <f t="shared" si="812"/>
        <v>0</v>
      </c>
      <c r="BZ77" s="432">
        <f t="shared" si="812"/>
        <v>0</v>
      </c>
      <c r="CA77" s="429">
        <f t="shared" si="812"/>
        <v>0</v>
      </c>
      <c r="CB77" s="430">
        <f t="shared" si="812"/>
        <v>0</v>
      </c>
      <c r="CC77" s="431">
        <f t="shared" si="812"/>
        <v>0</v>
      </c>
      <c r="CD77" s="431">
        <f t="shared" si="812"/>
        <v>0</v>
      </c>
      <c r="CE77" s="432">
        <f t="shared" si="812"/>
        <v>0</v>
      </c>
      <c r="CF77" s="429">
        <f t="shared" si="812"/>
        <v>0</v>
      </c>
      <c r="CG77" s="430">
        <f t="shared" si="812"/>
        <v>0</v>
      </c>
      <c r="CH77" s="431">
        <f t="shared" si="812"/>
        <v>0</v>
      </c>
      <c r="CI77" s="431">
        <f t="shared" si="812"/>
        <v>0</v>
      </c>
      <c r="CJ77" s="432">
        <f t="shared" si="812"/>
        <v>0</v>
      </c>
      <c r="CK77" s="429">
        <f t="shared" si="812"/>
        <v>0</v>
      </c>
      <c r="CL77" s="430">
        <f t="shared" si="812"/>
        <v>0</v>
      </c>
      <c r="CM77" s="431">
        <f t="shared" si="812"/>
        <v>0</v>
      </c>
      <c r="CN77" s="431">
        <f t="shared" si="812"/>
        <v>0</v>
      </c>
      <c r="CO77" s="432">
        <f t="shared" si="812"/>
        <v>0</v>
      </c>
      <c r="CP77" s="429">
        <f t="shared" si="812"/>
        <v>0</v>
      </c>
      <c r="CQ77" s="430">
        <f t="shared" si="812"/>
        <v>0</v>
      </c>
      <c r="CR77" s="431">
        <f t="shared" si="812"/>
        <v>0</v>
      </c>
      <c r="CS77" s="431">
        <f t="shared" si="812"/>
        <v>0</v>
      </c>
      <c r="CT77" s="432">
        <f t="shared" si="812"/>
        <v>0</v>
      </c>
      <c r="CU77" s="429">
        <f t="shared" si="812"/>
        <v>0</v>
      </c>
      <c r="CV77" s="430">
        <f t="shared" si="812"/>
        <v>0</v>
      </c>
      <c r="CW77" s="431">
        <f t="shared" ref="CW77:DO77" si="813">+CW66+CW75</f>
        <v>0</v>
      </c>
      <c r="CX77" s="431">
        <f t="shared" si="813"/>
        <v>-0.38750000000000018</v>
      </c>
      <c r="CY77" s="432">
        <f t="shared" si="813"/>
        <v>-1.1625000000000005</v>
      </c>
      <c r="CZ77" s="429">
        <f t="shared" si="813"/>
        <v>-1.5500000000000007</v>
      </c>
      <c r="DA77" s="430">
        <f t="shared" si="813"/>
        <v>1.8374999999999986</v>
      </c>
      <c r="DB77" s="431">
        <f t="shared" si="813"/>
        <v>1.8374999999999986</v>
      </c>
      <c r="DC77" s="431">
        <f t="shared" si="813"/>
        <v>2.2249999999999996</v>
      </c>
      <c r="DD77" s="432">
        <f t="shared" si="813"/>
        <v>3</v>
      </c>
      <c r="DE77" s="429">
        <f t="shared" si="813"/>
        <v>8.8999999999999986</v>
      </c>
      <c r="DF77" s="430">
        <f t="shared" si="813"/>
        <v>0</v>
      </c>
      <c r="DG77" s="431">
        <f t="shared" si="813"/>
        <v>0</v>
      </c>
      <c r="DH77" s="431">
        <f t="shared" si="813"/>
        <v>2.25</v>
      </c>
      <c r="DI77" s="432">
        <f t="shared" si="813"/>
        <v>2.25</v>
      </c>
      <c r="DJ77" s="429">
        <f t="shared" si="813"/>
        <v>4.5</v>
      </c>
      <c r="DK77" s="430">
        <f t="shared" si="813"/>
        <v>2.25</v>
      </c>
      <c r="DL77" s="431">
        <f t="shared" si="813"/>
        <v>2.25</v>
      </c>
      <c r="DM77" s="431">
        <f t="shared" si="813"/>
        <v>5.0875000000000004</v>
      </c>
      <c r="DN77" s="432">
        <f t="shared" si="813"/>
        <v>4.5374999999999996</v>
      </c>
      <c r="DO77" s="429">
        <f t="shared" si="813"/>
        <v>14.125</v>
      </c>
      <c r="DP77" s="430">
        <f t="shared" ref="DP77:DT77" si="814">+DP66+DP75</f>
        <v>4.5374999999999996</v>
      </c>
      <c r="DQ77" s="431">
        <f t="shared" si="814"/>
        <v>4.5374999999999996</v>
      </c>
      <c r="DR77" s="431">
        <f t="shared" si="814"/>
        <v>5.6375000000000002</v>
      </c>
      <c r="DS77" s="432">
        <f t="shared" si="814"/>
        <v>6.1875</v>
      </c>
      <c r="DT77" s="429">
        <f t="shared" si="814"/>
        <v>20.9</v>
      </c>
    </row>
    <row r="78" spans="1:124" ht="12.75" customHeight="1" x14ac:dyDescent="0.2">
      <c r="C78" s="26"/>
      <c r="D78" s="26"/>
      <c r="E78" s="535"/>
      <c r="F78" s="705"/>
      <c r="G78" s="705"/>
      <c r="H78" s="579"/>
      <c r="I78" s="422"/>
      <c r="J78" s="501"/>
      <c r="K78" s="462"/>
      <c r="L78" s="482"/>
      <c r="M78" s="425"/>
      <c r="N78" s="433"/>
      <c r="O78" s="433"/>
      <c r="P78" s="427"/>
      <c r="Q78" s="424"/>
      <c r="R78" s="425"/>
      <c r="S78" s="433"/>
      <c r="T78" s="433"/>
      <c r="U78" s="427"/>
      <c r="V78" s="424"/>
      <c r="W78" s="425"/>
      <c r="X78" s="433"/>
      <c r="Y78" s="433"/>
      <c r="Z78" s="427"/>
      <c r="AA78" s="424"/>
      <c r="AB78" s="425"/>
      <c r="AC78" s="433"/>
      <c r="AD78" s="433"/>
      <c r="AE78" s="427"/>
      <c r="AF78" s="424"/>
      <c r="AG78" s="425"/>
      <c r="AH78" s="433"/>
      <c r="AI78" s="433"/>
      <c r="AJ78" s="427"/>
      <c r="AK78" s="424"/>
      <c r="AL78" s="425"/>
      <c r="AM78" s="433"/>
      <c r="AN78" s="433"/>
      <c r="AO78" s="427"/>
      <c r="AP78" s="424"/>
      <c r="AQ78" s="425"/>
      <c r="AR78" s="433"/>
      <c r="AS78" s="433"/>
      <c r="AT78" s="427"/>
      <c r="AU78" s="424"/>
      <c r="AV78" s="425"/>
      <c r="AW78" s="433"/>
      <c r="AX78" s="433"/>
      <c r="AY78" s="427"/>
      <c r="AZ78" s="424"/>
      <c r="BA78" s="425"/>
      <c r="BB78" s="433"/>
      <c r="BC78" s="433"/>
      <c r="BD78" s="427"/>
      <c r="BE78" s="424"/>
      <c r="BF78" s="425"/>
      <c r="BG78" s="433"/>
      <c r="BH78" s="433"/>
      <c r="BI78" s="427"/>
      <c r="BJ78" s="424"/>
      <c r="BK78" s="425"/>
      <c r="BL78" s="433"/>
      <c r="BM78" s="433"/>
      <c r="BN78" s="427"/>
      <c r="BO78" s="424"/>
      <c r="BP78" s="481"/>
      <c r="BQ78" s="434"/>
      <c r="BR78" s="430"/>
      <c r="BS78" s="435"/>
      <c r="BT78" s="435"/>
      <c r="BU78" s="432"/>
      <c r="BV78" s="429"/>
      <c r="BW78" s="430"/>
      <c r="BX78" s="435"/>
      <c r="BY78" s="435"/>
      <c r="BZ78" s="432"/>
      <c r="CA78" s="429"/>
      <c r="CB78" s="430"/>
      <c r="CC78" s="435"/>
      <c r="CD78" s="435"/>
      <c r="CE78" s="432"/>
      <c r="CF78" s="429"/>
      <c r="CG78" s="430"/>
      <c r="CH78" s="435"/>
      <c r="CI78" s="435"/>
      <c r="CJ78" s="432"/>
      <c r="CK78" s="429"/>
      <c r="CL78" s="430"/>
      <c r="CM78" s="435"/>
      <c r="CN78" s="435"/>
      <c r="CO78" s="432"/>
      <c r="CP78" s="429"/>
      <c r="CQ78" s="430"/>
      <c r="CR78" s="435"/>
      <c r="CS78" s="435"/>
      <c r="CT78" s="432"/>
      <c r="CU78" s="429"/>
      <c r="CV78" s="430"/>
      <c r="CW78" s="435"/>
      <c r="CX78" s="435"/>
      <c r="CY78" s="432"/>
      <c r="CZ78" s="429"/>
      <c r="DA78" s="430"/>
      <c r="DB78" s="435"/>
      <c r="DC78" s="435"/>
      <c r="DD78" s="432"/>
      <c r="DE78" s="429"/>
      <c r="DF78" s="430"/>
      <c r="DG78" s="435"/>
      <c r="DH78" s="435"/>
      <c r="DI78" s="432"/>
      <c r="DJ78" s="429"/>
      <c r="DK78" s="430"/>
      <c r="DL78" s="435"/>
      <c r="DM78" s="435"/>
      <c r="DN78" s="432"/>
      <c r="DO78" s="429"/>
      <c r="DP78" s="430"/>
      <c r="DQ78" s="435"/>
      <c r="DR78" s="435"/>
      <c r="DS78" s="432"/>
      <c r="DT78" s="429"/>
    </row>
    <row r="79" spans="1:124" ht="13.5" thickBot="1" x14ac:dyDescent="0.25">
      <c r="B79" s="377"/>
      <c r="C79" s="436"/>
      <c r="D79" s="436"/>
      <c r="E79" s="539"/>
      <c r="F79" s="540"/>
      <c r="G79" s="540"/>
      <c r="H79" s="581"/>
      <c r="I79" s="438"/>
      <c r="J79" s="502"/>
      <c r="K79" s="483"/>
      <c r="L79" s="440"/>
      <c r="M79" s="484"/>
      <c r="N79" s="485"/>
      <c r="O79" s="485"/>
      <c r="P79" s="486"/>
      <c r="Q79" s="440"/>
      <c r="R79" s="484"/>
      <c r="S79" s="485"/>
      <c r="T79" s="485"/>
      <c r="U79" s="486"/>
      <c r="V79" s="440"/>
      <c r="W79" s="484"/>
      <c r="X79" s="485"/>
      <c r="Y79" s="485"/>
      <c r="Z79" s="486"/>
      <c r="AA79" s="440"/>
      <c r="AB79" s="484"/>
      <c r="AC79" s="485"/>
      <c r="AD79" s="485"/>
      <c r="AE79" s="486"/>
      <c r="AF79" s="440"/>
      <c r="AG79" s="484"/>
      <c r="AH79" s="485"/>
      <c r="AI79" s="485"/>
      <c r="AJ79" s="486"/>
      <c r="AK79" s="440"/>
      <c r="AL79" s="484"/>
      <c r="AM79" s="485"/>
      <c r="AN79" s="485"/>
      <c r="AO79" s="486"/>
      <c r="AP79" s="440"/>
      <c r="AQ79" s="484"/>
      <c r="AR79" s="485"/>
      <c r="AS79" s="485"/>
      <c r="AT79" s="486"/>
      <c r="AU79" s="440"/>
      <c r="AV79" s="484"/>
      <c r="AW79" s="485"/>
      <c r="AX79" s="485"/>
      <c r="AY79" s="486"/>
      <c r="AZ79" s="440"/>
      <c r="BA79" s="484"/>
      <c r="BB79" s="485"/>
      <c r="BC79" s="485"/>
      <c r="BD79" s="486"/>
      <c r="BE79" s="440"/>
      <c r="BF79" s="484"/>
      <c r="BG79" s="485"/>
      <c r="BH79" s="485"/>
      <c r="BI79" s="486"/>
      <c r="BJ79" s="440"/>
      <c r="BK79" s="484"/>
      <c r="BL79" s="485"/>
      <c r="BM79" s="485"/>
      <c r="BN79" s="486"/>
      <c r="BO79" s="440"/>
      <c r="BP79" s="487"/>
      <c r="BQ79" s="442"/>
      <c r="BR79" s="488"/>
      <c r="BS79" s="489"/>
      <c r="BT79" s="489"/>
      <c r="BU79" s="490"/>
      <c r="BV79" s="442"/>
      <c r="BW79" s="488"/>
      <c r="BX79" s="489"/>
      <c r="BY79" s="489"/>
      <c r="BZ79" s="490"/>
      <c r="CA79" s="442"/>
      <c r="CB79" s="488"/>
      <c r="CC79" s="489"/>
      <c r="CD79" s="489"/>
      <c r="CE79" s="490"/>
      <c r="CF79" s="442"/>
      <c r="CG79" s="488"/>
      <c r="CH79" s="489"/>
      <c r="CI79" s="489"/>
      <c r="CJ79" s="490"/>
      <c r="CK79" s="442"/>
      <c r="CL79" s="488"/>
      <c r="CM79" s="489"/>
      <c r="CN79" s="489"/>
      <c r="CO79" s="490"/>
      <c r="CP79" s="442"/>
      <c r="CQ79" s="488"/>
      <c r="CR79" s="489"/>
      <c r="CS79" s="489"/>
      <c r="CT79" s="490"/>
      <c r="CU79" s="442"/>
      <c r="CV79" s="488"/>
      <c r="CW79" s="489"/>
      <c r="CX79" s="489"/>
      <c r="CY79" s="490"/>
      <c r="CZ79" s="442"/>
      <c r="DA79" s="488"/>
      <c r="DB79" s="489"/>
      <c r="DC79" s="489"/>
      <c r="DD79" s="490"/>
      <c r="DE79" s="442"/>
      <c r="DF79" s="488"/>
      <c r="DG79" s="489"/>
      <c r="DH79" s="489"/>
      <c r="DI79" s="490"/>
      <c r="DJ79" s="442"/>
      <c r="DK79" s="488"/>
      <c r="DL79" s="489"/>
      <c r="DM79" s="489"/>
      <c r="DN79" s="490"/>
      <c r="DO79" s="442"/>
      <c r="DP79" s="488"/>
      <c r="DQ79" s="489"/>
      <c r="DR79" s="489"/>
      <c r="DS79" s="490"/>
      <c r="DT79" s="442"/>
    </row>
    <row r="80" spans="1:124" ht="13.5" customHeight="1" x14ac:dyDescent="0.2">
      <c r="B80" s="16" t="s">
        <v>335</v>
      </c>
      <c r="C80" s="16"/>
      <c r="D80" s="17"/>
      <c r="E80" s="530"/>
      <c r="F80" s="537"/>
      <c r="G80" s="537"/>
      <c r="H80" s="580"/>
      <c r="I80" s="390"/>
      <c r="J80" s="499"/>
      <c r="K80" s="392"/>
      <c r="L80" s="393"/>
      <c r="M80" s="394"/>
      <c r="N80" s="395"/>
      <c r="O80" s="395"/>
      <c r="P80" s="396"/>
      <c r="Q80" s="397"/>
      <c r="R80" s="394"/>
      <c r="S80" s="395"/>
      <c r="T80" s="395"/>
      <c r="U80" s="396"/>
      <c r="V80" s="397"/>
      <c r="W80" s="394"/>
      <c r="X80" s="395"/>
      <c r="Y80" s="395"/>
      <c r="Z80" s="396"/>
      <c r="AA80" s="397"/>
      <c r="AB80" s="394"/>
      <c r="AC80" s="395"/>
      <c r="AD80" s="395"/>
      <c r="AE80" s="396"/>
      <c r="AF80" s="397"/>
      <c r="AG80" s="394"/>
      <c r="AH80" s="395"/>
      <c r="AI80" s="395"/>
      <c r="AJ80" s="396"/>
      <c r="AK80" s="397"/>
      <c r="AL80" s="394"/>
      <c r="AM80" s="395"/>
      <c r="AN80" s="395"/>
      <c r="AO80" s="396"/>
      <c r="AP80" s="397"/>
      <c r="AQ80" s="394"/>
      <c r="AR80" s="395"/>
      <c r="AS80" s="395"/>
      <c r="AT80" s="396"/>
      <c r="AU80" s="397"/>
      <c r="AV80" s="394"/>
      <c r="AW80" s="395"/>
      <c r="AX80" s="395"/>
      <c r="AY80" s="396"/>
      <c r="AZ80" s="397"/>
      <c r="BA80" s="394"/>
      <c r="BB80" s="395"/>
      <c r="BC80" s="395"/>
      <c r="BD80" s="396"/>
      <c r="BE80" s="397"/>
      <c r="BF80" s="394"/>
      <c r="BG80" s="395"/>
      <c r="BH80" s="395"/>
      <c r="BI80" s="396"/>
      <c r="BJ80" s="397"/>
      <c r="BK80" s="394"/>
      <c r="BL80" s="395"/>
      <c r="BM80" s="395"/>
      <c r="BN80" s="396"/>
      <c r="BO80" s="397"/>
      <c r="BP80" s="445"/>
      <c r="BQ80" s="399"/>
      <c r="BR80" s="400"/>
      <c r="BS80" s="401"/>
      <c r="BT80" s="401"/>
      <c r="BU80" s="402"/>
      <c r="BV80" s="403"/>
      <c r="BW80" s="400"/>
      <c r="BX80" s="401"/>
      <c r="BY80" s="401"/>
      <c r="BZ80" s="402"/>
      <c r="CA80" s="403"/>
      <c r="CB80" s="400"/>
      <c r="CC80" s="401"/>
      <c r="CD80" s="401"/>
      <c r="CE80" s="402"/>
      <c r="CF80" s="403"/>
      <c r="CG80" s="400"/>
      <c r="CH80" s="401"/>
      <c r="CI80" s="401"/>
      <c r="CJ80" s="402"/>
      <c r="CK80" s="403"/>
      <c r="CL80" s="400"/>
      <c r="CM80" s="401"/>
      <c r="CN80" s="401"/>
      <c r="CO80" s="402"/>
      <c r="CP80" s="403"/>
      <c r="CQ80" s="400"/>
      <c r="CR80" s="401"/>
      <c r="CS80" s="401"/>
      <c r="CT80" s="402"/>
      <c r="CU80" s="403"/>
      <c r="CV80" s="400"/>
      <c r="CW80" s="401"/>
      <c r="CX80" s="401"/>
      <c r="CY80" s="402"/>
      <c r="CZ80" s="403"/>
      <c r="DA80" s="400"/>
      <c r="DB80" s="401"/>
      <c r="DC80" s="401"/>
      <c r="DD80" s="402"/>
      <c r="DE80" s="403"/>
      <c r="DF80" s="400"/>
      <c r="DG80" s="401"/>
      <c r="DH80" s="401"/>
      <c r="DI80" s="402"/>
      <c r="DJ80" s="403"/>
      <c r="DK80" s="400"/>
      <c r="DL80" s="401"/>
      <c r="DM80" s="401"/>
      <c r="DN80" s="402"/>
      <c r="DO80" s="403"/>
      <c r="DP80" s="400"/>
      <c r="DQ80" s="401"/>
      <c r="DR80" s="401"/>
      <c r="DS80" s="402"/>
      <c r="DT80" s="403"/>
    </row>
    <row r="81" spans="1:139" ht="13.5" customHeight="1" x14ac:dyDescent="0.2">
      <c r="C81" s="26"/>
      <c r="D81" s="26"/>
      <c r="E81" s="530"/>
      <c r="F81" s="537"/>
      <c r="G81" s="537"/>
      <c r="H81" s="585"/>
      <c r="I81" s="443"/>
      <c r="J81" s="503"/>
      <c r="K81" s="392"/>
      <c r="L81" s="393"/>
      <c r="M81" s="394"/>
      <c r="N81" s="395"/>
      <c r="O81" s="395"/>
      <c r="P81" s="396"/>
      <c r="Q81" s="397"/>
      <c r="R81" s="394"/>
      <c r="S81" s="395"/>
      <c r="T81" s="395"/>
      <c r="U81" s="396"/>
      <c r="V81" s="397"/>
      <c r="W81" s="394"/>
      <c r="X81" s="395"/>
      <c r="Y81" s="395"/>
      <c r="Z81" s="396"/>
      <c r="AA81" s="397"/>
      <c r="AB81" s="394"/>
      <c r="AC81" s="395"/>
      <c r="AD81" s="395"/>
      <c r="AE81" s="396"/>
      <c r="AF81" s="397"/>
      <c r="AG81" s="394"/>
      <c r="AH81" s="395"/>
      <c r="AI81" s="395"/>
      <c r="AJ81" s="396"/>
      <c r="AK81" s="397"/>
      <c r="AL81" s="394"/>
      <c r="AM81" s="395"/>
      <c r="AN81" s="395"/>
      <c r="AO81" s="396"/>
      <c r="AP81" s="397"/>
      <c r="AQ81" s="394"/>
      <c r="AR81" s="395"/>
      <c r="AS81" s="395"/>
      <c r="AT81" s="396"/>
      <c r="AU81" s="397"/>
      <c r="AV81" s="394"/>
      <c r="AW81" s="395"/>
      <c r="AX81" s="395"/>
      <c r="AY81" s="396"/>
      <c r="AZ81" s="397"/>
      <c r="BA81" s="394"/>
      <c r="BB81" s="395"/>
      <c r="BC81" s="395"/>
      <c r="BD81" s="396"/>
      <c r="BE81" s="397"/>
      <c r="BF81" s="394"/>
      <c r="BG81" s="395"/>
      <c r="BH81" s="395"/>
      <c r="BI81" s="396"/>
      <c r="BJ81" s="397"/>
      <c r="BK81" s="394"/>
      <c r="BL81" s="395"/>
      <c r="BM81" s="395"/>
      <c r="BN81" s="396"/>
      <c r="BO81" s="397"/>
      <c r="BP81" s="445"/>
      <c r="BQ81" s="399"/>
      <c r="BR81" s="400"/>
      <c r="BS81" s="401"/>
      <c r="BT81" s="401"/>
      <c r="BU81" s="402"/>
      <c r="BV81" s="403"/>
      <c r="BW81" s="400"/>
      <c r="BX81" s="401"/>
      <c r="BY81" s="401"/>
      <c r="BZ81" s="402"/>
      <c r="CA81" s="403"/>
      <c r="CB81" s="400"/>
      <c r="CC81" s="401"/>
      <c r="CD81" s="401"/>
      <c r="CE81" s="402"/>
      <c r="CF81" s="403"/>
      <c r="CG81" s="400"/>
      <c r="CH81" s="401"/>
      <c r="CI81" s="401"/>
      <c r="CJ81" s="402"/>
      <c r="CK81" s="403"/>
      <c r="CL81" s="400"/>
      <c r="CM81" s="401"/>
      <c r="CN81" s="401"/>
      <c r="CO81" s="402"/>
      <c r="CP81" s="403"/>
      <c r="CQ81" s="400"/>
      <c r="CR81" s="401"/>
      <c r="CS81" s="401"/>
      <c r="CT81" s="402"/>
      <c r="CU81" s="403"/>
      <c r="CV81" s="400"/>
      <c r="CW81" s="401"/>
      <c r="CX81" s="401"/>
      <c r="CY81" s="402"/>
      <c r="CZ81" s="403"/>
      <c r="DA81" s="400"/>
      <c r="DB81" s="401"/>
      <c r="DC81" s="401"/>
      <c r="DD81" s="402"/>
      <c r="DE81" s="403"/>
      <c r="DF81" s="400"/>
      <c r="DG81" s="401"/>
      <c r="DH81" s="401"/>
      <c r="DI81" s="402"/>
      <c r="DJ81" s="403"/>
      <c r="DK81" s="400"/>
      <c r="DL81" s="401"/>
      <c r="DM81" s="401"/>
      <c r="DN81" s="402"/>
      <c r="DO81" s="403"/>
      <c r="DP81" s="400"/>
      <c r="DQ81" s="401"/>
      <c r="DR81" s="401"/>
      <c r="DS81" s="402"/>
      <c r="DT81" s="403"/>
    </row>
    <row r="82" spans="1:139" ht="12.75" customHeight="1" x14ac:dyDescent="0.2">
      <c r="C82" s="240" t="s">
        <v>333</v>
      </c>
      <c r="D82" s="240"/>
      <c r="E82" s="542"/>
      <c r="F82" s="541"/>
      <c r="G82" s="541"/>
      <c r="H82" s="585"/>
      <c r="I82" s="443"/>
      <c r="J82" s="499"/>
      <c r="K82" s="448"/>
      <c r="L82" s="393"/>
      <c r="M82" s="394"/>
      <c r="N82" s="395"/>
      <c r="O82" s="395"/>
      <c r="P82" s="396"/>
      <c r="Q82" s="397"/>
      <c r="R82" s="394"/>
      <c r="S82" s="395"/>
      <c r="T82" s="395"/>
      <c r="U82" s="396"/>
      <c r="V82" s="397"/>
      <c r="W82" s="394"/>
      <c r="X82" s="395"/>
      <c r="Y82" s="395"/>
      <c r="Z82" s="396"/>
      <c r="AA82" s="397"/>
      <c r="AB82" s="394"/>
      <c r="AC82" s="395"/>
      <c r="AD82" s="395"/>
      <c r="AE82" s="396"/>
      <c r="AF82" s="397"/>
      <c r="AG82" s="394"/>
      <c r="AH82" s="395"/>
      <c r="AI82" s="395"/>
      <c r="AJ82" s="396"/>
      <c r="AK82" s="397"/>
      <c r="AL82" s="394"/>
      <c r="AM82" s="395"/>
      <c r="AN82" s="395"/>
      <c r="AO82" s="396"/>
      <c r="AP82" s="397"/>
      <c r="AQ82" s="394"/>
      <c r="AR82" s="395"/>
      <c r="AS82" s="395"/>
      <c r="AT82" s="396"/>
      <c r="AU82" s="397"/>
      <c r="AV82" s="394"/>
      <c r="AW82" s="395"/>
      <c r="AX82" s="395"/>
      <c r="AY82" s="396"/>
      <c r="AZ82" s="397"/>
      <c r="BA82" s="394"/>
      <c r="BB82" s="395"/>
      <c r="BC82" s="395"/>
      <c r="BD82" s="396"/>
      <c r="BE82" s="397"/>
      <c r="BF82" s="394"/>
      <c r="BG82" s="395"/>
      <c r="BH82" s="395"/>
      <c r="BI82" s="396"/>
      <c r="BJ82" s="397"/>
      <c r="BK82" s="394"/>
      <c r="BL82" s="395"/>
      <c r="BM82" s="395"/>
      <c r="BN82" s="396"/>
      <c r="BO82" s="397"/>
      <c r="BP82" s="445"/>
      <c r="BQ82" s="399"/>
      <c r="BR82" s="400"/>
      <c r="BS82" s="401"/>
      <c r="BT82" s="401"/>
      <c r="BU82" s="402"/>
      <c r="BV82" s="403"/>
      <c r="BW82" s="400"/>
      <c r="BX82" s="401"/>
      <c r="BY82" s="401"/>
      <c r="BZ82" s="402"/>
      <c r="CA82" s="403"/>
      <c r="CB82" s="400"/>
      <c r="CC82" s="401"/>
      <c r="CD82" s="401"/>
      <c r="CE82" s="402"/>
      <c r="CF82" s="403"/>
      <c r="CG82" s="400"/>
      <c r="CH82" s="401"/>
      <c r="CI82" s="401"/>
      <c r="CJ82" s="402"/>
      <c r="CK82" s="403"/>
      <c r="CL82" s="400"/>
      <c r="CM82" s="401"/>
      <c r="CN82" s="401"/>
      <c r="CO82" s="402"/>
      <c r="CP82" s="403"/>
      <c r="CQ82" s="400"/>
      <c r="CR82" s="401"/>
      <c r="CS82" s="401"/>
      <c r="CT82" s="402"/>
      <c r="CU82" s="403"/>
      <c r="CV82" s="400"/>
      <c r="CW82" s="401"/>
      <c r="CX82" s="401"/>
      <c r="CY82" s="402"/>
      <c r="CZ82" s="403"/>
      <c r="DA82" s="400"/>
      <c r="DB82" s="401"/>
      <c r="DC82" s="401"/>
      <c r="DD82" s="402"/>
      <c r="DE82" s="403"/>
      <c r="DF82" s="400"/>
      <c r="DG82" s="401"/>
      <c r="DH82" s="401"/>
      <c r="DI82" s="402"/>
      <c r="DJ82" s="403"/>
      <c r="DK82" s="400"/>
      <c r="DL82" s="401"/>
      <c r="DM82" s="401"/>
      <c r="DN82" s="402"/>
      <c r="DO82" s="403"/>
      <c r="DP82" s="400"/>
      <c r="DQ82" s="401"/>
      <c r="DR82" s="401"/>
      <c r="DS82" s="402"/>
      <c r="DT82" s="403"/>
    </row>
    <row r="83" spans="1:139" ht="12.75" customHeight="1" x14ac:dyDescent="0.2">
      <c r="C83" s="20" t="s">
        <v>361</v>
      </c>
      <c r="D83" s="240"/>
      <c r="E83" s="542"/>
      <c r="F83" s="541"/>
      <c r="G83" s="541"/>
      <c r="H83" s="449"/>
      <c r="I83" s="390"/>
      <c r="J83" s="499"/>
      <c r="K83" s="448"/>
      <c r="L83" s="393"/>
      <c r="M83" s="394"/>
      <c r="N83" s="395"/>
      <c r="O83" s="395"/>
      <c r="P83" s="396"/>
      <c r="Q83" s="397"/>
      <c r="R83" s="394"/>
      <c r="S83" s="395"/>
      <c r="T83" s="395"/>
      <c r="U83" s="396"/>
      <c r="V83" s="397"/>
      <c r="W83" s="394"/>
      <c r="X83" s="395"/>
      <c r="Y83" s="395"/>
      <c r="Z83" s="396"/>
      <c r="AA83" s="397"/>
      <c r="AB83" s="394"/>
      <c r="AC83" s="395"/>
      <c r="AD83" s="395"/>
      <c r="AE83" s="396"/>
      <c r="AF83" s="397"/>
      <c r="AG83" s="394"/>
      <c r="AH83" s="395"/>
      <c r="AI83" s="395"/>
      <c r="AJ83" s="396"/>
      <c r="AK83" s="397"/>
      <c r="AL83" s="394"/>
      <c r="AM83" s="395"/>
      <c r="AN83" s="395"/>
      <c r="AO83" s="396"/>
      <c r="AP83" s="397"/>
      <c r="AQ83" s="394"/>
      <c r="AR83" s="395"/>
      <c r="AS83" s="395"/>
      <c r="AT83" s="396"/>
      <c r="AU83" s="397"/>
      <c r="AV83" s="394"/>
      <c r="AW83" s="395"/>
      <c r="AX83" s="395"/>
      <c r="AY83" s="396"/>
      <c r="AZ83" s="397"/>
      <c r="BA83" s="394"/>
      <c r="BB83" s="395"/>
      <c r="BC83" s="395"/>
      <c r="BD83" s="396"/>
      <c r="BE83" s="397"/>
      <c r="BF83" s="394"/>
      <c r="BG83" s="395"/>
      <c r="BH83" s="395"/>
      <c r="BI83" s="396"/>
      <c r="BJ83" s="397"/>
      <c r="BK83" s="394"/>
      <c r="BL83" s="395"/>
      <c r="BM83" s="395"/>
      <c r="BN83" s="396"/>
      <c r="BO83" s="397"/>
      <c r="BP83" s="445"/>
      <c r="BQ83" s="399"/>
      <c r="BR83" s="400"/>
      <c r="BS83" s="401"/>
      <c r="BT83" s="401"/>
      <c r="BU83" s="402"/>
      <c r="BV83" s="403"/>
      <c r="BW83" s="400"/>
      <c r="BX83" s="401"/>
      <c r="BY83" s="401"/>
      <c r="BZ83" s="402"/>
      <c r="CA83" s="403"/>
      <c r="CB83" s="400"/>
      <c r="CC83" s="401"/>
      <c r="CD83" s="401"/>
      <c r="CE83" s="402"/>
      <c r="CF83" s="403"/>
      <c r="CG83" s="400"/>
      <c r="CH83" s="401"/>
      <c r="CI83" s="401"/>
      <c r="CJ83" s="402"/>
      <c r="CK83" s="403"/>
      <c r="CL83" s="400"/>
      <c r="CM83" s="401"/>
      <c r="CN83" s="401"/>
      <c r="CO83" s="402"/>
      <c r="CP83" s="403"/>
      <c r="CQ83" s="400"/>
      <c r="CR83" s="401"/>
      <c r="CS83" s="401"/>
      <c r="CT83" s="402"/>
      <c r="CU83" s="403"/>
      <c r="CV83" s="400"/>
      <c r="CW83" s="401"/>
      <c r="CX83" s="401"/>
      <c r="CY83" s="402"/>
      <c r="CZ83" s="403"/>
      <c r="DA83" s="400"/>
      <c r="DB83" s="401"/>
      <c r="DC83" s="401"/>
      <c r="DD83" s="402"/>
      <c r="DE83" s="403"/>
      <c r="DF83" s="400"/>
      <c r="DG83" s="401"/>
      <c r="DH83" s="401"/>
      <c r="DI83" s="402"/>
      <c r="DJ83" s="403"/>
      <c r="DK83" s="400"/>
      <c r="DL83" s="401"/>
      <c r="DM83" s="401"/>
      <c r="DN83" s="402"/>
      <c r="DO83" s="403"/>
      <c r="DP83" s="400"/>
      <c r="DQ83" s="401"/>
      <c r="DR83" s="401"/>
      <c r="DS83" s="402"/>
      <c r="DT83" s="403"/>
    </row>
    <row r="84" spans="1:139" ht="12.75" customHeight="1" x14ac:dyDescent="0.2">
      <c r="C84" s="511" t="s">
        <v>370</v>
      </c>
      <c r="D84" s="240"/>
      <c r="E84" s="530">
        <f>IF(F84=0,G84,F84)</f>
        <v>150</v>
      </c>
      <c r="F84" s="531">
        <v>150</v>
      </c>
      <c r="G84" s="531">
        <v>150</v>
      </c>
      <c r="H84" s="449">
        <v>2018</v>
      </c>
      <c r="I84" s="450">
        <v>5.2499999999999998E-2</v>
      </c>
      <c r="J84" s="451">
        <v>10</v>
      </c>
      <c r="K84" s="448"/>
      <c r="L84" s="397">
        <f>IF(L$5=$H84,-$E84,0)</f>
        <v>0</v>
      </c>
      <c r="M84" s="394">
        <f>IF(Q84=0,0,IF(Q84&lt;0,IF($J84=3,Q84,IF($J84=2,Q84,IF($J84=1,Q84,0)))))</f>
        <v>0</v>
      </c>
      <c r="N84" s="404">
        <f>IF(Q84=0,0,IF(Q84&lt;0,IF($J84=6,Q84,IF($J84=5,Q84,IF($J84=4,Q84,0)))))</f>
        <v>0</v>
      </c>
      <c r="O84" s="404">
        <f>IF(Q84=0,0,IF(Q84&lt;0,IF($J84=9,Q84,IF($J84=8,Q84,IF($J84=7,Q84,0)))))</f>
        <v>0</v>
      </c>
      <c r="P84" s="396">
        <f>IF(Q84=0,0,IF(Q84&lt;0,IF($J84=12,Q84,IF($J84=11,Q84,IF($J84=10,Q84,0)))))</f>
        <v>0</v>
      </c>
      <c r="Q84" s="397">
        <f>IF(Q$5=$H84,-$E84,0)</f>
        <v>0</v>
      </c>
      <c r="R84" s="394">
        <f>IF(V84=0,0,IF(V84&lt;0,IF($J84=3,V84,IF($J84=2,V84,IF($J84=1,V84,0)))))</f>
        <v>0</v>
      </c>
      <c r="S84" s="404">
        <f>IF(V84=0,0,IF(V84&lt;0,IF($J84=6,V84,IF($J84=5,V84,IF($J84=4,V84,0)))))</f>
        <v>0</v>
      </c>
      <c r="T84" s="404">
        <f>IF(V84=0,0,IF(V84&lt;0,IF($J84=9,V84,IF($J84=8,V84,IF($J84=7,V84,0)))))</f>
        <v>0</v>
      </c>
      <c r="U84" s="396">
        <f>IF(V84=0,0,IF(V84&lt;0,IF($J84=12,V84,IF($J84=11,V84,IF($J84=10,V84,0)))))</f>
        <v>0</v>
      </c>
      <c r="V84" s="397">
        <f>IF(V$5=$H84,-$E84,0)</f>
        <v>0</v>
      </c>
      <c r="W84" s="394">
        <f>IF(AA84=0,0,IF(AA84&lt;0,IF($J84=3,AA84,IF($J84=2,AA84,IF($J84=1,AA84,0)))))</f>
        <v>0</v>
      </c>
      <c r="X84" s="404">
        <f>IF(AA84=0,0,IF(AA84&lt;0,IF($J84=6,AA84,IF($J84=5,AA84,IF($J84=4,AA84,0)))))</f>
        <v>0</v>
      </c>
      <c r="Y84" s="404">
        <f>IF(AA84=0,0,IF(AA84&lt;0,IF($J84=9,AA84,IF($J84=8,AA84,IF($J84=7,AA84,0)))))</f>
        <v>0</v>
      </c>
      <c r="Z84" s="396">
        <f>IF(AA84=0,0,IF(AA84&lt;0,IF($J84=12,AA84,IF($J84=11,AA84,IF($J84=10,AA84,0)))))</f>
        <v>0</v>
      </c>
      <c r="AA84" s="397">
        <f>IF(AA$5=$H84,-$E84,0)</f>
        <v>0</v>
      </c>
      <c r="AB84" s="394">
        <f>IF(AF84=0,0,IF(AF84&lt;0,IF($J84=3,AF84,IF($J84=2,AF84,IF($J84=1,AF84,0)))))</f>
        <v>0</v>
      </c>
      <c r="AC84" s="404">
        <f>IF(AF84=0,0,IF(AF84&lt;0,IF($J84=6,AF84,IF($J84=5,AF84,IF($J84=4,AF84,0)))))</f>
        <v>0</v>
      </c>
      <c r="AD84" s="404">
        <f>IF(AF84=0,0,IF(AF84&lt;0,IF($J84=9,AF84,IF($J84=8,AF84,IF($J84=7,AF84,0)))))</f>
        <v>0</v>
      </c>
      <c r="AE84" s="396">
        <f>IF(AF84=0,0,IF(AF84&lt;0,IF($J84=12,AF84,IF($J84=11,AF84,IF($J84=10,AF84,0)))))</f>
        <v>0</v>
      </c>
      <c r="AF84" s="397">
        <f>IF(AF$5=$H84,-$E84,0)</f>
        <v>0</v>
      </c>
      <c r="AG84" s="394">
        <f>IF(AK84=0,0,IF(AK84&lt;0,IF($J84=3,AK84,IF($J84=2,AK84,IF($J84=1,AK84,0)))))</f>
        <v>0</v>
      </c>
      <c r="AH84" s="404">
        <f>IF(AK84=0,0,IF(AK84&lt;0,IF($J84=6,AK84,IF($J84=5,AK84,IF($J84=4,AK84,0)))))</f>
        <v>0</v>
      </c>
      <c r="AI84" s="404">
        <f>IF(AK84=0,0,IF(AK84&lt;0,IF($J84=9,AK84,IF($J84=8,AK84,IF($J84=7,AK84,0)))))</f>
        <v>0</v>
      </c>
      <c r="AJ84" s="396">
        <f>IF(AK84=0,0,IF(AK84&lt;0,IF($J84=12,AK84,IF($J84=11,AK84,IF($J84=10,AK84,0)))))</f>
        <v>0</v>
      </c>
      <c r="AK84" s="397">
        <f>IF(AK$5=$H84,-$E84,0)</f>
        <v>0</v>
      </c>
      <c r="AL84" s="394">
        <f>IF(AP84=0,0,IF(AP84&lt;0,IF($J84=3,AP84,IF($J84=2,AP84,IF($J84=1,AP84,0)))))</f>
        <v>0</v>
      </c>
      <c r="AM84" s="404">
        <f>IF(AP84=0,0,IF(AP84&lt;0,IF($J84=6,AP84,IF($J84=5,AP84,IF($J84=4,AP84,0)))))</f>
        <v>0</v>
      </c>
      <c r="AN84" s="404">
        <f>IF(AP84=0,0,IF(AP84&lt;0,IF($J84=9,AP84,IF($J84=8,AP84,IF($J84=7,AP84,0)))))</f>
        <v>0</v>
      </c>
      <c r="AO84" s="396">
        <f>IF(AP84=0,0,IF(AP84&lt;0,IF($J84=12,AP84,IF($J84=11,AP84,IF($J84=10,AP84,0)))))</f>
        <v>0</v>
      </c>
      <c r="AP84" s="397">
        <f>IF(AP$5=$H84,-$E84,0)</f>
        <v>0</v>
      </c>
      <c r="AQ84" s="394">
        <f>IF(AU84=0,0,IF(AU84&lt;0,IF($J84=3,AU84,IF($J84=2,AU84,IF($J84=1,AU84,0)))))</f>
        <v>0</v>
      </c>
      <c r="AR84" s="404">
        <f>IF(AU84=0,0,IF(AU84&lt;0,IF($J84=6,AU84,IF($J84=5,AU84,IF($J84=4,AU84,0)))))</f>
        <v>0</v>
      </c>
      <c r="AS84" s="404">
        <f>IF(AU84=0,0,IF(AU84&lt;0,IF($J84=9,AU84,IF($J84=8,AU84,IF($J84=7,AU84,0)))))</f>
        <v>0</v>
      </c>
      <c r="AT84" s="396">
        <f>IF(AU84=0,0,IF(AU84&lt;0,IF($J84=12,AU84,IF($J84=11,AU84,IF($J84=10,AU84,0)))))</f>
        <v>0</v>
      </c>
      <c r="AU84" s="397">
        <f>IF(AU$5=$H84,-$E84,0)</f>
        <v>0</v>
      </c>
      <c r="AV84" s="394">
        <f>IF(AZ84=0,0,IF(AZ84&lt;0,IF($J84=3,AZ84,IF($J84=2,AZ84,IF($J84=1,AZ84,0)))))</f>
        <v>0</v>
      </c>
      <c r="AW84" s="404">
        <f>IF(AZ84=0,0,IF(AZ84&lt;0,IF($J84=6,AZ84,IF($J84=5,AZ84,IF($J84=4,AZ84,0)))))</f>
        <v>0</v>
      </c>
      <c r="AX84" s="404">
        <f>IF(AZ84=0,0,IF(AZ84&lt;0,IF($J84=9,AZ84,IF($J84=8,AZ84,IF($J84=7,AZ84,0)))))</f>
        <v>0</v>
      </c>
      <c r="AY84" s="396">
        <f>IF(AZ84=0,0,IF(AZ84&lt;0,IF($J84=12,AZ84,IF($J84=11,AZ84,IF($J84=10,AZ84,0)))))</f>
        <v>-150</v>
      </c>
      <c r="AZ84" s="397">
        <f>IF(AZ$5=$H84,-$E84,0)</f>
        <v>-150</v>
      </c>
      <c r="BA84" s="394">
        <f>IF(BE84=0,0,IF(BE84&lt;0,IF($J84=3,BE84,IF($J84=2,BE84,IF($J84=1,BE84,0)))))</f>
        <v>0</v>
      </c>
      <c r="BB84" s="404">
        <f>IF(BE84=0,0,IF(BE84&lt;0,IF($J84=6,BE84,IF($J84=5,BE84,IF($J84=4,BE84,0)))))</f>
        <v>0</v>
      </c>
      <c r="BC84" s="404">
        <f>IF(BE84=0,0,IF(BE84&lt;0,IF($J84=9,BE84,IF($J84=8,BE84,IF($J84=7,BE84,0)))))</f>
        <v>0</v>
      </c>
      <c r="BD84" s="396">
        <f>IF(BE84=0,0,IF(BE84&lt;0,IF($J84=12,BE84,IF($J84=11,BE84,IF($J84=10,BE84,0)))))</f>
        <v>0</v>
      </c>
      <c r="BE84" s="397">
        <f>IF(BE$5=$H84,-$E84,0)</f>
        <v>0</v>
      </c>
      <c r="BF84" s="394">
        <f>IF(BJ84=0,0,IF(BJ84&lt;0,IF($J84=3,BJ84,IF($J84=2,BJ84,IF($J84=1,BJ84,0)))))</f>
        <v>0</v>
      </c>
      <c r="BG84" s="404">
        <f>IF(BJ84=0,0,IF(BJ84&lt;0,IF($J84=6,BJ84,IF($J84=5,BJ84,IF($J84=4,BJ84,0)))))</f>
        <v>0</v>
      </c>
      <c r="BH84" s="404">
        <f>IF(BJ84=0,0,IF(BJ84&lt;0,IF($J84=9,BJ84,IF($J84=8,BJ84,IF($J84=7,BJ84,0)))))</f>
        <v>0</v>
      </c>
      <c r="BI84" s="396">
        <f>IF(BJ84=0,0,IF(BJ84&lt;0,IF($J84=12,BJ84,IF($J84=11,BJ84,IF($J84=10,BJ84,0)))))</f>
        <v>0</v>
      </c>
      <c r="BJ84" s="397">
        <f>IF(BJ$5=$H84,-$E84,0)</f>
        <v>0</v>
      </c>
      <c r="BK84" s="394">
        <f>IF(BO84=0,0,IF(BO84&lt;0,IF($J84=3,BO84,IF($J84=2,BO84,IF($J84=1,BO84,0)))))</f>
        <v>0</v>
      </c>
      <c r="BL84" s="404">
        <f>IF(BO84=0,0,IF(BO84&lt;0,IF($J84=6,BO84,IF($J84=5,BO84,IF($J84=4,BO84,0)))))</f>
        <v>0</v>
      </c>
      <c r="BM84" s="404">
        <f>IF(BO84=0,0,IF(BO84&lt;0,IF($J84=9,BO84,IF($J84=8,BO84,IF($J84=7,BO84,0)))))</f>
        <v>0</v>
      </c>
      <c r="BN84" s="396">
        <f>IF(BO84=0,0,IF(BO84&lt;0,IF($J84=12,BO84,IF($J84=11,BO84,IF($J84=10,BO84,0)))))</f>
        <v>0</v>
      </c>
      <c r="BO84" s="397">
        <f>IF(BO$5=$H84,-$E84,0)</f>
        <v>0</v>
      </c>
      <c r="BP84" s="452"/>
      <c r="BQ84" s="403">
        <f>IF(AND(BP84&lt;&gt;0,BP$5=$H84),-$I84*$E84-BP84,IF(BQ$5=$H84,-$I84*$E84*(12-$J84+1)/12,0))</f>
        <v>0</v>
      </c>
      <c r="BR84" s="400">
        <f>IF($H84&lt;&gt;BV$5,0,IF(BV84&lt;0,IF($J84=1,-$E84*$I84/12*3,IF($J84=2,-$E84*$I84/12*2,IF($J84=3,-$E84*$I84/12*1,0)))))+IF(BQ$5&lt;&gt;$H84,0,IF(BQ84&lt;0,IF($J84=1,-$E84*$I84/12*0,IF($J84=2,-$E84*$I84/12*1,IF($J84=3,-$E84*$I84/12*2,IF($J84&gt;=4,-$E84*$I84/12*3,0))))))</f>
        <v>0</v>
      </c>
      <c r="BS84" s="406">
        <f>IF($H84&lt;&gt;BV$5,0,IF(BV84&lt;0,IF(OR($J84=1,$J84=2,$J84=3,$J84=4),-$E84*$I84/12*3,IF($J84=5,-$E84*$I84/12*2,IF($J84=6,-$E84*$I84/12*1,0)))))+IF(BQ$5&lt;&gt;$H84,0,IF(BQ84&lt;0,IF($J84=4,-$E84*$I84/12*0,IF($J84=5,-$E84*$I84/12*1,IF($J84=6,-$E84*$I84/12*2,IF($J84&gt;=7,-$E84*$I84/12*3,0))))))</f>
        <v>0</v>
      </c>
      <c r="BT84" s="406">
        <f>IF($H84&lt;&gt;BV$5,0,IF(BV84&lt;0,IF(OR($J84=1,$J84=2,$J84=3,$J84=4,$J84=5,$J84=6,$J84=7),-$E84*$I84/12*3,IF($J84=8,-$E84*$I84/12*2,IF($J84=9,-$E84*$I84/12*1,0)))))+IF(BQ$5&lt;&gt;$H84,0,IF(BQ84&lt;0,IF($J84=7,-$E84*$I84/12*0,IF($J84=8,-$E84*$I84/12*1,IF($J84=9,-$E84*$I84/12*2,IF($J84&gt;=10,-$E84*$I84/12*3,0))))))</f>
        <v>0</v>
      </c>
      <c r="BU84" s="402">
        <f>IF($H84&lt;&gt;BV$5,0,IF(BV84&lt;0,IF(OR($J84=1,$J84=2,$J84=3,$J84=4,$J84=5,$J84=6,$J84=7,$J84=8,$J84=9,$J84=10),-$E84*$I84/12*3,IF($J84=11,-$E84*$I84/12*2,IF($J84=12,-$E84*$I84/12*1,0)))))+IF(BQ$5&lt;&gt;$H84,0,IF(BQ84&lt;0,IF($J84=10,-$E84*$I84/12*0,IF($J84=11,-$E84*$I84/12*1,IF($J84=12,-$E84*$I84/12*2,0)))))</f>
        <v>0</v>
      </c>
      <c r="BV84" s="403">
        <f>IF(AND(BQ84&lt;&gt;0,BQ$5=$H84),-$I84*$E84-BQ84,IF(BV$5=$H84,-$I84*$E84*(12-$J84+1)/12,0))</f>
        <v>0</v>
      </c>
      <c r="BW84" s="400">
        <f>IF($H84&lt;&gt;CA$5,0,IF(CA84&lt;0,IF($J84=1,-$E84*$I84/12*3,IF($J84=2,-$E84*$I84/12*2,IF($J84=3,-$E84*$I84/12*1,0)))))+IF(BV$5&lt;&gt;$H84,0,IF(BV84&lt;0,IF($J84=1,-$E84*$I84/12*0,IF($J84=2,-$E84*$I84/12*1,IF($J84=3,-$E84*$I84/12*2,IF($J84&gt;=4,-$E84*$I84/12*3,0))))))</f>
        <v>0</v>
      </c>
      <c r="BX84" s="406">
        <f>IF($H84&lt;&gt;CA$5,0,IF(CA84&lt;0,IF(OR($J84=1,$J84=2,$J84=3,$J84=4),-$E84*$I84/12*3,IF($J84=5,-$E84*$I84/12*2,IF($J84=6,-$E84*$I84/12*1,0)))))+IF(BV$5&lt;&gt;$H84,0,IF(BV84&lt;0,IF($J84=4,-$E84*$I84/12*0,IF($J84=5,-$E84*$I84/12*1,IF($J84=6,-$E84*$I84/12*2,IF($J84&gt;=7,-$E84*$I84/12*3,0))))))</f>
        <v>0</v>
      </c>
      <c r="BY84" s="406">
        <f>IF($H84&lt;&gt;CA$5,0,IF(CA84&lt;0,IF(OR($J84=1,$J84=2,$J84=3,$J84=4,$J84=5,$J84=6,$J84=7),-$E84*$I84/12*3,IF($J84=8,-$E84*$I84/12*2,IF($J84=9,-$E84*$I84/12*1,0)))))+IF(BV$5&lt;&gt;$H84,0,IF(BV84&lt;0,IF($J84=7,-$E84*$I84/12*0,IF($J84=8,-$E84*$I84/12*1,IF($J84=9,-$E84*$I84/12*2,IF($J84&gt;=10,-$E84*$I84/12*3,0))))))</f>
        <v>0</v>
      </c>
      <c r="BZ84" s="402">
        <f>IF($H84&lt;&gt;CA$5,0,IF(CA84&lt;0,IF(OR($J84=1,$J84=2,$J84=3,$J84=4,$J84=5,$J84=6,$J84=7,$J84=8,$J84=9,$J84=10),-$E84*$I84/12*3,IF($J84=11,-$E84*$I84/12*2,IF($J84=12,-$E84*$I84/12*1,0)))))+IF(BV$5&lt;&gt;$H84,0,IF(BV84&lt;0,IF($J84=10,-$E84*$I84/12*0,IF($J84=11,-$E84*$I84/12*1,IF($J84=12,-$E84*$I84/12*2,0)))))</f>
        <v>0</v>
      </c>
      <c r="CA84" s="403">
        <f>IF(AND(BV84&lt;&gt;0,BV$5=$H84),-$I84*$E84-BV84,IF(CA$5=$H84,-$I84*$E84*(12-$J84+1)/12,0))</f>
        <v>0</v>
      </c>
      <c r="CB84" s="400">
        <f>IF($H84&lt;&gt;CF$5,0,IF(CF84&lt;0,IF($J84=1,-$E84*$I84/12*3,IF($J84=2,-$E84*$I84/12*2,IF($J84=3,-$E84*$I84/12*1,0)))))+IF(CA$5&lt;&gt;$H84,0,IF(CA84&lt;0,IF($J84=1,-$E84*$I84/12*0,IF($J84=2,-$E84*$I84/12*1,IF($J84=3,-$E84*$I84/12*2,IF($J84&gt;=4,-$E84*$I84/12*3,0))))))</f>
        <v>0</v>
      </c>
      <c r="CC84" s="406">
        <f>IF($H84&lt;&gt;CF$5,0,IF(CF84&lt;0,IF(OR($J84=1,$J84=2,$J84=3,$J84=4),-$E84*$I84/12*3,IF($J84=5,-$E84*$I84/12*2,IF($J84=6,-$E84*$I84/12*1,0)))))+IF(CA$5&lt;&gt;$H84,0,IF(CA84&lt;0,IF($J84=4,-$E84*$I84/12*0,IF($J84=5,-$E84*$I84/12*1,IF($J84=6,-$E84*$I84/12*2,IF($J84&gt;=7,-$E84*$I84/12*3,0))))))</f>
        <v>0</v>
      </c>
      <c r="CD84" s="406">
        <f>IF($H84&lt;&gt;CF$5,0,IF(CF84&lt;0,IF(OR($J84=1,$J84=2,$J84=3,$J84=4,$J84=5,$J84=6,$J84=7),-$E84*$I84/12*3,IF($J84=8,-$E84*$I84/12*2,IF($J84=9,-$E84*$I84/12*1,0)))))+IF(CA$5&lt;&gt;$H84,0,IF(CA84&lt;0,IF($J84=7,-$E84*$I84/12*0,IF($J84=8,-$E84*$I84/12*1,IF($J84=9,-$E84*$I84/12*2,IF($J84&gt;=10,-$E84*$I84/12*3,0))))))</f>
        <v>0</v>
      </c>
      <c r="CE84" s="402">
        <f>IF($H84&lt;&gt;CF$5,0,IF(CF84&lt;0,IF(OR($J84=1,$J84=2,$J84=3,$J84=4,$J84=5,$J84=6,$J84=7,$J84=8,$J84=9,$J84=10),-$E84*$I84/12*3,IF($J84=11,-$E84*$I84/12*2,IF($J84=12,-$E84*$I84/12*1,0)))))+IF(CA$5&lt;&gt;$H84,0,IF(CA84&lt;0,IF($J84=10,-$E84*$I84/12*0,IF($J84=11,-$E84*$I84/12*1,IF($J84=12,-$E84*$I84/12*2,0)))))</f>
        <v>0</v>
      </c>
      <c r="CF84" s="403">
        <f>IF(AND(CA84&lt;&gt;0,CA$5=$H84),-$I84*$E84-CA84,IF(CF$5=$H84,-$I84*$E84*(12-$J84+1)/12,0))</f>
        <v>0</v>
      </c>
      <c r="CG84" s="400">
        <f>IF($H84&lt;&gt;CK$5,0,IF(CK84&lt;0,IF($J84=1,-$E84*$I84/12*3,IF($J84=2,-$E84*$I84/12*2,IF($J84=3,-$E84*$I84/12*1,0)))))+IF(CF$5&lt;&gt;$H84,0,IF(CF84&lt;0,IF($J84=1,-$E84*$I84/12*0,IF($J84=2,-$E84*$I84/12*1,IF($J84=3,-$E84*$I84/12*2,IF($J84&gt;=4,-$E84*$I84/12*3,0))))))</f>
        <v>0</v>
      </c>
      <c r="CH84" s="406">
        <f>IF($H84&lt;&gt;CK$5,0,IF(CK84&lt;0,IF(OR($J84=1,$J84=2,$J84=3,$J84=4),-$E84*$I84/12*3,IF($J84=5,-$E84*$I84/12*2,IF($J84=6,-$E84*$I84/12*1,0)))))+IF(CF$5&lt;&gt;$H84,0,IF(CF84&lt;0,IF($J84=4,-$E84*$I84/12*0,IF($J84=5,-$E84*$I84/12*1,IF($J84=6,-$E84*$I84/12*2,IF($J84&gt;=7,-$E84*$I84/12*3,0))))))</f>
        <v>0</v>
      </c>
      <c r="CI84" s="406">
        <f>IF($H84&lt;&gt;CK$5,0,IF(CK84&lt;0,IF(OR($J84=1,$J84=2,$J84=3,$J84=4,$J84=5,$J84=6,$J84=7),-$E84*$I84/12*3,IF($J84=8,-$E84*$I84/12*2,IF($J84=9,-$E84*$I84/12*1,0)))))+IF(CF$5&lt;&gt;$H84,0,IF(CF84&lt;0,IF($J84=7,-$E84*$I84/12*0,IF($J84=8,-$E84*$I84/12*1,IF($J84=9,-$E84*$I84/12*2,IF($J84&gt;=10,-$E84*$I84/12*3,0))))))</f>
        <v>0</v>
      </c>
      <c r="CJ84" s="402">
        <f>IF($H84&lt;&gt;CK$5,0,IF(CK84&lt;0,IF(OR($J84=1,$J84=2,$J84=3,$J84=4,$J84=5,$J84=6,$J84=7,$J84=8,$J84=9,$J84=10),-$E84*$I84/12*3,IF($J84=11,-$E84*$I84/12*2,IF($J84=12,-$E84*$I84/12*1,0)))))+IF(CF$5&lt;&gt;$H84,0,IF(CF84&lt;0,IF($J84=10,-$E84*$I84/12*0,IF($J84=11,-$E84*$I84/12*1,IF($J84=12,-$E84*$I84/12*2,0)))))</f>
        <v>0</v>
      </c>
      <c r="CK84" s="403">
        <f>IF(AND(CF84&lt;&gt;0,CF$5=$H84),-$I84*$E84-CF84,IF(CK$5=$H84,-$I84*$E84*(12-$J84+1)/12,0))</f>
        <v>0</v>
      </c>
      <c r="CL84" s="400">
        <f>IF($H84&lt;&gt;CP$5,0,IF(CP84&lt;0,IF($J84=1,-$E84*$I84/12*3,IF($J84=2,-$E84*$I84/12*2,IF($J84=3,-$E84*$I84/12*1,0)))))+IF(CK$5&lt;&gt;$H84,0,IF(CK84&lt;0,IF($J84=1,-$E84*$I84/12*0,IF($J84=2,-$E84*$I84/12*1,IF($J84=3,-$E84*$I84/12*2,IF($J84&gt;=4,-$E84*$I84/12*3,0))))))</f>
        <v>0</v>
      </c>
      <c r="CM84" s="406">
        <f>IF($H84&lt;&gt;CP$5,0,IF(CP84&lt;0,IF(OR($J84=1,$J84=2,$J84=3,$J84=4),-$E84*$I84/12*3,IF($J84=5,-$E84*$I84/12*2,IF($J84=6,-$E84*$I84/12*1,0)))))+IF(CK$5&lt;&gt;$H84,0,IF(CK84&lt;0,IF($J84=4,-$E84*$I84/12*0,IF($J84=5,-$E84*$I84/12*1,IF($J84=6,-$E84*$I84/12*2,IF($J84&gt;=7,-$E84*$I84/12*3,0))))))</f>
        <v>0</v>
      </c>
      <c r="CN84" s="406">
        <f>IF($H84&lt;&gt;CP$5,0,IF(CP84&lt;0,IF(OR($J84=1,$J84=2,$J84=3,$J84=4,$J84=5,$J84=6,$J84=7),-$E84*$I84/12*3,IF($J84=8,-$E84*$I84/12*2,IF($J84=9,-$E84*$I84/12*1,0)))))+IF(CK$5&lt;&gt;$H84,0,IF(CK84&lt;0,IF($J84=7,-$E84*$I84/12*0,IF($J84=8,-$E84*$I84/12*1,IF($J84=9,-$E84*$I84/12*2,IF($J84&gt;=10,-$E84*$I84/12*3,0))))))</f>
        <v>0</v>
      </c>
      <c r="CO84" s="402">
        <f>IF($H84&lt;&gt;CP$5,0,IF(CP84&lt;0,IF(OR($J84=1,$J84=2,$J84=3,$J84=4,$J84=5,$J84=6,$J84=7,$J84=8,$J84=9,$J84=10),-$E84*$I84/12*3,IF($J84=11,-$E84*$I84/12*2,IF($J84=12,-$E84*$I84/12*1,0)))))+IF(CK$5&lt;&gt;$H84,0,IF(CK84&lt;0,IF($J84=10,-$E84*$I84/12*0,IF($J84=11,-$E84*$I84/12*1,IF($J84=12,-$E84*$I84/12*2,0)))))</f>
        <v>0</v>
      </c>
      <c r="CP84" s="403">
        <f>IF(AND(CK84&lt;&gt;0,CK$5=$H84),-$I84*$E84-CK84,IF(CP$5=$H84,-$I84*$E84*(12-$J84+1)/12,0))</f>
        <v>0</v>
      </c>
      <c r="CQ84" s="400">
        <f>IF($H84&lt;&gt;CU$5,0,IF(CU84&lt;0,IF($J84=1,-$E84*$I84/12*3,IF($J84=2,-$E84*$I84/12*2,IF($J84=3,-$E84*$I84/12*1,0)))))+IF(CP$5&lt;&gt;$H84,0,IF(CP84&lt;0,IF($J84=1,-$E84*$I84/12*0,IF($J84=2,-$E84*$I84/12*1,IF($J84=3,-$E84*$I84/12*2,IF($J84&gt;=4,-$E84*$I84/12*3,0))))))</f>
        <v>0</v>
      </c>
      <c r="CR84" s="406">
        <f>IF($H84&lt;&gt;CU$5,0,IF(CU84&lt;0,IF(OR($J84=1,$J84=2,$J84=3,$J84=4),-$E84*$I84/12*3,IF($J84=5,-$E84*$I84/12*2,IF($J84=6,-$E84*$I84/12*1,0)))))+IF(CP$5&lt;&gt;$H84,0,IF(CP84&lt;0,IF($J84=4,-$E84*$I84/12*0,IF($J84=5,-$E84*$I84/12*1,IF($J84=6,-$E84*$I84/12*2,IF($J84&gt;=7,-$E84*$I84/12*3,0))))))</f>
        <v>0</v>
      </c>
      <c r="CS84" s="406">
        <f>IF($H84&lt;&gt;CU$5,0,IF(CU84&lt;0,IF(OR($J84=1,$J84=2,$J84=3,$J84=4,$J84=5,$J84=6,$J84=7),-$E84*$I84/12*3,IF($J84=8,-$E84*$I84/12*2,IF($J84=9,-$E84*$I84/12*1,0)))))+IF(CP$5&lt;&gt;$H84,0,IF(CP84&lt;0,IF($J84=7,-$E84*$I84/12*0,IF($J84=8,-$E84*$I84/12*1,IF($J84=9,-$E84*$I84/12*2,IF($J84&gt;=10,-$E84*$I84/12*3,0))))))</f>
        <v>0</v>
      </c>
      <c r="CT84" s="402">
        <f>IF($H84&lt;&gt;CU$5,0,IF(CU84&lt;0,IF(OR($J84=1,$J84=2,$J84=3,$J84=4,$J84=5,$J84=6,$J84=7,$J84=8,$J84=9,$J84=10),-$E84*$I84/12*3,IF($J84=11,-$E84*$I84/12*2,IF($J84=12,-$E84*$I84/12*1,0)))))+IF(CP$5&lt;&gt;$H84,0,IF(CP84&lt;0,IF($J84=10,-$E84*$I84/12*0,IF($J84=11,-$E84*$I84/12*1,IF($J84=12,-$E84*$I84/12*2,0)))))</f>
        <v>0</v>
      </c>
      <c r="CU84" s="403">
        <f>IF(AND(CP84&lt;&gt;0,CP$5=$H84),-$I84*$E84-CP84,IF(CU$5=$H84,-$I84*$E84*(12-$J84+1)/12,0))</f>
        <v>0</v>
      </c>
      <c r="CV84" s="400">
        <f>IF($H84&lt;&gt;CZ$5,0,IF(CZ84&lt;0,IF($J84=1,-$E84*$I84/12*3,IF($J84=2,-$E84*$I84/12*2,IF($J84=3,-$E84*$I84/12*1,0)))))+IF(CU$5&lt;&gt;$H84,0,IF(CU84&lt;0,IF($J84=1,-$E84*$I84/12*0,IF($J84=2,-$E84*$I84/12*1,IF($J84=3,-$E84*$I84/12*2,IF($J84&gt;=4,-$E84*$I84/12*3,0))))))</f>
        <v>0</v>
      </c>
      <c r="CW84" s="406">
        <f>IF($H84&lt;&gt;CZ$5,0,IF(CZ84&lt;0,IF(OR($J84=1,$J84=2,$J84=3,$J84=4),-$E84*$I84/12*3,IF($J84=5,-$E84*$I84/12*2,IF($J84=6,-$E84*$I84/12*1,0)))))+IF(CU$5&lt;&gt;$H84,0,IF(CU84&lt;0,IF($J84=4,-$E84*$I84/12*0,IF($J84=5,-$E84*$I84/12*1,IF($J84=6,-$E84*$I84/12*2,IF($J84&gt;=7,-$E84*$I84/12*3,0))))))</f>
        <v>0</v>
      </c>
      <c r="CX84" s="406">
        <f>IF($H84&lt;&gt;CZ$5,0,IF(CZ84&lt;0,IF(OR($J84=1,$J84=2,$J84=3,$J84=4,$J84=5,$J84=6,$J84=7),-$E84*$I84/12*3,IF($J84=8,-$E84*$I84/12*2,IF($J84=9,-$E84*$I84/12*1,0)))))+IF(CU$5&lt;&gt;$H84,0,IF(CU84&lt;0,IF($J84=7,-$E84*$I84/12*0,IF($J84=8,-$E84*$I84/12*1,IF($J84=9,-$E84*$I84/12*2,IF($J84&gt;=10,-$E84*$I84/12*3,0))))))</f>
        <v>0</v>
      </c>
      <c r="CY84" s="402">
        <f>IF($H84&lt;&gt;CZ$5,0,IF(CZ84&lt;0,IF(OR($J84=1,$J84=2,$J84=3,$J84=4,$J84=5,$J84=6,$J84=7,$J84=8,$J84=9,$J84=10),-$E84*$I84/12*3,IF($J84=11,-$E84*$I84/12*2,IF($J84=12,-$E84*$I84/12*1,0)))))+IF(CU$5&lt;&gt;$H84,0,IF(CU84&lt;0,IF($J84=10,-$E84*$I84/12*0,IF($J84=11,-$E84*$I84/12*1,IF($J84=12,-$E84*$I84/12*2,0)))))</f>
        <v>0</v>
      </c>
      <c r="CZ84" s="403">
        <f>IF(AND(CU84&lt;&gt;0,CU$5=$H84),-$I84*$E84-CU84,IF(CZ$5=$H84,-$I84*$E84*(12-$J84+1)/12,0))</f>
        <v>0</v>
      </c>
      <c r="DA84" s="400">
        <f>IF($H84&lt;&gt;DE$5,0,IF(DE84&lt;0,IF($J84=1,-$E84*$I84/12*3,IF($J84=2,-$E84*$I84/12*2,IF($J84=3,-$E84*$I84/12*1,0)))))+IF(CZ$5&lt;&gt;$H84,0,IF(CZ84&lt;0,IF($J84=1,-$E84*$I84/12*0,IF($J84=2,-$E84*$I84/12*1,IF($J84=3,-$E84*$I84/12*2,IF($J84&gt;=4,-$E84*$I84/12*3,0))))))</f>
        <v>0</v>
      </c>
      <c r="DB84" s="406">
        <f>IF($H84&lt;&gt;DE$5,0,IF(DE84&lt;0,IF(OR($J84=1,$J84=2,$J84=3,$J84=4),-$E84*$I84/12*3,IF($J84=5,-$E84*$I84/12*2,IF($J84=6,-$E84*$I84/12*1,0)))))+IF(CZ$5&lt;&gt;$H84,0,IF(CZ84&lt;0,IF($J84=4,-$E84*$I84/12*0,IF($J84=5,-$E84*$I84/12*1,IF($J84=6,-$E84*$I84/12*2,IF($J84&gt;=7,-$E84*$I84/12*3,0))))))</f>
        <v>0</v>
      </c>
      <c r="DC84" s="406">
        <f>IF($H84&lt;&gt;DE$5,0,IF(DE84&lt;0,IF(OR($J84=1,$J84=2,$J84=3,$J84=4,$J84=5,$J84=6,$J84=7),-$E84*$I84/12*3,IF($J84=8,-$E84*$I84/12*2,IF($J84=9,-$E84*$I84/12*1,0)))))+IF(CZ$5&lt;&gt;$H84,0,IF(CZ84&lt;0,IF($J84=7,-$E84*$I84/12*0,IF($J84=8,-$E84*$I84/12*1,IF($J84=9,-$E84*$I84/12*2,IF($J84&gt;=10,-$E84*$I84/12*3,0))))))</f>
        <v>0</v>
      </c>
      <c r="DD84" s="402">
        <f>IF($H84&lt;&gt;DE$5,0,IF(DE84&lt;0,IF(OR($J84=1,$J84=2,$J84=3,$J84=4,$J84=5,$J84=6,$J84=7,$J84=8,$J84=9,$J84=10),-$E84*$I84/12*3,IF($J84=11,-$E84*$I84/12*2,IF($J84=12,-$E84*$I84/12*1,0)))))+IF(CZ$5&lt;&gt;$H84,0,IF(CZ84&lt;0,IF($J84=10,-$E84*$I84/12*0,IF($J84=11,-$E84*$I84/12*1,IF($J84=12,-$E84*$I84/12*2,0)))))</f>
        <v>-1.96875</v>
      </c>
      <c r="DE84" s="403">
        <f>IF(AND(CZ84&lt;&gt;0,CZ$5=$H84),-$I84*$E84-CZ84,IF(DE$5=$H84,-$I84*$E84*(12-$J84+1)/12,0))</f>
        <v>-1.96875</v>
      </c>
      <c r="DF84" s="400">
        <f>IF($H84&lt;&gt;DJ$5,0,IF(DJ84&lt;0,IF($J84=1,-$E84*$I84/12*3,IF($J84=2,-$E84*$I84/12*2,IF($J84=3,-$E84*$I84/12*1,0)))))+IF(DE$5&lt;&gt;$H84,0,IF(DE84&lt;0,IF($J84=1,-$E84*$I84/12*0,IF($J84=2,-$E84*$I84/12*1,IF($J84=3,-$E84*$I84/12*2,IF($J84&gt;=4,-$E84*$I84/12*3,0))))))</f>
        <v>-1.96875</v>
      </c>
      <c r="DG84" s="406">
        <f>IF($H84&lt;&gt;DJ$5,0,IF(DJ84&lt;0,IF(OR($J84=1,$J84=2,$J84=3,$J84=4),-$E84*$I84/12*3,IF($J84=5,-$E84*$I84/12*2,IF($J84=6,-$E84*$I84/12*1,0)))))+IF(DE$5&lt;&gt;$H84,0,IF(DE84&lt;0,IF($J84=4,-$E84*$I84/12*0,IF($J84=5,-$E84*$I84/12*1,IF($J84=6,-$E84*$I84/12*2,IF($J84&gt;=7,-$E84*$I84/12*3,0))))))</f>
        <v>-1.96875</v>
      </c>
      <c r="DH84" s="406">
        <f>IF($H84&lt;&gt;DJ$5,0,IF(DJ84&lt;0,IF(OR($J84=1,$J84=2,$J84=3,$J84=4,$J84=5,$J84=6,$J84=7),-$E84*$I84/12*3,IF($J84=8,-$E84*$I84/12*2,IF($J84=9,-$E84*$I84/12*1,0)))))+IF(DE$5&lt;&gt;$H84,0,IF(DE84&lt;0,IF($J84=7,-$E84*$I84/12*0,IF($J84=8,-$E84*$I84/12*1,IF($J84=9,-$E84*$I84/12*2,IF($J84&gt;=10,-$E84*$I84/12*3,0))))))</f>
        <v>-1.96875</v>
      </c>
      <c r="DI84" s="402">
        <f>IF($H84&lt;&gt;DJ$5,0,IF(DJ84&lt;0,IF(OR($J84=1,$J84=2,$J84=3,$J84=4,$J84=5,$J84=6,$J84=7,$J84=8,$J84=9,$J84=10),-$E84*$I84/12*3,IF($J84=11,-$E84*$I84/12*2,IF($J84=12,-$E84*$I84/12*1,0)))))+IF(DE$5&lt;&gt;$H84,0,IF(DE84&lt;0,IF($J84=10,-$E84*$I84/12*0,IF($J84=11,-$E84*$I84/12*1,IF($J84=12,-$E84*$I84/12*2,0)))))</f>
        <v>0</v>
      </c>
      <c r="DJ84" s="403">
        <f>IF(AND(DE84&lt;&gt;0,DE$5=$H84),-$I84*$E84-DE84,IF(DJ$5=$H84,-$I84*$E84*(12-$J84+1)/12,0))</f>
        <v>-5.90625</v>
      </c>
      <c r="DK84" s="400">
        <f>IF($H84&lt;&gt;DO$5,0,IF(DO84&lt;0,IF($J84=1,-$E84*$I84/12*3,IF($J84=2,-$E84*$I84/12*2,IF($J84=3,-$E84*$I84/12*1,0)))))+IF(DJ$5&lt;&gt;$H84,0,IF(DJ84&lt;0,IF($J84=1,-$E84*$I84/12*0,IF($J84=2,-$E84*$I84/12*1,IF($J84=3,-$E84*$I84/12*2,IF($J84&gt;=4,-$E84*$I84/12*3,0))))))</f>
        <v>0</v>
      </c>
      <c r="DL84" s="406">
        <f>IF($H84&lt;&gt;DO$5,0,IF(DO84&lt;0,IF(OR($J84=1,$J84=2,$J84=3,$J84=4),-$E84*$I84/12*3,IF($J84=5,-$E84*$I84/12*2,IF($J84=6,-$E84*$I84/12*1,0)))))+IF(DJ$5&lt;&gt;$H84,0,IF(DJ84&lt;0,IF($J84=4,-$E84*$I84/12*0,IF($J84=5,-$E84*$I84/12*1,IF($J84=6,-$E84*$I84/12*2,IF($J84&gt;=7,-$E84*$I84/12*3,0))))))</f>
        <v>0</v>
      </c>
      <c r="DM84" s="406">
        <f>IF($H84&lt;&gt;DO$5,0,IF(DO84&lt;0,IF(OR($J84=1,$J84=2,$J84=3,$J84=4,$J84=5,$J84=6,$J84=7),-$E84*$I84/12*3,IF($J84=8,-$E84*$I84/12*2,IF($J84=9,-$E84*$I84/12*1,0)))))+IF(DJ$5&lt;&gt;$H84,0,IF(DJ84&lt;0,IF($J84=7,-$E84*$I84/12*0,IF($J84=8,-$E84*$I84/12*1,IF($J84=9,-$E84*$I84/12*2,IF($J84&gt;=10,-$E84*$I84/12*3,0))))))</f>
        <v>0</v>
      </c>
      <c r="DN84" s="402">
        <f>IF($H84&lt;&gt;DO$5,0,IF(DO84&lt;0,IF(OR($J84=1,$J84=2,$J84=3,$J84=4,$J84=5,$J84=6,$J84=7,$J84=8,$J84=9,$J84=10),-$E84*$I84/12*3,IF($J84=11,-$E84*$I84/12*2,IF($J84=12,-$E84*$I84/12*1,0)))))+IF(DJ$5&lt;&gt;$H84,0,IF(DJ84&lt;0,IF($J84=10,-$E84*$I84/12*0,IF($J84=11,-$E84*$I84/12*1,IF($J84=12,-$E84*$I84/12*2,0)))))</f>
        <v>0</v>
      </c>
      <c r="DO84" s="403">
        <f>IF(AND(DJ84&lt;&gt;0,DJ$5=$H84),-$I84*$E84-DJ84,IF(DO$5=$H84,-$I84*$E84*(12-$J84+1)/12,0))</f>
        <v>0</v>
      </c>
      <c r="DP84" s="400">
        <f>IF($H84&lt;&gt;DT$5,0,IF(DT84&lt;0,IF($J84=1,-$E84*$I84/12*3,IF($J84=2,-$E84*$I84/12*2,IF($J84=3,-$E84*$I84/12*1,0)))))+IF(DO$5&lt;&gt;$H84,0,IF(DO84&lt;0,IF($J84=1,-$E84*$I84/12*0,IF($J84=2,-$E84*$I84/12*1,IF($J84=3,-$E84*$I84/12*2,IF($J84&gt;=4,-$E84*$I84/12*3,0))))))</f>
        <v>0</v>
      </c>
      <c r="DQ84" s="406">
        <f>IF($H84&lt;&gt;DT$5,0,IF(DT84&lt;0,IF(OR($J84=1,$J84=2,$J84=3,$J84=4),-$E84*$I84/12*3,IF($J84=5,-$E84*$I84/12*2,IF($J84=6,-$E84*$I84/12*1,0)))))+IF(DO$5&lt;&gt;$H84,0,IF(DO84&lt;0,IF($J84=4,-$E84*$I84/12*0,IF($J84=5,-$E84*$I84/12*1,IF($J84=6,-$E84*$I84/12*2,IF($J84&gt;=7,-$E84*$I84/12*3,0))))))</f>
        <v>0</v>
      </c>
      <c r="DR84" s="406">
        <f>IF($H84&lt;&gt;DT$5,0,IF(DT84&lt;0,IF(OR($J84=1,$J84=2,$J84=3,$J84=4,$J84=5,$J84=6,$J84=7),-$E84*$I84/12*3,IF($J84=8,-$E84*$I84/12*2,IF($J84=9,-$E84*$I84/12*1,0)))))+IF(DO$5&lt;&gt;$H84,0,IF(DO84&lt;0,IF($J84=7,-$E84*$I84/12*0,IF($J84=8,-$E84*$I84/12*1,IF($J84=9,-$E84*$I84/12*2,IF($J84&gt;=10,-$E84*$I84/12*3,0))))))</f>
        <v>0</v>
      </c>
      <c r="DS84" s="402">
        <f>IF($H84&lt;&gt;DT$5,0,IF(DT84&lt;0,IF(OR($J84=1,$J84=2,$J84=3,$J84=4,$J84=5,$J84=6,$J84=7,$J84=8,$J84=9,$J84=10),-$E84*$I84/12*3,IF($J84=11,-$E84*$I84/12*2,IF($J84=12,-$E84*$I84/12*1,0)))))+IF(DO$5&lt;&gt;$H84,0,IF(DO84&lt;0,IF($J84=10,-$E84*$I84/12*0,IF($J84=11,-$E84*$I84/12*1,IF($J84=12,-$E84*$I84/12*2,0)))))</f>
        <v>0</v>
      </c>
      <c r="DT84" s="403">
        <f>IF(AND(DO84&lt;&gt;0,DO$5=$H84),-$I84*$E84-DO84,IF(DT$5=$H84,-$I84*$E84*(12-$J84+1)/12,0))</f>
        <v>0</v>
      </c>
      <c r="EF84" s="35"/>
      <c r="EI84" s="759"/>
    </row>
    <row r="85" spans="1:139" ht="12.75" customHeight="1" x14ac:dyDescent="0.2">
      <c r="C85" s="850" t="s">
        <v>564</v>
      </c>
      <c r="D85" s="807"/>
      <c r="E85" s="530">
        <f>IF(F85=0,G85,F85)</f>
        <v>200</v>
      </c>
      <c r="F85" s="715">
        <v>200</v>
      </c>
      <c r="G85" s="715">
        <v>200</v>
      </c>
      <c r="H85" s="808">
        <v>2024</v>
      </c>
      <c r="I85" s="809">
        <v>3.3000000000000002E-2</v>
      </c>
      <c r="J85" s="810">
        <v>6</v>
      </c>
      <c r="K85" s="448"/>
      <c r="L85" s="397">
        <f>IF(L$5=$H85,-$E85,0)</f>
        <v>0</v>
      </c>
      <c r="M85" s="394">
        <f>IF(Q85=0,0,IF(Q85&lt;0,IF($J85=3,Q85,IF($J85=2,Q85,IF($J85=1,Q85,0)))))</f>
        <v>0</v>
      </c>
      <c r="N85" s="404">
        <f>IF(Q85=0,0,IF(Q85&lt;0,IF($J85=6,Q85,IF($J85=5,Q85,IF($J85=4,Q85,0)))))</f>
        <v>0</v>
      </c>
      <c r="O85" s="404">
        <f>IF(Q85=0,0,IF(Q85&lt;0,IF($J85=9,Q85,IF($J85=8,Q85,IF($J85=7,Q85,0)))))</f>
        <v>0</v>
      </c>
      <c r="P85" s="396">
        <f>IF(Q85=0,0,IF(Q85&lt;0,IF($J85=12,Q85,IF($J85=11,Q85,IF($J85=10,Q85,0)))))</f>
        <v>0</v>
      </c>
      <c r="Q85" s="397">
        <f>IF(Q$5=$H85,-$E85,0)</f>
        <v>0</v>
      </c>
      <c r="R85" s="394">
        <f>IF(V85=0,0,IF(V85&lt;0,IF($J85=3,V85,IF($J85=2,V85,IF($J85=1,V85,0)))))</f>
        <v>0</v>
      </c>
      <c r="S85" s="404">
        <f>IF(V85=0,0,IF(V85&lt;0,IF($J85=6,V85,IF($J85=5,V85,IF($J85=4,V85,0)))))</f>
        <v>0</v>
      </c>
      <c r="T85" s="404">
        <f>IF(V85=0,0,IF(V85&lt;0,IF($J85=9,V85,IF($J85=8,V85,IF($J85=7,V85,0)))))</f>
        <v>0</v>
      </c>
      <c r="U85" s="396">
        <f>IF(V85=0,0,IF(V85&lt;0,IF($J85=12,V85,IF($J85=11,V85,IF($J85=10,V85,0)))))</f>
        <v>0</v>
      </c>
      <c r="V85" s="397">
        <f>IF(V$5=$H85,-$E85,0)</f>
        <v>0</v>
      </c>
      <c r="W85" s="394">
        <f>IF(AA85=0,0,IF(AA85&lt;0,IF($J85=3,AA85,IF($J85=2,AA85,IF($J85=1,AA85,0)))))</f>
        <v>0</v>
      </c>
      <c r="X85" s="404">
        <f>IF(AA85=0,0,IF(AA85&lt;0,IF($J85=6,AA85,IF($J85=5,AA85,IF($J85=4,AA85,0)))))</f>
        <v>0</v>
      </c>
      <c r="Y85" s="404">
        <f>IF(AA85=0,0,IF(AA85&lt;0,IF($J85=9,AA85,IF($J85=8,AA85,IF($J85=7,AA85,0)))))</f>
        <v>0</v>
      </c>
      <c r="Z85" s="396">
        <f>IF(AA85=0,0,IF(AA85&lt;0,IF($J85=12,AA85,IF($J85=11,AA85,IF($J85=10,AA85,0)))))</f>
        <v>0</v>
      </c>
      <c r="AA85" s="397">
        <f>IF(AA$5=$H85,-$E85,0)</f>
        <v>0</v>
      </c>
      <c r="AB85" s="394">
        <f>IF(AF85=0,0,IF(AF85&lt;0,IF($J85=3,AF85,IF($J85=2,AF85,IF($J85=1,AF85,0)))))</f>
        <v>0</v>
      </c>
      <c r="AC85" s="404">
        <f>IF(AF85=0,0,IF(AF85&lt;0,IF($J85=6,AF85,IF($J85=5,AF85,IF($J85=4,AF85,0)))))</f>
        <v>0</v>
      </c>
      <c r="AD85" s="404">
        <f>IF(AF85=0,0,IF(AF85&lt;0,IF($J85=9,AF85,IF($J85=8,AF85,IF($J85=7,AF85,0)))))</f>
        <v>0</v>
      </c>
      <c r="AE85" s="396">
        <f>IF(AF85=0,0,IF(AF85&lt;0,IF($J85=12,AF85,IF($J85=11,AF85,IF($J85=10,AF85,0)))))</f>
        <v>0</v>
      </c>
      <c r="AF85" s="397">
        <f>IF(AF$5=$H85,-$E85,0)</f>
        <v>0</v>
      </c>
      <c r="AG85" s="394">
        <f>IF(AK85=0,0,IF(AK85&lt;0,IF($J85=3,AK85,IF($J85=2,AK85,IF($J85=1,AK85,0)))))</f>
        <v>0</v>
      </c>
      <c r="AH85" s="404">
        <f>IF(AK85=0,0,IF(AK85&lt;0,IF($J85=6,AK85,IF($J85=5,AK85,IF($J85=4,AK85,0)))))</f>
        <v>0</v>
      </c>
      <c r="AI85" s="404">
        <f>IF(AK85=0,0,IF(AK85&lt;0,IF($J85=9,AK85,IF($J85=8,AK85,IF($J85=7,AK85,0)))))</f>
        <v>0</v>
      </c>
      <c r="AJ85" s="396">
        <f>IF(AK85=0,0,IF(AK85&lt;0,IF($J85=12,AK85,IF($J85=11,AK85,IF($J85=10,AK85,0)))))</f>
        <v>0</v>
      </c>
      <c r="AK85" s="397">
        <f>IF(AK$5=$H85,-$E85,0)</f>
        <v>0</v>
      </c>
      <c r="AL85" s="394">
        <f>IF(AP85=0,0,IF(AP85&lt;0,IF($J85=3,AP85,IF($J85=2,AP85,IF($J85=1,AP85,0)))))</f>
        <v>0</v>
      </c>
      <c r="AM85" s="404">
        <f>IF(AP85=0,0,IF(AP85&lt;0,IF($J85=6,AP85,IF($J85=5,AP85,IF($J85=4,AP85,0)))))</f>
        <v>0</v>
      </c>
      <c r="AN85" s="404">
        <f>IF(AP85=0,0,IF(AP85&lt;0,IF($J85=9,AP85,IF($J85=8,AP85,IF($J85=7,AP85,0)))))</f>
        <v>0</v>
      </c>
      <c r="AO85" s="396">
        <f>IF(AP85=0,0,IF(AP85&lt;0,IF($J85=12,AP85,IF($J85=11,AP85,IF($J85=10,AP85,0)))))</f>
        <v>0</v>
      </c>
      <c r="AP85" s="397">
        <f>IF(AP$5=$H85,-$E85,0)</f>
        <v>0</v>
      </c>
      <c r="AQ85" s="394">
        <f>IF(AU85=0,0,IF(AU85&lt;0,IF($J85=3,AU85,IF($J85=2,AU85,IF($J85=1,AU85,0)))))</f>
        <v>0</v>
      </c>
      <c r="AR85" s="404">
        <f>IF(AU85=0,0,IF(AU85&lt;0,IF($J85=6,AU85,IF($J85=5,AU85,IF($J85=4,AU85,0)))))</f>
        <v>0</v>
      </c>
      <c r="AS85" s="404">
        <f>IF(AU85=0,0,IF(AU85&lt;0,IF($J85=9,AU85,IF($J85=8,AU85,IF($J85=7,AU85,0)))))</f>
        <v>0</v>
      </c>
      <c r="AT85" s="396">
        <f>IF(AU85=0,0,IF(AU85&lt;0,IF($J85=12,AU85,IF($J85=11,AU85,IF($J85=10,AU85,0)))))</f>
        <v>0</v>
      </c>
      <c r="AU85" s="397">
        <f>IF(AU$5=$H85,-$E85,0)</f>
        <v>0</v>
      </c>
      <c r="AV85" s="394">
        <f>IF(AZ85=0,0,IF(AZ85&lt;0,IF($J85=3,AZ85,IF($J85=2,AZ85,IF($J85=1,AZ85,0)))))</f>
        <v>0</v>
      </c>
      <c r="AW85" s="404">
        <f>IF(AZ85=0,0,IF(AZ85&lt;0,IF($J85=6,AZ85,IF($J85=5,AZ85,IF($J85=4,AZ85,0)))))</f>
        <v>0</v>
      </c>
      <c r="AX85" s="404">
        <f>IF(AZ85=0,0,IF(AZ85&lt;0,IF($J85=9,AZ85,IF($J85=8,AZ85,IF($J85=7,AZ85,0)))))</f>
        <v>0</v>
      </c>
      <c r="AY85" s="396">
        <f>IF(AZ85=0,0,IF(AZ85&lt;0,IF($J85=12,AZ85,IF($J85=11,AZ85,IF($J85=10,AZ85,0)))))</f>
        <v>0</v>
      </c>
      <c r="AZ85" s="397">
        <f>IF(AZ$5=$H85,-$E85,0)</f>
        <v>0</v>
      </c>
      <c r="BA85" s="394">
        <f>IF(BE85=0,0,IF(BE85&lt;0,IF($J85=3,BE85,IF($J85=2,BE85,IF($J85=1,BE85,0)))))</f>
        <v>0</v>
      </c>
      <c r="BB85" s="404">
        <f>IF(BE85=0,0,IF(BE85&lt;0,IF($J85=6,BE85,IF($J85=5,BE85,IF($J85=4,BE85,0)))))</f>
        <v>0</v>
      </c>
      <c r="BC85" s="404">
        <f>IF(BE85=0,0,IF(BE85&lt;0,IF($J85=9,BE85,IF($J85=8,BE85,IF($J85=7,BE85,0)))))</f>
        <v>0</v>
      </c>
      <c r="BD85" s="396">
        <f>IF(BE85=0,0,IF(BE85&lt;0,IF($J85=12,BE85,IF($J85=11,BE85,IF($J85=10,BE85,0)))))</f>
        <v>0</v>
      </c>
      <c r="BE85" s="397">
        <f>IF(BE$5=$H85,-$E85,0)</f>
        <v>0</v>
      </c>
      <c r="BF85" s="394">
        <f>IF(BJ85=0,0,IF(BJ85&lt;0,IF($J85=3,BJ85,IF($J85=2,BJ85,IF($J85=1,BJ85,0)))))</f>
        <v>0</v>
      </c>
      <c r="BG85" s="404">
        <f>IF(BJ85=0,0,IF(BJ85&lt;0,IF($J85=6,BJ85,IF($J85=5,BJ85,IF($J85=4,BJ85,0)))))</f>
        <v>0</v>
      </c>
      <c r="BH85" s="404">
        <f>IF(BJ85=0,0,IF(BJ85&lt;0,IF($J85=9,BJ85,IF($J85=8,BJ85,IF($J85=7,BJ85,0)))))</f>
        <v>0</v>
      </c>
      <c r="BI85" s="396">
        <f>IF(BJ85=0,0,IF(BJ85&lt;0,IF($J85=12,BJ85,IF($J85=11,BJ85,IF($J85=10,BJ85,0)))))</f>
        <v>0</v>
      </c>
      <c r="BJ85" s="397">
        <f>IF(BJ$5=$H85,-$E85,0)</f>
        <v>0</v>
      </c>
      <c r="BK85" s="394">
        <f>IF(BO85=0,0,IF(BO85&lt;0,IF($J85=3,BO85,IF($J85=2,BO85,IF($J85=1,BO85,0)))))</f>
        <v>0</v>
      </c>
      <c r="BL85" s="404">
        <f>IF(BO85=0,0,IF(BO85&lt;0,IF($J85=6,BO85,IF($J85=5,BO85,IF($J85=4,BO85,0)))))</f>
        <v>0</v>
      </c>
      <c r="BM85" s="404">
        <f>IF(BO85=0,0,IF(BO85&lt;0,IF($J85=9,BO85,IF($J85=8,BO85,IF($J85=7,BO85,0)))))</f>
        <v>0</v>
      </c>
      <c r="BN85" s="396">
        <f>IF(BO85=0,0,IF(BO85&lt;0,IF($J85=12,BO85,IF($J85=11,BO85,IF($J85=10,BO85,0)))))</f>
        <v>0</v>
      </c>
      <c r="BO85" s="397">
        <f>IF(BO$5=$H85,-$E85,0)</f>
        <v>0</v>
      </c>
      <c r="BP85" s="452"/>
      <c r="BQ85" s="403">
        <f>IF(AND(BP85&lt;&gt;0,BP$5=$H85),-$I85*$E85-BP85,IF(BQ$5=$H85,-$I85*$E85*(12-$J85+1)/12,0))</f>
        <v>0</v>
      </c>
      <c r="BR85" s="400">
        <f>IF($H85&lt;&gt;BV$5,0,IF(BV85&lt;0,IF($J85=1,-$E85*$I85/12*3,IF($J85=2,-$E85*$I85/12*2,IF($J85=3,-$E85*$I85/12*1,0)))))+IF(BQ$5&lt;&gt;$H85,0,IF(BQ85&lt;0,IF($J85=1,-$E85*$I85/12*0,IF($J85=2,-$E85*$I85/12*1,IF($J85=3,-$E85*$I85/12*2,IF($J85&gt;=4,-$E85*$I85/12*3,0))))))</f>
        <v>0</v>
      </c>
      <c r="BS85" s="406">
        <f>IF($H85&lt;&gt;BV$5,0,IF(BV85&lt;0,IF(OR($J85=1,$J85=2,$J85=3,$J85=4),-$E85*$I85/12*3,IF($J85=5,-$E85*$I85/12*2,IF($J85=6,-$E85*$I85/12*1,0)))))+IF(BQ$5&lt;&gt;$H85,0,IF(BQ85&lt;0,IF($J85=4,-$E85*$I85/12*0,IF($J85=5,-$E85*$I85/12*1,IF($J85=6,-$E85*$I85/12*2,IF($J85&gt;=7,-$E85*$I85/12*3,0))))))</f>
        <v>0</v>
      </c>
      <c r="BT85" s="406">
        <f>IF($H85&lt;&gt;BV$5,0,IF(BV85&lt;0,IF(OR($J85=1,$J85=2,$J85=3,$J85=4,$J85=5,$J85=6,$J85=7),-$E85*$I85/12*3,IF($J85=8,-$E85*$I85/12*2,IF($J85=9,-$E85*$I85/12*1,0)))))+IF(BQ$5&lt;&gt;$H85,0,IF(BQ85&lt;0,IF($J85=7,-$E85*$I85/12*0,IF($J85=8,-$E85*$I85/12*1,IF($J85=9,-$E85*$I85/12*2,IF($J85&gt;=10,-$E85*$I85/12*3,0))))))</f>
        <v>0</v>
      </c>
      <c r="BU85" s="402">
        <f>IF($H85&lt;&gt;BV$5,0,IF(BV85&lt;0,IF(OR($J85=1,$J85=2,$J85=3,$J85=4,$J85=5,$J85=6,$J85=7,$J85=8,$J85=9,$J85=10),-$E85*$I85/12*3,IF($J85=11,-$E85*$I85/12*2,IF($J85=12,-$E85*$I85/12*1,0)))))+IF(BQ$5&lt;&gt;$H85,0,IF(BQ85&lt;0,IF($J85=10,-$E85*$I85/12*0,IF($J85=11,-$E85*$I85/12*1,IF($J85=12,-$E85*$I85/12*2,0)))))</f>
        <v>0</v>
      </c>
      <c r="BV85" s="403">
        <f>IF(AND(BQ85&lt;&gt;0,BQ$5=$H85),-$I85*$E85-BQ85,IF(BV$5=$H85,-$I85*$E85*(12-$J85+1)/12,0))</f>
        <v>0</v>
      </c>
      <c r="BW85" s="400">
        <f>IF($H85&lt;&gt;CA$5,0,IF(CA85&lt;0,IF($J85=1,-$E85*$I85/12*3,IF($J85=2,-$E85*$I85/12*2,IF($J85=3,-$E85*$I85/12*1,0)))))+IF(BV$5&lt;&gt;$H85,0,IF(BV85&lt;0,IF($J85=1,-$E85*$I85/12*0,IF($J85=2,-$E85*$I85/12*1,IF($J85=3,-$E85*$I85/12*2,IF($J85&gt;=4,-$E85*$I85/12*3,0))))))</f>
        <v>0</v>
      </c>
      <c r="BX85" s="406">
        <f>IF($H85&lt;&gt;CA$5,0,IF(CA85&lt;0,IF(OR($J85=1,$J85=2,$J85=3,$J85=4),-$E85*$I85/12*3,IF($J85=5,-$E85*$I85/12*2,IF($J85=6,-$E85*$I85/12*1,0)))))+IF(BV$5&lt;&gt;$H85,0,IF(BV85&lt;0,IF($J85=4,-$E85*$I85/12*0,IF($J85=5,-$E85*$I85/12*1,IF($J85=6,-$E85*$I85/12*2,IF($J85&gt;=7,-$E85*$I85/12*3,0))))))</f>
        <v>0</v>
      </c>
      <c r="BY85" s="406">
        <f>IF($H85&lt;&gt;CA$5,0,IF(CA85&lt;0,IF(OR($J85=1,$J85=2,$J85=3,$J85=4,$J85=5,$J85=6,$J85=7),-$E85*$I85/12*3,IF($J85=8,-$E85*$I85/12*2,IF($J85=9,-$E85*$I85/12*1,0)))))+IF(BV$5&lt;&gt;$H85,0,IF(BV85&lt;0,IF($J85=7,-$E85*$I85/12*0,IF($J85=8,-$E85*$I85/12*1,IF($J85=9,-$E85*$I85/12*2,IF($J85&gt;=10,-$E85*$I85/12*3,0))))))</f>
        <v>0</v>
      </c>
      <c r="BZ85" s="402">
        <f>IF($H85&lt;&gt;CA$5,0,IF(CA85&lt;0,IF(OR($J85=1,$J85=2,$J85=3,$J85=4,$J85=5,$J85=6,$J85=7,$J85=8,$J85=9,$J85=10),-$E85*$I85/12*3,IF($J85=11,-$E85*$I85/12*2,IF($J85=12,-$E85*$I85/12*1,0)))))+IF(BV$5&lt;&gt;$H85,0,IF(BV85&lt;0,IF($J85=10,-$E85*$I85/12*0,IF($J85=11,-$E85*$I85/12*1,IF($J85=12,-$E85*$I85/12*2,0)))))</f>
        <v>0</v>
      </c>
      <c r="CA85" s="403">
        <f>IF(AND(BV85&lt;&gt;0,BV$5=$H85),-$I85*$E85-BV85,IF(CA$5=$H85,-$I85*$E85*(12-$J85+1)/12,0))</f>
        <v>0</v>
      </c>
      <c r="CB85" s="400">
        <f>IF($H85&lt;&gt;CF$5,0,IF(CF85&lt;0,IF($J85=1,-$E85*$I85/12*3,IF($J85=2,-$E85*$I85/12*2,IF($J85=3,-$E85*$I85/12*1,0)))))+IF(CA$5&lt;&gt;$H85,0,IF(CA85&lt;0,IF($J85=1,-$E85*$I85/12*0,IF($J85=2,-$E85*$I85/12*1,IF($J85=3,-$E85*$I85/12*2,IF($J85&gt;=4,-$E85*$I85/12*3,0))))))</f>
        <v>0</v>
      </c>
      <c r="CC85" s="406">
        <f>IF($H85&lt;&gt;CF$5,0,IF(CF85&lt;0,IF(OR($J85=1,$J85=2,$J85=3,$J85=4),-$E85*$I85/12*3,IF($J85=5,-$E85*$I85/12*2,IF($J85=6,-$E85*$I85/12*1,0)))))+IF(CA$5&lt;&gt;$H85,0,IF(CA85&lt;0,IF($J85=4,-$E85*$I85/12*0,IF($J85=5,-$E85*$I85/12*1,IF($J85=6,-$E85*$I85/12*2,IF($J85&gt;=7,-$E85*$I85/12*3,0))))))</f>
        <v>0</v>
      </c>
      <c r="CD85" s="406">
        <f>IF($H85&lt;&gt;CF$5,0,IF(CF85&lt;0,IF(OR($J85=1,$J85=2,$J85=3,$J85=4,$J85=5,$J85=6,$J85=7),-$E85*$I85/12*3,IF($J85=8,-$E85*$I85/12*2,IF($J85=9,-$E85*$I85/12*1,0)))))+IF(CA$5&lt;&gt;$H85,0,IF(CA85&lt;0,IF($J85=7,-$E85*$I85/12*0,IF($J85=8,-$E85*$I85/12*1,IF($J85=9,-$E85*$I85/12*2,IF($J85&gt;=10,-$E85*$I85/12*3,0))))))</f>
        <v>0</v>
      </c>
      <c r="CE85" s="402">
        <f>IF($H85&lt;&gt;CF$5,0,IF(CF85&lt;0,IF(OR($J85=1,$J85=2,$J85=3,$J85=4,$J85=5,$J85=6,$J85=7,$J85=8,$J85=9,$J85=10),-$E85*$I85/12*3,IF($J85=11,-$E85*$I85/12*2,IF($J85=12,-$E85*$I85/12*1,0)))))+IF(CA$5&lt;&gt;$H85,0,IF(CA85&lt;0,IF($J85=10,-$E85*$I85/12*0,IF($J85=11,-$E85*$I85/12*1,IF($J85=12,-$E85*$I85/12*2,0)))))</f>
        <v>0</v>
      </c>
      <c r="CF85" s="403">
        <f>IF(AND(CA85&lt;&gt;0,CA$5=$H85),-$I85*$E85-CA85,IF(CF$5=$H85,-$I85*$E85*(12-$J85+1)/12,0))</f>
        <v>0</v>
      </c>
      <c r="CG85" s="400">
        <f>IF($H85&lt;&gt;CK$5,0,IF(CK85&lt;0,IF($J85=1,-$E85*$I85/12*3,IF($J85=2,-$E85*$I85/12*2,IF($J85=3,-$E85*$I85/12*1,0)))))+IF(CF$5&lt;&gt;$H85,0,IF(CF85&lt;0,IF($J85=1,-$E85*$I85/12*0,IF($J85=2,-$E85*$I85/12*1,IF($J85=3,-$E85*$I85/12*2,IF($J85&gt;=4,-$E85*$I85/12*3,0))))))</f>
        <v>0</v>
      </c>
      <c r="CH85" s="406">
        <f>IF($H85&lt;&gt;CK$5,0,IF(CK85&lt;0,IF(OR($J85=1,$J85=2,$J85=3,$J85=4),-$E85*$I85/12*3,IF($J85=5,-$E85*$I85/12*2,IF($J85=6,-$E85*$I85/12*1,0)))))+IF(CF$5&lt;&gt;$H85,0,IF(CF85&lt;0,IF($J85=4,-$E85*$I85/12*0,IF($J85=5,-$E85*$I85/12*1,IF($J85=6,-$E85*$I85/12*2,IF($J85&gt;=7,-$E85*$I85/12*3,0))))))</f>
        <v>0</v>
      </c>
      <c r="CI85" s="406">
        <f>IF($H85&lt;&gt;CK$5,0,IF(CK85&lt;0,IF(OR($J85=1,$J85=2,$J85=3,$J85=4,$J85=5,$J85=6,$J85=7),-$E85*$I85/12*3,IF($J85=8,-$E85*$I85/12*2,IF($J85=9,-$E85*$I85/12*1,0)))))+IF(CF$5&lt;&gt;$H85,0,IF(CF85&lt;0,IF($J85=7,-$E85*$I85/12*0,IF($J85=8,-$E85*$I85/12*1,IF($J85=9,-$E85*$I85/12*2,IF($J85&gt;=10,-$E85*$I85/12*3,0))))))</f>
        <v>0</v>
      </c>
      <c r="CJ85" s="402">
        <f>IF($H85&lt;&gt;CK$5,0,IF(CK85&lt;0,IF(OR($J85=1,$J85=2,$J85=3,$J85=4,$J85=5,$J85=6,$J85=7,$J85=8,$J85=9,$J85=10),-$E85*$I85/12*3,IF($J85=11,-$E85*$I85/12*2,IF($J85=12,-$E85*$I85/12*1,0)))))+IF(CF$5&lt;&gt;$H85,0,IF(CF85&lt;0,IF($J85=10,-$E85*$I85/12*0,IF($J85=11,-$E85*$I85/12*1,IF($J85=12,-$E85*$I85/12*2,0)))))</f>
        <v>0</v>
      </c>
      <c r="CK85" s="403">
        <f>IF(AND(CF85&lt;&gt;0,CF$5=$H85),-$I85*$E85-CF85,IF(CK$5=$H85,-$I85*$E85*(12-$J85+1)/12,0))</f>
        <v>0</v>
      </c>
      <c r="CL85" s="400">
        <f>IF($H85&lt;&gt;CP$5,0,IF(CP85&lt;0,IF($J85=1,-$E85*$I85/12*3,IF($J85=2,-$E85*$I85/12*2,IF($J85=3,-$E85*$I85/12*1,0)))))+IF(CK$5&lt;&gt;$H85,0,IF(CK85&lt;0,IF($J85=1,-$E85*$I85/12*0,IF($J85=2,-$E85*$I85/12*1,IF($J85=3,-$E85*$I85/12*2,IF($J85&gt;=4,-$E85*$I85/12*3,0))))))</f>
        <v>0</v>
      </c>
      <c r="CM85" s="406">
        <f>IF($H85&lt;&gt;CP$5,0,IF(CP85&lt;0,IF(OR($J85=1,$J85=2,$J85=3,$J85=4),-$E85*$I85/12*3,IF($J85=5,-$E85*$I85/12*2,IF($J85=6,-$E85*$I85/12*1,0)))))+IF(CK$5&lt;&gt;$H85,0,IF(CK85&lt;0,IF($J85=4,-$E85*$I85/12*0,IF($J85=5,-$E85*$I85/12*1,IF($J85=6,-$E85*$I85/12*2,IF($J85&gt;=7,-$E85*$I85/12*3,0))))))</f>
        <v>0</v>
      </c>
      <c r="CN85" s="406">
        <f>IF($H85&lt;&gt;CP$5,0,IF(CP85&lt;0,IF(OR($J85=1,$J85=2,$J85=3,$J85=4,$J85=5,$J85=6,$J85=7),-$E85*$I85/12*3,IF($J85=8,-$E85*$I85/12*2,IF($J85=9,-$E85*$I85/12*1,0)))))+IF(CK$5&lt;&gt;$H85,0,IF(CK85&lt;0,IF($J85=7,-$E85*$I85/12*0,IF($J85=8,-$E85*$I85/12*1,IF($J85=9,-$E85*$I85/12*2,IF($J85&gt;=10,-$E85*$I85/12*3,0))))))</f>
        <v>0</v>
      </c>
      <c r="CO85" s="402">
        <f>IF($H85&lt;&gt;CP$5,0,IF(CP85&lt;0,IF(OR($J85=1,$J85=2,$J85=3,$J85=4,$J85=5,$J85=6,$J85=7,$J85=8,$J85=9,$J85=10),-$E85*$I85/12*3,IF($J85=11,-$E85*$I85/12*2,IF($J85=12,-$E85*$I85/12*1,0)))))+IF(CK$5&lt;&gt;$H85,0,IF(CK85&lt;0,IF($J85=10,-$E85*$I85/12*0,IF($J85=11,-$E85*$I85/12*1,IF($J85=12,-$E85*$I85/12*2,0)))))</f>
        <v>0</v>
      </c>
      <c r="CP85" s="403">
        <f>IF(AND(CK85&lt;&gt;0,CK$5=$H85),-$I85*$E85-CK85,IF(CP$5=$H85,-$I85*$E85*(12-$J85+1)/12,0))</f>
        <v>0</v>
      </c>
      <c r="CQ85" s="400">
        <f>IF($H85&lt;&gt;CU$5,0,IF(CU85&lt;0,IF($J85=1,-$E85*$I85/12*3,IF($J85=2,-$E85*$I85/12*2,IF($J85=3,-$E85*$I85/12*1,0)))))+IF(CP$5&lt;&gt;$H85,0,IF(CP85&lt;0,IF($J85=1,-$E85*$I85/12*0,IF($J85=2,-$E85*$I85/12*1,IF($J85=3,-$E85*$I85/12*2,IF($J85&gt;=4,-$E85*$I85/12*3,0))))))</f>
        <v>0</v>
      </c>
      <c r="CR85" s="406">
        <f>IF($H85&lt;&gt;CU$5,0,IF(CU85&lt;0,IF(OR($J85=1,$J85=2,$J85=3,$J85=4),-$E85*$I85/12*3,IF($J85=5,-$E85*$I85/12*2,IF($J85=6,-$E85*$I85/12*1,0)))))+IF(CP$5&lt;&gt;$H85,0,IF(CP85&lt;0,IF($J85=4,-$E85*$I85/12*0,IF($J85=5,-$E85*$I85/12*1,IF($J85=6,-$E85*$I85/12*2,IF($J85&gt;=7,-$E85*$I85/12*3,0))))))</f>
        <v>0</v>
      </c>
      <c r="CS85" s="406">
        <f>IF($H85&lt;&gt;CU$5,0,IF(CU85&lt;0,IF(OR($J85=1,$J85=2,$J85=3,$J85=4,$J85=5,$J85=6,$J85=7),-$E85*$I85/12*3,IF($J85=8,-$E85*$I85/12*2,IF($J85=9,-$E85*$I85/12*1,0)))))+IF(CP$5&lt;&gt;$H85,0,IF(CP85&lt;0,IF($J85=7,-$E85*$I85/12*0,IF($J85=8,-$E85*$I85/12*1,IF($J85=9,-$E85*$I85/12*2,IF($J85&gt;=10,-$E85*$I85/12*3,0))))))</f>
        <v>0</v>
      </c>
      <c r="CT85" s="402">
        <f>IF($H85&lt;&gt;CU$5,0,IF(CU85&lt;0,IF(OR($J85=1,$J85=2,$J85=3,$J85=4,$J85=5,$J85=6,$J85=7,$J85=8,$J85=9,$J85=10),-$E85*$I85/12*3,IF($J85=11,-$E85*$I85/12*2,IF($J85=12,-$E85*$I85/12*1,0)))))+IF(CP$5&lt;&gt;$H85,0,IF(CP85&lt;0,IF($J85=10,-$E85*$I85/12*0,IF($J85=11,-$E85*$I85/12*1,IF($J85=12,-$E85*$I85/12*2,0)))))</f>
        <v>0</v>
      </c>
      <c r="CU85" s="403">
        <f>IF(AND(CP85&lt;&gt;0,CP$5=$H85),-$I85*$E85-CP85,IF(CU$5=$H85,-$I85*$E85*(12-$J85+1)/12,0))</f>
        <v>0</v>
      </c>
      <c r="CV85" s="400">
        <f>IF($H85&lt;&gt;CZ$5,0,IF(CZ85&lt;0,IF($J85=1,-$E85*$I85/12*3,IF($J85=2,-$E85*$I85/12*2,IF($J85=3,-$E85*$I85/12*1,0)))))+IF(CU$5&lt;&gt;$H85,0,IF(CU85&lt;0,IF($J85=1,-$E85*$I85/12*0,IF($J85=2,-$E85*$I85/12*1,IF($J85=3,-$E85*$I85/12*2,IF($J85&gt;=4,-$E85*$I85/12*3,0))))))</f>
        <v>0</v>
      </c>
      <c r="CW85" s="406">
        <f>IF($H85&lt;&gt;CZ$5,0,IF(CZ85&lt;0,IF(OR($J85=1,$J85=2,$J85=3,$J85=4),-$E85*$I85/12*3,IF($J85=5,-$E85*$I85/12*2,IF($J85=6,-$E85*$I85/12*1,0)))))+IF(CU$5&lt;&gt;$H85,0,IF(CU85&lt;0,IF($J85=4,-$E85*$I85/12*0,IF($J85=5,-$E85*$I85/12*1,IF($J85=6,-$E85*$I85/12*2,IF($J85&gt;=7,-$E85*$I85/12*3,0))))))</f>
        <v>0</v>
      </c>
      <c r="CX85" s="406">
        <f>IF($H85&lt;&gt;CZ$5,0,IF(CZ85&lt;0,IF(OR($J85=1,$J85=2,$J85=3,$J85=4,$J85=5,$J85=6,$J85=7),-$E85*$I85/12*3,IF($J85=8,-$E85*$I85/12*2,IF($J85=9,-$E85*$I85/12*1,0)))))+IF(CU$5&lt;&gt;$H85,0,IF(CU85&lt;0,IF($J85=7,-$E85*$I85/12*0,IF($J85=8,-$E85*$I85/12*1,IF($J85=9,-$E85*$I85/12*2,IF($J85&gt;=10,-$E85*$I85/12*3,0))))))</f>
        <v>0</v>
      </c>
      <c r="CY85" s="402">
        <f>IF($H85&lt;&gt;CZ$5,0,IF(CZ85&lt;0,IF(OR($J85=1,$J85=2,$J85=3,$J85=4,$J85=5,$J85=6,$J85=7,$J85=8,$J85=9,$J85=10),-$E85*$I85/12*3,IF($J85=11,-$E85*$I85/12*2,IF($J85=12,-$E85*$I85/12*1,0)))))+IF(CU$5&lt;&gt;$H85,0,IF(CU85&lt;0,IF($J85=10,-$E85*$I85/12*0,IF($J85=11,-$E85*$I85/12*1,IF($J85=12,-$E85*$I85/12*2,0)))))</f>
        <v>0</v>
      </c>
      <c r="CZ85" s="403">
        <f>IF(AND(CU85&lt;&gt;0,CU$5=$H85),-$I85*$E85-CU85,IF(CZ$5=$H85,-$I85*$E85*(12-$J85+1)/12,0))</f>
        <v>0</v>
      </c>
      <c r="DA85" s="400">
        <f>IF($H85&lt;&gt;DE$5,0,IF(DE85&lt;0,IF($J85=1,-$E85*$I85/12*3,IF($J85=2,-$E85*$I85/12*2,IF($J85=3,-$E85*$I85/12*1,0)))))+IF(CZ$5&lt;&gt;$H85,0,IF(CZ85&lt;0,IF($J85=1,-$E85*$I85/12*0,IF($J85=2,-$E85*$I85/12*1,IF($J85=3,-$E85*$I85/12*2,IF($J85&gt;=4,-$E85*$I85/12*3,0))))))</f>
        <v>0</v>
      </c>
      <c r="DB85" s="406">
        <f>IF($H85&lt;&gt;DE$5,0,IF(DE85&lt;0,IF(OR($J85=1,$J85=2,$J85=3,$J85=4),-$E85*$I85/12*3,IF($J85=5,-$E85*$I85/12*2,IF($J85=6,-$E85*$I85/12*1,0)))))+IF(CZ$5&lt;&gt;$H85,0,IF(CZ85&lt;0,IF($J85=4,-$E85*$I85/12*0,IF($J85=5,-$E85*$I85/12*1,IF($J85=6,-$E85*$I85/12*2,IF($J85&gt;=7,-$E85*$I85/12*3,0))))))</f>
        <v>0</v>
      </c>
      <c r="DC85" s="406">
        <f>IF($H85&lt;&gt;DE$5,0,IF(DE85&lt;0,IF(OR($J85=1,$J85=2,$J85=3,$J85=4,$J85=5,$J85=6,$J85=7),-$E85*$I85/12*3,IF($J85=8,-$E85*$I85/12*2,IF($J85=9,-$E85*$I85/12*1,0)))))+IF(CZ$5&lt;&gt;$H85,0,IF(CZ85&lt;0,IF($J85=7,-$E85*$I85/12*0,IF($J85=8,-$E85*$I85/12*1,IF($J85=9,-$E85*$I85/12*2,IF($J85&gt;=10,-$E85*$I85/12*3,0))))))</f>
        <v>0</v>
      </c>
      <c r="DD85" s="402">
        <f>IF($H85&lt;&gt;DE$5,0,IF(DE85&lt;0,IF(OR($J85=1,$J85=2,$J85=3,$J85=4,$J85=5,$J85=6,$J85=7,$J85=8,$J85=9,$J85=10),-$E85*$I85/12*3,IF($J85=11,-$E85*$I85/12*2,IF($J85=12,-$E85*$I85/12*1,0)))))+IF(CZ$5&lt;&gt;$H85,0,IF(CZ85&lt;0,IF($J85=10,-$E85*$I85/12*0,IF($J85=11,-$E85*$I85/12*1,IF($J85=12,-$E85*$I85/12*2,0)))))</f>
        <v>0</v>
      </c>
      <c r="DE85" s="403">
        <f>IF(AND(CZ85&lt;&gt;0,CZ$5=$H85),-$I85*$E85-CZ85,IF(DE$5=$H85,-$I85*$E85*(12-$J85+1)/12,0))</f>
        <v>0</v>
      </c>
      <c r="DF85" s="400">
        <f>IF($H85&lt;&gt;DJ$5,0,IF(DJ85&lt;0,IF($J85=1,-$E85*$I85/12*3,IF($J85=2,-$E85*$I85/12*2,IF($J85=3,-$E85*$I85/12*1,0)))))+IF(DE$5&lt;&gt;$H85,0,IF(DE85&lt;0,IF($J85=1,-$E85*$I85/12*0,IF($J85=2,-$E85*$I85/12*1,IF($J85=3,-$E85*$I85/12*2,IF($J85&gt;=4,-$E85*$I85/12*3,0))))))</f>
        <v>0</v>
      </c>
      <c r="DG85" s="406">
        <f>IF($H85&lt;&gt;DJ$5,0,IF(DJ85&lt;0,IF(OR($J85=1,$J85=2,$J85=3,$J85=4),-$E85*$I85/12*3,IF($J85=5,-$E85*$I85/12*2,IF($J85=6,-$E85*$I85/12*1,0)))))+IF(DE$5&lt;&gt;$H85,0,IF(DE85&lt;0,IF($J85=4,-$E85*$I85/12*0,IF($J85=5,-$E85*$I85/12*1,IF($J85=6,-$E85*$I85/12*2,IF($J85&gt;=7,-$E85*$I85/12*3,0))))))</f>
        <v>0</v>
      </c>
      <c r="DH85" s="406">
        <f>IF($H85&lt;&gt;DJ$5,0,IF(DJ85&lt;0,IF(OR($J85=1,$J85=2,$J85=3,$J85=4,$J85=5,$J85=6,$J85=7),-$E85*$I85/12*3,IF($J85=8,-$E85*$I85/12*2,IF($J85=9,-$E85*$I85/12*1,0)))))+IF(DE$5&lt;&gt;$H85,0,IF(DE85&lt;0,IF($J85=7,-$E85*$I85/12*0,IF($J85=8,-$E85*$I85/12*1,IF($J85=9,-$E85*$I85/12*2,IF($J85&gt;=10,-$E85*$I85/12*3,0))))))</f>
        <v>0</v>
      </c>
      <c r="DI85" s="402">
        <f>IF($H85&lt;&gt;DJ$5,0,IF(DJ85&lt;0,IF(OR($J85=1,$J85=2,$J85=3,$J85=4,$J85=5,$J85=6,$J85=7,$J85=8,$J85=9,$J85=10),-$E85*$I85/12*3,IF($J85=11,-$E85*$I85/12*2,IF($J85=12,-$E85*$I85/12*1,0)))))+IF(DE$5&lt;&gt;$H85,0,IF(DE85&lt;0,IF($J85=10,-$E85*$I85/12*0,IF($J85=11,-$E85*$I85/12*1,IF($J85=12,-$E85*$I85/12*2,0)))))</f>
        <v>0</v>
      </c>
      <c r="DJ85" s="403">
        <f>IF(AND(DE85&lt;&gt;0,DE$5=$H85),-$I85*$E85-DE85,IF(DJ$5=$H85,-$I85*$E85*(12-$J85+1)/12,0))</f>
        <v>0</v>
      </c>
      <c r="DK85" s="400">
        <f>IF($H85&lt;&gt;DO$5,0,IF(DO85&lt;0,IF($J85=1,-$E85*$I85/12*3,IF($J85=2,-$E85*$I85/12*2,IF($J85=3,-$E85*$I85/12*1,0)))))+IF(DJ$5&lt;&gt;$H85,0,IF(DJ85&lt;0,IF($J85=1,-$E85*$I85/12*0,IF($J85=2,-$E85*$I85/12*1,IF($J85=3,-$E85*$I85/12*2,IF($J85&gt;=4,-$E85*$I85/12*3,0))))))</f>
        <v>0</v>
      </c>
      <c r="DL85" s="406">
        <f>IF($H85&lt;&gt;DO$5,0,IF(DO85&lt;0,IF(OR($J85=1,$J85=2,$J85=3,$J85=4),-$E85*$I85/12*3,IF($J85=5,-$E85*$I85/12*2,IF($J85=6,-$E85*$I85/12*1,0)))))+IF(DJ$5&lt;&gt;$H85,0,IF(DJ85&lt;0,IF($J85=4,-$E85*$I85/12*0,IF($J85=5,-$E85*$I85/12*1,IF($J85=6,-$E85*$I85/12*2,IF($J85&gt;=7,-$E85*$I85/12*3,0))))))</f>
        <v>0</v>
      </c>
      <c r="DM85" s="406">
        <f>IF($H85&lt;&gt;DO$5,0,IF(DO85&lt;0,IF(OR($J85=1,$J85=2,$J85=3,$J85=4,$J85=5,$J85=6,$J85=7),-$E85*$I85/12*3,IF($J85=8,-$E85*$I85/12*2,IF($J85=9,-$E85*$I85/12*1,0)))))+IF(DJ$5&lt;&gt;$H85,0,IF(DJ85&lt;0,IF($J85=7,-$E85*$I85/12*0,IF($J85=8,-$E85*$I85/12*1,IF($J85=9,-$E85*$I85/12*2,IF($J85&gt;=10,-$E85*$I85/12*3,0))))))</f>
        <v>0</v>
      </c>
      <c r="DN85" s="402">
        <f>IF($H85&lt;&gt;DO$5,0,IF(DO85&lt;0,IF(OR($J85=1,$J85=2,$J85=3,$J85=4,$J85=5,$J85=6,$J85=7,$J85=8,$J85=9,$J85=10),-$E85*$I85/12*3,IF($J85=11,-$E85*$I85/12*2,IF($J85=12,-$E85*$I85/12*1,0)))))+IF(DJ$5&lt;&gt;$H85,0,IF(DJ85&lt;0,IF($J85=10,-$E85*$I85/12*0,IF($J85=11,-$E85*$I85/12*1,IF($J85=12,-$E85*$I85/12*2,0)))))</f>
        <v>0</v>
      </c>
      <c r="DO85" s="403">
        <f>IF(AND(DJ85&lt;&gt;0,DJ$5=$H85),-$I85*$E85-DJ85,IF(DO$5=$H85,-$I85*$E85*(12-$J85+1)/12,0))</f>
        <v>0</v>
      </c>
      <c r="DP85" s="400">
        <f>IF($H85&lt;&gt;DT$5,0,IF(DT85&lt;0,IF($J85=1,-$E85*$I85/12*3,IF($J85=2,-$E85*$I85/12*2,IF($J85=3,-$E85*$I85/12*1,0)))))+IF(DO$5&lt;&gt;$H85,0,IF(DO85&lt;0,IF($J85=1,-$E85*$I85/12*0,IF($J85=2,-$E85*$I85/12*1,IF($J85=3,-$E85*$I85/12*2,IF($J85&gt;=4,-$E85*$I85/12*3,0))))))</f>
        <v>0</v>
      </c>
      <c r="DQ85" s="406">
        <f>IF($H85&lt;&gt;DT$5,0,IF(DT85&lt;0,IF(OR($J85=1,$J85=2,$J85=3,$J85=4),-$E85*$I85/12*3,IF($J85=5,-$E85*$I85/12*2,IF($J85=6,-$E85*$I85/12*1,0)))))+IF(DO$5&lt;&gt;$H85,0,IF(DO85&lt;0,IF($J85=4,-$E85*$I85/12*0,IF($J85=5,-$E85*$I85/12*1,IF($J85=6,-$E85*$I85/12*2,IF($J85&gt;=7,-$E85*$I85/12*3,0))))))</f>
        <v>0</v>
      </c>
      <c r="DR85" s="406">
        <f>IF($H85&lt;&gt;DT$5,0,IF(DT85&lt;0,IF(OR($J85=1,$J85=2,$J85=3,$J85=4,$J85=5,$J85=6,$J85=7),-$E85*$I85/12*3,IF($J85=8,-$E85*$I85/12*2,IF($J85=9,-$E85*$I85/12*1,0)))))+IF(DO$5&lt;&gt;$H85,0,IF(DO85&lt;0,IF($J85=7,-$E85*$I85/12*0,IF($J85=8,-$E85*$I85/12*1,IF($J85=9,-$E85*$I85/12*2,IF($J85&gt;=10,-$E85*$I85/12*3,0))))))</f>
        <v>0</v>
      </c>
      <c r="DS85" s="402">
        <f>IF($H85&lt;&gt;DT$5,0,IF(DT85&lt;0,IF(OR($J85=1,$J85=2,$J85=3,$J85=4,$J85=5,$J85=6,$J85=7,$J85=8,$J85=9,$J85=10),-$E85*$I85/12*3,IF($J85=11,-$E85*$I85/12*2,IF($J85=12,-$E85*$I85/12*1,0)))))+IF(DO$5&lt;&gt;$H85,0,IF(DO85&lt;0,IF($J85=10,-$E85*$I85/12*0,IF($J85=11,-$E85*$I85/12*1,IF($J85=12,-$E85*$I85/12*2,0)))))</f>
        <v>0</v>
      </c>
      <c r="DT85" s="403">
        <f>IF(AND(DO85&lt;&gt;0,DO$5=$H85),-$I85*$E85-DO85,IF(DT$5=$H85,-$I85*$E85*(12-$J85+1)/12,0))</f>
        <v>0</v>
      </c>
      <c r="EF85" s="35"/>
      <c r="EI85" s="759"/>
    </row>
    <row r="86" spans="1:139" ht="12.75" customHeight="1" x14ac:dyDescent="0.2">
      <c r="C86" s="511" t="s">
        <v>371</v>
      </c>
      <c r="D86" s="240"/>
      <c r="E86" s="530">
        <f>IF(F86=0,G86,F86)</f>
        <v>200</v>
      </c>
      <c r="F86" s="531">
        <v>200</v>
      </c>
      <c r="G86" s="531">
        <v>200</v>
      </c>
      <c r="H86" s="449">
        <v>2038</v>
      </c>
      <c r="I86" s="450">
        <v>6.3750000000000001E-2</v>
      </c>
      <c r="J86" s="451">
        <v>9</v>
      </c>
      <c r="K86" s="448"/>
      <c r="L86" s="397">
        <f>IF(L$5=$H86,-$E86,0)</f>
        <v>0</v>
      </c>
      <c r="M86" s="394">
        <f>IF(Q86=0,0,IF(Q86&lt;0,IF($J86=3,Q86,IF($J86=2,Q86,IF($J86=1,Q86,0)))))</f>
        <v>0</v>
      </c>
      <c r="N86" s="404">
        <f>IF(Q86=0,0,IF(Q86&lt;0,IF($J86=6,Q86,IF($J86=5,Q86,IF($J86=4,Q86,0)))))</f>
        <v>0</v>
      </c>
      <c r="O86" s="404">
        <f>IF(Q86=0,0,IF(Q86&lt;0,IF($J86=9,Q86,IF($J86=8,Q86,IF($J86=7,Q86,0)))))</f>
        <v>0</v>
      </c>
      <c r="P86" s="396">
        <f>IF(Q86=0,0,IF(Q86&lt;0,IF($J86=12,Q86,IF($J86=11,Q86,IF($J86=10,Q86,0)))))</f>
        <v>0</v>
      </c>
      <c r="Q86" s="397">
        <f>IF(Q$5=$H86,-$E86,0)</f>
        <v>0</v>
      </c>
      <c r="R86" s="394">
        <f>IF(V86=0,0,IF(V86&lt;0,IF($J86=3,V86,IF($J86=2,V86,IF($J86=1,V86,0)))))</f>
        <v>0</v>
      </c>
      <c r="S86" s="404">
        <f>IF(V86=0,0,IF(V86&lt;0,IF($J86=6,V86,IF($J86=5,V86,IF($J86=4,V86,0)))))</f>
        <v>0</v>
      </c>
      <c r="T86" s="404">
        <f>IF(V86=0,0,IF(V86&lt;0,IF($J86=9,V86,IF($J86=8,V86,IF($J86=7,V86,0)))))</f>
        <v>0</v>
      </c>
      <c r="U86" s="396">
        <f>IF(V86=0,0,IF(V86&lt;0,IF($J86=12,V86,IF($J86=11,V86,IF($J86=10,V86,0)))))</f>
        <v>0</v>
      </c>
      <c r="V86" s="397">
        <f>IF(V$5=$H86,-$E86,0)</f>
        <v>0</v>
      </c>
      <c r="W86" s="394">
        <f>IF(AA86=0,0,IF(AA86&lt;0,IF($J86=3,AA86,IF($J86=2,AA86,IF($J86=1,AA86,0)))))</f>
        <v>0</v>
      </c>
      <c r="X86" s="404">
        <f>IF(AA86=0,0,IF(AA86&lt;0,IF($J86=6,AA86,IF($J86=5,AA86,IF($J86=4,AA86,0)))))</f>
        <v>0</v>
      </c>
      <c r="Y86" s="404">
        <f>IF(AA86=0,0,IF(AA86&lt;0,IF($J86=9,AA86,IF($J86=8,AA86,IF($J86=7,AA86,0)))))</f>
        <v>0</v>
      </c>
      <c r="Z86" s="396">
        <f>IF(AA86=0,0,IF(AA86&lt;0,IF($J86=12,AA86,IF($J86=11,AA86,IF($J86=10,AA86,0)))))</f>
        <v>0</v>
      </c>
      <c r="AA86" s="397">
        <f>IF(AA$5=$H86,-$E86,0)</f>
        <v>0</v>
      </c>
      <c r="AB86" s="394">
        <f>IF(AF86=0,0,IF(AF86&lt;0,IF($J86=3,AF86,IF($J86=2,AF86,IF($J86=1,AF86,0)))))</f>
        <v>0</v>
      </c>
      <c r="AC86" s="404">
        <f>IF(AF86=0,0,IF(AF86&lt;0,IF($J86=6,AF86,IF($J86=5,AF86,IF($J86=4,AF86,0)))))</f>
        <v>0</v>
      </c>
      <c r="AD86" s="404">
        <f>IF(AF86=0,0,IF(AF86&lt;0,IF($J86=9,AF86,IF($J86=8,AF86,IF($J86=7,AF86,0)))))</f>
        <v>0</v>
      </c>
      <c r="AE86" s="396">
        <f>IF(AF86=0,0,IF(AF86&lt;0,IF($J86=12,AF86,IF($J86=11,AF86,IF($J86=10,AF86,0)))))</f>
        <v>0</v>
      </c>
      <c r="AF86" s="397">
        <f>IF(AF$5=$H86,-$E86,0)</f>
        <v>0</v>
      </c>
      <c r="AG86" s="394">
        <f>IF(AK86=0,0,IF(AK86&lt;0,IF($J86=3,AK86,IF($J86=2,AK86,IF($J86=1,AK86,0)))))</f>
        <v>0</v>
      </c>
      <c r="AH86" s="404">
        <f>IF(AK86=0,0,IF(AK86&lt;0,IF($J86=6,AK86,IF($J86=5,AK86,IF($J86=4,AK86,0)))))</f>
        <v>0</v>
      </c>
      <c r="AI86" s="404">
        <f>IF(AK86=0,0,IF(AK86&lt;0,IF($J86=9,AK86,IF($J86=8,AK86,IF($J86=7,AK86,0)))))</f>
        <v>0</v>
      </c>
      <c r="AJ86" s="396">
        <f>IF(AK86=0,0,IF(AK86&lt;0,IF($J86=12,AK86,IF($J86=11,AK86,IF($J86=10,AK86,0)))))</f>
        <v>0</v>
      </c>
      <c r="AK86" s="397">
        <f>IF(AK$5=$H86,-$E86,0)</f>
        <v>0</v>
      </c>
      <c r="AL86" s="394">
        <f>IF(AP86=0,0,IF(AP86&lt;0,IF($J86=3,AP86,IF($J86=2,AP86,IF($J86=1,AP86,0)))))</f>
        <v>0</v>
      </c>
      <c r="AM86" s="404">
        <f>IF(AP86=0,0,IF(AP86&lt;0,IF($J86=6,AP86,IF($J86=5,AP86,IF($J86=4,AP86,0)))))</f>
        <v>0</v>
      </c>
      <c r="AN86" s="404">
        <f>IF(AP86=0,0,IF(AP86&lt;0,IF($J86=9,AP86,IF($J86=8,AP86,IF($J86=7,AP86,0)))))</f>
        <v>0</v>
      </c>
      <c r="AO86" s="396">
        <f>IF(AP86=0,0,IF(AP86&lt;0,IF($J86=12,AP86,IF($J86=11,AP86,IF($J86=10,AP86,0)))))</f>
        <v>0</v>
      </c>
      <c r="AP86" s="397">
        <f>IF(AP$5=$H86,-$E86,0)</f>
        <v>0</v>
      </c>
      <c r="AQ86" s="394">
        <f>IF(AU86=0,0,IF(AU86&lt;0,IF($J86=3,AU86,IF($J86=2,AU86,IF($J86=1,AU86,0)))))</f>
        <v>0</v>
      </c>
      <c r="AR86" s="404">
        <f>IF(AU86=0,0,IF(AU86&lt;0,IF($J86=6,AU86,IF($J86=5,AU86,IF($J86=4,AU86,0)))))</f>
        <v>0</v>
      </c>
      <c r="AS86" s="404">
        <f>IF(AU86=0,0,IF(AU86&lt;0,IF($J86=9,AU86,IF($J86=8,AU86,IF($J86=7,AU86,0)))))</f>
        <v>0</v>
      </c>
      <c r="AT86" s="396">
        <f>IF(AU86=0,0,IF(AU86&lt;0,IF($J86=12,AU86,IF($J86=11,AU86,IF($J86=10,AU86,0)))))</f>
        <v>0</v>
      </c>
      <c r="AU86" s="397">
        <f>IF(AU$5=$H86,-$E86,0)</f>
        <v>0</v>
      </c>
      <c r="AV86" s="394">
        <f>IF(AZ86=0,0,IF(AZ86&lt;0,IF($J86=3,AZ86,IF($J86=2,AZ86,IF($J86=1,AZ86,0)))))</f>
        <v>0</v>
      </c>
      <c r="AW86" s="404">
        <f>IF(AZ86=0,0,IF(AZ86&lt;0,IF($J86=6,AZ86,IF($J86=5,AZ86,IF($J86=4,AZ86,0)))))</f>
        <v>0</v>
      </c>
      <c r="AX86" s="404">
        <f>IF(AZ86=0,0,IF(AZ86&lt;0,IF($J86=9,AZ86,IF($J86=8,AZ86,IF($J86=7,AZ86,0)))))</f>
        <v>0</v>
      </c>
      <c r="AY86" s="396">
        <f>IF(AZ86=0,0,IF(AZ86&lt;0,IF($J86=12,AZ86,IF($J86=11,AZ86,IF($J86=10,AZ86,0)))))</f>
        <v>0</v>
      </c>
      <c r="AZ86" s="397">
        <f>IF(AZ$5=$H86,-$E86,0)</f>
        <v>0</v>
      </c>
      <c r="BA86" s="394">
        <f>IF(BE86=0,0,IF(BE86&lt;0,IF($J86=3,BE86,IF($J86=2,BE86,IF($J86=1,BE86,0)))))</f>
        <v>0</v>
      </c>
      <c r="BB86" s="404">
        <f>IF(BE86=0,0,IF(BE86&lt;0,IF($J86=6,BE86,IF($J86=5,BE86,IF($J86=4,BE86,0)))))</f>
        <v>0</v>
      </c>
      <c r="BC86" s="404">
        <f>IF(BE86=0,0,IF(BE86&lt;0,IF($J86=9,BE86,IF($J86=8,BE86,IF($J86=7,BE86,0)))))</f>
        <v>0</v>
      </c>
      <c r="BD86" s="396">
        <f>IF(BE86=0,0,IF(BE86&lt;0,IF($J86=12,BE86,IF($J86=11,BE86,IF($J86=10,BE86,0)))))</f>
        <v>0</v>
      </c>
      <c r="BE86" s="397">
        <f>IF(BE$5=$H86,-$E86,0)</f>
        <v>0</v>
      </c>
      <c r="BF86" s="394">
        <f>IF(BJ86=0,0,IF(BJ86&lt;0,IF($J86=3,BJ86,IF($J86=2,BJ86,IF($J86=1,BJ86,0)))))</f>
        <v>0</v>
      </c>
      <c r="BG86" s="404">
        <f>IF(BJ86=0,0,IF(BJ86&lt;0,IF($J86=6,BJ86,IF($J86=5,BJ86,IF($J86=4,BJ86,0)))))</f>
        <v>0</v>
      </c>
      <c r="BH86" s="404">
        <f>IF(BJ86=0,0,IF(BJ86&lt;0,IF($J86=9,BJ86,IF($J86=8,BJ86,IF($J86=7,BJ86,0)))))</f>
        <v>0</v>
      </c>
      <c r="BI86" s="396">
        <f>IF(BJ86=0,0,IF(BJ86&lt;0,IF($J86=12,BJ86,IF($J86=11,BJ86,IF($J86=10,BJ86,0)))))</f>
        <v>0</v>
      </c>
      <c r="BJ86" s="397">
        <f>IF(BJ$5=$H86,-$E86,0)</f>
        <v>0</v>
      </c>
      <c r="BK86" s="394">
        <f>IF(BO86=0,0,IF(BO86&lt;0,IF($J86=3,BO86,IF($J86=2,BO86,IF($J86=1,BO86,0)))))</f>
        <v>0</v>
      </c>
      <c r="BL86" s="404">
        <f>IF(BO86=0,0,IF(BO86&lt;0,IF($J86=6,BO86,IF($J86=5,BO86,IF($J86=4,BO86,0)))))</f>
        <v>0</v>
      </c>
      <c r="BM86" s="404">
        <f>IF(BO86=0,0,IF(BO86&lt;0,IF($J86=9,BO86,IF($J86=8,BO86,IF($J86=7,BO86,0)))))</f>
        <v>0</v>
      </c>
      <c r="BN86" s="396">
        <f>IF(BO86=0,0,IF(BO86&lt;0,IF($J86=12,BO86,IF($J86=11,BO86,IF($J86=10,BO86,0)))))</f>
        <v>0</v>
      </c>
      <c r="BO86" s="397">
        <f>IF(BO$5=$H86,-$E86,0)</f>
        <v>0</v>
      </c>
      <c r="BP86" s="452"/>
      <c r="BQ86" s="403">
        <f>IF(AND(BP86&lt;&gt;0,BP$5=$H86),-$I86*$E86-BP86,IF(BQ$5=$H86,-$I86*$E86*(12-$J86+1)/12,0))</f>
        <v>0</v>
      </c>
      <c r="BR86" s="400">
        <f>IF($H86&lt;&gt;BV$5,0,IF(BV86&lt;0,IF($J86=1,-$E86*$I86/12*3,IF($J86=2,-$E86*$I86/12*2,IF($J86=3,-$E86*$I86/12*1,0)))))+IF(BQ$5&lt;&gt;$H86,0,IF(BQ86&lt;0,IF($J86=1,-$E86*$I86/12*0,IF($J86=2,-$E86*$I86/12*1,IF($J86=3,-$E86*$I86/12*2,IF($J86&gt;=4,-$E86*$I86/12*3,0))))))</f>
        <v>0</v>
      </c>
      <c r="BS86" s="406">
        <f>IF($H86&lt;&gt;BV$5,0,IF(BV86&lt;0,IF(OR($J86=1,$J86=2,$J86=3,$J86=4),-$E86*$I86/12*3,IF($J86=5,-$E86*$I86/12*2,IF($J86=6,-$E86*$I86/12*1,0)))))+IF(BQ$5&lt;&gt;$H86,0,IF(BQ86&lt;0,IF($J86=4,-$E86*$I86/12*0,IF($J86=5,-$E86*$I86/12*1,IF($J86=6,-$E86*$I86/12*2,IF($J86&gt;=7,-$E86*$I86/12*3,0))))))</f>
        <v>0</v>
      </c>
      <c r="BT86" s="406">
        <f>IF($H86&lt;&gt;BV$5,0,IF(BV86&lt;0,IF(OR($J86=1,$J86=2,$J86=3,$J86=4,$J86=5,$J86=6,$J86=7),-$E86*$I86/12*3,IF($J86=8,-$E86*$I86/12*2,IF($J86=9,-$E86*$I86/12*1,0)))))+IF(BQ$5&lt;&gt;$H86,0,IF(BQ86&lt;0,IF($J86=7,-$E86*$I86/12*0,IF($J86=8,-$E86*$I86/12*1,IF($J86=9,-$E86*$I86/12*2,IF($J86&gt;=10,-$E86*$I86/12*3,0))))))</f>
        <v>0</v>
      </c>
      <c r="BU86" s="402">
        <f>IF($H86&lt;&gt;BV$5,0,IF(BV86&lt;0,IF(OR($J86=1,$J86=2,$J86=3,$J86=4,$J86=5,$J86=6,$J86=7,$J86=8,$J86=9,$J86=10),-$E86*$I86/12*3,IF($J86=11,-$E86*$I86/12*2,IF($J86=12,-$E86*$I86/12*1,0)))))+IF(BQ$5&lt;&gt;$H86,0,IF(BQ86&lt;0,IF($J86=10,-$E86*$I86/12*0,IF($J86=11,-$E86*$I86/12*1,IF($J86=12,-$E86*$I86/12*2,0)))))</f>
        <v>0</v>
      </c>
      <c r="BV86" s="403">
        <f>IF(AND(BQ86&lt;&gt;0,BQ$5=$H86),-$I86*$E86-BQ86,IF(BV$5=$H86,-$I86*$E86*(12-$J86+1)/12,0))</f>
        <v>0</v>
      </c>
      <c r="BW86" s="400">
        <f>IF($H86&lt;&gt;CA$5,0,IF(CA86&lt;0,IF($J86=1,-$E86*$I86/12*3,IF($J86=2,-$E86*$I86/12*2,IF($J86=3,-$E86*$I86/12*1,0)))))+IF(BV$5&lt;&gt;$H86,0,IF(BV86&lt;0,IF($J86=1,-$E86*$I86/12*0,IF($J86=2,-$E86*$I86/12*1,IF($J86=3,-$E86*$I86/12*2,IF($J86&gt;=4,-$E86*$I86/12*3,0))))))</f>
        <v>0</v>
      </c>
      <c r="BX86" s="406">
        <f>IF($H86&lt;&gt;CA$5,0,IF(CA86&lt;0,IF(OR($J86=1,$J86=2,$J86=3,$J86=4),-$E86*$I86/12*3,IF($J86=5,-$E86*$I86/12*2,IF($J86=6,-$E86*$I86/12*1,0)))))+IF(BV$5&lt;&gt;$H86,0,IF(BV86&lt;0,IF($J86=4,-$E86*$I86/12*0,IF($J86=5,-$E86*$I86/12*1,IF($J86=6,-$E86*$I86/12*2,IF($J86&gt;=7,-$E86*$I86/12*3,0))))))</f>
        <v>0</v>
      </c>
      <c r="BY86" s="406">
        <f>IF($H86&lt;&gt;CA$5,0,IF(CA86&lt;0,IF(OR($J86=1,$J86=2,$J86=3,$J86=4,$J86=5,$J86=6,$J86=7),-$E86*$I86/12*3,IF($J86=8,-$E86*$I86/12*2,IF($J86=9,-$E86*$I86/12*1,0)))))+IF(BV$5&lt;&gt;$H86,0,IF(BV86&lt;0,IF($J86=7,-$E86*$I86/12*0,IF($J86=8,-$E86*$I86/12*1,IF($J86=9,-$E86*$I86/12*2,IF($J86&gt;=10,-$E86*$I86/12*3,0))))))</f>
        <v>0</v>
      </c>
      <c r="BZ86" s="402">
        <f>IF($H86&lt;&gt;CA$5,0,IF(CA86&lt;0,IF(OR($J86=1,$J86=2,$J86=3,$J86=4,$J86=5,$J86=6,$J86=7,$J86=8,$J86=9,$J86=10),-$E86*$I86/12*3,IF($J86=11,-$E86*$I86/12*2,IF($J86=12,-$E86*$I86/12*1,0)))))+IF(BV$5&lt;&gt;$H86,0,IF(BV86&lt;0,IF($J86=10,-$E86*$I86/12*0,IF($J86=11,-$E86*$I86/12*1,IF($J86=12,-$E86*$I86/12*2,0)))))</f>
        <v>0</v>
      </c>
      <c r="CA86" s="403">
        <f>IF(AND(BV86&lt;&gt;0,BV$5=$H86),-$I86*$E86-BV86,IF(CA$5=$H86,-$I86*$E86*(12-$J86+1)/12,0))</f>
        <v>0</v>
      </c>
      <c r="CB86" s="400">
        <f>IF($H86&lt;&gt;CF$5,0,IF(CF86&lt;0,IF($J86=1,-$E86*$I86/12*3,IF($J86=2,-$E86*$I86/12*2,IF($J86=3,-$E86*$I86/12*1,0)))))+IF(CA$5&lt;&gt;$H86,0,IF(CA86&lt;0,IF($J86=1,-$E86*$I86/12*0,IF($J86=2,-$E86*$I86/12*1,IF($J86=3,-$E86*$I86/12*2,IF($J86&gt;=4,-$E86*$I86/12*3,0))))))</f>
        <v>0</v>
      </c>
      <c r="CC86" s="406">
        <f>IF($H86&lt;&gt;CF$5,0,IF(CF86&lt;0,IF(OR($J86=1,$J86=2,$J86=3,$J86=4),-$E86*$I86/12*3,IF($J86=5,-$E86*$I86/12*2,IF($J86=6,-$E86*$I86/12*1,0)))))+IF(CA$5&lt;&gt;$H86,0,IF(CA86&lt;0,IF($J86=4,-$E86*$I86/12*0,IF($J86=5,-$E86*$I86/12*1,IF($J86=6,-$E86*$I86/12*2,IF($J86&gt;=7,-$E86*$I86/12*3,0))))))</f>
        <v>0</v>
      </c>
      <c r="CD86" s="406">
        <f>IF($H86&lt;&gt;CF$5,0,IF(CF86&lt;0,IF(OR($J86=1,$J86=2,$J86=3,$J86=4,$J86=5,$J86=6,$J86=7),-$E86*$I86/12*3,IF($J86=8,-$E86*$I86/12*2,IF($J86=9,-$E86*$I86/12*1,0)))))+IF(CA$5&lt;&gt;$H86,0,IF(CA86&lt;0,IF($J86=7,-$E86*$I86/12*0,IF($J86=8,-$E86*$I86/12*1,IF($J86=9,-$E86*$I86/12*2,IF($J86&gt;=10,-$E86*$I86/12*3,0))))))</f>
        <v>0</v>
      </c>
      <c r="CE86" s="402">
        <f>IF($H86&lt;&gt;CF$5,0,IF(CF86&lt;0,IF(OR($J86=1,$J86=2,$J86=3,$J86=4,$J86=5,$J86=6,$J86=7,$J86=8,$J86=9,$J86=10),-$E86*$I86/12*3,IF($J86=11,-$E86*$I86/12*2,IF($J86=12,-$E86*$I86/12*1,0)))))+IF(CA$5&lt;&gt;$H86,0,IF(CA86&lt;0,IF($J86=10,-$E86*$I86/12*0,IF($J86=11,-$E86*$I86/12*1,IF($J86=12,-$E86*$I86/12*2,0)))))</f>
        <v>0</v>
      </c>
      <c r="CF86" s="403">
        <f>IF(AND(CA86&lt;&gt;0,CA$5=$H86),-$I86*$E86-CA86,IF(CF$5=$H86,-$I86*$E86*(12-$J86+1)/12,0))</f>
        <v>0</v>
      </c>
      <c r="CG86" s="400">
        <f>IF($H86&lt;&gt;CK$5,0,IF(CK86&lt;0,IF($J86=1,-$E86*$I86/12*3,IF($J86=2,-$E86*$I86/12*2,IF($J86=3,-$E86*$I86/12*1,0)))))+IF(CF$5&lt;&gt;$H86,0,IF(CF86&lt;0,IF($J86=1,-$E86*$I86/12*0,IF($J86=2,-$E86*$I86/12*1,IF($J86=3,-$E86*$I86/12*2,IF($J86&gt;=4,-$E86*$I86/12*3,0))))))</f>
        <v>0</v>
      </c>
      <c r="CH86" s="406">
        <f>IF($H86&lt;&gt;CK$5,0,IF(CK86&lt;0,IF(OR($J86=1,$J86=2,$J86=3,$J86=4),-$E86*$I86/12*3,IF($J86=5,-$E86*$I86/12*2,IF($J86=6,-$E86*$I86/12*1,0)))))+IF(CF$5&lt;&gt;$H86,0,IF(CF86&lt;0,IF($J86=4,-$E86*$I86/12*0,IF($J86=5,-$E86*$I86/12*1,IF($J86=6,-$E86*$I86/12*2,IF($J86&gt;=7,-$E86*$I86/12*3,0))))))</f>
        <v>0</v>
      </c>
      <c r="CI86" s="406">
        <f>IF($H86&lt;&gt;CK$5,0,IF(CK86&lt;0,IF(OR($J86=1,$J86=2,$J86=3,$J86=4,$J86=5,$J86=6,$J86=7),-$E86*$I86/12*3,IF($J86=8,-$E86*$I86/12*2,IF($J86=9,-$E86*$I86/12*1,0)))))+IF(CF$5&lt;&gt;$H86,0,IF(CF86&lt;0,IF($J86=7,-$E86*$I86/12*0,IF($J86=8,-$E86*$I86/12*1,IF($J86=9,-$E86*$I86/12*2,IF($J86&gt;=10,-$E86*$I86/12*3,0))))))</f>
        <v>0</v>
      </c>
      <c r="CJ86" s="402">
        <f>IF($H86&lt;&gt;CK$5,0,IF(CK86&lt;0,IF(OR($J86=1,$J86=2,$J86=3,$J86=4,$J86=5,$J86=6,$J86=7,$J86=8,$J86=9,$J86=10),-$E86*$I86/12*3,IF($J86=11,-$E86*$I86/12*2,IF($J86=12,-$E86*$I86/12*1,0)))))+IF(CF$5&lt;&gt;$H86,0,IF(CF86&lt;0,IF($J86=10,-$E86*$I86/12*0,IF($J86=11,-$E86*$I86/12*1,IF($J86=12,-$E86*$I86/12*2,0)))))</f>
        <v>0</v>
      </c>
      <c r="CK86" s="403">
        <f>IF(AND(CF86&lt;&gt;0,CF$5=$H86),-$I86*$E86-CF86,IF(CK$5=$H86,-$I86*$E86*(12-$J86+1)/12,0))</f>
        <v>0</v>
      </c>
      <c r="CL86" s="400">
        <f>IF($H86&lt;&gt;CP$5,0,IF(CP86&lt;0,IF($J86=1,-$E86*$I86/12*3,IF($J86=2,-$E86*$I86/12*2,IF($J86=3,-$E86*$I86/12*1,0)))))+IF(CK$5&lt;&gt;$H86,0,IF(CK86&lt;0,IF($J86=1,-$E86*$I86/12*0,IF($J86=2,-$E86*$I86/12*1,IF($J86=3,-$E86*$I86/12*2,IF($J86&gt;=4,-$E86*$I86/12*3,0))))))</f>
        <v>0</v>
      </c>
      <c r="CM86" s="406">
        <f>IF($H86&lt;&gt;CP$5,0,IF(CP86&lt;0,IF(OR($J86=1,$J86=2,$J86=3,$J86=4),-$E86*$I86/12*3,IF($J86=5,-$E86*$I86/12*2,IF($J86=6,-$E86*$I86/12*1,0)))))+IF(CK$5&lt;&gt;$H86,0,IF(CK86&lt;0,IF($J86=4,-$E86*$I86/12*0,IF($J86=5,-$E86*$I86/12*1,IF($J86=6,-$E86*$I86/12*2,IF($J86&gt;=7,-$E86*$I86/12*3,0))))))</f>
        <v>0</v>
      </c>
      <c r="CN86" s="406">
        <f>IF($H86&lt;&gt;CP$5,0,IF(CP86&lt;0,IF(OR($J86=1,$J86=2,$J86=3,$J86=4,$J86=5,$J86=6,$J86=7),-$E86*$I86/12*3,IF($J86=8,-$E86*$I86/12*2,IF($J86=9,-$E86*$I86/12*1,0)))))+IF(CK$5&lt;&gt;$H86,0,IF(CK86&lt;0,IF($J86=7,-$E86*$I86/12*0,IF($J86=8,-$E86*$I86/12*1,IF($J86=9,-$E86*$I86/12*2,IF($J86&gt;=10,-$E86*$I86/12*3,0))))))</f>
        <v>0</v>
      </c>
      <c r="CO86" s="402">
        <f>IF($H86&lt;&gt;CP$5,0,IF(CP86&lt;0,IF(OR($J86=1,$J86=2,$J86=3,$J86=4,$J86=5,$J86=6,$J86=7,$J86=8,$J86=9,$J86=10),-$E86*$I86/12*3,IF($J86=11,-$E86*$I86/12*2,IF($J86=12,-$E86*$I86/12*1,0)))))+IF(CK$5&lt;&gt;$H86,0,IF(CK86&lt;0,IF($J86=10,-$E86*$I86/12*0,IF($J86=11,-$E86*$I86/12*1,IF($J86=12,-$E86*$I86/12*2,0)))))</f>
        <v>0</v>
      </c>
      <c r="CP86" s="403">
        <f>IF(AND(CK86&lt;&gt;0,CK$5=$H86),-$I86*$E86-CK86,IF(CP$5=$H86,-$I86*$E86*(12-$J86+1)/12,0))</f>
        <v>0</v>
      </c>
      <c r="CQ86" s="400">
        <f>IF($H86&lt;&gt;CU$5,0,IF(CU86&lt;0,IF($J86=1,-$E86*$I86/12*3,IF($J86=2,-$E86*$I86/12*2,IF($J86=3,-$E86*$I86/12*1,0)))))+IF(CP$5&lt;&gt;$H86,0,IF(CP86&lt;0,IF($J86=1,-$E86*$I86/12*0,IF($J86=2,-$E86*$I86/12*1,IF($J86=3,-$E86*$I86/12*2,IF($J86&gt;=4,-$E86*$I86/12*3,0))))))</f>
        <v>0</v>
      </c>
      <c r="CR86" s="406">
        <f>IF($H86&lt;&gt;CU$5,0,IF(CU86&lt;0,IF(OR($J86=1,$J86=2,$J86=3,$J86=4),-$E86*$I86/12*3,IF($J86=5,-$E86*$I86/12*2,IF($J86=6,-$E86*$I86/12*1,0)))))+IF(CP$5&lt;&gt;$H86,0,IF(CP86&lt;0,IF($J86=4,-$E86*$I86/12*0,IF($J86=5,-$E86*$I86/12*1,IF($J86=6,-$E86*$I86/12*2,IF($J86&gt;=7,-$E86*$I86/12*3,0))))))</f>
        <v>0</v>
      </c>
      <c r="CS86" s="406">
        <f>IF($H86&lt;&gt;CU$5,0,IF(CU86&lt;0,IF(OR($J86=1,$J86=2,$J86=3,$J86=4,$J86=5,$J86=6,$J86=7),-$E86*$I86/12*3,IF($J86=8,-$E86*$I86/12*2,IF($J86=9,-$E86*$I86/12*1,0)))))+IF(CP$5&lt;&gt;$H86,0,IF(CP86&lt;0,IF($J86=7,-$E86*$I86/12*0,IF($J86=8,-$E86*$I86/12*1,IF($J86=9,-$E86*$I86/12*2,IF($J86&gt;=10,-$E86*$I86/12*3,0))))))</f>
        <v>0</v>
      </c>
      <c r="CT86" s="402">
        <f>IF($H86&lt;&gt;CU$5,0,IF(CU86&lt;0,IF(OR($J86=1,$J86=2,$J86=3,$J86=4,$J86=5,$J86=6,$J86=7,$J86=8,$J86=9,$J86=10),-$E86*$I86/12*3,IF($J86=11,-$E86*$I86/12*2,IF($J86=12,-$E86*$I86/12*1,0)))))+IF(CP$5&lt;&gt;$H86,0,IF(CP86&lt;0,IF($J86=10,-$E86*$I86/12*0,IF($J86=11,-$E86*$I86/12*1,IF($J86=12,-$E86*$I86/12*2,0)))))</f>
        <v>0</v>
      </c>
      <c r="CU86" s="403">
        <f>IF(AND(CP86&lt;&gt;0,CP$5=$H86),-$I86*$E86-CP86,IF(CU$5=$H86,-$I86*$E86*(12-$J86+1)/12,0))</f>
        <v>0</v>
      </c>
      <c r="CV86" s="400">
        <f>IF($H86&lt;&gt;CZ$5,0,IF(CZ86&lt;0,IF($J86=1,-$E86*$I86/12*3,IF($J86=2,-$E86*$I86/12*2,IF($J86=3,-$E86*$I86/12*1,0)))))+IF(CU$5&lt;&gt;$H86,0,IF(CU86&lt;0,IF($J86=1,-$E86*$I86/12*0,IF($J86=2,-$E86*$I86/12*1,IF($J86=3,-$E86*$I86/12*2,IF($J86&gt;=4,-$E86*$I86/12*3,0))))))</f>
        <v>0</v>
      </c>
      <c r="CW86" s="406">
        <f>IF($H86&lt;&gt;CZ$5,0,IF(CZ86&lt;0,IF(OR($J86=1,$J86=2,$J86=3,$J86=4),-$E86*$I86/12*3,IF($J86=5,-$E86*$I86/12*2,IF($J86=6,-$E86*$I86/12*1,0)))))+IF(CU$5&lt;&gt;$H86,0,IF(CU86&lt;0,IF($J86=4,-$E86*$I86/12*0,IF($J86=5,-$E86*$I86/12*1,IF($J86=6,-$E86*$I86/12*2,IF($J86&gt;=7,-$E86*$I86/12*3,0))))))</f>
        <v>0</v>
      </c>
      <c r="CX86" s="406">
        <f>IF($H86&lt;&gt;CZ$5,0,IF(CZ86&lt;0,IF(OR($J86=1,$J86=2,$J86=3,$J86=4,$J86=5,$J86=6,$J86=7),-$E86*$I86/12*3,IF($J86=8,-$E86*$I86/12*2,IF($J86=9,-$E86*$I86/12*1,0)))))+IF(CU$5&lt;&gt;$H86,0,IF(CU86&lt;0,IF($J86=7,-$E86*$I86/12*0,IF($J86=8,-$E86*$I86/12*1,IF($J86=9,-$E86*$I86/12*2,IF($J86&gt;=10,-$E86*$I86/12*3,0))))))</f>
        <v>0</v>
      </c>
      <c r="CY86" s="402">
        <f>IF($H86&lt;&gt;CZ$5,0,IF(CZ86&lt;0,IF(OR($J86=1,$J86=2,$J86=3,$J86=4,$J86=5,$J86=6,$J86=7,$J86=8,$J86=9,$J86=10),-$E86*$I86/12*3,IF($J86=11,-$E86*$I86/12*2,IF($J86=12,-$E86*$I86/12*1,0)))))+IF(CU$5&lt;&gt;$H86,0,IF(CU86&lt;0,IF($J86=10,-$E86*$I86/12*0,IF($J86=11,-$E86*$I86/12*1,IF($J86=12,-$E86*$I86/12*2,0)))))</f>
        <v>0</v>
      </c>
      <c r="CZ86" s="403">
        <f>IF(AND(CU86&lt;&gt;0,CU$5=$H86),-$I86*$E86-CU86,IF(CZ$5=$H86,-$I86*$E86*(12-$J86+1)/12,0))</f>
        <v>0</v>
      </c>
      <c r="DA86" s="400">
        <f>IF($H86&lt;&gt;DE$5,0,IF(DE86&lt;0,IF($J86=1,-$E86*$I86/12*3,IF($J86=2,-$E86*$I86/12*2,IF($J86=3,-$E86*$I86/12*1,0)))))+IF(CZ$5&lt;&gt;$H86,0,IF(CZ86&lt;0,IF($J86=1,-$E86*$I86/12*0,IF($J86=2,-$E86*$I86/12*1,IF($J86=3,-$E86*$I86/12*2,IF($J86&gt;=4,-$E86*$I86/12*3,0))))))</f>
        <v>0</v>
      </c>
      <c r="DB86" s="406">
        <f>IF($H86&lt;&gt;DE$5,0,IF(DE86&lt;0,IF(OR($J86=1,$J86=2,$J86=3,$J86=4),-$E86*$I86/12*3,IF($J86=5,-$E86*$I86/12*2,IF($J86=6,-$E86*$I86/12*1,0)))))+IF(CZ$5&lt;&gt;$H86,0,IF(CZ86&lt;0,IF($J86=4,-$E86*$I86/12*0,IF($J86=5,-$E86*$I86/12*1,IF($J86=6,-$E86*$I86/12*2,IF($J86&gt;=7,-$E86*$I86/12*3,0))))))</f>
        <v>0</v>
      </c>
      <c r="DC86" s="406">
        <f>IF($H86&lt;&gt;DE$5,0,IF(DE86&lt;0,IF(OR($J86=1,$J86=2,$J86=3,$J86=4,$J86=5,$J86=6,$J86=7),-$E86*$I86/12*3,IF($J86=8,-$E86*$I86/12*2,IF($J86=9,-$E86*$I86/12*1,0)))))+IF(CZ$5&lt;&gt;$H86,0,IF(CZ86&lt;0,IF($J86=7,-$E86*$I86/12*0,IF($J86=8,-$E86*$I86/12*1,IF($J86=9,-$E86*$I86/12*2,IF($J86&gt;=10,-$E86*$I86/12*3,0))))))</f>
        <v>0</v>
      </c>
      <c r="DD86" s="402">
        <f>IF($H86&lt;&gt;DE$5,0,IF(DE86&lt;0,IF(OR($J86=1,$J86=2,$J86=3,$J86=4,$J86=5,$J86=6,$J86=7,$J86=8,$J86=9,$J86=10),-$E86*$I86/12*3,IF($J86=11,-$E86*$I86/12*2,IF($J86=12,-$E86*$I86/12*1,0)))))+IF(CZ$5&lt;&gt;$H86,0,IF(CZ86&lt;0,IF($J86=10,-$E86*$I86/12*0,IF($J86=11,-$E86*$I86/12*1,IF($J86=12,-$E86*$I86/12*2,0)))))</f>
        <v>0</v>
      </c>
      <c r="DE86" s="403">
        <f>IF(AND(CZ86&lt;&gt;0,CZ$5=$H86),-$I86*$E86-CZ86,IF(DE$5=$H86,-$I86*$E86*(12-$J86+1)/12,0))</f>
        <v>0</v>
      </c>
      <c r="DF86" s="400">
        <f>IF($H86&lt;&gt;DJ$5,0,IF(DJ86&lt;0,IF($J86=1,-$E86*$I86/12*3,IF($J86=2,-$E86*$I86/12*2,IF($J86=3,-$E86*$I86/12*1,0)))))+IF(DE$5&lt;&gt;$H86,0,IF(DE86&lt;0,IF($J86=1,-$E86*$I86/12*0,IF($J86=2,-$E86*$I86/12*1,IF($J86=3,-$E86*$I86/12*2,IF($J86&gt;=4,-$E86*$I86/12*3,0))))))</f>
        <v>0</v>
      </c>
      <c r="DG86" s="406">
        <f>IF($H86&lt;&gt;DJ$5,0,IF(DJ86&lt;0,IF(OR($J86=1,$J86=2,$J86=3,$J86=4),-$E86*$I86/12*3,IF($J86=5,-$E86*$I86/12*2,IF($J86=6,-$E86*$I86/12*1,0)))))+IF(DE$5&lt;&gt;$H86,0,IF(DE86&lt;0,IF($J86=4,-$E86*$I86/12*0,IF($J86=5,-$E86*$I86/12*1,IF($J86=6,-$E86*$I86/12*2,IF($J86&gt;=7,-$E86*$I86/12*3,0))))))</f>
        <v>0</v>
      </c>
      <c r="DH86" s="406">
        <f>IF($H86&lt;&gt;DJ$5,0,IF(DJ86&lt;0,IF(OR($J86=1,$J86=2,$J86=3,$J86=4,$J86=5,$J86=6,$J86=7),-$E86*$I86/12*3,IF($J86=8,-$E86*$I86/12*2,IF($J86=9,-$E86*$I86/12*1,0)))))+IF(DE$5&lt;&gt;$H86,0,IF(DE86&lt;0,IF($J86=7,-$E86*$I86/12*0,IF($J86=8,-$E86*$I86/12*1,IF($J86=9,-$E86*$I86/12*2,IF($J86&gt;=10,-$E86*$I86/12*3,0))))))</f>
        <v>0</v>
      </c>
      <c r="DI86" s="402">
        <f>IF($H86&lt;&gt;DJ$5,0,IF(DJ86&lt;0,IF(OR($J86=1,$J86=2,$J86=3,$J86=4,$J86=5,$J86=6,$J86=7,$J86=8,$J86=9,$J86=10),-$E86*$I86/12*3,IF($J86=11,-$E86*$I86/12*2,IF($J86=12,-$E86*$I86/12*1,0)))))+IF(DE$5&lt;&gt;$H86,0,IF(DE86&lt;0,IF($J86=10,-$E86*$I86/12*0,IF($J86=11,-$E86*$I86/12*1,IF($J86=12,-$E86*$I86/12*2,0)))))</f>
        <v>0</v>
      </c>
      <c r="DJ86" s="403">
        <f>IF(AND(DE86&lt;&gt;0,DE$5=$H86),-$I86*$E86-DE86,IF(DJ$5=$H86,-$I86*$E86*(12-$J86+1)/12,0))</f>
        <v>0</v>
      </c>
      <c r="DK86" s="400">
        <f>IF($H86&lt;&gt;DO$5,0,IF(DO86&lt;0,IF($J86=1,-$E86*$I86/12*3,IF($J86=2,-$E86*$I86/12*2,IF($J86=3,-$E86*$I86/12*1,0)))))+IF(DJ$5&lt;&gt;$H86,0,IF(DJ86&lt;0,IF($J86=1,-$E86*$I86/12*0,IF($J86=2,-$E86*$I86/12*1,IF($J86=3,-$E86*$I86/12*2,IF($J86&gt;=4,-$E86*$I86/12*3,0))))))</f>
        <v>0</v>
      </c>
      <c r="DL86" s="406">
        <f>IF($H86&lt;&gt;DO$5,0,IF(DO86&lt;0,IF(OR($J86=1,$J86=2,$J86=3,$J86=4),-$E86*$I86/12*3,IF($J86=5,-$E86*$I86/12*2,IF($J86=6,-$E86*$I86/12*1,0)))))+IF(DJ$5&lt;&gt;$H86,0,IF(DJ86&lt;0,IF($J86=4,-$E86*$I86/12*0,IF($J86=5,-$E86*$I86/12*1,IF($J86=6,-$E86*$I86/12*2,IF($J86&gt;=7,-$E86*$I86/12*3,0))))))</f>
        <v>0</v>
      </c>
      <c r="DM86" s="406">
        <f>IF($H86&lt;&gt;DO$5,0,IF(DO86&lt;0,IF(OR($J86=1,$J86=2,$J86=3,$J86=4,$J86=5,$J86=6,$J86=7),-$E86*$I86/12*3,IF($J86=8,-$E86*$I86/12*2,IF($J86=9,-$E86*$I86/12*1,0)))))+IF(DJ$5&lt;&gt;$H86,0,IF(DJ86&lt;0,IF($J86=7,-$E86*$I86/12*0,IF($J86=8,-$E86*$I86/12*1,IF($J86=9,-$E86*$I86/12*2,IF($J86&gt;=10,-$E86*$I86/12*3,0))))))</f>
        <v>0</v>
      </c>
      <c r="DN86" s="402">
        <f>IF($H86&lt;&gt;DO$5,0,IF(DO86&lt;0,IF(OR($J86=1,$J86=2,$J86=3,$J86=4,$J86=5,$J86=6,$J86=7,$J86=8,$J86=9,$J86=10),-$E86*$I86/12*3,IF($J86=11,-$E86*$I86/12*2,IF($J86=12,-$E86*$I86/12*1,0)))))+IF(DJ$5&lt;&gt;$H86,0,IF(DJ86&lt;0,IF($J86=10,-$E86*$I86/12*0,IF($J86=11,-$E86*$I86/12*1,IF($J86=12,-$E86*$I86/12*2,0)))))</f>
        <v>0</v>
      </c>
      <c r="DO86" s="403">
        <f>IF(AND(DJ86&lt;&gt;0,DJ$5=$H86),-$I86*$E86-DJ86,IF(DO$5=$H86,-$I86*$E86*(12-$J86+1)/12,0))</f>
        <v>0</v>
      </c>
      <c r="DP86" s="400">
        <f>IF($H86&lt;&gt;DT$5,0,IF(DT86&lt;0,IF($J86=1,-$E86*$I86/12*3,IF($J86=2,-$E86*$I86/12*2,IF($J86=3,-$E86*$I86/12*1,0)))))+IF(DO$5&lt;&gt;$H86,0,IF(DO86&lt;0,IF($J86=1,-$E86*$I86/12*0,IF($J86=2,-$E86*$I86/12*1,IF($J86=3,-$E86*$I86/12*2,IF($J86&gt;=4,-$E86*$I86/12*3,0))))))</f>
        <v>0</v>
      </c>
      <c r="DQ86" s="406">
        <f>IF($H86&lt;&gt;DT$5,0,IF(DT86&lt;0,IF(OR($J86=1,$J86=2,$J86=3,$J86=4),-$E86*$I86/12*3,IF($J86=5,-$E86*$I86/12*2,IF($J86=6,-$E86*$I86/12*1,0)))))+IF(DO$5&lt;&gt;$H86,0,IF(DO86&lt;0,IF($J86=4,-$E86*$I86/12*0,IF($J86=5,-$E86*$I86/12*1,IF($J86=6,-$E86*$I86/12*2,IF($J86&gt;=7,-$E86*$I86/12*3,0))))))</f>
        <v>0</v>
      </c>
      <c r="DR86" s="406">
        <f>IF($H86&lt;&gt;DT$5,0,IF(DT86&lt;0,IF(OR($J86=1,$J86=2,$J86=3,$J86=4,$J86=5,$J86=6,$J86=7),-$E86*$I86/12*3,IF($J86=8,-$E86*$I86/12*2,IF($J86=9,-$E86*$I86/12*1,0)))))+IF(DO$5&lt;&gt;$H86,0,IF(DO86&lt;0,IF($J86=7,-$E86*$I86/12*0,IF($J86=8,-$E86*$I86/12*1,IF($J86=9,-$E86*$I86/12*2,IF($J86&gt;=10,-$E86*$I86/12*3,0))))))</f>
        <v>0</v>
      </c>
      <c r="DS86" s="402">
        <f>IF($H86&lt;&gt;DT$5,0,IF(DT86&lt;0,IF(OR($J86=1,$J86=2,$J86=3,$J86=4,$J86=5,$J86=6,$J86=7,$J86=8,$J86=9,$J86=10),-$E86*$I86/12*3,IF($J86=11,-$E86*$I86/12*2,IF($J86=12,-$E86*$I86/12*1,0)))))+IF(DO$5&lt;&gt;$H86,0,IF(DO86&lt;0,IF($J86=10,-$E86*$I86/12*0,IF($J86=11,-$E86*$I86/12*1,IF($J86=12,-$E86*$I86/12*2,0)))))</f>
        <v>0</v>
      </c>
      <c r="DT86" s="403">
        <f>IF(AND(DO86&lt;&gt;0,DO$5=$H86),-$I86*$E86-DO86,IF(DT$5=$H86,-$I86*$E86*(12-$J86+1)/12,0))</f>
        <v>0</v>
      </c>
      <c r="EF86" s="35"/>
      <c r="EI86" s="759"/>
    </row>
    <row r="87" spans="1:139" ht="12.75" customHeight="1" x14ac:dyDescent="0.2">
      <c r="C87" s="850" t="s">
        <v>563</v>
      </c>
      <c r="D87" s="240"/>
      <c r="E87" s="530">
        <f>IF(F87=0,G87,F87)</f>
        <v>100</v>
      </c>
      <c r="F87" s="531">
        <v>100</v>
      </c>
      <c r="G87" s="531">
        <v>100</v>
      </c>
      <c r="H87" s="449">
        <v>2042</v>
      </c>
      <c r="I87" s="450">
        <v>3.6999999999999998E-2</v>
      </c>
      <c r="J87" s="451">
        <v>10</v>
      </c>
      <c r="K87" s="448"/>
      <c r="L87" s="397">
        <f>IF(L$5=$H87,-$E87,0)</f>
        <v>0</v>
      </c>
      <c r="M87" s="394">
        <f>IF(Q87=0,0,IF(Q87&lt;0,IF($J87=3,Q87,IF($J87=2,Q87,IF($J87=1,Q87,0)))))</f>
        <v>0</v>
      </c>
      <c r="N87" s="404">
        <f>IF(Q87=0,0,IF(Q87&lt;0,IF($J87=6,Q87,IF($J87=5,Q87,IF($J87=4,Q87,0)))))</f>
        <v>0</v>
      </c>
      <c r="O87" s="404">
        <f>IF(Q87=0,0,IF(Q87&lt;0,IF($J87=9,Q87,IF($J87=8,Q87,IF($J87=7,Q87,0)))))</f>
        <v>0</v>
      </c>
      <c r="P87" s="396">
        <f>IF(Q87=0,0,IF(Q87&lt;0,IF($J87=12,Q87,IF($J87=11,Q87,IF($J87=10,Q87,0)))))</f>
        <v>0</v>
      </c>
      <c r="Q87" s="397">
        <f>IF(Q$5=$H87,-$E87,0)</f>
        <v>0</v>
      </c>
      <c r="R87" s="394">
        <f>IF(V87=0,0,IF(V87&lt;0,IF($J87=3,V87,IF($J87=2,V87,IF($J87=1,V87,0)))))</f>
        <v>0</v>
      </c>
      <c r="S87" s="404">
        <f>IF(V87=0,0,IF(V87&lt;0,IF($J87=6,V87,IF($J87=5,V87,IF($J87=4,V87,0)))))</f>
        <v>0</v>
      </c>
      <c r="T87" s="404">
        <f>IF(V87=0,0,IF(V87&lt;0,IF($J87=9,V87,IF($J87=8,V87,IF($J87=7,V87,0)))))</f>
        <v>0</v>
      </c>
      <c r="U87" s="396">
        <f>IF(V87=0,0,IF(V87&lt;0,IF($J87=12,V87,IF($J87=11,V87,IF($J87=10,V87,0)))))</f>
        <v>0</v>
      </c>
      <c r="V87" s="397">
        <f>IF(V$5=$H87,-$E87,0)</f>
        <v>0</v>
      </c>
      <c r="W87" s="394">
        <f>IF(AA87=0,0,IF(AA87&lt;0,IF($J87=3,AA87,IF($J87=2,AA87,IF($J87=1,AA87,0)))))</f>
        <v>0</v>
      </c>
      <c r="X87" s="404">
        <f>IF(AA87=0,0,IF(AA87&lt;0,IF($J87=6,AA87,IF($J87=5,AA87,IF($J87=4,AA87,0)))))</f>
        <v>0</v>
      </c>
      <c r="Y87" s="404">
        <f>IF(AA87=0,0,IF(AA87&lt;0,IF($J87=9,AA87,IF($J87=8,AA87,IF($J87=7,AA87,0)))))</f>
        <v>0</v>
      </c>
      <c r="Z87" s="396">
        <f>IF(AA87=0,0,IF(AA87&lt;0,IF($J87=12,AA87,IF($J87=11,AA87,IF($J87=10,AA87,0)))))</f>
        <v>0</v>
      </c>
      <c r="AA87" s="397">
        <f>IF(AA$5=$H87,-$E87,0)</f>
        <v>0</v>
      </c>
      <c r="AB87" s="394">
        <f>IF(AF87=0,0,IF(AF87&lt;0,IF($J87=3,AF87,IF($J87=2,AF87,IF($J87=1,AF87,0)))))</f>
        <v>0</v>
      </c>
      <c r="AC87" s="404">
        <f>IF(AF87=0,0,IF(AF87&lt;0,IF($J87=6,AF87,IF($J87=5,AF87,IF($J87=4,AF87,0)))))</f>
        <v>0</v>
      </c>
      <c r="AD87" s="404">
        <f>IF(AF87=0,0,IF(AF87&lt;0,IF($J87=9,AF87,IF($J87=8,AF87,IF($J87=7,AF87,0)))))</f>
        <v>0</v>
      </c>
      <c r="AE87" s="396">
        <f>IF(AF87=0,0,IF(AF87&lt;0,IF($J87=12,AF87,IF($J87=11,AF87,IF($J87=10,AF87,0)))))</f>
        <v>0</v>
      </c>
      <c r="AF87" s="397">
        <f>IF(AF$5=$H87,-$E87,0)</f>
        <v>0</v>
      </c>
      <c r="AG87" s="394">
        <f>IF(AK87=0,0,IF(AK87&lt;0,IF($J87=3,AK87,IF($J87=2,AK87,IF($J87=1,AK87,0)))))</f>
        <v>0</v>
      </c>
      <c r="AH87" s="404">
        <f>IF(AK87=0,0,IF(AK87&lt;0,IF($J87=6,AK87,IF($J87=5,AK87,IF($J87=4,AK87,0)))))</f>
        <v>0</v>
      </c>
      <c r="AI87" s="404">
        <f>IF(AK87=0,0,IF(AK87&lt;0,IF($J87=9,AK87,IF($J87=8,AK87,IF($J87=7,AK87,0)))))</f>
        <v>0</v>
      </c>
      <c r="AJ87" s="396">
        <f>IF(AK87=0,0,IF(AK87&lt;0,IF($J87=12,AK87,IF($J87=11,AK87,IF($J87=10,AK87,0)))))</f>
        <v>0</v>
      </c>
      <c r="AK87" s="397">
        <f>IF(AK$5=$H87,-$E87,0)</f>
        <v>0</v>
      </c>
      <c r="AL87" s="394">
        <f>IF(AP87=0,0,IF(AP87&lt;0,IF($J87=3,AP87,IF($J87=2,AP87,IF($J87=1,AP87,0)))))</f>
        <v>0</v>
      </c>
      <c r="AM87" s="404">
        <f>IF(AP87=0,0,IF(AP87&lt;0,IF($J87=6,AP87,IF($J87=5,AP87,IF($J87=4,AP87,0)))))</f>
        <v>0</v>
      </c>
      <c r="AN87" s="404">
        <f>IF(AP87=0,0,IF(AP87&lt;0,IF($J87=9,AP87,IF($J87=8,AP87,IF($J87=7,AP87,0)))))</f>
        <v>0</v>
      </c>
      <c r="AO87" s="396">
        <f>IF(AP87=0,0,IF(AP87&lt;0,IF($J87=12,AP87,IF($J87=11,AP87,IF($J87=10,AP87,0)))))</f>
        <v>0</v>
      </c>
      <c r="AP87" s="397">
        <f>IF(AP$5=$H87,-$E87,0)</f>
        <v>0</v>
      </c>
      <c r="AQ87" s="394">
        <f>IF(AU87=0,0,IF(AU87&lt;0,IF($J87=3,AU87,IF($J87=2,AU87,IF($J87=1,AU87,0)))))</f>
        <v>0</v>
      </c>
      <c r="AR87" s="404">
        <f>IF(AU87=0,0,IF(AU87&lt;0,IF($J87=6,AU87,IF($J87=5,AU87,IF($J87=4,AU87,0)))))</f>
        <v>0</v>
      </c>
      <c r="AS87" s="404">
        <f>IF(AU87=0,0,IF(AU87&lt;0,IF($J87=9,AU87,IF($J87=8,AU87,IF($J87=7,AU87,0)))))</f>
        <v>0</v>
      </c>
      <c r="AT87" s="396">
        <f>IF(AU87=0,0,IF(AU87&lt;0,IF($J87=12,AU87,IF($J87=11,AU87,IF($J87=10,AU87,0)))))</f>
        <v>0</v>
      </c>
      <c r="AU87" s="397">
        <f>IF(AU$5=$H87,-$E87,0)</f>
        <v>0</v>
      </c>
      <c r="AV87" s="394">
        <f>IF(AZ87=0,0,IF(AZ87&lt;0,IF($J87=3,AZ87,IF($J87=2,AZ87,IF($J87=1,AZ87,0)))))</f>
        <v>0</v>
      </c>
      <c r="AW87" s="404">
        <f>IF(AZ87=0,0,IF(AZ87&lt;0,IF($J87=6,AZ87,IF($J87=5,AZ87,IF($J87=4,AZ87,0)))))</f>
        <v>0</v>
      </c>
      <c r="AX87" s="404">
        <f>IF(AZ87=0,0,IF(AZ87&lt;0,IF($J87=9,AZ87,IF($J87=8,AZ87,IF($J87=7,AZ87,0)))))</f>
        <v>0</v>
      </c>
      <c r="AY87" s="396">
        <f>IF(AZ87=0,0,IF(AZ87&lt;0,IF($J87=12,AZ87,IF($J87=11,AZ87,IF($J87=10,AZ87,0)))))</f>
        <v>0</v>
      </c>
      <c r="AZ87" s="397">
        <f>IF(AZ$5=$H87,-$E87,0)</f>
        <v>0</v>
      </c>
      <c r="BA87" s="394">
        <f>IF(BE87=0,0,IF(BE87&lt;0,IF($J87=3,BE87,IF($J87=2,BE87,IF($J87=1,BE87,0)))))</f>
        <v>0</v>
      </c>
      <c r="BB87" s="404">
        <f>IF(BE87=0,0,IF(BE87&lt;0,IF($J87=6,BE87,IF($J87=5,BE87,IF($J87=4,BE87,0)))))</f>
        <v>0</v>
      </c>
      <c r="BC87" s="404">
        <f>IF(BE87=0,0,IF(BE87&lt;0,IF($J87=9,BE87,IF($J87=8,BE87,IF($J87=7,BE87,0)))))</f>
        <v>0</v>
      </c>
      <c r="BD87" s="396">
        <f>IF(BE87=0,0,IF(BE87&lt;0,IF($J87=12,BE87,IF($J87=11,BE87,IF($J87=10,BE87,0)))))</f>
        <v>0</v>
      </c>
      <c r="BE87" s="397">
        <f>IF(BE$5=$H87,-$E87,0)</f>
        <v>0</v>
      </c>
      <c r="BF87" s="394">
        <f>IF(BJ87=0,0,IF(BJ87&lt;0,IF($J87=3,BJ87,IF($J87=2,BJ87,IF($J87=1,BJ87,0)))))</f>
        <v>0</v>
      </c>
      <c r="BG87" s="404">
        <f>IF(BJ87=0,0,IF(BJ87&lt;0,IF($J87=6,BJ87,IF($J87=5,BJ87,IF($J87=4,BJ87,0)))))</f>
        <v>0</v>
      </c>
      <c r="BH87" s="404">
        <f>IF(BJ87=0,0,IF(BJ87&lt;0,IF($J87=9,BJ87,IF($J87=8,BJ87,IF($J87=7,BJ87,0)))))</f>
        <v>0</v>
      </c>
      <c r="BI87" s="396">
        <f>IF(BJ87=0,0,IF(BJ87&lt;0,IF($J87=12,BJ87,IF($J87=11,BJ87,IF($J87=10,BJ87,0)))))</f>
        <v>0</v>
      </c>
      <c r="BJ87" s="397">
        <f>IF(BJ$5=$H87,-$E87,0)</f>
        <v>0</v>
      </c>
      <c r="BK87" s="394">
        <f>IF(BO87=0,0,IF(BO87&lt;0,IF($J87=3,BO87,IF($J87=2,BO87,IF($J87=1,BO87,0)))))</f>
        <v>0</v>
      </c>
      <c r="BL87" s="404">
        <f>IF(BO87=0,0,IF(BO87&lt;0,IF($J87=6,BO87,IF($J87=5,BO87,IF($J87=4,BO87,0)))))</f>
        <v>0</v>
      </c>
      <c r="BM87" s="404">
        <f>IF(BO87=0,0,IF(BO87&lt;0,IF($J87=9,BO87,IF($J87=8,BO87,IF($J87=7,BO87,0)))))</f>
        <v>0</v>
      </c>
      <c r="BN87" s="396">
        <f>IF(BO87=0,0,IF(BO87&lt;0,IF($J87=12,BO87,IF($J87=11,BO87,IF($J87=10,BO87,0)))))</f>
        <v>0</v>
      </c>
      <c r="BO87" s="397">
        <f>IF(BO$5=$H87,-$E87,0)</f>
        <v>0</v>
      </c>
      <c r="BP87" s="452"/>
      <c r="BQ87" s="403">
        <f>IF(AND(BP87&lt;&gt;0,BP$5=$H87),-$I87*$E87-BP87,IF(BQ$5=$H87,-$I87*$E87*(12-$J87+1)/12,0))</f>
        <v>0</v>
      </c>
      <c r="BR87" s="400">
        <f>IF($H87&lt;&gt;BV$5,0,IF(BV87&lt;0,IF($J87=1,-$E87*$I87/12*3,IF($J87=2,-$E87*$I87/12*2,IF($J87=3,-$E87*$I87/12*1,0)))))+IF(BQ$5&lt;&gt;$H87,0,IF(BQ87&lt;0,IF($J87=1,-$E87*$I87/12*0,IF($J87=2,-$E87*$I87/12*1,IF($J87=3,-$E87*$I87/12*2,IF($J87&gt;=4,-$E87*$I87/12*3,0))))))</f>
        <v>0</v>
      </c>
      <c r="BS87" s="406">
        <f>IF($H87&lt;&gt;BV$5,0,IF(BV87&lt;0,IF(OR($J87=1,$J87=2,$J87=3,$J87=4),-$E87*$I87/12*3,IF($J87=5,-$E87*$I87/12*2,IF($J87=6,-$E87*$I87/12*1,0)))))+IF(BQ$5&lt;&gt;$H87,0,IF(BQ87&lt;0,IF($J87=4,-$E87*$I87/12*0,IF($J87=5,-$E87*$I87/12*1,IF($J87=6,-$E87*$I87/12*2,IF($J87&gt;=7,-$E87*$I87/12*3,0))))))</f>
        <v>0</v>
      </c>
      <c r="BT87" s="406">
        <f>IF($H87&lt;&gt;BV$5,0,IF(BV87&lt;0,IF(OR($J87=1,$J87=2,$J87=3,$J87=4,$J87=5,$J87=6,$J87=7),-$E87*$I87/12*3,IF($J87=8,-$E87*$I87/12*2,IF($J87=9,-$E87*$I87/12*1,0)))))+IF(BQ$5&lt;&gt;$H87,0,IF(BQ87&lt;0,IF($J87=7,-$E87*$I87/12*0,IF($J87=8,-$E87*$I87/12*1,IF($J87=9,-$E87*$I87/12*2,IF($J87&gt;=10,-$E87*$I87/12*3,0))))))</f>
        <v>0</v>
      </c>
      <c r="BU87" s="402">
        <f>IF($H87&lt;&gt;BV$5,0,IF(BV87&lt;0,IF(OR($J87=1,$J87=2,$J87=3,$J87=4,$J87=5,$J87=6,$J87=7,$J87=8,$J87=9,$J87=10),-$E87*$I87/12*3,IF($J87=11,-$E87*$I87/12*2,IF($J87=12,-$E87*$I87/12*1,0)))))+IF(BQ$5&lt;&gt;$H87,0,IF(BQ87&lt;0,IF($J87=10,-$E87*$I87/12*0,IF($J87=11,-$E87*$I87/12*1,IF($J87=12,-$E87*$I87/12*2,0)))))</f>
        <v>0</v>
      </c>
      <c r="BV87" s="403">
        <f>IF(AND(BQ87&lt;&gt;0,BQ$5=$H87),-$I87*$E87-BQ87,IF(BV$5=$H87,-$I87*$E87*(12-$J87+1)/12,0))</f>
        <v>0</v>
      </c>
      <c r="BW87" s="400">
        <f>IF($H87&lt;&gt;CA$5,0,IF(CA87&lt;0,IF($J87=1,-$E87*$I87/12*3,IF($J87=2,-$E87*$I87/12*2,IF($J87=3,-$E87*$I87/12*1,0)))))+IF(BV$5&lt;&gt;$H87,0,IF(BV87&lt;0,IF($J87=1,-$E87*$I87/12*0,IF($J87=2,-$E87*$I87/12*1,IF($J87=3,-$E87*$I87/12*2,IF($J87&gt;=4,-$E87*$I87/12*3,0))))))</f>
        <v>0</v>
      </c>
      <c r="BX87" s="406">
        <f>IF($H87&lt;&gt;CA$5,0,IF(CA87&lt;0,IF(OR($J87=1,$J87=2,$J87=3,$J87=4),-$E87*$I87/12*3,IF($J87=5,-$E87*$I87/12*2,IF($J87=6,-$E87*$I87/12*1,0)))))+IF(BV$5&lt;&gt;$H87,0,IF(BV87&lt;0,IF($J87=4,-$E87*$I87/12*0,IF($J87=5,-$E87*$I87/12*1,IF($J87=6,-$E87*$I87/12*2,IF($J87&gt;=7,-$E87*$I87/12*3,0))))))</f>
        <v>0</v>
      </c>
      <c r="BY87" s="406">
        <f>IF($H87&lt;&gt;CA$5,0,IF(CA87&lt;0,IF(OR($J87=1,$J87=2,$J87=3,$J87=4,$J87=5,$J87=6,$J87=7),-$E87*$I87/12*3,IF($J87=8,-$E87*$I87/12*2,IF($J87=9,-$E87*$I87/12*1,0)))))+IF(BV$5&lt;&gt;$H87,0,IF(BV87&lt;0,IF($J87=7,-$E87*$I87/12*0,IF($J87=8,-$E87*$I87/12*1,IF($J87=9,-$E87*$I87/12*2,IF($J87&gt;=10,-$E87*$I87/12*3,0))))))</f>
        <v>0</v>
      </c>
      <c r="BZ87" s="402">
        <f>IF($H87&lt;&gt;CA$5,0,IF(CA87&lt;0,IF(OR($J87=1,$J87=2,$J87=3,$J87=4,$J87=5,$J87=6,$J87=7,$J87=8,$J87=9,$J87=10),-$E87*$I87/12*3,IF($J87=11,-$E87*$I87/12*2,IF($J87=12,-$E87*$I87/12*1,0)))))+IF(BV$5&lt;&gt;$H87,0,IF(BV87&lt;0,IF($J87=10,-$E87*$I87/12*0,IF($J87=11,-$E87*$I87/12*1,IF($J87=12,-$E87*$I87/12*2,0)))))</f>
        <v>0</v>
      </c>
      <c r="CA87" s="403">
        <f>IF(AND(BV87&lt;&gt;0,BV$5=$H87),-$I87*$E87-BV87,IF(CA$5=$H87,-$I87*$E87*(12-$J87+1)/12,0))</f>
        <v>0</v>
      </c>
      <c r="CB87" s="400">
        <f>IF($H87&lt;&gt;CF$5,0,IF(CF87&lt;0,IF($J87=1,-$E87*$I87/12*3,IF($J87=2,-$E87*$I87/12*2,IF($J87=3,-$E87*$I87/12*1,0)))))+IF(CA$5&lt;&gt;$H87,0,IF(CA87&lt;0,IF($J87=1,-$E87*$I87/12*0,IF($J87=2,-$E87*$I87/12*1,IF($J87=3,-$E87*$I87/12*2,IF($J87&gt;=4,-$E87*$I87/12*3,0))))))</f>
        <v>0</v>
      </c>
      <c r="CC87" s="406">
        <f>IF($H87&lt;&gt;CF$5,0,IF(CF87&lt;0,IF(OR($J87=1,$J87=2,$J87=3,$J87=4),-$E87*$I87/12*3,IF($J87=5,-$E87*$I87/12*2,IF($J87=6,-$E87*$I87/12*1,0)))))+IF(CA$5&lt;&gt;$H87,0,IF(CA87&lt;0,IF($J87=4,-$E87*$I87/12*0,IF($J87=5,-$E87*$I87/12*1,IF($J87=6,-$E87*$I87/12*2,IF($J87&gt;=7,-$E87*$I87/12*3,0))))))</f>
        <v>0</v>
      </c>
      <c r="CD87" s="406">
        <f>IF($H87&lt;&gt;CF$5,0,IF(CF87&lt;0,IF(OR($J87=1,$J87=2,$J87=3,$J87=4,$J87=5,$J87=6,$J87=7),-$E87*$I87/12*3,IF($J87=8,-$E87*$I87/12*2,IF($J87=9,-$E87*$I87/12*1,0)))))+IF(CA$5&lt;&gt;$H87,0,IF(CA87&lt;0,IF($J87=7,-$E87*$I87/12*0,IF($J87=8,-$E87*$I87/12*1,IF($J87=9,-$E87*$I87/12*2,IF($J87&gt;=10,-$E87*$I87/12*3,0))))))</f>
        <v>0</v>
      </c>
      <c r="CE87" s="402">
        <f>IF($H87&lt;&gt;CF$5,0,IF(CF87&lt;0,IF(OR($J87=1,$J87=2,$J87=3,$J87=4,$J87=5,$J87=6,$J87=7,$J87=8,$J87=9,$J87=10),-$E87*$I87/12*3,IF($J87=11,-$E87*$I87/12*2,IF($J87=12,-$E87*$I87/12*1,0)))))+IF(CA$5&lt;&gt;$H87,0,IF(CA87&lt;0,IF($J87=10,-$E87*$I87/12*0,IF($J87=11,-$E87*$I87/12*1,IF($J87=12,-$E87*$I87/12*2,0)))))</f>
        <v>0</v>
      </c>
      <c r="CF87" s="403">
        <f>IF(AND(CA87&lt;&gt;0,CA$5=$H87),-$I87*$E87-CA87,IF(CF$5=$H87,-$I87*$E87*(12-$J87+1)/12,0))</f>
        <v>0</v>
      </c>
      <c r="CG87" s="400">
        <f>IF($H87&lt;&gt;CK$5,0,IF(CK87&lt;0,IF($J87=1,-$E87*$I87/12*3,IF($J87=2,-$E87*$I87/12*2,IF($J87=3,-$E87*$I87/12*1,0)))))+IF(CF$5&lt;&gt;$H87,0,IF(CF87&lt;0,IF($J87=1,-$E87*$I87/12*0,IF($J87=2,-$E87*$I87/12*1,IF($J87=3,-$E87*$I87/12*2,IF($J87&gt;=4,-$E87*$I87/12*3,0))))))</f>
        <v>0</v>
      </c>
      <c r="CH87" s="406">
        <f>IF($H87&lt;&gt;CK$5,0,IF(CK87&lt;0,IF(OR($J87=1,$J87=2,$J87=3,$J87=4),-$E87*$I87/12*3,IF($J87=5,-$E87*$I87/12*2,IF($J87=6,-$E87*$I87/12*1,0)))))+IF(CF$5&lt;&gt;$H87,0,IF(CF87&lt;0,IF($J87=4,-$E87*$I87/12*0,IF($J87=5,-$E87*$I87/12*1,IF($J87=6,-$E87*$I87/12*2,IF($J87&gt;=7,-$E87*$I87/12*3,0))))))</f>
        <v>0</v>
      </c>
      <c r="CI87" s="406">
        <f>IF($H87&lt;&gt;CK$5,0,IF(CK87&lt;0,IF(OR($J87=1,$J87=2,$J87=3,$J87=4,$J87=5,$J87=6,$J87=7),-$E87*$I87/12*3,IF($J87=8,-$E87*$I87/12*2,IF($J87=9,-$E87*$I87/12*1,0)))))+IF(CF$5&lt;&gt;$H87,0,IF(CF87&lt;0,IF($J87=7,-$E87*$I87/12*0,IF($J87=8,-$E87*$I87/12*1,IF($J87=9,-$E87*$I87/12*2,IF($J87&gt;=10,-$E87*$I87/12*3,0))))))</f>
        <v>0</v>
      </c>
      <c r="CJ87" s="402">
        <f>IF($H87&lt;&gt;CK$5,0,IF(CK87&lt;0,IF(OR($J87=1,$J87=2,$J87=3,$J87=4,$J87=5,$J87=6,$J87=7,$J87=8,$J87=9,$J87=10),-$E87*$I87/12*3,IF($J87=11,-$E87*$I87/12*2,IF($J87=12,-$E87*$I87/12*1,0)))))+IF(CF$5&lt;&gt;$H87,0,IF(CF87&lt;0,IF($J87=10,-$E87*$I87/12*0,IF($J87=11,-$E87*$I87/12*1,IF($J87=12,-$E87*$I87/12*2,0)))))</f>
        <v>0</v>
      </c>
      <c r="CK87" s="403">
        <f>IF(AND(CF87&lt;&gt;0,CF$5=$H87),-$I87*$E87-CF87,IF(CK$5=$H87,-$I87*$E87*(12-$J87+1)/12,0))</f>
        <v>0</v>
      </c>
      <c r="CL87" s="400">
        <f>IF($H87&lt;&gt;CP$5,0,IF(CP87&lt;0,IF($J87=1,-$E87*$I87/12*3,IF($J87=2,-$E87*$I87/12*2,IF($J87=3,-$E87*$I87/12*1,0)))))+IF(CK$5&lt;&gt;$H87,0,IF(CK87&lt;0,IF($J87=1,-$E87*$I87/12*0,IF($J87=2,-$E87*$I87/12*1,IF($J87=3,-$E87*$I87/12*2,IF($J87&gt;=4,-$E87*$I87/12*3,0))))))</f>
        <v>0</v>
      </c>
      <c r="CM87" s="406">
        <f>IF($H87&lt;&gt;CP$5,0,IF(CP87&lt;0,IF(OR($J87=1,$J87=2,$J87=3,$J87=4),-$E87*$I87/12*3,IF($J87=5,-$E87*$I87/12*2,IF($J87=6,-$E87*$I87/12*1,0)))))+IF(CK$5&lt;&gt;$H87,0,IF(CK87&lt;0,IF($J87=4,-$E87*$I87/12*0,IF($J87=5,-$E87*$I87/12*1,IF($J87=6,-$E87*$I87/12*2,IF($J87&gt;=7,-$E87*$I87/12*3,0))))))</f>
        <v>0</v>
      </c>
      <c r="CN87" s="406">
        <f>IF($H87&lt;&gt;CP$5,0,IF(CP87&lt;0,IF(OR($J87=1,$J87=2,$J87=3,$J87=4,$J87=5,$J87=6,$J87=7),-$E87*$I87/12*3,IF($J87=8,-$E87*$I87/12*2,IF($J87=9,-$E87*$I87/12*1,0)))))+IF(CK$5&lt;&gt;$H87,0,IF(CK87&lt;0,IF($J87=7,-$E87*$I87/12*0,IF($J87=8,-$E87*$I87/12*1,IF($J87=9,-$E87*$I87/12*2,IF($J87&gt;=10,-$E87*$I87/12*3,0))))))</f>
        <v>0</v>
      </c>
      <c r="CO87" s="402">
        <f>IF($H87&lt;&gt;CP$5,0,IF(CP87&lt;0,IF(OR($J87=1,$J87=2,$J87=3,$J87=4,$J87=5,$J87=6,$J87=7,$J87=8,$J87=9,$J87=10),-$E87*$I87/12*3,IF($J87=11,-$E87*$I87/12*2,IF($J87=12,-$E87*$I87/12*1,0)))))+IF(CK$5&lt;&gt;$H87,0,IF(CK87&lt;0,IF($J87=10,-$E87*$I87/12*0,IF($J87=11,-$E87*$I87/12*1,IF($J87=12,-$E87*$I87/12*2,0)))))</f>
        <v>0</v>
      </c>
      <c r="CP87" s="403">
        <f>IF(AND(CK87&lt;&gt;0,CK$5=$H87),-$I87*$E87-CK87,IF(CP$5=$H87,-$I87*$E87*(12-$J87+1)/12,0))</f>
        <v>0</v>
      </c>
      <c r="CQ87" s="400">
        <f>IF($H87&lt;&gt;CU$5,0,IF(CU87&lt;0,IF($J87=1,-$E87*$I87/12*3,IF($J87=2,-$E87*$I87/12*2,IF($J87=3,-$E87*$I87/12*1,0)))))+IF(CP$5&lt;&gt;$H87,0,IF(CP87&lt;0,IF($J87=1,-$E87*$I87/12*0,IF($J87=2,-$E87*$I87/12*1,IF($J87=3,-$E87*$I87/12*2,IF($J87&gt;=4,-$E87*$I87/12*3,0))))))</f>
        <v>0</v>
      </c>
      <c r="CR87" s="406">
        <f>IF($H87&lt;&gt;CU$5,0,IF(CU87&lt;0,IF(OR($J87=1,$J87=2,$J87=3,$J87=4),-$E87*$I87/12*3,IF($J87=5,-$E87*$I87/12*2,IF($J87=6,-$E87*$I87/12*1,0)))))+IF(CP$5&lt;&gt;$H87,0,IF(CP87&lt;0,IF($J87=4,-$E87*$I87/12*0,IF($J87=5,-$E87*$I87/12*1,IF($J87=6,-$E87*$I87/12*2,IF($J87&gt;=7,-$E87*$I87/12*3,0))))))</f>
        <v>0</v>
      </c>
      <c r="CS87" s="406">
        <f>IF($H87&lt;&gt;CU$5,0,IF(CU87&lt;0,IF(OR($J87=1,$J87=2,$J87=3,$J87=4,$J87=5,$J87=6,$J87=7),-$E87*$I87/12*3,IF($J87=8,-$E87*$I87/12*2,IF($J87=9,-$E87*$I87/12*1,0)))))+IF(CP$5&lt;&gt;$H87,0,IF(CP87&lt;0,IF($J87=7,-$E87*$I87/12*0,IF($J87=8,-$E87*$I87/12*1,IF($J87=9,-$E87*$I87/12*2,IF($J87&gt;=10,-$E87*$I87/12*3,0))))))</f>
        <v>0</v>
      </c>
      <c r="CT87" s="402">
        <f>IF($H87&lt;&gt;CU$5,0,IF(CU87&lt;0,IF(OR($J87=1,$J87=2,$J87=3,$J87=4,$J87=5,$J87=6,$J87=7,$J87=8,$J87=9,$J87=10),-$E87*$I87/12*3,IF($J87=11,-$E87*$I87/12*2,IF($J87=12,-$E87*$I87/12*1,0)))))+IF(CP$5&lt;&gt;$H87,0,IF(CP87&lt;0,IF($J87=10,-$E87*$I87/12*0,IF($J87=11,-$E87*$I87/12*1,IF($J87=12,-$E87*$I87/12*2,0)))))</f>
        <v>0</v>
      </c>
      <c r="CU87" s="403">
        <f>IF(AND(CP87&lt;&gt;0,CP$5=$H87),-$I87*$E87-CP87,IF(CU$5=$H87,-$I87*$E87*(12-$J87+1)/12,0))</f>
        <v>0</v>
      </c>
      <c r="CV87" s="400">
        <f>IF($H87&lt;&gt;CZ$5,0,IF(CZ87&lt;0,IF($J87=1,-$E87*$I87/12*3,IF($J87=2,-$E87*$I87/12*2,IF($J87=3,-$E87*$I87/12*1,0)))))+IF(CU$5&lt;&gt;$H87,0,IF(CU87&lt;0,IF($J87=1,-$E87*$I87/12*0,IF($J87=2,-$E87*$I87/12*1,IF($J87=3,-$E87*$I87/12*2,IF($J87&gt;=4,-$E87*$I87/12*3,0))))))</f>
        <v>0</v>
      </c>
      <c r="CW87" s="406">
        <f>IF($H87&lt;&gt;CZ$5,0,IF(CZ87&lt;0,IF(OR($J87=1,$J87=2,$J87=3,$J87=4),-$E87*$I87/12*3,IF($J87=5,-$E87*$I87/12*2,IF($J87=6,-$E87*$I87/12*1,0)))))+IF(CU$5&lt;&gt;$H87,0,IF(CU87&lt;0,IF($J87=4,-$E87*$I87/12*0,IF($J87=5,-$E87*$I87/12*1,IF($J87=6,-$E87*$I87/12*2,IF($J87&gt;=7,-$E87*$I87/12*3,0))))))</f>
        <v>0</v>
      </c>
      <c r="CX87" s="406">
        <f>IF($H87&lt;&gt;CZ$5,0,IF(CZ87&lt;0,IF(OR($J87=1,$J87=2,$J87=3,$J87=4,$J87=5,$J87=6,$J87=7),-$E87*$I87/12*3,IF($J87=8,-$E87*$I87/12*2,IF($J87=9,-$E87*$I87/12*1,0)))))+IF(CU$5&lt;&gt;$H87,0,IF(CU87&lt;0,IF($J87=7,-$E87*$I87/12*0,IF($J87=8,-$E87*$I87/12*1,IF($J87=9,-$E87*$I87/12*2,IF($J87&gt;=10,-$E87*$I87/12*3,0))))))</f>
        <v>0</v>
      </c>
      <c r="CY87" s="402">
        <f>IF($H87&lt;&gt;CZ$5,0,IF(CZ87&lt;0,IF(OR($J87=1,$J87=2,$J87=3,$J87=4,$J87=5,$J87=6,$J87=7,$J87=8,$J87=9,$J87=10),-$E87*$I87/12*3,IF($J87=11,-$E87*$I87/12*2,IF($J87=12,-$E87*$I87/12*1,0)))))+IF(CU$5&lt;&gt;$H87,0,IF(CU87&lt;0,IF($J87=10,-$E87*$I87/12*0,IF($J87=11,-$E87*$I87/12*1,IF($J87=12,-$E87*$I87/12*2,0)))))</f>
        <v>0</v>
      </c>
      <c r="CZ87" s="403">
        <f>IF(AND(CU87&lt;&gt;0,CU$5=$H87),-$I87*$E87-CU87,IF(CZ$5=$H87,-$I87*$E87*(12-$J87+1)/12,0))</f>
        <v>0</v>
      </c>
      <c r="DA87" s="400">
        <f>IF($H87&lt;&gt;DE$5,0,IF(DE87&lt;0,IF($J87=1,-$E87*$I87/12*3,IF($J87=2,-$E87*$I87/12*2,IF($J87=3,-$E87*$I87/12*1,0)))))+IF(CZ$5&lt;&gt;$H87,0,IF(CZ87&lt;0,IF($J87=1,-$E87*$I87/12*0,IF($J87=2,-$E87*$I87/12*1,IF($J87=3,-$E87*$I87/12*2,IF($J87&gt;=4,-$E87*$I87/12*3,0))))))</f>
        <v>0</v>
      </c>
      <c r="DB87" s="406">
        <f>IF($H87&lt;&gt;DE$5,0,IF(DE87&lt;0,IF(OR($J87=1,$J87=2,$J87=3,$J87=4),-$E87*$I87/12*3,IF($J87=5,-$E87*$I87/12*2,IF($J87=6,-$E87*$I87/12*1,0)))))+IF(CZ$5&lt;&gt;$H87,0,IF(CZ87&lt;0,IF($J87=4,-$E87*$I87/12*0,IF($J87=5,-$E87*$I87/12*1,IF($J87=6,-$E87*$I87/12*2,IF($J87&gt;=7,-$E87*$I87/12*3,0))))))</f>
        <v>0</v>
      </c>
      <c r="DC87" s="406">
        <f>IF($H87&lt;&gt;DE$5,0,IF(DE87&lt;0,IF(OR($J87=1,$J87=2,$J87=3,$J87=4,$J87=5,$J87=6,$J87=7),-$E87*$I87/12*3,IF($J87=8,-$E87*$I87/12*2,IF($J87=9,-$E87*$I87/12*1,0)))))+IF(CZ$5&lt;&gt;$H87,0,IF(CZ87&lt;0,IF($J87=7,-$E87*$I87/12*0,IF($J87=8,-$E87*$I87/12*1,IF($J87=9,-$E87*$I87/12*2,IF($J87&gt;=10,-$E87*$I87/12*3,0))))))</f>
        <v>0</v>
      </c>
      <c r="DD87" s="402">
        <f>IF($H87&lt;&gt;DE$5,0,IF(DE87&lt;0,IF(OR($J87=1,$J87=2,$J87=3,$J87=4,$J87=5,$J87=6,$J87=7,$J87=8,$J87=9,$J87=10),-$E87*$I87/12*3,IF($J87=11,-$E87*$I87/12*2,IF($J87=12,-$E87*$I87/12*1,0)))))+IF(CZ$5&lt;&gt;$H87,0,IF(CZ87&lt;0,IF($J87=10,-$E87*$I87/12*0,IF($J87=11,-$E87*$I87/12*1,IF($J87=12,-$E87*$I87/12*2,0)))))</f>
        <v>0</v>
      </c>
      <c r="DE87" s="403">
        <f>IF(AND(CZ87&lt;&gt;0,CZ$5=$H87),-$I87*$E87-CZ87,IF(DE$5=$H87,-$I87*$E87*(12-$J87+1)/12,0))</f>
        <v>0</v>
      </c>
      <c r="DF87" s="400">
        <f>IF($H87&lt;&gt;DJ$5,0,IF(DJ87&lt;0,IF($J87=1,-$E87*$I87/12*3,IF($J87=2,-$E87*$I87/12*2,IF($J87=3,-$E87*$I87/12*1,0)))))+IF(DE$5&lt;&gt;$H87,0,IF(DE87&lt;0,IF($J87=1,-$E87*$I87/12*0,IF($J87=2,-$E87*$I87/12*1,IF($J87=3,-$E87*$I87/12*2,IF($J87&gt;=4,-$E87*$I87/12*3,0))))))</f>
        <v>0</v>
      </c>
      <c r="DG87" s="406">
        <f>IF($H87&lt;&gt;DJ$5,0,IF(DJ87&lt;0,IF(OR($J87=1,$J87=2,$J87=3,$J87=4),-$E87*$I87/12*3,IF($J87=5,-$E87*$I87/12*2,IF($J87=6,-$E87*$I87/12*1,0)))))+IF(DE$5&lt;&gt;$H87,0,IF(DE87&lt;0,IF($J87=4,-$E87*$I87/12*0,IF($J87=5,-$E87*$I87/12*1,IF($J87=6,-$E87*$I87/12*2,IF($J87&gt;=7,-$E87*$I87/12*3,0))))))</f>
        <v>0</v>
      </c>
      <c r="DH87" s="406">
        <f>IF($H87&lt;&gt;DJ$5,0,IF(DJ87&lt;0,IF(OR($J87=1,$J87=2,$J87=3,$J87=4,$J87=5,$J87=6,$J87=7),-$E87*$I87/12*3,IF($J87=8,-$E87*$I87/12*2,IF($J87=9,-$E87*$I87/12*1,0)))))+IF(DE$5&lt;&gt;$H87,0,IF(DE87&lt;0,IF($J87=7,-$E87*$I87/12*0,IF($J87=8,-$E87*$I87/12*1,IF($J87=9,-$E87*$I87/12*2,IF($J87&gt;=10,-$E87*$I87/12*3,0))))))</f>
        <v>0</v>
      </c>
      <c r="DI87" s="402">
        <f>IF($H87&lt;&gt;DJ$5,0,IF(DJ87&lt;0,IF(OR($J87=1,$J87=2,$J87=3,$J87=4,$J87=5,$J87=6,$J87=7,$J87=8,$J87=9,$J87=10),-$E87*$I87/12*3,IF($J87=11,-$E87*$I87/12*2,IF($J87=12,-$E87*$I87/12*1,0)))))+IF(DE$5&lt;&gt;$H87,0,IF(DE87&lt;0,IF($J87=10,-$E87*$I87/12*0,IF($J87=11,-$E87*$I87/12*1,IF($J87=12,-$E87*$I87/12*2,0)))))</f>
        <v>0</v>
      </c>
      <c r="DJ87" s="403">
        <f>IF(AND(DE87&lt;&gt;0,DE$5=$H87),-$I87*$E87-DE87,IF(DJ$5=$H87,-$I87*$E87*(12-$J87+1)/12,0))</f>
        <v>0</v>
      </c>
      <c r="DK87" s="400">
        <f>IF($H87&lt;&gt;DO$5,0,IF(DO87&lt;0,IF($J87=1,-$E87*$I87/12*3,IF($J87=2,-$E87*$I87/12*2,IF($J87=3,-$E87*$I87/12*1,0)))))+IF(DJ$5&lt;&gt;$H87,0,IF(DJ87&lt;0,IF($J87=1,-$E87*$I87/12*0,IF($J87=2,-$E87*$I87/12*1,IF($J87=3,-$E87*$I87/12*2,IF($J87&gt;=4,-$E87*$I87/12*3,0))))))</f>
        <v>0</v>
      </c>
      <c r="DL87" s="406">
        <f>IF($H87&lt;&gt;DO$5,0,IF(DO87&lt;0,IF(OR($J87=1,$J87=2,$J87=3,$J87=4),-$E87*$I87/12*3,IF($J87=5,-$E87*$I87/12*2,IF($J87=6,-$E87*$I87/12*1,0)))))+IF(DJ$5&lt;&gt;$H87,0,IF(DJ87&lt;0,IF($J87=4,-$E87*$I87/12*0,IF($J87=5,-$E87*$I87/12*1,IF($J87=6,-$E87*$I87/12*2,IF($J87&gt;=7,-$E87*$I87/12*3,0))))))</f>
        <v>0</v>
      </c>
      <c r="DM87" s="406">
        <f>IF($H87&lt;&gt;DO$5,0,IF(DO87&lt;0,IF(OR($J87=1,$J87=2,$J87=3,$J87=4,$J87=5,$J87=6,$J87=7),-$E87*$I87/12*3,IF($J87=8,-$E87*$I87/12*2,IF($J87=9,-$E87*$I87/12*1,0)))))+IF(DJ$5&lt;&gt;$H87,0,IF(DJ87&lt;0,IF($J87=7,-$E87*$I87/12*0,IF($J87=8,-$E87*$I87/12*1,IF($J87=9,-$E87*$I87/12*2,IF($J87&gt;=10,-$E87*$I87/12*3,0))))))</f>
        <v>0</v>
      </c>
      <c r="DN87" s="402">
        <f>IF($H87&lt;&gt;DO$5,0,IF(DO87&lt;0,IF(OR($J87=1,$J87=2,$J87=3,$J87=4,$J87=5,$J87=6,$J87=7,$J87=8,$J87=9,$J87=10),-$E87*$I87/12*3,IF($J87=11,-$E87*$I87/12*2,IF($J87=12,-$E87*$I87/12*1,0)))))+IF(DJ$5&lt;&gt;$H87,0,IF(DJ87&lt;0,IF($J87=10,-$E87*$I87/12*0,IF($J87=11,-$E87*$I87/12*1,IF($J87=12,-$E87*$I87/12*2,0)))))</f>
        <v>0</v>
      </c>
      <c r="DO87" s="403">
        <f>IF(AND(DJ87&lt;&gt;0,DJ$5=$H87),-$I87*$E87-DJ87,IF(DO$5=$H87,-$I87*$E87*(12-$J87+1)/12,0))</f>
        <v>0</v>
      </c>
      <c r="DP87" s="400">
        <f>IF($H87&lt;&gt;DT$5,0,IF(DT87&lt;0,IF($J87=1,-$E87*$I87/12*3,IF($J87=2,-$E87*$I87/12*2,IF($J87=3,-$E87*$I87/12*1,0)))))+IF(DO$5&lt;&gt;$H87,0,IF(DO87&lt;0,IF($J87=1,-$E87*$I87/12*0,IF($J87=2,-$E87*$I87/12*1,IF($J87=3,-$E87*$I87/12*2,IF($J87&gt;=4,-$E87*$I87/12*3,0))))))</f>
        <v>0</v>
      </c>
      <c r="DQ87" s="406">
        <f>IF($H87&lt;&gt;DT$5,0,IF(DT87&lt;0,IF(OR($J87=1,$J87=2,$J87=3,$J87=4),-$E87*$I87/12*3,IF($J87=5,-$E87*$I87/12*2,IF($J87=6,-$E87*$I87/12*1,0)))))+IF(DO$5&lt;&gt;$H87,0,IF(DO87&lt;0,IF($J87=4,-$E87*$I87/12*0,IF($J87=5,-$E87*$I87/12*1,IF($J87=6,-$E87*$I87/12*2,IF($J87&gt;=7,-$E87*$I87/12*3,0))))))</f>
        <v>0</v>
      </c>
      <c r="DR87" s="406">
        <f>IF($H87&lt;&gt;DT$5,0,IF(DT87&lt;0,IF(OR($J87=1,$J87=2,$J87=3,$J87=4,$J87=5,$J87=6,$J87=7),-$E87*$I87/12*3,IF($J87=8,-$E87*$I87/12*2,IF($J87=9,-$E87*$I87/12*1,0)))))+IF(DO$5&lt;&gt;$H87,0,IF(DO87&lt;0,IF($J87=7,-$E87*$I87/12*0,IF($J87=8,-$E87*$I87/12*1,IF($J87=9,-$E87*$I87/12*2,IF($J87&gt;=10,-$E87*$I87/12*3,0))))))</f>
        <v>0</v>
      </c>
      <c r="DS87" s="402">
        <f>IF($H87&lt;&gt;DT$5,0,IF(DT87&lt;0,IF(OR($J87=1,$J87=2,$J87=3,$J87=4,$J87=5,$J87=6,$J87=7,$J87=8,$J87=9,$J87=10),-$E87*$I87/12*3,IF($J87=11,-$E87*$I87/12*2,IF($J87=12,-$E87*$I87/12*1,0)))))+IF(DO$5&lt;&gt;$H87,0,IF(DO87&lt;0,IF($J87=10,-$E87*$I87/12*0,IF($J87=11,-$E87*$I87/12*1,IF($J87=12,-$E87*$I87/12*2,0)))))</f>
        <v>0</v>
      </c>
      <c r="DT87" s="403">
        <f>IF(AND(DO87&lt;&gt;0,DO$5=$H87),-$I87*$E87-DO87,IF(DT$5=$H87,-$I87*$E87*(12-$J87+1)/12,0))</f>
        <v>0</v>
      </c>
      <c r="EF87" s="35"/>
    </row>
    <row r="88" spans="1:139" ht="12.75" customHeight="1" x14ac:dyDescent="0.2">
      <c r="C88" s="850" t="s">
        <v>668</v>
      </c>
      <c r="D88" s="240"/>
      <c r="E88" s="530">
        <f>IF(F88=0,G88,F88)</f>
        <v>100</v>
      </c>
      <c r="F88" s="531">
        <v>100</v>
      </c>
      <c r="G88" s="531">
        <v>0</v>
      </c>
      <c r="H88" s="449">
        <v>2042</v>
      </c>
      <c r="I88" s="450">
        <v>3.6999999999999998E-2</v>
      </c>
      <c r="J88" s="451">
        <v>10</v>
      </c>
      <c r="K88" s="448"/>
      <c r="L88" s="397">
        <f>IF(L$5=$H88,-$E88,0)</f>
        <v>0</v>
      </c>
      <c r="M88" s="394">
        <f>IF(Q88=0,0,IF(Q88&lt;0,IF($J88=3,Q88,IF($J88=2,Q88,IF($J88=1,Q88,0)))))</f>
        <v>0</v>
      </c>
      <c r="N88" s="404">
        <f>IF(Q88=0,0,IF(Q88&lt;0,IF($J88=6,Q88,IF($J88=5,Q88,IF($J88=4,Q88,0)))))</f>
        <v>0</v>
      </c>
      <c r="O88" s="404">
        <f>IF(Q88=0,0,IF(Q88&lt;0,IF($J88=9,Q88,IF($J88=8,Q88,IF($J88=7,Q88,0)))))</f>
        <v>0</v>
      </c>
      <c r="P88" s="396">
        <f>IF(Q88=0,0,IF(Q88&lt;0,IF($J88=12,Q88,IF($J88=11,Q88,IF($J88=10,Q88,0)))))</f>
        <v>0</v>
      </c>
      <c r="Q88" s="397">
        <f>IF(Q$5=$H88,-$E88,0)</f>
        <v>0</v>
      </c>
      <c r="R88" s="394">
        <f>IF(V88=0,0,IF(V88&lt;0,IF($J88=3,V88,IF($J88=2,V88,IF($J88=1,V88,0)))))</f>
        <v>0</v>
      </c>
      <c r="S88" s="404">
        <f>IF(V88=0,0,IF(V88&lt;0,IF($J88=6,V88,IF($J88=5,V88,IF($J88=4,V88,0)))))</f>
        <v>0</v>
      </c>
      <c r="T88" s="404">
        <f>IF(V88=0,0,IF(V88&lt;0,IF($J88=9,V88,IF($J88=8,V88,IF($J88=7,V88,0)))))</f>
        <v>0</v>
      </c>
      <c r="U88" s="396">
        <f>IF(V88=0,0,IF(V88&lt;0,IF($J88=12,V88,IF($J88=11,V88,IF($J88=10,V88,0)))))</f>
        <v>0</v>
      </c>
      <c r="V88" s="397">
        <f>IF(V$5=$H88,-$E88,0)</f>
        <v>0</v>
      </c>
      <c r="W88" s="394">
        <f>IF(AA88=0,0,IF(AA88&lt;0,IF($J88=3,AA88,IF($J88=2,AA88,IF($J88=1,AA88,0)))))</f>
        <v>0</v>
      </c>
      <c r="X88" s="404">
        <f>IF(AA88=0,0,IF(AA88&lt;0,IF($J88=6,AA88,IF($J88=5,AA88,IF($J88=4,AA88,0)))))</f>
        <v>0</v>
      </c>
      <c r="Y88" s="404">
        <f>IF(AA88=0,0,IF(AA88&lt;0,IF($J88=9,AA88,IF($J88=8,AA88,IF($J88=7,AA88,0)))))</f>
        <v>0</v>
      </c>
      <c r="Z88" s="396">
        <f>IF(AA88=0,0,IF(AA88&lt;0,IF($J88=12,AA88,IF($J88=11,AA88,IF($J88=10,AA88,0)))))</f>
        <v>0</v>
      </c>
      <c r="AA88" s="397">
        <f>IF(AA$5=$H88,-$E88,0)</f>
        <v>0</v>
      </c>
      <c r="AB88" s="394">
        <f>IF(AF88=0,0,IF(AF88&lt;0,IF($J88=3,AF88,IF($J88=2,AF88,IF($J88=1,AF88,0)))))</f>
        <v>0</v>
      </c>
      <c r="AC88" s="404">
        <f>IF(AF88=0,0,IF(AF88&lt;0,IF($J88=6,AF88,IF($J88=5,AF88,IF($J88=4,AF88,0)))))</f>
        <v>0</v>
      </c>
      <c r="AD88" s="404">
        <f>IF(AF88=0,0,IF(AF88&lt;0,IF($J88=9,AF88,IF($J88=8,AF88,IF($J88=7,AF88,0)))))</f>
        <v>0</v>
      </c>
      <c r="AE88" s="396">
        <f>IF(AF88=0,0,IF(AF88&lt;0,IF($J88=12,AF88,IF($J88=11,AF88,IF($J88=10,AF88,0)))))</f>
        <v>0</v>
      </c>
      <c r="AF88" s="397">
        <f>IF(AF$5=$H88,-$E88,0)</f>
        <v>0</v>
      </c>
      <c r="AG88" s="394">
        <f>IF(AK88=0,0,IF(AK88&lt;0,IF($J88=3,AK88,IF($J88=2,AK88,IF($J88=1,AK88,0)))))</f>
        <v>0</v>
      </c>
      <c r="AH88" s="404">
        <f>IF(AK88=0,0,IF(AK88&lt;0,IF($J88=6,AK88,IF($J88=5,AK88,IF($J88=4,AK88,0)))))</f>
        <v>0</v>
      </c>
      <c r="AI88" s="404">
        <f>IF(AK88=0,0,IF(AK88&lt;0,IF($J88=9,AK88,IF($J88=8,AK88,IF($J88=7,AK88,0)))))</f>
        <v>0</v>
      </c>
      <c r="AJ88" s="396">
        <f>IF(AK88=0,0,IF(AK88&lt;0,IF($J88=12,AK88,IF($J88=11,AK88,IF($J88=10,AK88,0)))))</f>
        <v>0</v>
      </c>
      <c r="AK88" s="397">
        <f>IF(AK$5=$H88,-$E88,0)</f>
        <v>0</v>
      </c>
      <c r="AL88" s="394">
        <f>IF(AP88=0,0,IF(AP88&lt;0,IF($J88=3,AP88,IF($J88=2,AP88,IF($J88=1,AP88,0)))))</f>
        <v>0</v>
      </c>
      <c r="AM88" s="404">
        <f>IF(AP88=0,0,IF(AP88&lt;0,IF($J88=6,AP88,IF($J88=5,AP88,IF($J88=4,AP88,0)))))</f>
        <v>0</v>
      </c>
      <c r="AN88" s="404">
        <f>IF(AP88=0,0,IF(AP88&lt;0,IF($J88=9,AP88,IF($J88=8,AP88,IF($J88=7,AP88,0)))))</f>
        <v>0</v>
      </c>
      <c r="AO88" s="396">
        <f>IF(AP88=0,0,IF(AP88&lt;0,IF($J88=12,AP88,IF($J88=11,AP88,IF($J88=10,AP88,0)))))</f>
        <v>0</v>
      </c>
      <c r="AP88" s="397">
        <f>IF(AP$5=$H88,-$E88,0)</f>
        <v>0</v>
      </c>
      <c r="AQ88" s="394">
        <f>IF(AU88=0,0,IF(AU88&lt;0,IF($J88=3,AU88,IF($J88=2,AU88,IF($J88=1,AU88,0)))))</f>
        <v>0</v>
      </c>
      <c r="AR88" s="404">
        <f>IF(AU88=0,0,IF(AU88&lt;0,IF($J88=6,AU88,IF($J88=5,AU88,IF($J88=4,AU88,0)))))</f>
        <v>0</v>
      </c>
      <c r="AS88" s="404">
        <f>IF(AU88=0,0,IF(AU88&lt;0,IF($J88=9,AU88,IF($J88=8,AU88,IF($J88=7,AU88,0)))))</f>
        <v>0</v>
      </c>
      <c r="AT88" s="396">
        <f>IF(AU88=0,0,IF(AU88&lt;0,IF($J88=12,AU88,IF($J88=11,AU88,IF($J88=10,AU88,0)))))</f>
        <v>0</v>
      </c>
      <c r="AU88" s="397">
        <f>IF(AU$5=$H88,-$E88,0)</f>
        <v>0</v>
      </c>
      <c r="AV88" s="394">
        <f>IF(AZ88=0,0,IF(AZ88&lt;0,IF($J88=3,AZ88,IF($J88=2,AZ88,IF($J88=1,AZ88,0)))))</f>
        <v>0</v>
      </c>
      <c r="AW88" s="404">
        <f>IF(AZ88=0,0,IF(AZ88&lt;0,IF($J88=6,AZ88,IF($J88=5,AZ88,IF($J88=4,AZ88,0)))))</f>
        <v>0</v>
      </c>
      <c r="AX88" s="404">
        <f>IF(AZ88=0,0,IF(AZ88&lt;0,IF($J88=9,AZ88,IF($J88=8,AZ88,IF($J88=7,AZ88,0)))))</f>
        <v>0</v>
      </c>
      <c r="AY88" s="396">
        <f>IF(AZ88=0,0,IF(AZ88&lt;0,IF($J88=12,AZ88,IF($J88=11,AZ88,IF($J88=10,AZ88,0)))))</f>
        <v>0</v>
      </c>
      <c r="AZ88" s="397">
        <f>IF(AZ$5=$H88,-$E88,0)</f>
        <v>0</v>
      </c>
      <c r="BA88" s="394">
        <f>IF(BE88=0,0,IF(BE88&lt;0,IF($J88=3,BE88,IF($J88=2,BE88,IF($J88=1,BE88,0)))))</f>
        <v>0</v>
      </c>
      <c r="BB88" s="404">
        <f>IF(BE88=0,0,IF(BE88&lt;0,IF($J88=6,BE88,IF($J88=5,BE88,IF($J88=4,BE88,0)))))</f>
        <v>0</v>
      </c>
      <c r="BC88" s="404">
        <f>IF(BE88=0,0,IF(BE88&lt;0,IF($J88=9,BE88,IF($J88=8,BE88,IF($J88=7,BE88,0)))))</f>
        <v>0</v>
      </c>
      <c r="BD88" s="396">
        <f>IF(BE88=0,0,IF(BE88&lt;0,IF($J88=12,BE88,IF($J88=11,BE88,IF($J88=10,BE88,0)))))</f>
        <v>0</v>
      </c>
      <c r="BE88" s="397">
        <f>IF(BE$5=$H88,-$E88,0)</f>
        <v>0</v>
      </c>
      <c r="BF88" s="394">
        <f>IF(BJ88=0,0,IF(BJ88&lt;0,IF($J88=3,BJ88,IF($J88=2,BJ88,IF($J88=1,BJ88,0)))))</f>
        <v>0</v>
      </c>
      <c r="BG88" s="404">
        <f>IF(BJ88=0,0,IF(BJ88&lt;0,IF($J88=6,BJ88,IF($J88=5,BJ88,IF($J88=4,BJ88,0)))))</f>
        <v>0</v>
      </c>
      <c r="BH88" s="404">
        <f>IF(BJ88=0,0,IF(BJ88&lt;0,IF($J88=9,BJ88,IF($J88=8,BJ88,IF($J88=7,BJ88,0)))))</f>
        <v>0</v>
      </c>
      <c r="BI88" s="396">
        <f>IF(BJ88=0,0,IF(BJ88&lt;0,IF($J88=12,BJ88,IF($J88=11,BJ88,IF($J88=10,BJ88,0)))))</f>
        <v>0</v>
      </c>
      <c r="BJ88" s="397">
        <f>IF(BJ$5=$H88,-$E88,0)</f>
        <v>0</v>
      </c>
      <c r="BK88" s="394">
        <f>IF(BO88=0,0,IF(BO88&lt;0,IF($J88=3,BO88,IF($J88=2,BO88,IF($J88=1,BO88,0)))))</f>
        <v>0</v>
      </c>
      <c r="BL88" s="404">
        <f>IF(BO88=0,0,IF(BO88&lt;0,IF($J88=6,BO88,IF($J88=5,BO88,IF($J88=4,BO88,0)))))</f>
        <v>0</v>
      </c>
      <c r="BM88" s="404">
        <f>IF(BO88=0,0,IF(BO88&lt;0,IF($J88=9,BO88,IF($J88=8,BO88,IF($J88=7,BO88,0)))))</f>
        <v>0</v>
      </c>
      <c r="BN88" s="396">
        <f>IF(BO88=0,0,IF(BO88&lt;0,IF($J88=12,BO88,IF($J88=11,BO88,IF($J88=10,BO88,0)))))</f>
        <v>0</v>
      </c>
      <c r="BO88" s="397">
        <f>IF(BO$5=$H88,-$E88,0)</f>
        <v>0</v>
      </c>
      <c r="BP88" s="452"/>
      <c r="BQ88" s="403">
        <f>IF(AND(BP88&lt;&gt;0,BP$5=$H88),-$I88*$E88-BP88,IF(BQ$5=$H88,-$I88*$E88*(12-$J88+1)/12,0))</f>
        <v>0</v>
      </c>
      <c r="BR88" s="400">
        <f>IF($H88&lt;&gt;BV$5,0,IF(BV88&lt;0,IF($J88=1,-$E88*$I88/12*3,IF($J88=2,-$E88*$I88/12*2,IF($J88=3,-$E88*$I88/12*1,0)))))+IF(BQ$5&lt;&gt;$H88,0,IF(BQ88&lt;0,IF($J88=1,-$E88*$I88/12*0,IF($J88=2,-$E88*$I88/12*1,IF($J88=3,-$E88*$I88/12*2,IF($J88&gt;=4,-$E88*$I88/12*3,0))))))</f>
        <v>0</v>
      </c>
      <c r="BS88" s="406">
        <f>IF($H88&lt;&gt;BV$5,0,IF(BV88&lt;0,IF(OR($J88=1,$J88=2,$J88=3,$J88=4),-$E88*$I88/12*3,IF($J88=5,-$E88*$I88/12*2,IF($J88=6,-$E88*$I88/12*1,0)))))+IF(BQ$5&lt;&gt;$H88,0,IF(BQ88&lt;0,IF($J88=4,-$E88*$I88/12*0,IF($J88=5,-$E88*$I88/12*1,IF($J88=6,-$E88*$I88/12*2,IF($J88&gt;=7,-$E88*$I88/12*3,0))))))</f>
        <v>0</v>
      </c>
      <c r="BT88" s="406">
        <f>IF($H88&lt;&gt;BV$5,0,IF(BV88&lt;0,IF(OR($J88=1,$J88=2,$J88=3,$J88=4,$J88=5,$J88=6,$J88=7),-$E88*$I88/12*3,IF($J88=8,-$E88*$I88/12*2,IF($J88=9,-$E88*$I88/12*1,0)))))+IF(BQ$5&lt;&gt;$H88,0,IF(BQ88&lt;0,IF($J88=7,-$E88*$I88/12*0,IF($J88=8,-$E88*$I88/12*1,IF($J88=9,-$E88*$I88/12*2,IF($J88&gt;=10,-$E88*$I88/12*3,0))))))</f>
        <v>0</v>
      </c>
      <c r="BU88" s="402">
        <f>IF($H88&lt;&gt;BV$5,0,IF(BV88&lt;0,IF(OR($J88=1,$J88=2,$J88=3,$J88=4,$J88=5,$J88=6,$J88=7,$J88=8,$J88=9,$J88=10),-$E88*$I88/12*3,IF($J88=11,-$E88*$I88/12*2,IF($J88=12,-$E88*$I88/12*1,0)))))+IF(BQ$5&lt;&gt;$H88,0,IF(BQ88&lt;0,IF($J88=10,-$E88*$I88/12*0,IF($J88=11,-$E88*$I88/12*1,IF($J88=12,-$E88*$I88/12*2,0)))))</f>
        <v>0</v>
      </c>
      <c r="BV88" s="403">
        <f>IF(AND(BQ88&lt;&gt;0,BQ$5=$H88),-$I88*$E88-BQ88,IF(BV$5=$H88,-$I88*$E88*(12-$J88+1)/12,0))</f>
        <v>0</v>
      </c>
      <c r="BW88" s="400">
        <f>IF($H88&lt;&gt;CA$5,0,IF(CA88&lt;0,IF($J88=1,-$E88*$I88/12*3,IF($J88=2,-$E88*$I88/12*2,IF($J88=3,-$E88*$I88/12*1,0)))))+IF(BV$5&lt;&gt;$H88,0,IF(BV88&lt;0,IF($J88=1,-$E88*$I88/12*0,IF($J88=2,-$E88*$I88/12*1,IF($J88=3,-$E88*$I88/12*2,IF($J88&gt;=4,-$E88*$I88/12*3,0))))))</f>
        <v>0</v>
      </c>
      <c r="BX88" s="406">
        <f>IF($H88&lt;&gt;CA$5,0,IF(CA88&lt;0,IF(OR($J88=1,$J88=2,$J88=3,$J88=4),-$E88*$I88/12*3,IF($J88=5,-$E88*$I88/12*2,IF($J88=6,-$E88*$I88/12*1,0)))))+IF(BV$5&lt;&gt;$H88,0,IF(BV88&lt;0,IF($J88=4,-$E88*$I88/12*0,IF($J88=5,-$E88*$I88/12*1,IF($J88=6,-$E88*$I88/12*2,IF($J88&gt;=7,-$E88*$I88/12*3,0))))))</f>
        <v>0</v>
      </c>
      <c r="BY88" s="406">
        <f>IF($H88&lt;&gt;CA$5,0,IF(CA88&lt;0,IF(OR($J88=1,$J88=2,$J88=3,$J88=4,$J88=5,$J88=6,$J88=7),-$E88*$I88/12*3,IF($J88=8,-$E88*$I88/12*2,IF($J88=9,-$E88*$I88/12*1,0)))))+IF(BV$5&lt;&gt;$H88,0,IF(BV88&lt;0,IF($J88=7,-$E88*$I88/12*0,IF($J88=8,-$E88*$I88/12*1,IF($J88=9,-$E88*$I88/12*2,IF($J88&gt;=10,-$E88*$I88/12*3,0))))))</f>
        <v>0</v>
      </c>
      <c r="BZ88" s="402">
        <f>IF($H88&lt;&gt;CA$5,0,IF(CA88&lt;0,IF(OR($J88=1,$J88=2,$J88=3,$J88=4,$J88=5,$J88=6,$J88=7,$J88=8,$J88=9,$J88=10),-$E88*$I88/12*3,IF($J88=11,-$E88*$I88/12*2,IF($J88=12,-$E88*$I88/12*1,0)))))+IF(BV$5&lt;&gt;$H88,0,IF(BV88&lt;0,IF($J88=10,-$E88*$I88/12*0,IF($J88=11,-$E88*$I88/12*1,IF($J88=12,-$E88*$I88/12*2,0)))))</f>
        <v>0</v>
      </c>
      <c r="CA88" s="403">
        <f>IF(AND(BV88&lt;&gt;0,BV$5=$H88),-$I88*$E88-BV88,IF(CA$5=$H88,-$I88*$E88*(12-$J88+1)/12,0))</f>
        <v>0</v>
      </c>
      <c r="CB88" s="400">
        <f>IF($H88&lt;&gt;CF$5,0,IF(CF88&lt;0,IF($J88=1,-$E88*$I88/12*3,IF($J88=2,-$E88*$I88/12*2,IF($J88=3,-$E88*$I88/12*1,0)))))+IF(CA$5&lt;&gt;$H88,0,IF(CA88&lt;0,IF($J88=1,-$E88*$I88/12*0,IF($J88=2,-$E88*$I88/12*1,IF($J88=3,-$E88*$I88/12*2,IF($J88&gt;=4,-$E88*$I88/12*3,0))))))</f>
        <v>0</v>
      </c>
      <c r="CC88" s="406">
        <f>IF($H88&lt;&gt;CF$5,0,IF(CF88&lt;0,IF(OR($J88=1,$J88=2,$J88=3,$J88=4),-$E88*$I88/12*3,IF($J88=5,-$E88*$I88/12*2,IF($J88=6,-$E88*$I88/12*1,0)))))+IF(CA$5&lt;&gt;$H88,0,IF(CA88&lt;0,IF($J88=4,-$E88*$I88/12*0,IF($J88=5,-$E88*$I88/12*1,IF($J88=6,-$E88*$I88/12*2,IF($J88&gt;=7,-$E88*$I88/12*3,0))))))</f>
        <v>0</v>
      </c>
      <c r="CD88" s="406">
        <f>IF($H88&lt;&gt;CF$5,0,IF(CF88&lt;0,IF(OR($J88=1,$J88=2,$J88=3,$J88=4,$J88=5,$J88=6,$J88=7),-$E88*$I88/12*3,IF($J88=8,-$E88*$I88/12*2,IF($J88=9,-$E88*$I88/12*1,0)))))+IF(CA$5&lt;&gt;$H88,0,IF(CA88&lt;0,IF($J88=7,-$E88*$I88/12*0,IF($J88=8,-$E88*$I88/12*1,IF($J88=9,-$E88*$I88/12*2,IF($J88&gt;=10,-$E88*$I88/12*3,0))))))</f>
        <v>0</v>
      </c>
      <c r="CE88" s="402">
        <f>IF($H88&lt;&gt;CF$5,0,IF(CF88&lt;0,IF(OR($J88=1,$J88=2,$J88=3,$J88=4,$J88=5,$J88=6,$J88=7,$J88=8,$J88=9,$J88=10),-$E88*$I88/12*3,IF($J88=11,-$E88*$I88/12*2,IF($J88=12,-$E88*$I88/12*1,0)))))+IF(CA$5&lt;&gt;$H88,0,IF(CA88&lt;0,IF($J88=10,-$E88*$I88/12*0,IF($J88=11,-$E88*$I88/12*1,IF($J88=12,-$E88*$I88/12*2,0)))))</f>
        <v>0</v>
      </c>
      <c r="CF88" s="403">
        <f>IF(AND(CA88&lt;&gt;0,CA$5=$H88),-$I88*$E88-CA88,IF(CF$5=$H88,-$I88*$E88*(12-$J88+1)/12,0))</f>
        <v>0</v>
      </c>
      <c r="CG88" s="400">
        <f>IF($H88&lt;&gt;CK$5,0,IF(CK88&lt;0,IF($J88=1,-$E88*$I88/12*3,IF($J88=2,-$E88*$I88/12*2,IF($J88=3,-$E88*$I88/12*1,0)))))+IF(CF$5&lt;&gt;$H88,0,IF(CF88&lt;0,IF($J88=1,-$E88*$I88/12*0,IF($J88=2,-$E88*$I88/12*1,IF($J88=3,-$E88*$I88/12*2,IF($J88&gt;=4,-$E88*$I88/12*3,0))))))</f>
        <v>0</v>
      </c>
      <c r="CH88" s="406">
        <f>IF($H88&lt;&gt;CK$5,0,IF(CK88&lt;0,IF(OR($J88=1,$J88=2,$J88=3,$J88=4),-$E88*$I88/12*3,IF($J88=5,-$E88*$I88/12*2,IF($J88=6,-$E88*$I88/12*1,0)))))+IF(CF$5&lt;&gt;$H88,0,IF(CF88&lt;0,IF($J88=4,-$E88*$I88/12*0,IF($J88=5,-$E88*$I88/12*1,IF($J88=6,-$E88*$I88/12*2,IF($J88&gt;=7,-$E88*$I88/12*3,0))))))</f>
        <v>0</v>
      </c>
      <c r="CI88" s="406">
        <f>IF($H88&lt;&gt;CK$5,0,IF(CK88&lt;0,IF(OR($J88=1,$J88=2,$J88=3,$J88=4,$J88=5,$J88=6,$J88=7),-$E88*$I88/12*3,IF($J88=8,-$E88*$I88/12*2,IF($J88=9,-$E88*$I88/12*1,0)))))+IF(CF$5&lt;&gt;$H88,0,IF(CF88&lt;0,IF($J88=7,-$E88*$I88/12*0,IF($J88=8,-$E88*$I88/12*1,IF($J88=9,-$E88*$I88/12*2,IF($J88&gt;=10,-$E88*$I88/12*3,0))))))</f>
        <v>0</v>
      </c>
      <c r="CJ88" s="402">
        <f>IF($H88&lt;&gt;CK$5,0,IF(CK88&lt;0,IF(OR($J88=1,$J88=2,$J88=3,$J88=4,$J88=5,$J88=6,$J88=7,$J88=8,$J88=9,$J88=10),-$E88*$I88/12*3,IF($J88=11,-$E88*$I88/12*2,IF($J88=12,-$E88*$I88/12*1,0)))))+IF(CF$5&lt;&gt;$H88,0,IF(CF88&lt;0,IF($J88=10,-$E88*$I88/12*0,IF($J88=11,-$E88*$I88/12*1,IF($J88=12,-$E88*$I88/12*2,0)))))</f>
        <v>0</v>
      </c>
      <c r="CK88" s="403">
        <f>IF(AND(CF88&lt;&gt;0,CF$5=$H88),-$I88*$E88-CF88,IF(CK$5=$H88,-$I88*$E88*(12-$J88+1)/12,0))</f>
        <v>0</v>
      </c>
      <c r="CL88" s="400">
        <f>IF($H88&lt;&gt;CP$5,0,IF(CP88&lt;0,IF($J88=1,-$E88*$I88/12*3,IF($J88=2,-$E88*$I88/12*2,IF($J88=3,-$E88*$I88/12*1,0)))))+IF(CK$5&lt;&gt;$H88,0,IF(CK88&lt;0,IF($J88=1,-$E88*$I88/12*0,IF($J88=2,-$E88*$I88/12*1,IF($J88=3,-$E88*$I88/12*2,IF($J88&gt;=4,-$E88*$I88/12*3,0))))))</f>
        <v>0</v>
      </c>
      <c r="CM88" s="406">
        <f>IF($H88&lt;&gt;CP$5,0,IF(CP88&lt;0,IF(OR($J88=1,$J88=2,$J88=3,$J88=4),-$E88*$I88/12*3,IF($J88=5,-$E88*$I88/12*2,IF($J88=6,-$E88*$I88/12*1,0)))))+IF(CK$5&lt;&gt;$H88,0,IF(CK88&lt;0,IF($J88=4,-$E88*$I88/12*0,IF($J88=5,-$E88*$I88/12*1,IF($J88=6,-$E88*$I88/12*2,IF($J88&gt;=7,-$E88*$I88/12*3,0))))))</f>
        <v>0</v>
      </c>
      <c r="CN88" s="406">
        <f>IF($H88&lt;&gt;CP$5,0,IF(CP88&lt;0,IF(OR($J88=1,$J88=2,$J88=3,$J88=4,$J88=5,$J88=6,$J88=7),-$E88*$I88/12*3,IF($J88=8,-$E88*$I88/12*2,IF($J88=9,-$E88*$I88/12*1,0)))))+IF(CK$5&lt;&gt;$H88,0,IF(CK88&lt;0,IF($J88=7,-$E88*$I88/12*0,IF($J88=8,-$E88*$I88/12*1,IF($J88=9,-$E88*$I88/12*2,IF($J88&gt;=10,-$E88*$I88/12*3,0))))))</f>
        <v>0</v>
      </c>
      <c r="CO88" s="402">
        <f>IF($H88&lt;&gt;CP$5,0,IF(CP88&lt;0,IF(OR($J88=1,$J88=2,$J88=3,$J88=4,$J88=5,$J88=6,$J88=7,$J88=8,$J88=9,$J88=10),-$E88*$I88/12*3,IF($J88=11,-$E88*$I88/12*2,IF($J88=12,-$E88*$I88/12*1,0)))))+IF(CK$5&lt;&gt;$H88,0,IF(CK88&lt;0,IF($J88=10,-$E88*$I88/12*0,IF($J88=11,-$E88*$I88/12*1,IF($J88=12,-$E88*$I88/12*2,0)))))</f>
        <v>0</v>
      </c>
      <c r="CP88" s="403">
        <f>IF(AND(CK88&lt;&gt;0,CK$5=$H88),-$I88*$E88-CK88,IF(CP$5=$H88,-$I88*$E88*(12-$J88+1)/12,0))</f>
        <v>0</v>
      </c>
      <c r="CQ88" s="400">
        <f>IF($H88&lt;&gt;CU$5,0,IF(CU88&lt;0,IF($J88=1,-$E88*$I88/12*3,IF($J88=2,-$E88*$I88/12*2,IF($J88=3,-$E88*$I88/12*1,0)))))+IF(CP$5&lt;&gt;$H88,0,IF(CP88&lt;0,IF($J88=1,-$E88*$I88/12*0,IF($J88=2,-$E88*$I88/12*1,IF($J88=3,-$E88*$I88/12*2,IF($J88&gt;=4,-$E88*$I88/12*3,0))))))</f>
        <v>0</v>
      </c>
      <c r="CR88" s="406">
        <f>IF($H88&lt;&gt;CU$5,0,IF(CU88&lt;0,IF(OR($J88=1,$J88=2,$J88=3,$J88=4),-$E88*$I88/12*3,IF($J88=5,-$E88*$I88/12*2,IF($J88=6,-$E88*$I88/12*1,0)))))+IF(CP$5&lt;&gt;$H88,0,IF(CP88&lt;0,IF($J88=4,-$E88*$I88/12*0,IF($J88=5,-$E88*$I88/12*1,IF($J88=6,-$E88*$I88/12*2,IF($J88&gt;=7,-$E88*$I88/12*3,0))))))</f>
        <v>0</v>
      </c>
      <c r="CS88" s="406">
        <f>IF($H88&lt;&gt;CU$5,0,IF(CU88&lt;0,IF(OR($J88=1,$J88=2,$J88=3,$J88=4,$J88=5,$J88=6,$J88=7),-$E88*$I88/12*3,IF($J88=8,-$E88*$I88/12*2,IF($J88=9,-$E88*$I88/12*1,0)))))+IF(CP$5&lt;&gt;$H88,0,IF(CP88&lt;0,IF($J88=7,-$E88*$I88/12*0,IF($J88=8,-$E88*$I88/12*1,IF($J88=9,-$E88*$I88/12*2,IF($J88&gt;=10,-$E88*$I88/12*3,0))))))</f>
        <v>0</v>
      </c>
      <c r="CT88" s="402">
        <f>IF($H88&lt;&gt;CU$5,0,IF(CU88&lt;0,IF(OR($J88=1,$J88=2,$J88=3,$J88=4,$J88=5,$J88=6,$J88=7,$J88=8,$J88=9,$J88=10),-$E88*$I88/12*3,IF($J88=11,-$E88*$I88/12*2,IF($J88=12,-$E88*$I88/12*1,0)))))+IF(CP$5&lt;&gt;$H88,0,IF(CP88&lt;0,IF($J88=10,-$E88*$I88/12*0,IF($J88=11,-$E88*$I88/12*1,IF($J88=12,-$E88*$I88/12*2,0)))))</f>
        <v>0</v>
      </c>
      <c r="CU88" s="403">
        <f>IF(AND(CP88&lt;&gt;0,CP$5=$H88),-$I88*$E88-CP88,IF(CU$5=$H88,-$I88*$E88*(12-$J88+1)/12,0))</f>
        <v>0</v>
      </c>
      <c r="CV88" s="400">
        <f>IF($H88&lt;&gt;CZ$5,0,IF(CZ88&lt;0,IF($J88=1,-$E88*$I88/12*3,IF($J88=2,-$E88*$I88/12*2,IF($J88=3,-$E88*$I88/12*1,0)))))+IF(CU$5&lt;&gt;$H88,0,IF(CU88&lt;0,IF($J88=1,-$E88*$I88/12*0,IF($J88=2,-$E88*$I88/12*1,IF($J88=3,-$E88*$I88/12*2,IF($J88&gt;=4,-$E88*$I88/12*3,0))))))</f>
        <v>0</v>
      </c>
      <c r="CW88" s="406">
        <f>IF($H88&lt;&gt;CZ$5,0,IF(CZ88&lt;0,IF(OR($J88=1,$J88=2,$J88=3,$J88=4),-$E88*$I88/12*3,IF($J88=5,-$E88*$I88/12*2,IF($J88=6,-$E88*$I88/12*1,0)))))+IF(CU$5&lt;&gt;$H88,0,IF(CU88&lt;0,IF($J88=4,-$E88*$I88/12*0,IF($J88=5,-$E88*$I88/12*1,IF($J88=6,-$E88*$I88/12*2,IF($J88&gt;=7,-$E88*$I88/12*3,0))))))</f>
        <v>0</v>
      </c>
      <c r="CX88" s="406">
        <f>IF($H88&lt;&gt;CZ$5,0,IF(CZ88&lt;0,IF(OR($J88=1,$J88=2,$J88=3,$J88=4,$J88=5,$J88=6,$J88=7),-$E88*$I88/12*3,IF($J88=8,-$E88*$I88/12*2,IF($J88=9,-$E88*$I88/12*1,0)))))+IF(CU$5&lt;&gt;$H88,0,IF(CU88&lt;0,IF($J88=7,-$E88*$I88/12*0,IF($J88=8,-$E88*$I88/12*1,IF($J88=9,-$E88*$I88/12*2,IF($J88&gt;=10,-$E88*$I88/12*3,0))))))</f>
        <v>0</v>
      </c>
      <c r="CY88" s="402">
        <f>IF($H88&lt;&gt;CZ$5,0,IF(CZ88&lt;0,IF(OR($J88=1,$J88=2,$J88=3,$J88=4,$J88=5,$J88=6,$J88=7,$J88=8,$J88=9,$J88=10),-$E88*$I88/12*3,IF($J88=11,-$E88*$I88/12*2,IF($J88=12,-$E88*$I88/12*1,0)))))+IF(CU$5&lt;&gt;$H88,0,IF(CU88&lt;0,IF($J88=10,-$E88*$I88/12*0,IF($J88=11,-$E88*$I88/12*1,IF($J88=12,-$E88*$I88/12*2,0)))))</f>
        <v>0</v>
      </c>
      <c r="CZ88" s="403">
        <f>IF(AND(CU88&lt;&gt;0,CU$5=$H88),-$I88*$E88-CU88,IF(CZ$5=$H88,-$I88*$E88*(12-$J88+1)/12,0))</f>
        <v>0</v>
      </c>
      <c r="DA88" s="400">
        <f>IF($H88&lt;&gt;DE$5,0,IF(DE88&lt;0,IF($J88=1,-$E88*$I88/12*3,IF($J88=2,-$E88*$I88/12*2,IF($J88=3,-$E88*$I88/12*1,0)))))+IF(CZ$5&lt;&gt;$H88,0,IF(CZ88&lt;0,IF($J88=1,-$E88*$I88/12*0,IF($J88=2,-$E88*$I88/12*1,IF($J88=3,-$E88*$I88/12*2,IF($J88&gt;=4,-$E88*$I88/12*3,0))))))</f>
        <v>0</v>
      </c>
      <c r="DB88" s="406">
        <f>IF($H88&lt;&gt;DE$5,0,IF(DE88&lt;0,IF(OR($J88=1,$J88=2,$J88=3,$J88=4),-$E88*$I88/12*3,IF($J88=5,-$E88*$I88/12*2,IF($J88=6,-$E88*$I88/12*1,0)))))+IF(CZ$5&lt;&gt;$H88,0,IF(CZ88&lt;0,IF($J88=4,-$E88*$I88/12*0,IF($J88=5,-$E88*$I88/12*1,IF($J88=6,-$E88*$I88/12*2,IF($J88&gt;=7,-$E88*$I88/12*3,0))))))</f>
        <v>0</v>
      </c>
      <c r="DC88" s="406">
        <f>IF($H88&lt;&gt;DE$5,0,IF(DE88&lt;0,IF(OR($J88=1,$J88=2,$J88=3,$J88=4,$J88=5,$J88=6,$J88=7),-$E88*$I88/12*3,IF($J88=8,-$E88*$I88/12*2,IF($J88=9,-$E88*$I88/12*1,0)))))+IF(CZ$5&lt;&gt;$H88,0,IF(CZ88&lt;0,IF($J88=7,-$E88*$I88/12*0,IF($J88=8,-$E88*$I88/12*1,IF($J88=9,-$E88*$I88/12*2,IF($J88&gt;=10,-$E88*$I88/12*3,0))))))</f>
        <v>0</v>
      </c>
      <c r="DD88" s="402">
        <f>IF($H88&lt;&gt;DE$5,0,IF(DE88&lt;0,IF(OR($J88=1,$J88=2,$J88=3,$J88=4,$J88=5,$J88=6,$J88=7,$J88=8,$J88=9,$J88=10),-$E88*$I88/12*3,IF($J88=11,-$E88*$I88/12*2,IF($J88=12,-$E88*$I88/12*1,0)))))+IF(CZ$5&lt;&gt;$H88,0,IF(CZ88&lt;0,IF($J88=10,-$E88*$I88/12*0,IF($J88=11,-$E88*$I88/12*1,IF($J88=12,-$E88*$I88/12*2,0)))))</f>
        <v>0</v>
      </c>
      <c r="DE88" s="403">
        <f>IF(AND(CZ88&lt;&gt;0,CZ$5=$H88),-$I88*$E88-CZ88,IF(DE$5=$H88,-$I88*$E88*(12-$J88+1)/12,0))</f>
        <v>0</v>
      </c>
      <c r="DF88" s="400">
        <f>IF($H88&lt;&gt;DJ$5,0,IF(DJ88&lt;0,IF($J88=1,-$E88*$I88/12*3,IF($J88=2,-$E88*$I88/12*2,IF($J88=3,-$E88*$I88/12*1,0)))))+IF(DE$5&lt;&gt;$H88,0,IF(DE88&lt;0,IF($J88=1,-$E88*$I88/12*0,IF($J88=2,-$E88*$I88/12*1,IF($J88=3,-$E88*$I88/12*2,IF($J88&gt;=4,-$E88*$I88/12*3,0))))))</f>
        <v>0</v>
      </c>
      <c r="DG88" s="406">
        <f>IF($H88&lt;&gt;DJ$5,0,IF(DJ88&lt;0,IF(OR($J88=1,$J88=2,$J88=3,$J88=4),-$E88*$I88/12*3,IF($J88=5,-$E88*$I88/12*2,IF($J88=6,-$E88*$I88/12*1,0)))))+IF(DE$5&lt;&gt;$H88,0,IF(DE88&lt;0,IF($J88=4,-$E88*$I88/12*0,IF($J88=5,-$E88*$I88/12*1,IF($J88=6,-$E88*$I88/12*2,IF($J88&gt;=7,-$E88*$I88/12*3,0))))))</f>
        <v>0</v>
      </c>
      <c r="DH88" s="406">
        <f>IF($H88&lt;&gt;DJ$5,0,IF(DJ88&lt;0,IF(OR($J88=1,$J88=2,$J88=3,$J88=4,$J88=5,$J88=6,$J88=7),-$E88*$I88/12*3,IF($J88=8,-$E88*$I88/12*2,IF($J88=9,-$E88*$I88/12*1,0)))))+IF(DE$5&lt;&gt;$H88,0,IF(DE88&lt;0,IF($J88=7,-$E88*$I88/12*0,IF($J88=8,-$E88*$I88/12*1,IF($J88=9,-$E88*$I88/12*2,IF($J88&gt;=10,-$E88*$I88/12*3,0))))))</f>
        <v>0</v>
      </c>
      <c r="DI88" s="402">
        <f>IF($H88&lt;&gt;DJ$5,0,IF(DJ88&lt;0,IF(OR($J88=1,$J88=2,$J88=3,$J88=4,$J88=5,$J88=6,$J88=7,$J88=8,$J88=9,$J88=10),-$E88*$I88/12*3,IF($J88=11,-$E88*$I88/12*2,IF($J88=12,-$E88*$I88/12*1,0)))))+IF(DE$5&lt;&gt;$H88,0,IF(DE88&lt;0,IF($J88=10,-$E88*$I88/12*0,IF($J88=11,-$E88*$I88/12*1,IF($J88=12,-$E88*$I88/12*2,0)))))</f>
        <v>0</v>
      </c>
      <c r="DJ88" s="403">
        <f>IF(AND(DE88&lt;&gt;0,DE$5=$H88),-$I88*$E88-DE88,IF(DJ$5=$H88,-$I88*$E88*(12-$J88+1)/12,0))</f>
        <v>0</v>
      </c>
      <c r="DK88" s="400">
        <f>IF($H88&lt;&gt;DO$5,0,IF(DO88&lt;0,IF($J88=1,-$E88*$I88/12*3,IF($J88=2,-$E88*$I88/12*2,IF($J88=3,-$E88*$I88/12*1,0)))))+IF(DJ$5&lt;&gt;$H88,0,IF(DJ88&lt;0,IF($J88=1,-$E88*$I88/12*0,IF($J88=2,-$E88*$I88/12*1,IF($J88=3,-$E88*$I88/12*2,IF($J88&gt;=4,-$E88*$I88/12*3,0))))))</f>
        <v>0</v>
      </c>
      <c r="DL88" s="406">
        <f>IF($H88&lt;&gt;DO$5,0,IF(DO88&lt;0,IF(OR($J88=1,$J88=2,$J88=3,$J88=4),-$E88*$I88/12*3,IF($J88=5,-$E88*$I88/12*2,IF($J88=6,-$E88*$I88/12*1,0)))))+IF(DJ$5&lt;&gt;$H88,0,IF(DJ88&lt;0,IF($J88=4,-$E88*$I88/12*0,IF($J88=5,-$E88*$I88/12*1,IF($J88=6,-$E88*$I88/12*2,IF($J88&gt;=7,-$E88*$I88/12*3,0))))))</f>
        <v>0</v>
      </c>
      <c r="DM88" s="406">
        <f>IF($H88&lt;&gt;DO$5,0,IF(DO88&lt;0,IF(OR($J88=1,$J88=2,$J88=3,$J88=4,$J88=5,$J88=6,$J88=7),-$E88*$I88/12*3,IF($J88=8,-$E88*$I88/12*2,IF($J88=9,-$E88*$I88/12*1,0)))))+IF(DJ$5&lt;&gt;$H88,0,IF(DJ88&lt;0,IF($J88=7,-$E88*$I88/12*0,IF($J88=8,-$E88*$I88/12*1,IF($J88=9,-$E88*$I88/12*2,IF($J88&gt;=10,-$E88*$I88/12*3,0))))))</f>
        <v>0</v>
      </c>
      <c r="DN88" s="402">
        <f>IF($H88&lt;&gt;DO$5,0,IF(DO88&lt;0,IF(OR($J88=1,$J88=2,$J88=3,$J88=4,$J88=5,$J88=6,$J88=7,$J88=8,$J88=9,$J88=10),-$E88*$I88/12*3,IF($J88=11,-$E88*$I88/12*2,IF($J88=12,-$E88*$I88/12*1,0)))))+IF(DJ$5&lt;&gt;$H88,0,IF(DJ88&lt;0,IF($J88=10,-$E88*$I88/12*0,IF($J88=11,-$E88*$I88/12*1,IF($J88=12,-$E88*$I88/12*2,0)))))</f>
        <v>0</v>
      </c>
      <c r="DO88" s="403">
        <f>IF(AND(DJ88&lt;&gt;0,DJ$5=$H88),-$I88*$E88-DJ88,IF(DO$5=$H88,-$I88*$E88*(12-$J88+1)/12,0))</f>
        <v>0</v>
      </c>
      <c r="DP88" s="400">
        <f>IF($H88&lt;&gt;DT$5,0,IF(DT88&lt;0,IF($J88=1,-$E88*$I88/12*3,IF($J88=2,-$E88*$I88/12*2,IF($J88=3,-$E88*$I88/12*1,0)))))+IF(DO$5&lt;&gt;$H88,0,IF(DO88&lt;0,IF($J88=1,-$E88*$I88/12*0,IF($J88=2,-$E88*$I88/12*1,IF($J88=3,-$E88*$I88/12*2,IF($J88&gt;=4,-$E88*$I88/12*3,0))))))</f>
        <v>0</v>
      </c>
      <c r="DQ88" s="406">
        <f>IF($H88&lt;&gt;DT$5,0,IF(DT88&lt;0,IF(OR($J88=1,$J88=2,$J88=3,$J88=4),-$E88*$I88/12*3,IF($J88=5,-$E88*$I88/12*2,IF($J88=6,-$E88*$I88/12*1,0)))))+IF(DO$5&lt;&gt;$H88,0,IF(DO88&lt;0,IF($J88=4,-$E88*$I88/12*0,IF($J88=5,-$E88*$I88/12*1,IF($J88=6,-$E88*$I88/12*2,IF($J88&gt;=7,-$E88*$I88/12*3,0))))))</f>
        <v>0</v>
      </c>
      <c r="DR88" s="406">
        <f>IF($H88&lt;&gt;DT$5,0,IF(DT88&lt;0,IF(OR($J88=1,$J88=2,$J88=3,$J88=4,$J88=5,$J88=6,$J88=7),-$E88*$I88/12*3,IF($J88=8,-$E88*$I88/12*2,IF($J88=9,-$E88*$I88/12*1,0)))))+IF(DO$5&lt;&gt;$H88,0,IF(DO88&lt;0,IF($J88=7,-$E88*$I88/12*0,IF($J88=8,-$E88*$I88/12*1,IF($J88=9,-$E88*$I88/12*2,IF($J88&gt;=10,-$E88*$I88/12*3,0))))))</f>
        <v>0</v>
      </c>
      <c r="DS88" s="402">
        <f>IF($H88&lt;&gt;DT$5,0,IF(DT88&lt;0,IF(OR($J88=1,$J88=2,$J88=3,$J88=4,$J88=5,$J88=6,$J88=7,$J88=8,$J88=9,$J88=10),-$E88*$I88/12*3,IF($J88=11,-$E88*$I88/12*2,IF($J88=12,-$E88*$I88/12*1,0)))))+IF(DO$5&lt;&gt;$H88,0,IF(DO88&lt;0,IF($J88=10,-$E88*$I88/12*0,IF($J88=11,-$E88*$I88/12*1,IF($J88=12,-$E88*$I88/12*2,0)))))</f>
        <v>0</v>
      </c>
      <c r="DT88" s="403">
        <f>IF(AND(DO88&lt;&gt;0,DO$5=$H88),-$I88*$E88-DO88,IF(DT$5=$H88,-$I88*$E88*(12-$J88+1)/12,0))</f>
        <v>0</v>
      </c>
      <c r="EF88" s="35"/>
    </row>
    <row r="89" spans="1:139" ht="12.75" customHeight="1" x14ac:dyDescent="0.2">
      <c r="C89" s="511"/>
      <c r="D89" s="240"/>
      <c r="E89" s="530"/>
      <c r="F89" s="531"/>
      <c r="G89" s="531"/>
      <c r="H89" s="449"/>
      <c r="I89" s="450"/>
      <c r="J89" s="451"/>
      <c r="K89" s="448"/>
      <c r="L89" s="397"/>
      <c r="M89" s="394"/>
      <c r="N89" s="404"/>
      <c r="O89" s="404"/>
      <c r="P89" s="396"/>
      <c r="Q89" s="397"/>
      <c r="R89" s="394"/>
      <c r="S89" s="404"/>
      <c r="T89" s="404"/>
      <c r="U89" s="396"/>
      <c r="V89" s="397"/>
      <c r="W89" s="394"/>
      <c r="X89" s="404"/>
      <c r="Y89" s="404"/>
      <c r="Z89" s="396"/>
      <c r="AA89" s="397"/>
      <c r="AB89" s="394"/>
      <c r="AC89" s="404"/>
      <c r="AD89" s="404"/>
      <c r="AE89" s="396"/>
      <c r="AF89" s="397"/>
      <c r="AG89" s="394"/>
      <c r="AH89" s="404"/>
      <c r="AI89" s="404"/>
      <c r="AJ89" s="396"/>
      <c r="AK89" s="397"/>
      <c r="AL89" s="394"/>
      <c r="AM89" s="404"/>
      <c r="AN89" s="404"/>
      <c r="AO89" s="396"/>
      <c r="AP89" s="397"/>
      <c r="AQ89" s="394"/>
      <c r="AR89" s="404"/>
      <c r="AS89" s="404"/>
      <c r="AT89" s="396"/>
      <c r="AU89" s="397"/>
      <c r="AV89" s="394"/>
      <c r="AW89" s="404"/>
      <c r="AX89" s="404"/>
      <c r="AY89" s="396"/>
      <c r="AZ89" s="397"/>
      <c r="BA89" s="394"/>
      <c r="BB89" s="404"/>
      <c r="BC89" s="404"/>
      <c r="BD89" s="396"/>
      <c r="BE89" s="397"/>
      <c r="BF89" s="394"/>
      <c r="BG89" s="404"/>
      <c r="BH89" s="404"/>
      <c r="BI89" s="396"/>
      <c r="BJ89" s="397"/>
      <c r="BK89" s="394"/>
      <c r="BL89" s="404"/>
      <c r="BM89" s="404"/>
      <c r="BN89" s="396"/>
      <c r="BO89" s="397"/>
      <c r="BP89" s="452"/>
      <c r="BQ89" s="403"/>
      <c r="BR89" s="400"/>
      <c r="BS89" s="406"/>
      <c r="BT89" s="406"/>
      <c r="BU89" s="402"/>
      <c r="BV89" s="403"/>
      <c r="BW89" s="400"/>
      <c r="BX89" s="406"/>
      <c r="BY89" s="406"/>
      <c r="BZ89" s="402"/>
      <c r="CA89" s="403"/>
      <c r="CB89" s="400"/>
      <c r="CC89" s="406"/>
      <c r="CD89" s="406"/>
      <c r="CE89" s="402"/>
      <c r="CF89" s="403"/>
      <c r="CG89" s="400"/>
      <c r="CH89" s="406"/>
      <c r="CI89" s="406"/>
      <c r="CJ89" s="402"/>
      <c r="CK89" s="403"/>
      <c r="CL89" s="400"/>
      <c r="CM89" s="406"/>
      <c r="CN89" s="406"/>
      <c r="CO89" s="402"/>
      <c r="CP89" s="403"/>
      <c r="CQ89" s="400"/>
      <c r="CR89" s="406"/>
      <c r="CS89" s="406"/>
      <c r="CT89" s="402"/>
      <c r="CU89" s="403"/>
      <c r="CV89" s="400"/>
      <c r="CW89" s="406"/>
      <c r="CX89" s="406"/>
      <c r="CY89" s="402"/>
      <c r="CZ89" s="403"/>
      <c r="DA89" s="400"/>
      <c r="DB89" s="406"/>
      <c r="DC89" s="406"/>
      <c r="DD89" s="402"/>
      <c r="DE89" s="403"/>
      <c r="DF89" s="400"/>
      <c r="DG89" s="406"/>
      <c r="DH89" s="406"/>
      <c r="DI89" s="402"/>
      <c r="DJ89" s="403"/>
      <c r="DK89" s="400"/>
      <c r="DL89" s="406"/>
      <c r="DM89" s="406"/>
      <c r="DN89" s="402"/>
      <c r="DO89" s="403"/>
      <c r="DP89" s="400"/>
      <c r="DQ89" s="406"/>
      <c r="DR89" s="406"/>
      <c r="DS89" s="402"/>
      <c r="DT89" s="403"/>
    </row>
    <row r="90" spans="1:139" ht="12.75" customHeight="1" x14ac:dyDescent="0.2">
      <c r="C90" s="20" t="s">
        <v>372</v>
      </c>
      <c r="D90" s="240"/>
      <c r="E90" s="530">
        <f>IF(F90=0,G90,F90)</f>
        <v>18.600000000000001</v>
      </c>
      <c r="F90" s="531">
        <v>18.600000000000001</v>
      </c>
      <c r="G90" s="531">
        <v>18.600000000000001</v>
      </c>
      <c r="H90" s="449">
        <v>2021</v>
      </c>
      <c r="I90" s="450">
        <v>0.06</v>
      </c>
      <c r="J90" s="451">
        <v>11</v>
      </c>
      <c r="K90" s="448"/>
      <c r="L90" s="397">
        <f>IF(L$5=$H90,-$E90,0)</f>
        <v>0</v>
      </c>
      <c r="M90" s="394">
        <f>IF(Q90=0,0,IF(Q90&lt;0,IF($J90=3,Q90,IF($J90=2,Q90,IF($J90=1,Q90,0)))))</f>
        <v>0</v>
      </c>
      <c r="N90" s="404">
        <f>IF(Q90=0,0,IF(Q90&lt;0,IF($J90=6,Q90,IF($J90=5,Q90,IF($J90=4,Q90,0)))))</f>
        <v>0</v>
      </c>
      <c r="O90" s="404">
        <f>IF(Q90=0,0,IF(Q90&lt;0,IF($J90=9,Q90,IF($J90=8,Q90,IF($J90=7,Q90,0)))))</f>
        <v>0</v>
      </c>
      <c r="P90" s="396">
        <f>IF(Q90=0,0,IF(Q90&lt;0,IF($J90=12,Q90,IF($J90=11,Q90,IF($J90=10,Q90,0)))))</f>
        <v>0</v>
      </c>
      <c r="Q90" s="397">
        <f>IF(Q$5=$H90,-$E90,0)</f>
        <v>0</v>
      </c>
      <c r="R90" s="394">
        <f>IF(V90=0,0,IF(V90&lt;0,IF($J90=3,V90,IF($J90=2,V90,IF($J90=1,V90,0)))))</f>
        <v>0</v>
      </c>
      <c r="S90" s="404">
        <f>IF(V90=0,0,IF(V90&lt;0,IF($J90=6,V90,IF($J90=5,V90,IF($J90=4,V90,0)))))</f>
        <v>0</v>
      </c>
      <c r="T90" s="404">
        <f>IF(V90=0,0,IF(V90&lt;0,IF($J90=9,V90,IF($J90=8,V90,IF($J90=7,V90,0)))))</f>
        <v>0</v>
      </c>
      <c r="U90" s="396">
        <f>IF(V90=0,0,IF(V90&lt;0,IF($J90=12,V90,IF($J90=11,V90,IF($J90=10,V90,0)))))</f>
        <v>0</v>
      </c>
      <c r="V90" s="397">
        <f>IF(V$5=$H90,-$E90,0)</f>
        <v>0</v>
      </c>
      <c r="W90" s="394">
        <f>IF(AA90=0,0,IF(AA90&lt;0,IF($J90=3,AA90,IF($J90=2,AA90,IF($J90=1,AA90,0)))))</f>
        <v>0</v>
      </c>
      <c r="X90" s="404">
        <f>IF(AA90=0,0,IF(AA90&lt;0,IF($J90=6,AA90,IF($J90=5,AA90,IF($J90=4,AA90,0)))))</f>
        <v>0</v>
      </c>
      <c r="Y90" s="404">
        <f>IF(AA90=0,0,IF(AA90&lt;0,IF($J90=9,AA90,IF($J90=8,AA90,IF($J90=7,AA90,0)))))</f>
        <v>0</v>
      </c>
      <c r="Z90" s="396">
        <f>IF(AA90=0,0,IF(AA90&lt;0,IF($J90=12,AA90,IF($J90=11,AA90,IF($J90=10,AA90,0)))))</f>
        <v>0</v>
      </c>
      <c r="AA90" s="397">
        <f>IF(AA$5=$H90,-$E90,0)</f>
        <v>0</v>
      </c>
      <c r="AB90" s="394">
        <f>IF(AF90=0,0,IF(AF90&lt;0,IF($J90=3,AF90,IF($J90=2,AF90,IF($J90=1,AF90,0)))))</f>
        <v>0</v>
      </c>
      <c r="AC90" s="404">
        <f>IF(AF90=0,0,IF(AF90&lt;0,IF($J90=6,AF90,IF($J90=5,AF90,IF($J90=4,AF90,0)))))</f>
        <v>0</v>
      </c>
      <c r="AD90" s="404">
        <f>IF(AF90=0,0,IF(AF90&lt;0,IF($J90=9,AF90,IF($J90=8,AF90,IF($J90=7,AF90,0)))))</f>
        <v>0</v>
      </c>
      <c r="AE90" s="396">
        <f>IF(AF90=0,0,IF(AF90&lt;0,IF($J90=12,AF90,IF($J90=11,AF90,IF($J90=10,AF90,0)))))</f>
        <v>0</v>
      </c>
      <c r="AF90" s="397">
        <f>IF(AF$5=$H90,-$E90,0)</f>
        <v>0</v>
      </c>
      <c r="AG90" s="394">
        <f>IF(AK90=0,0,IF(AK90&lt;0,IF($J90=3,AK90,IF($J90=2,AK90,IF($J90=1,AK90,0)))))</f>
        <v>0</v>
      </c>
      <c r="AH90" s="404">
        <f>IF(AK90=0,0,IF(AK90&lt;0,IF($J90=6,AK90,IF($J90=5,AK90,IF($J90=4,AK90,0)))))</f>
        <v>0</v>
      </c>
      <c r="AI90" s="404">
        <f>IF(AK90=0,0,IF(AK90&lt;0,IF($J90=9,AK90,IF($J90=8,AK90,IF($J90=7,AK90,0)))))</f>
        <v>0</v>
      </c>
      <c r="AJ90" s="396">
        <f>IF(AK90=0,0,IF(AK90&lt;0,IF($J90=12,AK90,IF($J90=11,AK90,IF($J90=10,AK90,0)))))</f>
        <v>0</v>
      </c>
      <c r="AK90" s="397">
        <f>IF(AK$5=$H90,-$E90,0)</f>
        <v>0</v>
      </c>
      <c r="AL90" s="394">
        <f>IF(AP90=0,0,IF(AP90&lt;0,IF($J90=3,AP90,IF($J90=2,AP90,IF($J90=1,AP90,0)))))</f>
        <v>0</v>
      </c>
      <c r="AM90" s="404">
        <f>IF(AP90=0,0,IF(AP90&lt;0,IF($J90=6,AP90,IF($J90=5,AP90,IF($J90=4,AP90,0)))))</f>
        <v>0</v>
      </c>
      <c r="AN90" s="404">
        <f>IF(AP90=0,0,IF(AP90&lt;0,IF($J90=9,AP90,IF($J90=8,AP90,IF($J90=7,AP90,0)))))</f>
        <v>0</v>
      </c>
      <c r="AO90" s="396">
        <f>IF(AP90=0,0,IF(AP90&lt;0,IF($J90=12,AP90,IF($J90=11,AP90,IF($J90=10,AP90,0)))))</f>
        <v>0</v>
      </c>
      <c r="AP90" s="397">
        <f>IF(AP$5=$H90,-$E90,0)</f>
        <v>0</v>
      </c>
      <c r="AQ90" s="394">
        <f>IF(AU90=0,0,IF(AU90&lt;0,IF($J90=3,AU90,IF($J90=2,AU90,IF($J90=1,AU90,0)))))</f>
        <v>0</v>
      </c>
      <c r="AR90" s="404">
        <f>IF(AU90=0,0,IF(AU90&lt;0,IF($J90=6,AU90,IF($J90=5,AU90,IF($J90=4,AU90,0)))))</f>
        <v>0</v>
      </c>
      <c r="AS90" s="404">
        <f>IF(AU90=0,0,IF(AU90&lt;0,IF($J90=9,AU90,IF($J90=8,AU90,IF($J90=7,AU90,0)))))</f>
        <v>0</v>
      </c>
      <c r="AT90" s="396">
        <f>IF(AU90=0,0,IF(AU90&lt;0,IF($J90=12,AU90,IF($J90=11,AU90,IF($J90=10,AU90,0)))))</f>
        <v>0</v>
      </c>
      <c r="AU90" s="397">
        <f>IF(AU$5=$H90,-$E90,0)</f>
        <v>0</v>
      </c>
      <c r="AV90" s="394">
        <f>IF(AZ90=0,0,IF(AZ90&lt;0,IF($J90=3,AZ90,IF($J90=2,AZ90,IF($J90=1,AZ90,0)))))</f>
        <v>0</v>
      </c>
      <c r="AW90" s="404">
        <f>IF(AZ90=0,0,IF(AZ90&lt;0,IF($J90=6,AZ90,IF($J90=5,AZ90,IF($J90=4,AZ90,0)))))</f>
        <v>0</v>
      </c>
      <c r="AX90" s="404">
        <f>IF(AZ90=0,0,IF(AZ90&lt;0,IF($J90=9,AZ90,IF($J90=8,AZ90,IF($J90=7,AZ90,0)))))</f>
        <v>0</v>
      </c>
      <c r="AY90" s="396">
        <f>IF(AZ90=0,0,IF(AZ90&lt;0,IF($J90=12,AZ90,IF($J90=11,AZ90,IF($J90=10,AZ90,0)))))</f>
        <v>0</v>
      </c>
      <c r="AZ90" s="397">
        <f>IF(AZ$5=$H90,-$E90,0)</f>
        <v>0</v>
      </c>
      <c r="BA90" s="394">
        <f>IF(BE90=0,0,IF(BE90&lt;0,IF($J90=3,BE90,IF($J90=2,BE90,IF($J90=1,BE90,0)))))</f>
        <v>0</v>
      </c>
      <c r="BB90" s="404">
        <f>IF(BE90=0,0,IF(BE90&lt;0,IF($J90=6,BE90,IF($J90=5,BE90,IF($J90=4,BE90,0)))))</f>
        <v>0</v>
      </c>
      <c r="BC90" s="404">
        <f>IF(BE90=0,0,IF(BE90&lt;0,IF($J90=9,BE90,IF($J90=8,BE90,IF($J90=7,BE90,0)))))</f>
        <v>0</v>
      </c>
      <c r="BD90" s="396">
        <f>IF(BE90=0,0,IF(BE90&lt;0,IF($J90=12,BE90,IF($J90=11,BE90,IF($J90=10,BE90,0)))))</f>
        <v>0</v>
      </c>
      <c r="BE90" s="397">
        <f>IF(BE$5=$H90,-$E90,0)</f>
        <v>0</v>
      </c>
      <c r="BF90" s="394">
        <f>IF(BJ90=0,0,IF(BJ90&lt;0,IF($J90=3,BJ90,IF($J90=2,BJ90,IF($J90=1,BJ90,0)))))</f>
        <v>0</v>
      </c>
      <c r="BG90" s="404">
        <f>IF(BJ90=0,0,IF(BJ90&lt;0,IF($J90=6,BJ90,IF($J90=5,BJ90,IF($J90=4,BJ90,0)))))</f>
        <v>0</v>
      </c>
      <c r="BH90" s="404">
        <f>IF(BJ90=0,0,IF(BJ90&lt;0,IF($J90=9,BJ90,IF($J90=8,BJ90,IF($J90=7,BJ90,0)))))</f>
        <v>0</v>
      </c>
      <c r="BI90" s="396">
        <f>IF(BJ90=0,0,IF(BJ90&lt;0,IF($J90=12,BJ90,IF($J90=11,BJ90,IF($J90=10,BJ90,0)))))</f>
        <v>0</v>
      </c>
      <c r="BJ90" s="397">
        <f>IF(BJ$5=$H90,-$E90,0)</f>
        <v>0</v>
      </c>
      <c r="BK90" s="394">
        <f>IF(BO90=0,0,IF(BO90&lt;0,IF($J90=3,BO90,IF($J90=2,BO90,IF($J90=1,BO90,0)))))</f>
        <v>0</v>
      </c>
      <c r="BL90" s="404">
        <f>IF(BO90=0,0,IF(BO90&lt;0,IF($J90=6,BO90,IF($J90=5,BO90,IF($J90=4,BO90,0)))))</f>
        <v>0</v>
      </c>
      <c r="BM90" s="404">
        <f>IF(BO90=0,0,IF(BO90&lt;0,IF($J90=9,BO90,IF($J90=8,BO90,IF($J90=7,BO90,0)))))</f>
        <v>0</v>
      </c>
      <c r="BN90" s="396">
        <f>IF(BO90=0,0,IF(BO90&lt;0,IF($J90=12,BO90,IF($J90=11,BO90,IF($J90=10,BO90,0)))))</f>
        <v>-18.600000000000001</v>
      </c>
      <c r="BO90" s="397">
        <f>IF(BO$5=$H90,-$E90,0)</f>
        <v>-18.600000000000001</v>
      </c>
      <c r="BP90" s="452"/>
      <c r="BQ90" s="403">
        <f>IF(AND(BP90&lt;&gt;0,BP$5=$H90),-$I90*$E90-BP90,IF(BQ$5=$H90,-$I90*$E90*(12-$J90+1)/12,0))</f>
        <v>0</v>
      </c>
      <c r="BR90" s="400">
        <f>IF($H90&lt;&gt;BV$5,0,IF(BV90&lt;0,IF($J90=1,-$E90*$I90/12*3,IF($J90=2,-$E90*$I90/12*2,IF($J90=3,-$E90*$I90/12*1,0)))))+IF(BQ$5&lt;&gt;$H90,0,IF(BQ90&lt;0,IF($J90=1,-$E90*$I90/12*0,IF($J90=2,-$E90*$I90/12*1,IF($J90=3,-$E90*$I90/12*2,IF($J90&gt;=4,-$E90*$I90/12*3,0))))))</f>
        <v>0</v>
      </c>
      <c r="BS90" s="406">
        <f>IF($H90&lt;&gt;BV$5,0,IF(BV90&lt;0,IF(OR($J90=1,$J90=2,$J90=3,$J90=4),-$E90*$I90/12*3,IF($J90=5,-$E90*$I90/12*2,IF($J90=6,-$E90*$I90/12*1,0)))))+IF(BQ$5&lt;&gt;$H90,0,IF(BQ90&lt;0,IF($J90=4,-$E90*$I90/12*0,IF($J90=5,-$E90*$I90/12*1,IF($J90=6,-$E90*$I90/12*2,IF($J90&gt;=7,-$E90*$I90/12*3,0))))))</f>
        <v>0</v>
      </c>
      <c r="BT90" s="406">
        <f>IF($H90&lt;&gt;BV$5,0,IF(BV90&lt;0,IF(OR($J90=1,$J90=2,$J90=3,$J90=4,$J90=5,$J90=6,$J90=7),-$E90*$I90/12*3,IF($J90=8,-$E90*$I90/12*2,IF($J90=9,-$E90*$I90/12*1,0)))))+IF(BQ$5&lt;&gt;$H90,0,IF(BQ90&lt;0,IF($J90=7,-$E90*$I90/12*0,IF($J90=8,-$E90*$I90/12*1,IF($J90=9,-$E90*$I90/12*2,IF($J90&gt;=10,-$E90*$I90/12*3,0))))))</f>
        <v>0</v>
      </c>
      <c r="BU90" s="402">
        <f>IF($H90&lt;&gt;BV$5,0,IF(BV90&lt;0,IF(OR($J90=1,$J90=2,$J90=3,$J90=4,$J90=5,$J90=6,$J90=7,$J90=8,$J90=9,$J90=10),-$E90*$I90/12*3,IF($J90=11,-$E90*$I90/12*2,IF($J90=12,-$E90*$I90/12*1,0)))))+IF(BQ$5&lt;&gt;$H90,0,IF(BQ90&lt;0,IF($J90=10,-$E90*$I90/12*0,IF($J90=11,-$E90*$I90/12*1,IF($J90=12,-$E90*$I90/12*2,0)))))</f>
        <v>0</v>
      </c>
      <c r="BV90" s="403">
        <f>IF(AND(BQ90&lt;&gt;0,BQ$5=$H90),-$I90*$E90-BQ90,IF(BV$5=$H90,-$I90*$E90*(12-$J90+1)/12,0))</f>
        <v>0</v>
      </c>
      <c r="BW90" s="400">
        <f>IF($H90&lt;&gt;CA$5,0,IF(CA90&lt;0,IF($J90=1,-$E90*$I90/12*3,IF($J90=2,-$E90*$I90/12*2,IF($J90=3,-$E90*$I90/12*1,0)))))+IF(BV$5&lt;&gt;$H90,0,IF(BV90&lt;0,IF($J90=1,-$E90*$I90/12*0,IF($J90=2,-$E90*$I90/12*1,IF($J90=3,-$E90*$I90/12*2,IF($J90&gt;=4,-$E90*$I90/12*3,0))))))</f>
        <v>0</v>
      </c>
      <c r="BX90" s="406">
        <f>IF($H90&lt;&gt;CA$5,0,IF(CA90&lt;0,IF(OR($J90=1,$J90=2,$J90=3,$J90=4),-$E90*$I90/12*3,IF($J90=5,-$E90*$I90/12*2,IF($J90=6,-$E90*$I90/12*1,0)))))+IF(BV$5&lt;&gt;$H90,0,IF(BV90&lt;0,IF($J90=4,-$E90*$I90/12*0,IF($J90=5,-$E90*$I90/12*1,IF($J90=6,-$E90*$I90/12*2,IF($J90&gt;=7,-$E90*$I90/12*3,0))))))</f>
        <v>0</v>
      </c>
      <c r="BY90" s="406">
        <f>IF($H90&lt;&gt;CA$5,0,IF(CA90&lt;0,IF(OR($J90=1,$J90=2,$J90=3,$J90=4,$J90=5,$J90=6,$J90=7),-$E90*$I90/12*3,IF($J90=8,-$E90*$I90/12*2,IF($J90=9,-$E90*$I90/12*1,0)))))+IF(BV$5&lt;&gt;$H90,0,IF(BV90&lt;0,IF($J90=7,-$E90*$I90/12*0,IF($J90=8,-$E90*$I90/12*1,IF($J90=9,-$E90*$I90/12*2,IF($J90&gt;=10,-$E90*$I90/12*3,0))))))</f>
        <v>0</v>
      </c>
      <c r="BZ90" s="402">
        <f>IF($H90&lt;&gt;CA$5,0,IF(CA90&lt;0,IF(OR($J90=1,$J90=2,$J90=3,$J90=4,$J90=5,$J90=6,$J90=7,$J90=8,$J90=9,$J90=10),-$E90*$I90/12*3,IF($J90=11,-$E90*$I90/12*2,IF($J90=12,-$E90*$I90/12*1,0)))))+IF(BV$5&lt;&gt;$H90,0,IF(BV90&lt;0,IF($J90=10,-$E90*$I90/12*0,IF($J90=11,-$E90*$I90/12*1,IF($J90=12,-$E90*$I90/12*2,0)))))</f>
        <v>0</v>
      </c>
      <c r="CA90" s="403">
        <f>IF(AND(BV90&lt;&gt;0,BV$5=$H90),-$I90*$E90-BV90,IF(CA$5=$H90,-$I90*$E90*(12-$J90+1)/12,0))</f>
        <v>0</v>
      </c>
      <c r="CB90" s="400">
        <f>IF($H90&lt;&gt;CF$5,0,IF(CF90&lt;0,IF($J90=1,-$E90*$I90/12*3,IF($J90=2,-$E90*$I90/12*2,IF($J90=3,-$E90*$I90/12*1,0)))))+IF(CA$5&lt;&gt;$H90,0,IF(CA90&lt;0,IF($J90=1,-$E90*$I90/12*0,IF($J90=2,-$E90*$I90/12*1,IF($J90=3,-$E90*$I90/12*2,IF($J90&gt;=4,-$E90*$I90/12*3,0))))))</f>
        <v>0</v>
      </c>
      <c r="CC90" s="406">
        <f>IF($H90&lt;&gt;CF$5,0,IF(CF90&lt;0,IF(OR($J90=1,$J90=2,$J90=3,$J90=4),-$E90*$I90/12*3,IF($J90=5,-$E90*$I90/12*2,IF($J90=6,-$E90*$I90/12*1,0)))))+IF(CA$5&lt;&gt;$H90,0,IF(CA90&lt;0,IF($J90=4,-$E90*$I90/12*0,IF($J90=5,-$E90*$I90/12*1,IF($J90=6,-$E90*$I90/12*2,IF($J90&gt;=7,-$E90*$I90/12*3,0))))))</f>
        <v>0</v>
      </c>
      <c r="CD90" s="406">
        <f>IF($H90&lt;&gt;CF$5,0,IF(CF90&lt;0,IF(OR($J90=1,$J90=2,$J90=3,$J90=4,$J90=5,$J90=6,$J90=7),-$E90*$I90/12*3,IF($J90=8,-$E90*$I90/12*2,IF($J90=9,-$E90*$I90/12*1,0)))))+IF(CA$5&lt;&gt;$H90,0,IF(CA90&lt;0,IF($J90=7,-$E90*$I90/12*0,IF($J90=8,-$E90*$I90/12*1,IF($J90=9,-$E90*$I90/12*2,IF($J90&gt;=10,-$E90*$I90/12*3,0))))))</f>
        <v>0</v>
      </c>
      <c r="CE90" s="402">
        <f>IF($H90&lt;&gt;CF$5,0,IF(CF90&lt;0,IF(OR($J90=1,$J90=2,$J90=3,$J90=4,$J90=5,$J90=6,$J90=7,$J90=8,$J90=9,$J90=10),-$E90*$I90/12*3,IF($J90=11,-$E90*$I90/12*2,IF($J90=12,-$E90*$I90/12*1,0)))))+IF(CA$5&lt;&gt;$H90,0,IF(CA90&lt;0,IF($J90=10,-$E90*$I90/12*0,IF($J90=11,-$E90*$I90/12*1,IF($J90=12,-$E90*$I90/12*2,0)))))</f>
        <v>0</v>
      </c>
      <c r="CF90" s="403">
        <f>IF(AND(CA90&lt;&gt;0,CA$5=$H90),-$I90*$E90-CA90,IF(CF$5=$H90,-$I90*$E90*(12-$J90+1)/12,0))</f>
        <v>0</v>
      </c>
      <c r="CG90" s="400">
        <f>IF($H90&lt;&gt;CK$5,0,IF(CK90&lt;0,IF($J90=1,-$E90*$I90/12*3,IF($J90=2,-$E90*$I90/12*2,IF($J90=3,-$E90*$I90/12*1,0)))))+IF(CF$5&lt;&gt;$H90,0,IF(CF90&lt;0,IF($J90=1,-$E90*$I90/12*0,IF($J90=2,-$E90*$I90/12*1,IF($J90=3,-$E90*$I90/12*2,IF($J90&gt;=4,-$E90*$I90/12*3,0))))))</f>
        <v>0</v>
      </c>
      <c r="CH90" s="406">
        <f>IF($H90&lt;&gt;CK$5,0,IF(CK90&lt;0,IF(OR($J90=1,$J90=2,$J90=3,$J90=4),-$E90*$I90/12*3,IF($J90=5,-$E90*$I90/12*2,IF($J90=6,-$E90*$I90/12*1,0)))))+IF(CF$5&lt;&gt;$H90,0,IF(CF90&lt;0,IF($J90=4,-$E90*$I90/12*0,IF($J90=5,-$E90*$I90/12*1,IF($J90=6,-$E90*$I90/12*2,IF($J90&gt;=7,-$E90*$I90/12*3,0))))))</f>
        <v>0</v>
      </c>
      <c r="CI90" s="406">
        <f>IF($H90&lt;&gt;CK$5,0,IF(CK90&lt;0,IF(OR($J90=1,$J90=2,$J90=3,$J90=4,$J90=5,$J90=6,$J90=7),-$E90*$I90/12*3,IF($J90=8,-$E90*$I90/12*2,IF($J90=9,-$E90*$I90/12*1,0)))))+IF(CF$5&lt;&gt;$H90,0,IF(CF90&lt;0,IF($J90=7,-$E90*$I90/12*0,IF($J90=8,-$E90*$I90/12*1,IF($J90=9,-$E90*$I90/12*2,IF($J90&gt;=10,-$E90*$I90/12*3,0))))))</f>
        <v>0</v>
      </c>
      <c r="CJ90" s="402">
        <f>IF($H90&lt;&gt;CK$5,0,IF(CK90&lt;0,IF(OR($J90=1,$J90=2,$J90=3,$J90=4,$J90=5,$J90=6,$J90=7,$J90=8,$J90=9,$J90=10),-$E90*$I90/12*3,IF($J90=11,-$E90*$I90/12*2,IF($J90=12,-$E90*$I90/12*1,0)))))+IF(CF$5&lt;&gt;$H90,0,IF(CF90&lt;0,IF($J90=10,-$E90*$I90/12*0,IF($J90=11,-$E90*$I90/12*1,IF($J90=12,-$E90*$I90/12*2,0)))))</f>
        <v>0</v>
      </c>
      <c r="CK90" s="403">
        <f>IF(AND(CF90&lt;&gt;0,CF$5=$H90),-$I90*$E90-CF90,IF(CK$5=$H90,-$I90*$E90*(12-$J90+1)/12,0))</f>
        <v>0</v>
      </c>
      <c r="CL90" s="400">
        <f>IF($H90&lt;&gt;CP$5,0,IF(CP90&lt;0,IF($J90=1,-$E90*$I90/12*3,IF($J90=2,-$E90*$I90/12*2,IF($J90=3,-$E90*$I90/12*1,0)))))+IF(CK$5&lt;&gt;$H90,0,IF(CK90&lt;0,IF($J90=1,-$E90*$I90/12*0,IF($J90=2,-$E90*$I90/12*1,IF($J90=3,-$E90*$I90/12*2,IF($J90&gt;=4,-$E90*$I90/12*3,0))))))</f>
        <v>0</v>
      </c>
      <c r="CM90" s="406">
        <f>IF($H90&lt;&gt;CP$5,0,IF(CP90&lt;0,IF(OR($J90=1,$J90=2,$J90=3,$J90=4),-$E90*$I90/12*3,IF($J90=5,-$E90*$I90/12*2,IF($J90=6,-$E90*$I90/12*1,0)))))+IF(CK$5&lt;&gt;$H90,0,IF(CK90&lt;0,IF($J90=4,-$E90*$I90/12*0,IF($J90=5,-$E90*$I90/12*1,IF($J90=6,-$E90*$I90/12*2,IF($J90&gt;=7,-$E90*$I90/12*3,0))))))</f>
        <v>0</v>
      </c>
      <c r="CN90" s="406">
        <f>IF($H90&lt;&gt;CP$5,0,IF(CP90&lt;0,IF(OR($J90=1,$J90=2,$J90=3,$J90=4,$J90=5,$J90=6,$J90=7),-$E90*$I90/12*3,IF($J90=8,-$E90*$I90/12*2,IF($J90=9,-$E90*$I90/12*1,0)))))+IF(CK$5&lt;&gt;$H90,0,IF(CK90&lt;0,IF($J90=7,-$E90*$I90/12*0,IF($J90=8,-$E90*$I90/12*1,IF($J90=9,-$E90*$I90/12*2,IF($J90&gt;=10,-$E90*$I90/12*3,0))))))</f>
        <v>0</v>
      </c>
      <c r="CO90" s="402">
        <f>IF($H90&lt;&gt;CP$5,0,IF(CP90&lt;0,IF(OR($J90=1,$J90=2,$J90=3,$J90=4,$J90=5,$J90=6,$J90=7,$J90=8,$J90=9,$J90=10),-$E90*$I90/12*3,IF($J90=11,-$E90*$I90/12*2,IF($J90=12,-$E90*$I90/12*1,0)))))+IF(CK$5&lt;&gt;$H90,0,IF(CK90&lt;0,IF($J90=10,-$E90*$I90/12*0,IF($J90=11,-$E90*$I90/12*1,IF($J90=12,-$E90*$I90/12*2,0)))))</f>
        <v>0</v>
      </c>
      <c r="CP90" s="403">
        <f>IF(AND(CK90&lt;&gt;0,CK$5=$H90),-$I90*$E90-CK90,IF(CP$5=$H90,-$I90*$E90*(12-$J90+1)/12,0))</f>
        <v>0</v>
      </c>
      <c r="CQ90" s="400">
        <f>IF($H90&lt;&gt;CU$5,0,IF(CU90&lt;0,IF($J90=1,-$E90*$I90/12*3,IF($J90=2,-$E90*$I90/12*2,IF($J90=3,-$E90*$I90/12*1,0)))))+IF(CP$5&lt;&gt;$H90,0,IF(CP90&lt;0,IF($J90=1,-$E90*$I90/12*0,IF($J90=2,-$E90*$I90/12*1,IF($J90=3,-$E90*$I90/12*2,IF($J90&gt;=4,-$E90*$I90/12*3,0))))))</f>
        <v>0</v>
      </c>
      <c r="CR90" s="406">
        <f>IF($H90&lt;&gt;CU$5,0,IF(CU90&lt;0,IF(OR($J90=1,$J90=2,$J90=3,$J90=4),-$E90*$I90/12*3,IF($J90=5,-$E90*$I90/12*2,IF($J90=6,-$E90*$I90/12*1,0)))))+IF(CP$5&lt;&gt;$H90,0,IF(CP90&lt;0,IF($J90=4,-$E90*$I90/12*0,IF($J90=5,-$E90*$I90/12*1,IF($J90=6,-$E90*$I90/12*2,IF($J90&gt;=7,-$E90*$I90/12*3,0))))))</f>
        <v>0</v>
      </c>
      <c r="CS90" s="406">
        <f>IF($H90&lt;&gt;CU$5,0,IF(CU90&lt;0,IF(OR($J90=1,$J90=2,$J90=3,$J90=4,$J90=5,$J90=6,$J90=7),-$E90*$I90/12*3,IF($J90=8,-$E90*$I90/12*2,IF($J90=9,-$E90*$I90/12*1,0)))))+IF(CP$5&lt;&gt;$H90,0,IF(CP90&lt;0,IF($J90=7,-$E90*$I90/12*0,IF($J90=8,-$E90*$I90/12*1,IF($J90=9,-$E90*$I90/12*2,IF($J90&gt;=10,-$E90*$I90/12*3,0))))))</f>
        <v>0</v>
      </c>
      <c r="CT90" s="402">
        <f>IF($H90&lt;&gt;CU$5,0,IF(CU90&lt;0,IF(OR($J90=1,$J90=2,$J90=3,$J90=4,$J90=5,$J90=6,$J90=7,$J90=8,$J90=9,$J90=10),-$E90*$I90/12*3,IF($J90=11,-$E90*$I90/12*2,IF($J90=12,-$E90*$I90/12*1,0)))))+IF(CP$5&lt;&gt;$H90,0,IF(CP90&lt;0,IF($J90=10,-$E90*$I90/12*0,IF($J90=11,-$E90*$I90/12*1,IF($J90=12,-$E90*$I90/12*2,0)))))</f>
        <v>0</v>
      </c>
      <c r="CU90" s="403">
        <f>IF(AND(CP90&lt;&gt;0,CP$5=$H90),-$I90*$E90-CP90,IF(CU$5=$H90,-$I90*$E90*(12-$J90+1)/12,0))</f>
        <v>0</v>
      </c>
      <c r="CV90" s="400">
        <f>IF($H90&lt;&gt;CZ$5,0,IF(CZ90&lt;0,IF($J90=1,-$E90*$I90/12*3,IF($J90=2,-$E90*$I90/12*2,IF($J90=3,-$E90*$I90/12*1,0)))))+IF(CU$5&lt;&gt;$H90,0,IF(CU90&lt;0,IF($J90=1,-$E90*$I90/12*0,IF($J90=2,-$E90*$I90/12*1,IF($J90=3,-$E90*$I90/12*2,IF($J90&gt;=4,-$E90*$I90/12*3,0))))))</f>
        <v>0</v>
      </c>
      <c r="CW90" s="406">
        <f>IF($H90&lt;&gt;CZ$5,0,IF(CZ90&lt;0,IF(OR($J90=1,$J90=2,$J90=3,$J90=4),-$E90*$I90/12*3,IF($J90=5,-$E90*$I90/12*2,IF($J90=6,-$E90*$I90/12*1,0)))))+IF(CU$5&lt;&gt;$H90,0,IF(CU90&lt;0,IF($J90=4,-$E90*$I90/12*0,IF($J90=5,-$E90*$I90/12*1,IF($J90=6,-$E90*$I90/12*2,IF($J90&gt;=7,-$E90*$I90/12*3,0))))))</f>
        <v>0</v>
      </c>
      <c r="CX90" s="406">
        <f>IF($H90&lt;&gt;CZ$5,0,IF(CZ90&lt;0,IF(OR($J90=1,$J90=2,$J90=3,$J90=4,$J90=5,$J90=6,$J90=7),-$E90*$I90/12*3,IF($J90=8,-$E90*$I90/12*2,IF($J90=9,-$E90*$I90/12*1,0)))))+IF(CU$5&lt;&gt;$H90,0,IF(CU90&lt;0,IF($J90=7,-$E90*$I90/12*0,IF($J90=8,-$E90*$I90/12*1,IF($J90=9,-$E90*$I90/12*2,IF($J90&gt;=10,-$E90*$I90/12*3,0))))))</f>
        <v>0</v>
      </c>
      <c r="CY90" s="402">
        <f>IF($H90&lt;&gt;CZ$5,0,IF(CZ90&lt;0,IF(OR($J90=1,$J90=2,$J90=3,$J90=4,$J90=5,$J90=6,$J90=7,$J90=8,$J90=9,$J90=10),-$E90*$I90/12*3,IF($J90=11,-$E90*$I90/12*2,IF($J90=12,-$E90*$I90/12*1,0)))))+IF(CU$5&lt;&gt;$H90,0,IF(CU90&lt;0,IF($J90=10,-$E90*$I90/12*0,IF($J90=11,-$E90*$I90/12*1,IF($J90=12,-$E90*$I90/12*2,0)))))</f>
        <v>0</v>
      </c>
      <c r="CZ90" s="403">
        <f>IF(AND(CU90&lt;&gt;0,CU$5=$H90),-$I90*$E90-CU90,IF(CZ$5=$H90,-$I90*$E90*(12-$J90+1)/12,0))</f>
        <v>0</v>
      </c>
      <c r="DA90" s="400">
        <f>IF($H90&lt;&gt;DE$5,0,IF(DE90&lt;0,IF($J90=1,-$E90*$I90/12*3,IF($J90=2,-$E90*$I90/12*2,IF($J90=3,-$E90*$I90/12*1,0)))))+IF(CZ$5&lt;&gt;$H90,0,IF(CZ90&lt;0,IF($J90=1,-$E90*$I90/12*0,IF($J90=2,-$E90*$I90/12*1,IF($J90=3,-$E90*$I90/12*2,IF($J90&gt;=4,-$E90*$I90/12*3,0))))))</f>
        <v>0</v>
      </c>
      <c r="DB90" s="406">
        <f>IF($H90&lt;&gt;DE$5,0,IF(DE90&lt;0,IF(OR($J90=1,$J90=2,$J90=3,$J90=4),-$E90*$I90/12*3,IF($J90=5,-$E90*$I90/12*2,IF($J90=6,-$E90*$I90/12*1,0)))))+IF(CZ$5&lt;&gt;$H90,0,IF(CZ90&lt;0,IF($J90=4,-$E90*$I90/12*0,IF($J90=5,-$E90*$I90/12*1,IF($J90=6,-$E90*$I90/12*2,IF($J90&gt;=7,-$E90*$I90/12*3,0))))))</f>
        <v>0</v>
      </c>
      <c r="DC90" s="406">
        <f>IF($H90&lt;&gt;DE$5,0,IF(DE90&lt;0,IF(OR($J90=1,$J90=2,$J90=3,$J90=4,$J90=5,$J90=6,$J90=7),-$E90*$I90/12*3,IF($J90=8,-$E90*$I90/12*2,IF($J90=9,-$E90*$I90/12*1,0)))))+IF(CZ$5&lt;&gt;$H90,0,IF(CZ90&lt;0,IF($J90=7,-$E90*$I90/12*0,IF($J90=8,-$E90*$I90/12*1,IF($J90=9,-$E90*$I90/12*2,IF($J90&gt;=10,-$E90*$I90/12*3,0))))))</f>
        <v>0</v>
      </c>
      <c r="DD90" s="402">
        <f>IF($H90&lt;&gt;DE$5,0,IF(DE90&lt;0,IF(OR($J90=1,$J90=2,$J90=3,$J90=4,$J90=5,$J90=6,$J90=7,$J90=8,$J90=9,$J90=10),-$E90*$I90/12*3,IF($J90=11,-$E90*$I90/12*2,IF($J90=12,-$E90*$I90/12*1,0)))))+IF(CZ$5&lt;&gt;$H90,0,IF(CZ90&lt;0,IF($J90=10,-$E90*$I90/12*0,IF($J90=11,-$E90*$I90/12*1,IF($J90=12,-$E90*$I90/12*2,0)))))</f>
        <v>0</v>
      </c>
      <c r="DE90" s="403">
        <f>IF(AND(CZ90&lt;&gt;0,CZ$5=$H90),-$I90*$E90-CZ90,IF(DE$5=$H90,-$I90*$E90*(12-$J90+1)/12,0))</f>
        <v>0</v>
      </c>
      <c r="DF90" s="400">
        <f>IF($H90&lt;&gt;DJ$5,0,IF(DJ90&lt;0,IF($J90=1,-$E90*$I90/12*3,IF($J90=2,-$E90*$I90/12*2,IF($J90=3,-$E90*$I90/12*1,0)))))+IF(DE$5&lt;&gt;$H90,0,IF(DE90&lt;0,IF($J90=1,-$E90*$I90/12*0,IF($J90=2,-$E90*$I90/12*1,IF($J90=3,-$E90*$I90/12*2,IF($J90&gt;=4,-$E90*$I90/12*3,0))))))</f>
        <v>0</v>
      </c>
      <c r="DG90" s="406">
        <f>IF($H90&lt;&gt;DJ$5,0,IF(DJ90&lt;0,IF(OR($J90=1,$J90=2,$J90=3,$J90=4),-$E90*$I90/12*3,IF($J90=5,-$E90*$I90/12*2,IF($J90=6,-$E90*$I90/12*1,0)))))+IF(DE$5&lt;&gt;$H90,0,IF(DE90&lt;0,IF($J90=4,-$E90*$I90/12*0,IF($J90=5,-$E90*$I90/12*1,IF($J90=6,-$E90*$I90/12*2,IF($J90&gt;=7,-$E90*$I90/12*3,0))))))</f>
        <v>0</v>
      </c>
      <c r="DH90" s="406">
        <f>IF($H90&lt;&gt;DJ$5,0,IF(DJ90&lt;0,IF(OR($J90=1,$J90=2,$J90=3,$J90=4,$J90=5,$J90=6,$J90=7),-$E90*$I90/12*3,IF($J90=8,-$E90*$I90/12*2,IF($J90=9,-$E90*$I90/12*1,0)))))+IF(DE$5&lt;&gt;$H90,0,IF(DE90&lt;0,IF($J90=7,-$E90*$I90/12*0,IF($J90=8,-$E90*$I90/12*1,IF($J90=9,-$E90*$I90/12*2,IF($J90&gt;=10,-$E90*$I90/12*3,0))))))</f>
        <v>0</v>
      </c>
      <c r="DI90" s="402">
        <f>IF($H90&lt;&gt;DJ$5,0,IF(DJ90&lt;0,IF(OR($J90=1,$J90=2,$J90=3,$J90=4,$J90=5,$J90=6,$J90=7,$J90=8,$J90=9,$J90=10),-$E90*$I90/12*3,IF($J90=11,-$E90*$I90/12*2,IF($J90=12,-$E90*$I90/12*1,0)))))+IF(DE$5&lt;&gt;$H90,0,IF(DE90&lt;0,IF($J90=10,-$E90*$I90/12*0,IF($J90=11,-$E90*$I90/12*1,IF($J90=12,-$E90*$I90/12*2,0)))))</f>
        <v>0</v>
      </c>
      <c r="DJ90" s="403">
        <f>IF(AND(DE90&lt;&gt;0,DE$5=$H90),-$I90*$E90-DE90,IF(DJ$5=$H90,-$I90*$E90*(12-$J90+1)/12,0))</f>
        <v>0</v>
      </c>
      <c r="DK90" s="400">
        <f>IF($H90&lt;&gt;DO$5,0,IF(DO90&lt;0,IF($J90=1,-$E90*$I90/12*3,IF($J90=2,-$E90*$I90/12*2,IF($J90=3,-$E90*$I90/12*1,0)))))+IF(DJ$5&lt;&gt;$H90,0,IF(DJ90&lt;0,IF($J90=1,-$E90*$I90/12*0,IF($J90=2,-$E90*$I90/12*1,IF($J90=3,-$E90*$I90/12*2,IF($J90&gt;=4,-$E90*$I90/12*3,0))))))</f>
        <v>0</v>
      </c>
      <c r="DL90" s="406">
        <f>IF($H90&lt;&gt;DO$5,0,IF(DO90&lt;0,IF(OR($J90=1,$J90=2,$J90=3,$J90=4),-$E90*$I90/12*3,IF($J90=5,-$E90*$I90/12*2,IF($J90=6,-$E90*$I90/12*1,0)))))+IF(DJ$5&lt;&gt;$H90,0,IF(DJ90&lt;0,IF($J90=4,-$E90*$I90/12*0,IF($J90=5,-$E90*$I90/12*1,IF($J90=6,-$E90*$I90/12*2,IF($J90&gt;=7,-$E90*$I90/12*3,0))))))</f>
        <v>0</v>
      </c>
      <c r="DM90" s="406">
        <f>IF($H90&lt;&gt;DO$5,0,IF(DO90&lt;0,IF(OR($J90=1,$J90=2,$J90=3,$J90=4,$J90=5,$J90=6,$J90=7),-$E90*$I90/12*3,IF($J90=8,-$E90*$I90/12*2,IF($J90=9,-$E90*$I90/12*1,0)))))+IF(DJ$5&lt;&gt;$H90,0,IF(DJ90&lt;0,IF($J90=7,-$E90*$I90/12*0,IF($J90=8,-$E90*$I90/12*1,IF($J90=9,-$E90*$I90/12*2,IF($J90&gt;=10,-$E90*$I90/12*3,0))))))</f>
        <v>0</v>
      </c>
      <c r="DN90" s="402">
        <f>IF($H90&lt;&gt;DO$5,0,IF(DO90&lt;0,IF(OR($J90=1,$J90=2,$J90=3,$J90=4,$J90=5,$J90=6,$J90=7,$J90=8,$J90=9,$J90=10),-$E90*$I90/12*3,IF($J90=11,-$E90*$I90/12*2,IF($J90=12,-$E90*$I90/12*1,0)))))+IF(DJ$5&lt;&gt;$H90,0,IF(DJ90&lt;0,IF($J90=10,-$E90*$I90/12*0,IF($J90=11,-$E90*$I90/12*1,IF($J90=12,-$E90*$I90/12*2,0)))))</f>
        <v>0</v>
      </c>
      <c r="DO90" s="403">
        <f>IF(AND(DJ90&lt;&gt;0,DJ$5=$H90),-$I90*$E90-DJ90,IF(DO$5=$H90,-$I90*$E90*(12-$J90+1)/12,0))</f>
        <v>0</v>
      </c>
      <c r="DP90" s="400">
        <f>IF($H90&lt;&gt;DT$5,0,IF(DT90&lt;0,IF($J90=1,-$E90*$I90/12*3,IF($J90=2,-$E90*$I90/12*2,IF($J90=3,-$E90*$I90/12*1,0)))))+IF(DO$5&lt;&gt;$H90,0,IF(DO90&lt;0,IF($J90=1,-$E90*$I90/12*0,IF($J90=2,-$E90*$I90/12*1,IF($J90=3,-$E90*$I90/12*2,IF($J90&gt;=4,-$E90*$I90/12*3,0))))))</f>
        <v>0</v>
      </c>
      <c r="DQ90" s="406">
        <f>IF($H90&lt;&gt;DT$5,0,IF(DT90&lt;0,IF(OR($J90=1,$J90=2,$J90=3,$J90=4),-$E90*$I90/12*3,IF($J90=5,-$E90*$I90/12*2,IF($J90=6,-$E90*$I90/12*1,0)))))+IF(DO$5&lt;&gt;$H90,0,IF(DO90&lt;0,IF($J90=4,-$E90*$I90/12*0,IF($J90=5,-$E90*$I90/12*1,IF($J90=6,-$E90*$I90/12*2,IF($J90&gt;=7,-$E90*$I90/12*3,0))))))</f>
        <v>0</v>
      </c>
      <c r="DR90" s="406">
        <f>IF($H90&lt;&gt;DT$5,0,IF(DT90&lt;0,IF(OR($J90=1,$J90=2,$J90=3,$J90=4,$J90=5,$J90=6,$J90=7),-$E90*$I90/12*3,IF($J90=8,-$E90*$I90/12*2,IF($J90=9,-$E90*$I90/12*1,0)))))+IF(DO$5&lt;&gt;$H90,0,IF(DO90&lt;0,IF($J90=7,-$E90*$I90/12*0,IF($J90=8,-$E90*$I90/12*1,IF($J90=9,-$E90*$I90/12*2,IF($J90&gt;=10,-$E90*$I90/12*3,0))))))</f>
        <v>0</v>
      </c>
      <c r="DS90" s="402">
        <f>IF($H90&lt;&gt;DT$5,0,IF(DT90&lt;0,IF(OR($J90=1,$J90=2,$J90=3,$J90=4,$J90=5,$J90=6,$J90=7,$J90=8,$J90=9,$J90=10),-$E90*$I90/12*3,IF($J90=11,-$E90*$I90/12*2,IF($J90=12,-$E90*$I90/12*1,0)))))+IF(DO$5&lt;&gt;$H90,0,IF(DO90&lt;0,IF($J90=10,-$E90*$I90/12*0,IF($J90=11,-$E90*$I90/12*1,IF($J90=12,-$E90*$I90/12*2,0)))))</f>
        <v>-0.18600000000000003</v>
      </c>
      <c r="DT90" s="403">
        <f>IF(AND(DO90&lt;&gt;0,DO$5=$H90),-$I90*$E90-DO90,IF(DT$5=$H90,-$I90*$E90*(12-$J90+1)/12,0))</f>
        <v>-0.18600000000000003</v>
      </c>
      <c r="EF90" s="35"/>
      <c r="EI90" s="759"/>
    </row>
    <row r="91" spans="1:139" ht="12.75" customHeight="1" x14ac:dyDescent="0.2">
      <c r="C91" s="52" t="s">
        <v>373</v>
      </c>
      <c r="D91" s="240"/>
      <c r="E91" s="530">
        <f>IF(F91=0,G91,F91)</f>
        <v>0.45600000000000002</v>
      </c>
      <c r="F91" s="531">
        <v>0</v>
      </c>
      <c r="G91" s="531">
        <v>0.45600000000000002</v>
      </c>
      <c r="H91" s="449">
        <v>2017</v>
      </c>
      <c r="I91" s="450">
        <v>7.0000000000000007E-2</v>
      </c>
      <c r="J91" s="451">
        <v>10</v>
      </c>
      <c r="K91" s="448"/>
      <c r="L91" s="397">
        <f>IF(L$5=$H91,-$E91,0)</f>
        <v>0</v>
      </c>
      <c r="M91" s="394">
        <f>IF(Q91=0,0,IF(Q91&lt;0,IF($J91=3,Q91,IF($J91=2,Q91,IF($J91=1,Q91,0)))))</f>
        <v>0</v>
      </c>
      <c r="N91" s="404">
        <f>IF(Q91=0,0,IF(Q91&lt;0,IF($J91=6,Q91,IF($J91=5,Q91,IF($J91=4,Q91,0)))))</f>
        <v>0</v>
      </c>
      <c r="O91" s="404">
        <f>IF(Q91=0,0,IF(Q91&lt;0,IF($J91=9,Q91,IF($J91=8,Q91,IF($J91=7,Q91,0)))))</f>
        <v>0</v>
      </c>
      <c r="P91" s="396">
        <f>IF(Q91=0,0,IF(Q91&lt;0,IF($J91=12,Q91,IF($J91=11,Q91,IF($J91=10,Q91,0)))))</f>
        <v>0</v>
      </c>
      <c r="Q91" s="397">
        <f>IF(Q$5=$H91,-$E91,0)</f>
        <v>0</v>
      </c>
      <c r="R91" s="394">
        <f>IF(V91=0,0,IF(V91&lt;0,IF($J91=3,V91,IF($J91=2,V91,IF($J91=1,V91,0)))))</f>
        <v>0</v>
      </c>
      <c r="S91" s="404">
        <f>IF(V91=0,0,IF(V91&lt;0,IF($J91=6,V91,IF($J91=5,V91,IF($J91=4,V91,0)))))</f>
        <v>0</v>
      </c>
      <c r="T91" s="404">
        <f>IF(V91=0,0,IF(V91&lt;0,IF($J91=9,V91,IF($J91=8,V91,IF($J91=7,V91,0)))))</f>
        <v>0</v>
      </c>
      <c r="U91" s="396">
        <f>IF(V91=0,0,IF(V91&lt;0,IF($J91=12,V91,IF($J91=11,V91,IF($J91=10,V91,0)))))</f>
        <v>0</v>
      </c>
      <c r="V91" s="397">
        <f>IF(V$5=$H91,-$E91,0)</f>
        <v>0</v>
      </c>
      <c r="W91" s="394">
        <f>IF(AA91=0,0,IF(AA91&lt;0,IF($J91=3,AA91,IF($J91=2,AA91,IF($J91=1,AA91,0)))))</f>
        <v>0</v>
      </c>
      <c r="X91" s="404">
        <f>IF(AA91=0,0,IF(AA91&lt;0,IF($J91=6,AA91,IF($J91=5,AA91,IF($J91=4,AA91,0)))))</f>
        <v>0</v>
      </c>
      <c r="Y91" s="404">
        <f>IF(AA91=0,0,IF(AA91&lt;0,IF($J91=9,AA91,IF($J91=8,AA91,IF($J91=7,AA91,0)))))</f>
        <v>0</v>
      </c>
      <c r="Z91" s="396">
        <f>IF(AA91=0,0,IF(AA91&lt;0,IF($J91=12,AA91,IF($J91=11,AA91,IF($J91=10,AA91,0)))))</f>
        <v>0</v>
      </c>
      <c r="AA91" s="397">
        <f>IF(AA$5=$H91,-$E91,0)</f>
        <v>0</v>
      </c>
      <c r="AB91" s="394">
        <f>IF(AF91=0,0,IF(AF91&lt;0,IF($J91=3,AF91,IF($J91=2,AF91,IF($J91=1,AF91,0)))))</f>
        <v>0</v>
      </c>
      <c r="AC91" s="404">
        <f>IF(AF91=0,0,IF(AF91&lt;0,IF($J91=6,AF91,IF($J91=5,AF91,IF($J91=4,AF91,0)))))</f>
        <v>0</v>
      </c>
      <c r="AD91" s="404">
        <f>IF(AF91=0,0,IF(AF91&lt;0,IF($J91=9,AF91,IF($J91=8,AF91,IF($J91=7,AF91,0)))))</f>
        <v>0</v>
      </c>
      <c r="AE91" s="396">
        <f>IF(AF91=0,0,IF(AF91&lt;0,IF($J91=12,AF91,IF($J91=11,AF91,IF($J91=10,AF91,0)))))</f>
        <v>0</v>
      </c>
      <c r="AF91" s="397">
        <f>IF(AF$5=$H91,-$E91,0)</f>
        <v>0</v>
      </c>
      <c r="AG91" s="394">
        <f>IF(AK91=0,0,IF(AK91&lt;0,IF($J91=3,AK91,IF($J91=2,AK91,IF($J91=1,AK91,0)))))</f>
        <v>0</v>
      </c>
      <c r="AH91" s="404">
        <f>IF(AK91=0,0,IF(AK91&lt;0,IF($J91=6,AK91,IF($J91=5,AK91,IF($J91=4,AK91,0)))))</f>
        <v>0</v>
      </c>
      <c r="AI91" s="404">
        <f>IF(AK91=0,0,IF(AK91&lt;0,IF($J91=9,AK91,IF($J91=8,AK91,IF($J91=7,AK91,0)))))</f>
        <v>0</v>
      </c>
      <c r="AJ91" s="396">
        <f>IF(AK91=0,0,IF(AK91&lt;0,IF($J91=12,AK91,IF($J91=11,AK91,IF($J91=10,AK91,0)))))</f>
        <v>0</v>
      </c>
      <c r="AK91" s="397">
        <f>IF(AK$5=$H91,-$E91,0)</f>
        <v>0</v>
      </c>
      <c r="AL91" s="394">
        <f>IF(AP91=0,0,IF(AP91&lt;0,IF($J91=3,AP91,IF($J91=2,AP91,IF($J91=1,AP91,0)))))</f>
        <v>0</v>
      </c>
      <c r="AM91" s="404">
        <f>IF(AP91=0,0,IF(AP91&lt;0,IF($J91=6,AP91,IF($J91=5,AP91,IF($J91=4,AP91,0)))))</f>
        <v>0</v>
      </c>
      <c r="AN91" s="404">
        <f>IF(AP91=0,0,IF(AP91&lt;0,IF($J91=9,AP91,IF($J91=8,AP91,IF($J91=7,AP91,0)))))</f>
        <v>0</v>
      </c>
      <c r="AO91" s="396">
        <f>IF(AP91=0,0,IF(AP91&lt;0,IF($J91=12,AP91,IF($J91=11,AP91,IF($J91=10,AP91,0)))))</f>
        <v>0</v>
      </c>
      <c r="AP91" s="397">
        <f>IF(AP$5=$H91,-$E91,0)</f>
        <v>0</v>
      </c>
      <c r="AQ91" s="394">
        <f>IF(AU91=0,0,IF(AU91&lt;0,IF($J91=3,AU91,IF($J91=2,AU91,IF($J91=1,AU91,0)))))</f>
        <v>0</v>
      </c>
      <c r="AR91" s="404">
        <f>IF(AU91=0,0,IF(AU91&lt;0,IF($J91=6,AU91,IF($J91=5,AU91,IF($J91=4,AU91,0)))))</f>
        <v>0</v>
      </c>
      <c r="AS91" s="404">
        <f>IF(AU91=0,0,IF(AU91&lt;0,IF($J91=9,AU91,IF($J91=8,AU91,IF($J91=7,AU91,0)))))</f>
        <v>0</v>
      </c>
      <c r="AT91" s="396">
        <f>IF(AU91=0,0,IF(AU91&lt;0,IF($J91=12,AU91,IF($J91=11,AU91,IF($J91=10,AU91,0)))))</f>
        <v>-0.45600000000000002</v>
      </c>
      <c r="AU91" s="397">
        <f>IF(AU$5=$H91,-$E91,0)</f>
        <v>-0.45600000000000002</v>
      </c>
      <c r="AV91" s="394">
        <f>IF(AZ91=0,0,IF(AZ91&lt;0,IF($J91=3,AZ91,IF($J91=2,AZ91,IF($J91=1,AZ91,0)))))</f>
        <v>0</v>
      </c>
      <c r="AW91" s="404">
        <f>IF(AZ91=0,0,IF(AZ91&lt;0,IF($J91=6,AZ91,IF($J91=5,AZ91,IF($J91=4,AZ91,0)))))</f>
        <v>0</v>
      </c>
      <c r="AX91" s="404">
        <f>IF(AZ91=0,0,IF(AZ91&lt;0,IF($J91=9,AZ91,IF($J91=8,AZ91,IF($J91=7,AZ91,0)))))</f>
        <v>0</v>
      </c>
      <c r="AY91" s="396">
        <f>IF(AZ91=0,0,IF(AZ91&lt;0,IF($J91=12,AZ91,IF($J91=11,AZ91,IF($J91=10,AZ91,0)))))</f>
        <v>0</v>
      </c>
      <c r="AZ91" s="397">
        <f>IF(AZ$5=$H91,-$E91,0)</f>
        <v>0</v>
      </c>
      <c r="BA91" s="394">
        <f>IF(BE91=0,0,IF(BE91&lt;0,IF($J91=3,BE91,IF($J91=2,BE91,IF($J91=1,BE91,0)))))</f>
        <v>0</v>
      </c>
      <c r="BB91" s="404">
        <f>IF(BE91=0,0,IF(BE91&lt;0,IF($J91=6,BE91,IF($J91=5,BE91,IF($J91=4,BE91,0)))))</f>
        <v>0</v>
      </c>
      <c r="BC91" s="404">
        <f>IF(BE91=0,0,IF(BE91&lt;0,IF($J91=9,BE91,IF($J91=8,BE91,IF($J91=7,BE91,0)))))</f>
        <v>0</v>
      </c>
      <c r="BD91" s="396">
        <f>IF(BE91=0,0,IF(BE91&lt;0,IF($J91=12,BE91,IF($J91=11,BE91,IF($J91=10,BE91,0)))))</f>
        <v>0</v>
      </c>
      <c r="BE91" s="397">
        <f>IF(BE$5=$H91,-$E91,0)</f>
        <v>0</v>
      </c>
      <c r="BF91" s="394">
        <f>IF(BJ91=0,0,IF(BJ91&lt;0,IF($J91=3,BJ91,IF($J91=2,BJ91,IF($J91=1,BJ91,0)))))</f>
        <v>0</v>
      </c>
      <c r="BG91" s="404">
        <f>IF(BJ91=0,0,IF(BJ91&lt;0,IF($J91=6,BJ91,IF($J91=5,BJ91,IF($J91=4,BJ91,0)))))</f>
        <v>0</v>
      </c>
      <c r="BH91" s="404">
        <f>IF(BJ91=0,0,IF(BJ91&lt;0,IF($J91=9,BJ91,IF($J91=8,BJ91,IF($J91=7,BJ91,0)))))</f>
        <v>0</v>
      </c>
      <c r="BI91" s="396">
        <f>IF(BJ91=0,0,IF(BJ91&lt;0,IF($J91=12,BJ91,IF($J91=11,BJ91,IF($J91=10,BJ91,0)))))</f>
        <v>0</v>
      </c>
      <c r="BJ91" s="397">
        <f>IF(BJ$5=$H91,-$E91,0)</f>
        <v>0</v>
      </c>
      <c r="BK91" s="394">
        <f>IF(BO91=0,0,IF(BO91&lt;0,IF($J91=3,BO91,IF($J91=2,BO91,IF($J91=1,BO91,0)))))</f>
        <v>0</v>
      </c>
      <c r="BL91" s="404">
        <f>IF(BO91=0,0,IF(BO91&lt;0,IF($J91=6,BO91,IF($J91=5,BO91,IF($J91=4,BO91,0)))))</f>
        <v>0</v>
      </c>
      <c r="BM91" s="404">
        <f>IF(BO91=0,0,IF(BO91&lt;0,IF($J91=9,BO91,IF($J91=8,BO91,IF($J91=7,BO91,0)))))</f>
        <v>0</v>
      </c>
      <c r="BN91" s="396">
        <f>IF(BO91=0,0,IF(BO91&lt;0,IF($J91=12,BO91,IF($J91=11,BO91,IF($J91=10,BO91,0)))))</f>
        <v>0</v>
      </c>
      <c r="BO91" s="397">
        <f>IF(BO$5=$H91,-$E91,0)</f>
        <v>0</v>
      </c>
      <c r="BP91" s="452"/>
      <c r="BQ91" s="403">
        <f>IF(AND(BP91&lt;&gt;0,BP$5=$H91),-$I91*$E91-BP91,IF(BQ$5=$H91,-$I91*$E91*(12-$J91+1)/12,0))</f>
        <v>0</v>
      </c>
      <c r="BR91" s="400">
        <f>IF($H91&lt;&gt;BV$5,0,IF(BV91&lt;0,IF($J91=1,-$E91*$I91/12*3,IF($J91=2,-$E91*$I91/12*2,IF($J91=3,-$E91*$I91/12*1,0)))))+IF(BQ$5&lt;&gt;$H91,0,IF(BQ91&lt;0,IF($J91=1,-$E91*$I91/12*0,IF($J91=2,-$E91*$I91/12*1,IF($J91=3,-$E91*$I91/12*2,IF($J91&gt;=4,-$E91*$I91/12*3,0))))))</f>
        <v>0</v>
      </c>
      <c r="BS91" s="406">
        <f>IF($H91&lt;&gt;BV$5,0,IF(BV91&lt;0,IF(OR($J91=1,$J91=2,$J91=3,$J91=4),-$E91*$I91/12*3,IF($J91=5,-$E91*$I91/12*2,IF($J91=6,-$E91*$I91/12*1,0)))))+IF(BQ$5&lt;&gt;$H91,0,IF(BQ91&lt;0,IF($J91=4,-$E91*$I91/12*0,IF($J91=5,-$E91*$I91/12*1,IF($J91=6,-$E91*$I91/12*2,IF($J91&gt;=7,-$E91*$I91/12*3,0))))))</f>
        <v>0</v>
      </c>
      <c r="BT91" s="406">
        <f>IF($H91&lt;&gt;BV$5,0,IF(BV91&lt;0,IF(OR($J91=1,$J91=2,$J91=3,$J91=4,$J91=5,$J91=6,$J91=7),-$E91*$I91/12*3,IF($J91=8,-$E91*$I91/12*2,IF($J91=9,-$E91*$I91/12*1,0)))))+IF(BQ$5&lt;&gt;$H91,0,IF(BQ91&lt;0,IF($J91=7,-$E91*$I91/12*0,IF($J91=8,-$E91*$I91/12*1,IF($J91=9,-$E91*$I91/12*2,IF($J91&gt;=10,-$E91*$I91/12*3,0))))))</f>
        <v>0</v>
      </c>
      <c r="BU91" s="402">
        <f>IF($H91&lt;&gt;BV$5,0,IF(BV91&lt;0,IF(OR($J91=1,$J91=2,$J91=3,$J91=4,$J91=5,$J91=6,$J91=7,$J91=8,$J91=9,$J91=10),-$E91*$I91/12*3,IF($J91=11,-$E91*$I91/12*2,IF($J91=12,-$E91*$I91/12*1,0)))))+IF(BQ$5&lt;&gt;$H91,0,IF(BQ91&lt;0,IF($J91=10,-$E91*$I91/12*0,IF($J91=11,-$E91*$I91/12*1,IF($J91=12,-$E91*$I91/12*2,0)))))</f>
        <v>0</v>
      </c>
      <c r="BV91" s="403">
        <f>IF(AND(BQ91&lt;&gt;0,BQ$5=$H91),-$I91*$E91-BQ91,IF(BV$5=$H91,-$I91*$E91*(12-$J91+1)/12,0))</f>
        <v>0</v>
      </c>
      <c r="BW91" s="400">
        <f>IF($H91&lt;&gt;CA$5,0,IF(CA91&lt;0,IF($J91=1,-$E91*$I91/12*3,IF($J91=2,-$E91*$I91/12*2,IF($J91=3,-$E91*$I91/12*1,0)))))+IF(BV$5&lt;&gt;$H91,0,IF(BV91&lt;0,IF($J91=1,-$E91*$I91/12*0,IF($J91=2,-$E91*$I91/12*1,IF($J91=3,-$E91*$I91/12*2,IF($J91&gt;=4,-$E91*$I91/12*3,0))))))</f>
        <v>0</v>
      </c>
      <c r="BX91" s="406">
        <f>IF($H91&lt;&gt;CA$5,0,IF(CA91&lt;0,IF(OR($J91=1,$J91=2,$J91=3,$J91=4),-$E91*$I91/12*3,IF($J91=5,-$E91*$I91/12*2,IF($J91=6,-$E91*$I91/12*1,0)))))+IF(BV$5&lt;&gt;$H91,0,IF(BV91&lt;0,IF($J91=4,-$E91*$I91/12*0,IF($J91=5,-$E91*$I91/12*1,IF($J91=6,-$E91*$I91/12*2,IF($J91&gt;=7,-$E91*$I91/12*3,0))))))</f>
        <v>0</v>
      </c>
      <c r="BY91" s="406">
        <f>IF($H91&lt;&gt;CA$5,0,IF(CA91&lt;0,IF(OR($J91=1,$J91=2,$J91=3,$J91=4,$J91=5,$J91=6,$J91=7),-$E91*$I91/12*3,IF($J91=8,-$E91*$I91/12*2,IF($J91=9,-$E91*$I91/12*1,0)))))+IF(BV$5&lt;&gt;$H91,0,IF(BV91&lt;0,IF($J91=7,-$E91*$I91/12*0,IF($J91=8,-$E91*$I91/12*1,IF($J91=9,-$E91*$I91/12*2,IF($J91&gt;=10,-$E91*$I91/12*3,0))))))</f>
        <v>0</v>
      </c>
      <c r="BZ91" s="402">
        <f>IF($H91&lt;&gt;CA$5,0,IF(CA91&lt;0,IF(OR($J91=1,$J91=2,$J91=3,$J91=4,$J91=5,$J91=6,$J91=7,$J91=8,$J91=9,$J91=10),-$E91*$I91/12*3,IF($J91=11,-$E91*$I91/12*2,IF($J91=12,-$E91*$I91/12*1,0)))))+IF(BV$5&lt;&gt;$H91,0,IF(BV91&lt;0,IF($J91=10,-$E91*$I91/12*0,IF($J91=11,-$E91*$I91/12*1,IF($J91=12,-$E91*$I91/12*2,0)))))</f>
        <v>0</v>
      </c>
      <c r="CA91" s="403">
        <f>IF(AND(BV91&lt;&gt;0,BV$5=$H91),-$I91*$E91-BV91,IF(CA$5=$H91,-$I91*$E91*(12-$J91+1)/12,0))</f>
        <v>0</v>
      </c>
      <c r="CB91" s="400">
        <f>IF($H91&lt;&gt;CF$5,0,IF(CF91&lt;0,IF($J91=1,-$E91*$I91/12*3,IF($J91=2,-$E91*$I91/12*2,IF($J91=3,-$E91*$I91/12*1,0)))))+IF(CA$5&lt;&gt;$H91,0,IF(CA91&lt;0,IF($J91=1,-$E91*$I91/12*0,IF($J91=2,-$E91*$I91/12*1,IF($J91=3,-$E91*$I91/12*2,IF($J91&gt;=4,-$E91*$I91/12*3,0))))))</f>
        <v>0</v>
      </c>
      <c r="CC91" s="406">
        <f>IF($H91&lt;&gt;CF$5,0,IF(CF91&lt;0,IF(OR($J91=1,$J91=2,$J91=3,$J91=4),-$E91*$I91/12*3,IF($J91=5,-$E91*$I91/12*2,IF($J91=6,-$E91*$I91/12*1,0)))))+IF(CA$5&lt;&gt;$H91,0,IF(CA91&lt;0,IF($J91=4,-$E91*$I91/12*0,IF($J91=5,-$E91*$I91/12*1,IF($J91=6,-$E91*$I91/12*2,IF($J91&gt;=7,-$E91*$I91/12*3,0))))))</f>
        <v>0</v>
      </c>
      <c r="CD91" s="406">
        <f>IF($H91&lt;&gt;CF$5,0,IF(CF91&lt;0,IF(OR($J91=1,$J91=2,$J91=3,$J91=4,$J91=5,$J91=6,$J91=7),-$E91*$I91/12*3,IF($J91=8,-$E91*$I91/12*2,IF($J91=9,-$E91*$I91/12*1,0)))))+IF(CA$5&lt;&gt;$H91,0,IF(CA91&lt;0,IF($J91=7,-$E91*$I91/12*0,IF($J91=8,-$E91*$I91/12*1,IF($J91=9,-$E91*$I91/12*2,IF($J91&gt;=10,-$E91*$I91/12*3,0))))))</f>
        <v>0</v>
      </c>
      <c r="CE91" s="402">
        <f>IF($H91&lt;&gt;CF$5,0,IF(CF91&lt;0,IF(OR($J91=1,$J91=2,$J91=3,$J91=4,$J91=5,$J91=6,$J91=7,$J91=8,$J91=9,$J91=10),-$E91*$I91/12*3,IF($J91=11,-$E91*$I91/12*2,IF($J91=12,-$E91*$I91/12*1,0)))))+IF(CA$5&lt;&gt;$H91,0,IF(CA91&lt;0,IF($J91=10,-$E91*$I91/12*0,IF($J91=11,-$E91*$I91/12*1,IF($J91=12,-$E91*$I91/12*2,0)))))</f>
        <v>0</v>
      </c>
      <c r="CF91" s="403">
        <f>IF(AND(CA91&lt;&gt;0,CA$5=$H91),-$I91*$E91-CA91,IF(CF$5=$H91,-$I91*$E91*(12-$J91+1)/12,0))</f>
        <v>0</v>
      </c>
      <c r="CG91" s="400">
        <f>IF($H91&lt;&gt;CK$5,0,IF(CK91&lt;0,IF($J91=1,-$E91*$I91/12*3,IF($J91=2,-$E91*$I91/12*2,IF($J91=3,-$E91*$I91/12*1,0)))))+IF(CF$5&lt;&gt;$H91,0,IF(CF91&lt;0,IF($J91=1,-$E91*$I91/12*0,IF($J91=2,-$E91*$I91/12*1,IF($J91=3,-$E91*$I91/12*2,IF($J91&gt;=4,-$E91*$I91/12*3,0))))))</f>
        <v>0</v>
      </c>
      <c r="CH91" s="406">
        <f>IF($H91&lt;&gt;CK$5,0,IF(CK91&lt;0,IF(OR($J91=1,$J91=2,$J91=3,$J91=4),-$E91*$I91/12*3,IF($J91=5,-$E91*$I91/12*2,IF($J91=6,-$E91*$I91/12*1,0)))))+IF(CF$5&lt;&gt;$H91,0,IF(CF91&lt;0,IF($J91=4,-$E91*$I91/12*0,IF($J91=5,-$E91*$I91/12*1,IF($J91=6,-$E91*$I91/12*2,IF($J91&gt;=7,-$E91*$I91/12*3,0))))))</f>
        <v>0</v>
      </c>
      <c r="CI91" s="406">
        <f>IF($H91&lt;&gt;CK$5,0,IF(CK91&lt;0,IF(OR($J91=1,$J91=2,$J91=3,$J91=4,$J91=5,$J91=6,$J91=7),-$E91*$I91/12*3,IF($J91=8,-$E91*$I91/12*2,IF($J91=9,-$E91*$I91/12*1,0)))))+IF(CF$5&lt;&gt;$H91,0,IF(CF91&lt;0,IF($J91=7,-$E91*$I91/12*0,IF($J91=8,-$E91*$I91/12*1,IF($J91=9,-$E91*$I91/12*2,IF($J91&gt;=10,-$E91*$I91/12*3,0))))))</f>
        <v>0</v>
      </c>
      <c r="CJ91" s="402">
        <f>IF($H91&lt;&gt;CK$5,0,IF(CK91&lt;0,IF(OR($J91=1,$J91=2,$J91=3,$J91=4,$J91=5,$J91=6,$J91=7,$J91=8,$J91=9,$J91=10),-$E91*$I91/12*3,IF($J91=11,-$E91*$I91/12*2,IF($J91=12,-$E91*$I91/12*1,0)))))+IF(CF$5&lt;&gt;$H91,0,IF(CF91&lt;0,IF($J91=10,-$E91*$I91/12*0,IF($J91=11,-$E91*$I91/12*1,IF($J91=12,-$E91*$I91/12*2,0)))))</f>
        <v>0</v>
      </c>
      <c r="CK91" s="403">
        <f>IF(AND(CF91&lt;&gt;0,CF$5=$H91),-$I91*$E91-CF91,IF(CK$5=$H91,-$I91*$E91*(12-$J91+1)/12,0))</f>
        <v>0</v>
      </c>
      <c r="CL91" s="400">
        <f>IF($H91&lt;&gt;CP$5,0,IF(CP91&lt;0,IF($J91=1,-$E91*$I91/12*3,IF($J91=2,-$E91*$I91/12*2,IF($J91=3,-$E91*$I91/12*1,0)))))+IF(CK$5&lt;&gt;$H91,0,IF(CK91&lt;0,IF($J91=1,-$E91*$I91/12*0,IF($J91=2,-$E91*$I91/12*1,IF($J91=3,-$E91*$I91/12*2,IF($J91&gt;=4,-$E91*$I91/12*3,0))))))</f>
        <v>0</v>
      </c>
      <c r="CM91" s="406">
        <f>IF($H91&lt;&gt;CP$5,0,IF(CP91&lt;0,IF(OR($J91=1,$J91=2,$J91=3,$J91=4),-$E91*$I91/12*3,IF($J91=5,-$E91*$I91/12*2,IF($J91=6,-$E91*$I91/12*1,0)))))+IF(CK$5&lt;&gt;$H91,0,IF(CK91&lt;0,IF($J91=4,-$E91*$I91/12*0,IF($J91=5,-$E91*$I91/12*1,IF($J91=6,-$E91*$I91/12*2,IF($J91&gt;=7,-$E91*$I91/12*3,0))))))</f>
        <v>0</v>
      </c>
      <c r="CN91" s="406">
        <f>IF($H91&lt;&gt;CP$5,0,IF(CP91&lt;0,IF(OR($J91=1,$J91=2,$J91=3,$J91=4,$J91=5,$J91=6,$J91=7),-$E91*$I91/12*3,IF($J91=8,-$E91*$I91/12*2,IF($J91=9,-$E91*$I91/12*1,0)))))+IF(CK$5&lt;&gt;$H91,0,IF(CK91&lt;0,IF($J91=7,-$E91*$I91/12*0,IF($J91=8,-$E91*$I91/12*1,IF($J91=9,-$E91*$I91/12*2,IF($J91&gt;=10,-$E91*$I91/12*3,0))))))</f>
        <v>0</v>
      </c>
      <c r="CO91" s="402">
        <f>IF($H91&lt;&gt;CP$5,0,IF(CP91&lt;0,IF(OR($J91=1,$J91=2,$J91=3,$J91=4,$J91=5,$J91=6,$J91=7,$J91=8,$J91=9,$J91=10),-$E91*$I91/12*3,IF($J91=11,-$E91*$I91/12*2,IF($J91=12,-$E91*$I91/12*1,0)))))+IF(CK$5&lt;&gt;$H91,0,IF(CK91&lt;0,IF($J91=10,-$E91*$I91/12*0,IF($J91=11,-$E91*$I91/12*1,IF($J91=12,-$E91*$I91/12*2,0)))))</f>
        <v>0</v>
      </c>
      <c r="CP91" s="403">
        <f>IF(AND(CK91&lt;&gt;0,CK$5=$H91),-$I91*$E91-CK91,IF(CP$5=$H91,-$I91*$E91*(12-$J91+1)/12,0))</f>
        <v>0</v>
      </c>
      <c r="CQ91" s="400">
        <f>IF($H91&lt;&gt;CU$5,0,IF(CU91&lt;0,IF($J91=1,-$E91*$I91/12*3,IF($J91=2,-$E91*$I91/12*2,IF($J91=3,-$E91*$I91/12*1,0)))))+IF(CP$5&lt;&gt;$H91,0,IF(CP91&lt;0,IF($J91=1,-$E91*$I91/12*0,IF($J91=2,-$E91*$I91/12*1,IF($J91=3,-$E91*$I91/12*2,IF($J91&gt;=4,-$E91*$I91/12*3,0))))))</f>
        <v>0</v>
      </c>
      <c r="CR91" s="406">
        <f>IF($H91&lt;&gt;CU$5,0,IF(CU91&lt;0,IF(OR($J91=1,$J91=2,$J91=3,$J91=4),-$E91*$I91/12*3,IF($J91=5,-$E91*$I91/12*2,IF($J91=6,-$E91*$I91/12*1,0)))))+IF(CP$5&lt;&gt;$H91,0,IF(CP91&lt;0,IF($J91=4,-$E91*$I91/12*0,IF($J91=5,-$E91*$I91/12*1,IF($J91=6,-$E91*$I91/12*2,IF($J91&gt;=7,-$E91*$I91/12*3,0))))))</f>
        <v>0</v>
      </c>
      <c r="CS91" s="406">
        <f>IF($H91&lt;&gt;CU$5,0,IF(CU91&lt;0,IF(OR($J91=1,$J91=2,$J91=3,$J91=4,$J91=5,$J91=6,$J91=7),-$E91*$I91/12*3,IF($J91=8,-$E91*$I91/12*2,IF($J91=9,-$E91*$I91/12*1,0)))))+IF(CP$5&lt;&gt;$H91,0,IF(CP91&lt;0,IF($J91=7,-$E91*$I91/12*0,IF($J91=8,-$E91*$I91/12*1,IF($J91=9,-$E91*$I91/12*2,IF($J91&gt;=10,-$E91*$I91/12*3,0))))))</f>
        <v>0</v>
      </c>
      <c r="CT91" s="402">
        <f>IF($H91&lt;&gt;CU$5,0,IF(CU91&lt;0,IF(OR($J91=1,$J91=2,$J91=3,$J91=4,$J91=5,$J91=6,$J91=7,$J91=8,$J91=9,$J91=10),-$E91*$I91/12*3,IF($J91=11,-$E91*$I91/12*2,IF($J91=12,-$E91*$I91/12*1,0)))))+IF(CP$5&lt;&gt;$H91,0,IF(CP91&lt;0,IF($J91=10,-$E91*$I91/12*0,IF($J91=11,-$E91*$I91/12*1,IF($J91=12,-$E91*$I91/12*2,0)))))</f>
        <v>0</v>
      </c>
      <c r="CU91" s="403">
        <f>IF(AND(CP91&lt;&gt;0,CP$5=$H91),-$I91*$E91-CP91,IF(CU$5=$H91,-$I91*$E91*(12-$J91+1)/12,0))</f>
        <v>0</v>
      </c>
      <c r="CV91" s="400">
        <f>IF($H91&lt;&gt;CZ$5,0,IF(CZ91&lt;0,IF($J91=1,-$E91*$I91/12*3,IF($J91=2,-$E91*$I91/12*2,IF($J91=3,-$E91*$I91/12*1,0)))))+IF(CU$5&lt;&gt;$H91,0,IF(CU91&lt;0,IF($J91=1,-$E91*$I91/12*0,IF($J91=2,-$E91*$I91/12*1,IF($J91=3,-$E91*$I91/12*2,IF($J91&gt;=4,-$E91*$I91/12*3,0))))))</f>
        <v>0</v>
      </c>
      <c r="CW91" s="406">
        <f>IF($H91&lt;&gt;CZ$5,0,IF(CZ91&lt;0,IF(OR($J91=1,$J91=2,$J91=3,$J91=4),-$E91*$I91/12*3,IF($J91=5,-$E91*$I91/12*2,IF($J91=6,-$E91*$I91/12*1,0)))))+IF(CU$5&lt;&gt;$H91,0,IF(CU91&lt;0,IF($J91=4,-$E91*$I91/12*0,IF($J91=5,-$E91*$I91/12*1,IF($J91=6,-$E91*$I91/12*2,IF($J91&gt;=7,-$E91*$I91/12*3,0))))))</f>
        <v>0</v>
      </c>
      <c r="CX91" s="406">
        <f>IF($H91&lt;&gt;CZ$5,0,IF(CZ91&lt;0,IF(OR($J91=1,$J91=2,$J91=3,$J91=4,$J91=5,$J91=6,$J91=7),-$E91*$I91/12*3,IF($J91=8,-$E91*$I91/12*2,IF($J91=9,-$E91*$I91/12*1,0)))))+IF(CU$5&lt;&gt;$H91,0,IF(CU91&lt;0,IF($J91=7,-$E91*$I91/12*0,IF($J91=8,-$E91*$I91/12*1,IF($J91=9,-$E91*$I91/12*2,IF($J91&gt;=10,-$E91*$I91/12*3,0))))))</f>
        <v>0</v>
      </c>
      <c r="CY91" s="402">
        <f>IF($H91&lt;&gt;CZ$5,0,IF(CZ91&lt;0,IF(OR($J91=1,$J91=2,$J91=3,$J91=4,$J91=5,$J91=6,$J91=7,$J91=8,$J91=9,$J91=10),-$E91*$I91/12*3,IF($J91=11,-$E91*$I91/12*2,IF($J91=12,-$E91*$I91/12*1,0)))))+IF(CU$5&lt;&gt;$H91,0,IF(CU91&lt;0,IF($J91=10,-$E91*$I91/12*0,IF($J91=11,-$E91*$I91/12*1,IF($J91=12,-$E91*$I91/12*2,0)))))</f>
        <v>-7.980000000000001E-3</v>
      </c>
      <c r="CZ91" s="403">
        <f>IF(AND(CU91&lt;&gt;0,CU$5=$H91),-$I91*$E91-CU91,IF(CZ$5=$H91,-$I91*$E91*(12-$J91+1)/12,0))</f>
        <v>-7.980000000000001E-3</v>
      </c>
      <c r="DA91" s="400">
        <f>IF($H91&lt;&gt;DE$5,0,IF(DE91&lt;0,IF($J91=1,-$E91*$I91/12*3,IF($J91=2,-$E91*$I91/12*2,IF($J91=3,-$E91*$I91/12*1,0)))))+IF(CZ$5&lt;&gt;$H91,0,IF(CZ91&lt;0,IF($J91=1,-$E91*$I91/12*0,IF($J91=2,-$E91*$I91/12*1,IF($J91=3,-$E91*$I91/12*2,IF($J91&gt;=4,-$E91*$I91/12*3,0))))))</f>
        <v>-7.980000000000001E-3</v>
      </c>
      <c r="DB91" s="406">
        <f>IF($H91&lt;&gt;DE$5,0,IF(DE91&lt;0,IF(OR($J91=1,$J91=2,$J91=3,$J91=4),-$E91*$I91/12*3,IF($J91=5,-$E91*$I91/12*2,IF($J91=6,-$E91*$I91/12*1,0)))))+IF(CZ$5&lt;&gt;$H91,0,IF(CZ91&lt;0,IF($J91=4,-$E91*$I91/12*0,IF($J91=5,-$E91*$I91/12*1,IF($J91=6,-$E91*$I91/12*2,IF($J91&gt;=7,-$E91*$I91/12*3,0))))))</f>
        <v>-7.980000000000001E-3</v>
      </c>
      <c r="DC91" s="406">
        <f>IF($H91&lt;&gt;DE$5,0,IF(DE91&lt;0,IF(OR($J91=1,$J91=2,$J91=3,$J91=4,$J91=5,$J91=6,$J91=7),-$E91*$I91/12*3,IF($J91=8,-$E91*$I91/12*2,IF($J91=9,-$E91*$I91/12*1,0)))))+IF(CZ$5&lt;&gt;$H91,0,IF(CZ91&lt;0,IF($J91=7,-$E91*$I91/12*0,IF($J91=8,-$E91*$I91/12*1,IF($J91=9,-$E91*$I91/12*2,IF($J91&gt;=10,-$E91*$I91/12*3,0))))))</f>
        <v>-7.980000000000001E-3</v>
      </c>
      <c r="DD91" s="402">
        <f>IF($H91&lt;&gt;DE$5,0,IF(DE91&lt;0,IF(OR($J91=1,$J91=2,$J91=3,$J91=4,$J91=5,$J91=6,$J91=7,$J91=8,$J91=9,$J91=10),-$E91*$I91/12*3,IF($J91=11,-$E91*$I91/12*2,IF($J91=12,-$E91*$I91/12*1,0)))))+IF(CZ$5&lt;&gt;$H91,0,IF(CZ91&lt;0,IF($J91=10,-$E91*$I91/12*0,IF($J91=11,-$E91*$I91/12*1,IF($J91=12,-$E91*$I91/12*2,0)))))</f>
        <v>0</v>
      </c>
      <c r="DE91" s="403">
        <f>IF(AND(CZ91&lt;&gt;0,CZ$5=$H91),-$I91*$E91-CZ91,IF(DE$5=$H91,-$I91*$E91*(12-$J91+1)/12,0))</f>
        <v>-2.3940000000000003E-2</v>
      </c>
      <c r="DF91" s="400">
        <f>IF($H91&lt;&gt;DJ$5,0,IF(DJ91&lt;0,IF($J91=1,-$E91*$I91/12*3,IF($J91=2,-$E91*$I91/12*2,IF($J91=3,-$E91*$I91/12*1,0)))))+IF(DE$5&lt;&gt;$H91,0,IF(DE91&lt;0,IF($J91=1,-$E91*$I91/12*0,IF($J91=2,-$E91*$I91/12*1,IF($J91=3,-$E91*$I91/12*2,IF($J91&gt;=4,-$E91*$I91/12*3,0))))))</f>
        <v>0</v>
      </c>
      <c r="DG91" s="406">
        <f>IF($H91&lt;&gt;DJ$5,0,IF(DJ91&lt;0,IF(OR($J91=1,$J91=2,$J91=3,$J91=4),-$E91*$I91/12*3,IF($J91=5,-$E91*$I91/12*2,IF($J91=6,-$E91*$I91/12*1,0)))))+IF(DE$5&lt;&gt;$H91,0,IF(DE91&lt;0,IF($J91=4,-$E91*$I91/12*0,IF($J91=5,-$E91*$I91/12*1,IF($J91=6,-$E91*$I91/12*2,IF($J91&gt;=7,-$E91*$I91/12*3,0))))))</f>
        <v>0</v>
      </c>
      <c r="DH91" s="406">
        <f>IF($H91&lt;&gt;DJ$5,0,IF(DJ91&lt;0,IF(OR($J91=1,$J91=2,$J91=3,$J91=4,$J91=5,$J91=6,$J91=7),-$E91*$I91/12*3,IF($J91=8,-$E91*$I91/12*2,IF($J91=9,-$E91*$I91/12*1,0)))))+IF(DE$5&lt;&gt;$H91,0,IF(DE91&lt;0,IF($J91=7,-$E91*$I91/12*0,IF($J91=8,-$E91*$I91/12*1,IF($J91=9,-$E91*$I91/12*2,IF($J91&gt;=10,-$E91*$I91/12*3,0))))))</f>
        <v>0</v>
      </c>
      <c r="DI91" s="402">
        <f>IF($H91&lt;&gt;DJ$5,0,IF(DJ91&lt;0,IF(OR($J91=1,$J91=2,$J91=3,$J91=4,$J91=5,$J91=6,$J91=7,$J91=8,$J91=9,$J91=10),-$E91*$I91/12*3,IF($J91=11,-$E91*$I91/12*2,IF($J91=12,-$E91*$I91/12*1,0)))))+IF(DE$5&lt;&gt;$H91,0,IF(DE91&lt;0,IF($J91=10,-$E91*$I91/12*0,IF($J91=11,-$E91*$I91/12*1,IF($J91=12,-$E91*$I91/12*2,0)))))</f>
        <v>0</v>
      </c>
      <c r="DJ91" s="403">
        <f>IF(AND(DE91&lt;&gt;0,DE$5=$H91),-$I91*$E91-DE91,IF(DJ$5=$H91,-$I91*$E91*(12-$J91+1)/12,0))</f>
        <v>0</v>
      </c>
      <c r="DK91" s="400">
        <f>IF($H91&lt;&gt;DO$5,0,IF(DO91&lt;0,IF($J91=1,-$E91*$I91/12*3,IF($J91=2,-$E91*$I91/12*2,IF($J91=3,-$E91*$I91/12*1,0)))))+IF(DJ$5&lt;&gt;$H91,0,IF(DJ91&lt;0,IF($J91=1,-$E91*$I91/12*0,IF($J91=2,-$E91*$I91/12*1,IF($J91=3,-$E91*$I91/12*2,IF($J91&gt;=4,-$E91*$I91/12*3,0))))))</f>
        <v>0</v>
      </c>
      <c r="DL91" s="406">
        <f>IF($H91&lt;&gt;DO$5,0,IF(DO91&lt;0,IF(OR($J91=1,$J91=2,$J91=3,$J91=4),-$E91*$I91/12*3,IF($J91=5,-$E91*$I91/12*2,IF($J91=6,-$E91*$I91/12*1,0)))))+IF(DJ$5&lt;&gt;$H91,0,IF(DJ91&lt;0,IF($J91=4,-$E91*$I91/12*0,IF($J91=5,-$E91*$I91/12*1,IF($J91=6,-$E91*$I91/12*2,IF($J91&gt;=7,-$E91*$I91/12*3,0))))))</f>
        <v>0</v>
      </c>
      <c r="DM91" s="406">
        <f>IF($H91&lt;&gt;DO$5,0,IF(DO91&lt;0,IF(OR($J91=1,$J91=2,$J91=3,$J91=4,$J91=5,$J91=6,$J91=7),-$E91*$I91/12*3,IF($J91=8,-$E91*$I91/12*2,IF($J91=9,-$E91*$I91/12*1,0)))))+IF(DJ$5&lt;&gt;$H91,0,IF(DJ91&lt;0,IF($J91=7,-$E91*$I91/12*0,IF($J91=8,-$E91*$I91/12*1,IF($J91=9,-$E91*$I91/12*2,IF($J91&gt;=10,-$E91*$I91/12*3,0))))))</f>
        <v>0</v>
      </c>
      <c r="DN91" s="402">
        <f>IF($H91&lt;&gt;DO$5,0,IF(DO91&lt;0,IF(OR($J91=1,$J91=2,$J91=3,$J91=4,$J91=5,$J91=6,$J91=7,$J91=8,$J91=9,$J91=10),-$E91*$I91/12*3,IF($J91=11,-$E91*$I91/12*2,IF($J91=12,-$E91*$I91/12*1,0)))))+IF(DJ$5&lt;&gt;$H91,0,IF(DJ91&lt;0,IF($J91=10,-$E91*$I91/12*0,IF($J91=11,-$E91*$I91/12*1,IF($J91=12,-$E91*$I91/12*2,0)))))</f>
        <v>0</v>
      </c>
      <c r="DO91" s="403">
        <f>IF(AND(DJ91&lt;&gt;0,DJ$5=$H91),-$I91*$E91-DJ91,IF(DO$5=$H91,-$I91*$E91*(12-$J91+1)/12,0))</f>
        <v>0</v>
      </c>
      <c r="DP91" s="400">
        <f>IF($H91&lt;&gt;DT$5,0,IF(DT91&lt;0,IF($J91=1,-$E91*$I91/12*3,IF($J91=2,-$E91*$I91/12*2,IF($J91=3,-$E91*$I91/12*1,0)))))+IF(DO$5&lt;&gt;$H91,0,IF(DO91&lt;0,IF($J91=1,-$E91*$I91/12*0,IF($J91=2,-$E91*$I91/12*1,IF($J91=3,-$E91*$I91/12*2,IF($J91&gt;=4,-$E91*$I91/12*3,0))))))</f>
        <v>0</v>
      </c>
      <c r="DQ91" s="406">
        <f>IF($H91&lt;&gt;DT$5,0,IF(DT91&lt;0,IF(OR($J91=1,$J91=2,$J91=3,$J91=4),-$E91*$I91/12*3,IF($J91=5,-$E91*$I91/12*2,IF($J91=6,-$E91*$I91/12*1,0)))))+IF(DO$5&lt;&gt;$H91,0,IF(DO91&lt;0,IF($J91=4,-$E91*$I91/12*0,IF($J91=5,-$E91*$I91/12*1,IF($J91=6,-$E91*$I91/12*2,IF($J91&gt;=7,-$E91*$I91/12*3,0))))))</f>
        <v>0</v>
      </c>
      <c r="DR91" s="406">
        <f>IF($H91&lt;&gt;DT$5,0,IF(DT91&lt;0,IF(OR($J91=1,$J91=2,$J91=3,$J91=4,$J91=5,$J91=6,$J91=7),-$E91*$I91/12*3,IF($J91=8,-$E91*$I91/12*2,IF($J91=9,-$E91*$I91/12*1,0)))))+IF(DO$5&lt;&gt;$H91,0,IF(DO91&lt;0,IF($J91=7,-$E91*$I91/12*0,IF($J91=8,-$E91*$I91/12*1,IF($J91=9,-$E91*$I91/12*2,IF($J91&gt;=10,-$E91*$I91/12*3,0))))))</f>
        <v>0</v>
      </c>
      <c r="DS91" s="402">
        <f>IF($H91&lt;&gt;DT$5,0,IF(DT91&lt;0,IF(OR($J91=1,$J91=2,$J91=3,$J91=4,$J91=5,$J91=6,$J91=7,$J91=8,$J91=9,$J91=10),-$E91*$I91/12*3,IF($J91=11,-$E91*$I91/12*2,IF($J91=12,-$E91*$I91/12*1,0)))))+IF(DO$5&lt;&gt;$H91,0,IF(DO91&lt;0,IF($J91=10,-$E91*$I91/12*0,IF($J91=11,-$E91*$I91/12*1,IF($J91=12,-$E91*$I91/12*2,0)))))</f>
        <v>0</v>
      </c>
      <c r="DT91" s="403">
        <f>IF(AND(DO91&lt;&gt;0,DO$5=$H91),-$I91*$E91-DO91,IF(DT$5=$H91,-$I91*$E91*(12-$J91+1)/12,0))</f>
        <v>0</v>
      </c>
      <c r="EF91" s="35"/>
      <c r="EI91" s="759"/>
    </row>
    <row r="92" spans="1:139" ht="12.75" customHeight="1" x14ac:dyDescent="0.2">
      <c r="C92" s="52" t="s">
        <v>97</v>
      </c>
      <c r="D92" s="240"/>
      <c r="E92" s="530">
        <f>IF(F92=0,G92,F92)</f>
        <v>1.575</v>
      </c>
      <c r="F92" s="531">
        <v>1.575</v>
      </c>
      <c r="G92" s="531">
        <v>1.575</v>
      </c>
      <c r="H92" s="449">
        <v>2030</v>
      </c>
      <c r="I92" s="880">
        <v>7.0000000000000007E-2</v>
      </c>
      <c r="J92" s="881">
        <v>10</v>
      </c>
      <c r="K92" s="448"/>
      <c r="L92" s="397">
        <f>IF(L$5=$H92,-$E92,0)</f>
        <v>0</v>
      </c>
      <c r="M92" s="394">
        <f>IF(Q92=0,0,IF(Q92&lt;0,IF($J92=3,Q92,IF($J92=2,Q92,IF($J92=1,Q92,0)))))</f>
        <v>0</v>
      </c>
      <c r="N92" s="404">
        <f>IF(Q92=0,0,IF(Q92&lt;0,IF($J92=6,Q92,IF($J92=5,Q92,IF($J92=4,Q92,0)))))</f>
        <v>0</v>
      </c>
      <c r="O92" s="404">
        <f>IF(Q92=0,0,IF(Q92&lt;0,IF($J92=9,Q92,IF($J92=8,Q92,IF($J92=7,Q92,0)))))</f>
        <v>0</v>
      </c>
      <c r="P92" s="396">
        <f>IF(Q92=0,0,IF(Q92&lt;0,IF($J92=12,Q92,IF($J92=11,Q92,IF($J92=10,Q92,0)))))</f>
        <v>0</v>
      </c>
      <c r="Q92" s="397">
        <f>IF(Q$5=$H92,-$E92,0)</f>
        <v>0</v>
      </c>
      <c r="R92" s="394">
        <f>IF(V92=0,0,IF(V92&lt;0,IF($J92=3,V92,IF($J92=2,V92,IF($J92=1,V92,0)))))</f>
        <v>0</v>
      </c>
      <c r="S92" s="404">
        <f>IF(V92=0,0,IF(V92&lt;0,IF($J92=6,V92,IF($J92=5,V92,IF($J92=4,V92,0)))))</f>
        <v>0</v>
      </c>
      <c r="T92" s="404">
        <f>IF(V92=0,0,IF(V92&lt;0,IF($J92=9,V92,IF($J92=8,V92,IF($J92=7,V92,0)))))</f>
        <v>0</v>
      </c>
      <c r="U92" s="396">
        <f>IF(V92=0,0,IF(V92&lt;0,IF($J92=12,V92,IF($J92=11,V92,IF($J92=10,V92,0)))))</f>
        <v>0</v>
      </c>
      <c r="V92" s="397">
        <f>IF(V$5=$H92,-$E92,0)</f>
        <v>0</v>
      </c>
      <c r="W92" s="394">
        <f>IF(AA92=0,0,IF(AA92&lt;0,IF($J92=3,AA92,IF($J92=2,AA92,IF($J92=1,AA92,0)))))</f>
        <v>0</v>
      </c>
      <c r="X92" s="404">
        <f>IF(AA92=0,0,IF(AA92&lt;0,IF($J92=6,AA92,IF($J92=5,AA92,IF($J92=4,AA92,0)))))</f>
        <v>0</v>
      </c>
      <c r="Y92" s="404">
        <f>IF(AA92=0,0,IF(AA92&lt;0,IF($J92=9,AA92,IF($J92=8,AA92,IF($J92=7,AA92,0)))))</f>
        <v>0</v>
      </c>
      <c r="Z92" s="396">
        <f>IF(AA92=0,0,IF(AA92&lt;0,IF($J92=12,AA92,IF($J92=11,AA92,IF($J92=10,AA92,0)))))</f>
        <v>0</v>
      </c>
      <c r="AA92" s="397">
        <f>IF(AA$5=$H92,-$E92,0)</f>
        <v>0</v>
      </c>
      <c r="AB92" s="394">
        <f>IF(AF92=0,0,IF(AF92&lt;0,IF($J92=3,AF92,IF($J92=2,AF92,IF($J92=1,AF92,0)))))</f>
        <v>0</v>
      </c>
      <c r="AC92" s="404">
        <f>IF(AF92=0,0,IF(AF92&lt;0,IF($J92=6,AF92,IF($J92=5,AF92,IF($J92=4,AF92,0)))))</f>
        <v>0</v>
      </c>
      <c r="AD92" s="404">
        <f>IF(AF92=0,0,IF(AF92&lt;0,IF($J92=9,AF92,IF($J92=8,AF92,IF($J92=7,AF92,0)))))</f>
        <v>0</v>
      </c>
      <c r="AE92" s="396">
        <f>IF(AF92=0,0,IF(AF92&lt;0,IF($J92=12,AF92,IF($J92=11,AF92,IF($J92=10,AF92,0)))))</f>
        <v>0</v>
      </c>
      <c r="AF92" s="397">
        <f>IF(AF$5=$H92,-$E92,0)</f>
        <v>0</v>
      </c>
      <c r="AG92" s="394">
        <f>IF(AK92=0,0,IF(AK92&lt;0,IF($J92=3,AK92,IF($J92=2,AK92,IF($J92=1,AK92,0)))))</f>
        <v>0</v>
      </c>
      <c r="AH92" s="404">
        <f>IF(AK92=0,0,IF(AK92&lt;0,IF($J92=6,AK92,IF($J92=5,AK92,IF($J92=4,AK92,0)))))</f>
        <v>0</v>
      </c>
      <c r="AI92" s="404">
        <f>IF(AK92=0,0,IF(AK92&lt;0,IF($J92=9,AK92,IF($J92=8,AK92,IF($J92=7,AK92,0)))))</f>
        <v>0</v>
      </c>
      <c r="AJ92" s="396">
        <f>IF(AK92=0,0,IF(AK92&lt;0,IF($J92=12,AK92,IF($J92=11,AK92,IF($J92=10,AK92,0)))))</f>
        <v>0</v>
      </c>
      <c r="AK92" s="397">
        <f>IF(AK$5=$H92,-$E92,0)</f>
        <v>0</v>
      </c>
      <c r="AL92" s="394">
        <f>IF(AP92=0,0,IF(AP92&lt;0,IF($J92=3,AP92,IF($J92=2,AP92,IF($J92=1,AP92,0)))))</f>
        <v>0</v>
      </c>
      <c r="AM92" s="404">
        <f>IF(AP92=0,0,IF(AP92&lt;0,IF($J92=6,AP92,IF($J92=5,AP92,IF($J92=4,AP92,0)))))</f>
        <v>0</v>
      </c>
      <c r="AN92" s="404">
        <f>IF(AP92=0,0,IF(AP92&lt;0,IF($J92=9,AP92,IF($J92=8,AP92,IF($J92=7,AP92,0)))))</f>
        <v>0</v>
      </c>
      <c r="AO92" s="396">
        <f>IF(AP92=0,0,IF(AP92&lt;0,IF($J92=12,AP92,IF($J92=11,AP92,IF($J92=10,AP92,0)))))</f>
        <v>0</v>
      </c>
      <c r="AP92" s="397">
        <f>IF(AP$5=$H92,-$E92,0)</f>
        <v>0</v>
      </c>
      <c r="AQ92" s="394">
        <f>IF(AU92=0,0,IF(AU92&lt;0,IF($J92=3,AU92,IF($J92=2,AU92,IF($J92=1,AU92,0)))))</f>
        <v>0</v>
      </c>
      <c r="AR92" s="404">
        <f>IF(AU92=0,0,IF(AU92&lt;0,IF($J92=6,AU92,IF($J92=5,AU92,IF($J92=4,AU92,0)))))</f>
        <v>0</v>
      </c>
      <c r="AS92" s="404">
        <f>IF(AU92=0,0,IF(AU92&lt;0,IF($J92=9,AU92,IF($J92=8,AU92,IF($J92=7,AU92,0)))))</f>
        <v>0</v>
      </c>
      <c r="AT92" s="396">
        <f>IF(AU92=0,0,IF(AU92&lt;0,IF($J92=12,AU92,IF($J92=11,AU92,IF($J92=10,AU92,0)))))</f>
        <v>0</v>
      </c>
      <c r="AU92" s="397">
        <f>IF(AU$5=$H92,-$E92,0)</f>
        <v>0</v>
      </c>
      <c r="AV92" s="394">
        <f>IF(AZ92=0,0,IF(AZ92&lt;0,IF($J92=3,AZ92,IF($J92=2,AZ92,IF($J92=1,AZ92,0)))))</f>
        <v>0</v>
      </c>
      <c r="AW92" s="404">
        <f>IF(AZ92=0,0,IF(AZ92&lt;0,IF($J92=6,AZ92,IF($J92=5,AZ92,IF($J92=4,AZ92,0)))))</f>
        <v>0</v>
      </c>
      <c r="AX92" s="404">
        <f>IF(AZ92=0,0,IF(AZ92&lt;0,IF($J92=9,AZ92,IF($J92=8,AZ92,IF($J92=7,AZ92,0)))))</f>
        <v>0</v>
      </c>
      <c r="AY92" s="396">
        <f>IF(AZ92=0,0,IF(AZ92&lt;0,IF($J92=12,AZ92,IF($J92=11,AZ92,IF($J92=10,AZ92,0)))))</f>
        <v>0</v>
      </c>
      <c r="AZ92" s="397">
        <f>IF(AZ$5=$H92,-$E92,0)</f>
        <v>0</v>
      </c>
      <c r="BA92" s="394">
        <f>IF(BE92=0,0,IF(BE92&lt;0,IF($J92=3,BE92,IF($J92=2,BE92,IF($J92=1,BE92,0)))))</f>
        <v>0</v>
      </c>
      <c r="BB92" s="404">
        <f>IF(BE92=0,0,IF(BE92&lt;0,IF($J92=6,BE92,IF($J92=5,BE92,IF($J92=4,BE92,0)))))</f>
        <v>0</v>
      </c>
      <c r="BC92" s="404">
        <f>IF(BE92=0,0,IF(BE92&lt;0,IF($J92=9,BE92,IF($J92=8,BE92,IF($J92=7,BE92,0)))))</f>
        <v>0</v>
      </c>
      <c r="BD92" s="396">
        <f>IF(BE92=0,0,IF(BE92&lt;0,IF($J92=12,BE92,IF($J92=11,BE92,IF($J92=10,BE92,0)))))</f>
        <v>0</v>
      </c>
      <c r="BE92" s="397">
        <f>IF(BE$5=$H92,-$E92,0)</f>
        <v>0</v>
      </c>
      <c r="BF92" s="394">
        <f>IF(BJ92=0,0,IF(BJ92&lt;0,IF($J92=3,BJ92,IF($J92=2,BJ92,IF($J92=1,BJ92,0)))))</f>
        <v>0</v>
      </c>
      <c r="BG92" s="404">
        <f>IF(BJ92=0,0,IF(BJ92&lt;0,IF($J92=6,BJ92,IF($J92=5,BJ92,IF($J92=4,BJ92,0)))))</f>
        <v>0</v>
      </c>
      <c r="BH92" s="404">
        <f>IF(BJ92=0,0,IF(BJ92&lt;0,IF($J92=9,BJ92,IF($J92=8,BJ92,IF($J92=7,BJ92,0)))))</f>
        <v>0</v>
      </c>
      <c r="BI92" s="396">
        <f>IF(BJ92=0,0,IF(BJ92&lt;0,IF($J92=12,BJ92,IF($J92=11,BJ92,IF($J92=10,BJ92,0)))))</f>
        <v>0</v>
      </c>
      <c r="BJ92" s="397">
        <f>IF(BJ$5=$H92,-$E92,0)</f>
        <v>0</v>
      </c>
      <c r="BK92" s="394">
        <f>IF(BO92=0,0,IF(BO92&lt;0,IF($J92=3,BO92,IF($J92=2,BO92,IF($J92=1,BO92,0)))))</f>
        <v>0</v>
      </c>
      <c r="BL92" s="404">
        <f>IF(BO92=0,0,IF(BO92&lt;0,IF($J92=6,BO92,IF($J92=5,BO92,IF($J92=4,BO92,0)))))</f>
        <v>0</v>
      </c>
      <c r="BM92" s="404">
        <f>IF(BO92=0,0,IF(BO92&lt;0,IF($J92=9,BO92,IF($J92=8,BO92,IF($J92=7,BO92,0)))))</f>
        <v>0</v>
      </c>
      <c r="BN92" s="396">
        <f>IF(BO92=0,0,IF(BO92&lt;0,IF($J92=12,BO92,IF($J92=11,BO92,IF($J92=10,BO92,0)))))</f>
        <v>0</v>
      </c>
      <c r="BO92" s="397">
        <f>IF(BO$5=$H92,-$E92,0)</f>
        <v>0</v>
      </c>
      <c r="BP92" s="452"/>
      <c r="BQ92" s="403">
        <f>IF(AND(BP92&lt;&gt;0,BP$5=$H92),-$I92*$E92-BP92,IF(BQ$5=$H92,-$I92*$E92*(12-$J92+1)/12,0))</f>
        <v>0</v>
      </c>
      <c r="BR92" s="400">
        <f>IF($H92&lt;&gt;BV$5,0,IF(BV92&lt;0,IF($J92=1,-$E92*$I92/12*3,IF($J92=2,-$E92*$I92/12*2,IF($J92=3,-$E92*$I92/12*1,0)))))+IF(BQ$5&lt;&gt;$H92,0,IF(BQ92&lt;0,IF($J92=1,-$E92*$I92/12*0,IF($J92=2,-$E92*$I92/12*1,IF($J92=3,-$E92*$I92/12*2,IF($J92&gt;=4,-$E92*$I92/12*3,0))))))</f>
        <v>0</v>
      </c>
      <c r="BS92" s="406">
        <f>IF($H92&lt;&gt;BV$5,0,IF(BV92&lt;0,IF(OR($J92=1,$J92=2,$J92=3,$J92=4),-$E92*$I92/12*3,IF($J92=5,-$E92*$I92/12*2,IF($J92=6,-$E92*$I92/12*1,0)))))+IF(BQ$5&lt;&gt;$H92,0,IF(BQ92&lt;0,IF($J92=4,-$E92*$I92/12*0,IF($J92=5,-$E92*$I92/12*1,IF($J92=6,-$E92*$I92/12*2,IF($J92&gt;=7,-$E92*$I92/12*3,0))))))</f>
        <v>0</v>
      </c>
      <c r="BT92" s="406">
        <f>IF($H92&lt;&gt;BV$5,0,IF(BV92&lt;0,IF(OR($J92=1,$J92=2,$J92=3,$J92=4,$J92=5,$J92=6,$J92=7),-$E92*$I92/12*3,IF($J92=8,-$E92*$I92/12*2,IF($J92=9,-$E92*$I92/12*1,0)))))+IF(BQ$5&lt;&gt;$H92,0,IF(BQ92&lt;0,IF($J92=7,-$E92*$I92/12*0,IF($J92=8,-$E92*$I92/12*1,IF($J92=9,-$E92*$I92/12*2,IF($J92&gt;=10,-$E92*$I92/12*3,0))))))</f>
        <v>0</v>
      </c>
      <c r="BU92" s="402">
        <f>IF($H92&lt;&gt;BV$5,0,IF(BV92&lt;0,IF(OR($J92=1,$J92=2,$J92=3,$J92=4,$J92=5,$J92=6,$J92=7,$J92=8,$J92=9,$J92=10),-$E92*$I92/12*3,IF($J92=11,-$E92*$I92/12*2,IF($J92=12,-$E92*$I92/12*1,0)))))+IF(BQ$5&lt;&gt;$H92,0,IF(BQ92&lt;0,IF($J92=10,-$E92*$I92/12*0,IF($J92=11,-$E92*$I92/12*1,IF($J92=12,-$E92*$I92/12*2,0)))))</f>
        <v>0</v>
      </c>
      <c r="BV92" s="403">
        <f>IF(AND(BQ92&lt;&gt;0,BQ$5=$H92),-$I92*$E92-BQ92,IF(BV$5=$H92,-$I92*$E92*(12-$J92+1)/12,0))</f>
        <v>0</v>
      </c>
      <c r="BW92" s="400">
        <f>IF($H92&lt;&gt;CA$5,0,IF(CA92&lt;0,IF($J92=1,-$E92*$I92/12*3,IF($J92=2,-$E92*$I92/12*2,IF($J92=3,-$E92*$I92/12*1,0)))))+IF(BV$5&lt;&gt;$H92,0,IF(BV92&lt;0,IF($J92=1,-$E92*$I92/12*0,IF($J92=2,-$E92*$I92/12*1,IF($J92=3,-$E92*$I92/12*2,IF($J92&gt;=4,-$E92*$I92/12*3,0))))))</f>
        <v>0</v>
      </c>
      <c r="BX92" s="406">
        <f>IF($H92&lt;&gt;CA$5,0,IF(CA92&lt;0,IF(OR($J92=1,$J92=2,$J92=3,$J92=4),-$E92*$I92/12*3,IF($J92=5,-$E92*$I92/12*2,IF($J92=6,-$E92*$I92/12*1,0)))))+IF(BV$5&lt;&gt;$H92,0,IF(BV92&lt;0,IF($J92=4,-$E92*$I92/12*0,IF($J92=5,-$E92*$I92/12*1,IF($J92=6,-$E92*$I92/12*2,IF($J92&gt;=7,-$E92*$I92/12*3,0))))))</f>
        <v>0</v>
      </c>
      <c r="BY92" s="406">
        <f>IF($H92&lt;&gt;CA$5,0,IF(CA92&lt;0,IF(OR($J92=1,$J92=2,$J92=3,$J92=4,$J92=5,$J92=6,$J92=7),-$E92*$I92/12*3,IF($J92=8,-$E92*$I92/12*2,IF($J92=9,-$E92*$I92/12*1,0)))))+IF(BV$5&lt;&gt;$H92,0,IF(BV92&lt;0,IF($J92=7,-$E92*$I92/12*0,IF($J92=8,-$E92*$I92/12*1,IF($J92=9,-$E92*$I92/12*2,IF($J92&gt;=10,-$E92*$I92/12*3,0))))))</f>
        <v>0</v>
      </c>
      <c r="BZ92" s="402">
        <f>IF($H92&lt;&gt;CA$5,0,IF(CA92&lt;0,IF(OR($J92=1,$J92=2,$J92=3,$J92=4,$J92=5,$J92=6,$J92=7,$J92=8,$J92=9,$J92=10),-$E92*$I92/12*3,IF($J92=11,-$E92*$I92/12*2,IF($J92=12,-$E92*$I92/12*1,0)))))+IF(BV$5&lt;&gt;$H92,0,IF(BV92&lt;0,IF($J92=10,-$E92*$I92/12*0,IF($J92=11,-$E92*$I92/12*1,IF($J92=12,-$E92*$I92/12*2,0)))))</f>
        <v>0</v>
      </c>
      <c r="CA92" s="403">
        <f>IF(AND(BV92&lt;&gt;0,BV$5=$H92),-$I92*$E92-BV92,IF(CA$5=$H92,-$I92*$E92*(12-$J92+1)/12,0))</f>
        <v>0</v>
      </c>
      <c r="CB92" s="400">
        <f>IF($H92&lt;&gt;CF$5,0,IF(CF92&lt;0,IF($J92=1,-$E92*$I92/12*3,IF($J92=2,-$E92*$I92/12*2,IF($J92=3,-$E92*$I92/12*1,0)))))+IF(CA$5&lt;&gt;$H92,0,IF(CA92&lt;0,IF($J92=1,-$E92*$I92/12*0,IF($J92=2,-$E92*$I92/12*1,IF($J92=3,-$E92*$I92/12*2,IF($J92&gt;=4,-$E92*$I92/12*3,0))))))</f>
        <v>0</v>
      </c>
      <c r="CC92" s="406">
        <f>IF($H92&lt;&gt;CF$5,0,IF(CF92&lt;0,IF(OR($J92=1,$J92=2,$J92=3,$J92=4),-$E92*$I92/12*3,IF($J92=5,-$E92*$I92/12*2,IF($J92=6,-$E92*$I92/12*1,0)))))+IF(CA$5&lt;&gt;$H92,0,IF(CA92&lt;0,IF($J92=4,-$E92*$I92/12*0,IF($J92=5,-$E92*$I92/12*1,IF($J92=6,-$E92*$I92/12*2,IF($J92&gt;=7,-$E92*$I92/12*3,0))))))</f>
        <v>0</v>
      </c>
      <c r="CD92" s="406">
        <f>IF($H92&lt;&gt;CF$5,0,IF(CF92&lt;0,IF(OR($J92=1,$J92=2,$J92=3,$J92=4,$J92=5,$J92=6,$J92=7),-$E92*$I92/12*3,IF($J92=8,-$E92*$I92/12*2,IF($J92=9,-$E92*$I92/12*1,0)))))+IF(CA$5&lt;&gt;$H92,0,IF(CA92&lt;0,IF($J92=7,-$E92*$I92/12*0,IF($J92=8,-$E92*$I92/12*1,IF($J92=9,-$E92*$I92/12*2,IF($J92&gt;=10,-$E92*$I92/12*3,0))))))</f>
        <v>0</v>
      </c>
      <c r="CE92" s="402">
        <f>IF($H92&lt;&gt;CF$5,0,IF(CF92&lt;0,IF(OR($J92=1,$J92=2,$J92=3,$J92=4,$J92=5,$J92=6,$J92=7,$J92=8,$J92=9,$J92=10),-$E92*$I92/12*3,IF($J92=11,-$E92*$I92/12*2,IF($J92=12,-$E92*$I92/12*1,0)))))+IF(CA$5&lt;&gt;$H92,0,IF(CA92&lt;0,IF($J92=10,-$E92*$I92/12*0,IF($J92=11,-$E92*$I92/12*1,IF($J92=12,-$E92*$I92/12*2,0)))))</f>
        <v>0</v>
      </c>
      <c r="CF92" s="403">
        <f>IF(AND(CA92&lt;&gt;0,CA$5=$H92),-$I92*$E92-CA92,IF(CF$5=$H92,-$I92*$E92*(12-$J92+1)/12,0))</f>
        <v>0</v>
      </c>
      <c r="CG92" s="400">
        <f>IF($H92&lt;&gt;CK$5,0,IF(CK92&lt;0,IF($J92=1,-$E92*$I92/12*3,IF($J92=2,-$E92*$I92/12*2,IF($J92=3,-$E92*$I92/12*1,0)))))+IF(CF$5&lt;&gt;$H92,0,IF(CF92&lt;0,IF($J92=1,-$E92*$I92/12*0,IF($J92=2,-$E92*$I92/12*1,IF($J92=3,-$E92*$I92/12*2,IF($J92&gt;=4,-$E92*$I92/12*3,0))))))</f>
        <v>0</v>
      </c>
      <c r="CH92" s="406">
        <f>IF($H92&lt;&gt;CK$5,0,IF(CK92&lt;0,IF(OR($J92=1,$J92=2,$J92=3,$J92=4),-$E92*$I92/12*3,IF($J92=5,-$E92*$I92/12*2,IF($J92=6,-$E92*$I92/12*1,0)))))+IF(CF$5&lt;&gt;$H92,0,IF(CF92&lt;0,IF($J92=4,-$E92*$I92/12*0,IF($J92=5,-$E92*$I92/12*1,IF($J92=6,-$E92*$I92/12*2,IF($J92&gt;=7,-$E92*$I92/12*3,0))))))</f>
        <v>0</v>
      </c>
      <c r="CI92" s="406">
        <f>IF($H92&lt;&gt;CK$5,0,IF(CK92&lt;0,IF(OR($J92=1,$J92=2,$J92=3,$J92=4,$J92=5,$J92=6,$J92=7),-$E92*$I92/12*3,IF($J92=8,-$E92*$I92/12*2,IF($J92=9,-$E92*$I92/12*1,0)))))+IF(CF$5&lt;&gt;$H92,0,IF(CF92&lt;0,IF($J92=7,-$E92*$I92/12*0,IF($J92=8,-$E92*$I92/12*1,IF($J92=9,-$E92*$I92/12*2,IF($J92&gt;=10,-$E92*$I92/12*3,0))))))</f>
        <v>0</v>
      </c>
      <c r="CJ92" s="402">
        <f>IF($H92&lt;&gt;CK$5,0,IF(CK92&lt;0,IF(OR($J92=1,$J92=2,$J92=3,$J92=4,$J92=5,$J92=6,$J92=7,$J92=8,$J92=9,$J92=10),-$E92*$I92/12*3,IF($J92=11,-$E92*$I92/12*2,IF($J92=12,-$E92*$I92/12*1,0)))))+IF(CF$5&lt;&gt;$H92,0,IF(CF92&lt;0,IF($J92=10,-$E92*$I92/12*0,IF($J92=11,-$E92*$I92/12*1,IF($J92=12,-$E92*$I92/12*2,0)))))</f>
        <v>0</v>
      </c>
      <c r="CK92" s="403">
        <f>IF(AND(CF92&lt;&gt;0,CF$5=$H92),-$I92*$E92-CF92,IF(CK$5=$H92,-$I92*$E92*(12-$J92+1)/12,0))</f>
        <v>0</v>
      </c>
      <c r="CL92" s="400">
        <f>IF($H92&lt;&gt;CP$5,0,IF(CP92&lt;0,IF($J92=1,-$E92*$I92/12*3,IF($J92=2,-$E92*$I92/12*2,IF($J92=3,-$E92*$I92/12*1,0)))))+IF(CK$5&lt;&gt;$H92,0,IF(CK92&lt;0,IF($J92=1,-$E92*$I92/12*0,IF($J92=2,-$E92*$I92/12*1,IF($J92=3,-$E92*$I92/12*2,IF($J92&gt;=4,-$E92*$I92/12*3,0))))))</f>
        <v>0</v>
      </c>
      <c r="CM92" s="406">
        <f>IF($H92&lt;&gt;CP$5,0,IF(CP92&lt;0,IF(OR($J92=1,$J92=2,$J92=3,$J92=4),-$E92*$I92/12*3,IF($J92=5,-$E92*$I92/12*2,IF($J92=6,-$E92*$I92/12*1,0)))))+IF(CK$5&lt;&gt;$H92,0,IF(CK92&lt;0,IF($J92=4,-$E92*$I92/12*0,IF($J92=5,-$E92*$I92/12*1,IF($J92=6,-$E92*$I92/12*2,IF($J92&gt;=7,-$E92*$I92/12*3,0))))))</f>
        <v>0</v>
      </c>
      <c r="CN92" s="406">
        <f>IF($H92&lt;&gt;CP$5,0,IF(CP92&lt;0,IF(OR($J92=1,$J92=2,$J92=3,$J92=4,$J92=5,$J92=6,$J92=7),-$E92*$I92/12*3,IF($J92=8,-$E92*$I92/12*2,IF($J92=9,-$E92*$I92/12*1,0)))))+IF(CK$5&lt;&gt;$H92,0,IF(CK92&lt;0,IF($J92=7,-$E92*$I92/12*0,IF($J92=8,-$E92*$I92/12*1,IF($J92=9,-$E92*$I92/12*2,IF($J92&gt;=10,-$E92*$I92/12*3,0))))))</f>
        <v>0</v>
      </c>
      <c r="CO92" s="402">
        <f>IF($H92&lt;&gt;CP$5,0,IF(CP92&lt;0,IF(OR($J92=1,$J92=2,$J92=3,$J92=4,$J92=5,$J92=6,$J92=7,$J92=8,$J92=9,$J92=10),-$E92*$I92/12*3,IF($J92=11,-$E92*$I92/12*2,IF($J92=12,-$E92*$I92/12*1,0)))))+IF(CK$5&lt;&gt;$H92,0,IF(CK92&lt;0,IF($J92=10,-$E92*$I92/12*0,IF($J92=11,-$E92*$I92/12*1,IF($J92=12,-$E92*$I92/12*2,0)))))</f>
        <v>0</v>
      </c>
      <c r="CP92" s="403">
        <f>IF(AND(CK92&lt;&gt;0,CK$5=$H92),-$I92*$E92-CK92,IF(CP$5=$H92,-$I92*$E92*(12-$J92+1)/12,0))</f>
        <v>0</v>
      </c>
      <c r="CQ92" s="400">
        <f>IF($H92&lt;&gt;CU$5,0,IF(CU92&lt;0,IF($J92=1,-$E92*$I92/12*3,IF($J92=2,-$E92*$I92/12*2,IF($J92=3,-$E92*$I92/12*1,0)))))+IF(CP$5&lt;&gt;$H92,0,IF(CP92&lt;0,IF($J92=1,-$E92*$I92/12*0,IF($J92=2,-$E92*$I92/12*1,IF($J92=3,-$E92*$I92/12*2,IF($J92&gt;=4,-$E92*$I92/12*3,0))))))</f>
        <v>0</v>
      </c>
      <c r="CR92" s="406">
        <f>IF($H92&lt;&gt;CU$5,0,IF(CU92&lt;0,IF(OR($J92=1,$J92=2,$J92=3,$J92=4),-$E92*$I92/12*3,IF($J92=5,-$E92*$I92/12*2,IF($J92=6,-$E92*$I92/12*1,0)))))+IF(CP$5&lt;&gt;$H92,0,IF(CP92&lt;0,IF($J92=4,-$E92*$I92/12*0,IF($J92=5,-$E92*$I92/12*1,IF($J92=6,-$E92*$I92/12*2,IF($J92&gt;=7,-$E92*$I92/12*3,0))))))</f>
        <v>0</v>
      </c>
      <c r="CS92" s="406">
        <f>IF($H92&lt;&gt;CU$5,0,IF(CU92&lt;0,IF(OR($J92=1,$J92=2,$J92=3,$J92=4,$J92=5,$J92=6,$J92=7),-$E92*$I92/12*3,IF($J92=8,-$E92*$I92/12*2,IF($J92=9,-$E92*$I92/12*1,0)))))+IF(CP$5&lt;&gt;$H92,0,IF(CP92&lt;0,IF($J92=7,-$E92*$I92/12*0,IF($J92=8,-$E92*$I92/12*1,IF($J92=9,-$E92*$I92/12*2,IF($J92&gt;=10,-$E92*$I92/12*3,0))))))</f>
        <v>0</v>
      </c>
      <c r="CT92" s="402">
        <f>IF($H92&lt;&gt;CU$5,0,IF(CU92&lt;0,IF(OR($J92=1,$J92=2,$J92=3,$J92=4,$J92=5,$J92=6,$J92=7,$J92=8,$J92=9,$J92=10),-$E92*$I92/12*3,IF($J92=11,-$E92*$I92/12*2,IF($J92=12,-$E92*$I92/12*1,0)))))+IF(CP$5&lt;&gt;$H92,0,IF(CP92&lt;0,IF($J92=10,-$E92*$I92/12*0,IF($J92=11,-$E92*$I92/12*1,IF($J92=12,-$E92*$I92/12*2,0)))))</f>
        <v>0</v>
      </c>
      <c r="CU92" s="403">
        <f>IF(AND(CP92&lt;&gt;0,CP$5=$H92),-$I92*$E92-CP92,IF(CU$5=$H92,-$I92*$E92*(12-$J92+1)/12,0))</f>
        <v>0</v>
      </c>
      <c r="CV92" s="400">
        <f>IF($H92&lt;&gt;CZ$5,0,IF(CZ92&lt;0,IF($J92=1,-$E92*$I92/12*3,IF($J92=2,-$E92*$I92/12*2,IF($J92=3,-$E92*$I92/12*1,0)))))+IF(CU$5&lt;&gt;$H92,0,IF(CU92&lt;0,IF($J92=1,-$E92*$I92/12*0,IF($J92=2,-$E92*$I92/12*1,IF($J92=3,-$E92*$I92/12*2,IF($J92&gt;=4,-$E92*$I92/12*3,0))))))</f>
        <v>0</v>
      </c>
      <c r="CW92" s="406">
        <f>IF($H92&lt;&gt;CZ$5,0,IF(CZ92&lt;0,IF(OR($J92=1,$J92=2,$J92=3,$J92=4),-$E92*$I92/12*3,IF($J92=5,-$E92*$I92/12*2,IF($J92=6,-$E92*$I92/12*1,0)))))+IF(CU$5&lt;&gt;$H92,0,IF(CU92&lt;0,IF($J92=4,-$E92*$I92/12*0,IF($J92=5,-$E92*$I92/12*1,IF($J92=6,-$E92*$I92/12*2,IF($J92&gt;=7,-$E92*$I92/12*3,0))))))</f>
        <v>0</v>
      </c>
      <c r="CX92" s="406">
        <f>IF($H92&lt;&gt;CZ$5,0,IF(CZ92&lt;0,IF(OR($J92=1,$J92=2,$J92=3,$J92=4,$J92=5,$J92=6,$J92=7),-$E92*$I92/12*3,IF($J92=8,-$E92*$I92/12*2,IF($J92=9,-$E92*$I92/12*1,0)))))+IF(CU$5&lt;&gt;$H92,0,IF(CU92&lt;0,IF($J92=7,-$E92*$I92/12*0,IF($J92=8,-$E92*$I92/12*1,IF($J92=9,-$E92*$I92/12*2,IF($J92&gt;=10,-$E92*$I92/12*3,0))))))</f>
        <v>0</v>
      </c>
      <c r="CY92" s="402">
        <f>IF($H92&lt;&gt;CZ$5,0,IF(CZ92&lt;0,IF(OR($J92=1,$J92=2,$J92=3,$J92=4,$J92=5,$J92=6,$J92=7,$J92=8,$J92=9,$J92=10),-$E92*$I92/12*3,IF($J92=11,-$E92*$I92/12*2,IF($J92=12,-$E92*$I92/12*1,0)))))+IF(CU$5&lt;&gt;$H92,0,IF(CU92&lt;0,IF($J92=10,-$E92*$I92/12*0,IF($J92=11,-$E92*$I92/12*1,IF($J92=12,-$E92*$I92/12*2,0)))))</f>
        <v>0</v>
      </c>
      <c r="CZ92" s="403">
        <f>IF(AND(CU92&lt;&gt;0,CU$5=$H92),-$I92*$E92-CU92,IF(CZ$5=$H92,-$I92*$E92*(12-$J92+1)/12,0))</f>
        <v>0</v>
      </c>
      <c r="DA92" s="400">
        <f>IF($H92&lt;&gt;DE$5,0,IF(DE92&lt;0,IF($J92=1,-$E92*$I92/12*3,IF($J92=2,-$E92*$I92/12*2,IF($J92=3,-$E92*$I92/12*1,0)))))+IF(CZ$5&lt;&gt;$H92,0,IF(CZ92&lt;0,IF($J92=1,-$E92*$I92/12*0,IF($J92=2,-$E92*$I92/12*1,IF($J92=3,-$E92*$I92/12*2,IF($J92&gt;=4,-$E92*$I92/12*3,0))))))</f>
        <v>0</v>
      </c>
      <c r="DB92" s="406">
        <f>IF($H92&lt;&gt;DE$5,0,IF(DE92&lt;0,IF(OR($J92=1,$J92=2,$J92=3,$J92=4),-$E92*$I92/12*3,IF($J92=5,-$E92*$I92/12*2,IF($J92=6,-$E92*$I92/12*1,0)))))+IF(CZ$5&lt;&gt;$H92,0,IF(CZ92&lt;0,IF($J92=4,-$E92*$I92/12*0,IF($J92=5,-$E92*$I92/12*1,IF($J92=6,-$E92*$I92/12*2,IF($J92&gt;=7,-$E92*$I92/12*3,0))))))</f>
        <v>0</v>
      </c>
      <c r="DC92" s="406">
        <f>IF($H92&lt;&gt;DE$5,0,IF(DE92&lt;0,IF(OR($J92=1,$J92=2,$J92=3,$J92=4,$J92=5,$J92=6,$J92=7),-$E92*$I92/12*3,IF($J92=8,-$E92*$I92/12*2,IF($J92=9,-$E92*$I92/12*1,0)))))+IF(CZ$5&lt;&gt;$H92,0,IF(CZ92&lt;0,IF($J92=7,-$E92*$I92/12*0,IF($J92=8,-$E92*$I92/12*1,IF($J92=9,-$E92*$I92/12*2,IF($J92&gt;=10,-$E92*$I92/12*3,0))))))</f>
        <v>0</v>
      </c>
      <c r="DD92" s="402">
        <f>IF($H92&lt;&gt;DE$5,0,IF(DE92&lt;0,IF(OR($J92=1,$J92=2,$J92=3,$J92=4,$J92=5,$J92=6,$J92=7,$J92=8,$J92=9,$J92=10),-$E92*$I92/12*3,IF($J92=11,-$E92*$I92/12*2,IF($J92=12,-$E92*$I92/12*1,0)))))+IF(CZ$5&lt;&gt;$H92,0,IF(CZ92&lt;0,IF($J92=10,-$E92*$I92/12*0,IF($J92=11,-$E92*$I92/12*1,IF($J92=12,-$E92*$I92/12*2,0)))))</f>
        <v>0</v>
      </c>
      <c r="DE92" s="403">
        <f>IF(AND(CZ92&lt;&gt;0,CZ$5=$H92),-$I92*$E92-CZ92,IF(DE$5=$H92,-$I92*$E92*(12-$J92+1)/12,0))</f>
        <v>0</v>
      </c>
      <c r="DF92" s="400">
        <f>IF($H92&lt;&gt;DJ$5,0,IF(DJ92&lt;0,IF($J92=1,-$E92*$I92/12*3,IF($J92=2,-$E92*$I92/12*2,IF($J92=3,-$E92*$I92/12*1,0)))))+IF(DE$5&lt;&gt;$H92,0,IF(DE92&lt;0,IF($J92=1,-$E92*$I92/12*0,IF($J92=2,-$E92*$I92/12*1,IF($J92=3,-$E92*$I92/12*2,IF($J92&gt;=4,-$E92*$I92/12*3,0))))))</f>
        <v>0</v>
      </c>
      <c r="DG92" s="406">
        <f>IF($H92&lt;&gt;DJ$5,0,IF(DJ92&lt;0,IF(OR($J92=1,$J92=2,$J92=3,$J92=4),-$E92*$I92/12*3,IF($J92=5,-$E92*$I92/12*2,IF($J92=6,-$E92*$I92/12*1,0)))))+IF(DE$5&lt;&gt;$H92,0,IF(DE92&lt;0,IF($J92=4,-$E92*$I92/12*0,IF($J92=5,-$E92*$I92/12*1,IF($J92=6,-$E92*$I92/12*2,IF($J92&gt;=7,-$E92*$I92/12*3,0))))))</f>
        <v>0</v>
      </c>
      <c r="DH92" s="406">
        <f>IF($H92&lt;&gt;DJ$5,0,IF(DJ92&lt;0,IF(OR($J92=1,$J92=2,$J92=3,$J92=4,$J92=5,$J92=6,$J92=7),-$E92*$I92/12*3,IF($J92=8,-$E92*$I92/12*2,IF($J92=9,-$E92*$I92/12*1,0)))))+IF(DE$5&lt;&gt;$H92,0,IF(DE92&lt;0,IF($J92=7,-$E92*$I92/12*0,IF($J92=8,-$E92*$I92/12*1,IF($J92=9,-$E92*$I92/12*2,IF($J92&gt;=10,-$E92*$I92/12*3,0))))))</f>
        <v>0</v>
      </c>
      <c r="DI92" s="402">
        <f>IF($H92&lt;&gt;DJ$5,0,IF(DJ92&lt;0,IF(OR($J92=1,$J92=2,$J92=3,$J92=4,$J92=5,$J92=6,$J92=7,$J92=8,$J92=9,$J92=10),-$E92*$I92/12*3,IF($J92=11,-$E92*$I92/12*2,IF($J92=12,-$E92*$I92/12*1,0)))))+IF(DE$5&lt;&gt;$H92,0,IF(DE92&lt;0,IF($J92=10,-$E92*$I92/12*0,IF($J92=11,-$E92*$I92/12*1,IF($J92=12,-$E92*$I92/12*2,0)))))</f>
        <v>0</v>
      </c>
      <c r="DJ92" s="403">
        <f>IF(AND(DE92&lt;&gt;0,DE$5=$H92),-$I92*$E92-DE92,IF(DJ$5=$H92,-$I92*$E92*(12-$J92+1)/12,0))</f>
        <v>0</v>
      </c>
      <c r="DK92" s="400">
        <f>IF($H92&lt;&gt;DO$5,0,IF(DO92&lt;0,IF($J92=1,-$E92*$I92/12*3,IF($J92=2,-$E92*$I92/12*2,IF($J92=3,-$E92*$I92/12*1,0)))))+IF(DJ$5&lt;&gt;$H92,0,IF(DJ92&lt;0,IF($J92=1,-$E92*$I92/12*0,IF($J92=2,-$E92*$I92/12*1,IF($J92=3,-$E92*$I92/12*2,IF($J92&gt;=4,-$E92*$I92/12*3,0))))))</f>
        <v>0</v>
      </c>
      <c r="DL92" s="406">
        <f>IF($H92&lt;&gt;DO$5,0,IF(DO92&lt;0,IF(OR($J92=1,$J92=2,$J92=3,$J92=4),-$E92*$I92/12*3,IF($J92=5,-$E92*$I92/12*2,IF($J92=6,-$E92*$I92/12*1,0)))))+IF(DJ$5&lt;&gt;$H92,0,IF(DJ92&lt;0,IF($J92=4,-$E92*$I92/12*0,IF($J92=5,-$E92*$I92/12*1,IF($J92=6,-$E92*$I92/12*2,IF($J92&gt;=7,-$E92*$I92/12*3,0))))))</f>
        <v>0</v>
      </c>
      <c r="DM92" s="406">
        <f>IF($H92&lt;&gt;DO$5,0,IF(DO92&lt;0,IF(OR($J92=1,$J92=2,$J92=3,$J92=4,$J92=5,$J92=6,$J92=7),-$E92*$I92/12*3,IF($J92=8,-$E92*$I92/12*2,IF($J92=9,-$E92*$I92/12*1,0)))))+IF(DJ$5&lt;&gt;$H92,0,IF(DJ92&lt;0,IF($J92=7,-$E92*$I92/12*0,IF($J92=8,-$E92*$I92/12*1,IF($J92=9,-$E92*$I92/12*2,IF($J92&gt;=10,-$E92*$I92/12*3,0))))))</f>
        <v>0</v>
      </c>
      <c r="DN92" s="402">
        <f>IF($H92&lt;&gt;DO$5,0,IF(DO92&lt;0,IF(OR($J92=1,$J92=2,$J92=3,$J92=4,$J92=5,$J92=6,$J92=7,$J92=8,$J92=9,$J92=10),-$E92*$I92/12*3,IF($J92=11,-$E92*$I92/12*2,IF($J92=12,-$E92*$I92/12*1,0)))))+IF(DJ$5&lt;&gt;$H92,0,IF(DJ92&lt;0,IF($J92=10,-$E92*$I92/12*0,IF($J92=11,-$E92*$I92/12*1,IF($J92=12,-$E92*$I92/12*2,0)))))</f>
        <v>0</v>
      </c>
      <c r="DO92" s="403">
        <f>IF(AND(DJ92&lt;&gt;0,DJ$5=$H92),-$I92*$E92-DJ92,IF(DO$5=$H92,-$I92*$E92*(12-$J92+1)/12,0))</f>
        <v>0</v>
      </c>
      <c r="DP92" s="400">
        <f>IF($H92&lt;&gt;DT$5,0,IF(DT92&lt;0,IF($J92=1,-$E92*$I92/12*3,IF($J92=2,-$E92*$I92/12*2,IF($J92=3,-$E92*$I92/12*1,0)))))+IF(DO$5&lt;&gt;$H92,0,IF(DO92&lt;0,IF($J92=1,-$E92*$I92/12*0,IF($J92=2,-$E92*$I92/12*1,IF($J92=3,-$E92*$I92/12*2,IF($J92&gt;=4,-$E92*$I92/12*3,0))))))</f>
        <v>0</v>
      </c>
      <c r="DQ92" s="406">
        <f>IF($H92&lt;&gt;DT$5,0,IF(DT92&lt;0,IF(OR($J92=1,$J92=2,$J92=3,$J92=4),-$E92*$I92/12*3,IF($J92=5,-$E92*$I92/12*2,IF($J92=6,-$E92*$I92/12*1,0)))))+IF(DO$5&lt;&gt;$H92,0,IF(DO92&lt;0,IF($J92=4,-$E92*$I92/12*0,IF($J92=5,-$E92*$I92/12*1,IF($J92=6,-$E92*$I92/12*2,IF($J92&gt;=7,-$E92*$I92/12*3,0))))))</f>
        <v>0</v>
      </c>
      <c r="DR92" s="406">
        <f>IF($H92&lt;&gt;DT$5,0,IF(DT92&lt;0,IF(OR($J92=1,$J92=2,$J92=3,$J92=4,$J92=5,$J92=6,$J92=7),-$E92*$I92/12*3,IF($J92=8,-$E92*$I92/12*2,IF($J92=9,-$E92*$I92/12*1,0)))))+IF(DO$5&lt;&gt;$H92,0,IF(DO92&lt;0,IF($J92=7,-$E92*$I92/12*0,IF($J92=8,-$E92*$I92/12*1,IF($J92=9,-$E92*$I92/12*2,IF($J92&gt;=10,-$E92*$I92/12*3,0))))))</f>
        <v>0</v>
      </c>
      <c r="DS92" s="402">
        <f>IF($H92&lt;&gt;DT$5,0,IF(DT92&lt;0,IF(OR($J92=1,$J92=2,$J92=3,$J92=4,$J92=5,$J92=6,$J92=7,$J92=8,$J92=9,$J92=10),-$E92*$I92/12*3,IF($J92=11,-$E92*$I92/12*2,IF($J92=12,-$E92*$I92/12*1,0)))))+IF(DO$5&lt;&gt;$H92,0,IF(DO92&lt;0,IF($J92=10,-$E92*$I92/12*0,IF($J92=11,-$E92*$I92/12*1,IF($J92=12,-$E92*$I92/12*2,0)))))</f>
        <v>0</v>
      </c>
      <c r="DT92" s="403">
        <f>IF(AND(DO92&lt;&gt;0,DO$5=$H92),-$I92*$E92-DO92,IF(DT$5=$H92,-$I92*$E92*(12-$J92+1)/12,0))</f>
        <v>0</v>
      </c>
      <c r="EF92" s="35"/>
      <c r="EI92" s="759"/>
    </row>
    <row r="93" spans="1:139" ht="12.75" customHeight="1" x14ac:dyDescent="0.2">
      <c r="C93" s="811"/>
      <c r="D93" s="811"/>
      <c r="E93" s="812"/>
      <c r="F93" s="813"/>
      <c r="G93" s="813"/>
      <c r="H93" s="814"/>
      <c r="I93" s="815"/>
      <c r="J93" s="816"/>
      <c r="K93" s="411"/>
      <c r="L93" s="412"/>
      <c r="M93" s="413"/>
      <c r="N93" s="414"/>
      <c r="O93" s="414"/>
      <c r="P93" s="415"/>
      <c r="Q93" s="412"/>
      <c r="R93" s="413"/>
      <c r="S93" s="414"/>
      <c r="T93" s="414"/>
      <c r="U93" s="415"/>
      <c r="V93" s="412"/>
      <c r="W93" s="413"/>
      <c r="X93" s="414"/>
      <c r="Y93" s="414"/>
      <c r="Z93" s="415"/>
      <c r="AA93" s="412"/>
      <c r="AB93" s="413"/>
      <c r="AC93" s="414"/>
      <c r="AD93" s="414"/>
      <c r="AE93" s="415"/>
      <c r="AF93" s="412"/>
      <c r="AG93" s="413"/>
      <c r="AH93" s="414"/>
      <c r="AI93" s="414"/>
      <c r="AJ93" s="415"/>
      <c r="AK93" s="412"/>
      <c r="AL93" s="413"/>
      <c r="AM93" s="414"/>
      <c r="AN93" s="414"/>
      <c r="AO93" s="415"/>
      <c r="AP93" s="412"/>
      <c r="AQ93" s="413"/>
      <c r="AR93" s="414"/>
      <c r="AS93" s="414"/>
      <c r="AT93" s="415"/>
      <c r="AU93" s="412"/>
      <c r="AV93" s="413"/>
      <c r="AW93" s="414"/>
      <c r="AX93" s="414"/>
      <c r="AY93" s="415"/>
      <c r="AZ93" s="412"/>
      <c r="BA93" s="413"/>
      <c r="BB93" s="414"/>
      <c r="BC93" s="414"/>
      <c r="BD93" s="415"/>
      <c r="BE93" s="412"/>
      <c r="BF93" s="413"/>
      <c r="BG93" s="414"/>
      <c r="BH93" s="414"/>
      <c r="BI93" s="415"/>
      <c r="BJ93" s="412"/>
      <c r="BK93" s="413"/>
      <c r="BL93" s="414"/>
      <c r="BM93" s="414"/>
      <c r="BN93" s="415"/>
      <c r="BO93" s="412"/>
      <c r="BP93" s="458"/>
      <c r="BQ93" s="417"/>
      <c r="BR93" s="418"/>
      <c r="BS93" s="419"/>
      <c r="BT93" s="419"/>
      <c r="BU93" s="420"/>
      <c r="BV93" s="417"/>
      <c r="BW93" s="418"/>
      <c r="BX93" s="419"/>
      <c r="BY93" s="419"/>
      <c r="BZ93" s="420"/>
      <c r="CA93" s="417"/>
      <c r="CB93" s="418"/>
      <c r="CC93" s="419"/>
      <c r="CD93" s="419"/>
      <c r="CE93" s="420"/>
      <c r="CF93" s="417"/>
      <c r="CG93" s="418"/>
      <c r="CH93" s="419"/>
      <c r="CI93" s="419"/>
      <c r="CJ93" s="420"/>
      <c r="CK93" s="417"/>
      <c r="CL93" s="418"/>
      <c r="CM93" s="419"/>
      <c r="CN93" s="419"/>
      <c r="CO93" s="420"/>
      <c r="CP93" s="417"/>
      <c r="CQ93" s="418"/>
      <c r="CR93" s="419"/>
      <c r="CS93" s="419"/>
      <c r="CT93" s="420"/>
      <c r="CU93" s="417"/>
      <c r="CV93" s="418"/>
      <c r="CW93" s="419"/>
      <c r="CX93" s="419"/>
      <c r="CY93" s="420"/>
      <c r="CZ93" s="417"/>
      <c r="DA93" s="418"/>
      <c r="DB93" s="419"/>
      <c r="DC93" s="419"/>
      <c r="DD93" s="420"/>
      <c r="DE93" s="417"/>
      <c r="DF93" s="418"/>
      <c r="DG93" s="419"/>
      <c r="DH93" s="419"/>
      <c r="DI93" s="420"/>
      <c r="DJ93" s="417"/>
      <c r="DK93" s="418"/>
      <c r="DL93" s="419"/>
      <c r="DM93" s="419"/>
      <c r="DN93" s="420"/>
      <c r="DO93" s="417"/>
      <c r="DP93" s="418"/>
      <c r="DQ93" s="419"/>
      <c r="DR93" s="419"/>
      <c r="DS93" s="420"/>
      <c r="DT93" s="417"/>
    </row>
    <row r="94" spans="1:139" ht="12.75" customHeight="1" x14ac:dyDescent="0.2">
      <c r="A94" s="26"/>
      <c r="B94" s="26"/>
      <c r="C94" s="711" t="s">
        <v>170</v>
      </c>
      <c r="D94" s="711"/>
      <c r="E94" s="817">
        <f>SUM(E84:E93)</f>
        <v>770.63100000000009</v>
      </c>
      <c r="F94" s="818">
        <f>SUM(F84:F93)</f>
        <v>770.17500000000007</v>
      </c>
      <c r="G94" s="818">
        <f>SUM(G84:G93)</f>
        <v>670.63100000000009</v>
      </c>
      <c r="H94" s="819"/>
      <c r="I94" s="820"/>
      <c r="J94" s="821"/>
      <c r="K94" s="462"/>
      <c r="L94" s="424">
        <f t="shared" ref="L94:AQ94" si="815">SUM(L84:L93)</f>
        <v>0</v>
      </c>
      <c r="M94" s="425">
        <f t="shared" si="815"/>
        <v>0</v>
      </c>
      <c r="N94" s="426">
        <f t="shared" si="815"/>
        <v>0</v>
      </c>
      <c r="O94" s="426">
        <f t="shared" si="815"/>
        <v>0</v>
      </c>
      <c r="P94" s="427">
        <f t="shared" si="815"/>
        <v>0</v>
      </c>
      <c r="Q94" s="424">
        <f t="shared" si="815"/>
        <v>0</v>
      </c>
      <c r="R94" s="425">
        <f t="shared" si="815"/>
        <v>0</v>
      </c>
      <c r="S94" s="426">
        <f t="shared" si="815"/>
        <v>0</v>
      </c>
      <c r="T94" s="426">
        <f t="shared" si="815"/>
        <v>0</v>
      </c>
      <c r="U94" s="427">
        <f t="shared" si="815"/>
        <v>0</v>
      </c>
      <c r="V94" s="424">
        <f t="shared" si="815"/>
        <v>0</v>
      </c>
      <c r="W94" s="425">
        <f t="shared" si="815"/>
        <v>0</v>
      </c>
      <c r="X94" s="426">
        <f t="shared" si="815"/>
        <v>0</v>
      </c>
      <c r="Y94" s="426">
        <f t="shared" si="815"/>
        <v>0</v>
      </c>
      <c r="Z94" s="427">
        <f t="shared" si="815"/>
        <v>0</v>
      </c>
      <c r="AA94" s="424">
        <f t="shared" si="815"/>
        <v>0</v>
      </c>
      <c r="AB94" s="425">
        <f t="shared" si="815"/>
        <v>0</v>
      </c>
      <c r="AC94" s="426">
        <f t="shared" si="815"/>
        <v>0</v>
      </c>
      <c r="AD94" s="426">
        <f t="shared" si="815"/>
        <v>0</v>
      </c>
      <c r="AE94" s="427">
        <f t="shared" si="815"/>
        <v>0</v>
      </c>
      <c r="AF94" s="424">
        <f t="shared" si="815"/>
        <v>0</v>
      </c>
      <c r="AG94" s="425">
        <f t="shared" si="815"/>
        <v>0</v>
      </c>
      <c r="AH94" s="426">
        <f t="shared" si="815"/>
        <v>0</v>
      </c>
      <c r="AI94" s="426">
        <f t="shared" si="815"/>
        <v>0</v>
      </c>
      <c r="AJ94" s="427">
        <f t="shared" si="815"/>
        <v>0</v>
      </c>
      <c r="AK94" s="424">
        <f t="shared" si="815"/>
        <v>0</v>
      </c>
      <c r="AL94" s="425">
        <f t="shared" si="815"/>
        <v>0</v>
      </c>
      <c r="AM94" s="426">
        <f t="shared" si="815"/>
        <v>0</v>
      </c>
      <c r="AN94" s="426">
        <f t="shared" si="815"/>
        <v>0</v>
      </c>
      <c r="AO94" s="427">
        <f t="shared" si="815"/>
        <v>0</v>
      </c>
      <c r="AP94" s="424">
        <f t="shared" si="815"/>
        <v>0</v>
      </c>
      <c r="AQ94" s="425">
        <f t="shared" si="815"/>
        <v>0</v>
      </c>
      <c r="AR94" s="426">
        <f t="shared" ref="AR94:BJ94" si="816">SUM(AR84:AR93)</f>
        <v>0</v>
      </c>
      <c r="AS94" s="426">
        <f t="shared" si="816"/>
        <v>0</v>
      </c>
      <c r="AT94" s="427">
        <f t="shared" si="816"/>
        <v>-0.45600000000000002</v>
      </c>
      <c r="AU94" s="424">
        <f t="shared" si="816"/>
        <v>-0.45600000000000002</v>
      </c>
      <c r="AV94" s="425">
        <f t="shared" si="816"/>
        <v>0</v>
      </c>
      <c r="AW94" s="426">
        <f t="shared" si="816"/>
        <v>0</v>
      </c>
      <c r="AX94" s="426">
        <f t="shared" si="816"/>
        <v>0</v>
      </c>
      <c r="AY94" s="427">
        <f t="shared" si="816"/>
        <v>-150</v>
      </c>
      <c r="AZ94" s="424">
        <f t="shared" si="816"/>
        <v>-150</v>
      </c>
      <c r="BA94" s="425">
        <f t="shared" si="816"/>
        <v>0</v>
      </c>
      <c r="BB94" s="426">
        <f t="shared" si="816"/>
        <v>0</v>
      </c>
      <c r="BC94" s="426">
        <f t="shared" si="816"/>
        <v>0</v>
      </c>
      <c r="BD94" s="427">
        <f t="shared" si="816"/>
        <v>0</v>
      </c>
      <c r="BE94" s="424">
        <f t="shared" si="816"/>
        <v>0</v>
      </c>
      <c r="BF94" s="425">
        <f t="shared" si="816"/>
        <v>0</v>
      </c>
      <c r="BG94" s="426">
        <f t="shared" si="816"/>
        <v>0</v>
      </c>
      <c r="BH94" s="426">
        <f t="shared" si="816"/>
        <v>0</v>
      </c>
      <c r="BI94" s="427">
        <f t="shared" si="816"/>
        <v>0</v>
      </c>
      <c r="BJ94" s="424">
        <f t="shared" si="816"/>
        <v>0</v>
      </c>
      <c r="BK94" s="425">
        <f t="shared" ref="BK94:BO94" si="817">SUM(BK84:BK93)</f>
        <v>0</v>
      </c>
      <c r="BL94" s="426">
        <f t="shared" si="817"/>
        <v>0</v>
      </c>
      <c r="BM94" s="426">
        <f t="shared" si="817"/>
        <v>0</v>
      </c>
      <c r="BN94" s="427">
        <f t="shared" si="817"/>
        <v>-18.600000000000001</v>
      </c>
      <c r="BO94" s="424">
        <f t="shared" si="817"/>
        <v>-18.600000000000001</v>
      </c>
      <c r="BP94" s="463"/>
      <c r="BQ94" s="429">
        <f t="shared" ref="BQ94:CV94" si="818">SUM(BQ84:BQ93)</f>
        <v>0</v>
      </c>
      <c r="BR94" s="430">
        <f t="shared" si="818"/>
        <v>0</v>
      </c>
      <c r="BS94" s="431">
        <f t="shared" si="818"/>
        <v>0</v>
      </c>
      <c r="BT94" s="431">
        <f t="shared" si="818"/>
        <v>0</v>
      </c>
      <c r="BU94" s="432">
        <f t="shared" si="818"/>
        <v>0</v>
      </c>
      <c r="BV94" s="429">
        <f t="shared" si="818"/>
        <v>0</v>
      </c>
      <c r="BW94" s="430">
        <f t="shared" si="818"/>
        <v>0</v>
      </c>
      <c r="BX94" s="431">
        <f t="shared" si="818"/>
        <v>0</v>
      </c>
      <c r="BY94" s="431">
        <f t="shared" si="818"/>
        <v>0</v>
      </c>
      <c r="BZ94" s="432">
        <f t="shared" si="818"/>
        <v>0</v>
      </c>
      <c r="CA94" s="429">
        <f t="shared" si="818"/>
        <v>0</v>
      </c>
      <c r="CB94" s="430">
        <f t="shared" si="818"/>
        <v>0</v>
      </c>
      <c r="CC94" s="431">
        <f t="shared" si="818"/>
        <v>0</v>
      </c>
      <c r="CD94" s="431">
        <f t="shared" si="818"/>
        <v>0</v>
      </c>
      <c r="CE94" s="432">
        <f t="shared" si="818"/>
        <v>0</v>
      </c>
      <c r="CF94" s="429">
        <f t="shared" si="818"/>
        <v>0</v>
      </c>
      <c r="CG94" s="430">
        <f t="shared" si="818"/>
        <v>0</v>
      </c>
      <c r="CH94" s="431">
        <f t="shared" si="818"/>
        <v>0</v>
      </c>
      <c r="CI94" s="431">
        <f t="shared" si="818"/>
        <v>0</v>
      </c>
      <c r="CJ94" s="432">
        <f t="shared" si="818"/>
        <v>0</v>
      </c>
      <c r="CK94" s="429">
        <f t="shared" si="818"/>
        <v>0</v>
      </c>
      <c r="CL94" s="430">
        <f t="shared" si="818"/>
        <v>0</v>
      </c>
      <c r="CM94" s="431">
        <f t="shared" si="818"/>
        <v>0</v>
      </c>
      <c r="CN94" s="431">
        <f t="shared" si="818"/>
        <v>0</v>
      </c>
      <c r="CO94" s="432">
        <f t="shared" si="818"/>
        <v>0</v>
      </c>
      <c r="CP94" s="429">
        <f t="shared" si="818"/>
        <v>0</v>
      </c>
      <c r="CQ94" s="430">
        <f t="shared" si="818"/>
        <v>0</v>
      </c>
      <c r="CR94" s="431">
        <f t="shared" si="818"/>
        <v>0</v>
      </c>
      <c r="CS94" s="431">
        <f t="shared" si="818"/>
        <v>0</v>
      </c>
      <c r="CT94" s="432">
        <f t="shared" si="818"/>
        <v>0</v>
      </c>
      <c r="CU94" s="429">
        <f t="shared" si="818"/>
        <v>0</v>
      </c>
      <c r="CV94" s="430">
        <f t="shared" si="818"/>
        <v>0</v>
      </c>
      <c r="CW94" s="431">
        <f t="shared" ref="CW94:DO94" si="819">SUM(CW84:CW93)</f>
        <v>0</v>
      </c>
      <c r="CX94" s="431">
        <f t="shared" si="819"/>
        <v>0</v>
      </c>
      <c r="CY94" s="432">
        <f t="shared" si="819"/>
        <v>-7.980000000000001E-3</v>
      </c>
      <c r="CZ94" s="429">
        <f t="shared" si="819"/>
        <v>-7.980000000000001E-3</v>
      </c>
      <c r="DA94" s="430">
        <f t="shared" si="819"/>
        <v>-7.980000000000001E-3</v>
      </c>
      <c r="DB94" s="431">
        <f t="shared" si="819"/>
        <v>-7.980000000000001E-3</v>
      </c>
      <c r="DC94" s="431">
        <f t="shared" si="819"/>
        <v>-7.980000000000001E-3</v>
      </c>
      <c r="DD94" s="432">
        <f t="shared" si="819"/>
        <v>-1.96875</v>
      </c>
      <c r="DE94" s="429">
        <f t="shared" si="819"/>
        <v>-1.9926900000000001</v>
      </c>
      <c r="DF94" s="430">
        <f t="shared" si="819"/>
        <v>-1.96875</v>
      </c>
      <c r="DG94" s="431">
        <f t="shared" si="819"/>
        <v>-1.96875</v>
      </c>
      <c r="DH94" s="431">
        <f t="shared" si="819"/>
        <v>-1.96875</v>
      </c>
      <c r="DI94" s="432">
        <f t="shared" si="819"/>
        <v>0</v>
      </c>
      <c r="DJ94" s="429">
        <f t="shared" si="819"/>
        <v>-5.90625</v>
      </c>
      <c r="DK94" s="430">
        <f t="shared" si="819"/>
        <v>0</v>
      </c>
      <c r="DL94" s="431">
        <f t="shared" si="819"/>
        <v>0</v>
      </c>
      <c r="DM94" s="431">
        <f t="shared" si="819"/>
        <v>0</v>
      </c>
      <c r="DN94" s="432">
        <f t="shared" si="819"/>
        <v>0</v>
      </c>
      <c r="DO94" s="429">
        <f t="shared" si="819"/>
        <v>0</v>
      </c>
      <c r="DP94" s="430">
        <f t="shared" ref="DP94:DT94" si="820">SUM(DP84:DP93)</f>
        <v>0</v>
      </c>
      <c r="DQ94" s="431">
        <f t="shared" si="820"/>
        <v>0</v>
      </c>
      <c r="DR94" s="431">
        <f t="shared" si="820"/>
        <v>0</v>
      </c>
      <c r="DS94" s="432">
        <f t="shared" si="820"/>
        <v>-0.18600000000000003</v>
      </c>
      <c r="DT94" s="429">
        <f t="shared" si="820"/>
        <v>-0.18600000000000003</v>
      </c>
    </row>
    <row r="95" spans="1:139" ht="12.75" customHeight="1" x14ac:dyDescent="0.2">
      <c r="C95" s="822"/>
      <c r="D95" s="822"/>
      <c r="E95" s="823"/>
      <c r="F95" s="537"/>
      <c r="G95" s="537"/>
      <c r="H95" s="808"/>
      <c r="I95" s="824" t="s">
        <v>315</v>
      </c>
      <c r="J95" s="825" t="s">
        <v>315</v>
      </c>
      <c r="K95" s="392"/>
      <c r="L95" s="393"/>
      <c r="M95" s="394"/>
      <c r="N95" s="395"/>
      <c r="O95" s="395"/>
      <c r="P95" s="396"/>
      <c r="Q95" s="397"/>
      <c r="R95" s="394"/>
      <c r="S95" s="395"/>
      <c r="T95" s="395"/>
      <c r="U95" s="396"/>
      <c r="V95" s="397"/>
      <c r="W95" s="394"/>
      <c r="X95" s="395"/>
      <c r="Y95" s="395"/>
      <c r="Z95" s="396"/>
      <c r="AA95" s="397"/>
      <c r="AB95" s="394"/>
      <c r="AC95" s="395"/>
      <c r="AD95" s="395"/>
      <c r="AE95" s="396"/>
      <c r="AF95" s="397"/>
      <c r="AG95" s="394"/>
      <c r="AH95" s="395"/>
      <c r="AI95" s="395"/>
      <c r="AJ95" s="396"/>
      <c r="AK95" s="397"/>
      <c r="AL95" s="394"/>
      <c r="AM95" s="395"/>
      <c r="AN95" s="395"/>
      <c r="AO95" s="396"/>
      <c r="AP95" s="397"/>
      <c r="AQ95" s="394"/>
      <c r="AR95" s="395"/>
      <c r="AS95" s="395"/>
      <c r="AT95" s="396"/>
      <c r="AU95" s="397"/>
      <c r="AV95" s="394"/>
      <c r="AW95" s="395"/>
      <c r="AX95" s="395"/>
      <c r="AY95" s="396"/>
      <c r="AZ95" s="397"/>
      <c r="BA95" s="394"/>
      <c r="BB95" s="395"/>
      <c r="BC95" s="395"/>
      <c r="BD95" s="396"/>
      <c r="BE95" s="397"/>
      <c r="BF95" s="394"/>
      <c r="BG95" s="395"/>
      <c r="BH95" s="395"/>
      <c r="BI95" s="396"/>
      <c r="BJ95" s="397"/>
      <c r="BK95" s="394"/>
      <c r="BL95" s="395"/>
      <c r="BM95" s="395"/>
      <c r="BN95" s="396"/>
      <c r="BO95" s="397"/>
      <c r="BP95" s="452"/>
      <c r="BQ95" s="399"/>
      <c r="BR95" s="400"/>
      <c r="BS95" s="401"/>
      <c r="BT95" s="401"/>
      <c r="BU95" s="402"/>
      <c r="BV95" s="403"/>
      <c r="BW95" s="400"/>
      <c r="BX95" s="401"/>
      <c r="BY95" s="401"/>
      <c r="BZ95" s="402"/>
      <c r="CA95" s="403"/>
      <c r="CB95" s="400"/>
      <c r="CC95" s="401"/>
      <c r="CD95" s="401"/>
      <c r="CE95" s="402"/>
      <c r="CF95" s="403"/>
      <c r="CG95" s="400"/>
      <c r="CH95" s="401"/>
      <c r="CI95" s="401"/>
      <c r="CJ95" s="402"/>
      <c r="CK95" s="403"/>
      <c r="CL95" s="400"/>
      <c r="CM95" s="401"/>
      <c r="CN95" s="401"/>
      <c r="CO95" s="402"/>
      <c r="CP95" s="403"/>
      <c r="CQ95" s="400"/>
      <c r="CR95" s="401"/>
      <c r="CS95" s="401"/>
      <c r="CT95" s="402"/>
      <c r="CU95" s="403"/>
      <c r="CV95" s="400"/>
      <c r="CW95" s="401"/>
      <c r="CX95" s="401"/>
      <c r="CY95" s="402"/>
      <c r="CZ95" s="403"/>
      <c r="DA95" s="400"/>
      <c r="DB95" s="401"/>
      <c r="DC95" s="401"/>
      <c r="DD95" s="402"/>
      <c r="DE95" s="403"/>
      <c r="DF95" s="400"/>
      <c r="DG95" s="401"/>
      <c r="DH95" s="401"/>
      <c r="DI95" s="402"/>
      <c r="DJ95" s="403"/>
      <c r="DK95" s="400"/>
      <c r="DL95" s="401"/>
      <c r="DM95" s="401"/>
      <c r="DN95" s="402"/>
      <c r="DO95" s="403"/>
      <c r="DP95" s="400"/>
      <c r="DQ95" s="401"/>
      <c r="DR95" s="401"/>
      <c r="DS95" s="402"/>
      <c r="DT95" s="403"/>
    </row>
    <row r="96" spans="1:139" ht="12.75" customHeight="1" x14ac:dyDescent="0.2">
      <c r="C96" s="826" t="s">
        <v>330</v>
      </c>
      <c r="D96" s="826"/>
      <c r="E96" s="823"/>
      <c r="F96" s="537"/>
      <c r="G96" s="537"/>
      <c r="H96" s="827"/>
      <c r="I96" s="828"/>
      <c r="J96" s="829"/>
      <c r="K96" s="392"/>
      <c r="L96" s="393"/>
      <c r="M96" s="394"/>
      <c r="N96" s="395"/>
      <c r="O96" s="395"/>
      <c r="P96" s="396"/>
      <c r="Q96" s="397"/>
      <c r="R96" s="394"/>
      <c r="S96" s="395"/>
      <c r="T96" s="395"/>
      <c r="U96" s="396"/>
      <c r="V96" s="397"/>
      <c r="W96" s="394"/>
      <c r="X96" s="395"/>
      <c r="Y96" s="395"/>
      <c r="Z96" s="396"/>
      <c r="AA96" s="397"/>
      <c r="AB96" s="394"/>
      <c r="AC96" s="395"/>
      <c r="AD96" s="395"/>
      <c r="AE96" s="396"/>
      <c r="AF96" s="397"/>
      <c r="AG96" s="394"/>
      <c r="AH96" s="395"/>
      <c r="AI96" s="395"/>
      <c r="AJ96" s="396"/>
      <c r="AK96" s="397"/>
      <c r="AL96" s="394"/>
      <c r="AM96" s="395"/>
      <c r="AN96" s="395"/>
      <c r="AO96" s="396"/>
      <c r="AP96" s="397"/>
      <c r="AQ96" s="394"/>
      <c r="AR96" s="395"/>
      <c r="AS96" s="395"/>
      <c r="AT96" s="396"/>
      <c r="AU96" s="397"/>
      <c r="AV96" s="394"/>
      <c r="AW96" s="395"/>
      <c r="AX96" s="395"/>
      <c r="AY96" s="396"/>
      <c r="AZ96" s="397"/>
      <c r="BA96" s="394"/>
      <c r="BB96" s="395"/>
      <c r="BC96" s="395"/>
      <c r="BD96" s="396"/>
      <c r="BE96" s="397"/>
      <c r="BF96" s="394"/>
      <c r="BG96" s="395"/>
      <c r="BH96" s="395"/>
      <c r="BI96" s="396"/>
      <c r="BJ96" s="397"/>
      <c r="BK96" s="394"/>
      <c r="BL96" s="395"/>
      <c r="BM96" s="395"/>
      <c r="BN96" s="396"/>
      <c r="BO96" s="397"/>
      <c r="BP96" s="445"/>
      <c r="BQ96" s="399"/>
      <c r="BR96" s="400"/>
      <c r="BS96" s="401"/>
      <c r="BT96" s="401"/>
      <c r="BU96" s="402"/>
      <c r="BV96" s="403"/>
      <c r="BW96" s="400"/>
      <c r="BX96" s="401"/>
      <c r="BY96" s="401"/>
      <c r="BZ96" s="402"/>
      <c r="CA96" s="403"/>
      <c r="CB96" s="400"/>
      <c r="CC96" s="401"/>
      <c r="CD96" s="401"/>
      <c r="CE96" s="402"/>
      <c r="CF96" s="403"/>
      <c r="CG96" s="400"/>
      <c r="CH96" s="401"/>
      <c r="CI96" s="401"/>
      <c r="CJ96" s="402"/>
      <c r="CK96" s="403"/>
      <c r="CL96" s="400"/>
      <c r="CM96" s="401"/>
      <c r="CN96" s="401"/>
      <c r="CO96" s="402"/>
      <c r="CP96" s="403"/>
      <c r="CQ96" s="400"/>
      <c r="CR96" s="401"/>
      <c r="CS96" s="401"/>
      <c r="CT96" s="402"/>
      <c r="CU96" s="403"/>
      <c r="CV96" s="400"/>
      <c r="CW96" s="401"/>
      <c r="CX96" s="401"/>
      <c r="CY96" s="402"/>
      <c r="CZ96" s="403"/>
      <c r="DA96" s="400"/>
      <c r="DB96" s="401"/>
      <c r="DC96" s="401"/>
      <c r="DD96" s="402"/>
      <c r="DE96" s="403"/>
      <c r="DF96" s="400"/>
      <c r="DG96" s="401"/>
      <c r="DH96" s="401"/>
      <c r="DI96" s="402"/>
      <c r="DJ96" s="403"/>
      <c r="DK96" s="400"/>
      <c r="DL96" s="401"/>
      <c r="DM96" s="401"/>
      <c r="DN96" s="402"/>
      <c r="DO96" s="403"/>
      <c r="DP96" s="400"/>
      <c r="DQ96" s="401"/>
      <c r="DR96" s="401"/>
      <c r="DS96" s="402"/>
      <c r="DT96" s="403"/>
    </row>
    <row r="97" spans="1:139" ht="12.75" customHeight="1" x14ac:dyDescent="0.2">
      <c r="C97" s="52" t="s">
        <v>668</v>
      </c>
      <c r="D97" s="52"/>
      <c r="E97" s="531">
        <v>100</v>
      </c>
      <c r="F97" s="537"/>
      <c r="G97" s="537"/>
      <c r="H97" s="449">
        <v>2017</v>
      </c>
      <c r="I97" s="450">
        <v>3.6999999999999998E-2</v>
      </c>
      <c r="J97" s="451">
        <v>10</v>
      </c>
      <c r="K97" s="392"/>
      <c r="L97" s="393">
        <f>IF(L$5=$H97,$E97,0)</f>
        <v>0</v>
      </c>
      <c r="M97" s="394">
        <f>IF(Q97=0,0,IF(Q97&gt;0,IF($J97=3,Q97,IF($J97=2,Q97,IF($J97=1,Q97,0)))))</f>
        <v>0</v>
      </c>
      <c r="N97" s="395">
        <f>IF(Q97=0,0,IF(Q97&gt;0,IF($J97=6,Q97,IF($J97=5,Q97,IF($J97=4,Q97,0)))))</f>
        <v>0</v>
      </c>
      <c r="O97" s="395">
        <f>IF(Q97=0,0,IF(Q97&gt;0,IF($J97=9,Q97,IF($J97=8,Q97,IF($J97=7,Q97,0)))))</f>
        <v>0</v>
      </c>
      <c r="P97" s="396">
        <f>IF(Q97=0,0,IF(Q97&gt;0,IF($J97=12,Q97,IF($J97=11,Q97,IF($J97=10,Q97,0)))))</f>
        <v>0</v>
      </c>
      <c r="Q97" s="397">
        <f>IF(Q$5=$H97,$E97,0)</f>
        <v>0</v>
      </c>
      <c r="R97" s="394">
        <f>IF(V97=0,0,IF(V97&gt;0,IF($J97=3,V97,IF($J97=2,V97,IF($J97=1,V97,0)))))</f>
        <v>0</v>
      </c>
      <c r="S97" s="395">
        <f>IF(V97=0,0,IF(V97&gt;0,IF($J97=6,V97,IF($J97=5,V97,IF($J97=4,V97,0)))))</f>
        <v>0</v>
      </c>
      <c r="T97" s="395">
        <f>IF(V97=0,0,IF(V97&gt;0,IF($J97=9,V97,IF($J97=8,V97,IF($J97=7,V97,0)))))</f>
        <v>0</v>
      </c>
      <c r="U97" s="396">
        <f>IF(V97=0,0,IF(V97&gt;0,IF($J97=12,V97,IF($J97=11,V97,IF($J97=10,V97,0)))))</f>
        <v>0</v>
      </c>
      <c r="V97" s="397">
        <f>IF(V$5=$H97,$E97,0)</f>
        <v>0</v>
      </c>
      <c r="W97" s="394">
        <f>IF(AA97=0,0,IF(AA97&gt;0,IF($J97=3,AA97,IF($J97=2,AA97,IF($J97=1,AA97,0)))))</f>
        <v>0</v>
      </c>
      <c r="X97" s="395">
        <f>IF(AA97=0,0,IF(AA97&gt;0,IF($J97=6,AA97,IF($J97=5,AA97,IF($J97=4,AA97,0)))))</f>
        <v>0</v>
      </c>
      <c r="Y97" s="395">
        <f>IF(AA97=0,0,IF(AA97&gt;0,IF($J97=9,AA97,IF($J97=8,AA97,IF($J97=7,AA97,0)))))</f>
        <v>0</v>
      </c>
      <c r="Z97" s="396">
        <f>IF(AA97=0,0,IF(AA97&gt;0,IF($J97=12,AA97,IF($J97=11,AA97,IF($J97=10,AA97,0)))))</f>
        <v>0</v>
      </c>
      <c r="AA97" s="397">
        <f>IF(AA$5=$H97,$E97,0)</f>
        <v>0</v>
      </c>
      <c r="AB97" s="394">
        <f>IF(AF97=0,0,IF(AF97&gt;0,IF($J97=3,AF97,IF($J97=2,AF97,IF($J97=1,AF97,0)))))</f>
        <v>0</v>
      </c>
      <c r="AC97" s="395">
        <f>IF(AF97=0,0,IF(AF97&gt;0,IF($J97=6,AF97,IF($J97=5,AF97,IF($J97=4,AF97,0)))))</f>
        <v>0</v>
      </c>
      <c r="AD97" s="395">
        <f>IF(AF97=0,0,IF(AF97&gt;0,IF($J97=9,AF97,IF($J97=8,AF97,IF($J97=7,AF97,0)))))</f>
        <v>0</v>
      </c>
      <c r="AE97" s="396">
        <f>IF(AF97=0,0,IF(AF97&gt;0,IF($J97=12,AF97,IF($J97=11,AF97,IF($J97=10,AF97,0)))))</f>
        <v>0</v>
      </c>
      <c r="AF97" s="397">
        <f>IF(AF$5=$H97,$E97,0)</f>
        <v>0</v>
      </c>
      <c r="AG97" s="394">
        <f>IF(AK97=0,0,IF(AK97&gt;0,IF($J97=3,AK97,IF($J97=2,AK97,IF($J97=1,AK97,0)))))</f>
        <v>0</v>
      </c>
      <c r="AH97" s="395">
        <f>IF(AK97=0,0,IF(AK97&gt;0,IF($J97=6,AK97,IF($J97=5,AK97,IF($J97=4,AK97,0)))))</f>
        <v>0</v>
      </c>
      <c r="AI97" s="395">
        <f>IF(AK97=0,0,IF(AK97&gt;0,IF($J97=9,AK97,IF($J97=8,AK97,IF($J97=7,AK97,0)))))</f>
        <v>0</v>
      </c>
      <c r="AJ97" s="396">
        <f>IF(AK97=0,0,IF(AK97&gt;0,IF($J97=12,AK97,IF($J97=11,AK97,IF($J97=10,AK97,0)))))</f>
        <v>0</v>
      </c>
      <c r="AK97" s="397">
        <f>IF(AK$5=$H97,$E97,0)</f>
        <v>0</v>
      </c>
      <c r="AL97" s="394">
        <f>IF(AP97=0,0,IF(AP97&gt;0,IF($J97=3,AP97,IF($J97=2,AP97,IF($J97=1,AP97,0)))))</f>
        <v>0</v>
      </c>
      <c r="AM97" s="395">
        <f>IF(AP97=0,0,IF(AP97&gt;0,IF($J97=6,AP97,IF($J97=5,AP97,IF($J97=4,AP97,0)))))</f>
        <v>0</v>
      </c>
      <c r="AN97" s="395">
        <f>IF(AP97=0,0,IF(AP97&gt;0,IF($J97=9,AP97,IF($J97=8,AP97,IF($J97=7,AP97,0)))))</f>
        <v>0</v>
      </c>
      <c r="AO97" s="396">
        <f>IF(AP97=0,0,IF(AP97&gt;0,IF($J97=12,AP97,IF($J97=11,AP97,IF($J97=10,AP97,0)))))</f>
        <v>0</v>
      </c>
      <c r="AP97" s="397">
        <f>IF(AP$5=$H97,$E97,0)</f>
        <v>0</v>
      </c>
      <c r="AQ97" s="394">
        <f>IF(AU97=0,0,IF(AU97&gt;0,IF($J97=3,AU97,IF($J97=2,AU97,IF($J97=1,AU97,0)))))</f>
        <v>0</v>
      </c>
      <c r="AR97" s="395">
        <f>IF(AU97=0,0,IF(AU97&gt;0,IF($J97=6,AU97,IF($J97=5,AU97,IF($J97=4,AU97,0)))))</f>
        <v>0</v>
      </c>
      <c r="AS97" s="395">
        <f>IF(AU97=0,0,IF(AU97&gt;0,IF($J97=9,AU97,IF($J97=8,AU97,IF($J97=7,AU97,0)))))</f>
        <v>0</v>
      </c>
      <c r="AT97" s="396">
        <f>IF(AU97=0,0,IF(AU97&gt;0,IF($J97=12,AU97,IF($J97=11,AU97,IF($J97=10,AU97,0)))))</f>
        <v>100</v>
      </c>
      <c r="AU97" s="397">
        <f>IF(AU$5=$H97,$E97,0)</f>
        <v>100</v>
      </c>
      <c r="AV97" s="394">
        <f>IF(AZ97=0,0,IF(AZ97&gt;0,IF($J97=3,AZ97,IF($J97=2,AZ97,IF($J97=1,AZ97,0)))))</f>
        <v>0</v>
      </c>
      <c r="AW97" s="395">
        <f>IF(AZ97=0,0,IF(AZ97&gt;0,IF($J97=6,AZ97,IF($J97=5,AZ97,IF($J97=4,AZ97,0)))))</f>
        <v>0</v>
      </c>
      <c r="AX97" s="395">
        <f>IF(AZ97=0,0,IF(AZ97&gt;0,IF($J97=9,AZ97,IF($J97=8,AZ97,IF($J97=7,AZ97,0)))))</f>
        <v>0</v>
      </c>
      <c r="AY97" s="396">
        <f>IF(AZ97=0,0,IF(AZ97&gt;0,IF($J97=12,AZ97,IF($J97=11,AZ97,IF($J97=10,AZ97,0)))))</f>
        <v>0</v>
      </c>
      <c r="AZ97" s="397">
        <f>IF(AZ$5=$H97,$E97,0)</f>
        <v>0</v>
      </c>
      <c r="BA97" s="394">
        <f>IF(BE97=0,0,IF(BE97&gt;0,IF($J97=3,BE97,IF($J97=2,BE97,IF($J97=1,BE97,0)))))</f>
        <v>0</v>
      </c>
      <c r="BB97" s="395">
        <f>IF(BE97=0,0,IF(BE97&gt;0,IF($J97=6,BE97,IF($J97=5,BE97,IF($J97=4,BE97,0)))))</f>
        <v>0</v>
      </c>
      <c r="BC97" s="395">
        <f>IF(BE97=0,0,IF(BE97&gt;0,IF($J97=9,BE97,IF($J97=8,BE97,IF($J97=7,BE97,0)))))</f>
        <v>0</v>
      </c>
      <c r="BD97" s="396">
        <f>IF(BE97=0,0,IF(BE97&gt;0,IF($J97=12,BE97,IF($J97=11,BE97,IF($J97=10,BE97,0)))))</f>
        <v>0</v>
      </c>
      <c r="BE97" s="397">
        <f>IF(BE$5=$H97,$E97,0)</f>
        <v>0</v>
      </c>
      <c r="BF97" s="394">
        <f>IF(BJ97=0,0,IF(BJ97&gt;0,IF($J97=3,BJ97,IF($J97=2,BJ97,IF($J97=1,BJ97,0)))))</f>
        <v>0</v>
      </c>
      <c r="BG97" s="395">
        <f>IF(BJ97=0,0,IF(BJ97&gt;0,IF($J97=6,BJ97,IF($J97=5,BJ97,IF($J97=4,BJ97,0)))))</f>
        <v>0</v>
      </c>
      <c r="BH97" s="395">
        <f>IF(BJ97=0,0,IF(BJ97&gt;0,IF($J97=9,BJ97,IF($J97=8,BJ97,IF($J97=7,BJ97,0)))))</f>
        <v>0</v>
      </c>
      <c r="BI97" s="396">
        <f>IF(BJ97=0,0,IF(BJ97&gt;0,IF($J97=12,BJ97,IF($J97=11,BJ97,IF($J97=10,BJ97,0)))))</f>
        <v>0</v>
      </c>
      <c r="BJ97" s="397">
        <f>IF(BJ$5=$H97,$E97,0)</f>
        <v>0</v>
      </c>
      <c r="BK97" s="394">
        <f>IF(BO97=0,0,IF(BO97&gt;0,IF($J97=3,BO97,IF($J97=2,BO97,IF($J97=1,BO97,0)))))</f>
        <v>0</v>
      </c>
      <c r="BL97" s="395">
        <f>IF(BO97=0,0,IF(BO97&gt;0,IF($J97=6,BO97,IF($J97=5,BO97,IF($J97=4,BO97,0)))))</f>
        <v>0</v>
      </c>
      <c r="BM97" s="395">
        <f>IF(BO97=0,0,IF(BO97&gt;0,IF($J97=9,BO97,IF($J97=8,BO97,IF($J97=7,BO97,0)))))</f>
        <v>0</v>
      </c>
      <c r="BN97" s="396">
        <f>IF(BO97=0,0,IF(BO97&gt;0,IF($J97=12,BO97,IF($J97=11,BO97,IF($J97=10,BO97,0)))))</f>
        <v>0</v>
      </c>
      <c r="BO97" s="397">
        <f>IF(BO$5=$H97,$E97,0)</f>
        <v>0</v>
      </c>
      <c r="BP97" s="445"/>
      <c r="BQ97" s="399">
        <f>IF(AND(BP97&lt;&gt;0,BP$5=$H97),$I97*$E97-BP97,IF(BQ$5=$H97,$I97*$E97*(12-$J97+1)/12,0))</f>
        <v>0</v>
      </c>
      <c r="BR97" s="400">
        <f>IF($H97&lt;&gt;BV$5,0,IF(BV97&gt;0,IF($J97=1,$E97*$I97/12*3,IF($J97=2,$E97*$I97/12*2,IF($J97=3,$E97*$I97/12*1,0)))))+IF(BQ$5&lt;&gt;$H97,0,IF(BQ97&gt;0,IF($J97=1,$E97*$I97/12*0,IF($J97=2,$E97*$I97/12*1,IF($J97=3,$E97*$I97/12*2,IF($J97&gt;=4,$E97*$I97/12*3,0))))))</f>
        <v>0</v>
      </c>
      <c r="BS97" s="401">
        <f>IF($H97&lt;&gt;BV$5,0,IF(BV97&gt;0,IF(OR($J97=1,$J97=2,$J97=3,$J97=4),$E97*$I97/12*3,IF($J97=5,$E97*$I97/12*2,IF($J97=6,$E97*$I97/12*1,0)))))+IF(BQ$5&lt;&gt;$H97,0,IF(BQ97&gt;0,IF($J97=4,$E97*$I97/12*0,IF($J97=5,$E97*$I97/12*1,IF($J97=6,$E97*$I97/12*2,IF($J97&gt;=7,$E97*$I97/12*3,0))))))</f>
        <v>0</v>
      </c>
      <c r="BT97" s="401">
        <f>IF($H97&lt;&gt;BV$5,0,IF(BV97&gt;0,IF(OR($J97=1,$J97=2,$J97=3,$J97=4,$J97=5,$J97=6,$J97=7),$E97*$I97/12*3,IF($J97=8,$E97*$I97/12*2,IF($J97=9,$E97*$I97/12*1,0)))))+IF(BQ$5&lt;&gt;$H97,0,IF(BQ97&gt;0,IF($J97=7,$E97*$I97/12*0,IF($J97=8,$E97*$I97/12*1,IF($J97=9,$E97*$I97/12*2,IF($J97&gt;=10,$E97*$I97/12*3,0))))))</f>
        <v>0</v>
      </c>
      <c r="BU97" s="402">
        <f>IF($H97&lt;&gt;BV$5,0,IF(BV97&gt;0,IF(OR($J97=1,$J97=2,$J97=3,$J97=4,$J97=5,$J97=6,$J97=7,$J97=8,$J97=9,$J97=10),$E97*$I97/12*3,IF($J97=11,$E97*$I97/12*2,IF($J97=12,$E97*$I97/12*1,0)))))+IF(BQ$5&lt;&gt;$H97,0,IF(BQ97&gt;0,IF($J97=10,$E97*$I97/12*0,IF($J97=11,$E97*$I97/12*1,IF($J97=12,$E97*$I97/12*2,0)))))</f>
        <v>0</v>
      </c>
      <c r="BV97" s="403">
        <f>IF(AND(BQ97&lt;&gt;0,BQ$5=$H97),$I97*$E97-BQ97,IF(BV$5=$H97,$I97*$E97*(12-$J97+1)/12,0))</f>
        <v>0</v>
      </c>
      <c r="BW97" s="400">
        <f>IF($H97&lt;&gt;CA$5,0,IF(CA97&gt;0,IF($J97=1,$E97*$I97/12*3,IF($J97=2,$E97*$I97/12*2,IF($J97=3,$E97*$I97/12*1,0)))))+IF(BV$5&lt;&gt;$H97,0,IF(BV97&gt;0,IF($J97=1,$E97*$I97/12*0,IF($J97=2,$E97*$I97/12*1,IF($J97=3,$E97*$I97/12*2,IF($J97&gt;=4,$E97*$I97/12*3,0))))))</f>
        <v>0</v>
      </c>
      <c r="BX97" s="401">
        <f>IF($H97&lt;&gt;CA$5,0,IF(CA97&gt;0,IF(OR($J97=1,$J97=2,$J97=3,$J97=4),$E97*$I97/12*3,IF($J97=5,$E97*$I97/12*2,IF($J97=6,$E97*$I97/12*1,0)))))+IF(BV$5&lt;&gt;$H97,0,IF(BV97&gt;0,IF($J97=4,$E97*$I97/12*0,IF($J97=5,$E97*$I97/12*1,IF($J97=6,$E97*$I97/12*2,IF($J97&gt;=7,$E97*$I97/12*3,0))))))</f>
        <v>0</v>
      </c>
      <c r="BY97" s="401">
        <f>IF($H97&lt;&gt;CA$5,0,IF(CA97&gt;0,IF(OR($J97=1,$J97=2,$J97=3,$J97=4,$J97=5,$J97=6,$J97=7),$E97*$I97/12*3,IF($J97=8,$E97*$I97/12*2,IF($J97=9,$E97*$I97/12*1,0)))))+IF(BV$5&lt;&gt;$H97,0,IF(BV97&gt;0,IF($J97=7,$E97*$I97/12*0,IF($J97=8,$E97*$I97/12*1,IF($J97=9,$E97*$I97/12*2,IF($J97&gt;=10,$E97*$I97/12*3,0))))))</f>
        <v>0</v>
      </c>
      <c r="BZ97" s="402">
        <f>IF($H97&lt;&gt;CA$5,0,IF(CA97&gt;0,IF(OR($J97=1,$J97=2,$J97=3,$J97=4,$J97=5,$J97=6,$J97=7,$J97=8,$J97=9,$J97=10),$E97*$I97/12*3,IF($J97=11,$E97*$I97/12*2,IF($J97=12,$E97*$I97/12*1,0)))))+IF(BV$5&lt;&gt;$H97,0,IF(BV97&gt;0,IF($J97=10,$E97*$I97/12*0,IF($J97=11,$E97*$I97/12*1,IF($J97=12,$E97*$I97/12*2,0)))))</f>
        <v>0</v>
      </c>
      <c r="CA97" s="403">
        <f>IF(AND(BV97&lt;&gt;0,BV$5=$H97),$I97*$E97-BV97,IF(CA$5=$H97,$I97*$E97*(12-$J97+1)/12,0))</f>
        <v>0</v>
      </c>
      <c r="CB97" s="400">
        <f>IF($H97&lt;&gt;CF$5,0,IF(CF97&gt;0,IF($J97=1,$E97*$I97/12*3,IF($J97=2,$E97*$I97/12*2,IF($J97=3,$E97*$I97/12*1,0)))))+IF(CA$5&lt;&gt;$H97,0,IF(CA97&gt;0,IF($J97=1,$E97*$I97/12*0,IF($J97=2,$E97*$I97/12*1,IF($J97=3,$E97*$I97/12*2,IF($J97&gt;=4,$E97*$I97/12*3,0))))))</f>
        <v>0</v>
      </c>
      <c r="CC97" s="401">
        <f>IF($H97&lt;&gt;CF$5,0,IF(CF97&gt;0,IF(OR($J97=1,$J97=2,$J97=3,$J97=4),$E97*$I97/12*3,IF($J97=5,$E97*$I97/12*2,IF($J97=6,$E97*$I97/12*1,0)))))+IF(CA$5&lt;&gt;$H97,0,IF(CA97&gt;0,IF($J97=4,$E97*$I97/12*0,IF($J97=5,$E97*$I97/12*1,IF($J97=6,$E97*$I97/12*2,IF($J97&gt;=7,$E97*$I97/12*3,0))))))</f>
        <v>0</v>
      </c>
      <c r="CD97" s="401">
        <f>IF($H97&lt;&gt;CF$5,0,IF(CF97&gt;0,IF(OR($J97=1,$J97=2,$J97=3,$J97=4,$J97=5,$J97=6,$J97=7),$E97*$I97/12*3,IF($J97=8,$E97*$I97/12*2,IF($J97=9,$E97*$I97/12*1,0)))))+IF(CA$5&lt;&gt;$H97,0,IF(CA97&gt;0,IF($J97=7,$E97*$I97/12*0,IF($J97=8,$E97*$I97/12*1,IF($J97=9,$E97*$I97/12*2,IF($J97&gt;=10,$E97*$I97/12*3,0))))))</f>
        <v>0</v>
      </c>
      <c r="CE97" s="402">
        <f>IF($H97&lt;&gt;CF$5,0,IF(CF97&gt;0,IF(OR($J97=1,$J97=2,$J97=3,$J97=4,$J97=5,$J97=6,$J97=7,$J97=8,$J97=9,$J97=10),$E97*$I97/12*3,IF($J97=11,$E97*$I97/12*2,IF($J97=12,$E97*$I97/12*1,0)))))+IF(CA$5&lt;&gt;$H97,0,IF(CA97&gt;0,IF($J97=10,$E97*$I97/12*0,IF($J97=11,$E97*$I97/12*1,IF($J97=12,$E97*$I97/12*2,0)))))</f>
        <v>0</v>
      </c>
      <c r="CF97" s="403">
        <f>IF(AND(CA97&lt;&gt;0,CA$5=$H97),$I97*$E97-CA97,IF(CF$5=$H97,$I97*$E97*(12-$J97+1)/12,0))</f>
        <v>0</v>
      </c>
      <c r="CG97" s="400">
        <f>IF($H97&lt;&gt;CK$5,0,IF(CK97&gt;0,IF($J97=1,$E97*$I97/12*3,IF($J97=2,$E97*$I97/12*2,IF($J97=3,$E97*$I97/12*1,0)))))+IF(CF$5&lt;&gt;$H97,0,IF(CF97&gt;0,IF($J97=1,$E97*$I97/12*0,IF($J97=2,$E97*$I97/12*1,IF($J97=3,$E97*$I97/12*2,IF($J97&gt;=4,$E97*$I97/12*3,0))))))</f>
        <v>0</v>
      </c>
      <c r="CH97" s="401">
        <f>IF($H97&lt;&gt;CK$5,0,IF(CK97&gt;0,IF(OR($J97=1,$J97=2,$J97=3,$J97=4),$E97*$I97/12*3,IF($J97=5,$E97*$I97/12*2,IF($J97=6,$E97*$I97/12*1,0)))))+IF(CF$5&lt;&gt;$H97,0,IF(CF97&gt;0,IF($J97=4,$E97*$I97/12*0,IF($J97=5,$E97*$I97/12*1,IF($J97=6,$E97*$I97/12*2,IF($J97&gt;=7,$E97*$I97/12*3,0))))))</f>
        <v>0</v>
      </c>
      <c r="CI97" s="401">
        <f>IF($H97&lt;&gt;CK$5,0,IF(CK97&gt;0,IF(OR($J97=1,$J97=2,$J97=3,$J97=4,$J97=5,$J97=6,$J97=7),$E97*$I97/12*3,IF($J97=8,$E97*$I97/12*2,IF($J97=9,$E97*$I97/12*1,0)))))+IF(CF$5&lt;&gt;$H97,0,IF(CF97&gt;0,IF($J97=7,$E97*$I97/12*0,IF($J97=8,$E97*$I97/12*1,IF($J97=9,$E97*$I97/12*2,IF($J97&gt;=10,$E97*$I97/12*3,0))))))</f>
        <v>0</v>
      </c>
      <c r="CJ97" s="402">
        <f>IF($H97&lt;&gt;CK$5,0,IF(CK97&gt;0,IF(OR($J97=1,$J97=2,$J97=3,$J97=4,$J97=5,$J97=6,$J97=7,$J97=8,$J97=9,$J97=10),$E97*$I97/12*3,IF($J97=11,$E97*$I97/12*2,IF($J97=12,$E97*$I97/12*1,0)))))+IF(CF$5&lt;&gt;$H97,0,IF(CF97&gt;0,IF($J97=10,$E97*$I97/12*0,IF($J97=11,$E97*$I97/12*1,IF($J97=12,$E97*$I97/12*2,0)))))</f>
        <v>0</v>
      </c>
      <c r="CK97" s="403">
        <f>IF(AND(CF97&lt;&gt;0,CF$5=$H97),$I97*$E97-CF97,IF(CK$5=$H97,$I97*$E97*(12-$J97+1)/12,0))</f>
        <v>0</v>
      </c>
      <c r="CL97" s="400">
        <f>IF($H97&lt;&gt;CP$5,0,IF(CP97&gt;0,IF($J97=1,$E97*$I97/12*3,IF($J97=2,$E97*$I97/12*2,IF($J97=3,$E97*$I97/12*1,0)))))+IF(CK$5&lt;&gt;$H97,0,IF(CK97&gt;0,IF($J97=1,$E97*$I97/12*0,IF($J97=2,$E97*$I97/12*1,IF($J97=3,$E97*$I97/12*2,IF($J97&gt;=4,$E97*$I97/12*3,0))))))</f>
        <v>0</v>
      </c>
      <c r="CM97" s="401">
        <f>IF($H97&lt;&gt;CP$5,0,IF(CP97&gt;0,IF(OR($J97=1,$J97=2,$J97=3,$J97=4),$E97*$I97/12*3,IF($J97=5,$E97*$I97/12*2,IF($J97=6,$E97*$I97/12*1,0)))))+IF(CK$5&lt;&gt;$H97,0,IF(CK97&gt;0,IF($J97=4,$E97*$I97/12*0,IF($J97=5,$E97*$I97/12*1,IF($J97=6,$E97*$I97/12*2,IF($J97&gt;=7,$E97*$I97/12*3,0))))))</f>
        <v>0</v>
      </c>
      <c r="CN97" s="401">
        <f>IF($H97&lt;&gt;CP$5,0,IF(CP97&gt;0,IF(OR($J97=1,$J97=2,$J97=3,$J97=4,$J97=5,$J97=6,$J97=7),$E97*$I97/12*3,IF($J97=8,$E97*$I97/12*2,IF($J97=9,$E97*$I97/12*1,0)))))+IF(CK$5&lt;&gt;$H97,0,IF(CK97&gt;0,IF($J97=7,$E97*$I97/12*0,IF($J97=8,$E97*$I97/12*1,IF($J97=9,$E97*$I97/12*2,IF($J97&gt;=10,$E97*$I97/12*3,0))))))</f>
        <v>0</v>
      </c>
      <c r="CO97" s="402">
        <f>IF($H97&lt;&gt;CP$5,0,IF(CP97&gt;0,IF(OR($J97=1,$J97=2,$J97=3,$J97=4,$J97=5,$J97=6,$J97=7,$J97=8,$J97=9,$J97=10),$E97*$I97/12*3,IF($J97=11,$E97*$I97/12*2,IF($J97=12,$E97*$I97/12*1,0)))))+IF(CK$5&lt;&gt;$H97,0,IF(CK97&gt;0,IF($J97=10,$E97*$I97/12*0,IF($J97=11,$E97*$I97/12*1,IF($J97=12,$E97*$I97/12*2,0)))))</f>
        <v>0</v>
      </c>
      <c r="CP97" s="403">
        <f>IF(AND(CK97&lt;&gt;0,CK$5=$H97),$I97*$E97-CK97,IF(CP$5=$H97,$I97*$E97*(12-$J97+1)/12,0))</f>
        <v>0</v>
      </c>
      <c r="CQ97" s="400">
        <f>IF($H97&lt;&gt;CU$5,0,IF(CU97&gt;0,IF($J97=1,$E97*$I97/12*3,IF($J97=2,$E97*$I97/12*2,IF($J97=3,$E97*$I97/12*1,0)))))+IF(CP$5&lt;&gt;$H97,0,IF(CP97&gt;0,IF($J97=1,$E97*$I97/12*0,IF($J97=2,$E97*$I97/12*1,IF($J97=3,$E97*$I97/12*2,IF($J97&gt;=4,$E97*$I97/12*3,0))))))</f>
        <v>0</v>
      </c>
      <c r="CR97" s="401">
        <f>IF($H97&lt;&gt;CU$5,0,IF(CU97&gt;0,IF(OR($J97=1,$J97=2,$J97=3,$J97=4),$E97*$I97/12*3,IF($J97=5,$E97*$I97/12*2,IF($J97=6,$E97*$I97/12*1,0)))))+IF(CP$5&lt;&gt;$H97,0,IF(CP97&gt;0,IF($J97=4,$E97*$I97/12*0,IF($J97=5,$E97*$I97/12*1,IF($J97=6,$E97*$I97/12*2,IF($J97&gt;=7,$E97*$I97/12*3,0))))))</f>
        <v>0</v>
      </c>
      <c r="CS97" s="401">
        <f>IF($H97&lt;&gt;CU$5,0,IF(CU97&gt;0,IF(OR($J97=1,$J97=2,$J97=3,$J97=4,$J97=5,$J97=6,$J97=7),$E97*$I97/12*3,IF($J97=8,$E97*$I97/12*2,IF($J97=9,$E97*$I97/12*1,0)))))+IF(CP$5&lt;&gt;$H97,0,IF(CP97&gt;0,IF($J97=7,$E97*$I97/12*0,IF($J97=8,$E97*$I97/12*1,IF($J97=9,$E97*$I97/12*2,IF($J97&gt;=10,$E97*$I97/12*3,0))))))</f>
        <v>0</v>
      </c>
      <c r="CT97" s="402">
        <f>IF($H97&lt;&gt;CU$5,0,IF(CU97&gt;0,IF(OR($J97=1,$J97=2,$J97=3,$J97=4,$J97=5,$J97=6,$J97=7,$J97=8,$J97=9,$J97=10),$E97*$I97/12*3,IF($J97=11,$E97*$I97/12*2,IF($J97=12,$E97*$I97/12*1,0)))))+IF(CP$5&lt;&gt;$H97,0,IF(CP97&gt;0,IF($J97=10,$E97*$I97/12*0,IF($J97=11,$E97*$I97/12*1,IF($J97=12,$E97*$I97/12*2,0)))))</f>
        <v>0</v>
      </c>
      <c r="CU97" s="403">
        <f>IF(AND(CP97&lt;&gt;0,CP$5=$H97),$I97*$E97-CP97,IF(CU$5=$H97,$I97*$E97*(12-$J97+1)/12,0))</f>
        <v>0</v>
      </c>
      <c r="CV97" s="400">
        <f>IF($H97&lt;&gt;CZ$5,0,IF(CZ97&gt;0,IF($J97=1,$E97*$I97/12*3,IF($J97=2,$E97*$I97/12*2,IF($J97=3,$E97*$I97/12*1,0)))))+IF(CU$5&lt;&gt;$H97,0,IF(CU97&gt;0,IF($J97=1,$E97*$I97/12*0,IF($J97=2,$E97*$I97/12*1,IF($J97=3,$E97*$I97/12*2,IF($J97&gt;=4,$E97*$I97/12*3,0))))))</f>
        <v>0</v>
      </c>
      <c r="CW97" s="401">
        <f>IF($H97&lt;&gt;CZ$5,0,IF(CZ97&gt;0,IF(OR($J97=1,$J97=2,$J97=3,$J97=4),$E97*$I97/12*3,IF($J97=5,$E97*$I97/12*2,IF($J97=6,$E97*$I97/12*1,0)))))+IF(CU$5&lt;&gt;$H97,0,IF(CU97&gt;0,IF($J97=4,$E97*$I97/12*0,IF($J97=5,$E97*$I97/12*1,IF($J97=6,$E97*$I97/12*2,IF($J97&gt;=7,$E97*$I97/12*3,0))))))</f>
        <v>0</v>
      </c>
      <c r="CX97" s="401">
        <f>IF($H97&lt;&gt;CZ$5,0,IF(CZ97&gt;0,IF(OR($J97=1,$J97=2,$J97=3,$J97=4,$J97=5,$J97=6,$J97=7),$E97*$I97/12*3,IF($J97=8,$E97*$I97/12*2,IF($J97=9,$E97*$I97/12*1,0)))))+IF(CU$5&lt;&gt;$H97,0,IF(CU97&gt;0,IF($J97=7,$E97*$I97/12*0,IF($J97=8,$E97*$I97/12*1,IF($J97=9,$E97*$I97/12*2,IF($J97&gt;=10,$E97*$I97/12*3,0))))))</f>
        <v>0</v>
      </c>
      <c r="CY97" s="402">
        <f>IF($H97&lt;&gt;CZ$5,0,IF(CZ97&gt;0,IF(OR($J97=1,$J97=2,$J97=3,$J97=4,$J97=5,$J97=6,$J97=7,$J97=8,$J97=9,$J97=10),$E97*$I97/12*3,IF($J97=11,$E97*$I97/12*2,IF($J97=12,$E97*$I97/12*1,0)))))+IF(CU$5&lt;&gt;$H97,0,IF(CU97&gt;0,IF($J97=10,$E97*$I97/12*0,IF($J97=11,$E97*$I97/12*1,IF($J97=12,$E97*$I97/12*2,0)))))</f>
        <v>0.92499999999999982</v>
      </c>
      <c r="CZ97" s="403">
        <f>IF(AND(CU97&lt;&gt;0,CU$5=$H97),$I97*$E97-CU97,IF(CZ$5=$H97,$I97*$E97*(12-$J97+1)/12,0))</f>
        <v>0.92499999999999993</v>
      </c>
      <c r="DA97" s="400">
        <f>IF($H97&lt;&gt;DE$5,0,IF(DE97&gt;0,IF($J97=1,$E97*$I97/12*3,IF($J97=2,$E97*$I97/12*2,IF($J97=3,$E97*$I97/12*1,0)))))+IF(CZ$5&lt;&gt;$H97,0,IF(CZ97&gt;0,IF($J97=1,$E97*$I97/12*0,IF($J97=2,$E97*$I97/12*1,IF($J97=3,$E97*$I97/12*2,IF($J97&gt;=4,$E97*$I97/12*3,0))))))</f>
        <v>0.92499999999999982</v>
      </c>
      <c r="DB97" s="401">
        <f>IF($H97&lt;&gt;DE$5,0,IF(DE97&gt;0,IF(OR($J97=1,$J97=2,$J97=3,$J97=4),$E97*$I97/12*3,IF($J97=5,$E97*$I97/12*2,IF($J97=6,$E97*$I97/12*1,0)))))+IF(CZ$5&lt;&gt;$H97,0,IF(CZ97&gt;0,IF($J97=4,$E97*$I97/12*0,IF($J97=5,$E97*$I97/12*1,IF($J97=6,$E97*$I97/12*2,IF($J97&gt;=7,$E97*$I97/12*3,0))))))</f>
        <v>0.92499999999999982</v>
      </c>
      <c r="DC97" s="401">
        <f>IF($H97&lt;&gt;DE$5,0,IF(DE97&gt;0,IF(OR($J97=1,$J97=2,$J97=3,$J97=4,$J97=5,$J97=6,$J97=7),$E97*$I97/12*3,IF($J97=8,$E97*$I97/12*2,IF($J97=9,$E97*$I97/12*1,0)))))+IF(CZ$5&lt;&gt;$H97,0,IF(CZ97&gt;0,IF($J97=7,$E97*$I97/12*0,IF($J97=8,$E97*$I97/12*1,IF($J97=9,$E97*$I97/12*2,IF($J97&gt;=10,$E97*$I97/12*3,0))))))</f>
        <v>0.92499999999999982</v>
      </c>
      <c r="DD97" s="402">
        <f>IF($H97&lt;&gt;DE$5,0,IF(DE97&gt;0,IF(OR($J97=1,$J97=2,$J97=3,$J97=4,$J97=5,$J97=6,$J97=7,$J97=8,$J97=9,$J97=10),$E97*$I97/12*3,IF($J97=11,$E97*$I97/12*2,IF($J97=12,$E97*$I97/12*1,0)))))+IF(CZ$5&lt;&gt;$H97,0,IF(CZ97&gt;0,IF($J97=10,$E97*$I97/12*0,IF($J97=11,$E97*$I97/12*1,IF($J97=12,$E97*$I97/12*2,0)))))</f>
        <v>0</v>
      </c>
      <c r="DE97" s="403">
        <f>IF(AND(CZ97&lt;&gt;0,CZ$5=$H97),$I97*$E97-CZ97,IF(DE$5=$H97,$I97*$E97*(12-$J97+1)/12,0))</f>
        <v>2.7749999999999999</v>
      </c>
      <c r="DF97" s="400">
        <f>IF($H97&lt;&gt;DJ$5,0,IF(DJ97&gt;0,IF($J97=1,$E97*$I97/12*3,IF($J97=2,$E97*$I97/12*2,IF($J97=3,$E97*$I97/12*1,0)))))+IF(DE$5&lt;&gt;$H97,0,IF(DE97&gt;0,IF($J97=1,$E97*$I97/12*0,IF($J97=2,$E97*$I97/12*1,IF($J97=3,$E97*$I97/12*2,IF($J97&gt;=4,$E97*$I97/12*3,0))))))</f>
        <v>0</v>
      </c>
      <c r="DG97" s="401">
        <f>IF($H97&lt;&gt;DJ$5,0,IF(DJ97&gt;0,IF(OR($J97=1,$J97=2,$J97=3,$J97=4),$E97*$I97/12*3,IF($J97=5,$E97*$I97/12*2,IF($J97=6,$E97*$I97/12*1,0)))))+IF(DE$5&lt;&gt;$H97,0,IF(DE97&gt;0,IF($J97=4,$E97*$I97/12*0,IF($J97=5,$E97*$I97/12*1,IF($J97=6,$E97*$I97/12*2,IF($J97&gt;=7,$E97*$I97/12*3,0))))))</f>
        <v>0</v>
      </c>
      <c r="DH97" s="401">
        <f>IF($H97&lt;&gt;DJ$5,0,IF(DJ97&gt;0,IF(OR($J97=1,$J97=2,$J97=3,$J97=4,$J97=5,$J97=6,$J97=7),$E97*$I97/12*3,IF($J97=8,$E97*$I97/12*2,IF($J97=9,$E97*$I97/12*1,0)))))+IF(DE$5&lt;&gt;$H97,0,IF(DE97&gt;0,IF($J97=7,$E97*$I97/12*0,IF($J97=8,$E97*$I97/12*1,IF($J97=9,$E97*$I97/12*2,IF($J97&gt;=10,$E97*$I97/12*3,0))))))</f>
        <v>0</v>
      </c>
      <c r="DI97" s="402">
        <f>IF($H97&lt;&gt;DJ$5,0,IF(DJ97&gt;0,IF(OR($J97=1,$J97=2,$J97=3,$J97=4,$J97=5,$J97=6,$J97=7,$J97=8,$J97=9,$J97=10),$E97*$I97/12*3,IF($J97=11,$E97*$I97/12*2,IF($J97=12,$E97*$I97/12*1,0)))))+IF(DE$5&lt;&gt;$H97,0,IF(DE97&gt;0,IF($J97=10,$E97*$I97/12*0,IF($J97=11,$E97*$I97/12*1,IF($J97=12,$E97*$I97/12*2,0)))))</f>
        <v>0</v>
      </c>
      <c r="DJ97" s="403">
        <f>IF(AND(DE97&lt;&gt;0,DE$5=$H97),$I97*$E97-DE97,IF(DJ$5=$H97,$I97*$E97*(12-$J97+1)/12,0))</f>
        <v>0</v>
      </c>
      <c r="DK97" s="400">
        <f>IF($H97&lt;&gt;DO$5,0,IF(DO97&gt;0,IF($J97=1,$E97*$I97/12*3,IF($J97=2,$E97*$I97/12*2,IF($J97=3,$E97*$I97/12*1,0)))))+IF(DJ$5&lt;&gt;$H97,0,IF(DJ97&gt;0,IF($J97=1,$E97*$I97/12*0,IF($J97=2,$E97*$I97/12*1,IF($J97=3,$E97*$I97/12*2,IF($J97&gt;=4,$E97*$I97/12*3,0))))))</f>
        <v>0</v>
      </c>
      <c r="DL97" s="401">
        <f>IF($H97&lt;&gt;DO$5,0,IF(DO97&gt;0,IF(OR($J97=1,$J97=2,$J97=3,$J97=4),$E97*$I97/12*3,IF($J97=5,$E97*$I97/12*2,IF($J97=6,$E97*$I97/12*1,0)))))+IF(DJ$5&lt;&gt;$H97,0,IF(DJ97&gt;0,IF($J97=4,$E97*$I97/12*0,IF($J97=5,$E97*$I97/12*1,IF($J97=6,$E97*$I97/12*2,IF($J97&gt;=7,$E97*$I97/12*3,0))))))</f>
        <v>0</v>
      </c>
      <c r="DM97" s="401">
        <f>IF($H97&lt;&gt;DO$5,0,IF(DO97&gt;0,IF(OR($J97=1,$J97=2,$J97=3,$J97=4,$J97=5,$J97=6,$J97=7),$E97*$I97/12*3,IF($J97=8,$E97*$I97/12*2,IF($J97=9,$E97*$I97/12*1,0)))))+IF(DJ$5&lt;&gt;$H97,0,IF(DJ97&gt;0,IF($J97=7,$E97*$I97/12*0,IF($J97=8,$E97*$I97/12*1,IF($J97=9,$E97*$I97/12*2,IF($J97&gt;=10,$E97*$I97/12*3,0))))))</f>
        <v>0</v>
      </c>
      <c r="DN97" s="402">
        <f>IF($H97&lt;&gt;DO$5,0,IF(DO97&gt;0,IF(OR($J97=1,$J97=2,$J97=3,$J97=4,$J97=5,$J97=6,$J97=7,$J97=8,$J97=9,$J97=10),$E97*$I97/12*3,IF($J97=11,$E97*$I97/12*2,IF($J97=12,$E97*$I97/12*1,0)))))+IF(DJ$5&lt;&gt;$H97,0,IF(DJ97&gt;0,IF($J97=10,$E97*$I97/12*0,IF($J97=11,$E97*$I97/12*1,IF($J97=12,$E97*$I97/12*2,0)))))</f>
        <v>0</v>
      </c>
      <c r="DO97" s="403">
        <f>IF(AND(DJ97&lt;&gt;0,DJ$5=$H97),$I97*$E97-DJ97,IF(DO$5=$H97,$I97*$E97*(12-$J97+1)/12,0))</f>
        <v>0</v>
      </c>
      <c r="DP97" s="400">
        <f>IF($H97&lt;&gt;DT$5,0,IF(DT97&gt;0,IF($J97=1,$E97*$I97/12*3,IF($J97=2,$E97*$I97/12*2,IF($J97=3,$E97*$I97/12*1,0)))))+IF(DO$5&lt;&gt;$H97,0,IF(DO97&gt;0,IF($J97=1,$E97*$I97/12*0,IF($J97=2,$E97*$I97/12*1,IF($J97=3,$E97*$I97/12*2,IF($J97&gt;=4,$E97*$I97/12*3,0))))))</f>
        <v>0</v>
      </c>
      <c r="DQ97" s="401">
        <f>IF($H97&lt;&gt;DT$5,0,IF(DT97&gt;0,IF(OR($J97=1,$J97=2,$J97=3,$J97=4),$E97*$I97/12*3,IF($J97=5,$E97*$I97/12*2,IF($J97=6,$E97*$I97/12*1,0)))))+IF(DO$5&lt;&gt;$H97,0,IF(DO97&gt;0,IF($J97=4,$E97*$I97/12*0,IF($J97=5,$E97*$I97/12*1,IF($J97=6,$E97*$I97/12*2,IF($J97&gt;=7,$E97*$I97/12*3,0))))))</f>
        <v>0</v>
      </c>
      <c r="DR97" s="401">
        <f>IF($H97&lt;&gt;DT$5,0,IF(DT97&gt;0,IF(OR($J97=1,$J97=2,$J97=3,$J97=4,$J97=5,$J97=6,$J97=7),$E97*$I97/12*3,IF($J97=8,$E97*$I97/12*2,IF($J97=9,$E97*$I97/12*1,0)))))+IF(DO$5&lt;&gt;$H97,0,IF(DO97&gt;0,IF($J97=7,$E97*$I97/12*0,IF($J97=8,$E97*$I97/12*1,IF($J97=9,$E97*$I97/12*2,IF($J97&gt;=10,$E97*$I97/12*3,0))))))</f>
        <v>0</v>
      </c>
      <c r="DS97" s="402">
        <f>IF($H97&lt;&gt;DT$5,0,IF(DT97&gt;0,IF(OR($J97=1,$J97=2,$J97=3,$J97=4,$J97=5,$J97=6,$J97=7,$J97=8,$J97=9,$J97=10),$E97*$I97/12*3,IF($J97=11,$E97*$I97/12*2,IF($J97=12,$E97*$I97/12*1,0)))))+IF(DO$5&lt;&gt;$H97,0,IF(DO97&gt;0,IF($J97=10,$E97*$I97/12*0,IF($J97=11,$E97*$I97/12*1,IF($J97=12,$E97*$I97/12*2,0)))))</f>
        <v>0</v>
      </c>
      <c r="DT97" s="403">
        <f>IF(AND(DO97&lt;&gt;0,DO$5=$H97),$I97*$E97-DO97,IF(DT$5=$H97,$I97*$E97*(12-$J97+1)/12,0))</f>
        <v>0</v>
      </c>
    </row>
    <row r="98" spans="1:139" ht="12.75" customHeight="1" x14ac:dyDescent="0.2">
      <c r="C98" s="52" t="s">
        <v>533</v>
      </c>
      <c r="D98" s="52"/>
      <c r="E98" s="530">
        <f>'NSP-WI'!BB182</f>
        <v>200</v>
      </c>
      <c r="F98" s="537"/>
      <c r="G98" s="537"/>
      <c r="H98" s="468">
        <v>2018</v>
      </c>
      <c r="I98" s="469">
        <v>0.04</v>
      </c>
      <c r="J98" s="470">
        <v>10</v>
      </c>
      <c r="K98" s="392"/>
      <c r="L98" s="393">
        <f>IF(L$5=$H98,$E98,0)</f>
        <v>0</v>
      </c>
      <c r="M98" s="394">
        <f>IF(Q98=0,0,IF(Q98&gt;0,IF($J98=3,Q98,IF($J98=2,Q98,IF($J98=1,Q98,0)))))</f>
        <v>0</v>
      </c>
      <c r="N98" s="395">
        <f>IF(Q98=0,0,IF(Q98&gt;0,IF($J98=6,Q98,IF($J98=5,Q98,IF($J98=4,Q98,0)))))</f>
        <v>0</v>
      </c>
      <c r="O98" s="395">
        <f>IF(Q98=0,0,IF(Q98&gt;0,IF($J98=9,Q98,IF($J98=8,Q98,IF($J98=7,Q98,0)))))</f>
        <v>0</v>
      </c>
      <c r="P98" s="396">
        <f>IF(Q98=0,0,IF(Q98&gt;0,IF($J98=12,Q98,IF($J98=11,Q98,IF($J98=10,Q98,0)))))</f>
        <v>0</v>
      </c>
      <c r="Q98" s="397">
        <f>IF(Q$5=$H98,$E98,0)</f>
        <v>0</v>
      </c>
      <c r="R98" s="394">
        <f>IF(V98=0,0,IF(V98&gt;0,IF($J98=3,V98,IF($J98=2,V98,IF($J98=1,V98,0)))))</f>
        <v>0</v>
      </c>
      <c r="S98" s="395">
        <f>IF(V98=0,0,IF(V98&gt;0,IF($J98=6,V98,IF($J98=5,V98,IF($J98=4,V98,0)))))</f>
        <v>0</v>
      </c>
      <c r="T98" s="395">
        <f>IF(V98=0,0,IF(V98&gt;0,IF($J98=9,V98,IF($J98=8,V98,IF($J98=7,V98,0)))))</f>
        <v>0</v>
      </c>
      <c r="U98" s="396">
        <f>IF(V98=0,0,IF(V98&gt;0,IF($J98=12,V98,IF($J98=11,V98,IF($J98=10,V98,0)))))</f>
        <v>0</v>
      </c>
      <c r="V98" s="397">
        <f>IF(V$5=$H98,$E98,0)</f>
        <v>0</v>
      </c>
      <c r="W98" s="394">
        <f>IF(AA98=0,0,IF(AA98&gt;0,IF($J98=3,AA98,IF($J98=2,AA98,IF($J98=1,AA98,0)))))</f>
        <v>0</v>
      </c>
      <c r="X98" s="395">
        <f>IF(AA98=0,0,IF(AA98&gt;0,IF($J98=6,AA98,IF($J98=5,AA98,IF($J98=4,AA98,0)))))</f>
        <v>0</v>
      </c>
      <c r="Y98" s="395">
        <f>IF(AA98=0,0,IF(AA98&gt;0,IF($J98=9,AA98,IF($J98=8,AA98,IF($J98=7,AA98,0)))))</f>
        <v>0</v>
      </c>
      <c r="Z98" s="396">
        <f>IF(AA98=0,0,IF(AA98&gt;0,IF($J98=12,AA98,IF($J98=11,AA98,IF($J98=10,AA98,0)))))</f>
        <v>0</v>
      </c>
      <c r="AA98" s="397">
        <f>IF(AA$5=$H98,$E98,0)</f>
        <v>0</v>
      </c>
      <c r="AB98" s="394">
        <f>IF(AF98=0,0,IF(AF98&gt;0,IF($J98=3,AF98,IF($J98=2,AF98,IF($J98=1,AF98,0)))))</f>
        <v>0</v>
      </c>
      <c r="AC98" s="395">
        <f>IF(AF98=0,0,IF(AF98&gt;0,IF($J98=6,AF98,IF($J98=5,AF98,IF($J98=4,AF98,0)))))</f>
        <v>0</v>
      </c>
      <c r="AD98" s="395">
        <f>IF(AF98=0,0,IF(AF98&gt;0,IF($J98=9,AF98,IF($J98=8,AF98,IF($J98=7,AF98,0)))))</f>
        <v>0</v>
      </c>
      <c r="AE98" s="396">
        <f>IF(AF98=0,0,IF(AF98&gt;0,IF($J98=12,AF98,IF($J98=11,AF98,IF($J98=10,AF98,0)))))</f>
        <v>0</v>
      </c>
      <c r="AF98" s="397">
        <f>IF(AF$5=$H98,$E98,0)</f>
        <v>0</v>
      </c>
      <c r="AG98" s="394">
        <f>IF(AK98=0,0,IF(AK98&gt;0,IF($J98=3,AK98,IF($J98=2,AK98,IF($J98=1,AK98,0)))))</f>
        <v>0</v>
      </c>
      <c r="AH98" s="395">
        <f>IF(AK98=0,0,IF(AK98&gt;0,IF($J98=6,AK98,IF($J98=5,AK98,IF($J98=4,AK98,0)))))</f>
        <v>0</v>
      </c>
      <c r="AI98" s="395">
        <f>IF(AK98=0,0,IF(AK98&gt;0,IF($J98=9,AK98,IF($J98=8,AK98,IF($J98=7,AK98,0)))))</f>
        <v>0</v>
      </c>
      <c r="AJ98" s="396">
        <f>IF(AK98=0,0,IF(AK98&gt;0,IF($J98=12,AK98,IF($J98=11,AK98,IF($J98=10,AK98,0)))))</f>
        <v>0</v>
      </c>
      <c r="AK98" s="397">
        <f>IF(AK$5=$H98,$E98,0)</f>
        <v>0</v>
      </c>
      <c r="AL98" s="394">
        <f>IF(AP98=0,0,IF(AP98&gt;0,IF($J98=3,AP98,IF($J98=2,AP98,IF($J98=1,AP98,0)))))</f>
        <v>0</v>
      </c>
      <c r="AM98" s="395">
        <f>IF(AP98=0,0,IF(AP98&gt;0,IF($J98=6,AP98,IF($J98=5,AP98,IF($J98=4,AP98,0)))))</f>
        <v>0</v>
      </c>
      <c r="AN98" s="395">
        <f>IF(AP98=0,0,IF(AP98&gt;0,IF($J98=9,AP98,IF($J98=8,AP98,IF($J98=7,AP98,0)))))</f>
        <v>0</v>
      </c>
      <c r="AO98" s="396">
        <f>IF(AP98=0,0,IF(AP98&gt;0,IF($J98=12,AP98,IF($J98=11,AP98,IF($J98=10,AP98,0)))))</f>
        <v>0</v>
      </c>
      <c r="AP98" s="397">
        <f>IF(AP$5=$H98,$E98,0)</f>
        <v>0</v>
      </c>
      <c r="AQ98" s="394">
        <f>IF(AU98=0,0,IF(AU98&gt;0,IF($J98=3,AU98,IF($J98=2,AU98,IF($J98=1,AU98,0)))))</f>
        <v>0</v>
      </c>
      <c r="AR98" s="395">
        <f>IF(AU98=0,0,IF(AU98&gt;0,IF($J98=6,AU98,IF($J98=5,AU98,IF($J98=4,AU98,0)))))</f>
        <v>0</v>
      </c>
      <c r="AS98" s="395">
        <f>IF(AU98=0,0,IF(AU98&gt;0,IF($J98=9,AU98,IF($J98=8,AU98,IF($J98=7,AU98,0)))))</f>
        <v>0</v>
      </c>
      <c r="AT98" s="396">
        <f>IF(AU98=0,0,IF(AU98&gt;0,IF($J98=12,AU98,IF($J98=11,AU98,IF($J98=10,AU98,0)))))</f>
        <v>0</v>
      </c>
      <c r="AU98" s="397">
        <f>IF(AU$5=$H98,$E98,0)</f>
        <v>0</v>
      </c>
      <c r="AV98" s="394">
        <f>IF(AZ98=0,0,IF(AZ98&gt;0,IF($J98=3,AZ98,IF($J98=2,AZ98,IF($J98=1,AZ98,0)))))</f>
        <v>0</v>
      </c>
      <c r="AW98" s="395">
        <f>IF(AZ98=0,0,IF(AZ98&gt;0,IF($J98=6,AZ98,IF($J98=5,AZ98,IF($J98=4,AZ98,0)))))</f>
        <v>0</v>
      </c>
      <c r="AX98" s="395">
        <f>IF(AZ98=0,0,IF(AZ98&gt;0,IF($J98=9,AZ98,IF($J98=8,AZ98,IF($J98=7,AZ98,0)))))</f>
        <v>0</v>
      </c>
      <c r="AY98" s="396">
        <f>IF(AZ98=0,0,IF(AZ98&gt;0,IF($J98=12,AZ98,IF($J98=11,AZ98,IF($J98=10,AZ98,0)))))</f>
        <v>200</v>
      </c>
      <c r="AZ98" s="397">
        <f>IF(AZ$5=$H98,$E98,0)</f>
        <v>200</v>
      </c>
      <c r="BA98" s="394">
        <f>IF(BE98=0,0,IF(BE98&gt;0,IF($J98=3,BE98,IF($J98=2,BE98,IF($J98=1,BE98,0)))))</f>
        <v>0</v>
      </c>
      <c r="BB98" s="395">
        <f>IF(BE98=0,0,IF(BE98&gt;0,IF($J98=6,BE98,IF($J98=5,BE98,IF($J98=4,BE98,0)))))</f>
        <v>0</v>
      </c>
      <c r="BC98" s="395">
        <f>IF(BE98=0,0,IF(BE98&gt;0,IF($J98=9,BE98,IF($J98=8,BE98,IF($J98=7,BE98,0)))))</f>
        <v>0</v>
      </c>
      <c r="BD98" s="396">
        <f>IF(BE98=0,0,IF(BE98&gt;0,IF($J98=12,BE98,IF($J98=11,BE98,IF($J98=10,BE98,0)))))</f>
        <v>0</v>
      </c>
      <c r="BE98" s="397">
        <f>IF(BE$5=$H98,$E98,0)</f>
        <v>0</v>
      </c>
      <c r="BF98" s="394">
        <f>IF(BJ98=0,0,IF(BJ98&gt;0,IF($J98=3,BJ98,IF($J98=2,BJ98,IF($J98=1,BJ98,0)))))</f>
        <v>0</v>
      </c>
      <c r="BG98" s="395">
        <f>IF(BJ98=0,0,IF(BJ98&gt;0,IF($J98=6,BJ98,IF($J98=5,BJ98,IF($J98=4,BJ98,0)))))</f>
        <v>0</v>
      </c>
      <c r="BH98" s="395">
        <f>IF(BJ98=0,0,IF(BJ98&gt;0,IF($J98=9,BJ98,IF($J98=8,BJ98,IF($J98=7,BJ98,0)))))</f>
        <v>0</v>
      </c>
      <c r="BI98" s="396">
        <f>IF(BJ98=0,0,IF(BJ98&gt;0,IF($J98=12,BJ98,IF($J98=11,BJ98,IF($J98=10,BJ98,0)))))</f>
        <v>0</v>
      </c>
      <c r="BJ98" s="397">
        <f>IF(BJ$5=$H98,$E98,0)</f>
        <v>0</v>
      </c>
      <c r="BK98" s="394">
        <f>IF(BO98=0,0,IF(BO98&gt;0,IF($J98=3,BO98,IF($J98=2,BO98,IF($J98=1,BO98,0)))))</f>
        <v>0</v>
      </c>
      <c r="BL98" s="395">
        <f>IF(BO98=0,0,IF(BO98&gt;0,IF($J98=6,BO98,IF($J98=5,BO98,IF($J98=4,BO98,0)))))</f>
        <v>0</v>
      </c>
      <c r="BM98" s="395">
        <f>IF(BO98=0,0,IF(BO98&gt;0,IF($J98=9,BO98,IF($J98=8,BO98,IF($J98=7,BO98,0)))))</f>
        <v>0</v>
      </c>
      <c r="BN98" s="396">
        <f>IF(BO98=0,0,IF(BO98&gt;0,IF($J98=12,BO98,IF($J98=11,BO98,IF($J98=10,BO98,0)))))</f>
        <v>0</v>
      </c>
      <c r="BO98" s="397">
        <f>IF(BO$5=$H98,$E98,0)</f>
        <v>0</v>
      </c>
      <c r="BP98" s="445"/>
      <c r="BQ98" s="399">
        <f>IF(AND(BP98&lt;&gt;0,BP$5=$H98),$I98*$E98-BP98,IF(BQ$5=$H98,$I98*$E98*(12-$J98+1)/12,0))</f>
        <v>0</v>
      </c>
      <c r="BR98" s="400">
        <f>IF($H98&lt;&gt;BV$5,0,IF(BV98&gt;0,IF($J98=1,$E98*$I98/12*3,IF($J98=2,$E98*$I98/12*2,IF($J98=3,$E98*$I98/12*1,0)))))+IF(BQ$5&lt;&gt;$H98,0,IF(BQ98&gt;0,IF($J98=1,$E98*$I98/12*0,IF($J98=2,$E98*$I98/12*1,IF($J98=3,$E98*$I98/12*2,IF($J98&gt;=4,$E98*$I98/12*3,0))))))</f>
        <v>0</v>
      </c>
      <c r="BS98" s="401">
        <f>IF($H98&lt;&gt;BV$5,0,IF(BV98&gt;0,IF(OR($J98=1,$J98=2,$J98=3,$J98=4),$E98*$I98/12*3,IF($J98=5,$E98*$I98/12*2,IF($J98=6,$E98*$I98/12*1,0)))))+IF(BQ$5&lt;&gt;$H98,0,IF(BQ98&gt;0,IF($J98=4,$E98*$I98/12*0,IF($J98=5,$E98*$I98/12*1,IF($J98=6,$E98*$I98/12*2,IF($J98&gt;=7,$E98*$I98/12*3,0))))))</f>
        <v>0</v>
      </c>
      <c r="BT98" s="401">
        <f>IF($H98&lt;&gt;BV$5,0,IF(BV98&gt;0,IF(OR($J98=1,$J98=2,$J98=3,$J98=4,$J98=5,$J98=6,$J98=7),$E98*$I98/12*3,IF($J98=8,$E98*$I98/12*2,IF($J98=9,$E98*$I98/12*1,0)))))+IF(BQ$5&lt;&gt;$H98,0,IF(BQ98&gt;0,IF($J98=7,$E98*$I98/12*0,IF($J98=8,$E98*$I98/12*1,IF($J98=9,$E98*$I98/12*2,IF($J98&gt;=10,$E98*$I98/12*3,0))))))</f>
        <v>0</v>
      </c>
      <c r="BU98" s="402">
        <f>IF($H98&lt;&gt;BV$5,0,IF(BV98&gt;0,IF(OR($J98=1,$J98=2,$J98=3,$J98=4,$J98=5,$J98=6,$J98=7,$J98=8,$J98=9,$J98=10),$E98*$I98/12*3,IF($J98=11,$E98*$I98/12*2,IF($J98=12,$E98*$I98/12*1,0)))))+IF(BQ$5&lt;&gt;$H98,0,IF(BQ98&gt;0,IF($J98=10,$E98*$I98/12*0,IF($J98=11,$E98*$I98/12*1,IF($J98=12,$E98*$I98/12*2,0)))))</f>
        <v>0</v>
      </c>
      <c r="BV98" s="403">
        <f>IF(AND(BQ98&lt;&gt;0,BQ$5=$H98),$I98*$E98-BQ98,IF(BV$5=$H98,$I98*$E98*(12-$J98+1)/12,0))</f>
        <v>0</v>
      </c>
      <c r="BW98" s="400">
        <f>IF($H98&lt;&gt;CA$5,0,IF(CA98&gt;0,IF($J98=1,$E98*$I98/12*3,IF($J98=2,$E98*$I98/12*2,IF($J98=3,$E98*$I98/12*1,0)))))+IF(BV$5&lt;&gt;$H98,0,IF(BV98&gt;0,IF($J98=1,$E98*$I98/12*0,IF($J98=2,$E98*$I98/12*1,IF($J98=3,$E98*$I98/12*2,IF($J98&gt;=4,$E98*$I98/12*3,0))))))</f>
        <v>0</v>
      </c>
      <c r="BX98" s="401">
        <f>IF($H98&lt;&gt;CA$5,0,IF(CA98&gt;0,IF(OR($J98=1,$J98=2,$J98=3,$J98=4),$E98*$I98/12*3,IF($J98=5,$E98*$I98/12*2,IF($J98=6,$E98*$I98/12*1,0)))))+IF(BV$5&lt;&gt;$H98,0,IF(BV98&gt;0,IF($J98=4,$E98*$I98/12*0,IF($J98=5,$E98*$I98/12*1,IF($J98=6,$E98*$I98/12*2,IF($J98&gt;=7,$E98*$I98/12*3,0))))))</f>
        <v>0</v>
      </c>
      <c r="BY98" s="401">
        <f>IF($H98&lt;&gt;CA$5,0,IF(CA98&gt;0,IF(OR($J98=1,$J98=2,$J98=3,$J98=4,$J98=5,$J98=6,$J98=7),$E98*$I98/12*3,IF($J98=8,$E98*$I98/12*2,IF($J98=9,$E98*$I98/12*1,0)))))+IF(BV$5&lt;&gt;$H98,0,IF(BV98&gt;0,IF($J98=7,$E98*$I98/12*0,IF($J98=8,$E98*$I98/12*1,IF($J98=9,$E98*$I98/12*2,IF($J98&gt;=10,$E98*$I98/12*3,0))))))</f>
        <v>0</v>
      </c>
      <c r="BZ98" s="402">
        <f>IF($H98&lt;&gt;CA$5,0,IF(CA98&gt;0,IF(OR($J98=1,$J98=2,$J98=3,$J98=4,$J98=5,$J98=6,$J98=7,$J98=8,$J98=9,$J98=10),$E98*$I98/12*3,IF($J98=11,$E98*$I98/12*2,IF($J98=12,$E98*$I98/12*1,0)))))+IF(BV$5&lt;&gt;$H98,0,IF(BV98&gt;0,IF($J98=10,$E98*$I98/12*0,IF($J98=11,$E98*$I98/12*1,IF($J98=12,$E98*$I98/12*2,0)))))</f>
        <v>0</v>
      </c>
      <c r="CA98" s="403">
        <f>IF(AND(BV98&lt;&gt;0,BV$5=$H98),$I98*$E98-BV98,IF(CA$5=$H98,$I98*$E98*(12-$J98+1)/12,0))</f>
        <v>0</v>
      </c>
      <c r="CB98" s="400">
        <f>IF($H98&lt;&gt;CF$5,0,IF(CF98&gt;0,IF($J98=1,$E98*$I98/12*3,IF($J98=2,$E98*$I98/12*2,IF($J98=3,$E98*$I98/12*1,0)))))+IF(CA$5&lt;&gt;$H98,0,IF(CA98&gt;0,IF($J98=1,$E98*$I98/12*0,IF($J98=2,$E98*$I98/12*1,IF($J98=3,$E98*$I98/12*2,IF($J98&gt;=4,$E98*$I98/12*3,0))))))</f>
        <v>0</v>
      </c>
      <c r="CC98" s="401">
        <f>IF($H98&lt;&gt;CF$5,0,IF(CF98&gt;0,IF(OR($J98=1,$J98=2,$J98=3,$J98=4),$E98*$I98/12*3,IF($J98=5,$E98*$I98/12*2,IF($J98=6,$E98*$I98/12*1,0)))))+IF(CA$5&lt;&gt;$H98,0,IF(CA98&gt;0,IF($J98=4,$E98*$I98/12*0,IF($J98=5,$E98*$I98/12*1,IF($J98=6,$E98*$I98/12*2,IF($J98&gt;=7,$E98*$I98/12*3,0))))))</f>
        <v>0</v>
      </c>
      <c r="CD98" s="401">
        <f>IF($H98&lt;&gt;CF$5,0,IF(CF98&gt;0,IF(OR($J98=1,$J98=2,$J98=3,$J98=4,$J98=5,$J98=6,$J98=7),$E98*$I98/12*3,IF($J98=8,$E98*$I98/12*2,IF($J98=9,$E98*$I98/12*1,0)))))+IF(CA$5&lt;&gt;$H98,0,IF(CA98&gt;0,IF($J98=7,$E98*$I98/12*0,IF($J98=8,$E98*$I98/12*1,IF($J98=9,$E98*$I98/12*2,IF($J98&gt;=10,$E98*$I98/12*3,0))))))</f>
        <v>0</v>
      </c>
      <c r="CE98" s="402">
        <f>IF($H98&lt;&gt;CF$5,0,IF(CF98&gt;0,IF(OR($J98=1,$J98=2,$J98=3,$J98=4,$J98=5,$J98=6,$J98=7,$J98=8,$J98=9,$J98=10),$E98*$I98/12*3,IF($J98=11,$E98*$I98/12*2,IF($J98=12,$E98*$I98/12*1,0)))))+IF(CA$5&lt;&gt;$H98,0,IF(CA98&gt;0,IF($J98=10,$E98*$I98/12*0,IF($J98=11,$E98*$I98/12*1,IF($J98=12,$E98*$I98/12*2,0)))))</f>
        <v>0</v>
      </c>
      <c r="CF98" s="403">
        <f>IF(AND(CA98&lt;&gt;0,CA$5=$H98),$I98*$E98-CA98,IF(CF$5=$H98,$I98*$E98*(12-$J98+1)/12,0))</f>
        <v>0</v>
      </c>
      <c r="CG98" s="400">
        <f>IF($H98&lt;&gt;CK$5,0,IF(CK98&gt;0,IF($J98=1,$E98*$I98/12*3,IF($J98=2,$E98*$I98/12*2,IF($J98=3,$E98*$I98/12*1,0)))))+IF(CF$5&lt;&gt;$H98,0,IF(CF98&gt;0,IF($J98=1,$E98*$I98/12*0,IF($J98=2,$E98*$I98/12*1,IF($J98=3,$E98*$I98/12*2,IF($J98&gt;=4,$E98*$I98/12*3,0))))))</f>
        <v>0</v>
      </c>
      <c r="CH98" s="401">
        <f>IF($H98&lt;&gt;CK$5,0,IF(CK98&gt;0,IF(OR($J98=1,$J98=2,$J98=3,$J98=4),$E98*$I98/12*3,IF($J98=5,$E98*$I98/12*2,IF($J98=6,$E98*$I98/12*1,0)))))+IF(CF$5&lt;&gt;$H98,0,IF(CF98&gt;0,IF($J98=4,$E98*$I98/12*0,IF($J98=5,$E98*$I98/12*1,IF($J98=6,$E98*$I98/12*2,IF($J98&gt;=7,$E98*$I98/12*3,0))))))</f>
        <v>0</v>
      </c>
      <c r="CI98" s="401">
        <f>IF($H98&lt;&gt;CK$5,0,IF(CK98&gt;0,IF(OR($J98=1,$J98=2,$J98=3,$J98=4,$J98=5,$J98=6,$J98=7),$E98*$I98/12*3,IF($J98=8,$E98*$I98/12*2,IF($J98=9,$E98*$I98/12*1,0)))))+IF(CF$5&lt;&gt;$H98,0,IF(CF98&gt;0,IF($J98=7,$E98*$I98/12*0,IF($J98=8,$E98*$I98/12*1,IF($J98=9,$E98*$I98/12*2,IF($J98&gt;=10,$E98*$I98/12*3,0))))))</f>
        <v>0</v>
      </c>
      <c r="CJ98" s="402">
        <f>IF($H98&lt;&gt;CK$5,0,IF(CK98&gt;0,IF(OR($J98=1,$J98=2,$J98=3,$J98=4,$J98=5,$J98=6,$J98=7,$J98=8,$J98=9,$J98=10),$E98*$I98/12*3,IF($J98=11,$E98*$I98/12*2,IF($J98=12,$E98*$I98/12*1,0)))))+IF(CF$5&lt;&gt;$H98,0,IF(CF98&gt;0,IF($J98=10,$E98*$I98/12*0,IF($J98=11,$E98*$I98/12*1,IF($J98=12,$E98*$I98/12*2,0)))))</f>
        <v>0</v>
      </c>
      <c r="CK98" s="403">
        <f>IF(AND(CF98&lt;&gt;0,CF$5=$H98),$I98*$E98-CF98,IF(CK$5=$H98,$I98*$E98*(12-$J98+1)/12,0))</f>
        <v>0</v>
      </c>
      <c r="CL98" s="400">
        <f>IF($H98&lt;&gt;CP$5,0,IF(CP98&gt;0,IF($J98=1,$E98*$I98/12*3,IF($J98=2,$E98*$I98/12*2,IF($J98=3,$E98*$I98/12*1,0)))))+IF(CK$5&lt;&gt;$H98,0,IF(CK98&gt;0,IF($J98=1,$E98*$I98/12*0,IF($J98=2,$E98*$I98/12*1,IF($J98=3,$E98*$I98/12*2,IF($J98&gt;=4,$E98*$I98/12*3,0))))))</f>
        <v>0</v>
      </c>
      <c r="CM98" s="401">
        <f>IF($H98&lt;&gt;CP$5,0,IF(CP98&gt;0,IF(OR($J98=1,$J98=2,$J98=3,$J98=4),$E98*$I98/12*3,IF($J98=5,$E98*$I98/12*2,IF($J98=6,$E98*$I98/12*1,0)))))+IF(CK$5&lt;&gt;$H98,0,IF(CK98&gt;0,IF($J98=4,$E98*$I98/12*0,IF($J98=5,$E98*$I98/12*1,IF($J98=6,$E98*$I98/12*2,IF($J98&gt;=7,$E98*$I98/12*3,0))))))</f>
        <v>0</v>
      </c>
      <c r="CN98" s="401">
        <f>IF($H98&lt;&gt;CP$5,0,IF(CP98&gt;0,IF(OR($J98=1,$J98=2,$J98=3,$J98=4,$J98=5,$J98=6,$J98=7),$E98*$I98/12*3,IF($J98=8,$E98*$I98/12*2,IF($J98=9,$E98*$I98/12*1,0)))))+IF(CK$5&lt;&gt;$H98,0,IF(CK98&gt;0,IF($J98=7,$E98*$I98/12*0,IF($J98=8,$E98*$I98/12*1,IF($J98=9,$E98*$I98/12*2,IF($J98&gt;=10,$E98*$I98/12*3,0))))))</f>
        <v>0</v>
      </c>
      <c r="CO98" s="402">
        <f>IF($H98&lt;&gt;CP$5,0,IF(CP98&gt;0,IF(OR($J98=1,$J98=2,$J98=3,$J98=4,$J98=5,$J98=6,$J98=7,$J98=8,$J98=9,$J98=10),$E98*$I98/12*3,IF($J98=11,$E98*$I98/12*2,IF($J98=12,$E98*$I98/12*1,0)))))+IF(CK$5&lt;&gt;$H98,0,IF(CK98&gt;0,IF($J98=10,$E98*$I98/12*0,IF($J98=11,$E98*$I98/12*1,IF($J98=12,$E98*$I98/12*2,0)))))</f>
        <v>0</v>
      </c>
      <c r="CP98" s="403">
        <f>IF(AND(CK98&lt;&gt;0,CK$5=$H98),$I98*$E98-CK98,IF(CP$5=$H98,$I98*$E98*(12-$J98+1)/12,0))</f>
        <v>0</v>
      </c>
      <c r="CQ98" s="400">
        <f>IF($H98&lt;&gt;CU$5,0,IF(CU98&gt;0,IF($J98=1,$E98*$I98/12*3,IF($J98=2,$E98*$I98/12*2,IF($J98=3,$E98*$I98/12*1,0)))))+IF(CP$5&lt;&gt;$H98,0,IF(CP98&gt;0,IF($J98=1,$E98*$I98/12*0,IF($J98=2,$E98*$I98/12*1,IF($J98=3,$E98*$I98/12*2,IF($J98&gt;=4,$E98*$I98/12*3,0))))))</f>
        <v>0</v>
      </c>
      <c r="CR98" s="401">
        <f>IF($H98&lt;&gt;CU$5,0,IF(CU98&gt;0,IF(OR($J98=1,$J98=2,$J98=3,$J98=4),$E98*$I98/12*3,IF($J98=5,$E98*$I98/12*2,IF($J98=6,$E98*$I98/12*1,0)))))+IF(CP$5&lt;&gt;$H98,0,IF(CP98&gt;0,IF($J98=4,$E98*$I98/12*0,IF($J98=5,$E98*$I98/12*1,IF($J98=6,$E98*$I98/12*2,IF($J98&gt;=7,$E98*$I98/12*3,0))))))</f>
        <v>0</v>
      </c>
      <c r="CS98" s="401">
        <f>IF($H98&lt;&gt;CU$5,0,IF(CU98&gt;0,IF(OR($J98=1,$J98=2,$J98=3,$J98=4,$J98=5,$J98=6,$J98=7),$E98*$I98/12*3,IF($J98=8,$E98*$I98/12*2,IF($J98=9,$E98*$I98/12*1,0)))))+IF(CP$5&lt;&gt;$H98,0,IF(CP98&gt;0,IF($J98=7,$E98*$I98/12*0,IF($J98=8,$E98*$I98/12*1,IF($J98=9,$E98*$I98/12*2,IF($J98&gt;=10,$E98*$I98/12*3,0))))))</f>
        <v>0</v>
      </c>
      <c r="CT98" s="402">
        <f>IF($H98&lt;&gt;CU$5,0,IF(CU98&gt;0,IF(OR($J98=1,$J98=2,$J98=3,$J98=4,$J98=5,$J98=6,$J98=7,$J98=8,$J98=9,$J98=10),$E98*$I98/12*3,IF($J98=11,$E98*$I98/12*2,IF($J98=12,$E98*$I98/12*1,0)))))+IF(CP$5&lt;&gt;$H98,0,IF(CP98&gt;0,IF($J98=10,$E98*$I98/12*0,IF($J98=11,$E98*$I98/12*1,IF($J98=12,$E98*$I98/12*2,0)))))</f>
        <v>0</v>
      </c>
      <c r="CU98" s="403">
        <f>IF(AND(CP98&lt;&gt;0,CP$5=$H98),$I98*$E98-CP98,IF(CU$5=$H98,$I98*$E98*(12-$J98+1)/12,0))</f>
        <v>0</v>
      </c>
      <c r="CV98" s="400">
        <f>IF($H98&lt;&gt;CZ$5,0,IF(CZ98&gt;0,IF($J98=1,$E98*$I98/12*3,IF($J98=2,$E98*$I98/12*2,IF($J98=3,$E98*$I98/12*1,0)))))+IF(CU$5&lt;&gt;$H98,0,IF(CU98&gt;0,IF($J98=1,$E98*$I98/12*0,IF($J98=2,$E98*$I98/12*1,IF($J98=3,$E98*$I98/12*2,IF($J98&gt;=4,$E98*$I98/12*3,0))))))</f>
        <v>0</v>
      </c>
      <c r="CW98" s="401">
        <f>IF($H98&lt;&gt;CZ$5,0,IF(CZ98&gt;0,IF(OR($J98=1,$J98=2,$J98=3,$J98=4),$E98*$I98/12*3,IF($J98=5,$E98*$I98/12*2,IF($J98=6,$E98*$I98/12*1,0)))))+IF(CU$5&lt;&gt;$H98,0,IF(CU98&gt;0,IF($J98=4,$E98*$I98/12*0,IF($J98=5,$E98*$I98/12*1,IF($J98=6,$E98*$I98/12*2,IF($J98&gt;=7,$E98*$I98/12*3,0))))))</f>
        <v>0</v>
      </c>
      <c r="CX98" s="401">
        <f>IF($H98&lt;&gt;CZ$5,0,IF(CZ98&gt;0,IF(OR($J98=1,$J98=2,$J98=3,$J98=4,$J98=5,$J98=6,$J98=7),$E98*$I98/12*3,IF($J98=8,$E98*$I98/12*2,IF($J98=9,$E98*$I98/12*1,0)))))+IF(CU$5&lt;&gt;$H98,0,IF(CU98&gt;0,IF($J98=7,$E98*$I98/12*0,IF($J98=8,$E98*$I98/12*1,IF($J98=9,$E98*$I98/12*2,IF($J98&gt;=10,$E98*$I98/12*3,0))))))</f>
        <v>0</v>
      </c>
      <c r="CY98" s="402">
        <f>IF($H98&lt;&gt;CZ$5,0,IF(CZ98&gt;0,IF(OR($J98=1,$J98=2,$J98=3,$J98=4,$J98=5,$J98=6,$J98=7,$J98=8,$J98=9,$J98=10),$E98*$I98/12*3,IF($J98=11,$E98*$I98/12*2,IF($J98=12,$E98*$I98/12*1,0)))))+IF(CU$5&lt;&gt;$H98,0,IF(CU98&gt;0,IF($J98=10,$E98*$I98/12*0,IF($J98=11,$E98*$I98/12*1,IF($J98=12,$E98*$I98/12*2,0)))))</f>
        <v>0</v>
      </c>
      <c r="CZ98" s="403">
        <f>IF(AND(CU98&lt;&gt;0,CU$5=$H98),$I98*$E98-CU98,IF(CZ$5=$H98,$I98*$E98*(12-$J98+1)/12,0))</f>
        <v>0</v>
      </c>
      <c r="DA98" s="400">
        <f>IF($H98&lt;&gt;DE$5,0,IF(DE98&gt;0,IF($J98=1,$E98*$I98/12*3,IF($J98=2,$E98*$I98/12*2,IF($J98=3,$E98*$I98/12*1,0)))))+IF(CZ$5&lt;&gt;$H98,0,IF(CZ98&gt;0,IF($J98=1,$E98*$I98/12*0,IF($J98=2,$E98*$I98/12*1,IF($J98=3,$E98*$I98/12*2,IF($J98&gt;=4,$E98*$I98/12*3,0))))))</f>
        <v>0</v>
      </c>
      <c r="DB98" s="401">
        <f>IF($H98&lt;&gt;DE$5,0,IF(DE98&gt;0,IF(OR($J98=1,$J98=2,$J98=3,$J98=4),$E98*$I98/12*3,IF($J98=5,$E98*$I98/12*2,IF($J98=6,$E98*$I98/12*1,0)))))+IF(CZ$5&lt;&gt;$H98,0,IF(CZ98&gt;0,IF($J98=4,$E98*$I98/12*0,IF($J98=5,$E98*$I98/12*1,IF($J98=6,$E98*$I98/12*2,IF($J98&gt;=7,$E98*$I98/12*3,0))))))</f>
        <v>0</v>
      </c>
      <c r="DC98" s="401">
        <f>IF($H98&lt;&gt;DE$5,0,IF(DE98&gt;0,IF(OR($J98=1,$J98=2,$J98=3,$J98=4,$J98=5,$J98=6,$J98=7),$E98*$I98/12*3,IF($J98=8,$E98*$I98/12*2,IF($J98=9,$E98*$I98/12*1,0)))))+IF(CZ$5&lt;&gt;$H98,0,IF(CZ98&gt;0,IF($J98=7,$E98*$I98/12*0,IF($J98=8,$E98*$I98/12*1,IF($J98=9,$E98*$I98/12*2,IF($J98&gt;=10,$E98*$I98/12*3,0))))))</f>
        <v>0</v>
      </c>
      <c r="DD98" s="402">
        <f>IF($H98&lt;&gt;DE$5,0,IF(DE98&gt;0,IF(OR($J98=1,$J98=2,$J98=3,$J98=4,$J98=5,$J98=6,$J98=7,$J98=8,$J98=9,$J98=10),$E98*$I98/12*3,IF($J98=11,$E98*$I98/12*2,IF($J98=12,$E98*$I98/12*1,0)))))+IF(CZ$5&lt;&gt;$H98,0,IF(CZ98&gt;0,IF($J98=10,$E98*$I98/12*0,IF($J98=11,$E98*$I98/12*1,IF($J98=12,$E98*$I98/12*2,0)))))</f>
        <v>2</v>
      </c>
      <c r="DE98" s="403">
        <f>IF(AND(CZ98&lt;&gt;0,CZ$5=$H98),$I98*$E98-CZ98,IF(DE$5=$H98,$I98*$E98*(12-$J98+1)/12,0))</f>
        <v>2</v>
      </c>
      <c r="DF98" s="400">
        <f>IF($H98&lt;&gt;DJ$5,0,IF(DJ98&gt;0,IF($J98=1,$E98*$I98/12*3,IF($J98=2,$E98*$I98/12*2,IF($J98=3,$E98*$I98/12*1,0)))))+IF(DE$5&lt;&gt;$H98,0,IF(DE98&gt;0,IF($J98=1,$E98*$I98/12*0,IF($J98=2,$E98*$I98/12*1,IF($J98=3,$E98*$I98/12*2,IF($J98&gt;=4,$E98*$I98/12*3,0))))))</f>
        <v>2</v>
      </c>
      <c r="DG98" s="401">
        <f>IF($H98&lt;&gt;DJ$5,0,IF(DJ98&gt;0,IF(OR($J98=1,$J98=2,$J98=3,$J98=4),$E98*$I98/12*3,IF($J98=5,$E98*$I98/12*2,IF($J98=6,$E98*$I98/12*1,0)))))+IF(DE$5&lt;&gt;$H98,0,IF(DE98&gt;0,IF($J98=4,$E98*$I98/12*0,IF($J98=5,$E98*$I98/12*1,IF($J98=6,$E98*$I98/12*2,IF($J98&gt;=7,$E98*$I98/12*3,0))))))</f>
        <v>2</v>
      </c>
      <c r="DH98" s="401">
        <f>IF($H98&lt;&gt;DJ$5,0,IF(DJ98&gt;0,IF(OR($J98=1,$J98=2,$J98=3,$J98=4,$J98=5,$J98=6,$J98=7),$E98*$I98/12*3,IF($J98=8,$E98*$I98/12*2,IF($J98=9,$E98*$I98/12*1,0)))))+IF(DE$5&lt;&gt;$H98,0,IF(DE98&gt;0,IF($J98=7,$E98*$I98/12*0,IF($J98=8,$E98*$I98/12*1,IF($J98=9,$E98*$I98/12*2,IF($J98&gt;=10,$E98*$I98/12*3,0))))))</f>
        <v>2</v>
      </c>
      <c r="DI98" s="402">
        <f>IF($H98&lt;&gt;DJ$5,0,IF(DJ98&gt;0,IF(OR($J98=1,$J98=2,$J98=3,$J98=4,$J98=5,$J98=6,$J98=7,$J98=8,$J98=9,$J98=10),$E98*$I98/12*3,IF($J98=11,$E98*$I98/12*2,IF($J98=12,$E98*$I98/12*1,0)))))+IF(DE$5&lt;&gt;$H98,0,IF(DE98&gt;0,IF($J98=10,$E98*$I98/12*0,IF($J98=11,$E98*$I98/12*1,IF($J98=12,$E98*$I98/12*2,0)))))</f>
        <v>0</v>
      </c>
      <c r="DJ98" s="403">
        <f>IF(AND(DE98&lt;&gt;0,DE$5=$H98),$I98*$E98-DE98,IF(DJ$5=$H98,$I98*$E98*(12-$J98+1)/12,0))</f>
        <v>6</v>
      </c>
      <c r="DK98" s="400">
        <f>IF($H98&lt;&gt;DO$5,0,IF(DO98&gt;0,IF($J98=1,$E98*$I98/12*3,IF($J98=2,$E98*$I98/12*2,IF($J98=3,$E98*$I98/12*1,0)))))+IF(DJ$5&lt;&gt;$H98,0,IF(DJ98&gt;0,IF($J98=1,$E98*$I98/12*0,IF($J98=2,$E98*$I98/12*1,IF($J98=3,$E98*$I98/12*2,IF($J98&gt;=4,$E98*$I98/12*3,0))))))</f>
        <v>0</v>
      </c>
      <c r="DL98" s="401">
        <f>IF($H98&lt;&gt;DO$5,0,IF(DO98&gt;0,IF(OR($J98=1,$J98=2,$J98=3,$J98=4),$E98*$I98/12*3,IF($J98=5,$E98*$I98/12*2,IF($J98=6,$E98*$I98/12*1,0)))))+IF(DJ$5&lt;&gt;$H98,0,IF(DJ98&gt;0,IF($J98=4,$E98*$I98/12*0,IF($J98=5,$E98*$I98/12*1,IF($J98=6,$E98*$I98/12*2,IF($J98&gt;=7,$E98*$I98/12*3,0))))))</f>
        <v>0</v>
      </c>
      <c r="DM98" s="401">
        <f>IF($H98&lt;&gt;DO$5,0,IF(DO98&gt;0,IF(OR($J98=1,$J98=2,$J98=3,$J98=4,$J98=5,$J98=6,$J98=7),$E98*$I98/12*3,IF($J98=8,$E98*$I98/12*2,IF($J98=9,$E98*$I98/12*1,0)))))+IF(DJ$5&lt;&gt;$H98,0,IF(DJ98&gt;0,IF($J98=7,$E98*$I98/12*0,IF($J98=8,$E98*$I98/12*1,IF($J98=9,$E98*$I98/12*2,IF($J98&gt;=10,$E98*$I98/12*3,0))))))</f>
        <v>0</v>
      </c>
      <c r="DN98" s="402">
        <f>IF($H98&lt;&gt;DO$5,0,IF(DO98&gt;0,IF(OR($J98=1,$J98=2,$J98=3,$J98=4,$J98=5,$J98=6,$J98=7,$J98=8,$J98=9,$J98=10),$E98*$I98/12*3,IF($J98=11,$E98*$I98/12*2,IF($J98=12,$E98*$I98/12*1,0)))))+IF(DJ$5&lt;&gt;$H98,0,IF(DJ98&gt;0,IF($J98=10,$E98*$I98/12*0,IF($J98=11,$E98*$I98/12*1,IF($J98=12,$E98*$I98/12*2,0)))))</f>
        <v>0</v>
      </c>
      <c r="DO98" s="403">
        <f>IF(AND(DJ98&lt;&gt;0,DJ$5=$H98),$I98*$E98-DJ98,IF(DO$5=$H98,$I98*$E98*(12-$J98+1)/12,0))</f>
        <v>0</v>
      </c>
      <c r="DP98" s="400">
        <f>IF($H98&lt;&gt;DT$5,0,IF(DT98&gt;0,IF($J98=1,$E98*$I98/12*3,IF($J98=2,$E98*$I98/12*2,IF($J98=3,$E98*$I98/12*1,0)))))+IF(DO$5&lt;&gt;$H98,0,IF(DO98&gt;0,IF($J98=1,$E98*$I98/12*0,IF($J98=2,$E98*$I98/12*1,IF($J98=3,$E98*$I98/12*2,IF($J98&gt;=4,$E98*$I98/12*3,0))))))</f>
        <v>0</v>
      </c>
      <c r="DQ98" s="401">
        <f>IF($H98&lt;&gt;DT$5,0,IF(DT98&gt;0,IF(OR($J98=1,$J98=2,$J98=3,$J98=4),$E98*$I98/12*3,IF($J98=5,$E98*$I98/12*2,IF($J98=6,$E98*$I98/12*1,0)))))+IF(DO$5&lt;&gt;$H98,0,IF(DO98&gt;0,IF($J98=4,$E98*$I98/12*0,IF($J98=5,$E98*$I98/12*1,IF($J98=6,$E98*$I98/12*2,IF($J98&gt;=7,$E98*$I98/12*3,0))))))</f>
        <v>0</v>
      </c>
      <c r="DR98" s="401">
        <f>IF($H98&lt;&gt;DT$5,0,IF(DT98&gt;0,IF(OR($J98=1,$J98=2,$J98=3,$J98=4,$J98=5,$J98=6,$J98=7),$E98*$I98/12*3,IF($J98=8,$E98*$I98/12*2,IF($J98=9,$E98*$I98/12*1,0)))))+IF(DO$5&lt;&gt;$H98,0,IF(DO98&gt;0,IF($J98=7,$E98*$I98/12*0,IF($J98=8,$E98*$I98/12*1,IF($J98=9,$E98*$I98/12*2,IF($J98&gt;=10,$E98*$I98/12*3,0))))))</f>
        <v>0</v>
      </c>
      <c r="DS98" s="402">
        <f>IF($H98&lt;&gt;DT$5,0,IF(DT98&gt;0,IF(OR($J98=1,$J98=2,$J98=3,$J98=4,$J98=5,$J98=6,$J98=7,$J98=8,$J98=9,$J98=10),$E98*$I98/12*3,IF($J98=11,$E98*$I98/12*2,IF($J98=12,$E98*$I98/12*1,0)))))+IF(DO$5&lt;&gt;$H98,0,IF(DO98&gt;0,IF($J98=10,$E98*$I98/12*0,IF($J98=11,$E98*$I98/12*1,IF($J98=12,$E98*$I98/12*2,0)))))</f>
        <v>0</v>
      </c>
      <c r="DT98" s="403">
        <f>IF(AND(DO98&lt;&gt;0,DO$5=$H98),$I98*$E98-DO98,IF(DT$5=$H98,$I98*$E98*(12-$J98+1)/12,0))</f>
        <v>0</v>
      </c>
    </row>
    <row r="99" spans="1:139" ht="12.75" customHeight="1" x14ac:dyDescent="0.2">
      <c r="C99" s="847" t="s">
        <v>560</v>
      </c>
      <c r="D99" s="52"/>
      <c r="E99" s="530">
        <f>+'NSP-WI'!BG182</f>
        <v>50</v>
      </c>
      <c r="F99" s="537"/>
      <c r="G99" s="537"/>
      <c r="H99" s="468">
        <v>2019</v>
      </c>
      <c r="I99" s="469">
        <v>4.4999999999999998E-2</v>
      </c>
      <c r="J99" s="470">
        <v>7</v>
      </c>
      <c r="K99" s="392"/>
      <c r="L99" s="393">
        <f>IF(L$5=$H99,$E99,0)</f>
        <v>0</v>
      </c>
      <c r="M99" s="394">
        <f>IF(Q99=0,0,IF(Q99&gt;0,IF($J99=3,Q99,IF($J99=2,Q99,IF($J99=1,Q99,0)))))</f>
        <v>0</v>
      </c>
      <c r="N99" s="395">
        <f>IF(Q99=0,0,IF(Q99&gt;0,IF($J99=6,Q99,IF($J99=5,Q99,IF($J99=4,Q99,0)))))</f>
        <v>0</v>
      </c>
      <c r="O99" s="395">
        <f>IF(Q99=0,0,IF(Q99&gt;0,IF($J99=9,Q99,IF($J99=8,Q99,IF($J99=7,Q99,0)))))</f>
        <v>0</v>
      </c>
      <c r="P99" s="396">
        <f>IF(Q99=0,0,IF(Q99&gt;0,IF($J99=12,Q99,IF($J99=11,Q99,IF($J99=10,Q99,0)))))</f>
        <v>0</v>
      </c>
      <c r="Q99" s="397">
        <f>IF(Q$5=$H99,$E99,0)</f>
        <v>0</v>
      </c>
      <c r="R99" s="394">
        <f>IF(V99=0,0,IF(V99&gt;0,IF($J99=3,V99,IF($J99=2,V99,IF($J99=1,V99,0)))))</f>
        <v>0</v>
      </c>
      <c r="S99" s="395">
        <f>IF(V99=0,0,IF(V99&gt;0,IF($J99=6,V99,IF($J99=5,V99,IF($J99=4,V99,0)))))</f>
        <v>0</v>
      </c>
      <c r="T99" s="395">
        <f>IF(V99=0,0,IF(V99&gt;0,IF($J99=9,V99,IF($J99=8,V99,IF($J99=7,V99,0)))))</f>
        <v>0</v>
      </c>
      <c r="U99" s="396">
        <f>IF(V99=0,0,IF(V99&gt;0,IF($J99=12,V99,IF($J99=11,V99,IF($J99=10,V99,0)))))</f>
        <v>0</v>
      </c>
      <c r="V99" s="397">
        <f>IF(V$5=$H99,$E99,0)</f>
        <v>0</v>
      </c>
      <c r="W99" s="394">
        <f>IF(AA99=0,0,IF(AA99&gt;0,IF($J99=3,AA99,IF($J99=2,AA99,IF($J99=1,AA99,0)))))</f>
        <v>0</v>
      </c>
      <c r="X99" s="395">
        <f>IF(AA99=0,0,IF(AA99&gt;0,IF($J99=6,AA99,IF($J99=5,AA99,IF($J99=4,AA99,0)))))</f>
        <v>0</v>
      </c>
      <c r="Y99" s="395">
        <f>IF(AA99=0,0,IF(AA99&gt;0,IF($J99=9,AA99,IF($J99=8,AA99,IF($J99=7,AA99,0)))))</f>
        <v>0</v>
      </c>
      <c r="Z99" s="396">
        <f>IF(AA99=0,0,IF(AA99&gt;0,IF($J99=12,AA99,IF($J99=11,AA99,IF($J99=10,AA99,0)))))</f>
        <v>0</v>
      </c>
      <c r="AA99" s="397">
        <f>IF(AA$5=$H99,$E99,0)</f>
        <v>0</v>
      </c>
      <c r="AB99" s="394">
        <f>IF(AF99=0,0,IF(AF99&gt;0,IF($J99=3,AF99,IF($J99=2,AF99,IF($J99=1,AF99,0)))))</f>
        <v>0</v>
      </c>
      <c r="AC99" s="395">
        <f>IF(AF99=0,0,IF(AF99&gt;0,IF($J99=6,AF99,IF($J99=5,AF99,IF($J99=4,AF99,0)))))</f>
        <v>0</v>
      </c>
      <c r="AD99" s="395">
        <f>IF(AF99=0,0,IF(AF99&gt;0,IF($J99=9,AF99,IF($J99=8,AF99,IF($J99=7,AF99,0)))))</f>
        <v>0</v>
      </c>
      <c r="AE99" s="396">
        <f>IF(AF99=0,0,IF(AF99&gt;0,IF($J99=12,AF99,IF($J99=11,AF99,IF($J99=10,AF99,0)))))</f>
        <v>0</v>
      </c>
      <c r="AF99" s="397">
        <f>IF(AF$5=$H99,$E99,0)</f>
        <v>0</v>
      </c>
      <c r="AG99" s="394">
        <f>IF(AK99=0,0,IF(AK99&gt;0,IF($J99=3,AK99,IF($J99=2,AK99,IF($J99=1,AK99,0)))))</f>
        <v>0</v>
      </c>
      <c r="AH99" s="395">
        <f>IF(AK99=0,0,IF(AK99&gt;0,IF($J99=6,AK99,IF($J99=5,AK99,IF($J99=4,AK99,0)))))</f>
        <v>0</v>
      </c>
      <c r="AI99" s="395">
        <f>IF(AK99=0,0,IF(AK99&gt;0,IF($J99=9,AK99,IF($J99=8,AK99,IF($J99=7,AK99,0)))))</f>
        <v>0</v>
      </c>
      <c r="AJ99" s="396">
        <f>IF(AK99=0,0,IF(AK99&gt;0,IF($J99=12,AK99,IF($J99=11,AK99,IF($J99=10,AK99,0)))))</f>
        <v>0</v>
      </c>
      <c r="AK99" s="397">
        <f>IF(AK$5=$H99,$E99,0)</f>
        <v>0</v>
      </c>
      <c r="AL99" s="394">
        <f>IF(AP99=0,0,IF(AP99&gt;0,IF($J99=3,AP99,IF($J99=2,AP99,IF($J99=1,AP99,0)))))</f>
        <v>0</v>
      </c>
      <c r="AM99" s="395">
        <f>IF(AP99=0,0,IF(AP99&gt;0,IF($J99=6,AP99,IF($J99=5,AP99,IF($J99=4,AP99,0)))))</f>
        <v>0</v>
      </c>
      <c r="AN99" s="395">
        <f>IF(AP99=0,0,IF(AP99&gt;0,IF($J99=9,AP99,IF($J99=8,AP99,IF($J99=7,AP99,0)))))</f>
        <v>0</v>
      </c>
      <c r="AO99" s="396">
        <f>IF(AP99=0,0,IF(AP99&gt;0,IF($J99=12,AP99,IF($J99=11,AP99,IF($J99=10,AP99,0)))))</f>
        <v>0</v>
      </c>
      <c r="AP99" s="397">
        <f>IF(AP$5=$H99,$E99,0)</f>
        <v>0</v>
      </c>
      <c r="AQ99" s="394">
        <f>IF(AU99=0,0,IF(AU99&gt;0,IF($J99=3,AU99,IF($J99=2,AU99,IF($J99=1,AU99,0)))))</f>
        <v>0</v>
      </c>
      <c r="AR99" s="395">
        <f>IF(AU99=0,0,IF(AU99&gt;0,IF($J99=6,AU99,IF($J99=5,AU99,IF($J99=4,AU99,0)))))</f>
        <v>0</v>
      </c>
      <c r="AS99" s="395">
        <f>IF(AU99=0,0,IF(AU99&gt;0,IF($J99=9,AU99,IF($J99=8,AU99,IF($J99=7,AU99,0)))))</f>
        <v>0</v>
      </c>
      <c r="AT99" s="396">
        <f>IF(AU99=0,0,IF(AU99&gt;0,IF($J99=12,AU99,IF($J99=11,AU99,IF($J99=10,AU99,0)))))</f>
        <v>0</v>
      </c>
      <c r="AU99" s="397">
        <f>IF(AU$5=$H99,$E99,0)</f>
        <v>0</v>
      </c>
      <c r="AV99" s="394">
        <f>IF(AZ99=0,0,IF(AZ99&gt;0,IF($J99=3,AZ99,IF($J99=2,AZ99,IF($J99=1,AZ99,0)))))</f>
        <v>0</v>
      </c>
      <c r="AW99" s="395">
        <f>IF(AZ99=0,0,IF(AZ99&gt;0,IF($J99=6,AZ99,IF($J99=5,AZ99,IF($J99=4,AZ99,0)))))</f>
        <v>0</v>
      </c>
      <c r="AX99" s="395">
        <f>IF(AZ99=0,0,IF(AZ99&gt;0,IF($J99=9,AZ99,IF($J99=8,AZ99,IF($J99=7,AZ99,0)))))</f>
        <v>0</v>
      </c>
      <c r="AY99" s="396">
        <f>IF(AZ99=0,0,IF(AZ99&gt;0,IF($J99=12,AZ99,IF($J99=11,AZ99,IF($J99=10,AZ99,0)))))</f>
        <v>0</v>
      </c>
      <c r="AZ99" s="397">
        <f>IF(AZ$5=$H99,$E99,0)</f>
        <v>0</v>
      </c>
      <c r="BA99" s="394">
        <f>IF(BE99=0,0,IF(BE99&gt;0,IF($J99=3,BE99,IF($J99=2,BE99,IF($J99=1,BE99,0)))))</f>
        <v>0</v>
      </c>
      <c r="BB99" s="395">
        <f>IF(BE99=0,0,IF(BE99&gt;0,IF($J99=6,BE99,IF($J99=5,BE99,IF($J99=4,BE99,0)))))</f>
        <v>0</v>
      </c>
      <c r="BC99" s="395">
        <f>IF(BE99=0,0,IF(BE99&gt;0,IF($J99=9,BE99,IF($J99=8,BE99,IF($J99=7,BE99,0)))))</f>
        <v>50</v>
      </c>
      <c r="BD99" s="396">
        <f>IF(BE99=0,0,IF(BE99&gt;0,IF($J99=12,BE99,IF($J99=11,BE99,IF($J99=10,BE99,0)))))</f>
        <v>0</v>
      </c>
      <c r="BE99" s="397">
        <f>IF(BE$5=$H99,$E99,0)</f>
        <v>50</v>
      </c>
      <c r="BF99" s="394">
        <f>IF(BJ99=0,0,IF(BJ99&gt;0,IF($J99=3,BJ99,IF($J99=2,BJ99,IF($J99=1,BJ99,0)))))</f>
        <v>0</v>
      </c>
      <c r="BG99" s="395">
        <f>IF(BJ99=0,0,IF(BJ99&gt;0,IF($J99=6,BJ99,IF($J99=5,BJ99,IF($J99=4,BJ99,0)))))</f>
        <v>0</v>
      </c>
      <c r="BH99" s="395">
        <f>IF(BJ99=0,0,IF(BJ99&gt;0,IF($J99=9,BJ99,IF($J99=8,BJ99,IF($J99=7,BJ99,0)))))</f>
        <v>0</v>
      </c>
      <c r="BI99" s="396">
        <f>IF(BJ99=0,0,IF(BJ99&gt;0,IF($J99=12,BJ99,IF($J99=11,BJ99,IF($J99=10,BJ99,0)))))</f>
        <v>0</v>
      </c>
      <c r="BJ99" s="397">
        <f>IF(BJ$5=$H99,$E99,0)</f>
        <v>0</v>
      </c>
      <c r="BK99" s="394">
        <f>IF(BO99=0,0,IF(BO99&gt;0,IF($J99=3,BO99,IF($J99=2,BO99,IF($J99=1,BO99,0)))))</f>
        <v>0</v>
      </c>
      <c r="BL99" s="395">
        <f>IF(BO99=0,0,IF(BO99&gt;0,IF($J99=6,BO99,IF($J99=5,BO99,IF($J99=4,BO99,0)))))</f>
        <v>0</v>
      </c>
      <c r="BM99" s="395">
        <f>IF(BO99=0,0,IF(BO99&gt;0,IF($J99=9,BO99,IF($J99=8,BO99,IF($J99=7,BO99,0)))))</f>
        <v>0</v>
      </c>
      <c r="BN99" s="396">
        <f>IF(BO99=0,0,IF(BO99&gt;0,IF($J99=12,BO99,IF($J99=11,BO99,IF($J99=10,BO99,0)))))</f>
        <v>0</v>
      </c>
      <c r="BO99" s="397">
        <f>IF(BO$5=$H99,$E99,0)</f>
        <v>0</v>
      </c>
      <c r="BP99" s="445"/>
      <c r="BQ99" s="399">
        <f>IF(AND(BP99&lt;&gt;0,BP$5=$H99),$I99*$E99-BP99,IF(BQ$5=$H99,$I99*$E99*(12-$J99+1)/12,0))</f>
        <v>0</v>
      </c>
      <c r="BR99" s="400">
        <f>IF($H99&lt;&gt;BV$5,0,IF(BV99&gt;0,IF($J99=1,$E99*$I99/12*3,IF($J99=2,$E99*$I99/12*2,IF($J99=3,$E99*$I99/12*1,0)))))+IF(BQ$5&lt;&gt;$H99,0,IF(BQ99&gt;0,IF($J99=1,$E99*$I99/12*0,IF($J99=2,$E99*$I99/12*1,IF($J99=3,$E99*$I99/12*2,IF($J99&gt;=4,$E99*$I99/12*3,0))))))</f>
        <v>0</v>
      </c>
      <c r="BS99" s="401">
        <f>IF($H99&lt;&gt;BV$5,0,IF(BV99&gt;0,IF(OR($J99=1,$J99=2,$J99=3,$J99=4),$E99*$I99/12*3,IF($J99=5,$E99*$I99/12*2,IF($J99=6,$E99*$I99/12*1,0)))))+IF(BQ$5&lt;&gt;$H99,0,IF(BQ99&gt;0,IF($J99=4,$E99*$I99/12*0,IF($J99=5,$E99*$I99/12*1,IF($J99=6,$E99*$I99/12*2,IF($J99&gt;=7,$E99*$I99/12*3,0))))))</f>
        <v>0</v>
      </c>
      <c r="BT99" s="401">
        <f>IF($H99&lt;&gt;BV$5,0,IF(BV99&gt;0,IF(OR($J99=1,$J99=2,$J99=3,$J99=4,$J99=5,$J99=6,$J99=7),$E99*$I99/12*3,IF($J99=8,$E99*$I99/12*2,IF($J99=9,$E99*$I99/12*1,0)))))+IF(BQ$5&lt;&gt;$H99,0,IF(BQ99&gt;0,IF($J99=7,$E99*$I99/12*0,IF($J99=8,$E99*$I99/12*1,IF($J99=9,$E99*$I99/12*2,IF($J99&gt;=10,$E99*$I99/12*3,0))))))</f>
        <v>0</v>
      </c>
      <c r="BU99" s="402">
        <f>IF($H99&lt;&gt;BV$5,0,IF(BV99&gt;0,IF(OR($J99=1,$J99=2,$J99=3,$J99=4,$J99=5,$J99=6,$J99=7,$J99=8,$J99=9,$J99=10),$E99*$I99/12*3,IF($J99=11,$E99*$I99/12*2,IF($J99=12,$E99*$I99/12*1,0)))))+IF(BQ$5&lt;&gt;$H99,0,IF(BQ99&gt;0,IF($J99=10,$E99*$I99/12*0,IF($J99=11,$E99*$I99/12*1,IF($J99=12,$E99*$I99/12*2,0)))))</f>
        <v>0</v>
      </c>
      <c r="BV99" s="403">
        <f>IF(AND(BQ99&lt;&gt;0,BQ$5=$H99),$I99*$E99-BQ99,IF(BV$5=$H99,$I99*$E99*(12-$J99+1)/12,0))</f>
        <v>0</v>
      </c>
      <c r="BW99" s="400">
        <f>IF($H99&lt;&gt;CA$5,0,IF(CA99&gt;0,IF($J99=1,$E99*$I99/12*3,IF($J99=2,$E99*$I99/12*2,IF($J99=3,$E99*$I99/12*1,0)))))+IF(BV$5&lt;&gt;$H99,0,IF(BV99&gt;0,IF($J99=1,$E99*$I99/12*0,IF($J99=2,$E99*$I99/12*1,IF($J99=3,$E99*$I99/12*2,IF($J99&gt;=4,$E99*$I99/12*3,0))))))</f>
        <v>0</v>
      </c>
      <c r="BX99" s="401">
        <f>IF($H99&lt;&gt;CA$5,0,IF(CA99&gt;0,IF(OR($J99=1,$J99=2,$J99=3,$J99=4),$E99*$I99/12*3,IF($J99=5,$E99*$I99/12*2,IF($J99=6,$E99*$I99/12*1,0)))))+IF(BV$5&lt;&gt;$H99,0,IF(BV99&gt;0,IF($J99=4,$E99*$I99/12*0,IF($J99=5,$E99*$I99/12*1,IF($J99=6,$E99*$I99/12*2,IF($J99&gt;=7,$E99*$I99/12*3,0))))))</f>
        <v>0</v>
      </c>
      <c r="BY99" s="401">
        <f>IF($H99&lt;&gt;CA$5,0,IF(CA99&gt;0,IF(OR($J99=1,$J99=2,$J99=3,$J99=4,$J99=5,$J99=6,$J99=7),$E99*$I99/12*3,IF($J99=8,$E99*$I99/12*2,IF($J99=9,$E99*$I99/12*1,0)))))+IF(BV$5&lt;&gt;$H99,0,IF(BV99&gt;0,IF($J99=7,$E99*$I99/12*0,IF($J99=8,$E99*$I99/12*1,IF($J99=9,$E99*$I99/12*2,IF($J99&gt;=10,$E99*$I99/12*3,0))))))</f>
        <v>0</v>
      </c>
      <c r="BZ99" s="402">
        <f>IF($H99&lt;&gt;CA$5,0,IF(CA99&gt;0,IF(OR($J99=1,$J99=2,$J99=3,$J99=4,$J99=5,$J99=6,$J99=7,$J99=8,$J99=9,$J99=10),$E99*$I99/12*3,IF($J99=11,$E99*$I99/12*2,IF($J99=12,$E99*$I99/12*1,0)))))+IF(BV$5&lt;&gt;$H99,0,IF(BV99&gt;0,IF($J99=10,$E99*$I99/12*0,IF($J99=11,$E99*$I99/12*1,IF($J99=12,$E99*$I99/12*2,0)))))</f>
        <v>0</v>
      </c>
      <c r="CA99" s="403">
        <f>IF(AND(BV99&lt;&gt;0,BV$5=$H99),$I99*$E99-BV99,IF(CA$5=$H99,$I99*$E99*(12-$J99+1)/12,0))</f>
        <v>0</v>
      </c>
      <c r="CB99" s="400">
        <f>IF($H99&lt;&gt;CF$5,0,IF(CF99&gt;0,IF($J99=1,$E99*$I99/12*3,IF($J99=2,$E99*$I99/12*2,IF($J99=3,$E99*$I99/12*1,0)))))+IF(CA$5&lt;&gt;$H99,0,IF(CA99&gt;0,IF($J99=1,$E99*$I99/12*0,IF($J99=2,$E99*$I99/12*1,IF($J99=3,$E99*$I99/12*2,IF($J99&gt;=4,$E99*$I99/12*3,0))))))</f>
        <v>0</v>
      </c>
      <c r="CC99" s="401">
        <f>IF($H99&lt;&gt;CF$5,0,IF(CF99&gt;0,IF(OR($J99=1,$J99=2,$J99=3,$J99=4),$E99*$I99/12*3,IF($J99=5,$E99*$I99/12*2,IF($J99=6,$E99*$I99/12*1,0)))))+IF(CA$5&lt;&gt;$H99,0,IF(CA99&gt;0,IF($J99=4,$E99*$I99/12*0,IF($J99=5,$E99*$I99/12*1,IF($J99=6,$E99*$I99/12*2,IF($J99&gt;=7,$E99*$I99/12*3,0))))))</f>
        <v>0</v>
      </c>
      <c r="CD99" s="401">
        <f>IF($H99&lt;&gt;CF$5,0,IF(CF99&gt;0,IF(OR($J99=1,$J99=2,$J99=3,$J99=4,$J99=5,$J99=6,$J99=7),$E99*$I99/12*3,IF($J99=8,$E99*$I99/12*2,IF($J99=9,$E99*$I99/12*1,0)))))+IF(CA$5&lt;&gt;$H99,0,IF(CA99&gt;0,IF($J99=7,$E99*$I99/12*0,IF($J99=8,$E99*$I99/12*1,IF($J99=9,$E99*$I99/12*2,IF($J99&gt;=10,$E99*$I99/12*3,0))))))</f>
        <v>0</v>
      </c>
      <c r="CE99" s="402">
        <f>IF($H99&lt;&gt;CF$5,0,IF(CF99&gt;0,IF(OR($J99=1,$J99=2,$J99=3,$J99=4,$J99=5,$J99=6,$J99=7,$J99=8,$J99=9,$J99=10),$E99*$I99/12*3,IF($J99=11,$E99*$I99/12*2,IF($J99=12,$E99*$I99/12*1,0)))))+IF(CA$5&lt;&gt;$H99,0,IF(CA99&gt;0,IF($J99=10,$E99*$I99/12*0,IF($J99=11,$E99*$I99/12*1,IF($J99=12,$E99*$I99/12*2,0)))))</f>
        <v>0</v>
      </c>
      <c r="CF99" s="403">
        <f>IF(AND(CA99&lt;&gt;0,CA$5=$H99),$I99*$E99-CA99,IF(CF$5=$H99,$I99*$E99*(12-$J99+1)/12,0))</f>
        <v>0</v>
      </c>
      <c r="CG99" s="400">
        <f>IF($H99&lt;&gt;CK$5,0,IF(CK99&gt;0,IF($J99=1,$E99*$I99/12*3,IF($J99=2,$E99*$I99/12*2,IF($J99=3,$E99*$I99/12*1,0)))))+IF(CF$5&lt;&gt;$H99,0,IF(CF99&gt;0,IF($J99=1,$E99*$I99/12*0,IF($J99=2,$E99*$I99/12*1,IF($J99=3,$E99*$I99/12*2,IF($J99&gt;=4,$E99*$I99/12*3,0))))))</f>
        <v>0</v>
      </c>
      <c r="CH99" s="401">
        <f>IF($H99&lt;&gt;CK$5,0,IF(CK99&gt;0,IF(OR($J99=1,$J99=2,$J99=3,$J99=4),$E99*$I99/12*3,IF($J99=5,$E99*$I99/12*2,IF($J99=6,$E99*$I99/12*1,0)))))+IF(CF$5&lt;&gt;$H99,0,IF(CF99&gt;0,IF($J99=4,$E99*$I99/12*0,IF($J99=5,$E99*$I99/12*1,IF($J99=6,$E99*$I99/12*2,IF($J99&gt;=7,$E99*$I99/12*3,0))))))</f>
        <v>0</v>
      </c>
      <c r="CI99" s="401">
        <f>IF($H99&lt;&gt;CK$5,0,IF(CK99&gt;0,IF(OR($J99=1,$J99=2,$J99=3,$J99=4,$J99=5,$J99=6,$J99=7),$E99*$I99/12*3,IF($J99=8,$E99*$I99/12*2,IF($J99=9,$E99*$I99/12*1,0)))))+IF(CF$5&lt;&gt;$H99,0,IF(CF99&gt;0,IF($J99=7,$E99*$I99/12*0,IF($J99=8,$E99*$I99/12*1,IF($J99=9,$E99*$I99/12*2,IF($J99&gt;=10,$E99*$I99/12*3,0))))))</f>
        <v>0</v>
      </c>
      <c r="CJ99" s="402">
        <f>IF($H99&lt;&gt;CK$5,0,IF(CK99&gt;0,IF(OR($J99=1,$J99=2,$J99=3,$J99=4,$J99=5,$J99=6,$J99=7,$J99=8,$J99=9,$J99=10),$E99*$I99/12*3,IF($J99=11,$E99*$I99/12*2,IF($J99=12,$E99*$I99/12*1,0)))))+IF(CF$5&lt;&gt;$H99,0,IF(CF99&gt;0,IF($J99=10,$E99*$I99/12*0,IF($J99=11,$E99*$I99/12*1,IF($J99=12,$E99*$I99/12*2,0)))))</f>
        <v>0</v>
      </c>
      <c r="CK99" s="403">
        <f>IF(AND(CF99&lt;&gt;0,CF$5=$H99),$I99*$E99-CF99,IF(CK$5=$H99,$I99*$E99*(12-$J99+1)/12,0))</f>
        <v>0</v>
      </c>
      <c r="CL99" s="400">
        <f>IF($H99&lt;&gt;CP$5,0,IF(CP99&gt;0,IF($J99=1,$E99*$I99/12*3,IF($J99=2,$E99*$I99/12*2,IF($J99=3,$E99*$I99/12*1,0)))))+IF(CK$5&lt;&gt;$H99,0,IF(CK99&gt;0,IF($J99=1,$E99*$I99/12*0,IF($J99=2,$E99*$I99/12*1,IF($J99=3,$E99*$I99/12*2,IF($J99&gt;=4,$E99*$I99/12*3,0))))))</f>
        <v>0</v>
      </c>
      <c r="CM99" s="401">
        <f>IF($H99&lt;&gt;CP$5,0,IF(CP99&gt;0,IF(OR($J99=1,$J99=2,$J99=3,$J99=4),$E99*$I99/12*3,IF($J99=5,$E99*$I99/12*2,IF($J99=6,$E99*$I99/12*1,0)))))+IF(CK$5&lt;&gt;$H99,0,IF(CK99&gt;0,IF($J99=4,$E99*$I99/12*0,IF($J99=5,$E99*$I99/12*1,IF($J99=6,$E99*$I99/12*2,IF($J99&gt;=7,$E99*$I99/12*3,0))))))</f>
        <v>0</v>
      </c>
      <c r="CN99" s="401">
        <f>IF($H99&lt;&gt;CP$5,0,IF(CP99&gt;0,IF(OR($J99=1,$J99=2,$J99=3,$J99=4,$J99=5,$J99=6,$J99=7),$E99*$I99/12*3,IF($J99=8,$E99*$I99/12*2,IF($J99=9,$E99*$I99/12*1,0)))))+IF(CK$5&lt;&gt;$H99,0,IF(CK99&gt;0,IF($J99=7,$E99*$I99/12*0,IF($J99=8,$E99*$I99/12*1,IF($J99=9,$E99*$I99/12*2,IF($J99&gt;=10,$E99*$I99/12*3,0))))))</f>
        <v>0</v>
      </c>
      <c r="CO99" s="402">
        <f>IF($H99&lt;&gt;CP$5,0,IF(CP99&gt;0,IF(OR($J99=1,$J99=2,$J99=3,$J99=4,$J99=5,$J99=6,$J99=7,$J99=8,$J99=9,$J99=10),$E99*$I99/12*3,IF($J99=11,$E99*$I99/12*2,IF($J99=12,$E99*$I99/12*1,0)))))+IF(CK$5&lt;&gt;$H99,0,IF(CK99&gt;0,IF($J99=10,$E99*$I99/12*0,IF($J99=11,$E99*$I99/12*1,IF($J99=12,$E99*$I99/12*2,0)))))</f>
        <v>0</v>
      </c>
      <c r="CP99" s="403">
        <f>IF(AND(CK99&lt;&gt;0,CK$5=$H99),$I99*$E99-CK99,IF(CP$5=$H99,$I99*$E99*(12-$J99+1)/12,0))</f>
        <v>0</v>
      </c>
      <c r="CQ99" s="400">
        <f>IF($H99&lt;&gt;CU$5,0,IF(CU99&gt;0,IF($J99=1,$E99*$I99/12*3,IF($J99=2,$E99*$I99/12*2,IF($J99=3,$E99*$I99/12*1,0)))))+IF(CP$5&lt;&gt;$H99,0,IF(CP99&gt;0,IF($J99=1,$E99*$I99/12*0,IF($J99=2,$E99*$I99/12*1,IF($J99=3,$E99*$I99/12*2,IF($J99&gt;=4,$E99*$I99/12*3,0))))))</f>
        <v>0</v>
      </c>
      <c r="CR99" s="401">
        <f>IF($H99&lt;&gt;CU$5,0,IF(CU99&gt;0,IF(OR($J99=1,$J99=2,$J99=3,$J99=4),$E99*$I99/12*3,IF($J99=5,$E99*$I99/12*2,IF($J99=6,$E99*$I99/12*1,0)))))+IF(CP$5&lt;&gt;$H99,0,IF(CP99&gt;0,IF($J99=4,$E99*$I99/12*0,IF($J99=5,$E99*$I99/12*1,IF($J99=6,$E99*$I99/12*2,IF($J99&gt;=7,$E99*$I99/12*3,0))))))</f>
        <v>0</v>
      </c>
      <c r="CS99" s="401">
        <f>IF($H99&lt;&gt;CU$5,0,IF(CU99&gt;0,IF(OR($J99=1,$J99=2,$J99=3,$J99=4,$J99=5,$J99=6,$J99=7),$E99*$I99/12*3,IF($J99=8,$E99*$I99/12*2,IF($J99=9,$E99*$I99/12*1,0)))))+IF(CP$5&lt;&gt;$H99,0,IF(CP99&gt;0,IF($J99=7,$E99*$I99/12*0,IF($J99=8,$E99*$I99/12*1,IF($J99=9,$E99*$I99/12*2,IF($J99&gt;=10,$E99*$I99/12*3,0))))))</f>
        <v>0</v>
      </c>
      <c r="CT99" s="402">
        <f>IF($H99&lt;&gt;CU$5,0,IF(CU99&gt;0,IF(OR($J99=1,$J99=2,$J99=3,$J99=4,$J99=5,$J99=6,$J99=7,$J99=8,$J99=9,$J99=10),$E99*$I99/12*3,IF($J99=11,$E99*$I99/12*2,IF($J99=12,$E99*$I99/12*1,0)))))+IF(CP$5&lt;&gt;$H99,0,IF(CP99&gt;0,IF($J99=10,$E99*$I99/12*0,IF($J99=11,$E99*$I99/12*1,IF($J99=12,$E99*$I99/12*2,0)))))</f>
        <v>0</v>
      </c>
      <c r="CU99" s="403">
        <f>IF(AND(CP99&lt;&gt;0,CP$5=$H99),$I99*$E99-CP99,IF(CU$5=$H99,$I99*$E99*(12-$J99+1)/12,0))</f>
        <v>0</v>
      </c>
      <c r="CV99" s="400">
        <f>IF($H99&lt;&gt;CZ$5,0,IF(CZ99&gt;0,IF($J99=1,$E99*$I99/12*3,IF($J99=2,$E99*$I99/12*2,IF($J99=3,$E99*$I99/12*1,0)))))+IF(CU$5&lt;&gt;$H99,0,IF(CU99&gt;0,IF($J99=1,$E99*$I99/12*0,IF($J99=2,$E99*$I99/12*1,IF($J99=3,$E99*$I99/12*2,IF($J99&gt;=4,$E99*$I99/12*3,0))))))</f>
        <v>0</v>
      </c>
      <c r="CW99" s="401">
        <f>IF($H99&lt;&gt;CZ$5,0,IF(CZ99&gt;0,IF(OR($J99=1,$J99=2,$J99=3,$J99=4),$E99*$I99/12*3,IF($J99=5,$E99*$I99/12*2,IF($J99=6,$E99*$I99/12*1,0)))))+IF(CU$5&lt;&gt;$H99,0,IF(CU99&gt;0,IF($J99=4,$E99*$I99/12*0,IF($J99=5,$E99*$I99/12*1,IF($J99=6,$E99*$I99/12*2,IF($J99&gt;=7,$E99*$I99/12*3,0))))))</f>
        <v>0</v>
      </c>
      <c r="CX99" s="401">
        <f>IF($H99&lt;&gt;CZ$5,0,IF(CZ99&gt;0,IF(OR($J99=1,$J99=2,$J99=3,$J99=4,$J99=5,$J99=6,$J99=7),$E99*$I99/12*3,IF($J99=8,$E99*$I99/12*2,IF($J99=9,$E99*$I99/12*1,0)))))+IF(CU$5&lt;&gt;$H99,0,IF(CU99&gt;0,IF($J99=7,$E99*$I99/12*0,IF($J99=8,$E99*$I99/12*1,IF($J99=9,$E99*$I99/12*2,IF($J99&gt;=10,$E99*$I99/12*3,0))))))</f>
        <v>0</v>
      </c>
      <c r="CY99" s="402">
        <f>IF($H99&lt;&gt;CZ$5,0,IF(CZ99&gt;0,IF(OR($J99=1,$J99=2,$J99=3,$J99=4,$J99=5,$J99=6,$J99=7,$J99=8,$J99=9,$J99=10),$E99*$I99/12*3,IF($J99=11,$E99*$I99/12*2,IF($J99=12,$E99*$I99/12*1,0)))))+IF(CU$5&lt;&gt;$H99,0,IF(CU99&gt;0,IF($J99=10,$E99*$I99/12*0,IF($J99=11,$E99*$I99/12*1,IF($J99=12,$E99*$I99/12*2,0)))))</f>
        <v>0</v>
      </c>
      <c r="CZ99" s="403">
        <f>IF(AND(CU99&lt;&gt;0,CU$5=$H99),$I99*$E99-CU99,IF(CZ$5=$H99,$I99*$E99*(12-$J99+1)/12,0))</f>
        <v>0</v>
      </c>
      <c r="DA99" s="400">
        <f>IF($H99&lt;&gt;DE$5,0,IF(DE99&gt;0,IF($J99=1,$E99*$I99/12*3,IF($J99=2,$E99*$I99/12*2,IF($J99=3,$E99*$I99/12*1,0)))))+IF(CZ$5&lt;&gt;$H99,0,IF(CZ99&gt;0,IF($J99=1,$E99*$I99/12*0,IF($J99=2,$E99*$I99/12*1,IF($J99=3,$E99*$I99/12*2,IF($J99&gt;=4,$E99*$I99/12*3,0))))))</f>
        <v>0</v>
      </c>
      <c r="DB99" s="401">
        <f>IF($H99&lt;&gt;DE$5,0,IF(DE99&gt;0,IF(OR($J99=1,$J99=2,$J99=3,$J99=4),$E99*$I99/12*3,IF($J99=5,$E99*$I99/12*2,IF($J99=6,$E99*$I99/12*1,0)))))+IF(CZ$5&lt;&gt;$H99,0,IF(CZ99&gt;0,IF($J99=4,$E99*$I99/12*0,IF($J99=5,$E99*$I99/12*1,IF($J99=6,$E99*$I99/12*2,IF($J99&gt;=7,$E99*$I99/12*3,0))))))</f>
        <v>0</v>
      </c>
      <c r="DC99" s="401">
        <f>IF($H99&lt;&gt;DE$5,0,IF(DE99&gt;0,IF(OR($J99=1,$J99=2,$J99=3,$J99=4,$J99=5,$J99=6,$J99=7),$E99*$I99/12*3,IF($J99=8,$E99*$I99/12*2,IF($J99=9,$E99*$I99/12*1,0)))))+IF(CZ$5&lt;&gt;$H99,0,IF(CZ99&gt;0,IF($J99=7,$E99*$I99/12*0,IF($J99=8,$E99*$I99/12*1,IF($J99=9,$E99*$I99/12*2,IF($J99&gt;=10,$E99*$I99/12*3,0))))))</f>
        <v>0</v>
      </c>
      <c r="DD99" s="402">
        <f>IF($H99&lt;&gt;DE$5,0,IF(DE99&gt;0,IF(OR($J99=1,$J99=2,$J99=3,$J99=4,$J99=5,$J99=6,$J99=7,$J99=8,$J99=9,$J99=10),$E99*$I99/12*3,IF($J99=11,$E99*$I99/12*2,IF($J99=12,$E99*$I99/12*1,0)))))+IF(CZ$5&lt;&gt;$H99,0,IF(CZ99&gt;0,IF($J99=10,$E99*$I99/12*0,IF($J99=11,$E99*$I99/12*1,IF($J99=12,$E99*$I99/12*2,0)))))</f>
        <v>0</v>
      </c>
      <c r="DE99" s="403">
        <f>IF(AND(CZ99&lt;&gt;0,CZ$5=$H99),$I99*$E99-CZ99,IF(DE$5=$H99,$I99*$E99*(12-$J99+1)/12,0))</f>
        <v>0</v>
      </c>
      <c r="DF99" s="400">
        <f>IF($H99&lt;&gt;DJ$5,0,IF(DJ99&gt;0,IF($J99=1,$E99*$I99/12*3,IF($J99=2,$E99*$I99/12*2,IF($J99=3,$E99*$I99/12*1,0)))))+IF(DE$5&lt;&gt;$H99,0,IF(DE99&gt;0,IF($J99=1,$E99*$I99/12*0,IF($J99=2,$E99*$I99/12*1,IF($J99=3,$E99*$I99/12*2,IF($J99&gt;=4,$E99*$I99/12*3,0))))))</f>
        <v>0</v>
      </c>
      <c r="DG99" s="401">
        <f>IF($H99&lt;&gt;DJ$5,0,IF(DJ99&gt;0,IF(OR($J99=1,$J99=2,$J99=3,$J99=4),$E99*$I99/12*3,IF($J99=5,$E99*$I99/12*2,IF($J99=6,$E99*$I99/12*1,0)))))+IF(DE$5&lt;&gt;$H99,0,IF(DE99&gt;0,IF($J99=4,$E99*$I99/12*0,IF($J99=5,$E99*$I99/12*1,IF($J99=6,$E99*$I99/12*2,IF($J99&gt;=7,$E99*$I99/12*3,0))))))</f>
        <v>0</v>
      </c>
      <c r="DH99" s="401">
        <f>IF($H99&lt;&gt;DJ$5,0,IF(DJ99&gt;0,IF(OR($J99=1,$J99=2,$J99=3,$J99=4,$J99=5,$J99=6,$J99=7),$E99*$I99/12*3,IF($J99=8,$E99*$I99/12*2,IF($J99=9,$E99*$I99/12*1,0)))))+IF(DE$5&lt;&gt;$H99,0,IF(DE99&gt;0,IF($J99=7,$E99*$I99/12*0,IF($J99=8,$E99*$I99/12*1,IF($J99=9,$E99*$I99/12*2,IF($J99&gt;=10,$E99*$I99/12*3,0))))))</f>
        <v>0.5625</v>
      </c>
      <c r="DI99" s="402">
        <f>IF($H99&lt;&gt;DJ$5,0,IF(DJ99&gt;0,IF(OR($J99=1,$J99=2,$J99=3,$J99=4,$J99=5,$J99=6,$J99=7,$J99=8,$J99=9,$J99=10),$E99*$I99/12*3,IF($J99=11,$E99*$I99/12*2,IF($J99=12,$E99*$I99/12*1,0)))))+IF(DE$5&lt;&gt;$H99,0,IF(DE99&gt;0,IF($J99=10,$E99*$I99/12*0,IF($J99=11,$E99*$I99/12*1,IF($J99=12,$E99*$I99/12*2,0)))))</f>
        <v>0.5625</v>
      </c>
      <c r="DJ99" s="403">
        <f>IF(AND(DE99&lt;&gt;0,DE$5=$H99),$I99*$E99-DE99,IF(DJ$5=$H99,$I99*$E99*(12-$J99+1)/12,0))</f>
        <v>1.125</v>
      </c>
      <c r="DK99" s="400">
        <f>IF($H99&lt;&gt;DO$5,0,IF(DO99&gt;0,IF($J99=1,$E99*$I99/12*3,IF($J99=2,$E99*$I99/12*2,IF($J99=3,$E99*$I99/12*1,0)))))+IF(DJ$5&lt;&gt;$H99,0,IF(DJ99&gt;0,IF($J99=1,$E99*$I99/12*0,IF($J99=2,$E99*$I99/12*1,IF($J99=3,$E99*$I99/12*2,IF($J99&gt;=4,$E99*$I99/12*3,0))))))</f>
        <v>0.5625</v>
      </c>
      <c r="DL99" s="401">
        <f>IF($H99&lt;&gt;DO$5,0,IF(DO99&gt;0,IF(OR($J99=1,$J99=2,$J99=3,$J99=4),$E99*$I99/12*3,IF($J99=5,$E99*$I99/12*2,IF($J99=6,$E99*$I99/12*1,0)))))+IF(DJ$5&lt;&gt;$H99,0,IF(DJ99&gt;0,IF($J99=4,$E99*$I99/12*0,IF($J99=5,$E99*$I99/12*1,IF($J99=6,$E99*$I99/12*2,IF($J99&gt;=7,$E99*$I99/12*3,0))))))</f>
        <v>0.5625</v>
      </c>
      <c r="DM99" s="401">
        <f>IF($H99&lt;&gt;DO$5,0,IF(DO99&gt;0,IF(OR($J99=1,$J99=2,$J99=3,$J99=4,$J99=5,$J99=6,$J99=7),$E99*$I99/12*3,IF($J99=8,$E99*$I99/12*2,IF($J99=9,$E99*$I99/12*1,0)))))+IF(DJ$5&lt;&gt;$H99,0,IF(DJ99&gt;0,IF($J99=7,$E99*$I99/12*0,IF($J99=8,$E99*$I99/12*1,IF($J99=9,$E99*$I99/12*2,IF($J99&gt;=10,$E99*$I99/12*3,0))))))</f>
        <v>0</v>
      </c>
      <c r="DN99" s="402">
        <f>IF($H99&lt;&gt;DO$5,0,IF(DO99&gt;0,IF(OR($J99=1,$J99=2,$J99=3,$J99=4,$J99=5,$J99=6,$J99=7,$J99=8,$J99=9,$J99=10),$E99*$I99/12*3,IF($J99=11,$E99*$I99/12*2,IF($J99=12,$E99*$I99/12*1,0)))))+IF(DJ$5&lt;&gt;$H99,0,IF(DJ99&gt;0,IF($J99=10,$E99*$I99/12*0,IF($J99=11,$E99*$I99/12*1,IF($J99=12,$E99*$I99/12*2,0)))))</f>
        <v>0</v>
      </c>
      <c r="DO99" s="403">
        <f>IF(AND(DJ99&lt;&gt;0,DJ$5=$H99),$I99*$E99-DJ99,IF(DO$5=$H99,$I99*$E99*(12-$J99+1)/12,0))</f>
        <v>1.125</v>
      </c>
      <c r="DP99" s="400">
        <f>IF($H99&lt;&gt;DT$5,0,IF(DT99&gt;0,IF($J99=1,$E99*$I99/12*3,IF($J99=2,$E99*$I99/12*2,IF($J99=3,$E99*$I99/12*1,0)))))+IF(DO$5&lt;&gt;$H99,0,IF(DO99&gt;0,IF($J99=1,$E99*$I99/12*0,IF($J99=2,$E99*$I99/12*1,IF($J99=3,$E99*$I99/12*2,IF($J99&gt;=4,$E99*$I99/12*3,0))))))</f>
        <v>0</v>
      </c>
      <c r="DQ99" s="401">
        <f>IF($H99&lt;&gt;DT$5,0,IF(DT99&gt;0,IF(OR($J99=1,$J99=2,$J99=3,$J99=4),$E99*$I99/12*3,IF($J99=5,$E99*$I99/12*2,IF($J99=6,$E99*$I99/12*1,0)))))+IF(DO$5&lt;&gt;$H99,0,IF(DO99&gt;0,IF($J99=4,$E99*$I99/12*0,IF($J99=5,$E99*$I99/12*1,IF($J99=6,$E99*$I99/12*2,IF($J99&gt;=7,$E99*$I99/12*3,0))))))</f>
        <v>0</v>
      </c>
      <c r="DR99" s="401">
        <f>IF($H99&lt;&gt;DT$5,0,IF(DT99&gt;0,IF(OR($J99=1,$J99=2,$J99=3,$J99=4,$J99=5,$J99=6,$J99=7),$E99*$I99/12*3,IF($J99=8,$E99*$I99/12*2,IF($J99=9,$E99*$I99/12*1,0)))))+IF(DO$5&lt;&gt;$H99,0,IF(DO99&gt;0,IF($J99=7,$E99*$I99/12*0,IF($J99=8,$E99*$I99/12*1,IF($J99=9,$E99*$I99/12*2,IF($J99&gt;=10,$E99*$I99/12*3,0))))))</f>
        <v>0</v>
      </c>
      <c r="DS99" s="402">
        <f>IF($H99&lt;&gt;DT$5,0,IF(DT99&gt;0,IF(OR($J99=1,$J99=2,$J99=3,$J99=4,$J99=5,$J99=6,$J99=7,$J99=8,$J99=9,$J99=10),$E99*$I99/12*3,IF($J99=11,$E99*$I99/12*2,IF($J99=12,$E99*$I99/12*1,0)))))+IF(DO$5&lt;&gt;$H99,0,IF(DO99&gt;0,IF($J99=10,$E99*$I99/12*0,IF($J99=11,$E99*$I99/12*1,IF($J99=12,$E99*$I99/12*2,0)))))</f>
        <v>0</v>
      </c>
      <c r="DT99" s="403">
        <f>IF(AND(DO99&lt;&gt;0,DO$5=$H99),$I99*$E99-DO99,IF(DT$5=$H99,$I99*$E99*(12-$J99+1)/12,0))</f>
        <v>0</v>
      </c>
    </row>
    <row r="100" spans="1:139" ht="12.75" customHeight="1" x14ac:dyDescent="0.2">
      <c r="C100" s="847" t="s">
        <v>603</v>
      </c>
      <c r="D100" s="52"/>
      <c r="E100" s="530">
        <f>+'NSP-WI'!BL182</f>
        <v>50</v>
      </c>
      <c r="F100" s="537"/>
      <c r="G100" s="537"/>
      <c r="H100" s="468">
        <v>2020</v>
      </c>
      <c r="I100" s="469">
        <v>4.4999999999999998E-2</v>
      </c>
      <c r="J100" s="470">
        <v>7</v>
      </c>
      <c r="K100" s="392"/>
      <c r="L100" s="393"/>
      <c r="M100" s="394">
        <f>IF(Q100=0,0,IF(Q100&gt;0,IF($J100=3,Q100,IF($J100=2,Q100,IF($J100=1,Q100,0)))))</f>
        <v>0</v>
      </c>
      <c r="N100" s="395">
        <f>IF(Q100=0,0,IF(Q100&gt;0,IF($J100=6,Q100,IF($J100=5,Q100,IF($J100=4,Q100,0)))))</f>
        <v>0</v>
      </c>
      <c r="O100" s="395">
        <f>IF(Q100=0,0,IF(Q100&gt;0,IF($J100=9,Q100,IF($J100=8,Q100,IF($J100=7,Q100,0)))))</f>
        <v>0</v>
      </c>
      <c r="P100" s="396">
        <f>IF(Q100=0,0,IF(Q100&gt;0,IF($J100=12,Q100,IF($J100=11,Q100,IF($J100=10,Q100,0)))))</f>
        <v>0</v>
      </c>
      <c r="Q100" s="397">
        <f>IF(Q$5=$H100,$E100,0)</f>
        <v>0</v>
      </c>
      <c r="R100" s="394">
        <f>IF(V100=0,0,IF(V100&gt;0,IF($J100=3,V100,IF($J100=2,V100,IF($J100=1,V100,0)))))</f>
        <v>0</v>
      </c>
      <c r="S100" s="395">
        <f>IF(V100=0,0,IF(V100&gt;0,IF($J100=6,V100,IF($J100=5,V100,IF($J100=4,V100,0)))))</f>
        <v>0</v>
      </c>
      <c r="T100" s="395">
        <f>IF(V100=0,0,IF(V100&gt;0,IF($J100=9,V100,IF($J100=8,V100,IF($J100=7,V100,0)))))</f>
        <v>0</v>
      </c>
      <c r="U100" s="396">
        <f>IF(V100=0,0,IF(V100&gt;0,IF($J100=12,V100,IF($J100=11,V100,IF($J100=10,V100,0)))))</f>
        <v>0</v>
      </c>
      <c r="V100" s="397">
        <f>IF(V$5=$H100,$E100,0)</f>
        <v>0</v>
      </c>
      <c r="W100" s="394">
        <f>IF(AA100=0,0,IF(AA100&gt;0,IF($J100=3,AA100,IF($J100=2,AA100,IF($J100=1,AA100,0)))))</f>
        <v>0</v>
      </c>
      <c r="X100" s="395">
        <f>IF(AA100=0,0,IF(AA100&gt;0,IF($J100=6,AA100,IF($J100=5,AA100,IF($J100=4,AA100,0)))))</f>
        <v>0</v>
      </c>
      <c r="Y100" s="395">
        <f>IF(AA100=0,0,IF(AA100&gt;0,IF($J100=9,AA100,IF($J100=8,AA100,IF($J100=7,AA100,0)))))</f>
        <v>0</v>
      </c>
      <c r="Z100" s="396">
        <f>IF(AA100=0,0,IF(AA100&gt;0,IF($J100=12,AA100,IF($J100=11,AA100,IF($J100=10,AA100,0)))))</f>
        <v>0</v>
      </c>
      <c r="AA100" s="397">
        <f>IF(AA$5=$H100,$E100,0)</f>
        <v>0</v>
      </c>
      <c r="AB100" s="394">
        <f>IF(AF100=0,0,IF(AF100&gt;0,IF($J100=3,AF100,IF($J100=2,AF100,IF($J100=1,AF100,0)))))</f>
        <v>0</v>
      </c>
      <c r="AC100" s="395">
        <f>IF(AF100=0,0,IF(AF100&gt;0,IF($J100=6,AF100,IF($J100=5,AF100,IF($J100=4,AF100,0)))))</f>
        <v>0</v>
      </c>
      <c r="AD100" s="395">
        <f>IF(AF100=0,0,IF(AF100&gt;0,IF($J100=9,AF100,IF($J100=8,AF100,IF($J100=7,AF100,0)))))</f>
        <v>0</v>
      </c>
      <c r="AE100" s="396">
        <f>IF(AF100=0,0,IF(AF100&gt;0,IF($J100=12,AF100,IF($J100=11,AF100,IF($J100=10,AF100,0)))))</f>
        <v>0</v>
      </c>
      <c r="AF100" s="397">
        <f>IF(AF$5=$H100,$E100,0)</f>
        <v>0</v>
      </c>
      <c r="AG100" s="394">
        <f>IF(AK100=0,0,IF(AK100&gt;0,IF($J100=3,AK100,IF($J100=2,AK100,IF($J100=1,AK100,0)))))</f>
        <v>0</v>
      </c>
      <c r="AH100" s="395">
        <f>IF(AK100=0,0,IF(AK100&gt;0,IF($J100=6,AK100,IF($J100=5,AK100,IF($J100=4,AK100,0)))))</f>
        <v>0</v>
      </c>
      <c r="AI100" s="395">
        <f>IF(AK100=0,0,IF(AK100&gt;0,IF($J100=9,AK100,IF($J100=8,AK100,IF($J100=7,AK100,0)))))</f>
        <v>0</v>
      </c>
      <c r="AJ100" s="396">
        <f>IF(AK100=0,0,IF(AK100&gt;0,IF($J100=12,AK100,IF($J100=11,AK100,IF($J100=10,AK100,0)))))</f>
        <v>0</v>
      </c>
      <c r="AK100" s="397">
        <f>IF(AK$5=$H100,$E100,0)</f>
        <v>0</v>
      </c>
      <c r="AL100" s="394">
        <f>IF(AP100=0,0,IF(AP100&gt;0,IF($J100=3,AP100,IF($J100=2,AP100,IF($J100=1,AP100,0)))))</f>
        <v>0</v>
      </c>
      <c r="AM100" s="395">
        <f>IF(AP100=0,0,IF(AP100&gt;0,IF($J100=6,AP100,IF($J100=5,AP100,IF($J100=4,AP100,0)))))</f>
        <v>0</v>
      </c>
      <c r="AN100" s="395">
        <f>IF(AP100=0,0,IF(AP100&gt;0,IF($J100=9,AP100,IF($J100=8,AP100,IF($J100=7,AP100,0)))))</f>
        <v>0</v>
      </c>
      <c r="AO100" s="396">
        <f>IF(AP100=0,0,IF(AP100&gt;0,IF($J100=12,AP100,IF($J100=11,AP100,IF($J100=10,AP100,0)))))</f>
        <v>0</v>
      </c>
      <c r="AP100" s="397">
        <f>IF(AP$5=$H100,$E100,0)</f>
        <v>0</v>
      </c>
      <c r="AQ100" s="394">
        <f>IF(AU100=0,0,IF(AU100&gt;0,IF($J100=3,AU100,IF($J100=2,AU100,IF($J100=1,AU100,0)))))</f>
        <v>0</v>
      </c>
      <c r="AR100" s="395">
        <f>IF(AU100=0,0,IF(AU100&gt;0,IF($J100=6,AU100,IF($J100=5,AU100,IF($J100=4,AU100,0)))))</f>
        <v>0</v>
      </c>
      <c r="AS100" s="395">
        <f>IF(AU100=0,0,IF(AU100&gt;0,IF($J100=9,AU100,IF($J100=8,AU100,IF($J100=7,AU100,0)))))</f>
        <v>0</v>
      </c>
      <c r="AT100" s="396">
        <f>IF(AU100=0,0,IF(AU100&gt;0,IF($J100=12,AU100,IF($J100=11,AU100,IF($J100=10,AU100,0)))))</f>
        <v>0</v>
      </c>
      <c r="AU100" s="397">
        <f>IF(AU$5=$H100,$E100,0)</f>
        <v>0</v>
      </c>
      <c r="AV100" s="394">
        <f>IF(AZ100=0,0,IF(AZ100&gt;0,IF($J100=3,AZ100,IF($J100=2,AZ100,IF($J100=1,AZ100,0)))))</f>
        <v>0</v>
      </c>
      <c r="AW100" s="395">
        <f>IF(AZ100=0,0,IF(AZ100&gt;0,IF($J100=6,AZ100,IF($J100=5,AZ100,IF($J100=4,AZ100,0)))))</f>
        <v>0</v>
      </c>
      <c r="AX100" s="395">
        <f>IF(AZ100=0,0,IF(AZ100&gt;0,IF($J100=9,AZ100,IF($J100=8,AZ100,IF($J100=7,AZ100,0)))))</f>
        <v>0</v>
      </c>
      <c r="AY100" s="396">
        <f>IF(AZ100=0,0,IF(AZ100&gt;0,IF($J100=12,AZ100,IF($J100=11,AZ100,IF($J100=10,AZ100,0)))))</f>
        <v>0</v>
      </c>
      <c r="AZ100" s="397">
        <f>IF(AZ$5=$H100,$E100,0)</f>
        <v>0</v>
      </c>
      <c r="BA100" s="394">
        <f>IF(BE100=0,0,IF(BE100&gt;0,IF($J100=3,BE100,IF($J100=2,BE100,IF($J100=1,BE100,0)))))</f>
        <v>0</v>
      </c>
      <c r="BB100" s="395">
        <f>IF(BE100=0,0,IF(BE100&gt;0,IF($J100=6,BE100,IF($J100=5,BE100,IF($J100=4,BE100,0)))))</f>
        <v>0</v>
      </c>
      <c r="BC100" s="395">
        <f>IF(BE100=0,0,IF(BE100&gt;0,IF($J100=9,BE100,IF($J100=8,BE100,IF($J100=7,BE100,0)))))</f>
        <v>0</v>
      </c>
      <c r="BD100" s="396">
        <f>IF(BE100=0,0,IF(BE100&gt;0,IF($J100=12,BE100,IF($J100=11,BE100,IF($J100=10,BE100,0)))))</f>
        <v>0</v>
      </c>
      <c r="BE100" s="397">
        <f>IF(BE$5=$H100,$E100,0)</f>
        <v>0</v>
      </c>
      <c r="BF100" s="394">
        <f>IF(BJ100=0,0,IF(BJ100&gt;0,IF($J100=3,BJ100,IF($J100=2,BJ100,IF($J100=1,BJ100,0)))))</f>
        <v>0</v>
      </c>
      <c r="BG100" s="395">
        <f>IF(BJ100=0,0,IF(BJ100&gt;0,IF($J100=6,BJ100,IF($J100=5,BJ100,IF($J100=4,BJ100,0)))))</f>
        <v>0</v>
      </c>
      <c r="BH100" s="395">
        <f>IF(BJ100=0,0,IF(BJ100&gt;0,IF($J100=9,BJ100,IF($J100=8,BJ100,IF($J100=7,BJ100,0)))))</f>
        <v>50</v>
      </c>
      <c r="BI100" s="396">
        <f>IF(BJ100=0,0,IF(BJ100&gt;0,IF($J100=12,BJ100,IF($J100=11,BJ100,IF($J100=10,BJ100,0)))))</f>
        <v>0</v>
      </c>
      <c r="BJ100" s="397">
        <f>IF(BJ$5=$H100,$E100,0)</f>
        <v>50</v>
      </c>
      <c r="BK100" s="394">
        <f>IF(BO100=0,0,IF(BO100&gt;0,IF($J100=3,BO100,IF($J100=2,BO100,IF($J100=1,BO100,0)))))</f>
        <v>0</v>
      </c>
      <c r="BL100" s="395">
        <f>IF(BO100=0,0,IF(BO100&gt;0,IF($J100=6,BO100,IF($J100=5,BO100,IF($J100=4,BO100,0)))))</f>
        <v>0</v>
      </c>
      <c r="BM100" s="395">
        <f>IF(BO100=0,0,IF(BO100&gt;0,IF($J100=9,BO100,IF($J100=8,BO100,IF($J100=7,BO100,0)))))</f>
        <v>0</v>
      </c>
      <c r="BN100" s="396">
        <f>IF(BO100=0,0,IF(BO100&gt;0,IF($J100=12,BO100,IF($J100=11,BO100,IF($J100=10,BO100,0)))))</f>
        <v>0</v>
      </c>
      <c r="BO100" s="397">
        <f>IF(BO$5=$H100,$E100,0)</f>
        <v>0</v>
      </c>
      <c r="BP100" s="445"/>
      <c r="BQ100" s="399">
        <f>IF(AND(BP100&lt;&gt;0,BP$5=$H100),$I100*$E100-BP100,IF(BQ$5=$H100,$I100*$E100*(12-$J100+1)/12,0))</f>
        <v>0</v>
      </c>
      <c r="BR100" s="400">
        <f>IF($H100&lt;&gt;BV$5,0,IF(BV100&gt;0,IF($J100=1,$E100*$I100/12*3,IF($J100=2,$E100*$I100/12*2,IF($J100=3,$E100*$I100/12*1,0)))))+IF(BQ$5&lt;&gt;$H100,0,IF(BQ100&gt;0,IF($J100=1,$E100*$I100/12*0,IF($J100=2,$E100*$I100/12*1,IF($J100=3,$E100*$I100/12*2,IF($J100&gt;=4,$E100*$I100/12*3,0))))))</f>
        <v>0</v>
      </c>
      <c r="BS100" s="401">
        <f>IF($H100&lt;&gt;BV$5,0,IF(BV100&gt;0,IF(OR($J100=1,$J100=2,$J100=3,$J100=4),$E100*$I100/12*3,IF($J100=5,$E100*$I100/12*2,IF($J100=6,$E100*$I100/12*1,0)))))+IF(BQ$5&lt;&gt;$H100,0,IF(BQ100&gt;0,IF($J100=4,$E100*$I100/12*0,IF($J100=5,$E100*$I100/12*1,IF($J100=6,$E100*$I100/12*2,IF($J100&gt;=7,$E100*$I100/12*3,0))))))</f>
        <v>0</v>
      </c>
      <c r="BT100" s="401">
        <f>IF($H100&lt;&gt;BV$5,0,IF(BV100&gt;0,IF(OR($J100=1,$J100=2,$J100=3,$J100=4,$J100=5,$J100=6,$J100=7),$E100*$I100/12*3,IF($J100=8,$E100*$I100/12*2,IF($J100=9,$E100*$I100/12*1,0)))))+IF(BQ$5&lt;&gt;$H100,0,IF(BQ100&gt;0,IF($J100=7,$E100*$I100/12*0,IF($J100=8,$E100*$I100/12*1,IF($J100=9,$E100*$I100/12*2,IF($J100&gt;=10,$E100*$I100/12*3,0))))))</f>
        <v>0</v>
      </c>
      <c r="BU100" s="402">
        <f>IF($H100&lt;&gt;BV$5,0,IF(BV100&gt;0,IF(OR($J100=1,$J100=2,$J100=3,$J100=4,$J100=5,$J100=6,$J100=7,$J100=8,$J100=9,$J100=10),$E100*$I100/12*3,IF($J100=11,$E100*$I100/12*2,IF($J100=12,$E100*$I100/12*1,0)))))+IF(BQ$5&lt;&gt;$H100,0,IF(BQ100&gt;0,IF($J100=10,$E100*$I100/12*0,IF($J100=11,$E100*$I100/12*1,IF($J100=12,$E100*$I100/12*2,0)))))</f>
        <v>0</v>
      </c>
      <c r="BV100" s="403">
        <f>IF(AND(BQ100&lt;&gt;0,BQ$5=$H100),$I100*$E100-BQ100,IF(BV$5=$H100,$I100*$E100*(12-$J100+1)/12,0))</f>
        <v>0</v>
      </c>
      <c r="BW100" s="400">
        <f>IF($H100&lt;&gt;CA$5,0,IF(CA100&gt;0,IF($J100=1,$E100*$I100/12*3,IF($J100=2,$E100*$I100/12*2,IF($J100=3,$E100*$I100/12*1,0)))))+IF(BV$5&lt;&gt;$H100,0,IF(BV100&gt;0,IF($J100=1,$E100*$I100/12*0,IF($J100=2,$E100*$I100/12*1,IF($J100=3,$E100*$I100/12*2,IF($J100&gt;=4,$E100*$I100/12*3,0))))))</f>
        <v>0</v>
      </c>
      <c r="BX100" s="401">
        <f>IF($H100&lt;&gt;CA$5,0,IF(CA100&gt;0,IF(OR($J100=1,$J100=2,$J100=3,$J100=4),$E100*$I100/12*3,IF($J100=5,$E100*$I100/12*2,IF($J100=6,$E100*$I100/12*1,0)))))+IF(BV$5&lt;&gt;$H100,0,IF(BV100&gt;0,IF($J100=4,$E100*$I100/12*0,IF($J100=5,$E100*$I100/12*1,IF($J100=6,$E100*$I100/12*2,IF($J100&gt;=7,$E100*$I100/12*3,0))))))</f>
        <v>0</v>
      </c>
      <c r="BY100" s="401">
        <f>IF($H100&lt;&gt;CA$5,0,IF(CA100&gt;0,IF(OR($J100=1,$J100=2,$J100=3,$J100=4,$J100=5,$J100=6,$J100=7),$E100*$I100/12*3,IF($J100=8,$E100*$I100/12*2,IF($J100=9,$E100*$I100/12*1,0)))))+IF(BV$5&lt;&gt;$H100,0,IF(BV100&gt;0,IF($J100=7,$E100*$I100/12*0,IF($J100=8,$E100*$I100/12*1,IF($J100=9,$E100*$I100/12*2,IF($J100&gt;=10,$E100*$I100/12*3,0))))))</f>
        <v>0</v>
      </c>
      <c r="BZ100" s="402">
        <f>IF($H100&lt;&gt;CA$5,0,IF(CA100&gt;0,IF(OR($J100=1,$J100=2,$J100=3,$J100=4,$J100=5,$J100=6,$J100=7,$J100=8,$J100=9,$J100=10),$E100*$I100/12*3,IF($J100=11,$E100*$I100/12*2,IF($J100=12,$E100*$I100/12*1,0)))))+IF(BV$5&lt;&gt;$H100,0,IF(BV100&gt;0,IF($J100=10,$E100*$I100/12*0,IF($J100=11,$E100*$I100/12*1,IF($J100=12,$E100*$I100/12*2,0)))))</f>
        <v>0</v>
      </c>
      <c r="CA100" s="403">
        <f>IF(AND(BV100&lt;&gt;0,BV$5=$H100),$I100*$E100-BV100,IF(CA$5=$H100,$I100*$E100*(12-$J100+1)/12,0))</f>
        <v>0</v>
      </c>
      <c r="CB100" s="400">
        <f>IF($H100&lt;&gt;CF$5,0,IF(CF100&gt;0,IF($J100=1,$E100*$I100/12*3,IF($J100=2,$E100*$I100/12*2,IF($J100=3,$E100*$I100/12*1,0)))))+IF(CA$5&lt;&gt;$H100,0,IF(CA100&gt;0,IF($J100=1,$E100*$I100/12*0,IF($J100=2,$E100*$I100/12*1,IF($J100=3,$E100*$I100/12*2,IF($J100&gt;=4,$E100*$I100/12*3,0))))))</f>
        <v>0</v>
      </c>
      <c r="CC100" s="401">
        <f>IF($H100&lt;&gt;CF$5,0,IF(CF100&gt;0,IF(OR($J100=1,$J100=2,$J100=3,$J100=4),$E100*$I100/12*3,IF($J100=5,$E100*$I100/12*2,IF($J100=6,$E100*$I100/12*1,0)))))+IF(CA$5&lt;&gt;$H100,0,IF(CA100&gt;0,IF($J100=4,$E100*$I100/12*0,IF($J100=5,$E100*$I100/12*1,IF($J100=6,$E100*$I100/12*2,IF($J100&gt;=7,$E100*$I100/12*3,0))))))</f>
        <v>0</v>
      </c>
      <c r="CD100" s="401">
        <f>IF($H100&lt;&gt;CF$5,0,IF(CF100&gt;0,IF(OR($J100=1,$J100=2,$J100=3,$J100=4,$J100=5,$J100=6,$J100=7),$E100*$I100/12*3,IF($J100=8,$E100*$I100/12*2,IF($J100=9,$E100*$I100/12*1,0)))))+IF(CA$5&lt;&gt;$H100,0,IF(CA100&gt;0,IF($J100=7,$E100*$I100/12*0,IF($J100=8,$E100*$I100/12*1,IF($J100=9,$E100*$I100/12*2,IF($J100&gt;=10,$E100*$I100/12*3,0))))))</f>
        <v>0</v>
      </c>
      <c r="CE100" s="402">
        <f>IF($H100&lt;&gt;CF$5,0,IF(CF100&gt;0,IF(OR($J100=1,$J100=2,$J100=3,$J100=4,$J100=5,$J100=6,$J100=7,$J100=8,$J100=9,$J100=10),$E100*$I100/12*3,IF($J100=11,$E100*$I100/12*2,IF($J100=12,$E100*$I100/12*1,0)))))+IF(CA$5&lt;&gt;$H100,0,IF(CA100&gt;0,IF($J100=10,$E100*$I100/12*0,IF($J100=11,$E100*$I100/12*1,IF($J100=12,$E100*$I100/12*2,0)))))</f>
        <v>0</v>
      </c>
      <c r="CF100" s="403">
        <f>IF(AND(CA100&lt;&gt;0,CA$5=$H100),$I100*$E100-CA100,IF(CF$5=$H100,$I100*$E100*(12-$J100+1)/12,0))</f>
        <v>0</v>
      </c>
      <c r="CG100" s="400">
        <f>IF($H100&lt;&gt;CK$5,0,IF(CK100&gt;0,IF($J100=1,$E100*$I100/12*3,IF($J100=2,$E100*$I100/12*2,IF($J100=3,$E100*$I100/12*1,0)))))+IF(CF$5&lt;&gt;$H100,0,IF(CF100&gt;0,IF($J100=1,$E100*$I100/12*0,IF($J100=2,$E100*$I100/12*1,IF($J100=3,$E100*$I100/12*2,IF($J100&gt;=4,$E100*$I100/12*3,0))))))</f>
        <v>0</v>
      </c>
      <c r="CH100" s="401">
        <f>IF($H100&lt;&gt;CK$5,0,IF(CK100&gt;0,IF(OR($J100=1,$J100=2,$J100=3,$J100=4),$E100*$I100/12*3,IF($J100=5,$E100*$I100/12*2,IF($J100=6,$E100*$I100/12*1,0)))))+IF(CF$5&lt;&gt;$H100,0,IF(CF100&gt;0,IF($J100=4,$E100*$I100/12*0,IF($J100=5,$E100*$I100/12*1,IF($J100=6,$E100*$I100/12*2,IF($J100&gt;=7,$E100*$I100/12*3,0))))))</f>
        <v>0</v>
      </c>
      <c r="CI100" s="401">
        <f>IF($H100&lt;&gt;CK$5,0,IF(CK100&gt;0,IF(OR($J100=1,$J100=2,$J100=3,$J100=4,$J100=5,$J100=6,$J100=7),$E100*$I100/12*3,IF($J100=8,$E100*$I100/12*2,IF($J100=9,$E100*$I100/12*1,0)))))+IF(CF$5&lt;&gt;$H100,0,IF(CF100&gt;0,IF($J100=7,$E100*$I100/12*0,IF($J100=8,$E100*$I100/12*1,IF($J100=9,$E100*$I100/12*2,IF($J100&gt;=10,$E100*$I100/12*3,0))))))</f>
        <v>0</v>
      </c>
      <c r="CJ100" s="402">
        <f>IF($H100&lt;&gt;CK$5,0,IF(CK100&gt;0,IF(OR($J100=1,$J100=2,$J100=3,$J100=4,$J100=5,$J100=6,$J100=7,$J100=8,$J100=9,$J100=10),$E100*$I100/12*3,IF($J100=11,$E100*$I100/12*2,IF($J100=12,$E100*$I100/12*1,0)))))+IF(CF$5&lt;&gt;$H100,0,IF(CF100&gt;0,IF($J100=10,$E100*$I100/12*0,IF($J100=11,$E100*$I100/12*1,IF($J100=12,$E100*$I100/12*2,0)))))</f>
        <v>0</v>
      </c>
      <c r="CK100" s="403">
        <f>IF(AND(CF100&lt;&gt;0,CF$5=$H100),$I100*$E100-CF100,IF(CK$5=$H100,$I100*$E100*(12-$J100+1)/12,0))</f>
        <v>0</v>
      </c>
      <c r="CL100" s="400">
        <f>IF($H100&lt;&gt;CP$5,0,IF(CP100&gt;0,IF($J100=1,$E100*$I100/12*3,IF($J100=2,$E100*$I100/12*2,IF($J100=3,$E100*$I100/12*1,0)))))+IF(CK$5&lt;&gt;$H100,0,IF(CK100&gt;0,IF($J100=1,$E100*$I100/12*0,IF($J100=2,$E100*$I100/12*1,IF($J100=3,$E100*$I100/12*2,IF($J100&gt;=4,$E100*$I100/12*3,0))))))</f>
        <v>0</v>
      </c>
      <c r="CM100" s="401">
        <f>IF($H100&lt;&gt;CP$5,0,IF(CP100&gt;0,IF(OR($J100=1,$J100=2,$J100=3,$J100=4),$E100*$I100/12*3,IF($J100=5,$E100*$I100/12*2,IF($J100=6,$E100*$I100/12*1,0)))))+IF(CK$5&lt;&gt;$H100,0,IF(CK100&gt;0,IF($J100=4,$E100*$I100/12*0,IF($J100=5,$E100*$I100/12*1,IF($J100=6,$E100*$I100/12*2,IF($J100&gt;=7,$E100*$I100/12*3,0))))))</f>
        <v>0</v>
      </c>
      <c r="CN100" s="401">
        <f>IF($H100&lt;&gt;CP$5,0,IF(CP100&gt;0,IF(OR($J100=1,$J100=2,$J100=3,$J100=4,$J100=5,$J100=6,$J100=7),$E100*$I100/12*3,IF($J100=8,$E100*$I100/12*2,IF($J100=9,$E100*$I100/12*1,0)))))+IF(CK$5&lt;&gt;$H100,0,IF(CK100&gt;0,IF($J100=7,$E100*$I100/12*0,IF($J100=8,$E100*$I100/12*1,IF($J100=9,$E100*$I100/12*2,IF($J100&gt;=10,$E100*$I100/12*3,0))))))</f>
        <v>0</v>
      </c>
      <c r="CO100" s="402">
        <f>IF($H100&lt;&gt;CP$5,0,IF(CP100&gt;0,IF(OR($J100=1,$J100=2,$J100=3,$J100=4,$J100=5,$J100=6,$J100=7,$J100=8,$J100=9,$J100=10),$E100*$I100/12*3,IF($J100=11,$E100*$I100/12*2,IF($J100=12,$E100*$I100/12*1,0)))))+IF(CK$5&lt;&gt;$H100,0,IF(CK100&gt;0,IF($J100=10,$E100*$I100/12*0,IF($J100=11,$E100*$I100/12*1,IF($J100=12,$E100*$I100/12*2,0)))))</f>
        <v>0</v>
      </c>
      <c r="CP100" s="403">
        <f>IF(AND(CK100&lt;&gt;0,CK$5=$H100),$I100*$E100-CK100,IF(CP$5=$H100,$I100*$E100*(12-$J100+1)/12,0))</f>
        <v>0</v>
      </c>
      <c r="CQ100" s="400">
        <f>IF($H100&lt;&gt;CU$5,0,IF(CU100&gt;0,IF($J100=1,$E100*$I100/12*3,IF($J100=2,$E100*$I100/12*2,IF($J100=3,$E100*$I100/12*1,0)))))+IF(CP$5&lt;&gt;$H100,0,IF(CP100&gt;0,IF($J100=1,$E100*$I100/12*0,IF($J100=2,$E100*$I100/12*1,IF($J100=3,$E100*$I100/12*2,IF($J100&gt;=4,$E100*$I100/12*3,0))))))</f>
        <v>0</v>
      </c>
      <c r="CR100" s="401">
        <f>IF($H100&lt;&gt;CU$5,0,IF(CU100&gt;0,IF(OR($J100=1,$J100=2,$J100=3,$J100=4),$E100*$I100/12*3,IF($J100=5,$E100*$I100/12*2,IF($J100=6,$E100*$I100/12*1,0)))))+IF(CP$5&lt;&gt;$H100,0,IF(CP100&gt;0,IF($J100=4,$E100*$I100/12*0,IF($J100=5,$E100*$I100/12*1,IF($J100=6,$E100*$I100/12*2,IF($J100&gt;=7,$E100*$I100/12*3,0))))))</f>
        <v>0</v>
      </c>
      <c r="CS100" s="401">
        <f>IF($H100&lt;&gt;CU$5,0,IF(CU100&gt;0,IF(OR($J100=1,$J100=2,$J100=3,$J100=4,$J100=5,$J100=6,$J100=7),$E100*$I100/12*3,IF($J100=8,$E100*$I100/12*2,IF($J100=9,$E100*$I100/12*1,0)))))+IF(CP$5&lt;&gt;$H100,0,IF(CP100&gt;0,IF($J100=7,$E100*$I100/12*0,IF($J100=8,$E100*$I100/12*1,IF($J100=9,$E100*$I100/12*2,IF($J100&gt;=10,$E100*$I100/12*3,0))))))</f>
        <v>0</v>
      </c>
      <c r="CT100" s="402">
        <f>IF($H100&lt;&gt;CU$5,0,IF(CU100&gt;0,IF(OR($J100=1,$J100=2,$J100=3,$J100=4,$J100=5,$J100=6,$J100=7,$J100=8,$J100=9,$J100=10),$E100*$I100/12*3,IF($J100=11,$E100*$I100/12*2,IF($J100=12,$E100*$I100/12*1,0)))))+IF(CP$5&lt;&gt;$H100,0,IF(CP100&gt;0,IF($J100=10,$E100*$I100/12*0,IF($J100=11,$E100*$I100/12*1,IF($J100=12,$E100*$I100/12*2,0)))))</f>
        <v>0</v>
      </c>
      <c r="CU100" s="403">
        <f>IF(AND(CP100&lt;&gt;0,CP$5=$H100),$I100*$E100-CP100,IF(CU$5=$H100,$I100*$E100*(12-$J100+1)/12,0))</f>
        <v>0</v>
      </c>
      <c r="CV100" s="400">
        <f>IF($H100&lt;&gt;CZ$5,0,IF(CZ100&gt;0,IF($J100=1,$E100*$I100/12*3,IF($J100=2,$E100*$I100/12*2,IF($J100=3,$E100*$I100/12*1,0)))))+IF(CU$5&lt;&gt;$H100,0,IF(CU100&gt;0,IF($J100=1,$E100*$I100/12*0,IF($J100=2,$E100*$I100/12*1,IF($J100=3,$E100*$I100/12*2,IF($J100&gt;=4,$E100*$I100/12*3,0))))))</f>
        <v>0</v>
      </c>
      <c r="CW100" s="401">
        <f>IF($H100&lt;&gt;CZ$5,0,IF(CZ100&gt;0,IF(OR($J100=1,$J100=2,$J100=3,$J100=4),$E100*$I100/12*3,IF($J100=5,$E100*$I100/12*2,IF($J100=6,$E100*$I100/12*1,0)))))+IF(CU$5&lt;&gt;$H100,0,IF(CU100&gt;0,IF($J100=4,$E100*$I100/12*0,IF($J100=5,$E100*$I100/12*1,IF($J100=6,$E100*$I100/12*2,IF($J100&gt;=7,$E100*$I100/12*3,0))))))</f>
        <v>0</v>
      </c>
      <c r="CX100" s="401">
        <f>IF($H100&lt;&gt;CZ$5,0,IF(CZ100&gt;0,IF(OR($J100=1,$J100=2,$J100=3,$J100=4,$J100=5,$J100=6,$J100=7),$E100*$I100/12*3,IF($J100=8,$E100*$I100/12*2,IF($J100=9,$E100*$I100/12*1,0)))))+IF(CU$5&lt;&gt;$H100,0,IF(CU100&gt;0,IF($J100=7,$E100*$I100/12*0,IF($J100=8,$E100*$I100/12*1,IF($J100=9,$E100*$I100/12*2,IF($J100&gt;=10,$E100*$I100/12*3,0))))))</f>
        <v>0</v>
      </c>
      <c r="CY100" s="402">
        <f>IF($H100&lt;&gt;CZ$5,0,IF(CZ100&gt;0,IF(OR($J100=1,$J100=2,$J100=3,$J100=4,$J100=5,$J100=6,$J100=7,$J100=8,$J100=9,$J100=10),$E100*$I100/12*3,IF($J100=11,$E100*$I100/12*2,IF($J100=12,$E100*$I100/12*1,0)))))+IF(CU$5&lt;&gt;$H100,0,IF(CU100&gt;0,IF($J100=10,$E100*$I100/12*0,IF($J100=11,$E100*$I100/12*1,IF($J100=12,$E100*$I100/12*2,0)))))</f>
        <v>0</v>
      </c>
      <c r="CZ100" s="403">
        <f>IF(AND(CU100&lt;&gt;0,CU$5=$H100),$I100*$E100-CU100,IF(CZ$5=$H100,$I100*$E100*(12-$J100+1)/12,0))</f>
        <v>0</v>
      </c>
      <c r="DA100" s="400">
        <f>IF($H100&lt;&gt;DE$5,0,IF(DE100&gt;0,IF($J100=1,$E100*$I100/12*3,IF($J100=2,$E100*$I100/12*2,IF($J100=3,$E100*$I100/12*1,0)))))+IF(CZ$5&lt;&gt;$H100,0,IF(CZ100&gt;0,IF($J100=1,$E100*$I100/12*0,IF($J100=2,$E100*$I100/12*1,IF($J100=3,$E100*$I100/12*2,IF($J100&gt;=4,$E100*$I100/12*3,0))))))</f>
        <v>0</v>
      </c>
      <c r="DB100" s="401">
        <f>IF($H100&lt;&gt;DE$5,0,IF(DE100&gt;0,IF(OR($J100=1,$J100=2,$J100=3,$J100=4),$E100*$I100/12*3,IF($J100=5,$E100*$I100/12*2,IF($J100=6,$E100*$I100/12*1,0)))))+IF(CZ$5&lt;&gt;$H100,0,IF(CZ100&gt;0,IF($J100=4,$E100*$I100/12*0,IF($J100=5,$E100*$I100/12*1,IF($J100=6,$E100*$I100/12*2,IF($J100&gt;=7,$E100*$I100/12*3,0))))))</f>
        <v>0</v>
      </c>
      <c r="DC100" s="401">
        <f>IF($H100&lt;&gt;DE$5,0,IF(DE100&gt;0,IF(OR($J100=1,$J100=2,$J100=3,$J100=4,$J100=5,$J100=6,$J100=7),$E100*$I100/12*3,IF($J100=8,$E100*$I100/12*2,IF($J100=9,$E100*$I100/12*1,0)))))+IF(CZ$5&lt;&gt;$H100,0,IF(CZ100&gt;0,IF($J100=7,$E100*$I100/12*0,IF($J100=8,$E100*$I100/12*1,IF($J100=9,$E100*$I100/12*2,IF($J100&gt;=10,$E100*$I100/12*3,0))))))</f>
        <v>0</v>
      </c>
      <c r="DD100" s="402">
        <f>IF($H100&lt;&gt;DE$5,0,IF(DE100&gt;0,IF(OR($J100=1,$J100=2,$J100=3,$J100=4,$J100=5,$J100=6,$J100=7,$J100=8,$J100=9,$J100=10),$E100*$I100/12*3,IF($J100=11,$E100*$I100/12*2,IF($J100=12,$E100*$I100/12*1,0)))))+IF(CZ$5&lt;&gt;$H100,0,IF(CZ100&gt;0,IF($J100=10,$E100*$I100/12*0,IF($J100=11,$E100*$I100/12*1,IF($J100=12,$E100*$I100/12*2,0)))))</f>
        <v>0</v>
      </c>
      <c r="DE100" s="403">
        <f>IF(AND(CZ100&lt;&gt;0,CZ$5=$H100),$I100*$E100-CZ100,IF(DE$5=$H100,$I100*$E100*(12-$J100+1)/12,0))</f>
        <v>0</v>
      </c>
      <c r="DF100" s="400">
        <f>IF($H100&lt;&gt;DJ$5,0,IF(DJ100&gt;0,IF($J100=1,$E100*$I100/12*3,IF($J100=2,$E100*$I100/12*2,IF($J100=3,$E100*$I100/12*1,0)))))+IF(DE$5&lt;&gt;$H100,0,IF(DE100&gt;0,IF($J100=1,$E100*$I100/12*0,IF($J100=2,$E100*$I100/12*1,IF($J100=3,$E100*$I100/12*2,IF($J100&gt;=4,$E100*$I100/12*3,0))))))</f>
        <v>0</v>
      </c>
      <c r="DG100" s="401">
        <f>IF($H100&lt;&gt;DJ$5,0,IF(DJ100&gt;0,IF(OR($J100=1,$J100=2,$J100=3,$J100=4),$E100*$I100/12*3,IF($J100=5,$E100*$I100/12*2,IF($J100=6,$E100*$I100/12*1,0)))))+IF(DE$5&lt;&gt;$H100,0,IF(DE100&gt;0,IF($J100=4,$E100*$I100/12*0,IF($J100=5,$E100*$I100/12*1,IF($J100=6,$E100*$I100/12*2,IF($J100&gt;=7,$E100*$I100/12*3,0))))))</f>
        <v>0</v>
      </c>
      <c r="DH100" s="401">
        <f>IF($H100&lt;&gt;DJ$5,0,IF(DJ100&gt;0,IF(OR($J100=1,$J100=2,$J100=3,$J100=4,$J100=5,$J100=6,$J100=7),$E100*$I100/12*3,IF($J100=8,$E100*$I100/12*2,IF($J100=9,$E100*$I100/12*1,0)))))+IF(DE$5&lt;&gt;$H100,0,IF(DE100&gt;0,IF($J100=7,$E100*$I100/12*0,IF($J100=8,$E100*$I100/12*1,IF($J100=9,$E100*$I100/12*2,IF($J100&gt;=10,$E100*$I100/12*3,0))))))</f>
        <v>0</v>
      </c>
      <c r="DI100" s="402">
        <f>IF($H100&lt;&gt;DJ$5,0,IF(DJ100&gt;0,IF(OR($J100=1,$J100=2,$J100=3,$J100=4,$J100=5,$J100=6,$J100=7,$J100=8,$J100=9,$J100=10),$E100*$I100/12*3,IF($J100=11,$E100*$I100/12*2,IF($J100=12,$E100*$I100/12*1,0)))))+IF(DE$5&lt;&gt;$H100,0,IF(DE100&gt;0,IF($J100=10,$E100*$I100/12*0,IF($J100=11,$E100*$I100/12*1,IF($J100=12,$E100*$I100/12*2,0)))))</f>
        <v>0</v>
      </c>
      <c r="DJ100" s="403">
        <f>IF(AND(DE100&lt;&gt;0,DE$5=$H100),$I100*$E100-DE100,IF(DJ$5=$H100,$I100*$E100*(12-$J100+1)/12,0))</f>
        <v>0</v>
      </c>
      <c r="DK100" s="400">
        <f>IF($H100&lt;&gt;DO$5,0,IF(DO100&gt;0,IF($J100=1,$E100*$I100/12*3,IF($J100=2,$E100*$I100/12*2,IF($J100=3,$E100*$I100/12*1,0)))))+IF(DJ$5&lt;&gt;$H100,0,IF(DJ100&gt;0,IF($J100=1,$E100*$I100/12*0,IF($J100=2,$E100*$I100/12*1,IF($J100=3,$E100*$I100/12*2,IF($J100&gt;=4,$E100*$I100/12*3,0))))))</f>
        <v>0</v>
      </c>
      <c r="DL100" s="401">
        <f>IF($H100&lt;&gt;DO$5,0,IF(DO100&gt;0,IF(OR($J100=1,$J100=2,$J100=3,$J100=4),$E100*$I100/12*3,IF($J100=5,$E100*$I100/12*2,IF($J100=6,$E100*$I100/12*1,0)))))+IF(DJ$5&lt;&gt;$H100,0,IF(DJ100&gt;0,IF($J100=4,$E100*$I100/12*0,IF($J100=5,$E100*$I100/12*1,IF($J100=6,$E100*$I100/12*2,IF($J100&gt;=7,$E100*$I100/12*3,0))))))</f>
        <v>0</v>
      </c>
      <c r="DM100" s="401">
        <f>IF($H100&lt;&gt;DO$5,0,IF(DO100&gt;0,IF(OR($J100=1,$J100=2,$J100=3,$J100=4,$J100=5,$J100=6,$J100=7),$E100*$I100/12*3,IF($J100=8,$E100*$I100/12*2,IF($J100=9,$E100*$I100/12*1,0)))))+IF(DJ$5&lt;&gt;$H100,0,IF(DJ100&gt;0,IF($J100=7,$E100*$I100/12*0,IF($J100=8,$E100*$I100/12*1,IF($J100=9,$E100*$I100/12*2,IF($J100&gt;=10,$E100*$I100/12*3,0))))))</f>
        <v>0.5625</v>
      </c>
      <c r="DN100" s="402">
        <f>IF($H100&lt;&gt;DO$5,0,IF(DO100&gt;0,IF(OR($J100=1,$J100=2,$J100=3,$J100=4,$J100=5,$J100=6,$J100=7,$J100=8,$J100=9,$J100=10),$E100*$I100/12*3,IF($J100=11,$E100*$I100/12*2,IF($J100=12,$E100*$I100/12*1,0)))))+IF(DJ$5&lt;&gt;$H100,0,IF(DJ100&gt;0,IF($J100=10,$E100*$I100/12*0,IF($J100=11,$E100*$I100/12*1,IF($J100=12,$E100*$I100/12*2,0)))))</f>
        <v>0.5625</v>
      </c>
      <c r="DO100" s="403">
        <f>IF(AND(DJ100&lt;&gt;0,DJ$5=$H100),$I100*$E100-DJ100,IF(DO$5=$H100,$I100*$E100*(12-$J100+1)/12,0))</f>
        <v>1.125</v>
      </c>
      <c r="DP100" s="400">
        <f>IF($H100&lt;&gt;DT$5,0,IF(DT100&gt;0,IF($J100=1,$E100*$I100/12*3,IF($J100=2,$E100*$I100/12*2,IF($J100=3,$E100*$I100/12*1,0)))))+IF(DO$5&lt;&gt;$H100,0,IF(DO100&gt;0,IF($J100=1,$E100*$I100/12*0,IF($J100=2,$E100*$I100/12*1,IF($J100=3,$E100*$I100/12*2,IF($J100&gt;=4,$E100*$I100/12*3,0))))))</f>
        <v>0.5625</v>
      </c>
      <c r="DQ100" s="401">
        <f>IF($H100&lt;&gt;DT$5,0,IF(DT100&gt;0,IF(OR($J100=1,$J100=2,$J100=3,$J100=4),$E100*$I100/12*3,IF($J100=5,$E100*$I100/12*2,IF($J100=6,$E100*$I100/12*1,0)))))+IF(DO$5&lt;&gt;$H100,0,IF(DO100&gt;0,IF($J100=4,$E100*$I100/12*0,IF($J100=5,$E100*$I100/12*1,IF($J100=6,$E100*$I100/12*2,IF($J100&gt;=7,$E100*$I100/12*3,0))))))</f>
        <v>0.5625</v>
      </c>
      <c r="DR100" s="401">
        <f>IF($H100&lt;&gt;DT$5,0,IF(DT100&gt;0,IF(OR($J100=1,$J100=2,$J100=3,$J100=4,$J100=5,$J100=6,$J100=7),$E100*$I100/12*3,IF($J100=8,$E100*$I100/12*2,IF($J100=9,$E100*$I100/12*1,0)))))+IF(DO$5&lt;&gt;$H100,0,IF(DO100&gt;0,IF($J100=7,$E100*$I100/12*0,IF($J100=8,$E100*$I100/12*1,IF($J100=9,$E100*$I100/12*2,IF($J100&gt;=10,$E100*$I100/12*3,0))))))</f>
        <v>0</v>
      </c>
      <c r="DS100" s="402">
        <f>IF($H100&lt;&gt;DT$5,0,IF(DT100&gt;0,IF(OR($J100=1,$J100=2,$J100=3,$J100=4,$J100=5,$J100=6,$J100=7,$J100=8,$J100=9,$J100=10),$E100*$I100/12*3,IF($J100=11,$E100*$I100/12*2,IF($J100=12,$E100*$I100/12*1,0)))))+IF(DO$5&lt;&gt;$H100,0,IF(DO100&gt;0,IF($J100=10,$E100*$I100/12*0,IF($J100=11,$E100*$I100/12*1,IF($J100=12,$E100*$I100/12*2,0)))))</f>
        <v>0</v>
      </c>
      <c r="DT100" s="403">
        <f>IF(AND(DO100&lt;&gt;0,DO$5=$H100),$I100*$E100-DO100,IF(DT$5=$H100,$I100*$E100*(12-$J100+1)/12,0))</f>
        <v>1.125</v>
      </c>
    </row>
    <row r="101" spans="1:139" ht="12.75" customHeight="1" x14ac:dyDescent="0.2">
      <c r="C101" s="996" t="s">
        <v>674</v>
      </c>
      <c r="D101" s="52"/>
      <c r="E101" s="530">
        <f>+'NSP-WI'!BQ182</f>
        <v>50</v>
      </c>
      <c r="F101" s="537"/>
      <c r="G101" s="537"/>
      <c r="H101" s="468">
        <v>2021</v>
      </c>
      <c r="I101" s="469">
        <v>4.4999999999999998E-2</v>
      </c>
      <c r="J101" s="470">
        <v>7</v>
      </c>
      <c r="K101" s="392"/>
      <c r="L101" s="393"/>
      <c r="M101" s="394">
        <f>IF(Q101=0,0,IF(Q101&gt;0,IF($J101=3,Q101,IF($J101=2,Q101,IF($J101=1,Q101,0)))))</f>
        <v>0</v>
      </c>
      <c r="N101" s="395">
        <f>IF(Q101=0,0,IF(Q101&gt;0,IF($J101=6,Q101,IF($J101=5,Q101,IF($J101=4,Q101,0)))))</f>
        <v>0</v>
      </c>
      <c r="O101" s="395">
        <f>IF(Q101=0,0,IF(Q101&gt;0,IF($J101=9,Q101,IF($J101=8,Q101,IF($J101=7,Q101,0)))))</f>
        <v>0</v>
      </c>
      <c r="P101" s="396">
        <f>IF(Q101=0,0,IF(Q101&gt;0,IF($J101=12,Q101,IF($J101=11,Q101,IF($J101=10,Q101,0)))))</f>
        <v>0</v>
      </c>
      <c r="Q101" s="397">
        <f>IF(Q$5=$H101,$E101,0)</f>
        <v>0</v>
      </c>
      <c r="R101" s="394">
        <f>IF(V101=0,0,IF(V101&gt;0,IF($J101=3,V101,IF($J101=2,V101,IF($J101=1,V101,0)))))</f>
        <v>0</v>
      </c>
      <c r="S101" s="395">
        <f>IF(V101=0,0,IF(V101&gt;0,IF($J101=6,V101,IF($J101=5,V101,IF($J101=4,V101,0)))))</f>
        <v>0</v>
      </c>
      <c r="T101" s="395">
        <f>IF(V101=0,0,IF(V101&gt;0,IF($J101=9,V101,IF($J101=8,V101,IF($J101=7,V101,0)))))</f>
        <v>0</v>
      </c>
      <c r="U101" s="396">
        <f>IF(V101=0,0,IF(V101&gt;0,IF($J101=12,V101,IF($J101=11,V101,IF($J101=10,V101,0)))))</f>
        <v>0</v>
      </c>
      <c r="V101" s="397">
        <f>IF(V$5=$H101,$E101,0)</f>
        <v>0</v>
      </c>
      <c r="W101" s="394">
        <f>IF(AA101=0,0,IF(AA101&gt;0,IF($J101=3,AA101,IF($J101=2,AA101,IF($J101=1,AA101,0)))))</f>
        <v>0</v>
      </c>
      <c r="X101" s="395">
        <f>IF(AA101=0,0,IF(AA101&gt;0,IF($J101=6,AA101,IF($J101=5,AA101,IF($J101=4,AA101,0)))))</f>
        <v>0</v>
      </c>
      <c r="Y101" s="395">
        <f>IF(AA101=0,0,IF(AA101&gt;0,IF($J101=9,AA101,IF($J101=8,AA101,IF($J101=7,AA101,0)))))</f>
        <v>0</v>
      </c>
      <c r="Z101" s="396">
        <f>IF(AA101=0,0,IF(AA101&gt;0,IF($J101=12,AA101,IF($J101=11,AA101,IF($J101=10,AA101,0)))))</f>
        <v>0</v>
      </c>
      <c r="AA101" s="397">
        <f>IF(AA$5=$H101,$E101,0)</f>
        <v>0</v>
      </c>
      <c r="AB101" s="394">
        <f>IF(AF101=0,0,IF(AF101&gt;0,IF($J101=3,AF101,IF($J101=2,AF101,IF($J101=1,AF101,0)))))</f>
        <v>0</v>
      </c>
      <c r="AC101" s="395">
        <f>IF(AF101=0,0,IF(AF101&gt;0,IF($J101=6,AF101,IF($J101=5,AF101,IF($J101=4,AF101,0)))))</f>
        <v>0</v>
      </c>
      <c r="AD101" s="395">
        <f>IF(AF101=0,0,IF(AF101&gt;0,IF($J101=9,AF101,IF($J101=8,AF101,IF($J101=7,AF101,0)))))</f>
        <v>0</v>
      </c>
      <c r="AE101" s="396">
        <f>IF(AF101=0,0,IF(AF101&gt;0,IF($J101=12,AF101,IF($J101=11,AF101,IF($J101=10,AF101,0)))))</f>
        <v>0</v>
      </c>
      <c r="AF101" s="397">
        <f>IF(AF$5=$H101,$E101,0)</f>
        <v>0</v>
      </c>
      <c r="AG101" s="394">
        <f>IF(AK101=0,0,IF(AK101&gt;0,IF($J101=3,AK101,IF($J101=2,AK101,IF($J101=1,AK101,0)))))</f>
        <v>0</v>
      </c>
      <c r="AH101" s="395">
        <f>IF(AK101=0,0,IF(AK101&gt;0,IF($J101=6,AK101,IF($J101=5,AK101,IF($J101=4,AK101,0)))))</f>
        <v>0</v>
      </c>
      <c r="AI101" s="395">
        <f>IF(AK101=0,0,IF(AK101&gt;0,IF($J101=9,AK101,IF($J101=8,AK101,IF($J101=7,AK101,0)))))</f>
        <v>0</v>
      </c>
      <c r="AJ101" s="396">
        <f>IF(AK101=0,0,IF(AK101&gt;0,IF($J101=12,AK101,IF($J101=11,AK101,IF($J101=10,AK101,0)))))</f>
        <v>0</v>
      </c>
      <c r="AK101" s="397">
        <f>IF(AK$5=$H101,$E101,0)</f>
        <v>0</v>
      </c>
      <c r="AL101" s="394">
        <f>IF(AP101=0,0,IF(AP101&gt;0,IF($J101=3,AP101,IF($J101=2,AP101,IF($J101=1,AP101,0)))))</f>
        <v>0</v>
      </c>
      <c r="AM101" s="395">
        <f>IF(AP101=0,0,IF(AP101&gt;0,IF($J101=6,AP101,IF($J101=5,AP101,IF($J101=4,AP101,0)))))</f>
        <v>0</v>
      </c>
      <c r="AN101" s="395">
        <f>IF(AP101=0,0,IF(AP101&gt;0,IF($J101=9,AP101,IF($J101=8,AP101,IF($J101=7,AP101,0)))))</f>
        <v>0</v>
      </c>
      <c r="AO101" s="396">
        <f>IF(AP101=0,0,IF(AP101&gt;0,IF($J101=12,AP101,IF($J101=11,AP101,IF($J101=10,AP101,0)))))</f>
        <v>0</v>
      </c>
      <c r="AP101" s="397">
        <f>IF(AP$5=$H101,$E101,0)</f>
        <v>0</v>
      </c>
      <c r="AQ101" s="394">
        <f>IF(AU101=0,0,IF(AU101&gt;0,IF($J101=3,AU101,IF($J101=2,AU101,IF($J101=1,AU101,0)))))</f>
        <v>0</v>
      </c>
      <c r="AR101" s="395">
        <f>IF(AU101=0,0,IF(AU101&gt;0,IF($J101=6,AU101,IF($J101=5,AU101,IF($J101=4,AU101,0)))))</f>
        <v>0</v>
      </c>
      <c r="AS101" s="395">
        <f>IF(AU101=0,0,IF(AU101&gt;0,IF($J101=9,AU101,IF($J101=8,AU101,IF($J101=7,AU101,0)))))</f>
        <v>0</v>
      </c>
      <c r="AT101" s="396">
        <f>IF(AU101=0,0,IF(AU101&gt;0,IF($J101=12,AU101,IF($J101=11,AU101,IF($J101=10,AU101,0)))))</f>
        <v>0</v>
      </c>
      <c r="AU101" s="397">
        <f>IF(AU$5=$H101,$E101,0)</f>
        <v>0</v>
      </c>
      <c r="AV101" s="394">
        <f>IF(AZ101=0,0,IF(AZ101&gt;0,IF($J101=3,AZ101,IF($J101=2,AZ101,IF($J101=1,AZ101,0)))))</f>
        <v>0</v>
      </c>
      <c r="AW101" s="395">
        <f>IF(AZ101=0,0,IF(AZ101&gt;0,IF($J101=6,AZ101,IF($J101=5,AZ101,IF($J101=4,AZ101,0)))))</f>
        <v>0</v>
      </c>
      <c r="AX101" s="395">
        <f>IF(AZ101=0,0,IF(AZ101&gt;0,IF($J101=9,AZ101,IF($J101=8,AZ101,IF($J101=7,AZ101,0)))))</f>
        <v>0</v>
      </c>
      <c r="AY101" s="396">
        <f>IF(AZ101=0,0,IF(AZ101&gt;0,IF($J101=12,AZ101,IF($J101=11,AZ101,IF($J101=10,AZ101,0)))))</f>
        <v>0</v>
      </c>
      <c r="AZ101" s="397">
        <f>IF(AZ$5=$H101,$E101,0)</f>
        <v>0</v>
      </c>
      <c r="BA101" s="394">
        <f>IF(BE101=0,0,IF(BE101&gt;0,IF($J101=3,BE101,IF($J101=2,BE101,IF($J101=1,BE101,0)))))</f>
        <v>0</v>
      </c>
      <c r="BB101" s="395">
        <f>IF(BE101=0,0,IF(BE101&gt;0,IF($J101=6,BE101,IF($J101=5,BE101,IF($J101=4,BE101,0)))))</f>
        <v>0</v>
      </c>
      <c r="BC101" s="395">
        <f>IF(BE101=0,0,IF(BE101&gt;0,IF($J101=9,BE101,IF($J101=8,BE101,IF($J101=7,BE101,0)))))</f>
        <v>0</v>
      </c>
      <c r="BD101" s="396">
        <f>IF(BE101=0,0,IF(BE101&gt;0,IF($J101=12,BE101,IF($J101=11,BE101,IF($J101=10,BE101,0)))))</f>
        <v>0</v>
      </c>
      <c r="BE101" s="397">
        <f>IF(BE$5=$H101,$E101,0)</f>
        <v>0</v>
      </c>
      <c r="BF101" s="394">
        <f>IF(BJ101=0,0,IF(BJ101&gt;0,IF($J101=3,BJ101,IF($J101=2,BJ101,IF($J101=1,BJ101,0)))))</f>
        <v>0</v>
      </c>
      <c r="BG101" s="395">
        <f>IF(BJ101=0,0,IF(BJ101&gt;0,IF($J101=6,BJ101,IF($J101=5,BJ101,IF($J101=4,BJ101,0)))))</f>
        <v>0</v>
      </c>
      <c r="BH101" s="395">
        <f>IF(BJ101=0,0,IF(BJ101&gt;0,IF($J101=9,BJ101,IF($J101=8,BJ101,IF($J101=7,BJ101,0)))))</f>
        <v>0</v>
      </c>
      <c r="BI101" s="396">
        <f>IF(BJ101=0,0,IF(BJ101&gt;0,IF($J101=12,BJ101,IF($J101=11,BJ101,IF($J101=10,BJ101,0)))))</f>
        <v>0</v>
      </c>
      <c r="BJ101" s="397">
        <f>IF(BJ$5=$H101,$E101,0)</f>
        <v>0</v>
      </c>
      <c r="BK101" s="394">
        <f>IF(BO101=0,0,IF(BO101&gt;0,IF($J101=3,BO101,IF($J101=2,BO101,IF($J101=1,BO101,0)))))</f>
        <v>0</v>
      </c>
      <c r="BL101" s="395">
        <f>IF(BO101=0,0,IF(BO101&gt;0,IF($J101=6,BO101,IF($J101=5,BO101,IF($J101=4,BO101,0)))))</f>
        <v>0</v>
      </c>
      <c r="BM101" s="395">
        <f>IF(BO101=0,0,IF(BO101&gt;0,IF($J101=9,BO101,IF($J101=8,BO101,IF($J101=7,BO101,0)))))</f>
        <v>50</v>
      </c>
      <c r="BN101" s="396">
        <f>IF(BO101=0,0,IF(BO101&gt;0,IF($J101=12,BO101,IF($J101=11,BO101,IF($J101=10,BO101,0)))))</f>
        <v>0</v>
      </c>
      <c r="BO101" s="397">
        <f>IF(BO$5=$H101,$E101,0)</f>
        <v>50</v>
      </c>
      <c r="BP101" s="445"/>
      <c r="BQ101" s="399">
        <f>IF(AND(BP101&lt;&gt;0,BP$5=$H101),$I101*$E101-BP101,IF(BQ$5=$H101,$I101*$E101*(12-$J101+1)/12,0))</f>
        <v>0</v>
      </c>
      <c r="BR101" s="400">
        <f>IF($H101&lt;&gt;BV$5,0,IF(BV101&gt;0,IF($J101=1,$E101*$I101/12*3,IF($J101=2,$E101*$I101/12*2,IF($J101=3,$E101*$I101/12*1,0)))))+IF(BQ$5&lt;&gt;$H101,0,IF(BQ101&gt;0,IF($J101=1,$E101*$I101/12*0,IF($J101=2,$E101*$I101/12*1,IF($J101=3,$E101*$I101/12*2,IF($J101&gt;=4,$E101*$I101/12*3,0))))))</f>
        <v>0</v>
      </c>
      <c r="BS101" s="401">
        <f>IF($H101&lt;&gt;BV$5,0,IF(BV101&gt;0,IF(OR($J101=1,$J101=2,$J101=3,$J101=4),$E101*$I101/12*3,IF($J101=5,$E101*$I101/12*2,IF($J101=6,$E101*$I101/12*1,0)))))+IF(BQ$5&lt;&gt;$H101,0,IF(BQ101&gt;0,IF($J101=4,$E101*$I101/12*0,IF($J101=5,$E101*$I101/12*1,IF($J101=6,$E101*$I101/12*2,IF($J101&gt;=7,$E101*$I101/12*3,0))))))</f>
        <v>0</v>
      </c>
      <c r="BT101" s="401">
        <f>IF($H101&lt;&gt;BV$5,0,IF(BV101&gt;0,IF(OR($J101=1,$J101=2,$J101=3,$J101=4,$J101=5,$J101=6,$J101=7),$E101*$I101/12*3,IF($J101=8,$E101*$I101/12*2,IF($J101=9,$E101*$I101/12*1,0)))))+IF(BQ$5&lt;&gt;$H101,0,IF(BQ101&gt;0,IF($J101=7,$E101*$I101/12*0,IF($J101=8,$E101*$I101/12*1,IF($J101=9,$E101*$I101/12*2,IF($J101&gt;=10,$E101*$I101/12*3,0))))))</f>
        <v>0</v>
      </c>
      <c r="BU101" s="402">
        <f>IF($H101&lt;&gt;BV$5,0,IF(BV101&gt;0,IF(OR($J101=1,$J101=2,$J101=3,$J101=4,$J101=5,$J101=6,$J101=7,$J101=8,$J101=9,$J101=10),$E101*$I101/12*3,IF($J101=11,$E101*$I101/12*2,IF($J101=12,$E101*$I101/12*1,0)))))+IF(BQ$5&lt;&gt;$H101,0,IF(BQ101&gt;0,IF($J101=10,$E101*$I101/12*0,IF($J101=11,$E101*$I101/12*1,IF($J101=12,$E101*$I101/12*2,0)))))</f>
        <v>0</v>
      </c>
      <c r="BV101" s="403">
        <f>IF(AND(BQ101&lt;&gt;0,BQ$5=$H101),$I101*$E101-BQ101,IF(BV$5=$H101,$I101*$E101*(12-$J101+1)/12,0))</f>
        <v>0</v>
      </c>
      <c r="BW101" s="400">
        <f>IF($H101&lt;&gt;CA$5,0,IF(CA101&gt;0,IF($J101=1,$E101*$I101/12*3,IF($J101=2,$E101*$I101/12*2,IF($J101=3,$E101*$I101/12*1,0)))))+IF(BV$5&lt;&gt;$H101,0,IF(BV101&gt;0,IF($J101=1,$E101*$I101/12*0,IF($J101=2,$E101*$I101/12*1,IF($J101=3,$E101*$I101/12*2,IF($J101&gt;=4,$E101*$I101/12*3,0))))))</f>
        <v>0</v>
      </c>
      <c r="BX101" s="401">
        <f>IF($H101&lt;&gt;CA$5,0,IF(CA101&gt;0,IF(OR($J101=1,$J101=2,$J101=3,$J101=4),$E101*$I101/12*3,IF($J101=5,$E101*$I101/12*2,IF($J101=6,$E101*$I101/12*1,0)))))+IF(BV$5&lt;&gt;$H101,0,IF(BV101&gt;0,IF($J101=4,$E101*$I101/12*0,IF($J101=5,$E101*$I101/12*1,IF($J101=6,$E101*$I101/12*2,IF($J101&gt;=7,$E101*$I101/12*3,0))))))</f>
        <v>0</v>
      </c>
      <c r="BY101" s="401">
        <f>IF($H101&lt;&gt;CA$5,0,IF(CA101&gt;0,IF(OR($J101=1,$J101=2,$J101=3,$J101=4,$J101=5,$J101=6,$J101=7),$E101*$I101/12*3,IF($J101=8,$E101*$I101/12*2,IF($J101=9,$E101*$I101/12*1,0)))))+IF(BV$5&lt;&gt;$H101,0,IF(BV101&gt;0,IF($J101=7,$E101*$I101/12*0,IF($J101=8,$E101*$I101/12*1,IF($J101=9,$E101*$I101/12*2,IF($J101&gt;=10,$E101*$I101/12*3,0))))))</f>
        <v>0</v>
      </c>
      <c r="BZ101" s="402">
        <f>IF($H101&lt;&gt;CA$5,0,IF(CA101&gt;0,IF(OR($J101=1,$J101=2,$J101=3,$J101=4,$J101=5,$J101=6,$J101=7,$J101=8,$J101=9,$J101=10),$E101*$I101/12*3,IF($J101=11,$E101*$I101/12*2,IF($J101=12,$E101*$I101/12*1,0)))))+IF(BV$5&lt;&gt;$H101,0,IF(BV101&gt;0,IF($J101=10,$E101*$I101/12*0,IF($J101=11,$E101*$I101/12*1,IF($J101=12,$E101*$I101/12*2,0)))))</f>
        <v>0</v>
      </c>
      <c r="CA101" s="403">
        <f>IF(AND(BV101&lt;&gt;0,BV$5=$H101),$I101*$E101-BV101,IF(CA$5=$H101,$I101*$E101*(12-$J101+1)/12,0))</f>
        <v>0</v>
      </c>
      <c r="CB101" s="400">
        <f>IF($H101&lt;&gt;CF$5,0,IF(CF101&gt;0,IF($J101=1,$E101*$I101/12*3,IF($J101=2,$E101*$I101/12*2,IF($J101=3,$E101*$I101/12*1,0)))))+IF(CA$5&lt;&gt;$H101,0,IF(CA101&gt;0,IF($J101=1,$E101*$I101/12*0,IF($J101=2,$E101*$I101/12*1,IF($J101=3,$E101*$I101/12*2,IF($J101&gt;=4,$E101*$I101/12*3,0))))))</f>
        <v>0</v>
      </c>
      <c r="CC101" s="401">
        <f>IF($H101&lt;&gt;CF$5,0,IF(CF101&gt;0,IF(OR($J101=1,$J101=2,$J101=3,$J101=4),$E101*$I101/12*3,IF($J101=5,$E101*$I101/12*2,IF($J101=6,$E101*$I101/12*1,0)))))+IF(CA$5&lt;&gt;$H101,0,IF(CA101&gt;0,IF($J101=4,$E101*$I101/12*0,IF($J101=5,$E101*$I101/12*1,IF($J101=6,$E101*$I101/12*2,IF($J101&gt;=7,$E101*$I101/12*3,0))))))</f>
        <v>0</v>
      </c>
      <c r="CD101" s="401">
        <f>IF($H101&lt;&gt;CF$5,0,IF(CF101&gt;0,IF(OR($J101=1,$J101=2,$J101=3,$J101=4,$J101=5,$J101=6,$J101=7),$E101*$I101/12*3,IF($J101=8,$E101*$I101/12*2,IF($J101=9,$E101*$I101/12*1,0)))))+IF(CA$5&lt;&gt;$H101,0,IF(CA101&gt;0,IF($J101=7,$E101*$I101/12*0,IF($J101=8,$E101*$I101/12*1,IF($J101=9,$E101*$I101/12*2,IF($J101&gt;=10,$E101*$I101/12*3,0))))))</f>
        <v>0</v>
      </c>
      <c r="CE101" s="402">
        <f>IF($H101&lt;&gt;CF$5,0,IF(CF101&gt;0,IF(OR($J101=1,$J101=2,$J101=3,$J101=4,$J101=5,$J101=6,$J101=7,$J101=8,$J101=9,$J101=10),$E101*$I101/12*3,IF($J101=11,$E101*$I101/12*2,IF($J101=12,$E101*$I101/12*1,0)))))+IF(CA$5&lt;&gt;$H101,0,IF(CA101&gt;0,IF($J101=10,$E101*$I101/12*0,IF($J101=11,$E101*$I101/12*1,IF($J101=12,$E101*$I101/12*2,0)))))</f>
        <v>0</v>
      </c>
      <c r="CF101" s="403">
        <f>IF(AND(CA101&lt;&gt;0,CA$5=$H101),$I101*$E101-CA101,IF(CF$5=$H101,$I101*$E101*(12-$J101+1)/12,0))</f>
        <v>0</v>
      </c>
      <c r="CG101" s="400">
        <f>IF($H101&lt;&gt;CK$5,0,IF(CK101&gt;0,IF($J101=1,$E101*$I101/12*3,IF($J101=2,$E101*$I101/12*2,IF($J101=3,$E101*$I101/12*1,0)))))+IF(CF$5&lt;&gt;$H101,0,IF(CF101&gt;0,IF($J101=1,$E101*$I101/12*0,IF($J101=2,$E101*$I101/12*1,IF($J101=3,$E101*$I101/12*2,IF($J101&gt;=4,$E101*$I101/12*3,0))))))</f>
        <v>0</v>
      </c>
      <c r="CH101" s="401">
        <f>IF($H101&lt;&gt;CK$5,0,IF(CK101&gt;0,IF(OR($J101=1,$J101=2,$J101=3,$J101=4),$E101*$I101/12*3,IF($J101=5,$E101*$I101/12*2,IF($J101=6,$E101*$I101/12*1,0)))))+IF(CF$5&lt;&gt;$H101,0,IF(CF101&gt;0,IF($J101=4,$E101*$I101/12*0,IF($J101=5,$E101*$I101/12*1,IF($J101=6,$E101*$I101/12*2,IF($J101&gt;=7,$E101*$I101/12*3,0))))))</f>
        <v>0</v>
      </c>
      <c r="CI101" s="401">
        <f>IF($H101&lt;&gt;CK$5,0,IF(CK101&gt;0,IF(OR($J101=1,$J101=2,$J101=3,$J101=4,$J101=5,$J101=6,$J101=7),$E101*$I101/12*3,IF($J101=8,$E101*$I101/12*2,IF($J101=9,$E101*$I101/12*1,0)))))+IF(CF$5&lt;&gt;$H101,0,IF(CF101&gt;0,IF($J101=7,$E101*$I101/12*0,IF($J101=8,$E101*$I101/12*1,IF($J101=9,$E101*$I101/12*2,IF($J101&gt;=10,$E101*$I101/12*3,0))))))</f>
        <v>0</v>
      </c>
      <c r="CJ101" s="402">
        <f>IF($H101&lt;&gt;CK$5,0,IF(CK101&gt;0,IF(OR($J101=1,$J101=2,$J101=3,$J101=4,$J101=5,$J101=6,$J101=7,$J101=8,$J101=9,$J101=10),$E101*$I101/12*3,IF($J101=11,$E101*$I101/12*2,IF($J101=12,$E101*$I101/12*1,0)))))+IF(CF$5&lt;&gt;$H101,0,IF(CF101&gt;0,IF($J101=10,$E101*$I101/12*0,IF($J101=11,$E101*$I101/12*1,IF($J101=12,$E101*$I101/12*2,0)))))</f>
        <v>0</v>
      </c>
      <c r="CK101" s="403">
        <f>IF(AND(CF101&lt;&gt;0,CF$5=$H101),$I101*$E101-CF101,IF(CK$5=$H101,$I101*$E101*(12-$J101+1)/12,0))</f>
        <v>0</v>
      </c>
      <c r="CL101" s="400">
        <f>IF($H101&lt;&gt;CP$5,0,IF(CP101&gt;0,IF($J101=1,$E101*$I101/12*3,IF($J101=2,$E101*$I101/12*2,IF($J101=3,$E101*$I101/12*1,0)))))+IF(CK$5&lt;&gt;$H101,0,IF(CK101&gt;0,IF($J101=1,$E101*$I101/12*0,IF($J101=2,$E101*$I101/12*1,IF($J101=3,$E101*$I101/12*2,IF($J101&gt;=4,$E101*$I101/12*3,0))))))</f>
        <v>0</v>
      </c>
      <c r="CM101" s="401">
        <f>IF($H101&lt;&gt;CP$5,0,IF(CP101&gt;0,IF(OR($J101=1,$J101=2,$J101=3,$J101=4),$E101*$I101/12*3,IF($J101=5,$E101*$I101/12*2,IF($J101=6,$E101*$I101/12*1,0)))))+IF(CK$5&lt;&gt;$H101,0,IF(CK101&gt;0,IF($J101=4,$E101*$I101/12*0,IF($J101=5,$E101*$I101/12*1,IF($J101=6,$E101*$I101/12*2,IF($J101&gt;=7,$E101*$I101/12*3,0))))))</f>
        <v>0</v>
      </c>
      <c r="CN101" s="401">
        <f>IF($H101&lt;&gt;CP$5,0,IF(CP101&gt;0,IF(OR($J101=1,$J101=2,$J101=3,$J101=4,$J101=5,$J101=6,$J101=7),$E101*$I101/12*3,IF($J101=8,$E101*$I101/12*2,IF($J101=9,$E101*$I101/12*1,0)))))+IF(CK$5&lt;&gt;$H101,0,IF(CK101&gt;0,IF($J101=7,$E101*$I101/12*0,IF($J101=8,$E101*$I101/12*1,IF($J101=9,$E101*$I101/12*2,IF($J101&gt;=10,$E101*$I101/12*3,0))))))</f>
        <v>0</v>
      </c>
      <c r="CO101" s="402">
        <f>IF($H101&lt;&gt;CP$5,0,IF(CP101&gt;0,IF(OR($J101=1,$J101=2,$J101=3,$J101=4,$J101=5,$J101=6,$J101=7,$J101=8,$J101=9,$J101=10),$E101*$I101/12*3,IF($J101=11,$E101*$I101/12*2,IF($J101=12,$E101*$I101/12*1,0)))))+IF(CK$5&lt;&gt;$H101,0,IF(CK101&gt;0,IF($J101=10,$E101*$I101/12*0,IF($J101=11,$E101*$I101/12*1,IF($J101=12,$E101*$I101/12*2,0)))))</f>
        <v>0</v>
      </c>
      <c r="CP101" s="403">
        <f>IF(AND(CK101&lt;&gt;0,CK$5=$H101),$I101*$E101-CK101,IF(CP$5=$H101,$I101*$E101*(12-$J101+1)/12,0))</f>
        <v>0</v>
      </c>
      <c r="CQ101" s="400">
        <f>IF($H101&lt;&gt;CU$5,0,IF(CU101&gt;0,IF($J101=1,$E101*$I101/12*3,IF($J101=2,$E101*$I101/12*2,IF($J101=3,$E101*$I101/12*1,0)))))+IF(CP$5&lt;&gt;$H101,0,IF(CP101&gt;0,IF($J101=1,$E101*$I101/12*0,IF($J101=2,$E101*$I101/12*1,IF($J101=3,$E101*$I101/12*2,IF($J101&gt;=4,$E101*$I101/12*3,0))))))</f>
        <v>0</v>
      </c>
      <c r="CR101" s="401">
        <f>IF($H101&lt;&gt;CU$5,0,IF(CU101&gt;0,IF(OR($J101=1,$J101=2,$J101=3,$J101=4),$E101*$I101/12*3,IF($J101=5,$E101*$I101/12*2,IF($J101=6,$E101*$I101/12*1,0)))))+IF(CP$5&lt;&gt;$H101,0,IF(CP101&gt;0,IF($J101=4,$E101*$I101/12*0,IF($J101=5,$E101*$I101/12*1,IF($J101=6,$E101*$I101/12*2,IF($J101&gt;=7,$E101*$I101/12*3,0))))))</f>
        <v>0</v>
      </c>
      <c r="CS101" s="401">
        <f>IF($H101&lt;&gt;CU$5,0,IF(CU101&gt;0,IF(OR($J101=1,$J101=2,$J101=3,$J101=4,$J101=5,$J101=6,$J101=7),$E101*$I101/12*3,IF($J101=8,$E101*$I101/12*2,IF($J101=9,$E101*$I101/12*1,0)))))+IF(CP$5&lt;&gt;$H101,0,IF(CP101&gt;0,IF($J101=7,$E101*$I101/12*0,IF($J101=8,$E101*$I101/12*1,IF($J101=9,$E101*$I101/12*2,IF($J101&gt;=10,$E101*$I101/12*3,0))))))</f>
        <v>0</v>
      </c>
      <c r="CT101" s="402">
        <f>IF($H101&lt;&gt;CU$5,0,IF(CU101&gt;0,IF(OR($J101=1,$J101=2,$J101=3,$J101=4,$J101=5,$J101=6,$J101=7,$J101=8,$J101=9,$J101=10),$E101*$I101/12*3,IF($J101=11,$E101*$I101/12*2,IF($J101=12,$E101*$I101/12*1,0)))))+IF(CP$5&lt;&gt;$H101,0,IF(CP101&gt;0,IF($J101=10,$E101*$I101/12*0,IF($J101=11,$E101*$I101/12*1,IF($J101=12,$E101*$I101/12*2,0)))))</f>
        <v>0</v>
      </c>
      <c r="CU101" s="403">
        <f>IF(AND(CP101&lt;&gt;0,CP$5=$H101),$I101*$E101-CP101,IF(CU$5=$H101,$I101*$E101*(12-$J101+1)/12,0))</f>
        <v>0</v>
      </c>
      <c r="CV101" s="400">
        <f>IF($H101&lt;&gt;CZ$5,0,IF(CZ101&gt;0,IF($J101=1,$E101*$I101/12*3,IF($J101=2,$E101*$I101/12*2,IF($J101=3,$E101*$I101/12*1,0)))))+IF(CU$5&lt;&gt;$H101,0,IF(CU101&gt;0,IF($J101=1,$E101*$I101/12*0,IF($J101=2,$E101*$I101/12*1,IF($J101=3,$E101*$I101/12*2,IF($J101&gt;=4,$E101*$I101/12*3,0))))))</f>
        <v>0</v>
      </c>
      <c r="CW101" s="401">
        <f>IF($H101&lt;&gt;CZ$5,0,IF(CZ101&gt;0,IF(OR($J101=1,$J101=2,$J101=3,$J101=4),$E101*$I101/12*3,IF($J101=5,$E101*$I101/12*2,IF($J101=6,$E101*$I101/12*1,0)))))+IF(CU$5&lt;&gt;$H101,0,IF(CU101&gt;0,IF($J101=4,$E101*$I101/12*0,IF($J101=5,$E101*$I101/12*1,IF($J101=6,$E101*$I101/12*2,IF($J101&gt;=7,$E101*$I101/12*3,0))))))</f>
        <v>0</v>
      </c>
      <c r="CX101" s="401">
        <f>IF($H101&lt;&gt;CZ$5,0,IF(CZ101&gt;0,IF(OR($J101=1,$J101=2,$J101=3,$J101=4,$J101=5,$J101=6,$J101=7),$E101*$I101/12*3,IF($J101=8,$E101*$I101/12*2,IF($J101=9,$E101*$I101/12*1,0)))))+IF(CU$5&lt;&gt;$H101,0,IF(CU101&gt;0,IF($J101=7,$E101*$I101/12*0,IF($J101=8,$E101*$I101/12*1,IF($J101=9,$E101*$I101/12*2,IF($J101&gt;=10,$E101*$I101/12*3,0))))))</f>
        <v>0</v>
      </c>
      <c r="CY101" s="402">
        <f>IF($H101&lt;&gt;CZ$5,0,IF(CZ101&gt;0,IF(OR($J101=1,$J101=2,$J101=3,$J101=4,$J101=5,$J101=6,$J101=7,$J101=8,$J101=9,$J101=10),$E101*$I101/12*3,IF($J101=11,$E101*$I101/12*2,IF($J101=12,$E101*$I101/12*1,0)))))+IF(CU$5&lt;&gt;$H101,0,IF(CU101&gt;0,IF($J101=10,$E101*$I101/12*0,IF($J101=11,$E101*$I101/12*1,IF($J101=12,$E101*$I101/12*2,0)))))</f>
        <v>0</v>
      </c>
      <c r="CZ101" s="403">
        <f>IF(AND(CU101&lt;&gt;0,CU$5=$H101),$I101*$E101-CU101,IF(CZ$5=$H101,$I101*$E101*(12-$J101+1)/12,0))</f>
        <v>0</v>
      </c>
      <c r="DA101" s="400">
        <f>IF($H101&lt;&gt;DE$5,0,IF(DE101&gt;0,IF($J101=1,$E101*$I101/12*3,IF($J101=2,$E101*$I101/12*2,IF($J101=3,$E101*$I101/12*1,0)))))+IF(CZ$5&lt;&gt;$H101,0,IF(CZ101&gt;0,IF($J101=1,$E101*$I101/12*0,IF($J101=2,$E101*$I101/12*1,IF($J101=3,$E101*$I101/12*2,IF($J101&gt;=4,$E101*$I101/12*3,0))))))</f>
        <v>0</v>
      </c>
      <c r="DB101" s="401">
        <f>IF($H101&lt;&gt;DE$5,0,IF(DE101&gt;0,IF(OR($J101=1,$J101=2,$J101=3,$J101=4),$E101*$I101/12*3,IF($J101=5,$E101*$I101/12*2,IF($J101=6,$E101*$I101/12*1,0)))))+IF(CZ$5&lt;&gt;$H101,0,IF(CZ101&gt;0,IF($J101=4,$E101*$I101/12*0,IF($J101=5,$E101*$I101/12*1,IF($J101=6,$E101*$I101/12*2,IF($J101&gt;=7,$E101*$I101/12*3,0))))))</f>
        <v>0</v>
      </c>
      <c r="DC101" s="401">
        <f>IF($H101&lt;&gt;DE$5,0,IF(DE101&gt;0,IF(OR($J101=1,$J101=2,$J101=3,$J101=4,$J101=5,$J101=6,$J101=7),$E101*$I101/12*3,IF($J101=8,$E101*$I101/12*2,IF($J101=9,$E101*$I101/12*1,0)))))+IF(CZ$5&lt;&gt;$H101,0,IF(CZ101&gt;0,IF($J101=7,$E101*$I101/12*0,IF($J101=8,$E101*$I101/12*1,IF($J101=9,$E101*$I101/12*2,IF($J101&gt;=10,$E101*$I101/12*3,0))))))</f>
        <v>0</v>
      </c>
      <c r="DD101" s="402">
        <f>IF($H101&lt;&gt;DE$5,0,IF(DE101&gt;0,IF(OR($J101=1,$J101=2,$J101=3,$J101=4,$J101=5,$J101=6,$J101=7,$J101=8,$J101=9,$J101=10),$E101*$I101/12*3,IF($J101=11,$E101*$I101/12*2,IF($J101=12,$E101*$I101/12*1,0)))))+IF(CZ$5&lt;&gt;$H101,0,IF(CZ101&gt;0,IF($J101=10,$E101*$I101/12*0,IF($J101=11,$E101*$I101/12*1,IF($J101=12,$E101*$I101/12*2,0)))))</f>
        <v>0</v>
      </c>
      <c r="DE101" s="403">
        <f>IF(AND(CZ101&lt;&gt;0,CZ$5=$H101),$I101*$E101-CZ101,IF(DE$5=$H101,$I101*$E101*(12-$J101+1)/12,0))</f>
        <v>0</v>
      </c>
      <c r="DF101" s="400">
        <f>IF($H101&lt;&gt;DJ$5,0,IF(DJ101&gt;0,IF($J101=1,$E101*$I101/12*3,IF($J101=2,$E101*$I101/12*2,IF($J101=3,$E101*$I101/12*1,0)))))+IF(DE$5&lt;&gt;$H101,0,IF(DE101&gt;0,IF($J101=1,$E101*$I101/12*0,IF($J101=2,$E101*$I101/12*1,IF($J101=3,$E101*$I101/12*2,IF($J101&gt;=4,$E101*$I101/12*3,0))))))</f>
        <v>0</v>
      </c>
      <c r="DG101" s="401">
        <f>IF($H101&lt;&gt;DJ$5,0,IF(DJ101&gt;0,IF(OR($J101=1,$J101=2,$J101=3,$J101=4),$E101*$I101/12*3,IF($J101=5,$E101*$I101/12*2,IF($J101=6,$E101*$I101/12*1,0)))))+IF(DE$5&lt;&gt;$H101,0,IF(DE101&gt;0,IF($J101=4,$E101*$I101/12*0,IF($J101=5,$E101*$I101/12*1,IF($J101=6,$E101*$I101/12*2,IF($J101&gt;=7,$E101*$I101/12*3,0))))))</f>
        <v>0</v>
      </c>
      <c r="DH101" s="401">
        <f>IF($H101&lt;&gt;DJ$5,0,IF(DJ101&gt;0,IF(OR($J101=1,$J101=2,$J101=3,$J101=4,$J101=5,$J101=6,$J101=7),$E101*$I101/12*3,IF($J101=8,$E101*$I101/12*2,IF($J101=9,$E101*$I101/12*1,0)))))+IF(DE$5&lt;&gt;$H101,0,IF(DE101&gt;0,IF($J101=7,$E101*$I101/12*0,IF($J101=8,$E101*$I101/12*1,IF($J101=9,$E101*$I101/12*2,IF($J101&gt;=10,$E101*$I101/12*3,0))))))</f>
        <v>0</v>
      </c>
      <c r="DI101" s="402">
        <f>IF($H101&lt;&gt;DJ$5,0,IF(DJ101&gt;0,IF(OR($J101=1,$J101=2,$J101=3,$J101=4,$J101=5,$J101=6,$J101=7,$J101=8,$J101=9,$J101=10),$E101*$I101/12*3,IF($J101=11,$E101*$I101/12*2,IF($J101=12,$E101*$I101/12*1,0)))))+IF(DE$5&lt;&gt;$H101,0,IF(DE101&gt;0,IF($J101=10,$E101*$I101/12*0,IF($J101=11,$E101*$I101/12*1,IF($J101=12,$E101*$I101/12*2,0)))))</f>
        <v>0</v>
      </c>
      <c r="DJ101" s="403">
        <f>IF(AND(DE101&lt;&gt;0,DE$5=$H101),$I101*$E101-DE101,IF(DJ$5=$H101,$I101*$E101*(12-$J101+1)/12,0))</f>
        <v>0</v>
      </c>
      <c r="DK101" s="400">
        <f>IF($H101&lt;&gt;DO$5,0,IF(DO101&gt;0,IF($J101=1,$E101*$I101/12*3,IF($J101=2,$E101*$I101/12*2,IF($J101=3,$E101*$I101/12*1,0)))))+IF(DJ$5&lt;&gt;$H101,0,IF(DJ101&gt;0,IF($J101=1,$E101*$I101/12*0,IF($J101=2,$E101*$I101/12*1,IF($J101=3,$E101*$I101/12*2,IF($J101&gt;=4,$E101*$I101/12*3,0))))))</f>
        <v>0</v>
      </c>
      <c r="DL101" s="401">
        <f>IF($H101&lt;&gt;DO$5,0,IF(DO101&gt;0,IF(OR($J101=1,$J101=2,$J101=3,$J101=4),$E101*$I101/12*3,IF($J101=5,$E101*$I101/12*2,IF($J101=6,$E101*$I101/12*1,0)))))+IF(DJ$5&lt;&gt;$H101,0,IF(DJ101&gt;0,IF($J101=4,$E101*$I101/12*0,IF($J101=5,$E101*$I101/12*1,IF($J101=6,$E101*$I101/12*2,IF($J101&gt;=7,$E101*$I101/12*3,0))))))</f>
        <v>0</v>
      </c>
      <c r="DM101" s="401">
        <f>IF($H101&lt;&gt;DO$5,0,IF(DO101&gt;0,IF(OR($J101=1,$J101=2,$J101=3,$J101=4,$J101=5,$J101=6,$J101=7),$E101*$I101/12*3,IF($J101=8,$E101*$I101/12*2,IF($J101=9,$E101*$I101/12*1,0)))))+IF(DJ$5&lt;&gt;$H101,0,IF(DJ101&gt;0,IF($J101=7,$E101*$I101/12*0,IF($J101=8,$E101*$I101/12*1,IF($J101=9,$E101*$I101/12*2,IF($J101&gt;=10,$E101*$I101/12*3,0))))))</f>
        <v>0</v>
      </c>
      <c r="DN101" s="402">
        <f>IF($H101&lt;&gt;DO$5,0,IF(DO101&gt;0,IF(OR($J101=1,$J101=2,$J101=3,$J101=4,$J101=5,$J101=6,$J101=7,$J101=8,$J101=9,$J101=10),$E101*$I101/12*3,IF($J101=11,$E101*$I101/12*2,IF($J101=12,$E101*$I101/12*1,0)))))+IF(DJ$5&lt;&gt;$H101,0,IF(DJ101&gt;0,IF($J101=10,$E101*$I101/12*0,IF($J101=11,$E101*$I101/12*1,IF($J101=12,$E101*$I101/12*2,0)))))</f>
        <v>0</v>
      </c>
      <c r="DO101" s="403">
        <f>IF(AND(DJ101&lt;&gt;0,DJ$5=$H101),$I101*$E101-DJ101,IF(DO$5=$H101,$I101*$E101*(12-$J101+1)/12,0))</f>
        <v>0</v>
      </c>
      <c r="DP101" s="400">
        <f>IF($H101&lt;&gt;DT$5,0,IF(DT101&gt;0,IF($J101=1,$E101*$I101/12*3,IF($J101=2,$E101*$I101/12*2,IF($J101=3,$E101*$I101/12*1,0)))))+IF(DO$5&lt;&gt;$H101,0,IF(DO101&gt;0,IF($J101=1,$E101*$I101/12*0,IF($J101=2,$E101*$I101/12*1,IF($J101=3,$E101*$I101/12*2,IF($J101&gt;=4,$E101*$I101/12*3,0))))))</f>
        <v>0</v>
      </c>
      <c r="DQ101" s="401">
        <f>IF($H101&lt;&gt;DT$5,0,IF(DT101&gt;0,IF(OR($J101=1,$J101=2,$J101=3,$J101=4),$E101*$I101/12*3,IF($J101=5,$E101*$I101/12*2,IF($J101=6,$E101*$I101/12*1,0)))))+IF(DO$5&lt;&gt;$H101,0,IF(DO101&gt;0,IF($J101=4,$E101*$I101/12*0,IF($J101=5,$E101*$I101/12*1,IF($J101=6,$E101*$I101/12*2,IF($J101&gt;=7,$E101*$I101/12*3,0))))))</f>
        <v>0</v>
      </c>
      <c r="DR101" s="401">
        <f>IF($H101&lt;&gt;DT$5,0,IF(DT101&gt;0,IF(OR($J101=1,$J101=2,$J101=3,$J101=4,$J101=5,$J101=6,$J101=7),$E101*$I101/12*3,IF($J101=8,$E101*$I101/12*2,IF($J101=9,$E101*$I101/12*1,0)))))+IF(DO$5&lt;&gt;$H101,0,IF(DO101&gt;0,IF($J101=7,$E101*$I101/12*0,IF($J101=8,$E101*$I101/12*1,IF($J101=9,$E101*$I101/12*2,IF($J101&gt;=10,$E101*$I101/12*3,0))))))</f>
        <v>0.5625</v>
      </c>
      <c r="DS101" s="402">
        <f>IF($H101&lt;&gt;DT$5,0,IF(DT101&gt;0,IF(OR($J101=1,$J101=2,$J101=3,$J101=4,$J101=5,$J101=6,$J101=7,$J101=8,$J101=9,$J101=10),$E101*$I101/12*3,IF($J101=11,$E101*$I101/12*2,IF($J101=12,$E101*$I101/12*1,0)))))+IF(DO$5&lt;&gt;$H101,0,IF(DO101&gt;0,IF($J101=10,$E101*$I101/12*0,IF($J101=11,$E101*$I101/12*1,IF($J101=12,$E101*$I101/12*2,0)))))</f>
        <v>0.5625</v>
      </c>
      <c r="DT101" s="403">
        <f>IF(AND(DO101&lt;&gt;0,DO$5=$H101),$I101*$E101-DO101,IF(DT$5=$H101,$I101*$E101*(12-$J101+1)/12,0))</f>
        <v>1.125</v>
      </c>
    </row>
    <row r="102" spans="1:139" ht="12.75" customHeight="1" x14ac:dyDescent="0.2">
      <c r="C102" s="471"/>
      <c r="D102" s="472"/>
      <c r="E102" s="533"/>
      <c r="F102" s="538"/>
      <c r="G102" s="538"/>
      <c r="H102" s="578"/>
      <c r="I102" s="473"/>
      <c r="J102" s="500"/>
      <c r="K102" s="475"/>
      <c r="L102" s="476"/>
      <c r="M102" s="477"/>
      <c r="N102" s="478"/>
      <c r="O102" s="478"/>
      <c r="P102" s="479"/>
      <c r="Q102" s="476"/>
      <c r="R102" s="477"/>
      <c r="S102" s="478"/>
      <c r="T102" s="478"/>
      <c r="U102" s="479"/>
      <c r="V102" s="476"/>
      <c r="W102" s="477"/>
      <c r="X102" s="478"/>
      <c r="Y102" s="478"/>
      <c r="Z102" s="479"/>
      <c r="AA102" s="476"/>
      <c r="AB102" s="477"/>
      <c r="AC102" s="478"/>
      <c r="AD102" s="478"/>
      <c r="AE102" s="479"/>
      <c r="AF102" s="476"/>
      <c r="AG102" s="477"/>
      <c r="AH102" s="478"/>
      <c r="AI102" s="478"/>
      <c r="AJ102" s="479"/>
      <c r="AK102" s="476"/>
      <c r="AL102" s="477"/>
      <c r="AM102" s="478"/>
      <c r="AN102" s="478"/>
      <c r="AO102" s="479"/>
      <c r="AP102" s="476"/>
      <c r="AQ102" s="477"/>
      <c r="AR102" s="478"/>
      <c r="AS102" s="478"/>
      <c r="AT102" s="479"/>
      <c r="AU102" s="476"/>
      <c r="AV102" s="477"/>
      <c r="AW102" s="478"/>
      <c r="AX102" s="478"/>
      <c r="AY102" s="479"/>
      <c r="AZ102" s="476"/>
      <c r="BA102" s="477"/>
      <c r="BB102" s="478"/>
      <c r="BC102" s="478"/>
      <c r="BD102" s="479"/>
      <c r="BE102" s="476"/>
      <c r="BF102" s="477"/>
      <c r="BG102" s="478"/>
      <c r="BH102" s="478"/>
      <c r="BI102" s="479"/>
      <c r="BJ102" s="476"/>
      <c r="BK102" s="477"/>
      <c r="BL102" s="478"/>
      <c r="BM102" s="478"/>
      <c r="BN102" s="479"/>
      <c r="BO102" s="476"/>
      <c r="BP102" s="480"/>
      <c r="BQ102" s="417"/>
      <c r="BR102" s="418"/>
      <c r="BS102" s="419"/>
      <c r="BT102" s="419"/>
      <c r="BU102" s="420"/>
      <c r="BV102" s="417"/>
      <c r="BW102" s="418"/>
      <c r="BX102" s="419"/>
      <c r="BY102" s="419"/>
      <c r="BZ102" s="420"/>
      <c r="CA102" s="417"/>
      <c r="CB102" s="418"/>
      <c r="CC102" s="419"/>
      <c r="CD102" s="419"/>
      <c r="CE102" s="420"/>
      <c r="CF102" s="417"/>
      <c r="CG102" s="418"/>
      <c r="CH102" s="419"/>
      <c r="CI102" s="419"/>
      <c r="CJ102" s="420"/>
      <c r="CK102" s="417"/>
      <c r="CL102" s="418"/>
      <c r="CM102" s="419"/>
      <c r="CN102" s="419"/>
      <c r="CO102" s="420"/>
      <c r="CP102" s="417"/>
      <c r="CQ102" s="418"/>
      <c r="CR102" s="419"/>
      <c r="CS102" s="419"/>
      <c r="CT102" s="420"/>
      <c r="CU102" s="417"/>
      <c r="CV102" s="418"/>
      <c r="CW102" s="419"/>
      <c r="CX102" s="419"/>
      <c r="CY102" s="420"/>
      <c r="CZ102" s="417"/>
      <c r="DA102" s="418"/>
      <c r="DB102" s="419"/>
      <c r="DC102" s="419"/>
      <c r="DD102" s="420"/>
      <c r="DE102" s="417"/>
      <c r="DF102" s="418"/>
      <c r="DG102" s="419"/>
      <c r="DH102" s="419"/>
      <c r="DI102" s="420"/>
      <c r="DJ102" s="417"/>
      <c r="DK102" s="418"/>
      <c r="DL102" s="419"/>
      <c r="DM102" s="419"/>
      <c r="DN102" s="420"/>
      <c r="DO102" s="417"/>
      <c r="DP102" s="418"/>
      <c r="DQ102" s="419"/>
      <c r="DR102" s="419"/>
      <c r="DS102" s="420"/>
      <c r="DT102" s="417"/>
    </row>
    <row r="103" spans="1:139" ht="12.75" customHeight="1" x14ac:dyDescent="0.2">
      <c r="A103" s="26"/>
      <c r="B103" s="26"/>
      <c r="C103" s="141" t="s">
        <v>170</v>
      </c>
      <c r="D103" s="26"/>
      <c r="E103" s="535">
        <f>SUM(E97:E102)</f>
        <v>450</v>
      </c>
      <c r="F103" s="705"/>
      <c r="G103" s="705"/>
      <c r="H103" s="579"/>
      <c r="I103" s="421"/>
      <c r="J103" s="423"/>
      <c r="K103" s="462"/>
      <c r="L103" s="424">
        <f t="shared" ref="L103:CB103" si="821">SUM(L97:L102)</f>
        <v>0</v>
      </c>
      <c r="M103" s="425">
        <f t="shared" si="821"/>
        <v>0</v>
      </c>
      <c r="N103" s="426">
        <f t="shared" si="821"/>
        <v>0</v>
      </c>
      <c r="O103" s="426">
        <f t="shared" si="821"/>
        <v>0</v>
      </c>
      <c r="P103" s="427">
        <f t="shared" si="821"/>
        <v>0</v>
      </c>
      <c r="Q103" s="424">
        <f t="shared" si="821"/>
        <v>0</v>
      </c>
      <c r="R103" s="425">
        <f t="shared" si="821"/>
        <v>0</v>
      </c>
      <c r="S103" s="426">
        <f t="shared" si="821"/>
        <v>0</v>
      </c>
      <c r="T103" s="426">
        <f t="shared" si="821"/>
        <v>0</v>
      </c>
      <c r="U103" s="427">
        <f t="shared" si="821"/>
        <v>0</v>
      </c>
      <c r="V103" s="424">
        <f t="shared" si="821"/>
        <v>0</v>
      </c>
      <c r="W103" s="425">
        <f t="shared" si="821"/>
        <v>0</v>
      </c>
      <c r="X103" s="426">
        <f t="shared" si="821"/>
        <v>0</v>
      </c>
      <c r="Y103" s="426">
        <f t="shared" si="821"/>
        <v>0</v>
      </c>
      <c r="Z103" s="427">
        <f t="shared" si="821"/>
        <v>0</v>
      </c>
      <c r="AA103" s="424">
        <f t="shared" si="821"/>
        <v>0</v>
      </c>
      <c r="AB103" s="425">
        <f t="shared" si="821"/>
        <v>0</v>
      </c>
      <c r="AC103" s="426">
        <f t="shared" si="821"/>
        <v>0</v>
      </c>
      <c r="AD103" s="426">
        <f t="shared" si="821"/>
        <v>0</v>
      </c>
      <c r="AE103" s="427">
        <f t="shared" si="821"/>
        <v>0</v>
      </c>
      <c r="AF103" s="424">
        <f t="shared" si="821"/>
        <v>0</v>
      </c>
      <c r="AG103" s="425">
        <f t="shared" si="821"/>
        <v>0</v>
      </c>
      <c r="AH103" s="426">
        <f t="shared" si="821"/>
        <v>0</v>
      </c>
      <c r="AI103" s="426">
        <f t="shared" si="821"/>
        <v>0</v>
      </c>
      <c r="AJ103" s="427">
        <f t="shared" si="821"/>
        <v>0</v>
      </c>
      <c r="AK103" s="424">
        <f t="shared" si="821"/>
        <v>0</v>
      </c>
      <c r="AL103" s="425">
        <f t="shared" si="821"/>
        <v>0</v>
      </c>
      <c r="AM103" s="426">
        <f t="shared" si="821"/>
        <v>0</v>
      </c>
      <c r="AN103" s="426">
        <f t="shared" si="821"/>
        <v>0</v>
      </c>
      <c r="AO103" s="427">
        <f t="shared" si="821"/>
        <v>0</v>
      </c>
      <c r="AP103" s="424">
        <f t="shared" si="821"/>
        <v>0</v>
      </c>
      <c r="AQ103" s="425">
        <f t="shared" si="821"/>
        <v>0</v>
      </c>
      <c r="AR103" s="426">
        <f t="shared" si="821"/>
        <v>0</v>
      </c>
      <c r="AS103" s="426">
        <f t="shared" si="821"/>
        <v>0</v>
      </c>
      <c r="AT103" s="427">
        <f t="shared" si="821"/>
        <v>100</v>
      </c>
      <c r="AU103" s="424">
        <f t="shared" si="821"/>
        <v>100</v>
      </c>
      <c r="AV103" s="425">
        <f t="shared" si="821"/>
        <v>0</v>
      </c>
      <c r="AW103" s="426">
        <f t="shared" si="821"/>
        <v>0</v>
      </c>
      <c r="AX103" s="426">
        <f t="shared" si="821"/>
        <v>0</v>
      </c>
      <c r="AY103" s="427">
        <f t="shared" si="821"/>
        <v>200</v>
      </c>
      <c r="AZ103" s="424">
        <f t="shared" si="821"/>
        <v>200</v>
      </c>
      <c r="BA103" s="425">
        <f t="shared" si="821"/>
        <v>0</v>
      </c>
      <c r="BB103" s="426">
        <f t="shared" si="821"/>
        <v>0</v>
      </c>
      <c r="BC103" s="426">
        <f t="shared" si="821"/>
        <v>50</v>
      </c>
      <c r="BD103" s="427">
        <f t="shared" si="821"/>
        <v>0</v>
      </c>
      <c r="BE103" s="424">
        <f t="shared" si="821"/>
        <v>50</v>
      </c>
      <c r="BF103" s="425">
        <f t="shared" si="821"/>
        <v>0</v>
      </c>
      <c r="BG103" s="426">
        <f t="shared" si="821"/>
        <v>0</v>
      </c>
      <c r="BH103" s="426">
        <f t="shared" si="821"/>
        <v>50</v>
      </c>
      <c r="BI103" s="427">
        <f t="shared" si="821"/>
        <v>0</v>
      </c>
      <c r="BJ103" s="424">
        <f t="shared" si="821"/>
        <v>50</v>
      </c>
      <c r="BK103" s="425">
        <f t="shared" ref="BK103:BO103" si="822">SUM(BK97:BK102)</f>
        <v>0</v>
      </c>
      <c r="BL103" s="426">
        <f t="shared" si="822"/>
        <v>0</v>
      </c>
      <c r="BM103" s="426">
        <f t="shared" si="822"/>
        <v>50</v>
      </c>
      <c r="BN103" s="427">
        <f t="shared" si="822"/>
        <v>0</v>
      </c>
      <c r="BO103" s="424">
        <f t="shared" si="822"/>
        <v>50</v>
      </c>
      <c r="BP103" s="481"/>
      <c r="BQ103" s="429">
        <f t="shared" si="821"/>
        <v>0</v>
      </c>
      <c r="BR103" s="430">
        <f t="shared" si="821"/>
        <v>0</v>
      </c>
      <c r="BS103" s="431">
        <f t="shared" si="821"/>
        <v>0</v>
      </c>
      <c r="BT103" s="431">
        <f t="shared" si="821"/>
        <v>0</v>
      </c>
      <c r="BU103" s="432">
        <f t="shared" si="821"/>
        <v>0</v>
      </c>
      <c r="BV103" s="429">
        <f t="shared" si="821"/>
        <v>0</v>
      </c>
      <c r="BW103" s="430">
        <f t="shared" si="821"/>
        <v>0</v>
      </c>
      <c r="BX103" s="431">
        <f t="shared" si="821"/>
        <v>0</v>
      </c>
      <c r="BY103" s="431">
        <f t="shared" si="821"/>
        <v>0</v>
      </c>
      <c r="BZ103" s="432">
        <f t="shared" si="821"/>
        <v>0</v>
      </c>
      <c r="CA103" s="429">
        <f t="shared" si="821"/>
        <v>0</v>
      </c>
      <c r="CB103" s="430">
        <f t="shared" si="821"/>
        <v>0</v>
      </c>
      <c r="CC103" s="431">
        <f t="shared" ref="CC103:DO103" si="823">SUM(CC97:CC102)</f>
        <v>0</v>
      </c>
      <c r="CD103" s="431">
        <f t="shared" si="823"/>
        <v>0</v>
      </c>
      <c r="CE103" s="432">
        <f t="shared" si="823"/>
        <v>0</v>
      </c>
      <c r="CF103" s="429">
        <f t="shared" si="823"/>
        <v>0</v>
      </c>
      <c r="CG103" s="430">
        <f t="shared" si="823"/>
        <v>0</v>
      </c>
      <c r="CH103" s="431">
        <f t="shared" si="823"/>
        <v>0</v>
      </c>
      <c r="CI103" s="431">
        <f t="shared" si="823"/>
        <v>0</v>
      </c>
      <c r="CJ103" s="432">
        <f t="shared" si="823"/>
        <v>0</v>
      </c>
      <c r="CK103" s="429">
        <f t="shared" si="823"/>
        <v>0</v>
      </c>
      <c r="CL103" s="430">
        <f t="shared" si="823"/>
        <v>0</v>
      </c>
      <c r="CM103" s="431">
        <f t="shared" si="823"/>
        <v>0</v>
      </c>
      <c r="CN103" s="431">
        <f t="shared" si="823"/>
        <v>0</v>
      </c>
      <c r="CO103" s="432">
        <f t="shared" si="823"/>
        <v>0</v>
      </c>
      <c r="CP103" s="429">
        <f t="shared" si="823"/>
        <v>0</v>
      </c>
      <c r="CQ103" s="430">
        <f t="shared" si="823"/>
        <v>0</v>
      </c>
      <c r="CR103" s="431">
        <f t="shared" si="823"/>
        <v>0</v>
      </c>
      <c r="CS103" s="431">
        <f t="shared" si="823"/>
        <v>0</v>
      </c>
      <c r="CT103" s="432">
        <f t="shared" si="823"/>
        <v>0</v>
      </c>
      <c r="CU103" s="429">
        <f t="shared" si="823"/>
        <v>0</v>
      </c>
      <c r="CV103" s="430">
        <f t="shared" si="823"/>
        <v>0</v>
      </c>
      <c r="CW103" s="431">
        <f t="shared" si="823"/>
        <v>0</v>
      </c>
      <c r="CX103" s="431">
        <f t="shared" si="823"/>
        <v>0</v>
      </c>
      <c r="CY103" s="432">
        <f t="shared" si="823"/>
        <v>0.92499999999999982</v>
      </c>
      <c r="CZ103" s="429">
        <f t="shared" si="823"/>
        <v>0.92499999999999993</v>
      </c>
      <c r="DA103" s="430">
        <f t="shared" si="823"/>
        <v>0.92499999999999982</v>
      </c>
      <c r="DB103" s="431">
        <f t="shared" si="823"/>
        <v>0.92499999999999982</v>
      </c>
      <c r="DC103" s="431">
        <f t="shared" si="823"/>
        <v>0.92499999999999982</v>
      </c>
      <c r="DD103" s="432">
        <f t="shared" si="823"/>
        <v>2</v>
      </c>
      <c r="DE103" s="429">
        <f t="shared" si="823"/>
        <v>4.7750000000000004</v>
      </c>
      <c r="DF103" s="430">
        <f t="shared" si="823"/>
        <v>2</v>
      </c>
      <c r="DG103" s="431">
        <f t="shared" si="823"/>
        <v>2</v>
      </c>
      <c r="DH103" s="431">
        <f t="shared" si="823"/>
        <v>2.5625</v>
      </c>
      <c r="DI103" s="432">
        <f t="shared" si="823"/>
        <v>0.5625</v>
      </c>
      <c r="DJ103" s="429">
        <f t="shared" si="823"/>
        <v>7.125</v>
      </c>
      <c r="DK103" s="430">
        <f t="shared" si="823"/>
        <v>0.5625</v>
      </c>
      <c r="DL103" s="431">
        <f t="shared" si="823"/>
        <v>0.5625</v>
      </c>
      <c r="DM103" s="431">
        <f t="shared" si="823"/>
        <v>0.5625</v>
      </c>
      <c r="DN103" s="432">
        <f t="shared" si="823"/>
        <v>0.5625</v>
      </c>
      <c r="DO103" s="429">
        <f t="shared" si="823"/>
        <v>2.25</v>
      </c>
      <c r="DP103" s="430">
        <f t="shared" ref="DP103:DT103" si="824">SUM(DP97:DP102)</f>
        <v>0.5625</v>
      </c>
      <c r="DQ103" s="431">
        <f t="shared" si="824"/>
        <v>0.5625</v>
      </c>
      <c r="DR103" s="431">
        <f t="shared" si="824"/>
        <v>0.5625</v>
      </c>
      <c r="DS103" s="432">
        <f t="shared" si="824"/>
        <v>0.5625</v>
      </c>
      <c r="DT103" s="429">
        <f t="shared" si="824"/>
        <v>2.25</v>
      </c>
    </row>
    <row r="104" spans="1:139" ht="12.75" customHeight="1" x14ac:dyDescent="0.2">
      <c r="C104" s="20"/>
      <c r="D104" s="20"/>
      <c r="E104" s="530"/>
      <c r="F104" s="537"/>
      <c r="G104" s="537"/>
      <c r="H104" s="580"/>
      <c r="I104" s="390"/>
      <c r="J104" s="391"/>
      <c r="K104" s="392"/>
      <c r="L104" s="393"/>
      <c r="M104" s="394"/>
      <c r="N104" s="395"/>
      <c r="O104" s="395"/>
      <c r="P104" s="396"/>
      <c r="Q104" s="397"/>
      <c r="R104" s="394"/>
      <c r="S104" s="395"/>
      <c r="T104" s="395"/>
      <c r="U104" s="396"/>
      <c r="V104" s="397"/>
      <c r="W104" s="394"/>
      <c r="X104" s="395"/>
      <c r="Y104" s="395"/>
      <c r="Z104" s="396"/>
      <c r="AA104" s="397"/>
      <c r="AB104" s="394"/>
      <c r="AC104" s="395"/>
      <c r="AD104" s="395"/>
      <c r="AE104" s="396"/>
      <c r="AF104" s="397"/>
      <c r="AG104" s="394"/>
      <c r="AH104" s="395"/>
      <c r="AI104" s="395"/>
      <c r="AJ104" s="396"/>
      <c r="AK104" s="397"/>
      <c r="AL104" s="394"/>
      <c r="AM104" s="395"/>
      <c r="AN104" s="395"/>
      <c r="AO104" s="396"/>
      <c r="AP104" s="397"/>
      <c r="AQ104" s="394"/>
      <c r="AR104" s="395"/>
      <c r="AS104" s="395"/>
      <c r="AT104" s="396"/>
      <c r="AU104" s="397"/>
      <c r="AV104" s="394"/>
      <c r="AW104" s="395"/>
      <c r="AX104" s="395"/>
      <c r="AY104" s="396"/>
      <c r="AZ104" s="397"/>
      <c r="BA104" s="394"/>
      <c r="BB104" s="395"/>
      <c r="BC104" s="395"/>
      <c r="BD104" s="396"/>
      <c r="BE104" s="397"/>
      <c r="BF104" s="394"/>
      <c r="BG104" s="395"/>
      <c r="BH104" s="395"/>
      <c r="BI104" s="396"/>
      <c r="BJ104" s="397"/>
      <c r="BK104" s="394"/>
      <c r="BL104" s="395"/>
      <c r="BM104" s="395"/>
      <c r="BN104" s="396"/>
      <c r="BO104" s="397"/>
      <c r="BP104" s="445"/>
      <c r="BQ104" s="399"/>
      <c r="BR104" s="400"/>
      <c r="BS104" s="401"/>
      <c r="BT104" s="401"/>
      <c r="BU104" s="402"/>
      <c r="BV104" s="403"/>
      <c r="BW104" s="400"/>
      <c r="BX104" s="401"/>
      <c r="BY104" s="401"/>
      <c r="BZ104" s="402"/>
      <c r="CA104" s="403"/>
      <c r="CB104" s="400"/>
      <c r="CC104" s="401"/>
      <c r="CD104" s="401"/>
      <c r="CE104" s="402"/>
      <c r="CF104" s="403"/>
      <c r="CG104" s="400"/>
      <c r="CH104" s="401"/>
      <c r="CI104" s="401"/>
      <c r="CJ104" s="402"/>
      <c r="CK104" s="403"/>
      <c r="CL104" s="400"/>
      <c r="CM104" s="401"/>
      <c r="CN104" s="401"/>
      <c r="CO104" s="402"/>
      <c r="CP104" s="403"/>
      <c r="CQ104" s="400"/>
      <c r="CR104" s="401"/>
      <c r="CS104" s="401"/>
      <c r="CT104" s="402"/>
      <c r="CU104" s="403"/>
      <c r="CV104" s="400"/>
      <c r="CW104" s="401"/>
      <c r="CX104" s="401"/>
      <c r="CY104" s="402"/>
      <c r="CZ104" s="403"/>
      <c r="DA104" s="400"/>
      <c r="DB104" s="401"/>
      <c r="DC104" s="401"/>
      <c r="DD104" s="402"/>
      <c r="DE104" s="403"/>
      <c r="DF104" s="400"/>
      <c r="DG104" s="401"/>
      <c r="DH104" s="401"/>
      <c r="DI104" s="402"/>
      <c r="DJ104" s="403"/>
      <c r="DK104" s="400"/>
      <c r="DL104" s="401"/>
      <c r="DM104" s="401"/>
      <c r="DN104" s="402"/>
      <c r="DO104" s="403"/>
      <c r="DP104" s="400"/>
      <c r="DQ104" s="401"/>
      <c r="DR104" s="401"/>
      <c r="DS104" s="402"/>
      <c r="DT104" s="403"/>
    </row>
    <row r="105" spans="1:139" ht="12.75" customHeight="1" x14ac:dyDescent="0.2">
      <c r="C105" s="26" t="s">
        <v>334</v>
      </c>
      <c r="D105" s="26"/>
      <c r="E105" s="535"/>
      <c r="F105" s="705"/>
      <c r="G105" s="705"/>
      <c r="H105" s="579"/>
      <c r="I105" s="422"/>
      <c r="J105" s="423"/>
      <c r="K105" s="462"/>
      <c r="L105" s="424">
        <f t="shared" ref="L105:AQ105" si="825">+L94+L103</f>
        <v>0</v>
      </c>
      <c r="M105" s="425">
        <f t="shared" si="825"/>
        <v>0</v>
      </c>
      <c r="N105" s="426">
        <f t="shared" si="825"/>
        <v>0</v>
      </c>
      <c r="O105" s="426">
        <f t="shared" si="825"/>
        <v>0</v>
      </c>
      <c r="P105" s="427">
        <f t="shared" si="825"/>
        <v>0</v>
      </c>
      <c r="Q105" s="424">
        <f t="shared" si="825"/>
        <v>0</v>
      </c>
      <c r="R105" s="425">
        <f t="shared" si="825"/>
        <v>0</v>
      </c>
      <c r="S105" s="426">
        <f t="shared" si="825"/>
        <v>0</v>
      </c>
      <c r="T105" s="426">
        <f t="shared" si="825"/>
        <v>0</v>
      </c>
      <c r="U105" s="427">
        <f t="shared" si="825"/>
        <v>0</v>
      </c>
      <c r="V105" s="424">
        <f t="shared" si="825"/>
        <v>0</v>
      </c>
      <c r="W105" s="425">
        <f t="shared" si="825"/>
        <v>0</v>
      </c>
      <c r="X105" s="426">
        <f t="shared" si="825"/>
        <v>0</v>
      </c>
      <c r="Y105" s="426">
        <f t="shared" si="825"/>
        <v>0</v>
      </c>
      <c r="Z105" s="427">
        <f t="shared" si="825"/>
        <v>0</v>
      </c>
      <c r="AA105" s="424">
        <f t="shared" si="825"/>
        <v>0</v>
      </c>
      <c r="AB105" s="425">
        <f t="shared" si="825"/>
        <v>0</v>
      </c>
      <c r="AC105" s="426">
        <f t="shared" si="825"/>
        <v>0</v>
      </c>
      <c r="AD105" s="426">
        <f t="shared" si="825"/>
        <v>0</v>
      </c>
      <c r="AE105" s="427">
        <f t="shared" si="825"/>
        <v>0</v>
      </c>
      <c r="AF105" s="424">
        <f t="shared" si="825"/>
        <v>0</v>
      </c>
      <c r="AG105" s="425">
        <f t="shared" si="825"/>
        <v>0</v>
      </c>
      <c r="AH105" s="426">
        <f t="shared" si="825"/>
        <v>0</v>
      </c>
      <c r="AI105" s="426">
        <f t="shared" si="825"/>
        <v>0</v>
      </c>
      <c r="AJ105" s="427">
        <f t="shared" si="825"/>
        <v>0</v>
      </c>
      <c r="AK105" s="424">
        <f t="shared" si="825"/>
        <v>0</v>
      </c>
      <c r="AL105" s="425">
        <f t="shared" si="825"/>
        <v>0</v>
      </c>
      <c r="AM105" s="426">
        <f t="shared" si="825"/>
        <v>0</v>
      </c>
      <c r="AN105" s="426">
        <f t="shared" si="825"/>
        <v>0</v>
      </c>
      <c r="AO105" s="427">
        <f t="shared" si="825"/>
        <v>0</v>
      </c>
      <c r="AP105" s="424">
        <f t="shared" si="825"/>
        <v>0</v>
      </c>
      <c r="AQ105" s="425">
        <f t="shared" si="825"/>
        <v>0</v>
      </c>
      <c r="AR105" s="426">
        <f t="shared" ref="AR105:BJ105" si="826">+AR94+AR103</f>
        <v>0</v>
      </c>
      <c r="AS105" s="426">
        <f t="shared" si="826"/>
        <v>0</v>
      </c>
      <c r="AT105" s="427">
        <f t="shared" si="826"/>
        <v>99.543999999999997</v>
      </c>
      <c r="AU105" s="424">
        <f t="shared" si="826"/>
        <v>99.543999999999997</v>
      </c>
      <c r="AV105" s="425">
        <f t="shared" si="826"/>
        <v>0</v>
      </c>
      <c r="AW105" s="426">
        <f t="shared" si="826"/>
        <v>0</v>
      </c>
      <c r="AX105" s="426">
        <f t="shared" si="826"/>
        <v>0</v>
      </c>
      <c r="AY105" s="427">
        <f t="shared" si="826"/>
        <v>50</v>
      </c>
      <c r="AZ105" s="424">
        <f t="shared" si="826"/>
        <v>50</v>
      </c>
      <c r="BA105" s="425">
        <f t="shared" si="826"/>
        <v>0</v>
      </c>
      <c r="BB105" s="426">
        <f t="shared" si="826"/>
        <v>0</v>
      </c>
      <c r="BC105" s="426">
        <f t="shared" si="826"/>
        <v>50</v>
      </c>
      <c r="BD105" s="427">
        <f t="shared" si="826"/>
        <v>0</v>
      </c>
      <c r="BE105" s="424">
        <f t="shared" si="826"/>
        <v>50</v>
      </c>
      <c r="BF105" s="425">
        <f t="shared" si="826"/>
        <v>0</v>
      </c>
      <c r="BG105" s="426">
        <f t="shared" si="826"/>
        <v>0</v>
      </c>
      <c r="BH105" s="426">
        <f t="shared" si="826"/>
        <v>50</v>
      </c>
      <c r="BI105" s="427">
        <f t="shared" si="826"/>
        <v>0</v>
      </c>
      <c r="BJ105" s="424">
        <f t="shared" si="826"/>
        <v>50</v>
      </c>
      <c r="BK105" s="425">
        <f t="shared" ref="BK105:BO105" si="827">+BK94+BK103</f>
        <v>0</v>
      </c>
      <c r="BL105" s="426">
        <f t="shared" si="827"/>
        <v>0</v>
      </c>
      <c r="BM105" s="426">
        <f t="shared" si="827"/>
        <v>50</v>
      </c>
      <c r="BN105" s="427">
        <f t="shared" si="827"/>
        <v>-18.600000000000001</v>
      </c>
      <c r="BO105" s="424">
        <f t="shared" si="827"/>
        <v>31.4</v>
      </c>
      <c r="BP105" s="481"/>
      <c r="BQ105" s="429">
        <f t="shared" ref="BQ105:CV105" si="828">+BQ94+BQ103</f>
        <v>0</v>
      </c>
      <c r="BR105" s="430">
        <f t="shared" si="828"/>
        <v>0</v>
      </c>
      <c r="BS105" s="431">
        <f t="shared" si="828"/>
        <v>0</v>
      </c>
      <c r="BT105" s="431">
        <f t="shared" si="828"/>
        <v>0</v>
      </c>
      <c r="BU105" s="432">
        <f t="shared" si="828"/>
        <v>0</v>
      </c>
      <c r="BV105" s="429">
        <f t="shared" si="828"/>
        <v>0</v>
      </c>
      <c r="BW105" s="430">
        <f t="shared" si="828"/>
        <v>0</v>
      </c>
      <c r="BX105" s="431">
        <f t="shared" si="828"/>
        <v>0</v>
      </c>
      <c r="BY105" s="431">
        <f t="shared" si="828"/>
        <v>0</v>
      </c>
      <c r="BZ105" s="432">
        <f t="shared" si="828"/>
        <v>0</v>
      </c>
      <c r="CA105" s="429">
        <f t="shared" si="828"/>
        <v>0</v>
      </c>
      <c r="CB105" s="430">
        <f t="shared" si="828"/>
        <v>0</v>
      </c>
      <c r="CC105" s="431">
        <f t="shared" si="828"/>
        <v>0</v>
      </c>
      <c r="CD105" s="431">
        <f t="shared" si="828"/>
        <v>0</v>
      </c>
      <c r="CE105" s="432">
        <f t="shared" si="828"/>
        <v>0</v>
      </c>
      <c r="CF105" s="429">
        <f t="shared" si="828"/>
        <v>0</v>
      </c>
      <c r="CG105" s="430">
        <f t="shared" si="828"/>
        <v>0</v>
      </c>
      <c r="CH105" s="431">
        <f t="shared" si="828"/>
        <v>0</v>
      </c>
      <c r="CI105" s="431">
        <f t="shared" si="828"/>
        <v>0</v>
      </c>
      <c r="CJ105" s="432">
        <f t="shared" si="828"/>
        <v>0</v>
      </c>
      <c r="CK105" s="429">
        <f t="shared" si="828"/>
        <v>0</v>
      </c>
      <c r="CL105" s="430">
        <f t="shared" si="828"/>
        <v>0</v>
      </c>
      <c r="CM105" s="431">
        <f t="shared" si="828"/>
        <v>0</v>
      </c>
      <c r="CN105" s="431">
        <f t="shared" si="828"/>
        <v>0</v>
      </c>
      <c r="CO105" s="432">
        <f t="shared" si="828"/>
        <v>0</v>
      </c>
      <c r="CP105" s="429">
        <f t="shared" si="828"/>
        <v>0</v>
      </c>
      <c r="CQ105" s="430">
        <f t="shared" si="828"/>
        <v>0</v>
      </c>
      <c r="CR105" s="431">
        <f t="shared" si="828"/>
        <v>0</v>
      </c>
      <c r="CS105" s="431">
        <f t="shared" si="828"/>
        <v>0</v>
      </c>
      <c r="CT105" s="432">
        <f t="shared" si="828"/>
        <v>0</v>
      </c>
      <c r="CU105" s="429">
        <f t="shared" si="828"/>
        <v>0</v>
      </c>
      <c r="CV105" s="430">
        <f t="shared" si="828"/>
        <v>0</v>
      </c>
      <c r="CW105" s="431">
        <f t="shared" ref="CW105:DO105" si="829">+CW94+CW103</f>
        <v>0</v>
      </c>
      <c r="CX105" s="431">
        <f t="shared" si="829"/>
        <v>0</v>
      </c>
      <c r="CY105" s="432">
        <f t="shared" si="829"/>
        <v>0.91701999999999984</v>
      </c>
      <c r="CZ105" s="429">
        <f t="shared" si="829"/>
        <v>0.91701999999999995</v>
      </c>
      <c r="DA105" s="430">
        <f t="shared" si="829"/>
        <v>0.91701999999999984</v>
      </c>
      <c r="DB105" s="431">
        <f t="shared" si="829"/>
        <v>0.91701999999999984</v>
      </c>
      <c r="DC105" s="431">
        <f t="shared" si="829"/>
        <v>0.91701999999999984</v>
      </c>
      <c r="DD105" s="432">
        <f t="shared" si="829"/>
        <v>3.125E-2</v>
      </c>
      <c r="DE105" s="429">
        <f t="shared" si="829"/>
        <v>2.7823100000000003</v>
      </c>
      <c r="DF105" s="430">
        <f t="shared" si="829"/>
        <v>3.125E-2</v>
      </c>
      <c r="DG105" s="431">
        <f t="shared" si="829"/>
        <v>3.125E-2</v>
      </c>
      <c r="DH105" s="431">
        <f t="shared" si="829"/>
        <v>0.59375</v>
      </c>
      <c r="DI105" s="432">
        <f t="shared" si="829"/>
        <v>0.5625</v>
      </c>
      <c r="DJ105" s="429">
        <f t="shared" si="829"/>
        <v>1.21875</v>
      </c>
      <c r="DK105" s="430">
        <f t="shared" si="829"/>
        <v>0.5625</v>
      </c>
      <c r="DL105" s="431">
        <f t="shared" si="829"/>
        <v>0.5625</v>
      </c>
      <c r="DM105" s="431">
        <f t="shared" si="829"/>
        <v>0.5625</v>
      </c>
      <c r="DN105" s="432">
        <f t="shared" si="829"/>
        <v>0.5625</v>
      </c>
      <c r="DO105" s="429">
        <f t="shared" si="829"/>
        <v>2.25</v>
      </c>
      <c r="DP105" s="430">
        <f t="shared" ref="DP105:DT105" si="830">+DP94+DP103</f>
        <v>0.5625</v>
      </c>
      <c r="DQ105" s="431">
        <f t="shared" si="830"/>
        <v>0.5625</v>
      </c>
      <c r="DR105" s="431">
        <f t="shared" si="830"/>
        <v>0.5625</v>
      </c>
      <c r="DS105" s="432">
        <f t="shared" si="830"/>
        <v>0.37649999999999995</v>
      </c>
      <c r="DT105" s="429">
        <f t="shared" si="830"/>
        <v>2.0640000000000001</v>
      </c>
    </row>
    <row r="106" spans="1:139" ht="12.75" customHeight="1" x14ac:dyDescent="0.2">
      <c r="C106" s="26"/>
      <c r="D106" s="26"/>
      <c r="E106" s="535"/>
      <c r="F106" s="705"/>
      <c r="G106" s="705"/>
      <c r="H106" s="579"/>
      <c r="I106" s="422"/>
      <c r="J106" s="423"/>
      <c r="K106" s="462"/>
      <c r="L106" s="482"/>
      <c r="M106" s="425"/>
      <c r="N106" s="433"/>
      <c r="O106" s="433"/>
      <c r="P106" s="427"/>
      <c r="Q106" s="424"/>
      <c r="R106" s="425"/>
      <c r="S106" s="433"/>
      <c r="T106" s="433"/>
      <c r="U106" s="427"/>
      <c r="V106" s="424"/>
      <c r="W106" s="425"/>
      <c r="X106" s="433"/>
      <c r="Y106" s="433"/>
      <c r="Z106" s="427"/>
      <c r="AA106" s="424"/>
      <c r="AB106" s="425"/>
      <c r="AC106" s="433"/>
      <c r="AD106" s="433"/>
      <c r="AE106" s="427"/>
      <c r="AF106" s="424"/>
      <c r="AG106" s="425"/>
      <c r="AH106" s="433"/>
      <c r="AI106" s="433"/>
      <c r="AJ106" s="427"/>
      <c r="AK106" s="424"/>
      <c r="AL106" s="425"/>
      <c r="AM106" s="433"/>
      <c r="AN106" s="433"/>
      <c r="AO106" s="427"/>
      <c r="AP106" s="424"/>
      <c r="AQ106" s="425"/>
      <c r="AR106" s="433"/>
      <c r="AS106" s="433"/>
      <c r="AT106" s="427"/>
      <c r="AU106" s="424"/>
      <c r="AV106" s="425"/>
      <c r="AW106" s="433"/>
      <c r="AX106" s="433"/>
      <c r="AY106" s="427"/>
      <c r="AZ106" s="424"/>
      <c r="BA106" s="425"/>
      <c r="BB106" s="433"/>
      <c r="BC106" s="433"/>
      <c r="BD106" s="427"/>
      <c r="BE106" s="424"/>
      <c r="BF106" s="425"/>
      <c r="BG106" s="433"/>
      <c r="BH106" s="433"/>
      <c r="BI106" s="427"/>
      <c r="BJ106" s="424"/>
      <c r="BK106" s="425"/>
      <c r="BL106" s="433"/>
      <c r="BM106" s="433"/>
      <c r="BN106" s="427"/>
      <c r="BO106" s="424"/>
      <c r="BP106" s="481"/>
      <c r="BQ106" s="434"/>
      <c r="BR106" s="430"/>
      <c r="BS106" s="435"/>
      <c r="BT106" s="435"/>
      <c r="BU106" s="432"/>
      <c r="BV106" s="429"/>
      <c r="BW106" s="430"/>
      <c r="BX106" s="435"/>
      <c r="BY106" s="435"/>
      <c r="BZ106" s="432"/>
      <c r="CA106" s="429"/>
      <c r="CB106" s="430"/>
      <c r="CC106" s="435"/>
      <c r="CD106" s="435"/>
      <c r="CE106" s="432"/>
      <c r="CF106" s="429"/>
      <c r="CG106" s="430"/>
      <c r="CH106" s="435"/>
      <c r="CI106" s="435"/>
      <c r="CJ106" s="432"/>
      <c r="CK106" s="429"/>
      <c r="CL106" s="430"/>
      <c r="CM106" s="435"/>
      <c r="CN106" s="435"/>
      <c r="CO106" s="432"/>
      <c r="CP106" s="429"/>
      <c r="CQ106" s="430"/>
      <c r="CR106" s="435"/>
      <c r="CS106" s="435"/>
      <c r="CT106" s="432"/>
      <c r="CU106" s="429"/>
      <c r="CV106" s="430"/>
      <c r="CW106" s="435"/>
      <c r="CX106" s="435"/>
      <c r="CY106" s="432"/>
      <c r="CZ106" s="429"/>
      <c r="DA106" s="430"/>
      <c r="DB106" s="435"/>
      <c r="DC106" s="435"/>
      <c r="DD106" s="432"/>
      <c r="DE106" s="429"/>
      <c r="DF106" s="430"/>
      <c r="DG106" s="435"/>
      <c r="DH106" s="435"/>
      <c r="DI106" s="432"/>
      <c r="DJ106" s="429"/>
      <c r="DK106" s="430"/>
      <c r="DL106" s="435"/>
      <c r="DM106" s="435"/>
      <c r="DN106" s="432"/>
      <c r="DO106" s="429"/>
      <c r="DP106" s="430"/>
      <c r="DQ106" s="435"/>
      <c r="DR106" s="435"/>
      <c r="DS106" s="432"/>
      <c r="DT106" s="429"/>
    </row>
    <row r="107" spans="1:139" ht="12.75" customHeight="1" thickBot="1" x14ac:dyDescent="0.25">
      <c r="B107" s="377"/>
      <c r="C107" s="436"/>
      <c r="D107" s="436"/>
      <c r="E107" s="539"/>
      <c r="F107" s="540"/>
      <c r="G107" s="540"/>
      <c r="H107" s="581"/>
      <c r="I107" s="438"/>
      <c r="J107" s="439"/>
      <c r="K107" s="483"/>
      <c r="L107" s="440"/>
      <c r="M107" s="484"/>
      <c r="N107" s="485"/>
      <c r="O107" s="485"/>
      <c r="P107" s="486"/>
      <c r="Q107" s="440"/>
      <c r="R107" s="484"/>
      <c r="S107" s="485"/>
      <c r="T107" s="485"/>
      <c r="U107" s="486"/>
      <c r="V107" s="440"/>
      <c r="W107" s="484"/>
      <c r="X107" s="485"/>
      <c r="Y107" s="485"/>
      <c r="Z107" s="486"/>
      <c r="AA107" s="440"/>
      <c r="AB107" s="484"/>
      <c r="AC107" s="485"/>
      <c r="AD107" s="485"/>
      <c r="AE107" s="486"/>
      <c r="AF107" s="440"/>
      <c r="AG107" s="484"/>
      <c r="AH107" s="485"/>
      <c r="AI107" s="485"/>
      <c r="AJ107" s="486"/>
      <c r="AK107" s="440"/>
      <c r="AL107" s="484"/>
      <c r="AM107" s="485"/>
      <c r="AN107" s="485"/>
      <c r="AO107" s="486"/>
      <c r="AP107" s="440"/>
      <c r="AQ107" s="484"/>
      <c r="AR107" s="485"/>
      <c r="AS107" s="485"/>
      <c r="AT107" s="486"/>
      <c r="AU107" s="440"/>
      <c r="AV107" s="484"/>
      <c r="AW107" s="485"/>
      <c r="AX107" s="485"/>
      <c r="AY107" s="486"/>
      <c r="AZ107" s="440"/>
      <c r="BA107" s="484"/>
      <c r="BB107" s="485"/>
      <c r="BC107" s="485"/>
      <c r="BD107" s="486"/>
      <c r="BE107" s="440"/>
      <c r="BF107" s="484"/>
      <c r="BG107" s="485"/>
      <c r="BH107" s="485"/>
      <c r="BI107" s="486"/>
      <c r="BJ107" s="440"/>
      <c r="BK107" s="484"/>
      <c r="BL107" s="485"/>
      <c r="BM107" s="485"/>
      <c r="BN107" s="486"/>
      <c r="BO107" s="440"/>
      <c r="BP107" s="487"/>
      <c r="BQ107" s="442"/>
      <c r="BR107" s="488"/>
      <c r="BS107" s="489"/>
      <c r="BT107" s="489"/>
      <c r="BU107" s="490"/>
      <c r="BV107" s="442"/>
      <c r="BW107" s="488"/>
      <c r="BX107" s="489"/>
      <c r="BY107" s="489"/>
      <c r="BZ107" s="490"/>
      <c r="CA107" s="442"/>
      <c r="CB107" s="488"/>
      <c r="CC107" s="489"/>
      <c r="CD107" s="489"/>
      <c r="CE107" s="490"/>
      <c r="CF107" s="442"/>
      <c r="CG107" s="488"/>
      <c r="CH107" s="489"/>
      <c r="CI107" s="489"/>
      <c r="CJ107" s="490"/>
      <c r="CK107" s="442"/>
      <c r="CL107" s="488"/>
      <c r="CM107" s="489"/>
      <c r="CN107" s="489"/>
      <c r="CO107" s="490"/>
      <c r="CP107" s="442"/>
      <c r="CQ107" s="488"/>
      <c r="CR107" s="489"/>
      <c r="CS107" s="489"/>
      <c r="CT107" s="490"/>
      <c r="CU107" s="442"/>
      <c r="CV107" s="488"/>
      <c r="CW107" s="489"/>
      <c r="CX107" s="489"/>
      <c r="CY107" s="490"/>
      <c r="CZ107" s="442"/>
      <c r="DA107" s="488"/>
      <c r="DB107" s="489"/>
      <c r="DC107" s="489"/>
      <c r="DD107" s="490"/>
      <c r="DE107" s="442"/>
      <c r="DF107" s="488"/>
      <c r="DG107" s="489"/>
      <c r="DH107" s="489"/>
      <c r="DI107" s="490"/>
      <c r="DJ107" s="442"/>
      <c r="DK107" s="488"/>
      <c r="DL107" s="489"/>
      <c r="DM107" s="489"/>
      <c r="DN107" s="490"/>
      <c r="DO107" s="442"/>
      <c r="DP107" s="488"/>
      <c r="DQ107" s="489"/>
      <c r="DR107" s="489"/>
      <c r="DS107" s="490"/>
      <c r="DT107" s="442"/>
    </row>
    <row r="108" spans="1:139" ht="12.75" customHeight="1" x14ac:dyDescent="0.2">
      <c r="B108" s="16" t="s">
        <v>336</v>
      </c>
      <c r="C108" s="16"/>
      <c r="D108" s="17"/>
      <c r="E108" s="530"/>
      <c r="F108" s="537"/>
      <c r="G108" s="537"/>
      <c r="H108" s="586"/>
      <c r="I108" s="492"/>
      <c r="J108" s="444"/>
      <c r="K108" s="392"/>
      <c r="L108" s="393"/>
      <c r="M108" s="394"/>
      <c r="N108" s="395"/>
      <c r="O108" s="395"/>
      <c r="P108" s="396"/>
      <c r="Q108" s="397"/>
      <c r="R108" s="394"/>
      <c r="S108" s="395"/>
      <c r="T108" s="395"/>
      <c r="U108" s="396"/>
      <c r="V108" s="397"/>
      <c r="W108" s="394"/>
      <c r="X108" s="395"/>
      <c r="Y108" s="395"/>
      <c r="Z108" s="396"/>
      <c r="AA108" s="397"/>
      <c r="AB108" s="394"/>
      <c r="AC108" s="395"/>
      <c r="AD108" s="395"/>
      <c r="AE108" s="396"/>
      <c r="AF108" s="397"/>
      <c r="AG108" s="394"/>
      <c r="AH108" s="395"/>
      <c r="AI108" s="395"/>
      <c r="AJ108" s="396"/>
      <c r="AK108" s="397"/>
      <c r="AL108" s="394"/>
      <c r="AM108" s="395"/>
      <c r="AN108" s="395"/>
      <c r="AO108" s="396"/>
      <c r="AP108" s="397"/>
      <c r="AQ108" s="394"/>
      <c r="AR108" s="395"/>
      <c r="AS108" s="395"/>
      <c r="AT108" s="396"/>
      <c r="AU108" s="397"/>
      <c r="AV108" s="394"/>
      <c r="AW108" s="395"/>
      <c r="AX108" s="395"/>
      <c r="AY108" s="396"/>
      <c r="AZ108" s="397"/>
      <c r="BA108" s="394"/>
      <c r="BB108" s="395"/>
      <c r="BC108" s="395"/>
      <c r="BD108" s="396"/>
      <c r="BE108" s="397"/>
      <c r="BF108" s="394"/>
      <c r="BG108" s="395"/>
      <c r="BH108" s="395"/>
      <c r="BI108" s="396"/>
      <c r="BJ108" s="397"/>
      <c r="BK108" s="394"/>
      <c r="BL108" s="395"/>
      <c r="BM108" s="395"/>
      <c r="BN108" s="396"/>
      <c r="BO108" s="397"/>
      <c r="BP108" s="445"/>
      <c r="BQ108" s="399"/>
      <c r="BR108" s="400"/>
      <c r="BS108" s="401"/>
      <c r="BT108" s="401"/>
      <c r="BU108" s="402"/>
      <c r="BV108" s="403"/>
      <c r="BW108" s="400"/>
      <c r="BX108" s="401"/>
      <c r="BY108" s="401"/>
      <c r="BZ108" s="402"/>
      <c r="CA108" s="403"/>
      <c r="CB108" s="400"/>
      <c r="CC108" s="401"/>
      <c r="CD108" s="401"/>
      <c r="CE108" s="402"/>
      <c r="CF108" s="403"/>
      <c r="CG108" s="400"/>
      <c r="CH108" s="401"/>
      <c r="CI108" s="401"/>
      <c r="CJ108" s="402"/>
      <c r="CK108" s="403"/>
      <c r="CL108" s="400"/>
      <c r="CM108" s="401"/>
      <c r="CN108" s="401"/>
      <c r="CO108" s="402"/>
      <c r="CP108" s="403"/>
      <c r="CQ108" s="400"/>
      <c r="CR108" s="401"/>
      <c r="CS108" s="401"/>
      <c r="CT108" s="402"/>
      <c r="CU108" s="403"/>
      <c r="CV108" s="400"/>
      <c r="CW108" s="401"/>
      <c r="CX108" s="401"/>
      <c r="CY108" s="402"/>
      <c r="CZ108" s="403"/>
      <c r="DA108" s="400"/>
      <c r="DB108" s="401"/>
      <c r="DC108" s="401"/>
      <c r="DD108" s="402"/>
      <c r="DE108" s="403"/>
      <c r="DF108" s="400"/>
      <c r="DG108" s="401"/>
      <c r="DH108" s="401"/>
      <c r="DI108" s="402"/>
      <c r="DJ108" s="403"/>
      <c r="DK108" s="400"/>
      <c r="DL108" s="401"/>
      <c r="DM108" s="401"/>
      <c r="DN108" s="402"/>
      <c r="DO108" s="403"/>
      <c r="DP108" s="400"/>
      <c r="DQ108" s="401"/>
      <c r="DR108" s="401"/>
      <c r="DS108" s="402"/>
      <c r="DT108" s="403"/>
    </row>
    <row r="109" spans="1:139" ht="12.75" customHeight="1" x14ac:dyDescent="0.2">
      <c r="C109" s="26"/>
      <c r="D109" s="26"/>
      <c r="E109" s="530"/>
      <c r="F109" s="537"/>
      <c r="G109" s="537"/>
      <c r="H109" s="580"/>
      <c r="I109" s="390"/>
      <c r="J109" s="391"/>
      <c r="K109" s="392"/>
      <c r="L109" s="393"/>
      <c r="M109" s="394"/>
      <c r="N109" s="395"/>
      <c r="O109" s="395"/>
      <c r="P109" s="396"/>
      <c r="Q109" s="397"/>
      <c r="R109" s="394"/>
      <c r="S109" s="395"/>
      <c r="T109" s="395"/>
      <c r="U109" s="396"/>
      <c r="V109" s="397"/>
      <c r="W109" s="394"/>
      <c r="X109" s="395"/>
      <c r="Y109" s="395"/>
      <c r="Z109" s="396"/>
      <c r="AA109" s="397"/>
      <c r="AB109" s="394"/>
      <c r="AC109" s="395"/>
      <c r="AD109" s="395"/>
      <c r="AE109" s="396"/>
      <c r="AF109" s="397"/>
      <c r="AG109" s="394"/>
      <c r="AH109" s="395"/>
      <c r="AI109" s="395"/>
      <c r="AJ109" s="396"/>
      <c r="AK109" s="397"/>
      <c r="AL109" s="394"/>
      <c r="AM109" s="395"/>
      <c r="AN109" s="395"/>
      <c r="AO109" s="396"/>
      <c r="AP109" s="397"/>
      <c r="AQ109" s="394"/>
      <c r="AR109" s="395"/>
      <c r="AS109" s="395"/>
      <c r="AT109" s="396"/>
      <c r="AU109" s="397"/>
      <c r="AV109" s="394"/>
      <c r="AW109" s="395"/>
      <c r="AX109" s="395"/>
      <c r="AY109" s="396"/>
      <c r="AZ109" s="397"/>
      <c r="BA109" s="394"/>
      <c r="BB109" s="395"/>
      <c r="BC109" s="395"/>
      <c r="BD109" s="396"/>
      <c r="BE109" s="397"/>
      <c r="BF109" s="394"/>
      <c r="BG109" s="395"/>
      <c r="BH109" s="395"/>
      <c r="BI109" s="396"/>
      <c r="BJ109" s="397"/>
      <c r="BK109" s="394"/>
      <c r="BL109" s="395"/>
      <c r="BM109" s="395"/>
      <c r="BN109" s="396"/>
      <c r="BO109" s="397"/>
      <c r="BP109" s="445"/>
      <c r="BQ109" s="399"/>
      <c r="BR109" s="400"/>
      <c r="BS109" s="401"/>
      <c r="BT109" s="401"/>
      <c r="BU109" s="402"/>
      <c r="BV109" s="403"/>
      <c r="BW109" s="400"/>
      <c r="BX109" s="401"/>
      <c r="BY109" s="401"/>
      <c r="BZ109" s="402"/>
      <c r="CA109" s="403"/>
      <c r="CB109" s="400"/>
      <c r="CC109" s="401"/>
      <c r="CD109" s="401"/>
      <c r="CE109" s="402"/>
      <c r="CF109" s="403"/>
      <c r="CG109" s="400"/>
      <c r="CH109" s="401"/>
      <c r="CI109" s="401"/>
      <c r="CJ109" s="402"/>
      <c r="CK109" s="403"/>
      <c r="CL109" s="400"/>
      <c r="CM109" s="401"/>
      <c r="CN109" s="401"/>
      <c r="CO109" s="402"/>
      <c r="CP109" s="403"/>
      <c r="CQ109" s="400"/>
      <c r="CR109" s="401"/>
      <c r="CS109" s="401"/>
      <c r="CT109" s="402"/>
      <c r="CU109" s="403"/>
      <c r="CV109" s="400"/>
      <c r="CW109" s="401"/>
      <c r="CX109" s="401"/>
      <c r="CY109" s="402"/>
      <c r="CZ109" s="403"/>
      <c r="DA109" s="400"/>
      <c r="DB109" s="401"/>
      <c r="DC109" s="401"/>
      <c r="DD109" s="402"/>
      <c r="DE109" s="403"/>
      <c r="DF109" s="400"/>
      <c r="DG109" s="401"/>
      <c r="DH109" s="401"/>
      <c r="DI109" s="402"/>
      <c r="DJ109" s="403"/>
      <c r="DK109" s="400"/>
      <c r="DL109" s="401"/>
      <c r="DM109" s="401"/>
      <c r="DN109" s="402"/>
      <c r="DO109" s="403"/>
      <c r="DP109" s="400"/>
      <c r="DQ109" s="401"/>
      <c r="DR109" s="401"/>
      <c r="DS109" s="402"/>
      <c r="DT109" s="403"/>
    </row>
    <row r="110" spans="1:139" ht="12.75" customHeight="1" x14ac:dyDescent="0.2">
      <c r="C110" s="240" t="s">
        <v>333</v>
      </c>
      <c r="D110" s="240"/>
      <c r="E110" s="530"/>
      <c r="F110" s="537"/>
      <c r="G110" s="537"/>
      <c r="H110" s="449"/>
      <c r="I110" s="390"/>
      <c r="J110" s="391"/>
      <c r="K110" s="448"/>
      <c r="L110" s="393"/>
      <c r="M110" s="394"/>
      <c r="N110" s="395"/>
      <c r="O110" s="395"/>
      <c r="P110" s="396"/>
      <c r="Q110" s="397"/>
      <c r="R110" s="394"/>
      <c r="S110" s="395"/>
      <c r="T110" s="395"/>
      <c r="U110" s="396"/>
      <c r="V110" s="397"/>
      <c r="W110" s="394"/>
      <c r="X110" s="395"/>
      <c r="Y110" s="395"/>
      <c r="Z110" s="396"/>
      <c r="AA110" s="397"/>
      <c r="AB110" s="394"/>
      <c r="AC110" s="395"/>
      <c r="AD110" s="395"/>
      <c r="AE110" s="396"/>
      <c r="AF110" s="397"/>
      <c r="AG110" s="394"/>
      <c r="AH110" s="395"/>
      <c r="AI110" s="395"/>
      <c r="AJ110" s="396"/>
      <c r="AK110" s="397"/>
      <c r="AL110" s="394"/>
      <c r="AM110" s="395"/>
      <c r="AN110" s="395"/>
      <c r="AO110" s="396"/>
      <c r="AP110" s="397"/>
      <c r="AQ110" s="394"/>
      <c r="AR110" s="395"/>
      <c r="AS110" s="395"/>
      <c r="AT110" s="396"/>
      <c r="AU110" s="397"/>
      <c r="AV110" s="394"/>
      <c r="AW110" s="395"/>
      <c r="AX110" s="395"/>
      <c r="AY110" s="396"/>
      <c r="AZ110" s="397"/>
      <c r="BA110" s="394"/>
      <c r="BB110" s="395"/>
      <c r="BC110" s="395"/>
      <c r="BD110" s="396"/>
      <c r="BE110" s="397"/>
      <c r="BF110" s="394"/>
      <c r="BG110" s="395"/>
      <c r="BH110" s="395"/>
      <c r="BI110" s="396"/>
      <c r="BJ110" s="397"/>
      <c r="BK110" s="394"/>
      <c r="BL110" s="395"/>
      <c r="BM110" s="395"/>
      <c r="BN110" s="396"/>
      <c r="BO110" s="397"/>
      <c r="BP110" s="445"/>
      <c r="BQ110" s="399"/>
      <c r="BR110" s="400"/>
      <c r="BS110" s="401"/>
      <c r="BT110" s="401"/>
      <c r="BU110" s="402"/>
      <c r="BV110" s="403"/>
      <c r="BW110" s="400"/>
      <c r="BX110" s="401"/>
      <c r="BY110" s="401"/>
      <c r="BZ110" s="402"/>
      <c r="CA110" s="403"/>
      <c r="CB110" s="400"/>
      <c r="CC110" s="401"/>
      <c r="CD110" s="401"/>
      <c r="CE110" s="402"/>
      <c r="CF110" s="403"/>
      <c r="CG110" s="400"/>
      <c r="CH110" s="401"/>
      <c r="CI110" s="401"/>
      <c r="CJ110" s="402"/>
      <c r="CK110" s="403"/>
      <c r="CL110" s="400"/>
      <c r="CM110" s="401"/>
      <c r="CN110" s="401"/>
      <c r="CO110" s="402"/>
      <c r="CP110" s="403"/>
      <c r="CQ110" s="400"/>
      <c r="CR110" s="401"/>
      <c r="CS110" s="401"/>
      <c r="CT110" s="402"/>
      <c r="CU110" s="403"/>
      <c r="CV110" s="400"/>
      <c r="CW110" s="401"/>
      <c r="CX110" s="401"/>
      <c r="CY110" s="402"/>
      <c r="CZ110" s="403"/>
      <c r="DA110" s="400"/>
      <c r="DB110" s="401"/>
      <c r="DC110" s="401"/>
      <c r="DD110" s="402"/>
      <c r="DE110" s="403"/>
      <c r="DF110" s="400"/>
      <c r="DG110" s="401"/>
      <c r="DH110" s="401"/>
      <c r="DI110" s="402"/>
      <c r="DJ110" s="403"/>
      <c r="DK110" s="400"/>
      <c r="DL110" s="401"/>
      <c r="DM110" s="401"/>
      <c r="DN110" s="402"/>
      <c r="DO110" s="403"/>
      <c r="DP110" s="400"/>
      <c r="DQ110" s="401"/>
      <c r="DR110" s="401"/>
      <c r="DS110" s="402"/>
      <c r="DT110" s="403"/>
    </row>
    <row r="111" spans="1:139" ht="12.75" customHeight="1" x14ac:dyDescent="0.2">
      <c r="C111" s="20" t="s">
        <v>361</v>
      </c>
      <c r="D111" s="240"/>
      <c r="E111" s="530"/>
      <c r="F111" s="537"/>
      <c r="G111" s="537"/>
      <c r="H111" s="449"/>
      <c r="I111" s="390"/>
      <c r="J111" s="391"/>
      <c r="K111" s="448"/>
      <c r="L111" s="393"/>
      <c r="M111" s="394"/>
      <c r="N111" s="395"/>
      <c r="O111" s="395"/>
      <c r="P111" s="396"/>
      <c r="Q111" s="397"/>
      <c r="R111" s="394"/>
      <c r="S111" s="395"/>
      <c r="T111" s="395"/>
      <c r="U111" s="396"/>
      <c r="V111" s="397"/>
      <c r="W111" s="394"/>
      <c r="X111" s="395"/>
      <c r="Y111" s="395"/>
      <c r="Z111" s="396"/>
      <c r="AA111" s="397"/>
      <c r="AB111" s="394"/>
      <c r="AC111" s="395"/>
      <c r="AD111" s="395"/>
      <c r="AE111" s="396"/>
      <c r="AF111" s="397"/>
      <c r="AG111" s="394"/>
      <c r="AH111" s="395"/>
      <c r="AI111" s="395"/>
      <c r="AJ111" s="396"/>
      <c r="AK111" s="397"/>
      <c r="AL111" s="394"/>
      <c r="AM111" s="395"/>
      <c r="AN111" s="395"/>
      <c r="AO111" s="396"/>
      <c r="AP111" s="397"/>
      <c r="AQ111" s="394"/>
      <c r="AR111" s="395"/>
      <c r="AS111" s="395"/>
      <c r="AT111" s="396"/>
      <c r="AU111" s="397"/>
      <c r="AV111" s="394"/>
      <c r="AW111" s="395"/>
      <c r="AX111" s="395"/>
      <c r="AY111" s="396"/>
      <c r="AZ111" s="397"/>
      <c r="BA111" s="394"/>
      <c r="BB111" s="395"/>
      <c r="BC111" s="395"/>
      <c r="BD111" s="396"/>
      <c r="BE111" s="397"/>
      <c r="BF111" s="394"/>
      <c r="BG111" s="395"/>
      <c r="BH111" s="395"/>
      <c r="BI111" s="396"/>
      <c r="BJ111" s="397"/>
      <c r="BK111" s="394"/>
      <c r="BL111" s="395"/>
      <c r="BM111" s="395"/>
      <c r="BN111" s="396"/>
      <c r="BO111" s="397"/>
      <c r="BP111" s="445"/>
      <c r="BQ111" s="399"/>
      <c r="BR111" s="400"/>
      <c r="BS111" s="401"/>
      <c r="BT111" s="401"/>
      <c r="BU111" s="402"/>
      <c r="BV111" s="403"/>
      <c r="BW111" s="400"/>
      <c r="BX111" s="401"/>
      <c r="BY111" s="401"/>
      <c r="BZ111" s="402"/>
      <c r="CA111" s="403"/>
      <c r="CB111" s="400"/>
      <c r="CC111" s="401"/>
      <c r="CD111" s="401"/>
      <c r="CE111" s="402"/>
      <c r="CF111" s="403"/>
      <c r="CG111" s="400"/>
      <c r="CH111" s="401"/>
      <c r="CI111" s="401"/>
      <c r="CJ111" s="402"/>
      <c r="CK111" s="403"/>
      <c r="CL111" s="400"/>
      <c r="CM111" s="401"/>
      <c r="CN111" s="401"/>
      <c r="CO111" s="402"/>
      <c r="CP111" s="403"/>
      <c r="CQ111" s="400"/>
      <c r="CR111" s="401"/>
      <c r="CS111" s="401"/>
      <c r="CT111" s="402"/>
      <c r="CU111" s="403"/>
      <c r="CV111" s="400"/>
      <c r="CW111" s="401"/>
      <c r="CX111" s="401"/>
      <c r="CY111" s="402"/>
      <c r="CZ111" s="403"/>
      <c r="DA111" s="400"/>
      <c r="DB111" s="401"/>
      <c r="DC111" s="401"/>
      <c r="DD111" s="402"/>
      <c r="DE111" s="403"/>
      <c r="DF111" s="400"/>
      <c r="DG111" s="401"/>
      <c r="DH111" s="401"/>
      <c r="DI111" s="402"/>
      <c r="DJ111" s="403"/>
      <c r="DK111" s="400"/>
      <c r="DL111" s="401"/>
      <c r="DM111" s="401"/>
      <c r="DN111" s="402"/>
      <c r="DO111" s="403"/>
      <c r="DP111" s="400"/>
      <c r="DQ111" s="401"/>
      <c r="DR111" s="401"/>
      <c r="DS111" s="402"/>
      <c r="DT111" s="403"/>
    </row>
    <row r="112" spans="1:139" ht="12.75" customHeight="1" x14ac:dyDescent="0.2">
      <c r="C112" s="511" t="s">
        <v>374</v>
      </c>
      <c r="D112" s="70"/>
      <c r="E112" s="530">
        <f t="shared" ref="E112:E128" si="831">IF(F112=0,G112,F112)</f>
        <v>300</v>
      </c>
      <c r="F112" s="532">
        <v>300</v>
      </c>
      <c r="G112" s="532">
        <v>300</v>
      </c>
      <c r="H112" s="449">
        <v>2018</v>
      </c>
      <c r="I112" s="450">
        <v>5.8000000000000003E-2</v>
      </c>
      <c r="J112" s="451">
        <v>8</v>
      </c>
      <c r="K112" s="392"/>
      <c r="L112" s="397">
        <f t="shared" ref="L112:L125" si="832">IF(L$5=$H112,-$E112,0)</f>
        <v>0</v>
      </c>
      <c r="M112" s="394">
        <f t="shared" ref="M112:M119" si="833">IF(Q112=0,0,IF(Q112&lt;0,IF($J112=3,Q112,IF($J112=2,Q112,IF($J112=1,Q112,0)))))</f>
        <v>0</v>
      </c>
      <c r="N112" s="404">
        <f t="shared" ref="N112:N119" si="834">IF(Q112=0,0,IF(Q112&lt;0,IF($J112=6,Q112,IF($J112=5,Q112,IF($J112=4,Q112,0)))))</f>
        <v>0</v>
      </c>
      <c r="O112" s="404">
        <f t="shared" ref="O112:O119" si="835">IF(Q112=0,0,IF(Q112&lt;0,IF($J112=9,Q112,IF($J112=8,Q112,IF($J112=7,Q112,0)))))</f>
        <v>0</v>
      </c>
      <c r="P112" s="396">
        <f t="shared" ref="P112:P119" si="836">IF(Q112=0,0,IF(Q112&lt;0,IF($J112=12,Q112,IF($J112=11,Q112,IF($J112=10,Q112,0)))))</f>
        <v>0</v>
      </c>
      <c r="Q112" s="397">
        <f t="shared" ref="Q112:Q125" si="837">IF(Q$5=$H112,-$E112,0)</f>
        <v>0</v>
      </c>
      <c r="R112" s="394">
        <f t="shared" ref="R112:R119" si="838">IF(V112=0,0,IF(V112&lt;0,IF($J112=3,V112,IF($J112=2,V112,IF($J112=1,V112,0)))))</f>
        <v>0</v>
      </c>
      <c r="S112" s="404">
        <f t="shared" ref="S112:S119" si="839">IF(V112=0,0,IF(V112&lt;0,IF($J112=6,V112,IF($J112=5,V112,IF($J112=4,V112,0)))))</f>
        <v>0</v>
      </c>
      <c r="T112" s="404">
        <f t="shared" ref="T112:T119" si="840">IF(V112=0,0,IF(V112&lt;0,IF($J112=9,V112,IF($J112=8,V112,IF($J112=7,V112,0)))))</f>
        <v>0</v>
      </c>
      <c r="U112" s="396">
        <f t="shared" ref="U112:U119" si="841">IF(V112=0,0,IF(V112&lt;0,IF($J112=12,V112,IF($J112=11,V112,IF($J112=10,V112,0)))))</f>
        <v>0</v>
      </c>
      <c r="V112" s="397">
        <f t="shared" ref="V112:V125" si="842">IF(V$5=$H112,-$E112,0)</f>
        <v>0</v>
      </c>
      <c r="W112" s="394">
        <f t="shared" ref="W112:W119" si="843">IF(AA112=0,0,IF(AA112&lt;0,IF($J112=3,AA112,IF($J112=2,AA112,IF($J112=1,AA112,0)))))</f>
        <v>0</v>
      </c>
      <c r="X112" s="404">
        <f t="shared" ref="X112:X119" si="844">IF(AA112=0,0,IF(AA112&lt;0,IF($J112=6,AA112,IF($J112=5,AA112,IF($J112=4,AA112,0)))))</f>
        <v>0</v>
      </c>
      <c r="Y112" s="404">
        <f t="shared" ref="Y112:Y119" si="845">IF(AA112=0,0,IF(AA112&lt;0,IF($J112=9,AA112,IF($J112=8,AA112,IF($J112=7,AA112,0)))))</f>
        <v>0</v>
      </c>
      <c r="Z112" s="396">
        <f t="shared" ref="Z112:Z119" si="846">IF(AA112=0,0,IF(AA112&lt;0,IF($J112=12,AA112,IF($J112=11,AA112,IF($J112=10,AA112,0)))))</f>
        <v>0</v>
      </c>
      <c r="AA112" s="397">
        <f t="shared" ref="AA112:AA125" si="847">IF(AA$5=$H112,-$E112,0)</f>
        <v>0</v>
      </c>
      <c r="AB112" s="394">
        <f t="shared" ref="AB112:AB119" si="848">IF(AF112=0,0,IF(AF112&lt;0,IF($J112=3,AF112,IF($J112=2,AF112,IF($J112=1,AF112,0)))))</f>
        <v>0</v>
      </c>
      <c r="AC112" s="404">
        <f t="shared" ref="AC112:AC119" si="849">IF(AF112=0,0,IF(AF112&lt;0,IF($J112=6,AF112,IF($J112=5,AF112,IF($J112=4,AF112,0)))))</f>
        <v>0</v>
      </c>
      <c r="AD112" s="404">
        <f t="shared" ref="AD112:AD119" si="850">IF(AF112=0,0,IF(AF112&lt;0,IF($J112=9,AF112,IF($J112=8,AF112,IF($J112=7,AF112,0)))))</f>
        <v>0</v>
      </c>
      <c r="AE112" s="396">
        <f t="shared" ref="AE112:AE119" si="851">IF(AF112=0,0,IF(AF112&lt;0,IF($J112=12,AF112,IF($J112=11,AF112,IF($J112=10,AF112,0)))))</f>
        <v>0</v>
      </c>
      <c r="AF112" s="397">
        <f t="shared" ref="AF112:AF125" si="852">IF(AF$5=$H112,-$E112,0)</f>
        <v>0</v>
      </c>
      <c r="AG112" s="394">
        <f t="shared" ref="AG112:AG119" si="853">IF(AK112=0,0,IF(AK112&lt;0,IF($J112=3,AK112,IF($J112=2,AK112,IF($J112=1,AK112,0)))))</f>
        <v>0</v>
      </c>
      <c r="AH112" s="404">
        <f t="shared" ref="AH112:AH119" si="854">IF(AK112=0,0,IF(AK112&lt;0,IF($J112=6,AK112,IF($J112=5,AK112,IF($J112=4,AK112,0)))))</f>
        <v>0</v>
      </c>
      <c r="AI112" s="404">
        <f t="shared" ref="AI112:AI119" si="855">IF(AK112=0,0,IF(AK112&lt;0,IF($J112=9,AK112,IF($J112=8,AK112,IF($J112=7,AK112,0)))))</f>
        <v>0</v>
      </c>
      <c r="AJ112" s="396">
        <f t="shared" ref="AJ112:AJ119" si="856">IF(AK112=0,0,IF(AK112&lt;0,IF($J112=12,AK112,IF($J112=11,AK112,IF($J112=10,AK112,0)))))</f>
        <v>0</v>
      </c>
      <c r="AK112" s="397">
        <f t="shared" ref="AK112:AK125" si="857">IF(AK$5=$H112,-$E112,0)</f>
        <v>0</v>
      </c>
      <c r="AL112" s="394">
        <f t="shared" ref="AL112:AL119" si="858">IF(AP112=0,0,IF(AP112&lt;0,IF($J112=3,AP112,IF($J112=2,AP112,IF($J112=1,AP112,0)))))</f>
        <v>0</v>
      </c>
      <c r="AM112" s="404">
        <f t="shared" ref="AM112:AM119" si="859">IF(AP112=0,0,IF(AP112&lt;0,IF($J112=6,AP112,IF($J112=5,AP112,IF($J112=4,AP112,0)))))</f>
        <v>0</v>
      </c>
      <c r="AN112" s="404">
        <f t="shared" ref="AN112:AN119" si="860">IF(AP112=0,0,IF(AP112&lt;0,IF($J112=9,AP112,IF($J112=8,AP112,IF($J112=7,AP112,0)))))</f>
        <v>0</v>
      </c>
      <c r="AO112" s="396">
        <f t="shared" ref="AO112:AO119" si="861">IF(AP112=0,0,IF(AP112&lt;0,IF($J112=12,AP112,IF($J112=11,AP112,IF($J112=10,AP112,0)))))</f>
        <v>0</v>
      </c>
      <c r="AP112" s="397">
        <f t="shared" ref="AP112:AP125" si="862">IF(AP$5=$H112,-$E112,0)</f>
        <v>0</v>
      </c>
      <c r="AQ112" s="394">
        <f t="shared" ref="AQ112:AQ119" si="863">IF(AU112=0,0,IF(AU112&lt;0,IF($J112=3,AU112,IF($J112=2,AU112,IF($J112=1,AU112,0)))))</f>
        <v>0</v>
      </c>
      <c r="AR112" s="404">
        <f t="shared" ref="AR112:AR119" si="864">IF(AU112=0,0,IF(AU112&lt;0,IF($J112=6,AU112,IF($J112=5,AU112,IF($J112=4,AU112,0)))))</f>
        <v>0</v>
      </c>
      <c r="AS112" s="404">
        <f t="shared" ref="AS112:AS119" si="865">IF(AU112=0,0,IF(AU112&lt;0,IF($J112=9,AU112,IF($J112=8,AU112,IF($J112=7,AU112,0)))))</f>
        <v>0</v>
      </c>
      <c r="AT112" s="396">
        <f t="shared" ref="AT112:AT119" si="866">IF(AU112=0,0,IF(AU112&lt;0,IF($J112=12,AU112,IF($J112=11,AU112,IF($J112=10,AU112,0)))))</f>
        <v>0</v>
      </c>
      <c r="AU112" s="397">
        <f t="shared" ref="AU112:AU125" si="867">IF(AU$5=$H112,-$E112,0)</f>
        <v>0</v>
      </c>
      <c r="AV112" s="394">
        <f t="shared" ref="AV112:AV119" si="868">IF(AZ112=0,0,IF(AZ112&lt;0,IF($J112=3,AZ112,IF($J112=2,AZ112,IF($J112=1,AZ112,0)))))</f>
        <v>0</v>
      </c>
      <c r="AW112" s="404">
        <f t="shared" ref="AW112:AW119" si="869">IF(AZ112=0,0,IF(AZ112&lt;0,IF($J112=6,AZ112,IF($J112=5,AZ112,IF($J112=4,AZ112,0)))))</f>
        <v>0</v>
      </c>
      <c r="AX112" s="404">
        <f t="shared" ref="AX112:AX119" si="870">IF(AZ112=0,0,IF(AZ112&lt;0,IF($J112=9,AZ112,IF($J112=8,AZ112,IF($J112=7,AZ112,0)))))</f>
        <v>-300</v>
      </c>
      <c r="AY112" s="396">
        <f t="shared" ref="AY112:AY119" si="871">IF(AZ112=0,0,IF(AZ112&lt;0,IF($J112=12,AZ112,IF($J112=11,AZ112,IF($J112=10,AZ112,0)))))</f>
        <v>0</v>
      </c>
      <c r="AZ112" s="397">
        <f t="shared" ref="AZ112:AZ125" si="872">IF(AZ$5=$H112,-$E112,0)</f>
        <v>-300</v>
      </c>
      <c r="BA112" s="394">
        <f t="shared" ref="BA112:BA123" si="873">IF(BE112=0,0,IF(BE112&lt;0,IF($J112=3,BE112,IF($J112=2,BE112,IF($J112=1,BE112,0)))))</f>
        <v>0</v>
      </c>
      <c r="BB112" s="404">
        <f t="shared" ref="BB112:BB123" si="874">IF(BE112=0,0,IF(BE112&lt;0,IF($J112=6,BE112,IF($J112=5,BE112,IF($J112=4,BE112,0)))))</f>
        <v>0</v>
      </c>
      <c r="BC112" s="404">
        <f t="shared" ref="BC112:BC123" si="875">IF(BE112=0,0,IF(BE112&lt;0,IF($J112=9,BE112,IF($J112=8,BE112,IF($J112=7,BE112,0)))))</f>
        <v>0</v>
      </c>
      <c r="BD112" s="396">
        <f t="shared" ref="BD112:BD123" si="876">IF(BE112=0,0,IF(BE112&lt;0,IF($J112=12,BE112,IF($J112=11,BE112,IF($J112=10,BE112,0)))))</f>
        <v>0</v>
      </c>
      <c r="BE112" s="397">
        <f t="shared" ref="BE112:BE125" si="877">IF(BE$5=$H112,-$E112,0)</f>
        <v>0</v>
      </c>
      <c r="BF112" s="394">
        <f t="shared" ref="BF112:BF123" si="878">IF(BJ112=0,0,IF(BJ112&lt;0,IF($J112=3,BJ112,IF($J112=2,BJ112,IF($J112=1,BJ112,0)))))</f>
        <v>0</v>
      </c>
      <c r="BG112" s="404">
        <f t="shared" ref="BG112:BG123" si="879">IF(BJ112=0,0,IF(BJ112&lt;0,IF($J112=6,BJ112,IF($J112=5,BJ112,IF($J112=4,BJ112,0)))))</f>
        <v>0</v>
      </c>
      <c r="BH112" s="404">
        <f t="shared" ref="BH112:BH123" si="880">IF(BJ112=0,0,IF(BJ112&lt;0,IF($J112=9,BJ112,IF($J112=8,BJ112,IF($J112=7,BJ112,0)))))</f>
        <v>0</v>
      </c>
      <c r="BI112" s="396">
        <f t="shared" ref="BI112:BI123" si="881">IF(BJ112=0,0,IF(BJ112&lt;0,IF($J112=12,BJ112,IF($J112=11,BJ112,IF($J112=10,BJ112,0)))))</f>
        <v>0</v>
      </c>
      <c r="BJ112" s="397">
        <f t="shared" ref="BJ112:BJ125" si="882">IF(BJ$5=$H112,-$E112,0)</f>
        <v>0</v>
      </c>
      <c r="BK112" s="394">
        <f t="shared" ref="BK112:BK116" si="883">IF(BO112=0,0,IF(BO112&lt;0,IF($J112=3,BO112,IF($J112=2,BO112,IF($J112=1,BO112,0)))))</f>
        <v>0</v>
      </c>
      <c r="BL112" s="404">
        <f t="shared" ref="BL112:BL116" si="884">IF(BO112=0,0,IF(BO112&lt;0,IF($J112=6,BO112,IF($J112=5,BO112,IF($J112=4,BO112,0)))))</f>
        <v>0</v>
      </c>
      <c r="BM112" s="404">
        <f t="shared" ref="BM112:BM116" si="885">IF(BO112=0,0,IF(BO112&lt;0,IF($J112=9,BO112,IF($J112=8,BO112,IF($J112=7,BO112,0)))))</f>
        <v>0</v>
      </c>
      <c r="BN112" s="396">
        <f t="shared" ref="BN112:BN116" si="886">IF(BO112=0,0,IF(BO112&lt;0,IF($J112=12,BO112,IF($J112=11,BO112,IF($J112=10,BO112,0)))))</f>
        <v>0</v>
      </c>
      <c r="BO112" s="397">
        <f t="shared" ref="BO112:BO125" si="887">IF(BO$5=$H112,-$E112,0)</f>
        <v>0</v>
      </c>
      <c r="BP112" s="452"/>
      <c r="BQ112" s="403">
        <f t="shared" ref="BQ112:BQ123" si="888">IF(AND(BP112&lt;&gt;0,BP$5=$H112),-$I112*$E112-BP112,IF(BQ$5=$H112,-$I112*$E112*(12-$J112+1)/12,0))</f>
        <v>0</v>
      </c>
      <c r="BR112" s="400">
        <f t="shared" ref="BR112:BR120" si="889">IF($H112&lt;&gt;BV$5,0,IF(BV112&lt;0,IF($J112=1,-$E112*$I112/12*3,IF($J112=2,-$E112*$I112/12*2,IF($J112=3,-$E112*$I112/12*1,0)))))+IF(BQ$5&lt;&gt;$H112,0,IF(BQ112&lt;0,IF($J112=1,-$E112*$I112/12*0,IF($J112=2,-$E112*$I112/12*1,IF($J112=3,-$E112*$I112/12*2,IF($J112&gt;=4,-$E112*$I112/12*3,0))))))</f>
        <v>0</v>
      </c>
      <c r="BS112" s="406">
        <f t="shared" ref="BS112:BS120" si="890">IF($H112&lt;&gt;BV$5,0,IF(BV112&lt;0,IF(OR($J112=1,$J112=2,$J112=3,$J112=4),-$E112*$I112/12*3,IF($J112=5,-$E112*$I112/12*2,IF($J112=6,-$E112*$I112/12*1,0)))))+IF(BQ$5&lt;&gt;$H112,0,IF(BQ112&lt;0,IF($J112=4,-$E112*$I112/12*0,IF($J112=5,-$E112*$I112/12*1,IF($J112=6,-$E112*$I112/12*2,IF($J112&gt;=7,-$E112*$I112/12*3,0))))))</f>
        <v>0</v>
      </c>
      <c r="BT112" s="406">
        <f t="shared" ref="BT112:BT120" si="891">IF($H112&lt;&gt;BV$5,0,IF(BV112&lt;0,IF(OR($J112=1,$J112=2,$J112=3,$J112=4,$J112=5,$J112=6,$J112=7),-$E112*$I112/12*3,IF($J112=8,-$E112*$I112/12*2,IF($J112=9,-$E112*$I112/12*1,0)))))+IF(BQ$5&lt;&gt;$H112,0,IF(BQ112&lt;0,IF($J112=7,-$E112*$I112/12*0,IF($J112=8,-$E112*$I112/12*1,IF($J112=9,-$E112*$I112/12*2,IF($J112&gt;=10,-$E112*$I112/12*3,0))))))</f>
        <v>0</v>
      </c>
      <c r="BU112" s="402">
        <f t="shared" ref="BU112:BU120" si="892">IF($H112&lt;&gt;BV$5,0,IF(BV112&lt;0,IF(OR($J112=1,$J112=2,$J112=3,$J112=4,$J112=5,$J112=6,$J112=7,$J112=8,$J112=9,$J112=10),-$E112*$I112/12*3,IF($J112=11,-$E112*$I112/12*2,IF($J112=12,-$E112*$I112/12*1,0)))))+IF(BQ$5&lt;&gt;$H112,0,IF(BQ112&lt;0,IF($J112=10,-$E112*$I112/12*0,IF($J112=11,-$E112*$I112/12*1,IF($J112=12,-$E112*$I112/12*2,0)))))</f>
        <v>0</v>
      </c>
      <c r="BV112" s="403">
        <f t="shared" ref="BV112:BV120" si="893">IF(AND(BQ112&lt;&gt;0,BQ$5=$H112),-$I112*$E112-BQ112,IF(BV$5=$H112,-$I112*$E112*(12-$J112+1)/12,0))</f>
        <v>0</v>
      </c>
      <c r="BW112" s="400">
        <f t="shared" ref="BW112:BW120" si="894">IF($H112&lt;&gt;CA$5,0,IF(CA112&lt;0,IF($J112=1,-$E112*$I112/12*3,IF($J112=2,-$E112*$I112/12*2,IF($J112=3,-$E112*$I112/12*1,0)))))+IF(BV$5&lt;&gt;$H112,0,IF(BV112&lt;0,IF($J112=1,-$E112*$I112/12*0,IF($J112=2,-$E112*$I112/12*1,IF($J112=3,-$E112*$I112/12*2,IF($J112&gt;=4,-$E112*$I112/12*3,0))))))</f>
        <v>0</v>
      </c>
      <c r="BX112" s="406">
        <f t="shared" ref="BX112:BX120" si="895">IF($H112&lt;&gt;CA$5,0,IF(CA112&lt;0,IF(OR($J112=1,$J112=2,$J112=3,$J112=4),-$E112*$I112/12*3,IF($J112=5,-$E112*$I112/12*2,IF($J112=6,-$E112*$I112/12*1,0)))))+IF(BV$5&lt;&gt;$H112,0,IF(BV112&lt;0,IF($J112=4,-$E112*$I112/12*0,IF($J112=5,-$E112*$I112/12*1,IF($J112=6,-$E112*$I112/12*2,IF($J112&gt;=7,-$E112*$I112/12*3,0))))))</f>
        <v>0</v>
      </c>
      <c r="BY112" s="406">
        <f t="shared" ref="BY112:BY120" si="896">IF($H112&lt;&gt;CA$5,0,IF(CA112&lt;0,IF(OR($J112=1,$J112=2,$J112=3,$J112=4,$J112=5,$J112=6,$J112=7),-$E112*$I112/12*3,IF($J112=8,-$E112*$I112/12*2,IF($J112=9,-$E112*$I112/12*1,0)))))+IF(BV$5&lt;&gt;$H112,0,IF(BV112&lt;0,IF($J112=7,-$E112*$I112/12*0,IF($J112=8,-$E112*$I112/12*1,IF($J112=9,-$E112*$I112/12*2,IF($J112&gt;=10,-$E112*$I112/12*3,0))))))</f>
        <v>0</v>
      </c>
      <c r="BZ112" s="402">
        <f t="shared" ref="BZ112:BZ120" si="897">IF($H112&lt;&gt;CA$5,0,IF(CA112&lt;0,IF(OR($J112=1,$J112=2,$J112=3,$J112=4,$J112=5,$J112=6,$J112=7,$J112=8,$J112=9,$J112=10),-$E112*$I112/12*3,IF($J112=11,-$E112*$I112/12*2,IF($J112=12,-$E112*$I112/12*1,0)))))+IF(BV$5&lt;&gt;$H112,0,IF(BV112&lt;0,IF($J112=10,-$E112*$I112/12*0,IF($J112=11,-$E112*$I112/12*1,IF($J112=12,-$E112*$I112/12*2,0)))))</f>
        <v>0</v>
      </c>
      <c r="CA112" s="403">
        <f t="shared" ref="CA112:CA120" si="898">IF(AND(BV112&lt;&gt;0,BV$5=$H112),-$I112*$E112-BV112,IF(CA$5=$H112,-$I112*$E112*(12-$J112+1)/12,0))</f>
        <v>0</v>
      </c>
      <c r="CB112" s="400">
        <f t="shared" ref="CB112:CB120" si="899">IF($H112&lt;&gt;CF$5,0,IF(CF112&lt;0,IF($J112=1,-$E112*$I112/12*3,IF($J112=2,-$E112*$I112/12*2,IF($J112=3,-$E112*$I112/12*1,0)))))+IF(CA$5&lt;&gt;$H112,0,IF(CA112&lt;0,IF($J112=1,-$E112*$I112/12*0,IF($J112=2,-$E112*$I112/12*1,IF($J112=3,-$E112*$I112/12*2,IF($J112&gt;=4,-$E112*$I112/12*3,0))))))</f>
        <v>0</v>
      </c>
      <c r="CC112" s="406">
        <f t="shared" ref="CC112:CC120" si="900">IF($H112&lt;&gt;CF$5,0,IF(CF112&lt;0,IF(OR($J112=1,$J112=2,$J112=3,$J112=4),-$E112*$I112/12*3,IF($J112=5,-$E112*$I112/12*2,IF($J112=6,-$E112*$I112/12*1,0)))))+IF(CA$5&lt;&gt;$H112,0,IF(CA112&lt;0,IF($J112=4,-$E112*$I112/12*0,IF($J112=5,-$E112*$I112/12*1,IF($J112=6,-$E112*$I112/12*2,IF($J112&gt;=7,-$E112*$I112/12*3,0))))))</f>
        <v>0</v>
      </c>
      <c r="CD112" s="406">
        <f t="shared" ref="CD112:CD120" si="901">IF($H112&lt;&gt;CF$5,0,IF(CF112&lt;0,IF(OR($J112=1,$J112=2,$J112=3,$J112=4,$J112=5,$J112=6,$J112=7),-$E112*$I112/12*3,IF($J112=8,-$E112*$I112/12*2,IF($J112=9,-$E112*$I112/12*1,0)))))+IF(CA$5&lt;&gt;$H112,0,IF(CA112&lt;0,IF($J112=7,-$E112*$I112/12*0,IF($J112=8,-$E112*$I112/12*1,IF($J112=9,-$E112*$I112/12*2,IF($J112&gt;=10,-$E112*$I112/12*3,0))))))</f>
        <v>0</v>
      </c>
      <c r="CE112" s="402">
        <f t="shared" ref="CE112:CE120" si="902">IF($H112&lt;&gt;CF$5,0,IF(CF112&lt;0,IF(OR($J112=1,$J112=2,$J112=3,$J112=4,$J112=5,$J112=6,$J112=7,$J112=8,$J112=9,$J112=10),-$E112*$I112/12*3,IF($J112=11,-$E112*$I112/12*2,IF($J112=12,-$E112*$I112/12*1,0)))))+IF(CA$5&lt;&gt;$H112,0,IF(CA112&lt;0,IF($J112=10,-$E112*$I112/12*0,IF($J112=11,-$E112*$I112/12*1,IF($J112=12,-$E112*$I112/12*2,0)))))</f>
        <v>0</v>
      </c>
      <c r="CF112" s="403">
        <f t="shared" ref="CF112:CF120" si="903">IF(AND(CA112&lt;&gt;0,CA$5=$H112),-$I112*$E112-CA112,IF(CF$5=$H112,-$I112*$E112*(12-$J112+1)/12,0))</f>
        <v>0</v>
      </c>
      <c r="CG112" s="400">
        <f t="shared" ref="CG112:CG120" si="904">IF($H112&lt;&gt;CK$5,0,IF(CK112&lt;0,IF($J112=1,-$E112*$I112/12*3,IF($J112=2,-$E112*$I112/12*2,IF($J112=3,-$E112*$I112/12*1,0)))))+IF(CF$5&lt;&gt;$H112,0,IF(CF112&lt;0,IF($J112=1,-$E112*$I112/12*0,IF($J112=2,-$E112*$I112/12*1,IF($J112=3,-$E112*$I112/12*2,IF($J112&gt;=4,-$E112*$I112/12*3,0))))))</f>
        <v>0</v>
      </c>
      <c r="CH112" s="406">
        <f t="shared" ref="CH112:CH120" si="905">IF($H112&lt;&gt;CK$5,0,IF(CK112&lt;0,IF(OR($J112=1,$J112=2,$J112=3,$J112=4),-$E112*$I112/12*3,IF($J112=5,-$E112*$I112/12*2,IF($J112=6,-$E112*$I112/12*1,0)))))+IF(CF$5&lt;&gt;$H112,0,IF(CF112&lt;0,IF($J112=4,-$E112*$I112/12*0,IF($J112=5,-$E112*$I112/12*1,IF($J112=6,-$E112*$I112/12*2,IF($J112&gt;=7,-$E112*$I112/12*3,0))))))</f>
        <v>0</v>
      </c>
      <c r="CI112" s="406">
        <f t="shared" ref="CI112:CI120" si="906">IF($H112&lt;&gt;CK$5,0,IF(CK112&lt;0,IF(OR($J112=1,$J112=2,$J112=3,$J112=4,$J112=5,$J112=6,$J112=7),-$E112*$I112/12*3,IF($J112=8,-$E112*$I112/12*2,IF($J112=9,-$E112*$I112/12*1,0)))))+IF(CF$5&lt;&gt;$H112,0,IF(CF112&lt;0,IF($J112=7,-$E112*$I112/12*0,IF($J112=8,-$E112*$I112/12*1,IF($J112=9,-$E112*$I112/12*2,IF($J112&gt;=10,-$E112*$I112/12*3,0))))))</f>
        <v>0</v>
      </c>
      <c r="CJ112" s="402">
        <f t="shared" ref="CJ112:CJ120" si="907">IF($H112&lt;&gt;CK$5,0,IF(CK112&lt;0,IF(OR($J112=1,$J112=2,$J112=3,$J112=4,$J112=5,$J112=6,$J112=7,$J112=8,$J112=9,$J112=10),-$E112*$I112/12*3,IF($J112=11,-$E112*$I112/12*2,IF($J112=12,-$E112*$I112/12*1,0)))))+IF(CF$5&lt;&gt;$H112,0,IF(CF112&lt;0,IF($J112=10,-$E112*$I112/12*0,IF($J112=11,-$E112*$I112/12*1,IF($J112=12,-$E112*$I112/12*2,0)))))</f>
        <v>0</v>
      </c>
      <c r="CK112" s="403">
        <f t="shared" ref="CK112:CK120" si="908">IF(AND(CF112&lt;&gt;0,CF$5=$H112),-$I112*$E112-CF112,IF(CK$5=$H112,-$I112*$E112*(12-$J112+1)/12,0))</f>
        <v>0</v>
      </c>
      <c r="CL112" s="400">
        <f t="shared" ref="CL112:CL120" si="909">IF($H112&lt;&gt;CP$5,0,IF(CP112&lt;0,IF($J112=1,-$E112*$I112/12*3,IF($J112=2,-$E112*$I112/12*2,IF($J112=3,-$E112*$I112/12*1,0)))))+IF(CK$5&lt;&gt;$H112,0,IF(CK112&lt;0,IF($J112=1,-$E112*$I112/12*0,IF($J112=2,-$E112*$I112/12*1,IF($J112=3,-$E112*$I112/12*2,IF($J112&gt;=4,-$E112*$I112/12*3,0))))))</f>
        <v>0</v>
      </c>
      <c r="CM112" s="406">
        <f t="shared" ref="CM112:CM120" si="910">IF($H112&lt;&gt;CP$5,0,IF(CP112&lt;0,IF(OR($J112=1,$J112=2,$J112=3,$J112=4),-$E112*$I112/12*3,IF($J112=5,-$E112*$I112/12*2,IF($J112=6,-$E112*$I112/12*1,0)))))+IF(CK$5&lt;&gt;$H112,0,IF(CK112&lt;0,IF($J112=4,-$E112*$I112/12*0,IF($J112=5,-$E112*$I112/12*1,IF($J112=6,-$E112*$I112/12*2,IF($J112&gt;=7,-$E112*$I112/12*3,0))))))</f>
        <v>0</v>
      </c>
      <c r="CN112" s="406">
        <f t="shared" ref="CN112:CN120" si="911">IF($H112&lt;&gt;CP$5,0,IF(CP112&lt;0,IF(OR($J112=1,$J112=2,$J112=3,$J112=4,$J112=5,$J112=6,$J112=7),-$E112*$I112/12*3,IF($J112=8,-$E112*$I112/12*2,IF($J112=9,-$E112*$I112/12*1,0)))))+IF(CK$5&lt;&gt;$H112,0,IF(CK112&lt;0,IF($J112=7,-$E112*$I112/12*0,IF($J112=8,-$E112*$I112/12*1,IF($J112=9,-$E112*$I112/12*2,IF($J112&gt;=10,-$E112*$I112/12*3,0))))))</f>
        <v>0</v>
      </c>
      <c r="CO112" s="402">
        <f t="shared" ref="CO112:CO120" si="912">IF($H112&lt;&gt;CP$5,0,IF(CP112&lt;0,IF(OR($J112=1,$J112=2,$J112=3,$J112=4,$J112=5,$J112=6,$J112=7,$J112=8,$J112=9,$J112=10),-$E112*$I112/12*3,IF($J112=11,-$E112*$I112/12*2,IF($J112=12,-$E112*$I112/12*1,0)))))+IF(CK$5&lt;&gt;$H112,0,IF(CK112&lt;0,IF($J112=10,-$E112*$I112/12*0,IF($J112=11,-$E112*$I112/12*1,IF($J112=12,-$E112*$I112/12*2,0)))))</f>
        <v>0</v>
      </c>
      <c r="CP112" s="403">
        <f t="shared" ref="CP112:CP120" si="913">IF(AND(CK112&lt;&gt;0,CK$5=$H112),-$I112*$E112-CK112,IF(CP$5=$H112,-$I112*$E112*(12-$J112+1)/12,0))</f>
        <v>0</v>
      </c>
      <c r="CQ112" s="400">
        <f t="shared" ref="CQ112:CQ120" si="914">IF($H112&lt;&gt;CU$5,0,IF(CU112&lt;0,IF($J112=1,-$E112*$I112/12*3,IF($J112=2,-$E112*$I112/12*2,IF($J112=3,-$E112*$I112/12*1,0)))))+IF(CP$5&lt;&gt;$H112,0,IF(CP112&lt;0,IF($J112=1,-$E112*$I112/12*0,IF($J112=2,-$E112*$I112/12*1,IF($J112=3,-$E112*$I112/12*2,IF($J112&gt;=4,-$E112*$I112/12*3,0))))))</f>
        <v>0</v>
      </c>
      <c r="CR112" s="406">
        <f t="shared" ref="CR112:CR120" si="915">IF($H112&lt;&gt;CU$5,0,IF(CU112&lt;0,IF(OR($J112=1,$J112=2,$J112=3,$J112=4),-$E112*$I112/12*3,IF($J112=5,-$E112*$I112/12*2,IF($J112=6,-$E112*$I112/12*1,0)))))+IF(CP$5&lt;&gt;$H112,0,IF(CP112&lt;0,IF($J112=4,-$E112*$I112/12*0,IF($J112=5,-$E112*$I112/12*1,IF($J112=6,-$E112*$I112/12*2,IF($J112&gt;=7,-$E112*$I112/12*3,0))))))</f>
        <v>0</v>
      </c>
      <c r="CS112" s="406">
        <f t="shared" ref="CS112:CS120" si="916">IF($H112&lt;&gt;CU$5,0,IF(CU112&lt;0,IF(OR($J112=1,$J112=2,$J112=3,$J112=4,$J112=5,$J112=6,$J112=7),-$E112*$I112/12*3,IF($J112=8,-$E112*$I112/12*2,IF($J112=9,-$E112*$I112/12*1,0)))))+IF(CP$5&lt;&gt;$H112,0,IF(CP112&lt;0,IF($J112=7,-$E112*$I112/12*0,IF($J112=8,-$E112*$I112/12*1,IF($J112=9,-$E112*$I112/12*2,IF($J112&gt;=10,-$E112*$I112/12*3,0))))))</f>
        <v>0</v>
      </c>
      <c r="CT112" s="402">
        <f t="shared" ref="CT112:CT120" si="917">IF($H112&lt;&gt;CU$5,0,IF(CU112&lt;0,IF(OR($J112=1,$J112=2,$J112=3,$J112=4,$J112=5,$J112=6,$J112=7,$J112=8,$J112=9,$J112=10),-$E112*$I112/12*3,IF($J112=11,-$E112*$I112/12*2,IF($J112=12,-$E112*$I112/12*1,0)))))+IF(CP$5&lt;&gt;$H112,0,IF(CP112&lt;0,IF($J112=10,-$E112*$I112/12*0,IF($J112=11,-$E112*$I112/12*1,IF($J112=12,-$E112*$I112/12*2,0)))))</f>
        <v>0</v>
      </c>
      <c r="CU112" s="403">
        <f t="shared" ref="CU112:CU120" si="918">IF(AND(CP112&lt;&gt;0,CP$5=$H112),-$I112*$E112-CP112,IF(CU$5=$H112,-$I112*$E112*(12-$J112+1)/12,0))</f>
        <v>0</v>
      </c>
      <c r="CV112" s="400">
        <f t="shared" ref="CV112:CV120" si="919">IF($H112&lt;&gt;CZ$5,0,IF(CZ112&lt;0,IF($J112=1,-$E112*$I112/12*3,IF($J112=2,-$E112*$I112/12*2,IF($J112=3,-$E112*$I112/12*1,0)))))+IF(CU$5&lt;&gt;$H112,0,IF(CU112&lt;0,IF($J112=1,-$E112*$I112/12*0,IF($J112=2,-$E112*$I112/12*1,IF($J112=3,-$E112*$I112/12*2,IF($J112&gt;=4,-$E112*$I112/12*3,0))))))</f>
        <v>0</v>
      </c>
      <c r="CW112" s="406">
        <f t="shared" ref="CW112:CW120" si="920">IF($H112&lt;&gt;CZ$5,0,IF(CZ112&lt;0,IF(OR($J112=1,$J112=2,$J112=3,$J112=4),-$E112*$I112/12*3,IF($J112=5,-$E112*$I112/12*2,IF($J112=6,-$E112*$I112/12*1,0)))))+IF(CU$5&lt;&gt;$H112,0,IF(CU112&lt;0,IF($J112=4,-$E112*$I112/12*0,IF($J112=5,-$E112*$I112/12*1,IF($J112=6,-$E112*$I112/12*2,IF($J112&gt;=7,-$E112*$I112/12*3,0))))))</f>
        <v>0</v>
      </c>
      <c r="CX112" s="406">
        <f t="shared" ref="CX112:CX120" si="921">IF($H112&lt;&gt;CZ$5,0,IF(CZ112&lt;0,IF(OR($J112=1,$J112=2,$J112=3,$J112=4,$J112=5,$J112=6,$J112=7),-$E112*$I112/12*3,IF($J112=8,-$E112*$I112/12*2,IF($J112=9,-$E112*$I112/12*1,0)))))+IF(CU$5&lt;&gt;$H112,0,IF(CU112&lt;0,IF($J112=7,-$E112*$I112/12*0,IF($J112=8,-$E112*$I112/12*1,IF($J112=9,-$E112*$I112/12*2,IF($J112&gt;=10,-$E112*$I112/12*3,0))))))</f>
        <v>0</v>
      </c>
      <c r="CY112" s="402">
        <f t="shared" ref="CY112:CY120" si="922">IF($H112&lt;&gt;CZ$5,0,IF(CZ112&lt;0,IF(OR($J112=1,$J112=2,$J112=3,$J112=4,$J112=5,$J112=6,$J112=7,$J112=8,$J112=9,$J112=10),-$E112*$I112/12*3,IF($J112=11,-$E112*$I112/12*2,IF($J112=12,-$E112*$I112/12*1,0)))))+IF(CU$5&lt;&gt;$H112,0,IF(CU112&lt;0,IF($J112=10,-$E112*$I112/12*0,IF($J112=11,-$E112*$I112/12*1,IF($J112=12,-$E112*$I112/12*2,0)))))</f>
        <v>0</v>
      </c>
      <c r="CZ112" s="403">
        <f t="shared" ref="CZ112:CZ120" si="923">IF(AND(CU112&lt;&gt;0,CU$5=$H112),-$I112*$E112-CU112,IF(CZ$5=$H112,-$I112*$E112*(12-$J112+1)/12,0))</f>
        <v>0</v>
      </c>
      <c r="DA112" s="400">
        <f t="shared" ref="DA112:DA120" si="924">IF($H112&lt;&gt;DE$5,0,IF(DE112&lt;0,IF($J112=1,-$E112*$I112/12*3,IF($J112=2,-$E112*$I112/12*2,IF($J112=3,-$E112*$I112/12*1,0)))))+IF(CZ$5&lt;&gt;$H112,0,IF(CZ112&lt;0,IF($J112=1,-$E112*$I112/12*0,IF($J112=2,-$E112*$I112/12*1,IF($J112=3,-$E112*$I112/12*2,IF($J112&gt;=4,-$E112*$I112/12*3,0))))))</f>
        <v>0</v>
      </c>
      <c r="DB112" s="406">
        <f t="shared" ref="DB112:DB120" si="925">IF($H112&lt;&gt;DE$5,0,IF(DE112&lt;0,IF(OR($J112=1,$J112=2,$J112=3,$J112=4),-$E112*$I112/12*3,IF($J112=5,-$E112*$I112/12*2,IF($J112=6,-$E112*$I112/12*1,0)))))+IF(CZ$5&lt;&gt;$H112,0,IF(CZ112&lt;0,IF($J112=4,-$E112*$I112/12*0,IF($J112=5,-$E112*$I112/12*1,IF($J112=6,-$E112*$I112/12*2,IF($J112&gt;=7,-$E112*$I112/12*3,0))))))</f>
        <v>0</v>
      </c>
      <c r="DC112" s="406">
        <f t="shared" ref="DC112:DC120" si="926">IF($H112&lt;&gt;DE$5,0,IF(DE112&lt;0,IF(OR($J112=1,$J112=2,$J112=3,$J112=4,$J112=5,$J112=6,$J112=7),-$E112*$I112/12*3,IF($J112=8,-$E112*$I112/12*2,IF($J112=9,-$E112*$I112/12*1,0)))))+IF(CZ$5&lt;&gt;$H112,0,IF(CZ112&lt;0,IF($J112=7,-$E112*$I112/12*0,IF($J112=8,-$E112*$I112/12*1,IF($J112=9,-$E112*$I112/12*2,IF($J112&gt;=10,-$E112*$I112/12*3,0))))))</f>
        <v>-2.9000000000000004</v>
      </c>
      <c r="DD112" s="402">
        <f t="shared" ref="DD112:DD120" si="927">IF($H112&lt;&gt;DE$5,0,IF(DE112&lt;0,IF(OR($J112=1,$J112=2,$J112=3,$J112=4,$J112=5,$J112=6,$J112=7,$J112=8,$J112=9,$J112=10),-$E112*$I112/12*3,IF($J112=11,-$E112*$I112/12*2,IF($J112=12,-$E112*$I112/12*1,0)))))+IF(CZ$5&lt;&gt;$H112,0,IF(CZ112&lt;0,IF($J112=10,-$E112*$I112/12*0,IF($J112=11,-$E112*$I112/12*1,IF($J112=12,-$E112*$I112/12*2,0)))))</f>
        <v>-4.3500000000000005</v>
      </c>
      <c r="DE112" s="403">
        <f t="shared" ref="DE112:DE120" si="928">IF(AND(CZ112&lt;&gt;0,CZ$5=$H112),-$I112*$E112-CZ112,IF(DE$5=$H112,-$I112*$E112*(12-$J112+1)/12,0))</f>
        <v>-7.2500000000000009</v>
      </c>
      <c r="DF112" s="400">
        <f t="shared" ref="DF112:DF123" si="929">IF($H112&lt;&gt;DJ$5,0,IF(DJ112&lt;0,IF($J112=1,-$E112*$I112/12*3,IF($J112=2,-$E112*$I112/12*2,IF($J112=3,-$E112*$I112/12*1,0)))))+IF(DE$5&lt;&gt;$H112,0,IF(DE112&lt;0,IF($J112=1,-$E112*$I112/12*0,IF($J112=2,-$E112*$I112/12*1,IF($J112=3,-$E112*$I112/12*2,IF($J112&gt;=4,-$E112*$I112/12*3,0))))))</f>
        <v>-4.3500000000000005</v>
      </c>
      <c r="DG112" s="406">
        <f t="shared" ref="DG112:DG123" si="930">IF($H112&lt;&gt;DJ$5,0,IF(DJ112&lt;0,IF(OR($J112=1,$J112=2,$J112=3,$J112=4),-$E112*$I112/12*3,IF($J112=5,-$E112*$I112/12*2,IF($J112=6,-$E112*$I112/12*1,0)))))+IF(DE$5&lt;&gt;$H112,0,IF(DE112&lt;0,IF($J112=4,-$E112*$I112/12*0,IF($J112=5,-$E112*$I112/12*1,IF($J112=6,-$E112*$I112/12*2,IF($J112&gt;=7,-$E112*$I112/12*3,0))))))</f>
        <v>-4.3500000000000005</v>
      </c>
      <c r="DH112" s="406">
        <f t="shared" ref="DH112:DH123" si="931">IF($H112&lt;&gt;DJ$5,0,IF(DJ112&lt;0,IF(OR($J112=1,$J112=2,$J112=3,$J112=4,$J112=5,$J112=6,$J112=7),-$E112*$I112/12*3,IF($J112=8,-$E112*$I112/12*2,IF($J112=9,-$E112*$I112/12*1,0)))))+IF(DE$5&lt;&gt;$H112,0,IF(DE112&lt;0,IF($J112=7,-$E112*$I112/12*0,IF($J112=8,-$E112*$I112/12*1,IF($J112=9,-$E112*$I112/12*2,IF($J112&gt;=10,-$E112*$I112/12*3,0))))))</f>
        <v>-1.4500000000000002</v>
      </c>
      <c r="DI112" s="402">
        <f t="shared" ref="DI112:DI123" si="932">IF($H112&lt;&gt;DJ$5,0,IF(DJ112&lt;0,IF(OR($J112=1,$J112=2,$J112=3,$J112=4,$J112=5,$J112=6,$J112=7,$J112=8,$J112=9,$J112=10),-$E112*$I112/12*3,IF($J112=11,-$E112*$I112/12*2,IF($J112=12,-$E112*$I112/12*1,0)))))+IF(DE$5&lt;&gt;$H112,0,IF(DE112&lt;0,IF($J112=10,-$E112*$I112/12*0,IF($J112=11,-$E112*$I112/12*1,IF($J112=12,-$E112*$I112/12*2,0)))))</f>
        <v>0</v>
      </c>
      <c r="DJ112" s="403">
        <f t="shared" ref="DJ112:DJ123" si="933">IF(AND(DE112&lt;&gt;0,DE$5=$H112),-$I112*$E112-DE112,IF(DJ$5=$H112,-$I112*$E112*(12-$J112+1)/12,0))</f>
        <v>-10.150000000000002</v>
      </c>
      <c r="DK112" s="400">
        <f t="shared" ref="DK112:DK123" si="934">IF($H112&lt;&gt;DO$5,0,IF(DO112&lt;0,IF($J112=1,-$E112*$I112/12*3,IF($J112=2,-$E112*$I112/12*2,IF($J112=3,-$E112*$I112/12*1,0)))))+IF(DJ$5&lt;&gt;$H112,0,IF(DJ112&lt;0,IF($J112=1,-$E112*$I112/12*0,IF($J112=2,-$E112*$I112/12*1,IF($J112=3,-$E112*$I112/12*2,IF($J112&gt;=4,-$E112*$I112/12*3,0))))))</f>
        <v>0</v>
      </c>
      <c r="DL112" s="406">
        <f t="shared" ref="DL112:DL123" si="935">IF($H112&lt;&gt;DO$5,0,IF(DO112&lt;0,IF(OR($J112=1,$J112=2,$J112=3,$J112=4),-$E112*$I112/12*3,IF($J112=5,-$E112*$I112/12*2,IF($J112=6,-$E112*$I112/12*1,0)))))+IF(DJ$5&lt;&gt;$H112,0,IF(DJ112&lt;0,IF($J112=4,-$E112*$I112/12*0,IF($J112=5,-$E112*$I112/12*1,IF($J112=6,-$E112*$I112/12*2,IF($J112&gt;=7,-$E112*$I112/12*3,0))))))</f>
        <v>0</v>
      </c>
      <c r="DM112" s="406">
        <f t="shared" ref="DM112:DM123" si="936">IF($H112&lt;&gt;DO$5,0,IF(DO112&lt;0,IF(OR($J112=1,$J112=2,$J112=3,$J112=4,$J112=5,$J112=6,$J112=7),-$E112*$I112/12*3,IF($J112=8,-$E112*$I112/12*2,IF($J112=9,-$E112*$I112/12*1,0)))))+IF(DJ$5&lt;&gt;$H112,0,IF(DJ112&lt;0,IF($J112=7,-$E112*$I112/12*0,IF($J112=8,-$E112*$I112/12*1,IF($J112=9,-$E112*$I112/12*2,IF($J112&gt;=10,-$E112*$I112/12*3,0))))))</f>
        <v>0</v>
      </c>
      <c r="DN112" s="402">
        <f t="shared" ref="DN112:DN123" si="937">IF($H112&lt;&gt;DO$5,0,IF(DO112&lt;0,IF(OR($J112=1,$J112=2,$J112=3,$J112=4,$J112=5,$J112=6,$J112=7,$J112=8,$J112=9,$J112=10),-$E112*$I112/12*3,IF($J112=11,-$E112*$I112/12*2,IF($J112=12,-$E112*$I112/12*1,0)))))+IF(DJ$5&lt;&gt;$H112,0,IF(DJ112&lt;0,IF($J112=10,-$E112*$I112/12*0,IF($J112=11,-$E112*$I112/12*1,IF($J112=12,-$E112*$I112/12*2,0)))))</f>
        <v>0</v>
      </c>
      <c r="DO112" s="403">
        <f t="shared" ref="DO112:DO123" si="938">IF(AND(DJ112&lt;&gt;0,DJ$5=$H112),-$I112*$E112-DJ112,IF(DO$5=$H112,-$I112*$E112*(12-$J112+1)/12,0))</f>
        <v>0</v>
      </c>
      <c r="DP112" s="400">
        <f t="shared" ref="DP112:DP116" si="939">IF($H112&lt;&gt;DT$5,0,IF(DT112&lt;0,IF($J112=1,-$E112*$I112/12*3,IF($J112=2,-$E112*$I112/12*2,IF($J112=3,-$E112*$I112/12*1,0)))))+IF(DO$5&lt;&gt;$H112,0,IF(DO112&lt;0,IF($J112=1,-$E112*$I112/12*0,IF($J112=2,-$E112*$I112/12*1,IF($J112=3,-$E112*$I112/12*2,IF($J112&gt;=4,-$E112*$I112/12*3,0))))))</f>
        <v>0</v>
      </c>
      <c r="DQ112" s="406">
        <f t="shared" ref="DQ112:DQ116" si="940">IF($H112&lt;&gt;DT$5,0,IF(DT112&lt;0,IF(OR($J112=1,$J112=2,$J112=3,$J112=4),-$E112*$I112/12*3,IF($J112=5,-$E112*$I112/12*2,IF($J112=6,-$E112*$I112/12*1,0)))))+IF(DO$5&lt;&gt;$H112,0,IF(DO112&lt;0,IF($J112=4,-$E112*$I112/12*0,IF($J112=5,-$E112*$I112/12*1,IF($J112=6,-$E112*$I112/12*2,IF($J112&gt;=7,-$E112*$I112/12*3,0))))))</f>
        <v>0</v>
      </c>
      <c r="DR112" s="406">
        <f t="shared" ref="DR112:DR116" si="941">IF($H112&lt;&gt;DT$5,0,IF(DT112&lt;0,IF(OR($J112=1,$J112=2,$J112=3,$J112=4,$J112=5,$J112=6,$J112=7),-$E112*$I112/12*3,IF($J112=8,-$E112*$I112/12*2,IF($J112=9,-$E112*$I112/12*1,0)))))+IF(DO$5&lt;&gt;$H112,0,IF(DO112&lt;0,IF($J112=7,-$E112*$I112/12*0,IF($J112=8,-$E112*$I112/12*1,IF($J112=9,-$E112*$I112/12*2,IF($J112&gt;=10,-$E112*$I112/12*3,0))))))</f>
        <v>0</v>
      </c>
      <c r="DS112" s="402">
        <f t="shared" ref="DS112:DS116" si="942">IF($H112&lt;&gt;DT$5,0,IF(DT112&lt;0,IF(OR($J112=1,$J112=2,$J112=3,$J112=4,$J112=5,$J112=6,$J112=7,$J112=8,$J112=9,$J112=10),-$E112*$I112/12*3,IF($J112=11,-$E112*$I112/12*2,IF($J112=12,-$E112*$I112/12*1,0)))))+IF(DO$5&lt;&gt;$H112,0,IF(DO112&lt;0,IF($J112=10,-$E112*$I112/12*0,IF($J112=11,-$E112*$I112/12*1,IF($J112=12,-$E112*$I112/12*2,0)))))</f>
        <v>0</v>
      </c>
      <c r="DT112" s="403">
        <f t="shared" ref="DT112:DT116" si="943">IF(AND(DO112&lt;&gt;0,DO$5=$H112),-$I112*$E112-DO112,IF(DT$5=$H112,-$I112*$E112*(12-$J112+1)/12,0))</f>
        <v>0</v>
      </c>
      <c r="EF112" s="35"/>
      <c r="EI112" s="759"/>
    </row>
    <row r="113" spans="3:139" ht="12.75" customHeight="1" x14ac:dyDescent="0.2">
      <c r="C113" s="511" t="s">
        <v>375</v>
      </c>
      <c r="D113" s="70"/>
      <c r="E113" s="530">
        <f t="shared" si="831"/>
        <v>400</v>
      </c>
      <c r="F113" s="532">
        <v>400</v>
      </c>
      <c r="G113" s="532">
        <v>400</v>
      </c>
      <c r="H113" s="449">
        <v>2019</v>
      </c>
      <c r="I113" s="450">
        <v>5.1249999999999997E-2</v>
      </c>
      <c r="J113" s="451">
        <v>6</v>
      </c>
      <c r="K113" s="392"/>
      <c r="L113" s="397">
        <f t="shared" si="832"/>
        <v>0</v>
      </c>
      <c r="M113" s="394">
        <f t="shared" si="833"/>
        <v>0</v>
      </c>
      <c r="N113" s="404">
        <f t="shared" si="834"/>
        <v>0</v>
      </c>
      <c r="O113" s="404">
        <f t="shared" si="835"/>
        <v>0</v>
      </c>
      <c r="P113" s="396">
        <f t="shared" si="836"/>
        <v>0</v>
      </c>
      <c r="Q113" s="397">
        <f t="shared" si="837"/>
        <v>0</v>
      </c>
      <c r="R113" s="394">
        <f t="shared" si="838"/>
        <v>0</v>
      </c>
      <c r="S113" s="404">
        <f t="shared" si="839"/>
        <v>0</v>
      </c>
      <c r="T113" s="404">
        <f t="shared" si="840"/>
        <v>0</v>
      </c>
      <c r="U113" s="396">
        <f t="shared" si="841"/>
        <v>0</v>
      </c>
      <c r="V113" s="397">
        <f t="shared" si="842"/>
        <v>0</v>
      </c>
      <c r="W113" s="394">
        <f t="shared" si="843"/>
        <v>0</v>
      </c>
      <c r="X113" s="404">
        <f t="shared" si="844"/>
        <v>0</v>
      </c>
      <c r="Y113" s="404">
        <f t="shared" si="845"/>
        <v>0</v>
      </c>
      <c r="Z113" s="396">
        <f t="shared" si="846"/>
        <v>0</v>
      </c>
      <c r="AA113" s="397">
        <f t="shared" si="847"/>
        <v>0</v>
      </c>
      <c r="AB113" s="394">
        <f t="shared" si="848"/>
        <v>0</v>
      </c>
      <c r="AC113" s="404">
        <f t="shared" si="849"/>
        <v>0</v>
      </c>
      <c r="AD113" s="404">
        <f t="shared" si="850"/>
        <v>0</v>
      </c>
      <c r="AE113" s="396">
        <f t="shared" si="851"/>
        <v>0</v>
      </c>
      <c r="AF113" s="397">
        <f t="shared" si="852"/>
        <v>0</v>
      </c>
      <c r="AG113" s="394">
        <f t="shared" si="853"/>
        <v>0</v>
      </c>
      <c r="AH113" s="404">
        <f t="shared" si="854"/>
        <v>0</v>
      </c>
      <c r="AI113" s="404">
        <f t="shared" si="855"/>
        <v>0</v>
      </c>
      <c r="AJ113" s="396">
        <f t="shared" si="856"/>
        <v>0</v>
      </c>
      <c r="AK113" s="397">
        <f t="shared" si="857"/>
        <v>0</v>
      </c>
      <c r="AL113" s="394">
        <f t="shared" si="858"/>
        <v>0</v>
      </c>
      <c r="AM113" s="404">
        <f t="shared" si="859"/>
        <v>0</v>
      </c>
      <c r="AN113" s="404">
        <f t="shared" si="860"/>
        <v>0</v>
      </c>
      <c r="AO113" s="396">
        <f t="shared" si="861"/>
        <v>0</v>
      </c>
      <c r="AP113" s="397">
        <f t="shared" si="862"/>
        <v>0</v>
      </c>
      <c r="AQ113" s="394">
        <f t="shared" si="863"/>
        <v>0</v>
      </c>
      <c r="AR113" s="404">
        <f t="shared" si="864"/>
        <v>0</v>
      </c>
      <c r="AS113" s="404">
        <f t="shared" si="865"/>
        <v>0</v>
      </c>
      <c r="AT113" s="396">
        <f t="shared" si="866"/>
        <v>0</v>
      </c>
      <c r="AU113" s="397">
        <f t="shared" si="867"/>
        <v>0</v>
      </c>
      <c r="AV113" s="394">
        <f t="shared" si="868"/>
        <v>0</v>
      </c>
      <c r="AW113" s="404">
        <f t="shared" si="869"/>
        <v>0</v>
      </c>
      <c r="AX113" s="404">
        <f t="shared" si="870"/>
        <v>0</v>
      </c>
      <c r="AY113" s="396">
        <f t="shared" si="871"/>
        <v>0</v>
      </c>
      <c r="AZ113" s="397">
        <f t="shared" si="872"/>
        <v>0</v>
      </c>
      <c r="BA113" s="394">
        <f t="shared" si="873"/>
        <v>0</v>
      </c>
      <c r="BB113" s="404">
        <f t="shared" si="874"/>
        <v>-400</v>
      </c>
      <c r="BC113" s="404">
        <f t="shared" si="875"/>
        <v>0</v>
      </c>
      <c r="BD113" s="396">
        <f t="shared" si="876"/>
        <v>0</v>
      </c>
      <c r="BE113" s="397">
        <f t="shared" si="877"/>
        <v>-400</v>
      </c>
      <c r="BF113" s="394">
        <f t="shared" si="878"/>
        <v>0</v>
      </c>
      <c r="BG113" s="404">
        <f t="shared" si="879"/>
        <v>0</v>
      </c>
      <c r="BH113" s="404">
        <f t="shared" si="880"/>
        <v>0</v>
      </c>
      <c r="BI113" s="396">
        <f t="shared" si="881"/>
        <v>0</v>
      </c>
      <c r="BJ113" s="397">
        <f t="shared" si="882"/>
        <v>0</v>
      </c>
      <c r="BK113" s="394">
        <f t="shared" si="883"/>
        <v>0</v>
      </c>
      <c r="BL113" s="404">
        <f t="shared" si="884"/>
        <v>0</v>
      </c>
      <c r="BM113" s="404">
        <f t="shared" si="885"/>
        <v>0</v>
      </c>
      <c r="BN113" s="396">
        <f t="shared" si="886"/>
        <v>0</v>
      </c>
      <c r="BO113" s="397">
        <f t="shared" si="887"/>
        <v>0</v>
      </c>
      <c r="BP113" s="452"/>
      <c r="BQ113" s="403">
        <f t="shared" si="888"/>
        <v>0</v>
      </c>
      <c r="BR113" s="400">
        <f t="shared" si="889"/>
        <v>0</v>
      </c>
      <c r="BS113" s="406">
        <f t="shared" si="890"/>
        <v>0</v>
      </c>
      <c r="BT113" s="406">
        <f t="shared" si="891"/>
        <v>0</v>
      </c>
      <c r="BU113" s="402">
        <f t="shared" si="892"/>
        <v>0</v>
      </c>
      <c r="BV113" s="403">
        <f t="shared" si="893"/>
        <v>0</v>
      </c>
      <c r="BW113" s="400">
        <f t="shared" si="894"/>
        <v>0</v>
      </c>
      <c r="BX113" s="406">
        <f t="shared" si="895"/>
        <v>0</v>
      </c>
      <c r="BY113" s="406">
        <f t="shared" si="896"/>
        <v>0</v>
      </c>
      <c r="BZ113" s="402">
        <f t="shared" si="897"/>
        <v>0</v>
      </c>
      <c r="CA113" s="403">
        <f t="shared" si="898"/>
        <v>0</v>
      </c>
      <c r="CB113" s="400">
        <f t="shared" si="899"/>
        <v>0</v>
      </c>
      <c r="CC113" s="406">
        <f t="shared" si="900"/>
        <v>0</v>
      </c>
      <c r="CD113" s="406">
        <f t="shared" si="901"/>
        <v>0</v>
      </c>
      <c r="CE113" s="402">
        <f t="shared" si="902"/>
        <v>0</v>
      </c>
      <c r="CF113" s="403">
        <f t="shared" si="903"/>
        <v>0</v>
      </c>
      <c r="CG113" s="400">
        <f t="shared" si="904"/>
        <v>0</v>
      </c>
      <c r="CH113" s="406">
        <f t="shared" si="905"/>
        <v>0</v>
      </c>
      <c r="CI113" s="406">
        <f t="shared" si="906"/>
        <v>0</v>
      </c>
      <c r="CJ113" s="402">
        <f t="shared" si="907"/>
        <v>0</v>
      </c>
      <c r="CK113" s="403">
        <f t="shared" si="908"/>
        <v>0</v>
      </c>
      <c r="CL113" s="400">
        <f t="shared" si="909"/>
        <v>0</v>
      </c>
      <c r="CM113" s="406">
        <f t="shared" si="910"/>
        <v>0</v>
      </c>
      <c r="CN113" s="406">
        <f t="shared" si="911"/>
        <v>0</v>
      </c>
      <c r="CO113" s="402">
        <f t="shared" si="912"/>
        <v>0</v>
      </c>
      <c r="CP113" s="403">
        <f t="shared" si="913"/>
        <v>0</v>
      </c>
      <c r="CQ113" s="400">
        <f t="shared" si="914"/>
        <v>0</v>
      </c>
      <c r="CR113" s="406">
        <f t="shared" si="915"/>
        <v>0</v>
      </c>
      <c r="CS113" s="406">
        <f t="shared" si="916"/>
        <v>0</v>
      </c>
      <c r="CT113" s="402">
        <f t="shared" si="917"/>
        <v>0</v>
      </c>
      <c r="CU113" s="403">
        <f t="shared" si="918"/>
        <v>0</v>
      </c>
      <c r="CV113" s="400">
        <f t="shared" si="919"/>
        <v>0</v>
      </c>
      <c r="CW113" s="406">
        <f t="shared" si="920"/>
        <v>0</v>
      </c>
      <c r="CX113" s="406">
        <f t="shared" si="921"/>
        <v>0</v>
      </c>
      <c r="CY113" s="402">
        <f t="shared" si="922"/>
        <v>0</v>
      </c>
      <c r="CZ113" s="403">
        <f t="shared" si="923"/>
        <v>0</v>
      </c>
      <c r="DA113" s="400">
        <f t="shared" si="924"/>
        <v>0</v>
      </c>
      <c r="DB113" s="406">
        <f t="shared" si="925"/>
        <v>0</v>
      </c>
      <c r="DC113" s="406">
        <f t="shared" si="926"/>
        <v>0</v>
      </c>
      <c r="DD113" s="402">
        <f t="shared" si="927"/>
        <v>0</v>
      </c>
      <c r="DE113" s="403">
        <f t="shared" si="928"/>
        <v>0</v>
      </c>
      <c r="DF113" s="400">
        <f t="shared" si="929"/>
        <v>0</v>
      </c>
      <c r="DG113" s="406">
        <f t="shared" si="930"/>
        <v>-1.7083333333333333</v>
      </c>
      <c r="DH113" s="406">
        <f t="shared" si="931"/>
        <v>-5.125</v>
      </c>
      <c r="DI113" s="402">
        <f t="shared" si="932"/>
        <v>-5.125</v>
      </c>
      <c r="DJ113" s="403">
        <f t="shared" si="933"/>
        <v>-11.958333333333334</v>
      </c>
      <c r="DK113" s="400">
        <f t="shared" si="934"/>
        <v>-5.125</v>
      </c>
      <c r="DL113" s="406">
        <f t="shared" si="935"/>
        <v>-3.4166666666666665</v>
      </c>
      <c r="DM113" s="406">
        <f t="shared" si="936"/>
        <v>0</v>
      </c>
      <c r="DN113" s="402">
        <f t="shared" si="937"/>
        <v>0</v>
      </c>
      <c r="DO113" s="403">
        <f t="shared" si="938"/>
        <v>-8.5416666666666661</v>
      </c>
      <c r="DP113" s="400">
        <f t="shared" si="939"/>
        <v>0</v>
      </c>
      <c r="DQ113" s="406">
        <f t="shared" si="940"/>
        <v>0</v>
      </c>
      <c r="DR113" s="406">
        <f t="shared" si="941"/>
        <v>0</v>
      </c>
      <c r="DS113" s="402">
        <f t="shared" si="942"/>
        <v>0</v>
      </c>
      <c r="DT113" s="403">
        <f t="shared" si="943"/>
        <v>0</v>
      </c>
      <c r="EF113" s="35"/>
      <c r="EI113" s="759"/>
    </row>
    <row r="114" spans="3:139" ht="12.75" customHeight="1" x14ac:dyDescent="0.2">
      <c r="C114" s="511" t="s">
        <v>376</v>
      </c>
      <c r="D114" s="70"/>
      <c r="E114" s="530">
        <f t="shared" si="831"/>
        <v>400</v>
      </c>
      <c r="F114" s="532">
        <v>400</v>
      </c>
      <c r="G114" s="532">
        <v>400</v>
      </c>
      <c r="H114" s="449">
        <v>2020</v>
      </c>
      <c r="I114" s="450">
        <v>3.2000000000000001E-2</v>
      </c>
      <c r="J114" s="451">
        <v>11</v>
      </c>
      <c r="K114" s="392"/>
      <c r="L114" s="397">
        <f t="shared" si="832"/>
        <v>0</v>
      </c>
      <c r="M114" s="394">
        <f t="shared" si="833"/>
        <v>0</v>
      </c>
      <c r="N114" s="404">
        <f t="shared" si="834"/>
        <v>0</v>
      </c>
      <c r="O114" s="404">
        <f t="shared" si="835"/>
        <v>0</v>
      </c>
      <c r="P114" s="396">
        <f t="shared" si="836"/>
        <v>0</v>
      </c>
      <c r="Q114" s="397">
        <f t="shared" si="837"/>
        <v>0</v>
      </c>
      <c r="R114" s="394">
        <f t="shared" si="838"/>
        <v>0</v>
      </c>
      <c r="S114" s="404">
        <f t="shared" si="839"/>
        <v>0</v>
      </c>
      <c r="T114" s="404">
        <f t="shared" si="840"/>
        <v>0</v>
      </c>
      <c r="U114" s="396">
        <f t="shared" si="841"/>
        <v>0</v>
      </c>
      <c r="V114" s="397">
        <f t="shared" si="842"/>
        <v>0</v>
      </c>
      <c r="W114" s="394">
        <f t="shared" si="843"/>
        <v>0</v>
      </c>
      <c r="X114" s="404">
        <f t="shared" si="844"/>
        <v>0</v>
      </c>
      <c r="Y114" s="404">
        <f t="shared" si="845"/>
        <v>0</v>
      </c>
      <c r="Z114" s="396">
        <f t="shared" si="846"/>
        <v>0</v>
      </c>
      <c r="AA114" s="397">
        <f t="shared" si="847"/>
        <v>0</v>
      </c>
      <c r="AB114" s="394">
        <f t="shared" si="848"/>
        <v>0</v>
      </c>
      <c r="AC114" s="404">
        <f t="shared" si="849"/>
        <v>0</v>
      </c>
      <c r="AD114" s="404">
        <f t="shared" si="850"/>
        <v>0</v>
      </c>
      <c r="AE114" s="396">
        <f t="shared" si="851"/>
        <v>0</v>
      </c>
      <c r="AF114" s="397">
        <f t="shared" si="852"/>
        <v>0</v>
      </c>
      <c r="AG114" s="394">
        <f t="shared" si="853"/>
        <v>0</v>
      </c>
      <c r="AH114" s="404">
        <f t="shared" si="854"/>
        <v>0</v>
      </c>
      <c r="AI114" s="404">
        <f t="shared" si="855"/>
        <v>0</v>
      </c>
      <c r="AJ114" s="396">
        <f t="shared" si="856"/>
        <v>0</v>
      </c>
      <c r="AK114" s="397">
        <f t="shared" si="857"/>
        <v>0</v>
      </c>
      <c r="AL114" s="394">
        <f t="shared" si="858"/>
        <v>0</v>
      </c>
      <c r="AM114" s="404">
        <f t="shared" si="859"/>
        <v>0</v>
      </c>
      <c r="AN114" s="404">
        <f t="shared" si="860"/>
        <v>0</v>
      </c>
      <c r="AO114" s="396">
        <f t="shared" si="861"/>
        <v>0</v>
      </c>
      <c r="AP114" s="397">
        <f t="shared" si="862"/>
        <v>0</v>
      </c>
      <c r="AQ114" s="394">
        <f t="shared" si="863"/>
        <v>0</v>
      </c>
      <c r="AR114" s="404">
        <f t="shared" si="864"/>
        <v>0</v>
      </c>
      <c r="AS114" s="404">
        <f t="shared" si="865"/>
        <v>0</v>
      </c>
      <c r="AT114" s="396">
        <f t="shared" si="866"/>
        <v>0</v>
      </c>
      <c r="AU114" s="397">
        <f t="shared" si="867"/>
        <v>0</v>
      </c>
      <c r="AV114" s="394">
        <f t="shared" si="868"/>
        <v>0</v>
      </c>
      <c r="AW114" s="404">
        <f t="shared" si="869"/>
        <v>0</v>
      </c>
      <c r="AX114" s="404">
        <f t="shared" si="870"/>
        <v>0</v>
      </c>
      <c r="AY114" s="396">
        <f t="shared" si="871"/>
        <v>0</v>
      </c>
      <c r="AZ114" s="397">
        <f t="shared" si="872"/>
        <v>0</v>
      </c>
      <c r="BA114" s="394">
        <f t="shared" si="873"/>
        <v>0</v>
      </c>
      <c r="BB114" s="404">
        <f t="shared" si="874"/>
        <v>0</v>
      </c>
      <c r="BC114" s="404">
        <f t="shared" si="875"/>
        <v>0</v>
      </c>
      <c r="BD114" s="396">
        <f t="shared" si="876"/>
        <v>0</v>
      </c>
      <c r="BE114" s="397">
        <f t="shared" si="877"/>
        <v>0</v>
      </c>
      <c r="BF114" s="394">
        <f t="shared" si="878"/>
        <v>0</v>
      </c>
      <c r="BG114" s="404">
        <f t="shared" si="879"/>
        <v>0</v>
      </c>
      <c r="BH114" s="404">
        <f t="shared" si="880"/>
        <v>0</v>
      </c>
      <c r="BI114" s="396">
        <f t="shared" si="881"/>
        <v>-400</v>
      </c>
      <c r="BJ114" s="397">
        <f t="shared" si="882"/>
        <v>-400</v>
      </c>
      <c r="BK114" s="394">
        <f t="shared" si="883"/>
        <v>0</v>
      </c>
      <c r="BL114" s="404">
        <f t="shared" si="884"/>
        <v>0</v>
      </c>
      <c r="BM114" s="404">
        <f t="shared" si="885"/>
        <v>0</v>
      </c>
      <c r="BN114" s="396">
        <f t="shared" si="886"/>
        <v>0</v>
      </c>
      <c r="BO114" s="397">
        <f t="shared" si="887"/>
        <v>0</v>
      </c>
      <c r="BP114" s="452"/>
      <c r="BQ114" s="403">
        <f t="shared" si="888"/>
        <v>0</v>
      </c>
      <c r="BR114" s="400">
        <f t="shared" si="889"/>
        <v>0</v>
      </c>
      <c r="BS114" s="406">
        <f t="shared" si="890"/>
        <v>0</v>
      </c>
      <c r="BT114" s="406">
        <f t="shared" si="891"/>
        <v>0</v>
      </c>
      <c r="BU114" s="402">
        <f t="shared" si="892"/>
        <v>0</v>
      </c>
      <c r="BV114" s="403">
        <f t="shared" si="893"/>
        <v>0</v>
      </c>
      <c r="BW114" s="400">
        <f t="shared" si="894"/>
        <v>0</v>
      </c>
      <c r="BX114" s="406">
        <f t="shared" si="895"/>
        <v>0</v>
      </c>
      <c r="BY114" s="406">
        <f t="shared" si="896"/>
        <v>0</v>
      </c>
      <c r="BZ114" s="402">
        <f t="shared" si="897"/>
        <v>0</v>
      </c>
      <c r="CA114" s="403">
        <f t="shared" si="898"/>
        <v>0</v>
      </c>
      <c r="CB114" s="400">
        <f t="shared" si="899"/>
        <v>0</v>
      </c>
      <c r="CC114" s="406">
        <f t="shared" si="900"/>
        <v>0</v>
      </c>
      <c r="CD114" s="406">
        <f t="shared" si="901"/>
        <v>0</v>
      </c>
      <c r="CE114" s="402">
        <f t="shared" si="902"/>
        <v>0</v>
      </c>
      <c r="CF114" s="403">
        <f t="shared" si="903"/>
        <v>0</v>
      </c>
      <c r="CG114" s="400">
        <f t="shared" si="904"/>
        <v>0</v>
      </c>
      <c r="CH114" s="406">
        <f t="shared" si="905"/>
        <v>0</v>
      </c>
      <c r="CI114" s="406">
        <f t="shared" si="906"/>
        <v>0</v>
      </c>
      <c r="CJ114" s="402">
        <f t="shared" si="907"/>
        <v>0</v>
      </c>
      <c r="CK114" s="403">
        <f t="shared" si="908"/>
        <v>0</v>
      </c>
      <c r="CL114" s="400">
        <f t="shared" si="909"/>
        <v>0</v>
      </c>
      <c r="CM114" s="406">
        <f t="shared" si="910"/>
        <v>0</v>
      </c>
      <c r="CN114" s="406">
        <f t="shared" si="911"/>
        <v>0</v>
      </c>
      <c r="CO114" s="402">
        <f t="shared" si="912"/>
        <v>0</v>
      </c>
      <c r="CP114" s="403">
        <f t="shared" si="913"/>
        <v>0</v>
      </c>
      <c r="CQ114" s="400">
        <f t="shared" si="914"/>
        <v>0</v>
      </c>
      <c r="CR114" s="406">
        <f t="shared" si="915"/>
        <v>0</v>
      </c>
      <c r="CS114" s="406">
        <f t="shared" si="916"/>
        <v>0</v>
      </c>
      <c r="CT114" s="402">
        <f t="shared" si="917"/>
        <v>0</v>
      </c>
      <c r="CU114" s="403">
        <f t="shared" si="918"/>
        <v>0</v>
      </c>
      <c r="CV114" s="400">
        <f t="shared" si="919"/>
        <v>0</v>
      </c>
      <c r="CW114" s="406">
        <f t="shared" si="920"/>
        <v>0</v>
      </c>
      <c r="CX114" s="406">
        <f t="shared" si="921"/>
        <v>0</v>
      </c>
      <c r="CY114" s="402">
        <f t="shared" si="922"/>
        <v>0</v>
      </c>
      <c r="CZ114" s="403">
        <f t="shared" si="923"/>
        <v>0</v>
      </c>
      <c r="DA114" s="400">
        <f t="shared" si="924"/>
        <v>0</v>
      </c>
      <c r="DB114" s="406">
        <f t="shared" si="925"/>
        <v>0</v>
      </c>
      <c r="DC114" s="406">
        <f t="shared" si="926"/>
        <v>0</v>
      </c>
      <c r="DD114" s="402">
        <f t="shared" si="927"/>
        <v>0</v>
      </c>
      <c r="DE114" s="403">
        <f t="shared" si="928"/>
        <v>0</v>
      </c>
      <c r="DF114" s="400">
        <f t="shared" si="929"/>
        <v>0</v>
      </c>
      <c r="DG114" s="406">
        <f t="shared" si="930"/>
        <v>0</v>
      </c>
      <c r="DH114" s="406">
        <f t="shared" si="931"/>
        <v>0</v>
      </c>
      <c r="DI114" s="402">
        <f t="shared" si="932"/>
        <v>0</v>
      </c>
      <c r="DJ114" s="403">
        <f t="shared" si="933"/>
        <v>0</v>
      </c>
      <c r="DK114" s="400">
        <f t="shared" si="934"/>
        <v>0</v>
      </c>
      <c r="DL114" s="406">
        <f t="shared" si="935"/>
        <v>0</v>
      </c>
      <c r="DM114" s="406">
        <f t="shared" si="936"/>
        <v>0</v>
      </c>
      <c r="DN114" s="402">
        <f t="shared" si="937"/>
        <v>-2.1333333333333333</v>
      </c>
      <c r="DO114" s="403">
        <f t="shared" si="938"/>
        <v>-2.1333333333333333</v>
      </c>
      <c r="DP114" s="400">
        <f t="shared" si="939"/>
        <v>-3.2</v>
      </c>
      <c r="DQ114" s="406">
        <f t="shared" si="940"/>
        <v>-3.2</v>
      </c>
      <c r="DR114" s="406">
        <f t="shared" si="941"/>
        <v>-3.2</v>
      </c>
      <c r="DS114" s="402">
        <f t="shared" si="942"/>
        <v>-1.0666666666666667</v>
      </c>
      <c r="DT114" s="403">
        <f t="shared" si="943"/>
        <v>-10.666666666666668</v>
      </c>
      <c r="EF114" s="35"/>
      <c r="EI114" s="759"/>
    </row>
    <row r="115" spans="3:139" ht="12.75" customHeight="1" x14ac:dyDescent="0.2">
      <c r="C115" s="850" t="s">
        <v>614</v>
      </c>
      <c r="D115" s="70"/>
      <c r="E115" s="530">
        <f>IF(F115=0,G115,F115)</f>
        <v>300</v>
      </c>
      <c r="F115" s="532">
        <v>300</v>
      </c>
      <c r="G115" s="532">
        <v>300</v>
      </c>
      <c r="H115" s="449">
        <v>2022</v>
      </c>
      <c r="I115" s="450">
        <v>2.2499999999999999E-2</v>
      </c>
      <c r="J115" s="451">
        <v>9</v>
      </c>
      <c r="K115" s="392"/>
      <c r="L115" s="397">
        <f>IF(L$5=$H115,-$E115,0)</f>
        <v>0</v>
      </c>
      <c r="M115" s="394">
        <f>IF(Q115=0,0,IF(Q115&lt;0,IF($J115=3,Q115,IF($J115=2,Q115,IF($J115=1,Q115,0)))))</f>
        <v>0</v>
      </c>
      <c r="N115" s="404">
        <f>IF(Q115=0,0,IF(Q115&lt;0,IF($J115=6,Q115,IF($J115=5,Q115,IF($J115=4,Q115,0)))))</f>
        <v>0</v>
      </c>
      <c r="O115" s="404">
        <f>IF(Q115=0,0,IF(Q115&lt;0,IF($J115=9,Q115,IF($J115=8,Q115,IF($J115=7,Q115,0)))))</f>
        <v>0</v>
      </c>
      <c r="P115" s="396">
        <f>IF(Q115=0,0,IF(Q115&lt;0,IF($J115=12,Q115,IF($J115=11,Q115,IF($J115=10,Q115,0)))))</f>
        <v>0</v>
      </c>
      <c r="Q115" s="397">
        <f>IF(Q$5=$H115,-$E115,0)</f>
        <v>0</v>
      </c>
      <c r="R115" s="394">
        <f>IF(V115=0,0,IF(V115&lt;0,IF($J115=3,V115,IF($J115=2,V115,IF($J115=1,V115,0)))))</f>
        <v>0</v>
      </c>
      <c r="S115" s="404">
        <f>IF(V115=0,0,IF(V115&lt;0,IF($J115=6,V115,IF($J115=5,V115,IF($J115=4,V115,0)))))</f>
        <v>0</v>
      </c>
      <c r="T115" s="404">
        <f>IF(V115=0,0,IF(V115&lt;0,IF($J115=9,V115,IF($J115=8,V115,IF($J115=7,V115,0)))))</f>
        <v>0</v>
      </c>
      <c r="U115" s="396">
        <f>IF(V115=0,0,IF(V115&lt;0,IF($J115=12,V115,IF($J115=11,V115,IF($J115=10,V115,0)))))</f>
        <v>0</v>
      </c>
      <c r="V115" s="397">
        <f>IF(V$5=$H115,-$E115,0)</f>
        <v>0</v>
      </c>
      <c r="W115" s="394">
        <f>IF(AA115=0,0,IF(AA115&lt;0,IF($J115=3,AA115,IF($J115=2,AA115,IF($J115=1,AA115,0)))))</f>
        <v>0</v>
      </c>
      <c r="X115" s="404">
        <f>IF(AA115=0,0,IF(AA115&lt;0,IF($J115=6,AA115,IF($J115=5,AA115,IF($J115=4,AA115,0)))))</f>
        <v>0</v>
      </c>
      <c r="Y115" s="404">
        <f>IF(AA115=0,0,IF(AA115&lt;0,IF($J115=9,AA115,IF($J115=8,AA115,IF($J115=7,AA115,0)))))</f>
        <v>0</v>
      </c>
      <c r="Z115" s="396">
        <f>IF(AA115=0,0,IF(AA115&lt;0,IF($J115=12,AA115,IF($J115=11,AA115,IF($J115=10,AA115,0)))))</f>
        <v>0</v>
      </c>
      <c r="AA115" s="397">
        <f>IF(AA$5=$H115,-$E115,0)</f>
        <v>0</v>
      </c>
      <c r="AB115" s="394">
        <f>IF(AF115=0,0,IF(AF115&lt;0,IF($J115=3,AF115,IF($J115=2,AF115,IF($J115=1,AF115,0)))))</f>
        <v>0</v>
      </c>
      <c r="AC115" s="404">
        <f>IF(AF115=0,0,IF(AF115&lt;0,IF($J115=6,AF115,IF($J115=5,AF115,IF($J115=4,AF115,0)))))</f>
        <v>0</v>
      </c>
      <c r="AD115" s="404">
        <f>IF(AF115=0,0,IF(AF115&lt;0,IF($J115=9,AF115,IF($J115=8,AF115,IF($J115=7,AF115,0)))))</f>
        <v>0</v>
      </c>
      <c r="AE115" s="396">
        <f>IF(AF115=0,0,IF(AF115&lt;0,IF($J115=12,AF115,IF($J115=11,AF115,IF($J115=10,AF115,0)))))</f>
        <v>0</v>
      </c>
      <c r="AF115" s="397">
        <f>IF(AF$5=$H115,-$E115,0)</f>
        <v>0</v>
      </c>
      <c r="AG115" s="394">
        <f>IF(AK115=0,0,IF(AK115&lt;0,IF($J115=3,AK115,IF($J115=2,AK115,IF($J115=1,AK115,0)))))</f>
        <v>0</v>
      </c>
      <c r="AH115" s="404">
        <f>IF(AK115=0,0,IF(AK115&lt;0,IF($J115=6,AK115,IF($J115=5,AK115,IF($J115=4,AK115,0)))))</f>
        <v>0</v>
      </c>
      <c r="AI115" s="404">
        <f>IF(AK115=0,0,IF(AK115&lt;0,IF($J115=9,AK115,IF($J115=8,AK115,IF($J115=7,AK115,0)))))</f>
        <v>0</v>
      </c>
      <c r="AJ115" s="396">
        <f>IF(AK115=0,0,IF(AK115&lt;0,IF($J115=12,AK115,IF($J115=11,AK115,IF($J115=10,AK115,0)))))</f>
        <v>0</v>
      </c>
      <c r="AK115" s="397">
        <f>IF(AK$5=$H115,-$E115,0)</f>
        <v>0</v>
      </c>
      <c r="AL115" s="394">
        <f>IF(AP115=0,0,IF(AP115&lt;0,IF($J115=3,AP115,IF($J115=2,AP115,IF($J115=1,AP115,0)))))</f>
        <v>0</v>
      </c>
      <c r="AM115" s="404">
        <f>IF(AP115=0,0,IF(AP115&lt;0,IF($J115=6,AP115,IF($J115=5,AP115,IF($J115=4,AP115,0)))))</f>
        <v>0</v>
      </c>
      <c r="AN115" s="404">
        <f>IF(AP115=0,0,IF(AP115&lt;0,IF($J115=9,AP115,IF($J115=8,AP115,IF($J115=7,AP115,0)))))</f>
        <v>0</v>
      </c>
      <c r="AO115" s="396">
        <f>IF(AP115=0,0,IF(AP115&lt;0,IF($J115=12,AP115,IF($J115=11,AP115,IF($J115=10,AP115,0)))))</f>
        <v>0</v>
      </c>
      <c r="AP115" s="397">
        <f>IF(AP$5=$H115,-$E115,0)</f>
        <v>0</v>
      </c>
      <c r="AQ115" s="394">
        <f>IF(AU115=0,0,IF(AU115&lt;0,IF($J115=3,AU115,IF($J115=2,AU115,IF($J115=1,AU115,0)))))</f>
        <v>0</v>
      </c>
      <c r="AR115" s="404">
        <f>IF(AU115=0,0,IF(AU115&lt;0,IF($J115=6,AU115,IF($J115=5,AU115,IF($J115=4,AU115,0)))))</f>
        <v>0</v>
      </c>
      <c r="AS115" s="404">
        <f>IF(AU115=0,0,IF(AU115&lt;0,IF($J115=9,AU115,IF($J115=8,AU115,IF($J115=7,AU115,0)))))</f>
        <v>0</v>
      </c>
      <c r="AT115" s="396">
        <f>IF(AU115=0,0,IF(AU115&lt;0,IF($J115=12,AU115,IF($J115=11,AU115,IF($J115=10,AU115,0)))))</f>
        <v>0</v>
      </c>
      <c r="AU115" s="397">
        <f>IF(AU$5=$H115,-$E115,0)</f>
        <v>0</v>
      </c>
      <c r="AV115" s="394">
        <f>IF(AZ115=0,0,IF(AZ115&lt;0,IF($J115=3,AZ115,IF($J115=2,AZ115,IF($J115=1,AZ115,0)))))</f>
        <v>0</v>
      </c>
      <c r="AW115" s="404">
        <f>IF(AZ115=0,0,IF(AZ115&lt;0,IF($J115=6,AZ115,IF($J115=5,AZ115,IF($J115=4,AZ115,0)))))</f>
        <v>0</v>
      </c>
      <c r="AX115" s="404">
        <f>IF(AZ115=0,0,IF(AZ115&lt;0,IF($J115=9,AZ115,IF($J115=8,AZ115,IF($J115=7,AZ115,0)))))</f>
        <v>0</v>
      </c>
      <c r="AY115" s="396">
        <f>IF(AZ115=0,0,IF(AZ115&lt;0,IF($J115=12,AZ115,IF($J115=11,AZ115,IF($J115=10,AZ115,0)))))</f>
        <v>0</v>
      </c>
      <c r="AZ115" s="397">
        <f>IF(AZ$5=$H115,-$E115,0)</f>
        <v>0</v>
      </c>
      <c r="BA115" s="394">
        <f t="shared" si="873"/>
        <v>0</v>
      </c>
      <c r="BB115" s="404">
        <f t="shared" si="874"/>
        <v>0</v>
      </c>
      <c r="BC115" s="404">
        <f t="shared" si="875"/>
        <v>0</v>
      </c>
      <c r="BD115" s="396">
        <f t="shared" si="876"/>
        <v>0</v>
      </c>
      <c r="BE115" s="397">
        <f>IF(BE$5=$H115,-$E115,0)</f>
        <v>0</v>
      </c>
      <c r="BF115" s="394">
        <f t="shared" si="878"/>
        <v>0</v>
      </c>
      <c r="BG115" s="404">
        <f t="shared" si="879"/>
        <v>0</v>
      </c>
      <c r="BH115" s="404">
        <f t="shared" si="880"/>
        <v>0</v>
      </c>
      <c r="BI115" s="396">
        <f t="shared" si="881"/>
        <v>0</v>
      </c>
      <c r="BJ115" s="397">
        <f>IF(BJ$5=$H115,-$E115,0)</f>
        <v>0</v>
      </c>
      <c r="BK115" s="394">
        <f t="shared" si="883"/>
        <v>0</v>
      </c>
      <c r="BL115" s="404">
        <f t="shared" si="884"/>
        <v>0</v>
      </c>
      <c r="BM115" s="404">
        <f t="shared" si="885"/>
        <v>0</v>
      </c>
      <c r="BN115" s="396">
        <f t="shared" si="886"/>
        <v>0</v>
      </c>
      <c r="BO115" s="397">
        <f>IF(BO$5=$H115,-$E115,0)</f>
        <v>0</v>
      </c>
      <c r="BP115" s="452"/>
      <c r="BQ115" s="403">
        <f>IF(AND(BP115&lt;&gt;0,BP$5=$H115),-$I115*$E115-BP115,IF(BQ$5=$H115,-$I115*$E115*(12-$J115+1)/12,0))</f>
        <v>0</v>
      </c>
      <c r="BR115" s="400">
        <f>IF($H115&lt;&gt;BV$5,0,IF(BV115&lt;0,IF($J115=1,-$E115*$I115/12*3,IF($J115=2,-$E115*$I115/12*2,IF($J115=3,-$E115*$I115/12*1,0)))))+IF(BQ$5&lt;&gt;$H115,0,IF(BQ115&lt;0,IF($J115=1,-$E115*$I115/12*0,IF($J115=2,-$E115*$I115/12*1,IF($J115=3,-$E115*$I115/12*2,IF($J115&gt;=4,-$E115*$I115/12*3,0))))))</f>
        <v>0</v>
      </c>
      <c r="BS115" s="406">
        <f>IF($H115&lt;&gt;BV$5,0,IF(BV115&lt;0,IF(OR($J115=1,$J115=2,$J115=3,$J115=4),-$E115*$I115/12*3,IF($J115=5,-$E115*$I115/12*2,IF($J115=6,-$E115*$I115/12*1,0)))))+IF(BQ$5&lt;&gt;$H115,0,IF(BQ115&lt;0,IF($J115=4,-$E115*$I115/12*0,IF($J115=5,-$E115*$I115/12*1,IF($J115=6,-$E115*$I115/12*2,IF($J115&gt;=7,-$E115*$I115/12*3,0))))))</f>
        <v>0</v>
      </c>
      <c r="BT115" s="406">
        <f>IF($H115&lt;&gt;BV$5,0,IF(BV115&lt;0,IF(OR($J115=1,$J115=2,$J115=3,$J115=4,$J115=5,$J115=6,$J115=7),-$E115*$I115/12*3,IF($J115=8,-$E115*$I115/12*2,IF($J115=9,-$E115*$I115/12*1,0)))))+IF(BQ$5&lt;&gt;$H115,0,IF(BQ115&lt;0,IF($J115=7,-$E115*$I115/12*0,IF($J115=8,-$E115*$I115/12*1,IF($J115=9,-$E115*$I115/12*2,IF($J115&gt;=10,-$E115*$I115/12*3,0))))))</f>
        <v>0</v>
      </c>
      <c r="BU115" s="402">
        <f>IF($H115&lt;&gt;BV$5,0,IF(BV115&lt;0,IF(OR($J115=1,$J115=2,$J115=3,$J115=4,$J115=5,$J115=6,$J115=7,$J115=8,$J115=9,$J115=10),-$E115*$I115/12*3,IF($J115=11,-$E115*$I115/12*2,IF($J115=12,-$E115*$I115/12*1,0)))))+IF(BQ$5&lt;&gt;$H115,0,IF(BQ115&lt;0,IF($J115=10,-$E115*$I115/12*0,IF($J115=11,-$E115*$I115/12*1,IF($J115=12,-$E115*$I115/12*2,0)))))</f>
        <v>0</v>
      </c>
      <c r="BV115" s="403">
        <f>IF(AND(BQ115&lt;&gt;0,BQ$5=$H115),-$I115*$E115-BQ115,IF(BV$5=$H115,-$I115*$E115*(12-$J115+1)/12,0))</f>
        <v>0</v>
      </c>
      <c r="BW115" s="400">
        <f>IF($H115&lt;&gt;CA$5,0,IF(CA115&lt;0,IF($J115=1,-$E115*$I115/12*3,IF($J115=2,-$E115*$I115/12*2,IF($J115=3,-$E115*$I115/12*1,0)))))+IF(BV$5&lt;&gt;$H115,0,IF(BV115&lt;0,IF($J115=1,-$E115*$I115/12*0,IF($J115=2,-$E115*$I115/12*1,IF($J115=3,-$E115*$I115/12*2,IF($J115&gt;=4,-$E115*$I115/12*3,0))))))</f>
        <v>0</v>
      </c>
      <c r="BX115" s="406">
        <f>IF($H115&lt;&gt;CA$5,0,IF(CA115&lt;0,IF(OR($J115=1,$J115=2,$J115=3,$J115=4),-$E115*$I115/12*3,IF($J115=5,-$E115*$I115/12*2,IF($J115=6,-$E115*$I115/12*1,0)))))+IF(BV$5&lt;&gt;$H115,0,IF(BV115&lt;0,IF($J115=4,-$E115*$I115/12*0,IF($J115=5,-$E115*$I115/12*1,IF($J115=6,-$E115*$I115/12*2,IF($J115&gt;=7,-$E115*$I115/12*3,0))))))</f>
        <v>0</v>
      </c>
      <c r="BY115" s="406">
        <f>IF($H115&lt;&gt;CA$5,0,IF(CA115&lt;0,IF(OR($J115=1,$J115=2,$J115=3,$J115=4,$J115=5,$J115=6,$J115=7),-$E115*$I115/12*3,IF($J115=8,-$E115*$I115/12*2,IF($J115=9,-$E115*$I115/12*1,0)))))+IF(BV$5&lt;&gt;$H115,0,IF(BV115&lt;0,IF($J115=7,-$E115*$I115/12*0,IF($J115=8,-$E115*$I115/12*1,IF($J115=9,-$E115*$I115/12*2,IF($J115&gt;=10,-$E115*$I115/12*3,0))))))</f>
        <v>0</v>
      </c>
      <c r="BZ115" s="402">
        <f>IF($H115&lt;&gt;CA$5,0,IF(CA115&lt;0,IF(OR($J115=1,$J115=2,$J115=3,$J115=4,$J115=5,$J115=6,$J115=7,$J115=8,$J115=9,$J115=10),-$E115*$I115/12*3,IF($J115=11,-$E115*$I115/12*2,IF($J115=12,-$E115*$I115/12*1,0)))))+IF(BV$5&lt;&gt;$H115,0,IF(BV115&lt;0,IF($J115=10,-$E115*$I115/12*0,IF($J115=11,-$E115*$I115/12*1,IF($J115=12,-$E115*$I115/12*2,0)))))</f>
        <v>0</v>
      </c>
      <c r="CA115" s="403">
        <f>IF(AND(BV115&lt;&gt;0,BV$5=$H115),-$I115*$E115-BV115,IF(CA$5=$H115,-$I115*$E115*(12-$J115+1)/12,0))</f>
        <v>0</v>
      </c>
      <c r="CB115" s="400">
        <f>IF($H115&lt;&gt;CF$5,0,IF(CF115&lt;0,IF($J115=1,-$E115*$I115/12*3,IF($J115=2,-$E115*$I115/12*2,IF($J115=3,-$E115*$I115/12*1,0)))))+IF(CA$5&lt;&gt;$H115,0,IF(CA115&lt;0,IF($J115=1,-$E115*$I115/12*0,IF($J115=2,-$E115*$I115/12*1,IF($J115=3,-$E115*$I115/12*2,IF($J115&gt;=4,-$E115*$I115/12*3,0))))))</f>
        <v>0</v>
      </c>
      <c r="CC115" s="406">
        <f>IF($H115&lt;&gt;CF$5,0,IF(CF115&lt;0,IF(OR($J115=1,$J115=2,$J115=3,$J115=4),-$E115*$I115/12*3,IF($J115=5,-$E115*$I115/12*2,IF($J115=6,-$E115*$I115/12*1,0)))))+IF(CA$5&lt;&gt;$H115,0,IF(CA115&lt;0,IF($J115=4,-$E115*$I115/12*0,IF($J115=5,-$E115*$I115/12*1,IF($J115=6,-$E115*$I115/12*2,IF($J115&gt;=7,-$E115*$I115/12*3,0))))))</f>
        <v>0</v>
      </c>
      <c r="CD115" s="406">
        <f>IF($H115&lt;&gt;CF$5,0,IF(CF115&lt;0,IF(OR($J115=1,$J115=2,$J115=3,$J115=4,$J115=5,$J115=6,$J115=7),-$E115*$I115/12*3,IF($J115=8,-$E115*$I115/12*2,IF($J115=9,-$E115*$I115/12*1,0)))))+IF(CA$5&lt;&gt;$H115,0,IF(CA115&lt;0,IF($J115=7,-$E115*$I115/12*0,IF($J115=8,-$E115*$I115/12*1,IF($J115=9,-$E115*$I115/12*2,IF($J115&gt;=10,-$E115*$I115/12*3,0))))))</f>
        <v>0</v>
      </c>
      <c r="CE115" s="402">
        <f>IF($H115&lt;&gt;CF$5,0,IF(CF115&lt;0,IF(OR($J115=1,$J115=2,$J115=3,$J115=4,$J115=5,$J115=6,$J115=7,$J115=8,$J115=9,$J115=10),-$E115*$I115/12*3,IF($J115=11,-$E115*$I115/12*2,IF($J115=12,-$E115*$I115/12*1,0)))))+IF(CA$5&lt;&gt;$H115,0,IF(CA115&lt;0,IF($J115=10,-$E115*$I115/12*0,IF($J115=11,-$E115*$I115/12*1,IF($J115=12,-$E115*$I115/12*2,0)))))</f>
        <v>0</v>
      </c>
      <c r="CF115" s="403">
        <f>IF(AND(CA115&lt;&gt;0,CA$5=$H115),-$I115*$E115-CA115,IF(CF$5=$H115,-$I115*$E115*(12-$J115+1)/12,0))</f>
        <v>0</v>
      </c>
      <c r="CG115" s="400">
        <f>IF($H115&lt;&gt;CK$5,0,IF(CK115&lt;0,IF($J115=1,-$E115*$I115/12*3,IF($J115=2,-$E115*$I115/12*2,IF($J115=3,-$E115*$I115/12*1,0)))))+IF(CF$5&lt;&gt;$H115,0,IF(CF115&lt;0,IF($J115=1,-$E115*$I115/12*0,IF($J115=2,-$E115*$I115/12*1,IF($J115=3,-$E115*$I115/12*2,IF($J115&gt;=4,-$E115*$I115/12*3,0))))))</f>
        <v>0</v>
      </c>
      <c r="CH115" s="406">
        <f>IF($H115&lt;&gt;CK$5,0,IF(CK115&lt;0,IF(OR($J115=1,$J115=2,$J115=3,$J115=4),-$E115*$I115/12*3,IF($J115=5,-$E115*$I115/12*2,IF($J115=6,-$E115*$I115/12*1,0)))))+IF(CF$5&lt;&gt;$H115,0,IF(CF115&lt;0,IF($J115=4,-$E115*$I115/12*0,IF($J115=5,-$E115*$I115/12*1,IF($J115=6,-$E115*$I115/12*2,IF($J115&gt;=7,-$E115*$I115/12*3,0))))))</f>
        <v>0</v>
      </c>
      <c r="CI115" s="406">
        <f>IF($H115&lt;&gt;CK$5,0,IF(CK115&lt;0,IF(OR($J115=1,$J115=2,$J115=3,$J115=4,$J115=5,$J115=6,$J115=7),-$E115*$I115/12*3,IF($J115=8,-$E115*$I115/12*2,IF($J115=9,-$E115*$I115/12*1,0)))))+IF(CF$5&lt;&gt;$H115,0,IF(CF115&lt;0,IF($J115=7,-$E115*$I115/12*0,IF($J115=8,-$E115*$I115/12*1,IF($J115=9,-$E115*$I115/12*2,IF($J115&gt;=10,-$E115*$I115/12*3,0))))))</f>
        <v>0</v>
      </c>
      <c r="CJ115" s="402">
        <f>IF($H115&lt;&gt;CK$5,0,IF(CK115&lt;0,IF(OR($J115=1,$J115=2,$J115=3,$J115=4,$J115=5,$J115=6,$J115=7,$J115=8,$J115=9,$J115=10),-$E115*$I115/12*3,IF($J115=11,-$E115*$I115/12*2,IF($J115=12,-$E115*$I115/12*1,0)))))+IF(CF$5&lt;&gt;$H115,0,IF(CF115&lt;0,IF($J115=10,-$E115*$I115/12*0,IF($J115=11,-$E115*$I115/12*1,IF($J115=12,-$E115*$I115/12*2,0)))))</f>
        <v>0</v>
      </c>
      <c r="CK115" s="403">
        <f>IF(AND(CF115&lt;&gt;0,CF$5=$H115),-$I115*$E115-CF115,IF(CK$5=$H115,-$I115*$E115*(12-$J115+1)/12,0))</f>
        <v>0</v>
      </c>
      <c r="CL115" s="400">
        <f>IF($H115&lt;&gt;CP$5,0,IF(CP115&lt;0,IF($J115=1,-$E115*$I115/12*3,IF($J115=2,-$E115*$I115/12*2,IF($J115=3,-$E115*$I115/12*1,0)))))+IF(CK$5&lt;&gt;$H115,0,IF(CK115&lt;0,IF($J115=1,-$E115*$I115/12*0,IF($J115=2,-$E115*$I115/12*1,IF($J115=3,-$E115*$I115/12*2,IF($J115&gt;=4,-$E115*$I115/12*3,0))))))</f>
        <v>0</v>
      </c>
      <c r="CM115" s="406">
        <f>IF($H115&lt;&gt;CP$5,0,IF(CP115&lt;0,IF(OR($J115=1,$J115=2,$J115=3,$J115=4),-$E115*$I115/12*3,IF($J115=5,-$E115*$I115/12*2,IF($J115=6,-$E115*$I115/12*1,0)))))+IF(CK$5&lt;&gt;$H115,0,IF(CK115&lt;0,IF($J115=4,-$E115*$I115/12*0,IF($J115=5,-$E115*$I115/12*1,IF($J115=6,-$E115*$I115/12*2,IF($J115&gt;=7,-$E115*$I115/12*3,0))))))</f>
        <v>0</v>
      </c>
      <c r="CN115" s="406">
        <f>IF($H115&lt;&gt;CP$5,0,IF(CP115&lt;0,IF(OR($J115=1,$J115=2,$J115=3,$J115=4,$J115=5,$J115=6,$J115=7),-$E115*$I115/12*3,IF($J115=8,-$E115*$I115/12*2,IF($J115=9,-$E115*$I115/12*1,0)))))+IF(CK$5&lt;&gt;$H115,0,IF(CK115&lt;0,IF($J115=7,-$E115*$I115/12*0,IF($J115=8,-$E115*$I115/12*1,IF($J115=9,-$E115*$I115/12*2,IF($J115&gt;=10,-$E115*$I115/12*3,0))))))</f>
        <v>0</v>
      </c>
      <c r="CO115" s="402">
        <f>IF($H115&lt;&gt;CP$5,0,IF(CP115&lt;0,IF(OR($J115=1,$J115=2,$J115=3,$J115=4,$J115=5,$J115=6,$J115=7,$J115=8,$J115=9,$J115=10),-$E115*$I115/12*3,IF($J115=11,-$E115*$I115/12*2,IF($J115=12,-$E115*$I115/12*1,0)))))+IF(CK$5&lt;&gt;$H115,0,IF(CK115&lt;0,IF($J115=10,-$E115*$I115/12*0,IF($J115=11,-$E115*$I115/12*1,IF($J115=12,-$E115*$I115/12*2,0)))))</f>
        <v>0</v>
      </c>
      <c r="CP115" s="403">
        <f>IF(AND(CK115&lt;&gt;0,CK$5=$H115),-$I115*$E115-CK115,IF(CP$5=$H115,-$I115*$E115*(12-$J115+1)/12,0))</f>
        <v>0</v>
      </c>
      <c r="CQ115" s="400">
        <f>IF($H115&lt;&gt;CU$5,0,IF(CU115&lt;0,IF($J115=1,-$E115*$I115/12*3,IF($J115=2,-$E115*$I115/12*2,IF($J115=3,-$E115*$I115/12*1,0)))))+IF(CP$5&lt;&gt;$H115,0,IF(CP115&lt;0,IF($J115=1,-$E115*$I115/12*0,IF($J115=2,-$E115*$I115/12*1,IF($J115=3,-$E115*$I115/12*2,IF($J115&gt;=4,-$E115*$I115/12*3,0))))))</f>
        <v>0</v>
      </c>
      <c r="CR115" s="406">
        <f>IF($H115&lt;&gt;CU$5,0,IF(CU115&lt;0,IF(OR($J115=1,$J115=2,$J115=3,$J115=4),-$E115*$I115/12*3,IF($J115=5,-$E115*$I115/12*2,IF($J115=6,-$E115*$I115/12*1,0)))))+IF(CP$5&lt;&gt;$H115,0,IF(CP115&lt;0,IF($J115=4,-$E115*$I115/12*0,IF($J115=5,-$E115*$I115/12*1,IF($J115=6,-$E115*$I115/12*2,IF($J115&gt;=7,-$E115*$I115/12*3,0))))))</f>
        <v>0</v>
      </c>
      <c r="CS115" s="406">
        <f>IF($H115&lt;&gt;CU$5,0,IF(CU115&lt;0,IF(OR($J115=1,$J115=2,$J115=3,$J115=4,$J115=5,$J115=6,$J115=7),-$E115*$I115/12*3,IF($J115=8,-$E115*$I115/12*2,IF($J115=9,-$E115*$I115/12*1,0)))))+IF(CP$5&lt;&gt;$H115,0,IF(CP115&lt;0,IF($J115=7,-$E115*$I115/12*0,IF($J115=8,-$E115*$I115/12*1,IF($J115=9,-$E115*$I115/12*2,IF($J115&gt;=10,-$E115*$I115/12*3,0))))))</f>
        <v>0</v>
      </c>
      <c r="CT115" s="402">
        <f>IF($H115&lt;&gt;CU$5,0,IF(CU115&lt;0,IF(OR($J115=1,$J115=2,$J115=3,$J115=4,$J115=5,$J115=6,$J115=7,$J115=8,$J115=9,$J115=10),-$E115*$I115/12*3,IF($J115=11,-$E115*$I115/12*2,IF($J115=12,-$E115*$I115/12*1,0)))))+IF(CP$5&lt;&gt;$H115,0,IF(CP115&lt;0,IF($J115=10,-$E115*$I115/12*0,IF($J115=11,-$E115*$I115/12*1,IF($J115=12,-$E115*$I115/12*2,0)))))</f>
        <v>0</v>
      </c>
      <c r="CU115" s="403">
        <f>IF(AND(CP115&lt;&gt;0,CP$5=$H115),-$I115*$E115-CP115,IF(CU$5=$H115,-$I115*$E115*(12-$J115+1)/12,0))</f>
        <v>0</v>
      </c>
      <c r="CV115" s="400">
        <f>IF($H115&lt;&gt;CZ$5,0,IF(CZ115&lt;0,IF($J115=1,-$E115*$I115/12*3,IF($J115=2,-$E115*$I115/12*2,IF($J115=3,-$E115*$I115/12*1,0)))))+IF(CU$5&lt;&gt;$H115,0,IF(CU115&lt;0,IF($J115=1,-$E115*$I115/12*0,IF($J115=2,-$E115*$I115/12*1,IF($J115=3,-$E115*$I115/12*2,IF($J115&gt;=4,-$E115*$I115/12*3,0))))))</f>
        <v>0</v>
      </c>
      <c r="CW115" s="406">
        <f>IF($H115&lt;&gt;CZ$5,0,IF(CZ115&lt;0,IF(OR($J115=1,$J115=2,$J115=3,$J115=4),-$E115*$I115/12*3,IF($J115=5,-$E115*$I115/12*2,IF($J115=6,-$E115*$I115/12*1,0)))))+IF(CU$5&lt;&gt;$H115,0,IF(CU115&lt;0,IF($J115=4,-$E115*$I115/12*0,IF($J115=5,-$E115*$I115/12*1,IF($J115=6,-$E115*$I115/12*2,IF($J115&gt;=7,-$E115*$I115/12*3,0))))))</f>
        <v>0</v>
      </c>
      <c r="CX115" s="406">
        <f>IF($H115&lt;&gt;CZ$5,0,IF(CZ115&lt;0,IF(OR($J115=1,$J115=2,$J115=3,$J115=4,$J115=5,$J115=6,$J115=7),-$E115*$I115/12*3,IF($J115=8,-$E115*$I115/12*2,IF($J115=9,-$E115*$I115/12*1,0)))))+IF(CU$5&lt;&gt;$H115,0,IF(CU115&lt;0,IF($J115=7,-$E115*$I115/12*0,IF($J115=8,-$E115*$I115/12*1,IF($J115=9,-$E115*$I115/12*2,IF($J115&gt;=10,-$E115*$I115/12*3,0))))))</f>
        <v>0</v>
      </c>
      <c r="CY115" s="402">
        <f>IF($H115&lt;&gt;CZ$5,0,IF(CZ115&lt;0,IF(OR($J115=1,$J115=2,$J115=3,$J115=4,$J115=5,$J115=6,$J115=7,$J115=8,$J115=9,$J115=10),-$E115*$I115/12*3,IF($J115=11,-$E115*$I115/12*2,IF($J115=12,-$E115*$I115/12*1,0)))))+IF(CU$5&lt;&gt;$H115,0,IF(CU115&lt;0,IF($J115=10,-$E115*$I115/12*0,IF($J115=11,-$E115*$I115/12*1,IF($J115=12,-$E115*$I115/12*2,0)))))</f>
        <v>0</v>
      </c>
      <c r="CZ115" s="403">
        <f>IF(AND(CU115&lt;&gt;0,CU$5=$H115),-$I115*$E115-CU115,IF(CZ$5=$H115,-$I115*$E115*(12-$J115+1)/12,0))</f>
        <v>0</v>
      </c>
      <c r="DA115" s="400">
        <f>IF($H115&lt;&gt;DE$5,0,IF(DE115&lt;0,IF($J115=1,-$E115*$I115/12*3,IF($J115=2,-$E115*$I115/12*2,IF($J115=3,-$E115*$I115/12*1,0)))))+IF(CZ$5&lt;&gt;$H115,0,IF(CZ115&lt;0,IF($J115=1,-$E115*$I115/12*0,IF($J115=2,-$E115*$I115/12*1,IF($J115=3,-$E115*$I115/12*2,IF($J115&gt;=4,-$E115*$I115/12*3,0))))))</f>
        <v>0</v>
      </c>
      <c r="DB115" s="406">
        <f>IF($H115&lt;&gt;DE$5,0,IF(DE115&lt;0,IF(OR($J115=1,$J115=2,$J115=3,$J115=4),-$E115*$I115/12*3,IF($J115=5,-$E115*$I115/12*2,IF($J115=6,-$E115*$I115/12*1,0)))))+IF(CZ$5&lt;&gt;$H115,0,IF(CZ115&lt;0,IF($J115=4,-$E115*$I115/12*0,IF($J115=5,-$E115*$I115/12*1,IF($J115=6,-$E115*$I115/12*2,IF($J115&gt;=7,-$E115*$I115/12*3,0))))))</f>
        <v>0</v>
      </c>
      <c r="DC115" s="406">
        <f>IF($H115&lt;&gt;DE$5,0,IF(DE115&lt;0,IF(OR($J115=1,$J115=2,$J115=3,$J115=4,$J115=5,$J115=6,$J115=7),-$E115*$I115/12*3,IF($J115=8,-$E115*$I115/12*2,IF($J115=9,-$E115*$I115/12*1,0)))))+IF(CZ$5&lt;&gt;$H115,0,IF(CZ115&lt;0,IF($J115=7,-$E115*$I115/12*0,IF($J115=8,-$E115*$I115/12*1,IF($J115=9,-$E115*$I115/12*2,IF($J115&gt;=10,-$E115*$I115/12*3,0))))))</f>
        <v>0</v>
      </c>
      <c r="DD115" s="402">
        <f>IF($H115&lt;&gt;DE$5,0,IF(DE115&lt;0,IF(OR($J115=1,$J115=2,$J115=3,$J115=4,$J115=5,$J115=6,$J115=7,$J115=8,$J115=9,$J115=10),-$E115*$I115/12*3,IF($J115=11,-$E115*$I115/12*2,IF($J115=12,-$E115*$I115/12*1,0)))))+IF(CZ$5&lt;&gt;$H115,0,IF(CZ115&lt;0,IF($J115=10,-$E115*$I115/12*0,IF($J115=11,-$E115*$I115/12*1,IF($J115=12,-$E115*$I115/12*2,0)))))</f>
        <v>0</v>
      </c>
      <c r="DE115" s="403">
        <f>IF(AND(CZ115&lt;&gt;0,CZ$5=$H115),-$I115*$E115-CZ115,IF(DE$5=$H115,-$I115*$E115*(12-$J115+1)/12,0))</f>
        <v>0</v>
      </c>
      <c r="DF115" s="400">
        <f t="shared" si="929"/>
        <v>0</v>
      </c>
      <c r="DG115" s="406">
        <f t="shared" si="930"/>
        <v>0</v>
      </c>
      <c r="DH115" s="406">
        <f t="shared" si="931"/>
        <v>0</v>
      </c>
      <c r="DI115" s="402">
        <f t="shared" si="932"/>
        <v>0</v>
      </c>
      <c r="DJ115" s="403">
        <f t="shared" si="933"/>
        <v>0</v>
      </c>
      <c r="DK115" s="400">
        <f t="shared" si="934"/>
        <v>0</v>
      </c>
      <c r="DL115" s="406">
        <f t="shared" si="935"/>
        <v>0</v>
      </c>
      <c r="DM115" s="406">
        <f t="shared" si="936"/>
        <v>0</v>
      </c>
      <c r="DN115" s="402">
        <f t="shared" si="937"/>
        <v>0</v>
      </c>
      <c r="DO115" s="403">
        <f t="shared" si="938"/>
        <v>0</v>
      </c>
      <c r="DP115" s="400">
        <f t="shared" si="939"/>
        <v>0</v>
      </c>
      <c r="DQ115" s="406">
        <f t="shared" si="940"/>
        <v>0</v>
      </c>
      <c r="DR115" s="406">
        <f t="shared" si="941"/>
        <v>0</v>
      </c>
      <c r="DS115" s="402">
        <f t="shared" si="942"/>
        <v>0</v>
      </c>
      <c r="DT115" s="403">
        <f t="shared" si="943"/>
        <v>0</v>
      </c>
      <c r="EF115" s="35"/>
      <c r="EI115" s="759"/>
    </row>
    <row r="116" spans="3:139" ht="12.75" customHeight="1" x14ac:dyDescent="0.2">
      <c r="C116" s="850" t="s">
        <v>618</v>
      </c>
      <c r="D116" s="70"/>
      <c r="E116" s="530">
        <f>IF(F116=0,G116,F116)</f>
        <v>250</v>
      </c>
      <c r="F116" s="532">
        <v>250</v>
      </c>
      <c r="G116" s="532">
        <v>250</v>
      </c>
      <c r="H116" s="449">
        <v>2023</v>
      </c>
      <c r="I116" s="450">
        <v>2.5000000000000001E-2</v>
      </c>
      <c r="J116" s="451">
        <v>3</v>
      </c>
      <c r="K116" s="392"/>
      <c r="L116" s="397">
        <f>IF(L$5=$H116,-$E116,0)</f>
        <v>0</v>
      </c>
      <c r="M116" s="394">
        <f>IF(Q116=0,0,IF(Q116&lt;0,IF($J116=3,Q116,IF($J116=2,Q116,IF($J116=1,Q116,0)))))</f>
        <v>0</v>
      </c>
      <c r="N116" s="404">
        <f>IF(Q116=0,0,IF(Q116&lt;0,IF($J116=6,Q116,IF($J116=5,Q116,IF($J116=4,Q116,0)))))</f>
        <v>0</v>
      </c>
      <c r="O116" s="404">
        <f>IF(Q116=0,0,IF(Q116&lt;0,IF($J116=9,Q116,IF($J116=8,Q116,IF($J116=7,Q116,0)))))</f>
        <v>0</v>
      </c>
      <c r="P116" s="396">
        <f>IF(Q116=0,0,IF(Q116&lt;0,IF($J116=12,Q116,IF($J116=11,Q116,IF($J116=10,Q116,0)))))</f>
        <v>0</v>
      </c>
      <c r="Q116" s="397">
        <f>IF(Q$5=$H116,-$E116,0)</f>
        <v>0</v>
      </c>
      <c r="R116" s="394">
        <f>IF(V116=0,0,IF(V116&lt;0,IF($J116=3,V116,IF($J116=2,V116,IF($J116=1,V116,0)))))</f>
        <v>0</v>
      </c>
      <c r="S116" s="404">
        <f>IF(V116=0,0,IF(V116&lt;0,IF($J116=6,V116,IF($J116=5,V116,IF($J116=4,V116,0)))))</f>
        <v>0</v>
      </c>
      <c r="T116" s="404">
        <f>IF(V116=0,0,IF(V116&lt;0,IF($J116=9,V116,IF($J116=8,V116,IF($J116=7,V116,0)))))</f>
        <v>0</v>
      </c>
      <c r="U116" s="396">
        <f>IF(V116=0,0,IF(V116&lt;0,IF($J116=12,V116,IF($J116=11,V116,IF($J116=10,V116,0)))))</f>
        <v>0</v>
      </c>
      <c r="V116" s="397">
        <f>IF(V$5=$H116,-$E116,0)</f>
        <v>0</v>
      </c>
      <c r="W116" s="394">
        <f>IF(AA116=0,0,IF(AA116&lt;0,IF($J116=3,AA116,IF($J116=2,AA116,IF($J116=1,AA116,0)))))</f>
        <v>0</v>
      </c>
      <c r="X116" s="404">
        <f>IF(AA116=0,0,IF(AA116&lt;0,IF($J116=6,AA116,IF($J116=5,AA116,IF($J116=4,AA116,0)))))</f>
        <v>0</v>
      </c>
      <c r="Y116" s="404">
        <f>IF(AA116=0,0,IF(AA116&lt;0,IF($J116=9,AA116,IF($J116=8,AA116,IF($J116=7,AA116,0)))))</f>
        <v>0</v>
      </c>
      <c r="Z116" s="396">
        <f>IF(AA116=0,0,IF(AA116&lt;0,IF($J116=12,AA116,IF($J116=11,AA116,IF($J116=10,AA116,0)))))</f>
        <v>0</v>
      </c>
      <c r="AA116" s="397">
        <f>IF(AA$5=$H116,-$E116,0)</f>
        <v>0</v>
      </c>
      <c r="AB116" s="394">
        <f>IF(AF116=0,0,IF(AF116&lt;0,IF($J116=3,AF116,IF($J116=2,AF116,IF($J116=1,AF116,0)))))</f>
        <v>0</v>
      </c>
      <c r="AC116" s="404">
        <f>IF(AF116=0,0,IF(AF116&lt;0,IF($J116=6,AF116,IF($J116=5,AF116,IF($J116=4,AF116,0)))))</f>
        <v>0</v>
      </c>
      <c r="AD116" s="404">
        <f>IF(AF116=0,0,IF(AF116&lt;0,IF($J116=9,AF116,IF($J116=8,AF116,IF($J116=7,AF116,0)))))</f>
        <v>0</v>
      </c>
      <c r="AE116" s="396">
        <f>IF(AF116=0,0,IF(AF116&lt;0,IF($J116=12,AF116,IF($J116=11,AF116,IF($J116=10,AF116,0)))))</f>
        <v>0</v>
      </c>
      <c r="AF116" s="397">
        <f>IF(AF$5=$H116,-$E116,0)</f>
        <v>0</v>
      </c>
      <c r="AG116" s="394">
        <f>IF(AK116=0,0,IF(AK116&lt;0,IF($J116=3,AK116,IF($J116=2,AK116,IF($J116=1,AK116,0)))))</f>
        <v>0</v>
      </c>
      <c r="AH116" s="404">
        <f>IF(AK116=0,0,IF(AK116&lt;0,IF($J116=6,AK116,IF($J116=5,AK116,IF($J116=4,AK116,0)))))</f>
        <v>0</v>
      </c>
      <c r="AI116" s="404">
        <f>IF(AK116=0,0,IF(AK116&lt;0,IF($J116=9,AK116,IF($J116=8,AK116,IF($J116=7,AK116,0)))))</f>
        <v>0</v>
      </c>
      <c r="AJ116" s="396">
        <f>IF(AK116=0,0,IF(AK116&lt;0,IF($J116=12,AK116,IF($J116=11,AK116,IF($J116=10,AK116,0)))))</f>
        <v>0</v>
      </c>
      <c r="AK116" s="397">
        <f>IF(AK$5=$H116,-$E116,0)</f>
        <v>0</v>
      </c>
      <c r="AL116" s="394">
        <f>IF(AP116=0,0,IF(AP116&lt;0,IF($J116=3,AP116,IF($J116=2,AP116,IF($J116=1,AP116,0)))))</f>
        <v>0</v>
      </c>
      <c r="AM116" s="404">
        <f>IF(AP116=0,0,IF(AP116&lt;0,IF($J116=6,AP116,IF($J116=5,AP116,IF($J116=4,AP116,0)))))</f>
        <v>0</v>
      </c>
      <c r="AN116" s="404">
        <f>IF(AP116=0,0,IF(AP116&lt;0,IF($J116=9,AP116,IF($J116=8,AP116,IF($J116=7,AP116,0)))))</f>
        <v>0</v>
      </c>
      <c r="AO116" s="396">
        <f>IF(AP116=0,0,IF(AP116&lt;0,IF($J116=12,AP116,IF($J116=11,AP116,IF($J116=10,AP116,0)))))</f>
        <v>0</v>
      </c>
      <c r="AP116" s="397">
        <f>IF(AP$5=$H116,-$E116,0)</f>
        <v>0</v>
      </c>
      <c r="AQ116" s="394">
        <f>IF(AU116=0,0,IF(AU116&lt;0,IF($J116=3,AU116,IF($J116=2,AU116,IF($J116=1,AU116,0)))))</f>
        <v>0</v>
      </c>
      <c r="AR116" s="404">
        <f>IF(AU116=0,0,IF(AU116&lt;0,IF($J116=6,AU116,IF($J116=5,AU116,IF($J116=4,AU116,0)))))</f>
        <v>0</v>
      </c>
      <c r="AS116" s="404">
        <f>IF(AU116=0,0,IF(AU116&lt;0,IF($J116=9,AU116,IF($J116=8,AU116,IF($J116=7,AU116,0)))))</f>
        <v>0</v>
      </c>
      <c r="AT116" s="396">
        <f>IF(AU116=0,0,IF(AU116&lt;0,IF($J116=12,AU116,IF($J116=11,AU116,IF($J116=10,AU116,0)))))</f>
        <v>0</v>
      </c>
      <c r="AU116" s="397">
        <f>IF(AU$5=$H116,-$E116,0)</f>
        <v>0</v>
      </c>
      <c r="AV116" s="394">
        <f>IF(AZ116=0,0,IF(AZ116&lt;0,IF($J116=3,AZ116,IF($J116=2,AZ116,IF($J116=1,AZ116,0)))))</f>
        <v>0</v>
      </c>
      <c r="AW116" s="404">
        <f>IF(AZ116=0,0,IF(AZ116&lt;0,IF($J116=6,AZ116,IF($J116=5,AZ116,IF($J116=4,AZ116,0)))))</f>
        <v>0</v>
      </c>
      <c r="AX116" s="404">
        <f>IF(AZ116=0,0,IF(AZ116&lt;0,IF($J116=9,AZ116,IF($J116=8,AZ116,IF($J116=7,AZ116,0)))))</f>
        <v>0</v>
      </c>
      <c r="AY116" s="396">
        <f>IF(AZ116=0,0,IF(AZ116&lt;0,IF($J116=12,AZ116,IF($J116=11,AZ116,IF($J116=10,AZ116,0)))))</f>
        <v>0</v>
      </c>
      <c r="AZ116" s="397">
        <f>IF(AZ$5=$H116,-$E116,0)</f>
        <v>0</v>
      </c>
      <c r="BA116" s="394">
        <f t="shared" si="873"/>
        <v>0</v>
      </c>
      <c r="BB116" s="404">
        <f t="shared" si="874"/>
        <v>0</v>
      </c>
      <c r="BC116" s="404">
        <f t="shared" si="875"/>
        <v>0</v>
      </c>
      <c r="BD116" s="396">
        <f t="shared" si="876"/>
        <v>0</v>
      </c>
      <c r="BE116" s="397">
        <f>IF(BE$5=$H116,-$E116,0)</f>
        <v>0</v>
      </c>
      <c r="BF116" s="394">
        <f t="shared" si="878"/>
        <v>0</v>
      </c>
      <c r="BG116" s="404">
        <f t="shared" si="879"/>
        <v>0</v>
      </c>
      <c r="BH116" s="404">
        <f t="shared" si="880"/>
        <v>0</v>
      </c>
      <c r="BI116" s="396">
        <f t="shared" si="881"/>
        <v>0</v>
      </c>
      <c r="BJ116" s="397">
        <f>IF(BJ$5=$H116,-$E116,0)</f>
        <v>0</v>
      </c>
      <c r="BK116" s="394">
        <f t="shared" si="883"/>
        <v>0</v>
      </c>
      <c r="BL116" s="404">
        <f t="shared" si="884"/>
        <v>0</v>
      </c>
      <c r="BM116" s="404">
        <f t="shared" si="885"/>
        <v>0</v>
      </c>
      <c r="BN116" s="396">
        <f t="shared" si="886"/>
        <v>0</v>
      </c>
      <c r="BO116" s="397">
        <f>IF(BO$5=$H116,-$E116,0)</f>
        <v>0</v>
      </c>
      <c r="BP116" s="452"/>
      <c r="BQ116" s="403">
        <f>IF(AND(BP116&lt;&gt;0,BP$5=$H116),-$I116*$E116-BP116,IF(BQ$5=$H116,-$I116*$E116*(12-$J116+1)/12,0))</f>
        <v>0</v>
      </c>
      <c r="BR116" s="400">
        <f>IF($H116&lt;&gt;BV$5,0,IF(BV116&lt;0,IF($J116=1,-$E116*$I116/12*3,IF($J116=2,-$E116*$I116/12*2,IF($J116=3,-$E116*$I116/12*1,0)))))+IF(BQ$5&lt;&gt;$H116,0,IF(BQ116&lt;0,IF($J116=1,-$E116*$I116/12*0,IF($J116=2,-$E116*$I116/12*1,IF($J116=3,-$E116*$I116/12*2,IF($J116&gt;=4,-$E116*$I116/12*3,0))))))</f>
        <v>0</v>
      </c>
      <c r="BS116" s="406">
        <f>IF($H116&lt;&gt;BV$5,0,IF(BV116&lt;0,IF(OR($J116=1,$J116=2,$J116=3,$J116=4),-$E116*$I116/12*3,IF($J116=5,-$E116*$I116/12*2,IF($J116=6,-$E116*$I116/12*1,0)))))+IF(BQ$5&lt;&gt;$H116,0,IF(BQ116&lt;0,IF($J116=4,-$E116*$I116/12*0,IF($J116=5,-$E116*$I116/12*1,IF($J116=6,-$E116*$I116/12*2,IF($J116&gt;=7,-$E116*$I116/12*3,0))))))</f>
        <v>0</v>
      </c>
      <c r="BT116" s="406">
        <f>IF($H116&lt;&gt;BV$5,0,IF(BV116&lt;0,IF(OR($J116=1,$J116=2,$J116=3,$J116=4,$J116=5,$J116=6,$J116=7),-$E116*$I116/12*3,IF($J116=8,-$E116*$I116/12*2,IF($J116=9,-$E116*$I116/12*1,0)))))+IF(BQ$5&lt;&gt;$H116,0,IF(BQ116&lt;0,IF($J116=7,-$E116*$I116/12*0,IF($J116=8,-$E116*$I116/12*1,IF($J116=9,-$E116*$I116/12*2,IF($J116&gt;=10,-$E116*$I116/12*3,0))))))</f>
        <v>0</v>
      </c>
      <c r="BU116" s="402">
        <f>IF($H116&lt;&gt;BV$5,0,IF(BV116&lt;0,IF(OR($J116=1,$J116=2,$J116=3,$J116=4,$J116=5,$J116=6,$J116=7,$J116=8,$J116=9,$J116=10),-$E116*$I116/12*3,IF($J116=11,-$E116*$I116/12*2,IF($J116=12,-$E116*$I116/12*1,0)))))+IF(BQ$5&lt;&gt;$H116,0,IF(BQ116&lt;0,IF($J116=10,-$E116*$I116/12*0,IF($J116=11,-$E116*$I116/12*1,IF($J116=12,-$E116*$I116/12*2,0)))))</f>
        <v>0</v>
      </c>
      <c r="BV116" s="403">
        <f>IF(AND(BQ116&lt;&gt;0,BQ$5=$H116),-$I116*$E116-BQ116,IF(BV$5=$H116,-$I116*$E116*(12-$J116+1)/12,0))</f>
        <v>0</v>
      </c>
      <c r="BW116" s="400">
        <f>IF($H116&lt;&gt;CA$5,0,IF(CA116&lt;0,IF($J116=1,-$E116*$I116/12*3,IF($J116=2,-$E116*$I116/12*2,IF($J116=3,-$E116*$I116/12*1,0)))))+IF(BV$5&lt;&gt;$H116,0,IF(BV116&lt;0,IF($J116=1,-$E116*$I116/12*0,IF($J116=2,-$E116*$I116/12*1,IF($J116=3,-$E116*$I116/12*2,IF($J116&gt;=4,-$E116*$I116/12*3,0))))))</f>
        <v>0</v>
      </c>
      <c r="BX116" s="406">
        <f>IF($H116&lt;&gt;CA$5,0,IF(CA116&lt;0,IF(OR($J116=1,$J116=2,$J116=3,$J116=4),-$E116*$I116/12*3,IF($J116=5,-$E116*$I116/12*2,IF($J116=6,-$E116*$I116/12*1,0)))))+IF(BV$5&lt;&gt;$H116,0,IF(BV116&lt;0,IF($J116=4,-$E116*$I116/12*0,IF($J116=5,-$E116*$I116/12*1,IF($J116=6,-$E116*$I116/12*2,IF($J116&gt;=7,-$E116*$I116/12*3,0))))))</f>
        <v>0</v>
      </c>
      <c r="BY116" s="406">
        <f>IF($H116&lt;&gt;CA$5,0,IF(CA116&lt;0,IF(OR($J116=1,$J116=2,$J116=3,$J116=4,$J116=5,$J116=6,$J116=7),-$E116*$I116/12*3,IF($J116=8,-$E116*$I116/12*2,IF($J116=9,-$E116*$I116/12*1,0)))))+IF(BV$5&lt;&gt;$H116,0,IF(BV116&lt;0,IF($J116=7,-$E116*$I116/12*0,IF($J116=8,-$E116*$I116/12*1,IF($J116=9,-$E116*$I116/12*2,IF($J116&gt;=10,-$E116*$I116/12*3,0))))))</f>
        <v>0</v>
      </c>
      <c r="BZ116" s="402">
        <f>IF($H116&lt;&gt;CA$5,0,IF(CA116&lt;0,IF(OR($J116=1,$J116=2,$J116=3,$J116=4,$J116=5,$J116=6,$J116=7,$J116=8,$J116=9,$J116=10),-$E116*$I116/12*3,IF($J116=11,-$E116*$I116/12*2,IF($J116=12,-$E116*$I116/12*1,0)))))+IF(BV$5&lt;&gt;$H116,0,IF(BV116&lt;0,IF($J116=10,-$E116*$I116/12*0,IF($J116=11,-$E116*$I116/12*1,IF($J116=12,-$E116*$I116/12*2,0)))))</f>
        <v>0</v>
      </c>
      <c r="CA116" s="403">
        <f>IF(AND(BV116&lt;&gt;0,BV$5=$H116),-$I116*$E116-BV116,IF(CA$5=$H116,-$I116*$E116*(12-$J116+1)/12,0))</f>
        <v>0</v>
      </c>
      <c r="CB116" s="400">
        <f>IF($H116&lt;&gt;CF$5,0,IF(CF116&lt;0,IF($J116=1,-$E116*$I116/12*3,IF($J116=2,-$E116*$I116/12*2,IF($J116=3,-$E116*$I116/12*1,0)))))+IF(CA$5&lt;&gt;$H116,0,IF(CA116&lt;0,IF($J116=1,-$E116*$I116/12*0,IF($J116=2,-$E116*$I116/12*1,IF($J116=3,-$E116*$I116/12*2,IF($J116&gt;=4,-$E116*$I116/12*3,0))))))</f>
        <v>0</v>
      </c>
      <c r="CC116" s="406">
        <f>IF($H116&lt;&gt;CF$5,0,IF(CF116&lt;0,IF(OR($J116=1,$J116=2,$J116=3,$J116=4),-$E116*$I116/12*3,IF($J116=5,-$E116*$I116/12*2,IF($J116=6,-$E116*$I116/12*1,0)))))+IF(CA$5&lt;&gt;$H116,0,IF(CA116&lt;0,IF($J116=4,-$E116*$I116/12*0,IF($J116=5,-$E116*$I116/12*1,IF($J116=6,-$E116*$I116/12*2,IF($J116&gt;=7,-$E116*$I116/12*3,0))))))</f>
        <v>0</v>
      </c>
      <c r="CD116" s="406">
        <f>IF($H116&lt;&gt;CF$5,0,IF(CF116&lt;0,IF(OR($J116=1,$J116=2,$J116=3,$J116=4,$J116=5,$J116=6,$J116=7),-$E116*$I116/12*3,IF($J116=8,-$E116*$I116/12*2,IF($J116=9,-$E116*$I116/12*1,0)))))+IF(CA$5&lt;&gt;$H116,0,IF(CA116&lt;0,IF($J116=7,-$E116*$I116/12*0,IF($J116=8,-$E116*$I116/12*1,IF($J116=9,-$E116*$I116/12*2,IF($J116&gt;=10,-$E116*$I116/12*3,0))))))</f>
        <v>0</v>
      </c>
      <c r="CE116" s="402">
        <f>IF($H116&lt;&gt;CF$5,0,IF(CF116&lt;0,IF(OR($J116=1,$J116=2,$J116=3,$J116=4,$J116=5,$J116=6,$J116=7,$J116=8,$J116=9,$J116=10),-$E116*$I116/12*3,IF($J116=11,-$E116*$I116/12*2,IF($J116=12,-$E116*$I116/12*1,0)))))+IF(CA$5&lt;&gt;$H116,0,IF(CA116&lt;0,IF($J116=10,-$E116*$I116/12*0,IF($J116=11,-$E116*$I116/12*1,IF($J116=12,-$E116*$I116/12*2,0)))))</f>
        <v>0</v>
      </c>
      <c r="CF116" s="403">
        <f>IF(AND(CA116&lt;&gt;0,CA$5=$H116),-$I116*$E116-CA116,IF(CF$5=$H116,-$I116*$E116*(12-$J116+1)/12,0))</f>
        <v>0</v>
      </c>
      <c r="CG116" s="400">
        <f>IF($H116&lt;&gt;CK$5,0,IF(CK116&lt;0,IF($J116=1,-$E116*$I116/12*3,IF($J116=2,-$E116*$I116/12*2,IF($J116=3,-$E116*$I116/12*1,0)))))+IF(CF$5&lt;&gt;$H116,0,IF(CF116&lt;0,IF($J116=1,-$E116*$I116/12*0,IF($J116=2,-$E116*$I116/12*1,IF($J116=3,-$E116*$I116/12*2,IF($J116&gt;=4,-$E116*$I116/12*3,0))))))</f>
        <v>0</v>
      </c>
      <c r="CH116" s="406">
        <f>IF($H116&lt;&gt;CK$5,0,IF(CK116&lt;0,IF(OR($J116=1,$J116=2,$J116=3,$J116=4),-$E116*$I116/12*3,IF($J116=5,-$E116*$I116/12*2,IF($J116=6,-$E116*$I116/12*1,0)))))+IF(CF$5&lt;&gt;$H116,0,IF(CF116&lt;0,IF($J116=4,-$E116*$I116/12*0,IF($J116=5,-$E116*$I116/12*1,IF($J116=6,-$E116*$I116/12*2,IF($J116&gt;=7,-$E116*$I116/12*3,0))))))</f>
        <v>0</v>
      </c>
      <c r="CI116" s="406">
        <f>IF($H116&lt;&gt;CK$5,0,IF(CK116&lt;0,IF(OR($J116=1,$J116=2,$J116=3,$J116=4,$J116=5,$J116=6,$J116=7),-$E116*$I116/12*3,IF($J116=8,-$E116*$I116/12*2,IF($J116=9,-$E116*$I116/12*1,0)))))+IF(CF$5&lt;&gt;$H116,0,IF(CF116&lt;0,IF($J116=7,-$E116*$I116/12*0,IF($J116=8,-$E116*$I116/12*1,IF($J116=9,-$E116*$I116/12*2,IF($J116&gt;=10,-$E116*$I116/12*3,0))))))</f>
        <v>0</v>
      </c>
      <c r="CJ116" s="402">
        <f>IF($H116&lt;&gt;CK$5,0,IF(CK116&lt;0,IF(OR($J116=1,$J116=2,$J116=3,$J116=4,$J116=5,$J116=6,$J116=7,$J116=8,$J116=9,$J116=10),-$E116*$I116/12*3,IF($J116=11,-$E116*$I116/12*2,IF($J116=12,-$E116*$I116/12*1,0)))))+IF(CF$5&lt;&gt;$H116,0,IF(CF116&lt;0,IF($J116=10,-$E116*$I116/12*0,IF($J116=11,-$E116*$I116/12*1,IF($J116=12,-$E116*$I116/12*2,0)))))</f>
        <v>0</v>
      </c>
      <c r="CK116" s="403">
        <f>IF(AND(CF116&lt;&gt;0,CF$5=$H116),-$I116*$E116-CF116,IF(CK$5=$H116,-$I116*$E116*(12-$J116+1)/12,0))</f>
        <v>0</v>
      </c>
      <c r="CL116" s="400">
        <f>IF($H116&lt;&gt;CP$5,0,IF(CP116&lt;0,IF($J116=1,-$E116*$I116/12*3,IF($J116=2,-$E116*$I116/12*2,IF($J116=3,-$E116*$I116/12*1,0)))))+IF(CK$5&lt;&gt;$H116,0,IF(CK116&lt;0,IF($J116=1,-$E116*$I116/12*0,IF($J116=2,-$E116*$I116/12*1,IF($J116=3,-$E116*$I116/12*2,IF($J116&gt;=4,-$E116*$I116/12*3,0))))))</f>
        <v>0</v>
      </c>
      <c r="CM116" s="406">
        <f>IF($H116&lt;&gt;CP$5,0,IF(CP116&lt;0,IF(OR($J116=1,$J116=2,$J116=3,$J116=4),-$E116*$I116/12*3,IF($J116=5,-$E116*$I116/12*2,IF($J116=6,-$E116*$I116/12*1,0)))))+IF(CK$5&lt;&gt;$H116,0,IF(CK116&lt;0,IF($J116=4,-$E116*$I116/12*0,IF($J116=5,-$E116*$I116/12*1,IF($J116=6,-$E116*$I116/12*2,IF($J116&gt;=7,-$E116*$I116/12*3,0))))))</f>
        <v>0</v>
      </c>
      <c r="CN116" s="406">
        <f>IF($H116&lt;&gt;CP$5,0,IF(CP116&lt;0,IF(OR($J116=1,$J116=2,$J116=3,$J116=4,$J116=5,$J116=6,$J116=7),-$E116*$I116/12*3,IF($J116=8,-$E116*$I116/12*2,IF($J116=9,-$E116*$I116/12*1,0)))))+IF(CK$5&lt;&gt;$H116,0,IF(CK116&lt;0,IF($J116=7,-$E116*$I116/12*0,IF($J116=8,-$E116*$I116/12*1,IF($J116=9,-$E116*$I116/12*2,IF($J116&gt;=10,-$E116*$I116/12*3,0))))))</f>
        <v>0</v>
      </c>
      <c r="CO116" s="402">
        <f>IF($H116&lt;&gt;CP$5,0,IF(CP116&lt;0,IF(OR($J116=1,$J116=2,$J116=3,$J116=4,$J116=5,$J116=6,$J116=7,$J116=8,$J116=9,$J116=10),-$E116*$I116/12*3,IF($J116=11,-$E116*$I116/12*2,IF($J116=12,-$E116*$I116/12*1,0)))))+IF(CK$5&lt;&gt;$H116,0,IF(CK116&lt;0,IF($J116=10,-$E116*$I116/12*0,IF($J116=11,-$E116*$I116/12*1,IF($J116=12,-$E116*$I116/12*2,0)))))</f>
        <v>0</v>
      </c>
      <c r="CP116" s="403">
        <f>IF(AND(CK116&lt;&gt;0,CK$5=$H116),-$I116*$E116-CK116,IF(CP$5=$H116,-$I116*$E116*(12-$J116+1)/12,0))</f>
        <v>0</v>
      </c>
      <c r="CQ116" s="400">
        <f>IF($H116&lt;&gt;CU$5,0,IF(CU116&lt;0,IF($J116=1,-$E116*$I116/12*3,IF($J116=2,-$E116*$I116/12*2,IF($J116=3,-$E116*$I116/12*1,0)))))+IF(CP$5&lt;&gt;$H116,0,IF(CP116&lt;0,IF($J116=1,-$E116*$I116/12*0,IF($J116=2,-$E116*$I116/12*1,IF($J116=3,-$E116*$I116/12*2,IF($J116&gt;=4,-$E116*$I116/12*3,0))))))</f>
        <v>0</v>
      </c>
      <c r="CR116" s="406">
        <f>IF($H116&lt;&gt;CU$5,0,IF(CU116&lt;0,IF(OR($J116=1,$J116=2,$J116=3,$J116=4),-$E116*$I116/12*3,IF($J116=5,-$E116*$I116/12*2,IF($J116=6,-$E116*$I116/12*1,0)))))+IF(CP$5&lt;&gt;$H116,0,IF(CP116&lt;0,IF($J116=4,-$E116*$I116/12*0,IF($J116=5,-$E116*$I116/12*1,IF($J116=6,-$E116*$I116/12*2,IF($J116&gt;=7,-$E116*$I116/12*3,0))))))</f>
        <v>0</v>
      </c>
      <c r="CS116" s="406">
        <f>IF($H116&lt;&gt;CU$5,0,IF(CU116&lt;0,IF(OR($J116=1,$J116=2,$J116=3,$J116=4,$J116=5,$J116=6,$J116=7),-$E116*$I116/12*3,IF($J116=8,-$E116*$I116/12*2,IF($J116=9,-$E116*$I116/12*1,0)))))+IF(CP$5&lt;&gt;$H116,0,IF(CP116&lt;0,IF($J116=7,-$E116*$I116/12*0,IF($J116=8,-$E116*$I116/12*1,IF($J116=9,-$E116*$I116/12*2,IF($J116&gt;=10,-$E116*$I116/12*3,0))))))</f>
        <v>0</v>
      </c>
      <c r="CT116" s="402">
        <f>IF($H116&lt;&gt;CU$5,0,IF(CU116&lt;0,IF(OR($J116=1,$J116=2,$J116=3,$J116=4,$J116=5,$J116=6,$J116=7,$J116=8,$J116=9,$J116=10),-$E116*$I116/12*3,IF($J116=11,-$E116*$I116/12*2,IF($J116=12,-$E116*$I116/12*1,0)))))+IF(CP$5&lt;&gt;$H116,0,IF(CP116&lt;0,IF($J116=10,-$E116*$I116/12*0,IF($J116=11,-$E116*$I116/12*1,IF($J116=12,-$E116*$I116/12*2,0)))))</f>
        <v>0</v>
      </c>
      <c r="CU116" s="403">
        <f>IF(AND(CP116&lt;&gt;0,CP$5=$H116),-$I116*$E116-CP116,IF(CU$5=$H116,-$I116*$E116*(12-$J116+1)/12,0))</f>
        <v>0</v>
      </c>
      <c r="CV116" s="400">
        <f>IF($H116&lt;&gt;CZ$5,0,IF(CZ116&lt;0,IF($J116=1,-$E116*$I116/12*3,IF($J116=2,-$E116*$I116/12*2,IF($J116=3,-$E116*$I116/12*1,0)))))+IF(CU$5&lt;&gt;$H116,0,IF(CU116&lt;0,IF($J116=1,-$E116*$I116/12*0,IF($J116=2,-$E116*$I116/12*1,IF($J116=3,-$E116*$I116/12*2,IF($J116&gt;=4,-$E116*$I116/12*3,0))))))</f>
        <v>0</v>
      </c>
      <c r="CW116" s="406">
        <f>IF($H116&lt;&gt;CZ$5,0,IF(CZ116&lt;0,IF(OR($J116=1,$J116=2,$J116=3,$J116=4),-$E116*$I116/12*3,IF($J116=5,-$E116*$I116/12*2,IF($J116=6,-$E116*$I116/12*1,0)))))+IF(CU$5&lt;&gt;$H116,0,IF(CU116&lt;0,IF($J116=4,-$E116*$I116/12*0,IF($J116=5,-$E116*$I116/12*1,IF($J116=6,-$E116*$I116/12*2,IF($J116&gt;=7,-$E116*$I116/12*3,0))))))</f>
        <v>0</v>
      </c>
      <c r="CX116" s="406">
        <f>IF($H116&lt;&gt;CZ$5,0,IF(CZ116&lt;0,IF(OR($J116=1,$J116=2,$J116=3,$J116=4,$J116=5,$J116=6,$J116=7),-$E116*$I116/12*3,IF($J116=8,-$E116*$I116/12*2,IF($J116=9,-$E116*$I116/12*1,0)))))+IF(CU$5&lt;&gt;$H116,0,IF(CU116&lt;0,IF($J116=7,-$E116*$I116/12*0,IF($J116=8,-$E116*$I116/12*1,IF($J116=9,-$E116*$I116/12*2,IF($J116&gt;=10,-$E116*$I116/12*3,0))))))</f>
        <v>0</v>
      </c>
      <c r="CY116" s="402">
        <f>IF($H116&lt;&gt;CZ$5,0,IF(CZ116&lt;0,IF(OR($J116=1,$J116=2,$J116=3,$J116=4,$J116=5,$J116=6,$J116=7,$J116=8,$J116=9,$J116=10),-$E116*$I116/12*3,IF($J116=11,-$E116*$I116/12*2,IF($J116=12,-$E116*$I116/12*1,0)))))+IF(CU$5&lt;&gt;$H116,0,IF(CU116&lt;0,IF($J116=10,-$E116*$I116/12*0,IF($J116=11,-$E116*$I116/12*1,IF($J116=12,-$E116*$I116/12*2,0)))))</f>
        <v>0</v>
      </c>
      <c r="CZ116" s="403">
        <f>IF(AND(CU116&lt;&gt;0,CU$5=$H116),-$I116*$E116-CU116,IF(CZ$5=$H116,-$I116*$E116*(12-$J116+1)/12,0))</f>
        <v>0</v>
      </c>
      <c r="DA116" s="400">
        <f>IF($H116&lt;&gt;DE$5,0,IF(DE116&lt;0,IF($J116=1,-$E116*$I116/12*3,IF($J116=2,-$E116*$I116/12*2,IF($J116=3,-$E116*$I116/12*1,0)))))+IF(CZ$5&lt;&gt;$H116,0,IF(CZ116&lt;0,IF($J116=1,-$E116*$I116/12*0,IF($J116=2,-$E116*$I116/12*1,IF($J116=3,-$E116*$I116/12*2,IF($J116&gt;=4,-$E116*$I116/12*3,0))))))</f>
        <v>0</v>
      </c>
      <c r="DB116" s="406">
        <f>IF($H116&lt;&gt;DE$5,0,IF(DE116&lt;0,IF(OR($J116=1,$J116=2,$J116=3,$J116=4),-$E116*$I116/12*3,IF($J116=5,-$E116*$I116/12*2,IF($J116=6,-$E116*$I116/12*1,0)))))+IF(CZ$5&lt;&gt;$H116,0,IF(CZ116&lt;0,IF($J116=4,-$E116*$I116/12*0,IF($J116=5,-$E116*$I116/12*1,IF($J116=6,-$E116*$I116/12*2,IF($J116&gt;=7,-$E116*$I116/12*3,0))))))</f>
        <v>0</v>
      </c>
      <c r="DC116" s="406">
        <f>IF($H116&lt;&gt;DE$5,0,IF(DE116&lt;0,IF(OR($J116=1,$J116=2,$J116=3,$J116=4,$J116=5,$J116=6,$J116=7),-$E116*$I116/12*3,IF($J116=8,-$E116*$I116/12*2,IF($J116=9,-$E116*$I116/12*1,0)))))+IF(CZ$5&lt;&gt;$H116,0,IF(CZ116&lt;0,IF($J116=7,-$E116*$I116/12*0,IF($J116=8,-$E116*$I116/12*1,IF($J116=9,-$E116*$I116/12*2,IF($J116&gt;=10,-$E116*$I116/12*3,0))))))</f>
        <v>0</v>
      </c>
      <c r="DD116" s="402">
        <f>IF($H116&lt;&gt;DE$5,0,IF(DE116&lt;0,IF(OR($J116=1,$J116=2,$J116=3,$J116=4,$J116=5,$J116=6,$J116=7,$J116=8,$J116=9,$J116=10),-$E116*$I116/12*3,IF($J116=11,-$E116*$I116/12*2,IF($J116=12,-$E116*$I116/12*1,0)))))+IF(CZ$5&lt;&gt;$H116,0,IF(CZ116&lt;0,IF($J116=10,-$E116*$I116/12*0,IF($J116=11,-$E116*$I116/12*1,IF($J116=12,-$E116*$I116/12*2,0)))))</f>
        <v>0</v>
      </c>
      <c r="DE116" s="403">
        <f>IF(AND(CZ116&lt;&gt;0,CZ$5=$H116),-$I116*$E116-CZ116,IF(DE$5=$H116,-$I116*$E116*(12-$J116+1)/12,0))</f>
        <v>0</v>
      </c>
      <c r="DF116" s="400">
        <f t="shared" si="929"/>
        <v>0</v>
      </c>
      <c r="DG116" s="406">
        <f t="shared" si="930"/>
        <v>0</v>
      </c>
      <c r="DH116" s="406">
        <f t="shared" si="931"/>
        <v>0</v>
      </c>
      <c r="DI116" s="402">
        <f t="shared" si="932"/>
        <v>0</v>
      </c>
      <c r="DJ116" s="403">
        <f t="shared" si="933"/>
        <v>0</v>
      </c>
      <c r="DK116" s="400">
        <f t="shared" si="934"/>
        <v>0</v>
      </c>
      <c r="DL116" s="406">
        <f t="shared" si="935"/>
        <v>0</v>
      </c>
      <c r="DM116" s="406">
        <f t="shared" si="936"/>
        <v>0</v>
      </c>
      <c r="DN116" s="402">
        <f t="shared" si="937"/>
        <v>0</v>
      </c>
      <c r="DO116" s="403">
        <f t="shared" si="938"/>
        <v>0</v>
      </c>
      <c r="DP116" s="400">
        <f t="shared" si="939"/>
        <v>0</v>
      </c>
      <c r="DQ116" s="406">
        <f t="shared" si="940"/>
        <v>0</v>
      </c>
      <c r="DR116" s="406">
        <f t="shared" si="941"/>
        <v>0</v>
      </c>
      <c r="DS116" s="402">
        <f t="shared" si="942"/>
        <v>0</v>
      </c>
      <c r="DT116" s="403">
        <f t="shared" si="943"/>
        <v>0</v>
      </c>
      <c r="EF116" s="35"/>
      <c r="EI116" s="759"/>
    </row>
    <row r="117" spans="3:139" ht="12.75" customHeight="1" x14ac:dyDescent="0.2">
      <c r="C117" s="850" t="s">
        <v>619</v>
      </c>
      <c r="D117" s="52"/>
      <c r="E117" s="530">
        <f>IF(F117=0,G117,F117)</f>
        <v>250</v>
      </c>
      <c r="F117" s="532">
        <v>250</v>
      </c>
      <c r="G117" s="532">
        <v>250</v>
      </c>
      <c r="H117" s="449">
        <v>2025</v>
      </c>
      <c r="I117" s="450">
        <v>2.9000000000000001E-2</v>
      </c>
      <c r="J117" s="451">
        <v>5</v>
      </c>
      <c r="K117" s="392"/>
      <c r="L117" s="397">
        <f>IF(L$5=$H117,-$E117,0)</f>
        <v>0</v>
      </c>
      <c r="M117" s="394">
        <f>IF(Q117=0,0,IF(Q117&lt;0,IF($J117=3,Q117,IF($J117=2,Q117,IF($J117=1,Q117,0)))))</f>
        <v>0</v>
      </c>
      <c r="N117" s="404">
        <f>IF(Q117=0,0,IF(Q117&lt;0,IF($J117=6,Q117,IF($J117=5,Q117,IF($J117=4,Q117,0)))))</f>
        <v>0</v>
      </c>
      <c r="O117" s="404">
        <f>IF(Q117=0,0,IF(Q117&lt;0,IF($J117=9,Q117,IF($J117=8,Q117,IF($J117=7,Q117,0)))))</f>
        <v>0</v>
      </c>
      <c r="P117" s="396">
        <f>IF(Q117=0,0,IF(Q117&lt;0,IF($J117=12,Q117,IF($J117=11,Q117,IF($J117=10,Q117,0)))))</f>
        <v>0</v>
      </c>
      <c r="Q117" s="397">
        <f>IF(Q$5=$H117,-$E117,0)</f>
        <v>0</v>
      </c>
      <c r="R117" s="394">
        <f>IF(V117=0,0,IF(V117&lt;0,IF($J117=3,V117,IF($J117=2,V117,IF($J117=1,V117,0)))))</f>
        <v>0</v>
      </c>
      <c r="S117" s="404">
        <f>IF(V117=0,0,IF(V117&lt;0,IF($J117=6,V117,IF($J117=5,V117,IF($J117=4,V117,0)))))</f>
        <v>0</v>
      </c>
      <c r="T117" s="404">
        <f>IF(V117=0,0,IF(V117&lt;0,IF($J117=9,V117,IF($J117=8,V117,IF($J117=7,V117,0)))))</f>
        <v>0</v>
      </c>
      <c r="U117" s="396">
        <f>IF(V117=0,0,IF(V117&lt;0,IF($J117=12,V117,IF($J117=11,V117,IF($J117=10,V117,0)))))</f>
        <v>0</v>
      </c>
      <c r="V117" s="397">
        <f>IF(V$5=$H117,-$E117,0)</f>
        <v>0</v>
      </c>
      <c r="W117" s="394">
        <f>IF(AA117=0,0,IF(AA117&lt;0,IF($J117=3,AA117,IF($J117=2,AA117,IF($J117=1,AA117,0)))))</f>
        <v>0</v>
      </c>
      <c r="X117" s="404">
        <f>IF(AA117=0,0,IF(AA117&lt;0,IF($J117=6,AA117,IF($J117=5,AA117,IF($J117=4,AA117,0)))))</f>
        <v>0</v>
      </c>
      <c r="Y117" s="404">
        <f>IF(AA117=0,0,IF(AA117&lt;0,IF($J117=9,AA117,IF($J117=8,AA117,IF($J117=7,AA117,0)))))</f>
        <v>0</v>
      </c>
      <c r="Z117" s="396">
        <f>IF(AA117=0,0,IF(AA117&lt;0,IF($J117=12,AA117,IF($J117=11,AA117,IF($J117=10,AA117,0)))))</f>
        <v>0</v>
      </c>
      <c r="AA117" s="397">
        <f>IF(AA$5=$H117,-$E117,0)</f>
        <v>0</v>
      </c>
      <c r="AB117" s="394">
        <f>IF(AF117=0,0,IF(AF117&lt;0,IF($J117=3,AF117,IF($J117=2,AF117,IF($J117=1,AF117,0)))))</f>
        <v>0</v>
      </c>
      <c r="AC117" s="404">
        <f>IF(AF117=0,0,IF(AF117&lt;0,IF($J117=6,AF117,IF($J117=5,AF117,IF($J117=4,AF117,0)))))</f>
        <v>0</v>
      </c>
      <c r="AD117" s="404">
        <f>IF(AF117=0,0,IF(AF117&lt;0,IF($J117=9,AF117,IF($J117=8,AF117,IF($J117=7,AF117,0)))))</f>
        <v>0</v>
      </c>
      <c r="AE117" s="396">
        <f>IF(AF117=0,0,IF(AF117&lt;0,IF($J117=12,AF117,IF($J117=11,AF117,IF($J117=10,AF117,0)))))</f>
        <v>0</v>
      </c>
      <c r="AF117" s="397">
        <f>IF(AF$5=$H117,-$E117,0)</f>
        <v>0</v>
      </c>
      <c r="AG117" s="394">
        <f>IF(AK117=0,0,IF(AK117&lt;0,IF($J117=3,AK117,IF($J117=2,AK117,IF($J117=1,AK117,0)))))</f>
        <v>0</v>
      </c>
      <c r="AH117" s="404">
        <f>IF(AK117=0,0,IF(AK117&lt;0,IF($J117=6,AK117,IF($J117=5,AK117,IF($J117=4,AK117,0)))))</f>
        <v>0</v>
      </c>
      <c r="AI117" s="404">
        <f>IF(AK117=0,0,IF(AK117&lt;0,IF($J117=9,AK117,IF($J117=8,AK117,IF($J117=7,AK117,0)))))</f>
        <v>0</v>
      </c>
      <c r="AJ117" s="396">
        <f>IF(AK117=0,0,IF(AK117&lt;0,IF($J117=12,AK117,IF($J117=11,AK117,IF($J117=10,AK117,0)))))</f>
        <v>0</v>
      </c>
      <c r="AK117" s="397">
        <f>IF(AK$5=$H117,-$E117,0)</f>
        <v>0</v>
      </c>
      <c r="AL117" s="394">
        <f>IF(AP117=0,0,IF(AP117&lt;0,IF($J117=3,AP117,IF($J117=2,AP117,IF($J117=1,AP117,0)))))</f>
        <v>0</v>
      </c>
      <c r="AM117" s="404">
        <f>IF(AP117=0,0,IF(AP117&lt;0,IF($J117=6,AP117,IF($J117=5,AP117,IF($J117=4,AP117,0)))))</f>
        <v>0</v>
      </c>
      <c r="AN117" s="404">
        <f>IF(AP117=0,0,IF(AP117&lt;0,IF($J117=9,AP117,IF($J117=8,AP117,IF($J117=7,AP117,0)))))</f>
        <v>0</v>
      </c>
      <c r="AO117" s="396">
        <f>IF(AP117=0,0,IF(AP117&lt;0,IF($J117=12,AP117,IF($J117=11,AP117,IF($J117=10,AP117,0)))))</f>
        <v>0</v>
      </c>
      <c r="AP117" s="397">
        <f>IF(AP$5=$H117,-$E117,0)</f>
        <v>0</v>
      </c>
      <c r="AQ117" s="394">
        <f>IF(AU117=0,0,IF(AU117&lt;0,IF($J117=3,AU117,IF($J117=2,AU117,IF($J117=1,AU117,0)))))</f>
        <v>0</v>
      </c>
      <c r="AR117" s="404">
        <f>IF(AU117=0,0,IF(AU117&lt;0,IF($J117=6,AU117,IF($J117=5,AU117,IF($J117=4,AU117,0)))))</f>
        <v>0</v>
      </c>
      <c r="AS117" s="404">
        <f>IF(AU117=0,0,IF(AU117&lt;0,IF($J117=9,AU117,IF($J117=8,AU117,IF($J117=7,AU117,0)))))</f>
        <v>0</v>
      </c>
      <c r="AT117" s="396">
        <f>IF(AU117=0,0,IF(AU117&lt;0,IF($J117=12,AU117,IF($J117=11,AU117,IF($J117=10,AU117,0)))))</f>
        <v>0</v>
      </c>
      <c r="AU117" s="397">
        <f>IF(AU$5=$H117,-$E117,0)</f>
        <v>0</v>
      </c>
      <c r="AV117" s="394">
        <f>IF(AZ117=0,0,IF(AZ117&lt;0,IF($J117=3,AZ117,IF($J117=2,AZ117,IF($J117=1,AZ117,0)))))</f>
        <v>0</v>
      </c>
      <c r="AW117" s="404">
        <f>IF(AZ117=0,0,IF(AZ117&lt;0,IF($J117=6,AZ117,IF($J117=5,AZ117,IF($J117=4,AZ117,0)))))</f>
        <v>0</v>
      </c>
      <c r="AX117" s="404">
        <f>IF(AZ117=0,0,IF(AZ117&lt;0,IF($J117=9,AZ117,IF($J117=8,AZ117,IF($J117=7,AZ117,0)))))</f>
        <v>0</v>
      </c>
      <c r="AY117" s="396">
        <f>IF(AZ117=0,0,IF(AZ117&lt;0,IF($J117=12,AZ117,IF($J117=11,AZ117,IF($J117=10,AZ117,0)))))</f>
        <v>0</v>
      </c>
      <c r="AZ117" s="397">
        <f>IF(AZ$5=$H117,-$E117,0)</f>
        <v>0</v>
      </c>
      <c r="BA117" s="394">
        <f>IF(BE117=0,0,IF(BE117&lt;0,IF($J117=3,BE117,IF($J117=2,BE117,IF($J117=1,BE117,0)))))</f>
        <v>0</v>
      </c>
      <c r="BB117" s="404">
        <f>IF(BE117=0,0,IF(BE117&lt;0,IF($J117=6,BE117,IF($J117=5,BE117,IF($J117=4,BE117,0)))))</f>
        <v>0</v>
      </c>
      <c r="BC117" s="404">
        <f>IF(BE117=0,0,IF(BE117&lt;0,IF($J117=9,BE117,IF($J117=8,BE117,IF($J117=7,BE117,0)))))</f>
        <v>0</v>
      </c>
      <c r="BD117" s="396">
        <f>IF(BE117=0,0,IF(BE117&lt;0,IF($J117=12,BE117,IF($J117=11,BE117,IF($J117=10,BE117,0)))))</f>
        <v>0</v>
      </c>
      <c r="BE117" s="397">
        <f>IF(BE$5=$H117,-$E117,0)</f>
        <v>0</v>
      </c>
      <c r="BF117" s="394">
        <f>IF(BJ117=0,0,IF(BJ117&lt;0,IF($J117=3,BJ117,IF($J117=2,BJ117,IF($J117=1,BJ117,0)))))</f>
        <v>0</v>
      </c>
      <c r="BG117" s="404">
        <f>IF(BJ117=0,0,IF(BJ117&lt;0,IF($J117=6,BJ117,IF($J117=5,BJ117,IF($J117=4,BJ117,0)))))</f>
        <v>0</v>
      </c>
      <c r="BH117" s="404">
        <f>IF(BJ117=0,0,IF(BJ117&lt;0,IF($J117=9,BJ117,IF($J117=8,BJ117,IF($J117=7,BJ117,0)))))</f>
        <v>0</v>
      </c>
      <c r="BI117" s="396">
        <f>IF(BJ117=0,0,IF(BJ117&lt;0,IF($J117=12,BJ117,IF($J117=11,BJ117,IF($J117=10,BJ117,0)))))</f>
        <v>0</v>
      </c>
      <c r="BJ117" s="397">
        <f>IF(BJ$5=$H117,-$E117,0)</f>
        <v>0</v>
      </c>
      <c r="BK117" s="394">
        <f>IF(BO117=0,0,IF(BO117&lt;0,IF($J117=3,BO117,IF($J117=2,BO117,IF($J117=1,BO117,0)))))</f>
        <v>0</v>
      </c>
      <c r="BL117" s="404">
        <f>IF(BO117=0,0,IF(BO117&lt;0,IF($J117=6,BO117,IF($J117=5,BO117,IF($J117=4,BO117,0)))))</f>
        <v>0</v>
      </c>
      <c r="BM117" s="404">
        <f>IF(BO117=0,0,IF(BO117&lt;0,IF($J117=9,BO117,IF($J117=8,BO117,IF($J117=7,BO117,0)))))</f>
        <v>0</v>
      </c>
      <c r="BN117" s="396">
        <f>IF(BO117=0,0,IF(BO117&lt;0,IF($J117=12,BO117,IF($J117=11,BO117,IF($J117=10,BO117,0)))))</f>
        <v>0</v>
      </c>
      <c r="BO117" s="397">
        <f>IF(BO$5=$H117,-$E117,0)</f>
        <v>0</v>
      </c>
      <c r="BP117" s="452"/>
      <c r="BQ117" s="403">
        <f>IF(AND(BP117&lt;&gt;0,BP$5=$H117),-$I117*$E117-BP117,IF(BQ$5=$H117,-$I117*$E117*(12-$J117+1)/12,0))</f>
        <v>0</v>
      </c>
      <c r="BR117" s="400">
        <f>IF($H117&lt;&gt;BV$5,0,IF(BV117&lt;0,IF($J117=1,-$E117*$I117/12*3,IF($J117=2,-$E117*$I117/12*2,IF($J117=3,-$E117*$I117/12*1,0)))))+IF(BQ$5&lt;&gt;$H117,0,IF(BQ117&lt;0,IF($J117=1,-$E117*$I117/12*0,IF($J117=2,-$E117*$I117/12*1,IF($J117=3,-$E117*$I117/12*2,IF($J117&gt;=4,-$E117*$I117/12*3,0))))))</f>
        <v>0</v>
      </c>
      <c r="BS117" s="406">
        <f>IF($H117&lt;&gt;BV$5,0,IF(BV117&lt;0,IF(OR($J117=1,$J117=2,$J117=3,$J117=4),-$E117*$I117/12*3,IF($J117=5,-$E117*$I117/12*2,IF($J117=6,-$E117*$I117/12*1,0)))))+IF(BQ$5&lt;&gt;$H117,0,IF(BQ117&lt;0,IF($J117=4,-$E117*$I117/12*0,IF($J117=5,-$E117*$I117/12*1,IF($J117=6,-$E117*$I117/12*2,IF($J117&gt;=7,-$E117*$I117/12*3,0))))))</f>
        <v>0</v>
      </c>
      <c r="BT117" s="406">
        <f>IF($H117&lt;&gt;BV$5,0,IF(BV117&lt;0,IF(OR($J117=1,$J117=2,$J117=3,$J117=4,$J117=5,$J117=6,$J117=7),-$E117*$I117/12*3,IF($J117=8,-$E117*$I117/12*2,IF($J117=9,-$E117*$I117/12*1,0)))))+IF(BQ$5&lt;&gt;$H117,0,IF(BQ117&lt;0,IF($J117=7,-$E117*$I117/12*0,IF($J117=8,-$E117*$I117/12*1,IF($J117=9,-$E117*$I117/12*2,IF($J117&gt;=10,-$E117*$I117/12*3,0))))))</f>
        <v>0</v>
      </c>
      <c r="BU117" s="402">
        <f>IF($H117&lt;&gt;BV$5,0,IF(BV117&lt;0,IF(OR($J117=1,$J117=2,$J117=3,$J117=4,$J117=5,$J117=6,$J117=7,$J117=8,$J117=9,$J117=10),-$E117*$I117/12*3,IF($J117=11,-$E117*$I117/12*2,IF($J117=12,-$E117*$I117/12*1,0)))))+IF(BQ$5&lt;&gt;$H117,0,IF(BQ117&lt;0,IF($J117=10,-$E117*$I117/12*0,IF($J117=11,-$E117*$I117/12*1,IF($J117=12,-$E117*$I117/12*2,0)))))</f>
        <v>0</v>
      </c>
      <c r="BV117" s="403">
        <f>IF(AND(BQ117&lt;&gt;0,BQ$5=$H117),-$I117*$E117-BQ117,IF(BV$5=$H117,-$I117*$E117*(12-$J117+1)/12,0))</f>
        <v>0</v>
      </c>
      <c r="BW117" s="400">
        <f>IF($H117&lt;&gt;CA$5,0,IF(CA117&lt;0,IF($J117=1,-$E117*$I117/12*3,IF($J117=2,-$E117*$I117/12*2,IF($J117=3,-$E117*$I117/12*1,0)))))+IF(BV$5&lt;&gt;$H117,0,IF(BV117&lt;0,IF($J117=1,-$E117*$I117/12*0,IF($J117=2,-$E117*$I117/12*1,IF($J117=3,-$E117*$I117/12*2,IF($J117&gt;=4,-$E117*$I117/12*3,0))))))</f>
        <v>0</v>
      </c>
      <c r="BX117" s="406">
        <f>IF($H117&lt;&gt;CA$5,0,IF(CA117&lt;0,IF(OR($J117=1,$J117=2,$J117=3,$J117=4),-$E117*$I117/12*3,IF($J117=5,-$E117*$I117/12*2,IF($J117=6,-$E117*$I117/12*1,0)))))+IF(BV$5&lt;&gt;$H117,0,IF(BV117&lt;0,IF($J117=4,-$E117*$I117/12*0,IF($J117=5,-$E117*$I117/12*1,IF($J117=6,-$E117*$I117/12*2,IF($J117&gt;=7,-$E117*$I117/12*3,0))))))</f>
        <v>0</v>
      </c>
      <c r="BY117" s="406">
        <f>IF($H117&lt;&gt;CA$5,0,IF(CA117&lt;0,IF(OR($J117=1,$J117=2,$J117=3,$J117=4,$J117=5,$J117=6,$J117=7),-$E117*$I117/12*3,IF($J117=8,-$E117*$I117/12*2,IF($J117=9,-$E117*$I117/12*1,0)))))+IF(BV$5&lt;&gt;$H117,0,IF(BV117&lt;0,IF($J117=7,-$E117*$I117/12*0,IF($J117=8,-$E117*$I117/12*1,IF($J117=9,-$E117*$I117/12*2,IF($J117&gt;=10,-$E117*$I117/12*3,0))))))</f>
        <v>0</v>
      </c>
      <c r="BZ117" s="402">
        <f>IF($H117&lt;&gt;CA$5,0,IF(CA117&lt;0,IF(OR($J117=1,$J117=2,$J117=3,$J117=4,$J117=5,$J117=6,$J117=7,$J117=8,$J117=9,$J117=10),-$E117*$I117/12*3,IF($J117=11,-$E117*$I117/12*2,IF($J117=12,-$E117*$I117/12*1,0)))))+IF(BV$5&lt;&gt;$H117,0,IF(BV117&lt;0,IF($J117=10,-$E117*$I117/12*0,IF($J117=11,-$E117*$I117/12*1,IF($J117=12,-$E117*$I117/12*2,0)))))</f>
        <v>0</v>
      </c>
      <c r="CA117" s="403">
        <f>IF(AND(BV117&lt;&gt;0,BV$5=$H117),-$I117*$E117-BV117,IF(CA$5=$H117,-$I117*$E117*(12-$J117+1)/12,0))</f>
        <v>0</v>
      </c>
      <c r="CB117" s="400">
        <f>IF($H117&lt;&gt;CF$5,0,IF(CF117&lt;0,IF($J117=1,-$E117*$I117/12*3,IF($J117=2,-$E117*$I117/12*2,IF($J117=3,-$E117*$I117/12*1,0)))))+IF(CA$5&lt;&gt;$H117,0,IF(CA117&lt;0,IF($J117=1,-$E117*$I117/12*0,IF($J117=2,-$E117*$I117/12*1,IF($J117=3,-$E117*$I117/12*2,IF($J117&gt;=4,-$E117*$I117/12*3,0))))))</f>
        <v>0</v>
      </c>
      <c r="CC117" s="406">
        <f>IF($H117&lt;&gt;CF$5,0,IF(CF117&lt;0,IF(OR($J117=1,$J117=2,$J117=3,$J117=4),-$E117*$I117/12*3,IF($J117=5,-$E117*$I117/12*2,IF($J117=6,-$E117*$I117/12*1,0)))))+IF(CA$5&lt;&gt;$H117,0,IF(CA117&lt;0,IF($J117=4,-$E117*$I117/12*0,IF($J117=5,-$E117*$I117/12*1,IF($J117=6,-$E117*$I117/12*2,IF($J117&gt;=7,-$E117*$I117/12*3,0))))))</f>
        <v>0</v>
      </c>
      <c r="CD117" s="406">
        <f>IF($H117&lt;&gt;CF$5,0,IF(CF117&lt;0,IF(OR($J117=1,$J117=2,$J117=3,$J117=4,$J117=5,$J117=6,$J117=7),-$E117*$I117/12*3,IF($J117=8,-$E117*$I117/12*2,IF($J117=9,-$E117*$I117/12*1,0)))))+IF(CA$5&lt;&gt;$H117,0,IF(CA117&lt;0,IF($J117=7,-$E117*$I117/12*0,IF($J117=8,-$E117*$I117/12*1,IF($J117=9,-$E117*$I117/12*2,IF($J117&gt;=10,-$E117*$I117/12*3,0))))))</f>
        <v>0</v>
      </c>
      <c r="CE117" s="402">
        <f>IF($H117&lt;&gt;CF$5,0,IF(CF117&lt;0,IF(OR($J117=1,$J117=2,$J117=3,$J117=4,$J117=5,$J117=6,$J117=7,$J117=8,$J117=9,$J117=10),-$E117*$I117/12*3,IF($J117=11,-$E117*$I117/12*2,IF($J117=12,-$E117*$I117/12*1,0)))))+IF(CA$5&lt;&gt;$H117,0,IF(CA117&lt;0,IF($J117=10,-$E117*$I117/12*0,IF($J117=11,-$E117*$I117/12*1,IF($J117=12,-$E117*$I117/12*2,0)))))</f>
        <v>0</v>
      </c>
      <c r="CF117" s="403">
        <f>IF(AND(CA117&lt;&gt;0,CA$5=$H117),-$I117*$E117-CA117,IF(CF$5=$H117,-$I117*$E117*(12-$J117+1)/12,0))</f>
        <v>0</v>
      </c>
      <c r="CG117" s="400">
        <f>IF($H117&lt;&gt;CK$5,0,IF(CK117&lt;0,IF($J117=1,-$E117*$I117/12*3,IF($J117=2,-$E117*$I117/12*2,IF($J117=3,-$E117*$I117/12*1,0)))))+IF(CF$5&lt;&gt;$H117,0,IF(CF117&lt;0,IF($J117=1,-$E117*$I117/12*0,IF($J117=2,-$E117*$I117/12*1,IF($J117=3,-$E117*$I117/12*2,IF($J117&gt;=4,-$E117*$I117/12*3,0))))))</f>
        <v>0</v>
      </c>
      <c r="CH117" s="406">
        <f>IF($H117&lt;&gt;CK$5,0,IF(CK117&lt;0,IF(OR($J117=1,$J117=2,$J117=3,$J117=4),-$E117*$I117/12*3,IF($J117=5,-$E117*$I117/12*2,IF($J117=6,-$E117*$I117/12*1,0)))))+IF(CF$5&lt;&gt;$H117,0,IF(CF117&lt;0,IF($J117=4,-$E117*$I117/12*0,IF($J117=5,-$E117*$I117/12*1,IF($J117=6,-$E117*$I117/12*2,IF($J117&gt;=7,-$E117*$I117/12*3,0))))))</f>
        <v>0</v>
      </c>
      <c r="CI117" s="406">
        <f>IF($H117&lt;&gt;CK$5,0,IF(CK117&lt;0,IF(OR($J117=1,$J117=2,$J117=3,$J117=4,$J117=5,$J117=6,$J117=7),-$E117*$I117/12*3,IF($J117=8,-$E117*$I117/12*2,IF($J117=9,-$E117*$I117/12*1,0)))))+IF(CF$5&lt;&gt;$H117,0,IF(CF117&lt;0,IF($J117=7,-$E117*$I117/12*0,IF($J117=8,-$E117*$I117/12*1,IF($J117=9,-$E117*$I117/12*2,IF($J117&gt;=10,-$E117*$I117/12*3,0))))))</f>
        <v>0</v>
      </c>
      <c r="CJ117" s="402">
        <f>IF($H117&lt;&gt;CK$5,0,IF(CK117&lt;0,IF(OR($J117=1,$J117=2,$J117=3,$J117=4,$J117=5,$J117=6,$J117=7,$J117=8,$J117=9,$J117=10),-$E117*$I117/12*3,IF($J117=11,-$E117*$I117/12*2,IF($J117=12,-$E117*$I117/12*1,0)))))+IF(CF$5&lt;&gt;$H117,0,IF(CF117&lt;0,IF($J117=10,-$E117*$I117/12*0,IF($J117=11,-$E117*$I117/12*1,IF($J117=12,-$E117*$I117/12*2,0)))))</f>
        <v>0</v>
      </c>
      <c r="CK117" s="403">
        <f>IF(AND(CF117&lt;&gt;0,CF$5=$H117),-$I117*$E117-CF117,IF(CK$5=$H117,-$I117*$E117*(12-$J117+1)/12,0))</f>
        <v>0</v>
      </c>
      <c r="CL117" s="400">
        <f>IF($H117&lt;&gt;CP$5,0,IF(CP117&lt;0,IF($J117=1,-$E117*$I117/12*3,IF($J117=2,-$E117*$I117/12*2,IF($J117=3,-$E117*$I117/12*1,0)))))+IF(CK$5&lt;&gt;$H117,0,IF(CK117&lt;0,IF($J117=1,-$E117*$I117/12*0,IF($J117=2,-$E117*$I117/12*1,IF($J117=3,-$E117*$I117/12*2,IF($J117&gt;=4,-$E117*$I117/12*3,0))))))</f>
        <v>0</v>
      </c>
      <c r="CM117" s="406">
        <f>IF($H117&lt;&gt;CP$5,0,IF(CP117&lt;0,IF(OR($J117=1,$J117=2,$J117=3,$J117=4),-$E117*$I117/12*3,IF($J117=5,-$E117*$I117/12*2,IF($J117=6,-$E117*$I117/12*1,0)))))+IF(CK$5&lt;&gt;$H117,0,IF(CK117&lt;0,IF($J117=4,-$E117*$I117/12*0,IF($J117=5,-$E117*$I117/12*1,IF($J117=6,-$E117*$I117/12*2,IF($J117&gt;=7,-$E117*$I117/12*3,0))))))</f>
        <v>0</v>
      </c>
      <c r="CN117" s="406">
        <f>IF($H117&lt;&gt;CP$5,0,IF(CP117&lt;0,IF(OR($J117=1,$J117=2,$J117=3,$J117=4,$J117=5,$J117=6,$J117=7),-$E117*$I117/12*3,IF($J117=8,-$E117*$I117/12*2,IF($J117=9,-$E117*$I117/12*1,0)))))+IF(CK$5&lt;&gt;$H117,0,IF(CK117&lt;0,IF($J117=7,-$E117*$I117/12*0,IF($J117=8,-$E117*$I117/12*1,IF($J117=9,-$E117*$I117/12*2,IF($J117&gt;=10,-$E117*$I117/12*3,0))))))</f>
        <v>0</v>
      </c>
      <c r="CO117" s="402">
        <f>IF($H117&lt;&gt;CP$5,0,IF(CP117&lt;0,IF(OR($J117=1,$J117=2,$J117=3,$J117=4,$J117=5,$J117=6,$J117=7,$J117=8,$J117=9,$J117=10),-$E117*$I117/12*3,IF($J117=11,-$E117*$I117/12*2,IF($J117=12,-$E117*$I117/12*1,0)))))+IF(CK$5&lt;&gt;$H117,0,IF(CK117&lt;0,IF($J117=10,-$E117*$I117/12*0,IF($J117=11,-$E117*$I117/12*1,IF($J117=12,-$E117*$I117/12*2,0)))))</f>
        <v>0</v>
      </c>
      <c r="CP117" s="403">
        <f>IF(AND(CK117&lt;&gt;0,CK$5=$H117),-$I117*$E117-CK117,IF(CP$5=$H117,-$I117*$E117*(12-$J117+1)/12,0))</f>
        <v>0</v>
      </c>
      <c r="CQ117" s="400">
        <f>IF($H117&lt;&gt;CU$5,0,IF(CU117&lt;0,IF($J117=1,-$E117*$I117/12*3,IF($J117=2,-$E117*$I117/12*2,IF($J117=3,-$E117*$I117/12*1,0)))))+IF(CP$5&lt;&gt;$H117,0,IF(CP117&lt;0,IF($J117=1,-$E117*$I117/12*0,IF($J117=2,-$E117*$I117/12*1,IF($J117=3,-$E117*$I117/12*2,IF($J117&gt;=4,-$E117*$I117/12*3,0))))))</f>
        <v>0</v>
      </c>
      <c r="CR117" s="406">
        <f>IF($H117&lt;&gt;CU$5,0,IF(CU117&lt;0,IF(OR($J117=1,$J117=2,$J117=3,$J117=4),-$E117*$I117/12*3,IF($J117=5,-$E117*$I117/12*2,IF($J117=6,-$E117*$I117/12*1,0)))))+IF(CP$5&lt;&gt;$H117,0,IF(CP117&lt;0,IF($J117=4,-$E117*$I117/12*0,IF($J117=5,-$E117*$I117/12*1,IF($J117=6,-$E117*$I117/12*2,IF($J117&gt;=7,-$E117*$I117/12*3,0))))))</f>
        <v>0</v>
      </c>
      <c r="CS117" s="406">
        <f>IF($H117&lt;&gt;CU$5,0,IF(CU117&lt;0,IF(OR($J117=1,$J117=2,$J117=3,$J117=4,$J117=5,$J117=6,$J117=7),-$E117*$I117/12*3,IF($J117=8,-$E117*$I117/12*2,IF($J117=9,-$E117*$I117/12*1,0)))))+IF(CP$5&lt;&gt;$H117,0,IF(CP117&lt;0,IF($J117=7,-$E117*$I117/12*0,IF($J117=8,-$E117*$I117/12*1,IF($J117=9,-$E117*$I117/12*2,IF($J117&gt;=10,-$E117*$I117/12*3,0))))))</f>
        <v>0</v>
      </c>
      <c r="CT117" s="402">
        <f>IF($H117&lt;&gt;CU$5,0,IF(CU117&lt;0,IF(OR($J117=1,$J117=2,$J117=3,$J117=4,$J117=5,$J117=6,$J117=7,$J117=8,$J117=9,$J117=10),-$E117*$I117/12*3,IF($J117=11,-$E117*$I117/12*2,IF($J117=12,-$E117*$I117/12*1,0)))))+IF(CP$5&lt;&gt;$H117,0,IF(CP117&lt;0,IF($J117=10,-$E117*$I117/12*0,IF($J117=11,-$E117*$I117/12*1,IF($J117=12,-$E117*$I117/12*2,0)))))</f>
        <v>0</v>
      </c>
      <c r="CU117" s="403">
        <f>IF(AND(CP117&lt;&gt;0,CP$5=$H117),-$I117*$E117-CP117,IF(CU$5=$H117,-$I117*$E117*(12-$J117+1)/12,0))</f>
        <v>0</v>
      </c>
      <c r="CV117" s="400">
        <f>IF($H117&lt;&gt;CZ$5,0,IF(CZ117&lt;0,IF($J117=1,-$E117*$I117/12*3,IF($J117=2,-$E117*$I117/12*2,IF($J117=3,-$E117*$I117/12*1,0)))))+IF(CU$5&lt;&gt;$H117,0,IF(CU117&lt;0,IF($J117=1,-$E117*$I117/12*0,IF($J117=2,-$E117*$I117/12*1,IF($J117=3,-$E117*$I117/12*2,IF($J117&gt;=4,-$E117*$I117/12*3,0))))))</f>
        <v>0</v>
      </c>
      <c r="CW117" s="406">
        <f>IF($H117&lt;&gt;CZ$5,0,IF(CZ117&lt;0,IF(OR($J117=1,$J117=2,$J117=3,$J117=4),-$E117*$I117/12*3,IF($J117=5,-$E117*$I117/12*2,IF($J117=6,-$E117*$I117/12*1,0)))))+IF(CU$5&lt;&gt;$H117,0,IF(CU117&lt;0,IF($J117=4,-$E117*$I117/12*0,IF($J117=5,-$E117*$I117/12*1,IF($J117=6,-$E117*$I117/12*2,IF($J117&gt;=7,-$E117*$I117/12*3,0))))))</f>
        <v>0</v>
      </c>
      <c r="CX117" s="406">
        <f>IF($H117&lt;&gt;CZ$5,0,IF(CZ117&lt;0,IF(OR($J117=1,$J117=2,$J117=3,$J117=4,$J117=5,$J117=6,$J117=7),-$E117*$I117/12*3,IF($J117=8,-$E117*$I117/12*2,IF($J117=9,-$E117*$I117/12*1,0)))))+IF(CU$5&lt;&gt;$H117,0,IF(CU117&lt;0,IF($J117=7,-$E117*$I117/12*0,IF($J117=8,-$E117*$I117/12*1,IF($J117=9,-$E117*$I117/12*2,IF($J117&gt;=10,-$E117*$I117/12*3,0))))))</f>
        <v>0</v>
      </c>
      <c r="CY117" s="402">
        <f>IF($H117&lt;&gt;CZ$5,0,IF(CZ117&lt;0,IF(OR($J117=1,$J117=2,$J117=3,$J117=4,$J117=5,$J117=6,$J117=7,$J117=8,$J117=9,$J117=10),-$E117*$I117/12*3,IF($J117=11,-$E117*$I117/12*2,IF($J117=12,-$E117*$I117/12*1,0)))))+IF(CU$5&lt;&gt;$H117,0,IF(CU117&lt;0,IF($J117=10,-$E117*$I117/12*0,IF($J117=11,-$E117*$I117/12*1,IF($J117=12,-$E117*$I117/12*2,0)))))</f>
        <v>0</v>
      </c>
      <c r="CZ117" s="403">
        <f>IF(AND(CU117&lt;&gt;0,CU$5=$H117),-$I117*$E117-CU117,IF(CZ$5=$H117,-$I117*$E117*(12-$J117+1)/12,0))</f>
        <v>0</v>
      </c>
      <c r="DA117" s="400">
        <f>IF($H117&lt;&gt;DE$5,0,IF(DE117&lt;0,IF($J117=1,-$E117*$I117/12*3,IF($J117=2,-$E117*$I117/12*2,IF($J117=3,-$E117*$I117/12*1,0)))))+IF(CZ$5&lt;&gt;$H117,0,IF(CZ117&lt;0,IF($J117=1,-$E117*$I117/12*0,IF($J117=2,-$E117*$I117/12*1,IF($J117=3,-$E117*$I117/12*2,IF($J117&gt;=4,-$E117*$I117/12*3,0))))))</f>
        <v>0</v>
      </c>
      <c r="DB117" s="406">
        <f>IF($H117&lt;&gt;DE$5,0,IF(DE117&lt;0,IF(OR($J117=1,$J117=2,$J117=3,$J117=4),-$E117*$I117/12*3,IF($J117=5,-$E117*$I117/12*2,IF($J117=6,-$E117*$I117/12*1,0)))))+IF(CZ$5&lt;&gt;$H117,0,IF(CZ117&lt;0,IF($J117=4,-$E117*$I117/12*0,IF($J117=5,-$E117*$I117/12*1,IF($J117=6,-$E117*$I117/12*2,IF($J117&gt;=7,-$E117*$I117/12*3,0))))))</f>
        <v>0</v>
      </c>
      <c r="DC117" s="406">
        <f>IF($H117&lt;&gt;DE$5,0,IF(DE117&lt;0,IF(OR($J117=1,$J117=2,$J117=3,$J117=4,$J117=5,$J117=6,$J117=7),-$E117*$I117/12*3,IF($J117=8,-$E117*$I117/12*2,IF($J117=9,-$E117*$I117/12*1,0)))))+IF(CZ$5&lt;&gt;$H117,0,IF(CZ117&lt;0,IF($J117=7,-$E117*$I117/12*0,IF($J117=8,-$E117*$I117/12*1,IF($J117=9,-$E117*$I117/12*2,IF($J117&gt;=10,-$E117*$I117/12*3,0))))))</f>
        <v>0</v>
      </c>
      <c r="DD117" s="402">
        <f>IF($H117&lt;&gt;DE$5,0,IF(DE117&lt;0,IF(OR($J117=1,$J117=2,$J117=3,$J117=4,$J117=5,$J117=6,$J117=7,$J117=8,$J117=9,$J117=10),-$E117*$I117/12*3,IF($J117=11,-$E117*$I117/12*2,IF($J117=12,-$E117*$I117/12*1,0)))))+IF(CZ$5&lt;&gt;$H117,0,IF(CZ117&lt;0,IF($J117=10,-$E117*$I117/12*0,IF($J117=11,-$E117*$I117/12*1,IF($J117=12,-$E117*$I117/12*2,0)))))</f>
        <v>0</v>
      </c>
      <c r="DE117" s="403">
        <f>IF(AND(CZ117&lt;&gt;0,CZ$5=$H117),-$I117*$E117-CZ117,IF(DE$5=$H117,-$I117*$E117*(12-$J117+1)/12,0))</f>
        <v>0</v>
      </c>
      <c r="DF117" s="400">
        <f>IF($H117&lt;&gt;DJ$5,0,IF(DJ117&lt;0,IF($J117=1,-$E117*$I117/12*3,IF($J117=2,-$E117*$I117/12*2,IF($J117=3,-$E117*$I117/12*1,0)))))+IF(DE$5&lt;&gt;$H117,0,IF(DE117&lt;0,IF($J117=1,-$E117*$I117/12*0,IF($J117=2,-$E117*$I117/12*1,IF($J117=3,-$E117*$I117/12*2,IF($J117&gt;=4,-$E117*$I117/12*3,0))))))</f>
        <v>0</v>
      </c>
      <c r="DG117" s="406">
        <f>IF($H117&lt;&gt;DJ$5,0,IF(DJ117&lt;0,IF(OR($J117=1,$J117=2,$J117=3,$J117=4),-$E117*$I117/12*3,IF($J117=5,-$E117*$I117/12*2,IF($J117=6,-$E117*$I117/12*1,0)))))+IF(DE$5&lt;&gt;$H117,0,IF(DE117&lt;0,IF($J117=4,-$E117*$I117/12*0,IF($J117=5,-$E117*$I117/12*1,IF($J117=6,-$E117*$I117/12*2,IF($J117&gt;=7,-$E117*$I117/12*3,0))))))</f>
        <v>0</v>
      </c>
      <c r="DH117" s="406">
        <f>IF($H117&lt;&gt;DJ$5,0,IF(DJ117&lt;0,IF(OR($J117=1,$J117=2,$J117=3,$J117=4,$J117=5,$J117=6,$J117=7),-$E117*$I117/12*3,IF($J117=8,-$E117*$I117/12*2,IF($J117=9,-$E117*$I117/12*1,0)))))+IF(DE$5&lt;&gt;$H117,0,IF(DE117&lt;0,IF($J117=7,-$E117*$I117/12*0,IF($J117=8,-$E117*$I117/12*1,IF($J117=9,-$E117*$I117/12*2,IF($J117&gt;=10,-$E117*$I117/12*3,0))))))</f>
        <v>0</v>
      </c>
      <c r="DI117" s="402">
        <f>IF($H117&lt;&gt;DJ$5,0,IF(DJ117&lt;0,IF(OR($J117=1,$J117=2,$J117=3,$J117=4,$J117=5,$J117=6,$J117=7,$J117=8,$J117=9,$J117=10),-$E117*$I117/12*3,IF($J117=11,-$E117*$I117/12*2,IF($J117=12,-$E117*$I117/12*1,0)))))+IF(DE$5&lt;&gt;$H117,0,IF(DE117&lt;0,IF($J117=10,-$E117*$I117/12*0,IF($J117=11,-$E117*$I117/12*1,IF($J117=12,-$E117*$I117/12*2,0)))))</f>
        <v>0</v>
      </c>
      <c r="DJ117" s="403">
        <f>IF(AND(DE117&lt;&gt;0,DE$5=$H117),-$I117*$E117-DE117,IF(DJ$5=$H117,-$I117*$E117*(12-$J117+1)/12,0))</f>
        <v>0</v>
      </c>
      <c r="DK117" s="400">
        <f>IF($H117&lt;&gt;DO$5,0,IF(DO117&lt;0,IF($J117=1,-$E117*$I117/12*3,IF($J117=2,-$E117*$I117/12*2,IF($J117=3,-$E117*$I117/12*1,0)))))+IF(DJ$5&lt;&gt;$H117,0,IF(DJ117&lt;0,IF($J117=1,-$E117*$I117/12*0,IF($J117=2,-$E117*$I117/12*1,IF($J117=3,-$E117*$I117/12*2,IF($J117&gt;=4,-$E117*$I117/12*3,0))))))</f>
        <v>0</v>
      </c>
      <c r="DL117" s="406">
        <f>IF($H117&lt;&gt;DO$5,0,IF(DO117&lt;0,IF(OR($J117=1,$J117=2,$J117=3,$J117=4),-$E117*$I117/12*3,IF($J117=5,-$E117*$I117/12*2,IF($J117=6,-$E117*$I117/12*1,0)))))+IF(DJ$5&lt;&gt;$H117,0,IF(DJ117&lt;0,IF($J117=4,-$E117*$I117/12*0,IF($J117=5,-$E117*$I117/12*1,IF($J117=6,-$E117*$I117/12*2,IF($J117&gt;=7,-$E117*$I117/12*3,0))))))</f>
        <v>0</v>
      </c>
      <c r="DM117" s="406">
        <f>IF($H117&lt;&gt;DO$5,0,IF(DO117&lt;0,IF(OR($J117=1,$J117=2,$J117=3,$J117=4,$J117=5,$J117=6,$J117=7),-$E117*$I117/12*3,IF($J117=8,-$E117*$I117/12*2,IF($J117=9,-$E117*$I117/12*1,0)))))+IF(DJ$5&lt;&gt;$H117,0,IF(DJ117&lt;0,IF($J117=7,-$E117*$I117/12*0,IF($J117=8,-$E117*$I117/12*1,IF($J117=9,-$E117*$I117/12*2,IF($J117&gt;=10,-$E117*$I117/12*3,0))))))</f>
        <v>0</v>
      </c>
      <c r="DN117" s="402">
        <f>IF($H117&lt;&gt;DO$5,0,IF(DO117&lt;0,IF(OR($J117=1,$J117=2,$J117=3,$J117=4,$J117=5,$J117=6,$J117=7,$J117=8,$J117=9,$J117=10),-$E117*$I117/12*3,IF($J117=11,-$E117*$I117/12*2,IF($J117=12,-$E117*$I117/12*1,0)))))+IF(DJ$5&lt;&gt;$H117,0,IF(DJ117&lt;0,IF($J117=10,-$E117*$I117/12*0,IF($J117=11,-$E117*$I117/12*1,IF($J117=12,-$E117*$I117/12*2,0)))))</f>
        <v>0</v>
      </c>
      <c r="DO117" s="403">
        <f>IF(AND(DJ117&lt;&gt;0,DJ$5=$H117),-$I117*$E117-DJ117,IF(DO$5=$H117,-$I117*$E117*(12-$J117+1)/12,0))</f>
        <v>0</v>
      </c>
      <c r="DP117" s="400">
        <f>IF($H117&lt;&gt;DT$5,0,IF(DT117&lt;0,IF($J117=1,-$E117*$I117/12*3,IF($J117=2,-$E117*$I117/12*2,IF($J117=3,-$E117*$I117/12*1,0)))))+IF(DO$5&lt;&gt;$H117,0,IF(DO117&lt;0,IF($J117=1,-$E117*$I117/12*0,IF($J117=2,-$E117*$I117/12*1,IF($J117=3,-$E117*$I117/12*2,IF($J117&gt;=4,-$E117*$I117/12*3,0))))))</f>
        <v>0</v>
      </c>
      <c r="DQ117" s="406">
        <f>IF($H117&lt;&gt;DT$5,0,IF(DT117&lt;0,IF(OR($J117=1,$J117=2,$J117=3,$J117=4),-$E117*$I117/12*3,IF($J117=5,-$E117*$I117/12*2,IF($J117=6,-$E117*$I117/12*1,0)))))+IF(DO$5&lt;&gt;$H117,0,IF(DO117&lt;0,IF($J117=4,-$E117*$I117/12*0,IF($J117=5,-$E117*$I117/12*1,IF($J117=6,-$E117*$I117/12*2,IF($J117&gt;=7,-$E117*$I117/12*3,0))))))</f>
        <v>0</v>
      </c>
      <c r="DR117" s="406">
        <f>IF($H117&lt;&gt;DT$5,0,IF(DT117&lt;0,IF(OR($J117=1,$J117=2,$J117=3,$J117=4,$J117=5,$J117=6,$J117=7),-$E117*$I117/12*3,IF($J117=8,-$E117*$I117/12*2,IF($J117=9,-$E117*$I117/12*1,0)))))+IF(DO$5&lt;&gt;$H117,0,IF(DO117&lt;0,IF($J117=7,-$E117*$I117/12*0,IF($J117=8,-$E117*$I117/12*1,IF($J117=9,-$E117*$I117/12*2,IF($J117&gt;=10,-$E117*$I117/12*3,0))))))</f>
        <v>0</v>
      </c>
      <c r="DS117" s="402">
        <f>IF($H117&lt;&gt;DT$5,0,IF(DT117&lt;0,IF(OR($J117=1,$J117=2,$J117=3,$J117=4,$J117=5,$J117=6,$J117=7,$J117=8,$J117=9,$J117=10),-$E117*$I117/12*3,IF($J117=11,-$E117*$I117/12*2,IF($J117=12,-$E117*$I117/12*1,0)))))+IF(DO$5&lt;&gt;$H117,0,IF(DO117&lt;0,IF($J117=10,-$E117*$I117/12*0,IF($J117=11,-$E117*$I117/12*1,IF($J117=12,-$E117*$I117/12*2,0)))))</f>
        <v>0</v>
      </c>
      <c r="DT117" s="403">
        <f>IF(AND(DO117&lt;&gt;0,DO$5=$H117),-$I117*$E117-DO117,IF(DT$5=$H117,-$I117*$E117*(12-$J117+1)/12,0))</f>
        <v>0</v>
      </c>
      <c r="EF117" s="35"/>
      <c r="EI117" s="759"/>
    </row>
    <row r="118" spans="3:139" ht="12.75" customHeight="1" x14ac:dyDescent="0.2">
      <c r="C118" s="511" t="s">
        <v>377</v>
      </c>
      <c r="D118" s="70"/>
      <c r="E118" s="530">
        <f t="shared" si="831"/>
        <v>350</v>
      </c>
      <c r="F118" s="532">
        <v>350</v>
      </c>
      <c r="G118" s="532">
        <v>350</v>
      </c>
      <c r="H118" s="449">
        <v>2037</v>
      </c>
      <c r="I118" s="450">
        <v>6.25E-2</v>
      </c>
      <c r="J118" s="451">
        <v>9</v>
      </c>
      <c r="K118" s="392"/>
      <c r="L118" s="397">
        <f t="shared" si="832"/>
        <v>0</v>
      </c>
      <c r="M118" s="394">
        <f t="shared" si="833"/>
        <v>0</v>
      </c>
      <c r="N118" s="404">
        <f t="shared" si="834"/>
        <v>0</v>
      </c>
      <c r="O118" s="404">
        <f t="shared" si="835"/>
        <v>0</v>
      </c>
      <c r="P118" s="396">
        <f t="shared" si="836"/>
        <v>0</v>
      </c>
      <c r="Q118" s="397">
        <f t="shared" si="837"/>
        <v>0</v>
      </c>
      <c r="R118" s="394">
        <f t="shared" si="838"/>
        <v>0</v>
      </c>
      <c r="S118" s="404">
        <f t="shared" si="839"/>
        <v>0</v>
      </c>
      <c r="T118" s="404">
        <f t="shared" si="840"/>
        <v>0</v>
      </c>
      <c r="U118" s="396">
        <f t="shared" si="841"/>
        <v>0</v>
      </c>
      <c r="V118" s="397">
        <f t="shared" si="842"/>
        <v>0</v>
      </c>
      <c r="W118" s="394">
        <f t="shared" si="843"/>
        <v>0</v>
      </c>
      <c r="X118" s="404">
        <f t="shared" si="844"/>
        <v>0</v>
      </c>
      <c r="Y118" s="404">
        <f t="shared" si="845"/>
        <v>0</v>
      </c>
      <c r="Z118" s="396">
        <f t="shared" si="846"/>
        <v>0</v>
      </c>
      <c r="AA118" s="397">
        <f t="shared" si="847"/>
        <v>0</v>
      </c>
      <c r="AB118" s="394">
        <f t="shared" si="848"/>
        <v>0</v>
      </c>
      <c r="AC118" s="404">
        <f t="shared" si="849"/>
        <v>0</v>
      </c>
      <c r="AD118" s="404">
        <f t="shared" si="850"/>
        <v>0</v>
      </c>
      <c r="AE118" s="396">
        <f t="shared" si="851"/>
        <v>0</v>
      </c>
      <c r="AF118" s="397">
        <f t="shared" si="852"/>
        <v>0</v>
      </c>
      <c r="AG118" s="394">
        <f t="shared" si="853"/>
        <v>0</v>
      </c>
      <c r="AH118" s="404">
        <f t="shared" si="854"/>
        <v>0</v>
      </c>
      <c r="AI118" s="404">
        <f t="shared" si="855"/>
        <v>0</v>
      </c>
      <c r="AJ118" s="396">
        <f t="shared" si="856"/>
        <v>0</v>
      </c>
      <c r="AK118" s="397">
        <f t="shared" si="857"/>
        <v>0</v>
      </c>
      <c r="AL118" s="394">
        <f t="shared" si="858"/>
        <v>0</v>
      </c>
      <c r="AM118" s="404">
        <f t="shared" si="859"/>
        <v>0</v>
      </c>
      <c r="AN118" s="404">
        <f t="shared" si="860"/>
        <v>0</v>
      </c>
      <c r="AO118" s="396">
        <f t="shared" si="861"/>
        <v>0</v>
      </c>
      <c r="AP118" s="397">
        <f t="shared" si="862"/>
        <v>0</v>
      </c>
      <c r="AQ118" s="394">
        <f t="shared" si="863"/>
        <v>0</v>
      </c>
      <c r="AR118" s="404">
        <f t="shared" si="864"/>
        <v>0</v>
      </c>
      <c r="AS118" s="404">
        <f t="shared" si="865"/>
        <v>0</v>
      </c>
      <c r="AT118" s="396">
        <f t="shared" si="866"/>
        <v>0</v>
      </c>
      <c r="AU118" s="397">
        <f t="shared" si="867"/>
        <v>0</v>
      </c>
      <c r="AV118" s="394">
        <f t="shared" si="868"/>
        <v>0</v>
      </c>
      <c r="AW118" s="404">
        <f t="shared" si="869"/>
        <v>0</v>
      </c>
      <c r="AX118" s="404">
        <f t="shared" si="870"/>
        <v>0</v>
      </c>
      <c r="AY118" s="396">
        <f t="shared" si="871"/>
        <v>0</v>
      </c>
      <c r="AZ118" s="397">
        <f t="shared" si="872"/>
        <v>0</v>
      </c>
      <c r="BA118" s="394">
        <f t="shared" si="873"/>
        <v>0</v>
      </c>
      <c r="BB118" s="404">
        <f t="shared" si="874"/>
        <v>0</v>
      </c>
      <c r="BC118" s="404">
        <f t="shared" si="875"/>
        <v>0</v>
      </c>
      <c r="BD118" s="396">
        <f t="shared" si="876"/>
        <v>0</v>
      </c>
      <c r="BE118" s="397">
        <f t="shared" si="877"/>
        <v>0</v>
      </c>
      <c r="BF118" s="394">
        <f t="shared" si="878"/>
        <v>0</v>
      </c>
      <c r="BG118" s="404">
        <f t="shared" si="879"/>
        <v>0</v>
      </c>
      <c r="BH118" s="404">
        <f t="shared" si="880"/>
        <v>0</v>
      </c>
      <c r="BI118" s="396">
        <f t="shared" si="881"/>
        <v>0</v>
      </c>
      <c r="BJ118" s="397">
        <f t="shared" si="882"/>
        <v>0</v>
      </c>
      <c r="BK118" s="394">
        <f t="shared" ref="BK118:BK123" si="944">IF(BO118=0,0,IF(BO118&lt;0,IF($J118=3,BO118,IF($J118=2,BO118,IF($J118=1,BO118,0)))))</f>
        <v>0</v>
      </c>
      <c r="BL118" s="404">
        <f t="shared" ref="BL118:BL123" si="945">IF(BO118=0,0,IF(BO118&lt;0,IF($J118=6,BO118,IF($J118=5,BO118,IF($J118=4,BO118,0)))))</f>
        <v>0</v>
      </c>
      <c r="BM118" s="404">
        <f t="shared" ref="BM118:BM123" si="946">IF(BO118=0,0,IF(BO118&lt;0,IF($J118=9,BO118,IF($J118=8,BO118,IF($J118=7,BO118,0)))))</f>
        <v>0</v>
      </c>
      <c r="BN118" s="396">
        <f t="shared" ref="BN118:BN123" si="947">IF(BO118=0,0,IF(BO118&lt;0,IF($J118=12,BO118,IF($J118=11,BO118,IF($J118=10,BO118,0)))))</f>
        <v>0</v>
      </c>
      <c r="BO118" s="397">
        <f t="shared" si="887"/>
        <v>0</v>
      </c>
      <c r="BP118" s="452"/>
      <c r="BQ118" s="403">
        <f t="shared" si="888"/>
        <v>0</v>
      </c>
      <c r="BR118" s="400">
        <f t="shared" si="889"/>
        <v>0</v>
      </c>
      <c r="BS118" s="406">
        <f t="shared" si="890"/>
        <v>0</v>
      </c>
      <c r="BT118" s="406">
        <f t="shared" si="891"/>
        <v>0</v>
      </c>
      <c r="BU118" s="402">
        <f t="shared" si="892"/>
        <v>0</v>
      </c>
      <c r="BV118" s="403">
        <f t="shared" si="893"/>
        <v>0</v>
      </c>
      <c r="BW118" s="400">
        <f t="shared" si="894"/>
        <v>0</v>
      </c>
      <c r="BX118" s="406">
        <f t="shared" si="895"/>
        <v>0</v>
      </c>
      <c r="BY118" s="406">
        <f t="shared" si="896"/>
        <v>0</v>
      </c>
      <c r="BZ118" s="402">
        <f t="shared" si="897"/>
        <v>0</v>
      </c>
      <c r="CA118" s="403">
        <f t="shared" si="898"/>
        <v>0</v>
      </c>
      <c r="CB118" s="400">
        <f t="shared" si="899"/>
        <v>0</v>
      </c>
      <c r="CC118" s="406">
        <f t="shared" si="900"/>
        <v>0</v>
      </c>
      <c r="CD118" s="406">
        <f t="shared" si="901"/>
        <v>0</v>
      </c>
      <c r="CE118" s="402">
        <f t="shared" si="902"/>
        <v>0</v>
      </c>
      <c r="CF118" s="403">
        <f t="shared" si="903"/>
        <v>0</v>
      </c>
      <c r="CG118" s="400">
        <f t="shared" si="904"/>
        <v>0</v>
      </c>
      <c r="CH118" s="406">
        <f t="shared" si="905"/>
        <v>0</v>
      </c>
      <c r="CI118" s="406">
        <f t="shared" si="906"/>
        <v>0</v>
      </c>
      <c r="CJ118" s="402">
        <f t="shared" si="907"/>
        <v>0</v>
      </c>
      <c r="CK118" s="403">
        <f t="shared" si="908"/>
        <v>0</v>
      </c>
      <c r="CL118" s="400">
        <f t="shared" si="909"/>
        <v>0</v>
      </c>
      <c r="CM118" s="406">
        <f t="shared" si="910"/>
        <v>0</v>
      </c>
      <c r="CN118" s="406">
        <f t="shared" si="911"/>
        <v>0</v>
      </c>
      <c r="CO118" s="402">
        <f t="shared" si="912"/>
        <v>0</v>
      </c>
      <c r="CP118" s="403">
        <f t="shared" si="913"/>
        <v>0</v>
      </c>
      <c r="CQ118" s="400">
        <f t="shared" si="914"/>
        <v>0</v>
      </c>
      <c r="CR118" s="406">
        <f t="shared" si="915"/>
        <v>0</v>
      </c>
      <c r="CS118" s="406">
        <f t="shared" si="916"/>
        <v>0</v>
      </c>
      <c r="CT118" s="402">
        <f t="shared" si="917"/>
        <v>0</v>
      </c>
      <c r="CU118" s="403">
        <f t="shared" si="918"/>
        <v>0</v>
      </c>
      <c r="CV118" s="400">
        <f t="shared" si="919"/>
        <v>0</v>
      </c>
      <c r="CW118" s="406">
        <f t="shared" si="920"/>
        <v>0</v>
      </c>
      <c r="CX118" s="406">
        <f t="shared" si="921"/>
        <v>0</v>
      </c>
      <c r="CY118" s="402">
        <f t="shared" si="922"/>
        <v>0</v>
      </c>
      <c r="CZ118" s="403">
        <f t="shared" si="923"/>
        <v>0</v>
      </c>
      <c r="DA118" s="400">
        <f t="shared" si="924"/>
        <v>0</v>
      </c>
      <c r="DB118" s="406">
        <f t="shared" si="925"/>
        <v>0</v>
      </c>
      <c r="DC118" s="406">
        <f t="shared" si="926"/>
        <v>0</v>
      </c>
      <c r="DD118" s="402">
        <f t="shared" si="927"/>
        <v>0</v>
      </c>
      <c r="DE118" s="403">
        <f t="shared" si="928"/>
        <v>0</v>
      </c>
      <c r="DF118" s="400">
        <f t="shared" si="929"/>
        <v>0</v>
      </c>
      <c r="DG118" s="406">
        <f t="shared" si="930"/>
        <v>0</v>
      </c>
      <c r="DH118" s="406">
        <f t="shared" si="931"/>
        <v>0</v>
      </c>
      <c r="DI118" s="402">
        <f t="shared" si="932"/>
        <v>0</v>
      </c>
      <c r="DJ118" s="403">
        <f t="shared" si="933"/>
        <v>0</v>
      </c>
      <c r="DK118" s="400">
        <f t="shared" si="934"/>
        <v>0</v>
      </c>
      <c r="DL118" s="406">
        <f t="shared" si="935"/>
        <v>0</v>
      </c>
      <c r="DM118" s="406">
        <f t="shared" si="936"/>
        <v>0</v>
      </c>
      <c r="DN118" s="402">
        <f t="shared" si="937"/>
        <v>0</v>
      </c>
      <c r="DO118" s="403">
        <f t="shared" si="938"/>
        <v>0</v>
      </c>
      <c r="DP118" s="400">
        <f t="shared" ref="DP118:DP123" si="948">IF($H118&lt;&gt;DT$5,0,IF(DT118&lt;0,IF($J118=1,-$E118*$I118/12*3,IF($J118=2,-$E118*$I118/12*2,IF($J118=3,-$E118*$I118/12*1,0)))))+IF(DO$5&lt;&gt;$H118,0,IF(DO118&lt;0,IF($J118=1,-$E118*$I118/12*0,IF($J118=2,-$E118*$I118/12*1,IF($J118=3,-$E118*$I118/12*2,IF($J118&gt;=4,-$E118*$I118/12*3,0))))))</f>
        <v>0</v>
      </c>
      <c r="DQ118" s="406">
        <f t="shared" ref="DQ118:DQ123" si="949">IF($H118&lt;&gt;DT$5,0,IF(DT118&lt;0,IF(OR($J118=1,$J118=2,$J118=3,$J118=4),-$E118*$I118/12*3,IF($J118=5,-$E118*$I118/12*2,IF($J118=6,-$E118*$I118/12*1,0)))))+IF(DO$5&lt;&gt;$H118,0,IF(DO118&lt;0,IF($J118=4,-$E118*$I118/12*0,IF($J118=5,-$E118*$I118/12*1,IF($J118=6,-$E118*$I118/12*2,IF($J118&gt;=7,-$E118*$I118/12*3,0))))))</f>
        <v>0</v>
      </c>
      <c r="DR118" s="406">
        <f t="shared" ref="DR118:DR123" si="950">IF($H118&lt;&gt;DT$5,0,IF(DT118&lt;0,IF(OR($J118=1,$J118=2,$J118=3,$J118=4,$J118=5,$J118=6,$J118=7),-$E118*$I118/12*3,IF($J118=8,-$E118*$I118/12*2,IF($J118=9,-$E118*$I118/12*1,0)))))+IF(DO$5&lt;&gt;$H118,0,IF(DO118&lt;0,IF($J118=7,-$E118*$I118/12*0,IF($J118=8,-$E118*$I118/12*1,IF($J118=9,-$E118*$I118/12*2,IF($J118&gt;=10,-$E118*$I118/12*3,0))))))</f>
        <v>0</v>
      </c>
      <c r="DS118" s="402">
        <f t="shared" ref="DS118:DS123" si="951">IF($H118&lt;&gt;DT$5,0,IF(DT118&lt;0,IF(OR($J118=1,$J118=2,$J118=3,$J118=4,$J118=5,$J118=6,$J118=7,$J118=8,$J118=9,$J118=10),-$E118*$I118/12*3,IF($J118=11,-$E118*$I118/12*2,IF($J118=12,-$E118*$I118/12*1,0)))))+IF(DO$5&lt;&gt;$H118,0,IF(DO118&lt;0,IF($J118=10,-$E118*$I118/12*0,IF($J118=11,-$E118*$I118/12*1,IF($J118=12,-$E118*$I118/12*2,0)))))</f>
        <v>0</v>
      </c>
      <c r="DT118" s="403">
        <f t="shared" ref="DT118:DT123" si="952">IF(AND(DO118&lt;&gt;0,DO$5=$H118),-$I118*$E118-DO118,IF(DT$5=$H118,-$I118*$E118*(12-$J118+1)/12,0))</f>
        <v>0</v>
      </c>
      <c r="EF118" s="35"/>
      <c r="EI118" s="759"/>
    </row>
    <row r="119" spans="3:139" ht="12.75" customHeight="1" x14ac:dyDescent="0.2">
      <c r="C119" s="511" t="s">
        <v>378</v>
      </c>
      <c r="D119" s="70"/>
      <c r="E119" s="530">
        <f t="shared" si="831"/>
        <v>300</v>
      </c>
      <c r="F119" s="532">
        <v>300</v>
      </c>
      <c r="G119" s="532">
        <v>300</v>
      </c>
      <c r="H119" s="449">
        <v>2038</v>
      </c>
      <c r="I119" s="450">
        <v>6.5000000000000002E-2</v>
      </c>
      <c r="J119" s="451">
        <v>8</v>
      </c>
      <c r="K119" s="392"/>
      <c r="L119" s="397">
        <f t="shared" si="832"/>
        <v>0</v>
      </c>
      <c r="M119" s="394">
        <f t="shared" si="833"/>
        <v>0</v>
      </c>
      <c r="N119" s="404">
        <f t="shared" si="834"/>
        <v>0</v>
      </c>
      <c r="O119" s="404">
        <f t="shared" si="835"/>
        <v>0</v>
      </c>
      <c r="P119" s="396">
        <f t="shared" si="836"/>
        <v>0</v>
      </c>
      <c r="Q119" s="397">
        <f t="shared" si="837"/>
        <v>0</v>
      </c>
      <c r="R119" s="394">
        <f t="shared" si="838"/>
        <v>0</v>
      </c>
      <c r="S119" s="404">
        <f t="shared" si="839"/>
        <v>0</v>
      </c>
      <c r="T119" s="404">
        <f t="shared" si="840"/>
        <v>0</v>
      </c>
      <c r="U119" s="396">
        <f t="shared" si="841"/>
        <v>0</v>
      </c>
      <c r="V119" s="397">
        <f t="shared" si="842"/>
        <v>0</v>
      </c>
      <c r="W119" s="394">
        <f t="shared" si="843"/>
        <v>0</v>
      </c>
      <c r="X119" s="404">
        <f t="shared" si="844"/>
        <v>0</v>
      </c>
      <c r="Y119" s="404">
        <f t="shared" si="845"/>
        <v>0</v>
      </c>
      <c r="Z119" s="396">
        <f t="shared" si="846"/>
        <v>0</v>
      </c>
      <c r="AA119" s="397">
        <f t="shared" si="847"/>
        <v>0</v>
      </c>
      <c r="AB119" s="394">
        <f t="shared" si="848"/>
        <v>0</v>
      </c>
      <c r="AC119" s="404">
        <f t="shared" si="849"/>
        <v>0</v>
      </c>
      <c r="AD119" s="404">
        <f t="shared" si="850"/>
        <v>0</v>
      </c>
      <c r="AE119" s="396">
        <f t="shared" si="851"/>
        <v>0</v>
      </c>
      <c r="AF119" s="397">
        <f t="shared" si="852"/>
        <v>0</v>
      </c>
      <c r="AG119" s="394">
        <f t="shared" si="853"/>
        <v>0</v>
      </c>
      <c r="AH119" s="404">
        <f t="shared" si="854"/>
        <v>0</v>
      </c>
      <c r="AI119" s="404">
        <f t="shared" si="855"/>
        <v>0</v>
      </c>
      <c r="AJ119" s="396">
        <f t="shared" si="856"/>
        <v>0</v>
      </c>
      <c r="AK119" s="397">
        <f t="shared" si="857"/>
        <v>0</v>
      </c>
      <c r="AL119" s="394">
        <f t="shared" si="858"/>
        <v>0</v>
      </c>
      <c r="AM119" s="404">
        <f t="shared" si="859"/>
        <v>0</v>
      </c>
      <c r="AN119" s="404">
        <f t="shared" si="860"/>
        <v>0</v>
      </c>
      <c r="AO119" s="396">
        <f t="shared" si="861"/>
        <v>0</v>
      </c>
      <c r="AP119" s="397">
        <f t="shared" si="862"/>
        <v>0</v>
      </c>
      <c r="AQ119" s="394">
        <f t="shared" si="863"/>
        <v>0</v>
      </c>
      <c r="AR119" s="404">
        <f t="shared" si="864"/>
        <v>0</v>
      </c>
      <c r="AS119" s="404">
        <f t="shared" si="865"/>
        <v>0</v>
      </c>
      <c r="AT119" s="396">
        <f t="shared" si="866"/>
        <v>0</v>
      </c>
      <c r="AU119" s="397">
        <f t="shared" si="867"/>
        <v>0</v>
      </c>
      <c r="AV119" s="394">
        <f t="shared" si="868"/>
        <v>0</v>
      </c>
      <c r="AW119" s="404">
        <f t="shared" si="869"/>
        <v>0</v>
      </c>
      <c r="AX119" s="404">
        <f t="shared" si="870"/>
        <v>0</v>
      </c>
      <c r="AY119" s="396">
        <f t="shared" si="871"/>
        <v>0</v>
      </c>
      <c r="AZ119" s="397">
        <f t="shared" si="872"/>
        <v>0</v>
      </c>
      <c r="BA119" s="394">
        <f t="shared" si="873"/>
        <v>0</v>
      </c>
      <c r="BB119" s="404">
        <f t="shared" si="874"/>
        <v>0</v>
      </c>
      <c r="BC119" s="404">
        <f t="shared" si="875"/>
        <v>0</v>
      </c>
      <c r="BD119" s="396">
        <f t="shared" si="876"/>
        <v>0</v>
      </c>
      <c r="BE119" s="397">
        <f t="shared" si="877"/>
        <v>0</v>
      </c>
      <c r="BF119" s="394">
        <f t="shared" si="878"/>
        <v>0</v>
      </c>
      <c r="BG119" s="404">
        <f t="shared" si="879"/>
        <v>0</v>
      </c>
      <c r="BH119" s="404">
        <f t="shared" si="880"/>
        <v>0</v>
      </c>
      <c r="BI119" s="396">
        <f t="shared" si="881"/>
        <v>0</v>
      </c>
      <c r="BJ119" s="397">
        <f t="shared" si="882"/>
        <v>0</v>
      </c>
      <c r="BK119" s="394">
        <f t="shared" si="944"/>
        <v>0</v>
      </c>
      <c r="BL119" s="404">
        <f t="shared" si="945"/>
        <v>0</v>
      </c>
      <c r="BM119" s="404">
        <f t="shared" si="946"/>
        <v>0</v>
      </c>
      <c r="BN119" s="396">
        <f t="shared" si="947"/>
        <v>0</v>
      </c>
      <c r="BO119" s="397">
        <f t="shared" si="887"/>
        <v>0</v>
      </c>
      <c r="BP119" s="452"/>
      <c r="BQ119" s="403">
        <f t="shared" si="888"/>
        <v>0</v>
      </c>
      <c r="BR119" s="400">
        <f t="shared" si="889"/>
        <v>0</v>
      </c>
      <c r="BS119" s="406">
        <f t="shared" si="890"/>
        <v>0</v>
      </c>
      <c r="BT119" s="406">
        <f t="shared" si="891"/>
        <v>0</v>
      </c>
      <c r="BU119" s="402">
        <f t="shared" si="892"/>
        <v>0</v>
      </c>
      <c r="BV119" s="403">
        <f t="shared" si="893"/>
        <v>0</v>
      </c>
      <c r="BW119" s="400">
        <f t="shared" si="894"/>
        <v>0</v>
      </c>
      <c r="BX119" s="406">
        <f t="shared" si="895"/>
        <v>0</v>
      </c>
      <c r="BY119" s="406">
        <f t="shared" si="896"/>
        <v>0</v>
      </c>
      <c r="BZ119" s="402">
        <f t="shared" si="897"/>
        <v>0</v>
      </c>
      <c r="CA119" s="403">
        <f t="shared" si="898"/>
        <v>0</v>
      </c>
      <c r="CB119" s="400">
        <f t="shared" si="899"/>
        <v>0</v>
      </c>
      <c r="CC119" s="406">
        <f t="shared" si="900"/>
        <v>0</v>
      </c>
      <c r="CD119" s="406">
        <f t="shared" si="901"/>
        <v>0</v>
      </c>
      <c r="CE119" s="402">
        <f t="shared" si="902"/>
        <v>0</v>
      </c>
      <c r="CF119" s="403">
        <f t="shared" si="903"/>
        <v>0</v>
      </c>
      <c r="CG119" s="400">
        <f t="shared" si="904"/>
        <v>0</v>
      </c>
      <c r="CH119" s="406">
        <f t="shared" si="905"/>
        <v>0</v>
      </c>
      <c r="CI119" s="406">
        <f t="shared" si="906"/>
        <v>0</v>
      </c>
      <c r="CJ119" s="402">
        <f t="shared" si="907"/>
        <v>0</v>
      </c>
      <c r="CK119" s="403">
        <f t="shared" si="908"/>
        <v>0</v>
      </c>
      <c r="CL119" s="400">
        <f t="shared" si="909"/>
        <v>0</v>
      </c>
      <c r="CM119" s="406">
        <f t="shared" si="910"/>
        <v>0</v>
      </c>
      <c r="CN119" s="406">
        <f t="shared" si="911"/>
        <v>0</v>
      </c>
      <c r="CO119" s="402">
        <f t="shared" si="912"/>
        <v>0</v>
      </c>
      <c r="CP119" s="403">
        <f t="shared" si="913"/>
        <v>0</v>
      </c>
      <c r="CQ119" s="400">
        <f t="shared" si="914"/>
        <v>0</v>
      </c>
      <c r="CR119" s="406">
        <f t="shared" si="915"/>
        <v>0</v>
      </c>
      <c r="CS119" s="406">
        <f t="shared" si="916"/>
        <v>0</v>
      </c>
      <c r="CT119" s="402">
        <f t="shared" si="917"/>
        <v>0</v>
      </c>
      <c r="CU119" s="403">
        <f t="shared" si="918"/>
        <v>0</v>
      </c>
      <c r="CV119" s="400">
        <f t="shared" si="919"/>
        <v>0</v>
      </c>
      <c r="CW119" s="406">
        <f t="shared" si="920"/>
        <v>0</v>
      </c>
      <c r="CX119" s="406">
        <f t="shared" si="921"/>
        <v>0</v>
      </c>
      <c r="CY119" s="402">
        <f t="shared" si="922"/>
        <v>0</v>
      </c>
      <c r="CZ119" s="403">
        <f t="shared" si="923"/>
        <v>0</v>
      </c>
      <c r="DA119" s="400">
        <f t="shared" si="924"/>
        <v>0</v>
      </c>
      <c r="DB119" s="406">
        <f t="shared" si="925"/>
        <v>0</v>
      </c>
      <c r="DC119" s="406">
        <f t="shared" si="926"/>
        <v>0</v>
      </c>
      <c r="DD119" s="402">
        <f t="shared" si="927"/>
        <v>0</v>
      </c>
      <c r="DE119" s="403">
        <f t="shared" si="928"/>
        <v>0</v>
      </c>
      <c r="DF119" s="400">
        <f t="shared" si="929"/>
        <v>0</v>
      </c>
      <c r="DG119" s="406">
        <f t="shared" si="930"/>
        <v>0</v>
      </c>
      <c r="DH119" s="406">
        <f t="shared" si="931"/>
        <v>0</v>
      </c>
      <c r="DI119" s="402">
        <f t="shared" si="932"/>
        <v>0</v>
      </c>
      <c r="DJ119" s="403">
        <f t="shared" si="933"/>
        <v>0</v>
      </c>
      <c r="DK119" s="400">
        <f t="shared" si="934"/>
        <v>0</v>
      </c>
      <c r="DL119" s="406">
        <f t="shared" si="935"/>
        <v>0</v>
      </c>
      <c r="DM119" s="406">
        <f t="shared" si="936"/>
        <v>0</v>
      </c>
      <c r="DN119" s="402">
        <f t="shared" si="937"/>
        <v>0</v>
      </c>
      <c r="DO119" s="403">
        <f t="shared" si="938"/>
        <v>0</v>
      </c>
      <c r="DP119" s="400">
        <f t="shared" si="948"/>
        <v>0</v>
      </c>
      <c r="DQ119" s="406">
        <f t="shared" si="949"/>
        <v>0</v>
      </c>
      <c r="DR119" s="406">
        <f t="shared" si="950"/>
        <v>0</v>
      </c>
      <c r="DS119" s="402">
        <f t="shared" si="951"/>
        <v>0</v>
      </c>
      <c r="DT119" s="403">
        <f t="shared" si="952"/>
        <v>0</v>
      </c>
      <c r="EF119" s="35"/>
      <c r="EI119" s="759"/>
    </row>
    <row r="120" spans="3:139" ht="12.75" customHeight="1" x14ac:dyDescent="0.2">
      <c r="C120" s="511" t="s">
        <v>478</v>
      </c>
      <c r="D120" s="70"/>
      <c r="E120" s="530">
        <f t="shared" si="831"/>
        <v>250</v>
      </c>
      <c r="F120" s="532">
        <v>250</v>
      </c>
      <c r="G120" s="532">
        <v>250</v>
      </c>
      <c r="H120" s="449">
        <v>2041</v>
      </c>
      <c r="I120" s="450">
        <v>4.7500000000000001E-2</v>
      </c>
      <c r="J120" s="451">
        <v>8</v>
      </c>
      <c r="K120" s="392"/>
      <c r="L120" s="397">
        <f t="shared" si="832"/>
        <v>0</v>
      </c>
      <c r="M120" s="394">
        <f t="shared" ref="M120:M125" si="953">IF(Q120=0,0,IF(Q120&lt;0,IF($J120=3,Q120,IF($J120=2,Q120,IF($J120=1,Q120,0)))))</f>
        <v>0</v>
      </c>
      <c r="N120" s="404">
        <f t="shared" ref="N120:N125" si="954">IF(Q120=0,0,IF(Q120&lt;0,IF($J120=6,Q120,IF($J120=5,Q120,IF($J120=4,Q120,0)))))</f>
        <v>0</v>
      </c>
      <c r="O120" s="404">
        <f t="shared" ref="O120:O125" si="955">IF(Q120=0,0,IF(Q120&lt;0,IF($J120=9,Q120,IF($J120=8,Q120,IF($J120=7,Q120,0)))))</f>
        <v>0</v>
      </c>
      <c r="P120" s="396">
        <f t="shared" ref="P120:P125" si="956">IF(Q120=0,0,IF(Q120&lt;0,IF($J120=12,Q120,IF($J120=11,Q120,IF($J120=10,Q120,0)))))</f>
        <v>0</v>
      </c>
      <c r="Q120" s="397">
        <f t="shared" si="837"/>
        <v>0</v>
      </c>
      <c r="R120" s="394">
        <f t="shared" ref="R120:R125" si="957">IF(V120=0,0,IF(V120&lt;0,IF($J120=3,V120,IF($J120=2,V120,IF($J120=1,V120,0)))))</f>
        <v>0</v>
      </c>
      <c r="S120" s="404">
        <f t="shared" ref="S120:S125" si="958">IF(V120=0,0,IF(V120&lt;0,IF($J120=6,V120,IF($J120=5,V120,IF($J120=4,V120,0)))))</f>
        <v>0</v>
      </c>
      <c r="T120" s="404">
        <f t="shared" ref="T120:T125" si="959">IF(V120=0,0,IF(V120&lt;0,IF($J120=9,V120,IF($J120=8,V120,IF($J120=7,V120,0)))))</f>
        <v>0</v>
      </c>
      <c r="U120" s="396">
        <f t="shared" ref="U120:U125" si="960">IF(V120=0,0,IF(V120&lt;0,IF($J120=12,V120,IF($J120=11,V120,IF($J120=10,V120,0)))))</f>
        <v>0</v>
      </c>
      <c r="V120" s="397">
        <f t="shared" si="842"/>
        <v>0</v>
      </c>
      <c r="W120" s="394">
        <f t="shared" ref="W120:W125" si="961">IF(AA120=0,0,IF(AA120&lt;0,IF($J120=3,AA120,IF($J120=2,AA120,IF($J120=1,AA120,0)))))</f>
        <v>0</v>
      </c>
      <c r="X120" s="404">
        <f t="shared" ref="X120:X125" si="962">IF(AA120=0,0,IF(AA120&lt;0,IF($J120=6,AA120,IF($J120=5,AA120,IF($J120=4,AA120,0)))))</f>
        <v>0</v>
      </c>
      <c r="Y120" s="404">
        <f t="shared" ref="Y120:Y125" si="963">IF(AA120=0,0,IF(AA120&lt;0,IF($J120=9,AA120,IF($J120=8,AA120,IF($J120=7,AA120,0)))))</f>
        <v>0</v>
      </c>
      <c r="Z120" s="396">
        <f t="shared" ref="Z120:Z125" si="964">IF(AA120=0,0,IF(AA120&lt;0,IF($J120=12,AA120,IF($J120=11,AA120,IF($J120=10,AA120,0)))))</f>
        <v>0</v>
      </c>
      <c r="AA120" s="397">
        <f t="shared" si="847"/>
        <v>0</v>
      </c>
      <c r="AB120" s="394">
        <f t="shared" ref="AB120:AB125" si="965">IF(AF120=0,0,IF(AF120&lt;0,IF($J120=3,AF120,IF($J120=2,AF120,IF($J120=1,AF120,0)))))</f>
        <v>0</v>
      </c>
      <c r="AC120" s="404">
        <f t="shared" ref="AC120:AC125" si="966">IF(AF120=0,0,IF(AF120&lt;0,IF($J120=6,AF120,IF($J120=5,AF120,IF($J120=4,AF120,0)))))</f>
        <v>0</v>
      </c>
      <c r="AD120" s="404">
        <f t="shared" ref="AD120:AD125" si="967">IF(AF120=0,0,IF(AF120&lt;0,IF($J120=9,AF120,IF($J120=8,AF120,IF($J120=7,AF120,0)))))</f>
        <v>0</v>
      </c>
      <c r="AE120" s="396">
        <f t="shared" ref="AE120:AE125" si="968">IF(AF120=0,0,IF(AF120&lt;0,IF($J120=12,AF120,IF($J120=11,AF120,IF($J120=10,AF120,0)))))</f>
        <v>0</v>
      </c>
      <c r="AF120" s="397">
        <f t="shared" si="852"/>
        <v>0</v>
      </c>
      <c r="AG120" s="394">
        <f t="shared" ref="AG120:AG125" si="969">IF(AK120=0,0,IF(AK120&lt;0,IF($J120=3,AK120,IF($J120=2,AK120,IF($J120=1,AK120,0)))))</f>
        <v>0</v>
      </c>
      <c r="AH120" s="404">
        <f t="shared" ref="AH120:AH125" si="970">IF(AK120=0,0,IF(AK120&lt;0,IF($J120=6,AK120,IF($J120=5,AK120,IF($J120=4,AK120,0)))))</f>
        <v>0</v>
      </c>
      <c r="AI120" s="404">
        <f t="shared" ref="AI120:AI125" si="971">IF(AK120=0,0,IF(AK120&lt;0,IF($J120=9,AK120,IF($J120=8,AK120,IF($J120=7,AK120,0)))))</f>
        <v>0</v>
      </c>
      <c r="AJ120" s="396">
        <f t="shared" ref="AJ120:AJ125" si="972">IF(AK120=0,0,IF(AK120&lt;0,IF($J120=12,AK120,IF($J120=11,AK120,IF($J120=10,AK120,0)))))</f>
        <v>0</v>
      </c>
      <c r="AK120" s="397">
        <f t="shared" si="857"/>
        <v>0</v>
      </c>
      <c r="AL120" s="394">
        <f t="shared" ref="AL120:AL125" si="973">IF(AP120=0,0,IF(AP120&lt;0,IF($J120=3,AP120,IF($J120=2,AP120,IF($J120=1,AP120,0)))))</f>
        <v>0</v>
      </c>
      <c r="AM120" s="404">
        <f t="shared" ref="AM120:AM125" si="974">IF(AP120=0,0,IF(AP120&lt;0,IF($J120=6,AP120,IF($J120=5,AP120,IF($J120=4,AP120,0)))))</f>
        <v>0</v>
      </c>
      <c r="AN120" s="404">
        <f t="shared" ref="AN120:AN125" si="975">IF(AP120=0,0,IF(AP120&lt;0,IF($J120=9,AP120,IF($J120=8,AP120,IF($J120=7,AP120,0)))))</f>
        <v>0</v>
      </c>
      <c r="AO120" s="396">
        <f t="shared" ref="AO120:AO125" si="976">IF(AP120=0,0,IF(AP120&lt;0,IF($J120=12,AP120,IF($J120=11,AP120,IF($J120=10,AP120,0)))))</f>
        <v>0</v>
      </c>
      <c r="AP120" s="397">
        <f t="shared" si="862"/>
        <v>0</v>
      </c>
      <c r="AQ120" s="394">
        <f t="shared" ref="AQ120:AQ125" si="977">IF(AU120=0,0,IF(AU120&lt;0,IF($J120=3,AU120,IF($J120=2,AU120,IF($J120=1,AU120,0)))))</f>
        <v>0</v>
      </c>
      <c r="AR120" s="404">
        <f t="shared" ref="AR120:AR125" si="978">IF(AU120=0,0,IF(AU120&lt;0,IF($J120=6,AU120,IF($J120=5,AU120,IF($J120=4,AU120,0)))))</f>
        <v>0</v>
      </c>
      <c r="AS120" s="404">
        <f t="shared" ref="AS120:AS125" si="979">IF(AU120=0,0,IF(AU120&lt;0,IF($J120=9,AU120,IF($J120=8,AU120,IF($J120=7,AU120,0)))))</f>
        <v>0</v>
      </c>
      <c r="AT120" s="396">
        <f t="shared" ref="AT120:AT125" si="980">IF(AU120=0,0,IF(AU120&lt;0,IF($J120=12,AU120,IF($J120=11,AU120,IF($J120=10,AU120,0)))))</f>
        <v>0</v>
      </c>
      <c r="AU120" s="397">
        <f t="shared" si="867"/>
        <v>0</v>
      </c>
      <c r="AV120" s="394">
        <f t="shared" ref="AV120:AV125" si="981">IF(AZ120=0,0,IF(AZ120&lt;0,IF($J120=3,AZ120,IF($J120=2,AZ120,IF($J120=1,AZ120,0)))))</f>
        <v>0</v>
      </c>
      <c r="AW120" s="404">
        <f t="shared" ref="AW120:AW125" si="982">IF(AZ120=0,0,IF(AZ120&lt;0,IF($J120=6,AZ120,IF($J120=5,AZ120,IF($J120=4,AZ120,0)))))</f>
        <v>0</v>
      </c>
      <c r="AX120" s="404">
        <f t="shared" ref="AX120:AX125" si="983">IF(AZ120=0,0,IF(AZ120&lt;0,IF($J120=9,AZ120,IF($J120=8,AZ120,IF($J120=7,AZ120,0)))))</f>
        <v>0</v>
      </c>
      <c r="AY120" s="396">
        <f t="shared" ref="AY120:AY125" si="984">IF(AZ120=0,0,IF(AZ120&lt;0,IF($J120=12,AZ120,IF($J120=11,AZ120,IF($J120=10,AZ120,0)))))</f>
        <v>0</v>
      </c>
      <c r="AZ120" s="397">
        <f t="shared" si="872"/>
        <v>0</v>
      </c>
      <c r="BA120" s="394">
        <f t="shared" si="873"/>
        <v>0</v>
      </c>
      <c r="BB120" s="404">
        <f t="shared" si="874"/>
        <v>0</v>
      </c>
      <c r="BC120" s="404">
        <f t="shared" si="875"/>
        <v>0</v>
      </c>
      <c r="BD120" s="396">
        <f t="shared" si="876"/>
        <v>0</v>
      </c>
      <c r="BE120" s="397">
        <f t="shared" si="877"/>
        <v>0</v>
      </c>
      <c r="BF120" s="394">
        <f t="shared" si="878"/>
        <v>0</v>
      </c>
      <c r="BG120" s="404">
        <f t="shared" si="879"/>
        <v>0</v>
      </c>
      <c r="BH120" s="404">
        <f t="shared" si="880"/>
        <v>0</v>
      </c>
      <c r="BI120" s="396">
        <f t="shared" si="881"/>
        <v>0</v>
      </c>
      <c r="BJ120" s="397">
        <f t="shared" si="882"/>
        <v>0</v>
      </c>
      <c r="BK120" s="394">
        <f t="shared" si="944"/>
        <v>0</v>
      </c>
      <c r="BL120" s="404">
        <f t="shared" si="945"/>
        <v>0</v>
      </c>
      <c r="BM120" s="404">
        <f t="shared" si="946"/>
        <v>0</v>
      </c>
      <c r="BN120" s="396">
        <f t="shared" si="947"/>
        <v>0</v>
      </c>
      <c r="BO120" s="397">
        <f t="shared" si="887"/>
        <v>0</v>
      </c>
      <c r="BP120" s="452"/>
      <c r="BQ120" s="403">
        <f t="shared" si="888"/>
        <v>0</v>
      </c>
      <c r="BR120" s="400">
        <f t="shared" si="889"/>
        <v>0</v>
      </c>
      <c r="BS120" s="406">
        <f t="shared" si="890"/>
        <v>0</v>
      </c>
      <c r="BT120" s="406">
        <f t="shared" si="891"/>
        <v>0</v>
      </c>
      <c r="BU120" s="402">
        <f t="shared" si="892"/>
        <v>0</v>
      </c>
      <c r="BV120" s="403">
        <f t="shared" si="893"/>
        <v>0</v>
      </c>
      <c r="BW120" s="400">
        <f t="shared" si="894"/>
        <v>0</v>
      </c>
      <c r="BX120" s="406">
        <f t="shared" si="895"/>
        <v>0</v>
      </c>
      <c r="BY120" s="406">
        <f t="shared" si="896"/>
        <v>0</v>
      </c>
      <c r="BZ120" s="402">
        <f t="shared" si="897"/>
        <v>0</v>
      </c>
      <c r="CA120" s="403">
        <f t="shared" si="898"/>
        <v>0</v>
      </c>
      <c r="CB120" s="400">
        <f t="shared" si="899"/>
        <v>0</v>
      </c>
      <c r="CC120" s="406">
        <f t="shared" si="900"/>
        <v>0</v>
      </c>
      <c r="CD120" s="406">
        <f t="shared" si="901"/>
        <v>0</v>
      </c>
      <c r="CE120" s="402">
        <f t="shared" si="902"/>
        <v>0</v>
      </c>
      <c r="CF120" s="403">
        <f t="shared" si="903"/>
        <v>0</v>
      </c>
      <c r="CG120" s="400">
        <f t="shared" si="904"/>
        <v>0</v>
      </c>
      <c r="CH120" s="406">
        <f t="shared" si="905"/>
        <v>0</v>
      </c>
      <c r="CI120" s="406">
        <f t="shared" si="906"/>
        <v>0</v>
      </c>
      <c r="CJ120" s="402">
        <f t="shared" si="907"/>
        <v>0</v>
      </c>
      <c r="CK120" s="403">
        <f t="shared" si="908"/>
        <v>0</v>
      </c>
      <c r="CL120" s="400">
        <f t="shared" si="909"/>
        <v>0</v>
      </c>
      <c r="CM120" s="406">
        <f t="shared" si="910"/>
        <v>0</v>
      </c>
      <c r="CN120" s="406">
        <f t="shared" si="911"/>
        <v>0</v>
      </c>
      <c r="CO120" s="402">
        <f t="shared" si="912"/>
        <v>0</v>
      </c>
      <c r="CP120" s="403">
        <f t="shared" si="913"/>
        <v>0</v>
      </c>
      <c r="CQ120" s="400">
        <f t="shared" si="914"/>
        <v>0</v>
      </c>
      <c r="CR120" s="406">
        <f t="shared" si="915"/>
        <v>0</v>
      </c>
      <c r="CS120" s="406">
        <f t="shared" si="916"/>
        <v>0</v>
      </c>
      <c r="CT120" s="402">
        <f t="shared" si="917"/>
        <v>0</v>
      </c>
      <c r="CU120" s="403">
        <f t="shared" si="918"/>
        <v>0</v>
      </c>
      <c r="CV120" s="400">
        <f t="shared" si="919"/>
        <v>0</v>
      </c>
      <c r="CW120" s="406">
        <f t="shared" si="920"/>
        <v>0</v>
      </c>
      <c r="CX120" s="406">
        <f t="shared" si="921"/>
        <v>0</v>
      </c>
      <c r="CY120" s="402">
        <f t="shared" si="922"/>
        <v>0</v>
      </c>
      <c r="CZ120" s="403">
        <f t="shared" si="923"/>
        <v>0</v>
      </c>
      <c r="DA120" s="400">
        <f t="shared" si="924"/>
        <v>0</v>
      </c>
      <c r="DB120" s="406">
        <f t="shared" si="925"/>
        <v>0</v>
      </c>
      <c r="DC120" s="406">
        <f t="shared" si="926"/>
        <v>0</v>
      </c>
      <c r="DD120" s="402">
        <f t="shared" si="927"/>
        <v>0</v>
      </c>
      <c r="DE120" s="403">
        <f t="shared" si="928"/>
        <v>0</v>
      </c>
      <c r="DF120" s="400">
        <f t="shared" si="929"/>
        <v>0</v>
      </c>
      <c r="DG120" s="406">
        <f t="shared" si="930"/>
        <v>0</v>
      </c>
      <c r="DH120" s="406">
        <f t="shared" si="931"/>
        <v>0</v>
      </c>
      <c r="DI120" s="402">
        <f t="shared" si="932"/>
        <v>0</v>
      </c>
      <c r="DJ120" s="403">
        <f t="shared" si="933"/>
        <v>0</v>
      </c>
      <c r="DK120" s="400">
        <f t="shared" si="934"/>
        <v>0</v>
      </c>
      <c r="DL120" s="406">
        <f t="shared" si="935"/>
        <v>0</v>
      </c>
      <c r="DM120" s="406">
        <f t="shared" si="936"/>
        <v>0</v>
      </c>
      <c r="DN120" s="402">
        <f t="shared" si="937"/>
        <v>0</v>
      </c>
      <c r="DO120" s="403">
        <f t="shared" si="938"/>
        <v>0</v>
      </c>
      <c r="DP120" s="400">
        <f t="shared" si="948"/>
        <v>0</v>
      </c>
      <c r="DQ120" s="406">
        <f t="shared" si="949"/>
        <v>0</v>
      </c>
      <c r="DR120" s="406">
        <f t="shared" si="950"/>
        <v>0</v>
      </c>
      <c r="DS120" s="402">
        <f t="shared" si="951"/>
        <v>0</v>
      </c>
      <c r="DT120" s="403">
        <f t="shared" si="952"/>
        <v>0</v>
      </c>
      <c r="EF120" s="35"/>
      <c r="EI120" s="759"/>
    </row>
    <row r="121" spans="3:139" ht="12.75" customHeight="1" x14ac:dyDescent="0.2">
      <c r="C121" s="850" t="s">
        <v>620</v>
      </c>
      <c r="D121" s="70"/>
      <c r="E121" s="530">
        <f t="shared" si="831"/>
        <v>500</v>
      </c>
      <c r="F121" s="532">
        <v>500</v>
      </c>
      <c r="G121" s="532">
        <v>500</v>
      </c>
      <c r="H121" s="449">
        <v>2042</v>
      </c>
      <c r="I121" s="450">
        <v>3.5999999999999997E-2</v>
      </c>
      <c r="J121" s="451">
        <v>9</v>
      </c>
      <c r="K121" s="392"/>
      <c r="L121" s="397">
        <f t="shared" si="832"/>
        <v>0</v>
      </c>
      <c r="M121" s="394">
        <f t="shared" si="953"/>
        <v>0</v>
      </c>
      <c r="N121" s="404">
        <f t="shared" si="954"/>
        <v>0</v>
      </c>
      <c r="O121" s="404">
        <f t="shared" si="955"/>
        <v>0</v>
      </c>
      <c r="P121" s="396">
        <f t="shared" si="956"/>
        <v>0</v>
      </c>
      <c r="Q121" s="397">
        <f t="shared" si="837"/>
        <v>0</v>
      </c>
      <c r="R121" s="394">
        <f t="shared" si="957"/>
        <v>0</v>
      </c>
      <c r="S121" s="404">
        <f t="shared" si="958"/>
        <v>0</v>
      </c>
      <c r="T121" s="404">
        <f t="shared" si="959"/>
        <v>0</v>
      </c>
      <c r="U121" s="396">
        <f t="shared" si="960"/>
        <v>0</v>
      </c>
      <c r="V121" s="397">
        <f t="shared" si="842"/>
        <v>0</v>
      </c>
      <c r="W121" s="394">
        <f t="shared" si="961"/>
        <v>0</v>
      </c>
      <c r="X121" s="404">
        <f t="shared" si="962"/>
        <v>0</v>
      </c>
      <c r="Y121" s="404">
        <f t="shared" si="963"/>
        <v>0</v>
      </c>
      <c r="Z121" s="396">
        <f t="shared" si="964"/>
        <v>0</v>
      </c>
      <c r="AA121" s="397">
        <f t="shared" si="847"/>
        <v>0</v>
      </c>
      <c r="AB121" s="394">
        <f t="shared" si="965"/>
        <v>0</v>
      </c>
      <c r="AC121" s="404">
        <f t="shared" si="966"/>
        <v>0</v>
      </c>
      <c r="AD121" s="404">
        <f t="shared" si="967"/>
        <v>0</v>
      </c>
      <c r="AE121" s="396">
        <f t="shared" si="968"/>
        <v>0</v>
      </c>
      <c r="AF121" s="397">
        <f t="shared" si="852"/>
        <v>0</v>
      </c>
      <c r="AG121" s="394">
        <f t="shared" si="969"/>
        <v>0</v>
      </c>
      <c r="AH121" s="404">
        <f t="shared" si="970"/>
        <v>0</v>
      </c>
      <c r="AI121" s="404">
        <f t="shared" si="971"/>
        <v>0</v>
      </c>
      <c r="AJ121" s="396">
        <f t="shared" si="972"/>
        <v>0</v>
      </c>
      <c r="AK121" s="397">
        <f t="shared" si="857"/>
        <v>0</v>
      </c>
      <c r="AL121" s="394">
        <f t="shared" si="973"/>
        <v>0</v>
      </c>
      <c r="AM121" s="404">
        <f t="shared" si="974"/>
        <v>0</v>
      </c>
      <c r="AN121" s="404">
        <f t="shared" si="975"/>
        <v>0</v>
      </c>
      <c r="AO121" s="396">
        <f t="shared" si="976"/>
        <v>0</v>
      </c>
      <c r="AP121" s="397">
        <f t="shared" si="862"/>
        <v>0</v>
      </c>
      <c r="AQ121" s="394">
        <f t="shared" si="977"/>
        <v>0</v>
      </c>
      <c r="AR121" s="404">
        <f t="shared" si="978"/>
        <v>0</v>
      </c>
      <c r="AS121" s="404">
        <f t="shared" si="979"/>
        <v>0</v>
      </c>
      <c r="AT121" s="396">
        <f t="shared" si="980"/>
        <v>0</v>
      </c>
      <c r="AU121" s="397">
        <f t="shared" si="867"/>
        <v>0</v>
      </c>
      <c r="AV121" s="394">
        <f t="shared" si="981"/>
        <v>0</v>
      </c>
      <c r="AW121" s="404">
        <f t="shared" si="982"/>
        <v>0</v>
      </c>
      <c r="AX121" s="404">
        <f t="shared" si="983"/>
        <v>0</v>
      </c>
      <c r="AY121" s="396">
        <f t="shared" si="984"/>
        <v>0</v>
      </c>
      <c r="AZ121" s="397">
        <f t="shared" si="872"/>
        <v>0</v>
      </c>
      <c r="BA121" s="394">
        <f t="shared" si="873"/>
        <v>0</v>
      </c>
      <c r="BB121" s="404">
        <f t="shared" si="874"/>
        <v>0</v>
      </c>
      <c r="BC121" s="404">
        <f t="shared" si="875"/>
        <v>0</v>
      </c>
      <c r="BD121" s="396">
        <f t="shared" si="876"/>
        <v>0</v>
      </c>
      <c r="BE121" s="397">
        <f t="shared" si="877"/>
        <v>0</v>
      </c>
      <c r="BF121" s="394">
        <f t="shared" si="878"/>
        <v>0</v>
      </c>
      <c r="BG121" s="404">
        <f t="shared" si="879"/>
        <v>0</v>
      </c>
      <c r="BH121" s="404">
        <f t="shared" si="880"/>
        <v>0</v>
      </c>
      <c r="BI121" s="396">
        <f t="shared" si="881"/>
        <v>0</v>
      </c>
      <c r="BJ121" s="397">
        <f t="shared" si="882"/>
        <v>0</v>
      </c>
      <c r="BK121" s="394">
        <f t="shared" si="944"/>
        <v>0</v>
      </c>
      <c r="BL121" s="404">
        <f t="shared" si="945"/>
        <v>0</v>
      </c>
      <c r="BM121" s="404">
        <f t="shared" si="946"/>
        <v>0</v>
      </c>
      <c r="BN121" s="396">
        <f t="shared" si="947"/>
        <v>0</v>
      </c>
      <c r="BO121" s="397">
        <f t="shared" si="887"/>
        <v>0</v>
      </c>
      <c r="BP121" s="452"/>
      <c r="BQ121" s="403">
        <f t="shared" si="888"/>
        <v>0</v>
      </c>
      <c r="BR121" s="400">
        <f>IF($H121&lt;&gt;BV$5,0,IF(BV121&lt;0,IF($J121=1,-$E121*$I121/12*3,IF($J121=2,-$E121*$I121/12*2,IF($J121=3,-$E121*$I121/12*1,0)))))+IF(BQ$5&lt;&gt;$H121,0,IF(BQ121&lt;0,IF($J121=1,-$E121*$I121/12*0,IF($J121=2,-$E121*$I121/12*1,IF($J121=3,-$E121*$I121/12*2,IF($J121&gt;=4,-$E121*$I121/12*3,0))))))</f>
        <v>0</v>
      </c>
      <c r="BS121" s="406">
        <f>IF($H121&lt;&gt;BV$5,0,IF(BV121&lt;0,IF(OR($J121=1,$J121=2,$J121=3,$J121=4),-$E121*$I121/12*3,IF($J121=5,-$E121*$I121/12*2,IF($J121=6,-$E121*$I121/12*1,0)))))+IF(BQ$5&lt;&gt;$H121,0,IF(BQ121&lt;0,IF($J121=4,-$E121*$I121/12*0,IF($J121=5,-$E121*$I121/12*1,IF($J121=6,-$E121*$I121/12*2,IF($J121&gt;=7,-$E121*$I121/12*3,0))))))</f>
        <v>0</v>
      </c>
      <c r="BT121" s="406">
        <f>IF($H121&lt;&gt;BV$5,0,IF(BV121&lt;0,IF(OR($J121=1,$J121=2,$J121=3,$J121=4,$J121=5,$J121=6,$J121=7),-$E121*$I121/12*3,IF($J121=8,-$E121*$I121/12*2,IF($J121=9,-$E121*$I121/12*1,0)))))+IF(BQ$5&lt;&gt;$H121,0,IF(BQ121&lt;0,IF($J121=7,-$E121*$I121/12*0,IF($J121=8,-$E121*$I121/12*1,IF($J121=9,-$E121*$I121/12*2,IF($J121&gt;=10,-$E121*$I121/12*3,0))))))</f>
        <v>0</v>
      </c>
      <c r="BU121" s="402">
        <f>IF($H121&lt;&gt;BV$5,0,IF(BV121&lt;0,IF(OR($J121=1,$J121=2,$J121=3,$J121=4,$J121=5,$J121=6,$J121=7,$J121=8,$J121=9,$J121=10),-$E121*$I121/12*3,IF($J121=11,-$E121*$I121/12*2,IF($J121=12,-$E121*$I121/12*1,0)))))+IF(BQ$5&lt;&gt;$H121,0,IF(BQ121&lt;0,IF($J121=10,-$E121*$I121/12*0,IF($J121=11,-$E121*$I121/12*1,IF($J121=12,-$E121*$I121/12*2,0)))))</f>
        <v>0</v>
      </c>
      <c r="BV121" s="403">
        <f>IF(AND(BQ121&lt;&gt;0,BQ$5=$H121),-$I121*$E121-BQ121,IF(BV$5=$H121,-$I121*$E121*(12-$J121+1)/12,0))</f>
        <v>0</v>
      </c>
      <c r="BW121" s="400">
        <f>IF($H121&lt;&gt;CA$5,0,IF(CA121&lt;0,IF($J121=1,-$E121*$I121/12*3,IF($J121=2,-$E121*$I121/12*2,IF($J121=3,-$E121*$I121/12*1,0)))))+IF(BV$5&lt;&gt;$H121,0,IF(BV121&lt;0,IF($J121=1,-$E121*$I121/12*0,IF($J121=2,-$E121*$I121/12*1,IF($J121=3,-$E121*$I121/12*2,IF($J121&gt;=4,-$E121*$I121/12*3,0))))))</f>
        <v>0</v>
      </c>
      <c r="BX121" s="406">
        <f>IF($H121&lt;&gt;CA$5,0,IF(CA121&lt;0,IF(OR($J121=1,$J121=2,$J121=3,$J121=4),-$E121*$I121/12*3,IF($J121=5,-$E121*$I121/12*2,IF($J121=6,-$E121*$I121/12*1,0)))))+IF(BV$5&lt;&gt;$H121,0,IF(BV121&lt;0,IF($J121=4,-$E121*$I121/12*0,IF($J121=5,-$E121*$I121/12*1,IF($J121=6,-$E121*$I121/12*2,IF($J121&gt;=7,-$E121*$I121/12*3,0))))))</f>
        <v>0</v>
      </c>
      <c r="BY121" s="406">
        <f>IF($H121&lt;&gt;CA$5,0,IF(CA121&lt;0,IF(OR($J121=1,$J121=2,$J121=3,$J121=4,$J121=5,$J121=6,$J121=7),-$E121*$I121/12*3,IF($J121=8,-$E121*$I121/12*2,IF($J121=9,-$E121*$I121/12*1,0)))))+IF(BV$5&lt;&gt;$H121,0,IF(BV121&lt;0,IF($J121=7,-$E121*$I121/12*0,IF($J121=8,-$E121*$I121/12*1,IF($J121=9,-$E121*$I121/12*2,IF($J121&gt;=10,-$E121*$I121/12*3,0))))))</f>
        <v>0</v>
      </c>
      <c r="BZ121" s="402">
        <f>IF($H121&lt;&gt;CA$5,0,IF(CA121&lt;0,IF(OR($J121=1,$J121=2,$J121=3,$J121=4,$J121=5,$J121=6,$J121=7,$J121=8,$J121=9,$J121=10),-$E121*$I121/12*3,IF($J121=11,-$E121*$I121/12*2,IF($J121=12,-$E121*$I121/12*1,0)))))+IF(BV$5&lt;&gt;$H121,0,IF(BV121&lt;0,IF($J121=10,-$E121*$I121/12*0,IF($J121=11,-$E121*$I121/12*1,IF($J121=12,-$E121*$I121/12*2,0)))))</f>
        <v>0</v>
      </c>
      <c r="CA121" s="403">
        <f>IF(AND(BV121&lt;&gt;0,BV$5=$H121),-$I121*$E121-BV121,IF(CA$5=$H121,-$I121*$E121*(12-$J121+1)/12,0))</f>
        <v>0</v>
      </c>
      <c r="CB121" s="400">
        <f>IF($H121&lt;&gt;CF$5,0,IF(CF121&lt;0,IF($J121=1,-$E121*$I121/12*3,IF($J121=2,-$E121*$I121/12*2,IF($J121=3,-$E121*$I121/12*1,0)))))+IF(CA$5&lt;&gt;$H121,0,IF(CA121&lt;0,IF($J121=1,-$E121*$I121/12*0,IF($J121=2,-$E121*$I121/12*1,IF($J121=3,-$E121*$I121/12*2,IF($J121&gt;=4,-$E121*$I121/12*3,0))))))</f>
        <v>0</v>
      </c>
      <c r="CC121" s="406">
        <f>IF($H121&lt;&gt;CF$5,0,IF(CF121&lt;0,IF(OR($J121=1,$J121=2,$J121=3,$J121=4),-$E121*$I121/12*3,IF($J121=5,-$E121*$I121/12*2,IF($J121=6,-$E121*$I121/12*1,0)))))+IF(CA$5&lt;&gt;$H121,0,IF(CA121&lt;0,IF($J121=4,-$E121*$I121/12*0,IF($J121=5,-$E121*$I121/12*1,IF($J121=6,-$E121*$I121/12*2,IF($J121&gt;=7,-$E121*$I121/12*3,0))))))</f>
        <v>0</v>
      </c>
      <c r="CD121" s="406">
        <f>IF($H121&lt;&gt;CF$5,0,IF(CF121&lt;0,IF(OR($J121=1,$J121=2,$J121=3,$J121=4,$J121=5,$J121=6,$J121=7),-$E121*$I121/12*3,IF($J121=8,-$E121*$I121/12*2,IF($J121=9,-$E121*$I121/12*1,0)))))+IF(CA$5&lt;&gt;$H121,0,IF(CA121&lt;0,IF($J121=7,-$E121*$I121/12*0,IF($J121=8,-$E121*$I121/12*1,IF($J121=9,-$E121*$I121/12*2,IF($J121&gt;=10,-$E121*$I121/12*3,0))))))</f>
        <v>0</v>
      </c>
      <c r="CE121" s="402">
        <f>IF($H121&lt;&gt;CF$5,0,IF(CF121&lt;0,IF(OR($J121=1,$J121=2,$J121=3,$J121=4,$J121=5,$J121=6,$J121=7,$J121=8,$J121=9,$J121=10),-$E121*$I121/12*3,IF($J121=11,-$E121*$I121/12*2,IF($J121=12,-$E121*$I121/12*1,0)))))+IF(CA$5&lt;&gt;$H121,0,IF(CA121&lt;0,IF($J121=10,-$E121*$I121/12*0,IF($J121=11,-$E121*$I121/12*1,IF($J121=12,-$E121*$I121/12*2,0)))))</f>
        <v>0</v>
      </c>
      <c r="CF121" s="403">
        <f>IF(AND(CA121&lt;&gt;0,CA$5=$H121),-$I121*$E121-CA121,IF(CF$5=$H121,-$I121*$E121*(12-$J121+1)/12,0))</f>
        <v>0</v>
      </c>
      <c r="CG121" s="400">
        <f>IF($H121&lt;&gt;CK$5,0,IF(CK121&lt;0,IF($J121=1,-$E121*$I121/12*3,IF($J121=2,-$E121*$I121/12*2,IF($J121=3,-$E121*$I121/12*1,0)))))+IF(CF$5&lt;&gt;$H121,0,IF(CF121&lt;0,IF($J121=1,-$E121*$I121/12*0,IF($J121=2,-$E121*$I121/12*1,IF($J121=3,-$E121*$I121/12*2,IF($J121&gt;=4,-$E121*$I121/12*3,0))))))</f>
        <v>0</v>
      </c>
      <c r="CH121" s="406">
        <f>IF($H121&lt;&gt;CK$5,0,IF(CK121&lt;0,IF(OR($J121=1,$J121=2,$J121=3,$J121=4),-$E121*$I121/12*3,IF($J121=5,-$E121*$I121/12*2,IF($J121=6,-$E121*$I121/12*1,0)))))+IF(CF$5&lt;&gt;$H121,0,IF(CF121&lt;0,IF($J121=4,-$E121*$I121/12*0,IF($J121=5,-$E121*$I121/12*1,IF($J121=6,-$E121*$I121/12*2,IF($J121&gt;=7,-$E121*$I121/12*3,0))))))</f>
        <v>0</v>
      </c>
      <c r="CI121" s="406">
        <f>IF($H121&lt;&gt;CK$5,0,IF(CK121&lt;0,IF(OR($J121=1,$J121=2,$J121=3,$J121=4,$J121=5,$J121=6,$J121=7),-$E121*$I121/12*3,IF($J121=8,-$E121*$I121/12*2,IF($J121=9,-$E121*$I121/12*1,0)))))+IF(CF$5&lt;&gt;$H121,0,IF(CF121&lt;0,IF($J121=7,-$E121*$I121/12*0,IF($J121=8,-$E121*$I121/12*1,IF($J121=9,-$E121*$I121/12*2,IF($J121&gt;=10,-$E121*$I121/12*3,0))))))</f>
        <v>0</v>
      </c>
      <c r="CJ121" s="402">
        <f>IF($H121&lt;&gt;CK$5,0,IF(CK121&lt;0,IF(OR($J121=1,$J121=2,$J121=3,$J121=4,$J121=5,$J121=6,$J121=7,$J121=8,$J121=9,$J121=10),-$E121*$I121/12*3,IF($J121=11,-$E121*$I121/12*2,IF($J121=12,-$E121*$I121/12*1,0)))))+IF(CF$5&lt;&gt;$H121,0,IF(CF121&lt;0,IF($J121=10,-$E121*$I121/12*0,IF($J121=11,-$E121*$I121/12*1,IF($J121=12,-$E121*$I121/12*2,0)))))</f>
        <v>0</v>
      </c>
      <c r="CK121" s="403">
        <f>IF(AND(CF121&lt;&gt;0,CF$5=$H121),-$I121*$E121-CF121,IF(CK$5=$H121,-$I121*$E121*(12-$J121+1)/12,0))</f>
        <v>0</v>
      </c>
      <c r="CL121" s="400">
        <f>IF($H121&lt;&gt;CP$5,0,IF(CP121&lt;0,IF($J121=1,-$E121*$I121/12*3,IF($J121=2,-$E121*$I121/12*2,IF($J121=3,-$E121*$I121/12*1,0)))))+IF(CK$5&lt;&gt;$H121,0,IF(CK121&lt;0,IF($J121=1,-$E121*$I121/12*0,IF($J121=2,-$E121*$I121/12*1,IF($J121=3,-$E121*$I121/12*2,IF($J121&gt;=4,-$E121*$I121/12*3,0))))))</f>
        <v>0</v>
      </c>
      <c r="CM121" s="406">
        <f>IF($H121&lt;&gt;CP$5,0,IF(CP121&lt;0,IF(OR($J121=1,$J121=2,$J121=3,$J121=4),-$E121*$I121/12*3,IF($J121=5,-$E121*$I121/12*2,IF($J121=6,-$E121*$I121/12*1,0)))))+IF(CK$5&lt;&gt;$H121,0,IF(CK121&lt;0,IF($J121=4,-$E121*$I121/12*0,IF($J121=5,-$E121*$I121/12*1,IF($J121=6,-$E121*$I121/12*2,IF($J121&gt;=7,-$E121*$I121/12*3,0))))))</f>
        <v>0</v>
      </c>
      <c r="CN121" s="406">
        <f>IF($H121&lt;&gt;CP$5,0,IF(CP121&lt;0,IF(OR($J121=1,$J121=2,$J121=3,$J121=4,$J121=5,$J121=6,$J121=7),-$E121*$I121/12*3,IF($J121=8,-$E121*$I121/12*2,IF($J121=9,-$E121*$I121/12*1,0)))))+IF(CK$5&lt;&gt;$H121,0,IF(CK121&lt;0,IF($J121=7,-$E121*$I121/12*0,IF($J121=8,-$E121*$I121/12*1,IF($J121=9,-$E121*$I121/12*2,IF($J121&gt;=10,-$E121*$I121/12*3,0))))))</f>
        <v>0</v>
      </c>
      <c r="CO121" s="402">
        <f>IF($H121&lt;&gt;CP$5,0,IF(CP121&lt;0,IF(OR($J121=1,$J121=2,$J121=3,$J121=4,$J121=5,$J121=6,$J121=7,$J121=8,$J121=9,$J121=10),-$E121*$I121/12*3,IF($J121=11,-$E121*$I121/12*2,IF($J121=12,-$E121*$I121/12*1,0)))))+IF(CK$5&lt;&gt;$H121,0,IF(CK121&lt;0,IF($J121=10,-$E121*$I121/12*0,IF($J121=11,-$E121*$I121/12*1,IF($J121=12,-$E121*$I121/12*2,0)))))</f>
        <v>0</v>
      </c>
      <c r="CP121" s="403">
        <f>IF(AND(CK121&lt;&gt;0,CK$5=$H121),-$I121*$E121-CK121,IF(CP$5=$H121,-$I121*$E121*(12-$J121+1)/12,0))</f>
        <v>0</v>
      </c>
      <c r="CQ121" s="400">
        <f>IF($H121&lt;&gt;CU$5,0,IF(CU121&lt;0,IF($J121=1,-$E121*$I121/12*3,IF($J121=2,-$E121*$I121/12*2,IF($J121=3,-$E121*$I121/12*1,0)))))+IF(CP$5&lt;&gt;$H121,0,IF(CP121&lt;0,IF($J121=1,-$E121*$I121/12*0,IF($J121=2,-$E121*$I121/12*1,IF($J121=3,-$E121*$I121/12*2,IF($J121&gt;=4,-$E121*$I121/12*3,0))))))</f>
        <v>0</v>
      </c>
      <c r="CR121" s="406">
        <f>IF($H121&lt;&gt;CU$5,0,IF(CU121&lt;0,IF(OR($J121=1,$J121=2,$J121=3,$J121=4),-$E121*$I121/12*3,IF($J121=5,-$E121*$I121/12*2,IF($J121=6,-$E121*$I121/12*1,0)))))+IF(CP$5&lt;&gt;$H121,0,IF(CP121&lt;0,IF($J121=4,-$E121*$I121/12*0,IF($J121=5,-$E121*$I121/12*1,IF($J121=6,-$E121*$I121/12*2,IF($J121&gt;=7,-$E121*$I121/12*3,0))))))</f>
        <v>0</v>
      </c>
      <c r="CS121" s="406">
        <f>IF($H121&lt;&gt;CU$5,0,IF(CU121&lt;0,IF(OR($J121=1,$J121=2,$J121=3,$J121=4,$J121=5,$J121=6,$J121=7),-$E121*$I121/12*3,IF($J121=8,-$E121*$I121/12*2,IF($J121=9,-$E121*$I121/12*1,0)))))+IF(CP$5&lt;&gt;$H121,0,IF(CP121&lt;0,IF($J121=7,-$E121*$I121/12*0,IF($J121=8,-$E121*$I121/12*1,IF($J121=9,-$E121*$I121/12*2,IF($J121&gt;=10,-$E121*$I121/12*3,0))))))</f>
        <v>0</v>
      </c>
      <c r="CT121" s="402">
        <f>IF($H121&lt;&gt;CU$5,0,IF(CU121&lt;0,IF(OR($J121=1,$J121=2,$J121=3,$J121=4,$J121=5,$J121=6,$J121=7,$J121=8,$J121=9,$J121=10),-$E121*$I121/12*3,IF($J121=11,-$E121*$I121/12*2,IF($J121=12,-$E121*$I121/12*1,0)))))+IF(CP$5&lt;&gt;$H121,0,IF(CP121&lt;0,IF($J121=10,-$E121*$I121/12*0,IF($J121=11,-$E121*$I121/12*1,IF($J121=12,-$E121*$I121/12*2,0)))))</f>
        <v>0</v>
      </c>
      <c r="CU121" s="403">
        <f>IF(AND(CP121&lt;&gt;0,CP$5=$H121),-$I121*$E121-CP121,IF(CU$5=$H121,-$I121*$E121*(12-$J121+1)/12,0))</f>
        <v>0</v>
      </c>
      <c r="CV121" s="400">
        <f>IF($H121&lt;&gt;CZ$5,0,IF(CZ121&lt;0,IF($J121=1,-$E121*$I121/12*3,IF($J121=2,-$E121*$I121/12*2,IF($J121=3,-$E121*$I121/12*1,0)))))+IF(CU$5&lt;&gt;$H121,0,IF(CU121&lt;0,IF($J121=1,-$E121*$I121/12*0,IF($J121=2,-$E121*$I121/12*1,IF($J121=3,-$E121*$I121/12*2,IF($J121&gt;=4,-$E121*$I121/12*3,0))))))</f>
        <v>0</v>
      </c>
      <c r="CW121" s="406">
        <f>IF($H121&lt;&gt;CZ$5,0,IF(CZ121&lt;0,IF(OR($J121=1,$J121=2,$J121=3,$J121=4),-$E121*$I121/12*3,IF($J121=5,-$E121*$I121/12*2,IF($J121=6,-$E121*$I121/12*1,0)))))+IF(CU$5&lt;&gt;$H121,0,IF(CU121&lt;0,IF($J121=4,-$E121*$I121/12*0,IF($J121=5,-$E121*$I121/12*1,IF($J121=6,-$E121*$I121/12*2,IF($J121&gt;=7,-$E121*$I121/12*3,0))))))</f>
        <v>0</v>
      </c>
      <c r="CX121" s="406">
        <f>IF($H121&lt;&gt;CZ$5,0,IF(CZ121&lt;0,IF(OR($J121=1,$J121=2,$J121=3,$J121=4,$J121=5,$J121=6,$J121=7),-$E121*$I121/12*3,IF($J121=8,-$E121*$I121/12*2,IF($J121=9,-$E121*$I121/12*1,0)))))+IF(CU$5&lt;&gt;$H121,0,IF(CU121&lt;0,IF($J121=7,-$E121*$I121/12*0,IF($J121=8,-$E121*$I121/12*1,IF($J121=9,-$E121*$I121/12*2,IF($J121&gt;=10,-$E121*$I121/12*3,0))))))</f>
        <v>0</v>
      </c>
      <c r="CY121" s="402">
        <f>IF($H121&lt;&gt;CZ$5,0,IF(CZ121&lt;0,IF(OR($J121=1,$J121=2,$J121=3,$J121=4,$J121=5,$J121=6,$J121=7,$J121=8,$J121=9,$J121=10),-$E121*$I121/12*3,IF($J121=11,-$E121*$I121/12*2,IF($J121=12,-$E121*$I121/12*1,0)))))+IF(CU$5&lt;&gt;$H121,0,IF(CU121&lt;0,IF($J121=10,-$E121*$I121/12*0,IF($J121=11,-$E121*$I121/12*1,IF($J121=12,-$E121*$I121/12*2,0)))))</f>
        <v>0</v>
      </c>
      <c r="CZ121" s="403">
        <f>IF(AND(CU121&lt;&gt;0,CU$5=$H121),-$I121*$E121-CU121,IF(CZ$5=$H121,-$I121*$E121*(12-$J121+1)/12,0))</f>
        <v>0</v>
      </c>
      <c r="DA121" s="400">
        <f>IF($H121&lt;&gt;DE$5,0,IF(DE121&lt;0,IF($J121=1,-$E121*$I121/12*3,IF($J121=2,-$E121*$I121/12*2,IF($J121=3,-$E121*$I121/12*1,0)))))+IF(CZ$5&lt;&gt;$H121,0,IF(CZ121&lt;0,IF($J121=1,-$E121*$I121/12*0,IF($J121=2,-$E121*$I121/12*1,IF($J121=3,-$E121*$I121/12*2,IF($J121&gt;=4,-$E121*$I121/12*3,0))))))</f>
        <v>0</v>
      </c>
      <c r="DB121" s="406">
        <f>IF($H121&lt;&gt;DE$5,0,IF(DE121&lt;0,IF(OR($J121=1,$J121=2,$J121=3,$J121=4),-$E121*$I121/12*3,IF($J121=5,-$E121*$I121/12*2,IF($J121=6,-$E121*$I121/12*1,0)))))+IF(CZ$5&lt;&gt;$H121,0,IF(CZ121&lt;0,IF($J121=4,-$E121*$I121/12*0,IF($J121=5,-$E121*$I121/12*1,IF($J121=6,-$E121*$I121/12*2,IF($J121&gt;=7,-$E121*$I121/12*3,0))))))</f>
        <v>0</v>
      </c>
      <c r="DC121" s="406">
        <f>IF($H121&lt;&gt;DE$5,0,IF(DE121&lt;0,IF(OR($J121=1,$J121=2,$J121=3,$J121=4,$J121=5,$J121=6,$J121=7),-$E121*$I121/12*3,IF($J121=8,-$E121*$I121/12*2,IF($J121=9,-$E121*$I121/12*1,0)))))+IF(CZ$5&lt;&gt;$H121,0,IF(CZ121&lt;0,IF($J121=7,-$E121*$I121/12*0,IF($J121=8,-$E121*$I121/12*1,IF($J121=9,-$E121*$I121/12*2,IF($J121&gt;=10,-$E121*$I121/12*3,0))))))</f>
        <v>0</v>
      </c>
      <c r="DD121" s="402">
        <f>IF($H121&lt;&gt;DE$5,0,IF(DE121&lt;0,IF(OR($J121=1,$J121=2,$J121=3,$J121=4,$J121=5,$J121=6,$J121=7,$J121=8,$J121=9,$J121=10),-$E121*$I121/12*3,IF($J121=11,-$E121*$I121/12*2,IF($J121=12,-$E121*$I121/12*1,0)))))+IF(CZ$5&lt;&gt;$H121,0,IF(CZ121&lt;0,IF($J121=10,-$E121*$I121/12*0,IF($J121=11,-$E121*$I121/12*1,IF($J121=12,-$E121*$I121/12*2,0)))))</f>
        <v>0</v>
      </c>
      <c r="DE121" s="403">
        <f>IF(AND(CZ121&lt;&gt;0,CZ$5=$H121),-$I121*$E121-CZ121,IF(DE$5=$H121,-$I121*$E121*(12-$J121+1)/12,0))</f>
        <v>0</v>
      </c>
      <c r="DF121" s="400">
        <f t="shared" si="929"/>
        <v>0</v>
      </c>
      <c r="DG121" s="406">
        <f t="shared" si="930"/>
        <v>0</v>
      </c>
      <c r="DH121" s="406">
        <f t="shared" si="931"/>
        <v>0</v>
      </c>
      <c r="DI121" s="402">
        <f t="shared" si="932"/>
        <v>0</v>
      </c>
      <c r="DJ121" s="403">
        <f t="shared" si="933"/>
        <v>0</v>
      </c>
      <c r="DK121" s="400">
        <f t="shared" si="934"/>
        <v>0</v>
      </c>
      <c r="DL121" s="406">
        <f t="shared" si="935"/>
        <v>0</v>
      </c>
      <c r="DM121" s="406">
        <f t="shared" si="936"/>
        <v>0</v>
      </c>
      <c r="DN121" s="402">
        <f t="shared" si="937"/>
        <v>0</v>
      </c>
      <c r="DO121" s="403">
        <f t="shared" si="938"/>
        <v>0</v>
      </c>
      <c r="DP121" s="400">
        <f t="shared" si="948"/>
        <v>0</v>
      </c>
      <c r="DQ121" s="406">
        <f t="shared" si="949"/>
        <v>0</v>
      </c>
      <c r="DR121" s="406">
        <f t="shared" si="950"/>
        <v>0</v>
      </c>
      <c r="DS121" s="402">
        <f t="shared" si="951"/>
        <v>0</v>
      </c>
      <c r="DT121" s="403">
        <f t="shared" si="952"/>
        <v>0</v>
      </c>
      <c r="EF121" s="35"/>
      <c r="EI121" s="759"/>
    </row>
    <row r="122" spans="3:139" ht="12.75" customHeight="1" x14ac:dyDescent="0.2">
      <c r="C122" s="850" t="s">
        <v>621</v>
      </c>
      <c r="D122" s="70"/>
      <c r="E122" s="530">
        <f t="shared" si="831"/>
        <v>250</v>
      </c>
      <c r="F122" s="532">
        <v>250</v>
      </c>
      <c r="G122" s="532">
        <v>250</v>
      </c>
      <c r="H122" s="449">
        <v>2043</v>
      </c>
      <c r="I122" s="450">
        <v>3.95E-2</v>
      </c>
      <c r="J122" s="451">
        <v>3</v>
      </c>
      <c r="K122" s="392"/>
      <c r="L122" s="397">
        <f t="shared" si="832"/>
        <v>0</v>
      </c>
      <c r="M122" s="394">
        <f t="shared" si="953"/>
        <v>0</v>
      </c>
      <c r="N122" s="404">
        <f t="shared" si="954"/>
        <v>0</v>
      </c>
      <c r="O122" s="404">
        <f t="shared" si="955"/>
        <v>0</v>
      </c>
      <c r="P122" s="396">
        <f t="shared" si="956"/>
        <v>0</v>
      </c>
      <c r="Q122" s="397">
        <f t="shared" si="837"/>
        <v>0</v>
      </c>
      <c r="R122" s="394">
        <f t="shared" si="957"/>
        <v>0</v>
      </c>
      <c r="S122" s="404">
        <f t="shared" si="958"/>
        <v>0</v>
      </c>
      <c r="T122" s="404">
        <f t="shared" si="959"/>
        <v>0</v>
      </c>
      <c r="U122" s="396">
        <f t="shared" si="960"/>
        <v>0</v>
      </c>
      <c r="V122" s="397">
        <f t="shared" si="842"/>
        <v>0</v>
      </c>
      <c r="W122" s="394">
        <f t="shared" si="961"/>
        <v>0</v>
      </c>
      <c r="X122" s="404">
        <f t="shared" si="962"/>
        <v>0</v>
      </c>
      <c r="Y122" s="404">
        <f t="shared" si="963"/>
        <v>0</v>
      </c>
      <c r="Z122" s="396">
        <f t="shared" si="964"/>
        <v>0</v>
      </c>
      <c r="AA122" s="397">
        <f t="shared" si="847"/>
        <v>0</v>
      </c>
      <c r="AB122" s="394">
        <f t="shared" si="965"/>
        <v>0</v>
      </c>
      <c r="AC122" s="404">
        <f t="shared" si="966"/>
        <v>0</v>
      </c>
      <c r="AD122" s="404">
        <f t="shared" si="967"/>
        <v>0</v>
      </c>
      <c r="AE122" s="396">
        <f t="shared" si="968"/>
        <v>0</v>
      </c>
      <c r="AF122" s="397">
        <f t="shared" si="852"/>
        <v>0</v>
      </c>
      <c r="AG122" s="394">
        <f t="shared" si="969"/>
        <v>0</v>
      </c>
      <c r="AH122" s="404">
        <f t="shared" si="970"/>
        <v>0</v>
      </c>
      <c r="AI122" s="404">
        <f t="shared" si="971"/>
        <v>0</v>
      </c>
      <c r="AJ122" s="396">
        <f t="shared" si="972"/>
        <v>0</v>
      </c>
      <c r="AK122" s="397">
        <f t="shared" si="857"/>
        <v>0</v>
      </c>
      <c r="AL122" s="394">
        <f t="shared" si="973"/>
        <v>0</v>
      </c>
      <c r="AM122" s="404">
        <f t="shared" si="974"/>
        <v>0</v>
      </c>
      <c r="AN122" s="404">
        <f t="shared" si="975"/>
        <v>0</v>
      </c>
      <c r="AO122" s="396">
        <f t="shared" si="976"/>
        <v>0</v>
      </c>
      <c r="AP122" s="397">
        <f t="shared" si="862"/>
        <v>0</v>
      </c>
      <c r="AQ122" s="394">
        <f t="shared" si="977"/>
        <v>0</v>
      </c>
      <c r="AR122" s="404">
        <f t="shared" si="978"/>
        <v>0</v>
      </c>
      <c r="AS122" s="404">
        <f t="shared" si="979"/>
        <v>0</v>
      </c>
      <c r="AT122" s="396">
        <f t="shared" si="980"/>
        <v>0</v>
      </c>
      <c r="AU122" s="397">
        <f t="shared" si="867"/>
        <v>0</v>
      </c>
      <c r="AV122" s="394">
        <f t="shared" si="981"/>
        <v>0</v>
      </c>
      <c r="AW122" s="404">
        <f t="shared" si="982"/>
        <v>0</v>
      </c>
      <c r="AX122" s="404">
        <f t="shared" si="983"/>
        <v>0</v>
      </c>
      <c r="AY122" s="396">
        <f t="shared" si="984"/>
        <v>0</v>
      </c>
      <c r="AZ122" s="397">
        <f t="shared" si="872"/>
        <v>0</v>
      </c>
      <c r="BA122" s="394">
        <f t="shared" si="873"/>
        <v>0</v>
      </c>
      <c r="BB122" s="404">
        <f t="shared" si="874"/>
        <v>0</v>
      </c>
      <c r="BC122" s="404">
        <f t="shared" si="875"/>
        <v>0</v>
      </c>
      <c r="BD122" s="396">
        <f t="shared" si="876"/>
        <v>0</v>
      </c>
      <c r="BE122" s="397">
        <f t="shared" si="877"/>
        <v>0</v>
      </c>
      <c r="BF122" s="394">
        <f t="shared" si="878"/>
        <v>0</v>
      </c>
      <c r="BG122" s="404">
        <f t="shared" si="879"/>
        <v>0</v>
      </c>
      <c r="BH122" s="404">
        <f t="shared" si="880"/>
        <v>0</v>
      </c>
      <c r="BI122" s="396">
        <f t="shared" si="881"/>
        <v>0</v>
      </c>
      <c r="BJ122" s="397">
        <f t="shared" si="882"/>
        <v>0</v>
      </c>
      <c r="BK122" s="394">
        <f t="shared" si="944"/>
        <v>0</v>
      </c>
      <c r="BL122" s="404">
        <f t="shared" si="945"/>
        <v>0</v>
      </c>
      <c r="BM122" s="404">
        <f t="shared" si="946"/>
        <v>0</v>
      </c>
      <c r="BN122" s="396">
        <f t="shared" si="947"/>
        <v>0</v>
      </c>
      <c r="BO122" s="397">
        <f t="shared" si="887"/>
        <v>0</v>
      </c>
      <c r="BP122" s="452"/>
      <c r="BQ122" s="403">
        <f t="shared" si="888"/>
        <v>0</v>
      </c>
      <c r="BR122" s="400">
        <f>IF($H122&lt;&gt;BV$5,0,IF(BV122&lt;0,IF($J122=1,-$E122*$I122/12*3,IF($J122=2,-$E122*$I122/12*2,IF($J122=3,-$E122*$I122/12*1,0)))))+IF(BQ$5&lt;&gt;$H122,0,IF(BQ122&lt;0,IF($J122=1,-$E122*$I122/12*0,IF($J122=2,-$E122*$I122/12*1,IF($J122=3,-$E122*$I122/12*2,IF($J122&gt;=4,-$E122*$I122/12*3,0))))))</f>
        <v>0</v>
      </c>
      <c r="BS122" s="406">
        <f>IF($H122&lt;&gt;BV$5,0,IF(BV122&lt;0,IF(OR($J122=1,$J122=2,$J122=3,$J122=4),-$E122*$I122/12*3,IF($J122=5,-$E122*$I122/12*2,IF($J122=6,-$E122*$I122/12*1,0)))))+IF(BQ$5&lt;&gt;$H122,0,IF(BQ122&lt;0,IF($J122=4,-$E122*$I122/12*0,IF($J122=5,-$E122*$I122/12*1,IF($J122=6,-$E122*$I122/12*2,IF($J122&gt;=7,-$E122*$I122/12*3,0))))))</f>
        <v>0</v>
      </c>
      <c r="BT122" s="406">
        <f>IF($H122&lt;&gt;BV$5,0,IF(BV122&lt;0,IF(OR($J122=1,$J122=2,$J122=3,$J122=4,$J122=5,$J122=6,$J122=7),-$E122*$I122/12*3,IF($J122=8,-$E122*$I122/12*2,IF($J122=9,-$E122*$I122/12*1,0)))))+IF(BQ$5&lt;&gt;$H122,0,IF(BQ122&lt;0,IF($J122=7,-$E122*$I122/12*0,IF($J122=8,-$E122*$I122/12*1,IF($J122=9,-$E122*$I122/12*2,IF($J122&gt;=10,-$E122*$I122/12*3,0))))))</f>
        <v>0</v>
      </c>
      <c r="BU122" s="402">
        <f>IF($H122&lt;&gt;BV$5,0,IF(BV122&lt;0,IF(OR($J122=1,$J122=2,$J122=3,$J122=4,$J122=5,$J122=6,$J122=7,$J122=8,$J122=9,$J122=10),-$E122*$I122/12*3,IF($J122=11,-$E122*$I122/12*2,IF($J122=12,-$E122*$I122/12*1,0)))))+IF(BQ$5&lt;&gt;$H122,0,IF(BQ122&lt;0,IF($J122=10,-$E122*$I122/12*0,IF($J122=11,-$E122*$I122/12*1,IF($J122=12,-$E122*$I122/12*2,0)))))</f>
        <v>0</v>
      </c>
      <c r="BV122" s="403">
        <f>IF(AND(BQ122&lt;&gt;0,BQ$5=$H122),-$I122*$E122-BQ122,IF(BV$5=$H122,-$I122*$E122*(12-$J122+1)/12,0))</f>
        <v>0</v>
      </c>
      <c r="BW122" s="400">
        <f>IF($H122&lt;&gt;CA$5,0,IF(CA122&lt;0,IF($J122=1,-$E122*$I122/12*3,IF($J122=2,-$E122*$I122/12*2,IF($J122=3,-$E122*$I122/12*1,0)))))+IF(BV$5&lt;&gt;$H122,0,IF(BV122&lt;0,IF($J122=1,-$E122*$I122/12*0,IF($J122=2,-$E122*$I122/12*1,IF($J122=3,-$E122*$I122/12*2,IF($J122&gt;=4,-$E122*$I122/12*3,0))))))</f>
        <v>0</v>
      </c>
      <c r="BX122" s="406">
        <f>IF($H122&lt;&gt;CA$5,0,IF(CA122&lt;0,IF(OR($J122=1,$J122=2,$J122=3,$J122=4),-$E122*$I122/12*3,IF($J122=5,-$E122*$I122/12*2,IF($J122=6,-$E122*$I122/12*1,0)))))+IF(BV$5&lt;&gt;$H122,0,IF(BV122&lt;0,IF($J122=4,-$E122*$I122/12*0,IF($J122=5,-$E122*$I122/12*1,IF($J122=6,-$E122*$I122/12*2,IF($J122&gt;=7,-$E122*$I122/12*3,0))))))</f>
        <v>0</v>
      </c>
      <c r="BY122" s="406">
        <f>IF($H122&lt;&gt;CA$5,0,IF(CA122&lt;0,IF(OR($J122=1,$J122=2,$J122=3,$J122=4,$J122=5,$J122=6,$J122=7),-$E122*$I122/12*3,IF($J122=8,-$E122*$I122/12*2,IF($J122=9,-$E122*$I122/12*1,0)))))+IF(BV$5&lt;&gt;$H122,0,IF(BV122&lt;0,IF($J122=7,-$E122*$I122/12*0,IF($J122=8,-$E122*$I122/12*1,IF($J122=9,-$E122*$I122/12*2,IF($J122&gt;=10,-$E122*$I122/12*3,0))))))</f>
        <v>0</v>
      </c>
      <c r="BZ122" s="402">
        <f>IF($H122&lt;&gt;CA$5,0,IF(CA122&lt;0,IF(OR($J122=1,$J122=2,$J122=3,$J122=4,$J122=5,$J122=6,$J122=7,$J122=8,$J122=9,$J122=10),-$E122*$I122/12*3,IF($J122=11,-$E122*$I122/12*2,IF($J122=12,-$E122*$I122/12*1,0)))))+IF(BV$5&lt;&gt;$H122,0,IF(BV122&lt;0,IF($J122=10,-$E122*$I122/12*0,IF($J122=11,-$E122*$I122/12*1,IF($J122=12,-$E122*$I122/12*2,0)))))</f>
        <v>0</v>
      </c>
      <c r="CA122" s="403">
        <f>IF(AND(BV122&lt;&gt;0,BV$5=$H122),-$I122*$E122-BV122,IF(CA$5=$H122,-$I122*$E122*(12-$J122+1)/12,0))</f>
        <v>0</v>
      </c>
      <c r="CB122" s="400">
        <f>IF($H122&lt;&gt;CF$5,0,IF(CF122&lt;0,IF($J122=1,-$E122*$I122/12*3,IF($J122=2,-$E122*$I122/12*2,IF($J122=3,-$E122*$I122/12*1,0)))))+IF(CA$5&lt;&gt;$H122,0,IF(CA122&lt;0,IF($J122=1,-$E122*$I122/12*0,IF($J122=2,-$E122*$I122/12*1,IF($J122=3,-$E122*$I122/12*2,IF($J122&gt;=4,-$E122*$I122/12*3,0))))))</f>
        <v>0</v>
      </c>
      <c r="CC122" s="406">
        <f>IF($H122&lt;&gt;CF$5,0,IF(CF122&lt;0,IF(OR($J122=1,$J122=2,$J122=3,$J122=4),-$E122*$I122/12*3,IF($J122=5,-$E122*$I122/12*2,IF($J122=6,-$E122*$I122/12*1,0)))))+IF(CA$5&lt;&gt;$H122,0,IF(CA122&lt;0,IF($J122=4,-$E122*$I122/12*0,IF($J122=5,-$E122*$I122/12*1,IF($J122=6,-$E122*$I122/12*2,IF($J122&gt;=7,-$E122*$I122/12*3,0))))))</f>
        <v>0</v>
      </c>
      <c r="CD122" s="406">
        <f>IF($H122&lt;&gt;CF$5,0,IF(CF122&lt;0,IF(OR($J122=1,$J122=2,$J122=3,$J122=4,$J122=5,$J122=6,$J122=7),-$E122*$I122/12*3,IF($J122=8,-$E122*$I122/12*2,IF($J122=9,-$E122*$I122/12*1,0)))))+IF(CA$5&lt;&gt;$H122,0,IF(CA122&lt;0,IF($J122=7,-$E122*$I122/12*0,IF($J122=8,-$E122*$I122/12*1,IF($J122=9,-$E122*$I122/12*2,IF($J122&gt;=10,-$E122*$I122/12*3,0))))))</f>
        <v>0</v>
      </c>
      <c r="CE122" s="402">
        <f>IF($H122&lt;&gt;CF$5,0,IF(CF122&lt;0,IF(OR($J122=1,$J122=2,$J122=3,$J122=4,$J122=5,$J122=6,$J122=7,$J122=8,$J122=9,$J122=10),-$E122*$I122/12*3,IF($J122=11,-$E122*$I122/12*2,IF($J122=12,-$E122*$I122/12*1,0)))))+IF(CA$5&lt;&gt;$H122,0,IF(CA122&lt;0,IF($J122=10,-$E122*$I122/12*0,IF($J122=11,-$E122*$I122/12*1,IF($J122=12,-$E122*$I122/12*2,0)))))</f>
        <v>0</v>
      </c>
      <c r="CF122" s="403">
        <f>IF(AND(CA122&lt;&gt;0,CA$5=$H122),-$I122*$E122-CA122,IF(CF$5=$H122,-$I122*$E122*(12-$J122+1)/12,0))</f>
        <v>0</v>
      </c>
      <c r="CG122" s="400">
        <f>IF($H122&lt;&gt;CK$5,0,IF(CK122&lt;0,IF($J122=1,-$E122*$I122/12*3,IF($J122=2,-$E122*$I122/12*2,IF($J122=3,-$E122*$I122/12*1,0)))))+IF(CF$5&lt;&gt;$H122,0,IF(CF122&lt;0,IF($J122=1,-$E122*$I122/12*0,IF($J122=2,-$E122*$I122/12*1,IF($J122=3,-$E122*$I122/12*2,IF($J122&gt;=4,-$E122*$I122/12*3,0))))))</f>
        <v>0</v>
      </c>
      <c r="CH122" s="406">
        <f>IF($H122&lt;&gt;CK$5,0,IF(CK122&lt;0,IF(OR($J122=1,$J122=2,$J122=3,$J122=4),-$E122*$I122/12*3,IF($J122=5,-$E122*$I122/12*2,IF($J122=6,-$E122*$I122/12*1,0)))))+IF(CF$5&lt;&gt;$H122,0,IF(CF122&lt;0,IF($J122=4,-$E122*$I122/12*0,IF($J122=5,-$E122*$I122/12*1,IF($J122=6,-$E122*$I122/12*2,IF($J122&gt;=7,-$E122*$I122/12*3,0))))))</f>
        <v>0</v>
      </c>
      <c r="CI122" s="406">
        <f>IF($H122&lt;&gt;CK$5,0,IF(CK122&lt;0,IF(OR($J122=1,$J122=2,$J122=3,$J122=4,$J122=5,$J122=6,$J122=7),-$E122*$I122/12*3,IF($J122=8,-$E122*$I122/12*2,IF($J122=9,-$E122*$I122/12*1,0)))))+IF(CF$5&lt;&gt;$H122,0,IF(CF122&lt;0,IF($J122=7,-$E122*$I122/12*0,IF($J122=8,-$E122*$I122/12*1,IF($J122=9,-$E122*$I122/12*2,IF($J122&gt;=10,-$E122*$I122/12*3,0))))))</f>
        <v>0</v>
      </c>
      <c r="CJ122" s="402">
        <f>IF($H122&lt;&gt;CK$5,0,IF(CK122&lt;0,IF(OR($J122=1,$J122=2,$J122=3,$J122=4,$J122=5,$J122=6,$J122=7,$J122=8,$J122=9,$J122=10),-$E122*$I122/12*3,IF($J122=11,-$E122*$I122/12*2,IF($J122=12,-$E122*$I122/12*1,0)))))+IF(CF$5&lt;&gt;$H122,0,IF(CF122&lt;0,IF($J122=10,-$E122*$I122/12*0,IF($J122=11,-$E122*$I122/12*1,IF($J122=12,-$E122*$I122/12*2,0)))))</f>
        <v>0</v>
      </c>
      <c r="CK122" s="403">
        <f>IF(AND(CF122&lt;&gt;0,CF$5=$H122),-$I122*$E122-CF122,IF(CK$5=$H122,-$I122*$E122*(12-$J122+1)/12,0))</f>
        <v>0</v>
      </c>
      <c r="CL122" s="400">
        <f>IF($H122&lt;&gt;CP$5,0,IF(CP122&lt;0,IF($J122=1,-$E122*$I122/12*3,IF($J122=2,-$E122*$I122/12*2,IF($J122=3,-$E122*$I122/12*1,0)))))+IF(CK$5&lt;&gt;$H122,0,IF(CK122&lt;0,IF($J122=1,-$E122*$I122/12*0,IF($J122=2,-$E122*$I122/12*1,IF($J122=3,-$E122*$I122/12*2,IF($J122&gt;=4,-$E122*$I122/12*3,0))))))</f>
        <v>0</v>
      </c>
      <c r="CM122" s="406">
        <f>IF($H122&lt;&gt;CP$5,0,IF(CP122&lt;0,IF(OR($J122=1,$J122=2,$J122=3,$J122=4),-$E122*$I122/12*3,IF($J122=5,-$E122*$I122/12*2,IF($J122=6,-$E122*$I122/12*1,0)))))+IF(CK$5&lt;&gt;$H122,0,IF(CK122&lt;0,IF($J122=4,-$E122*$I122/12*0,IF($J122=5,-$E122*$I122/12*1,IF($J122=6,-$E122*$I122/12*2,IF($J122&gt;=7,-$E122*$I122/12*3,0))))))</f>
        <v>0</v>
      </c>
      <c r="CN122" s="406">
        <f>IF($H122&lt;&gt;CP$5,0,IF(CP122&lt;0,IF(OR($J122=1,$J122=2,$J122=3,$J122=4,$J122=5,$J122=6,$J122=7),-$E122*$I122/12*3,IF($J122=8,-$E122*$I122/12*2,IF($J122=9,-$E122*$I122/12*1,0)))))+IF(CK$5&lt;&gt;$H122,0,IF(CK122&lt;0,IF($J122=7,-$E122*$I122/12*0,IF($J122=8,-$E122*$I122/12*1,IF($J122=9,-$E122*$I122/12*2,IF($J122&gt;=10,-$E122*$I122/12*3,0))))))</f>
        <v>0</v>
      </c>
      <c r="CO122" s="402">
        <f>IF($H122&lt;&gt;CP$5,0,IF(CP122&lt;0,IF(OR($J122=1,$J122=2,$J122=3,$J122=4,$J122=5,$J122=6,$J122=7,$J122=8,$J122=9,$J122=10),-$E122*$I122/12*3,IF($J122=11,-$E122*$I122/12*2,IF($J122=12,-$E122*$I122/12*1,0)))))+IF(CK$5&lt;&gt;$H122,0,IF(CK122&lt;0,IF($J122=10,-$E122*$I122/12*0,IF($J122=11,-$E122*$I122/12*1,IF($J122=12,-$E122*$I122/12*2,0)))))</f>
        <v>0</v>
      </c>
      <c r="CP122" s="403">
        <f>IF(AND(CK122&lt;&gt;0,CK$5=$H122),-$I122*$E122-CK122,IF(CP$5=$H122,-$I122*$E122*(12-$J122+1)/12,0))</f>
        <v>0</v>
      </c>
      <c r="CQ122" s="400">
        <f>IF($H122&lt;&gt;CU$5,0,IF(CU122&lt;0,IF($J122=1,-$E122*$I122/12*3,IF($J122=2,-$E122*$I122/12*2,IF($J122=3,-$E122*$I122/12*1,0)))))+IF(CP$5&lt;&gt;$H122,0,IF(CP122&lt;0,IF($J122=1,-$E122*$I122/12*0,IF($J122=2,-$E122*$I122/12*1,IF($J122=3,-$E122*$I122/12*2,IF($J122&gt;=4,-$E122*$I122/12*3,0))))))</f>
        <v>0</v>
      </c>
      <c r="CR122" s="406">
        <f>IF($H122&lt;&gt;CU$5,0,IF(CU122&lt;0,IF(OR($J122=1,$J122=2,$J122=3,$J122=4),-$E122*$I122/12*3,IF($J122=5,-$E122*$I122/12*2,IF($J122=6,-$E122*$I122/12*1,0)))))+IF(CP$5&lt;&gt;$H122,0,IF(CP122&lt;0,IF($J122=4,-$E122*$I122/12*0,IF($J122=5,-$E122*$I122/12*1,IF($J122=6,-$E122*$I122/12*2,IF($J122&gt;=7,-$E122*$I122/12*3,0))))))</f>
        <v>0</v>
      </c>
      <c r="CS122" s="406">
        <f>IF($H122&lt;&gt;CU$5,0,IF(CU122&lt;0,IF(OR($J122=1,$J122=2,$J122=3,$J122=4,$J122=5,$J122=6,$J122=7),-$E122*$I122/12*3,IF($J122=8,-$E122*$I122/12*2,IF($J122=9,-$E122*$I122/12*1,0)))))+IF(CP$5&lt;&gt;$H122,0,IF(CP122&lt;0,IF($J122=7,-$E122*$I122/12*0,IF($J122=8,-$E122*$I122/12*1,IF($J122=9,-$E122*$I122/12*2,IF($J122&gt;=10,-$E122*$I122/12*3,0))))))</f>
        <v>0</v>
      </c>
      <c r="CT122" s="402">
        <f>IF($H122&lt;&gt;CU$5,0,IF(CU122&lt;0,IF(OR($J122=1,$J122=2,$J122=3,$J122=4,$J122=5,$J122=6,$J122=7,$J122=8,$J122=9,$J122=10),-$E122*$I122/12*3,IF($J122=11,-$E122*$I122/12*2,IF($J122=12,-$E122*$I122/12*1,0)))))+IF(CP$5&lt;&gt;$H122,0,IF(CP122&lt;0,IF($J122=10,-$E122*$I122/12*0,IF($J122=11,-$E122*$I122/12*1,IF($J122=12,-$E122*$I122/12*2,0)))))</f>
        <v>0</v>
      </c>
      <c r="CU122" s="403">
        <f>IF(AND(CP122&lt;&gt;0,CP$5=$H122),-$I122*$E122-CP122,IF(CU$5=$H122,-$I122*$E122*(12-$J122+1)/12,0))</f>
        <v>0</v>
      </c>
      <c r="CV122" s="400">
        <f>IF($H122&lt;&gt;CZ$5,0,IF(CZ122&lt;0,IF($J122=1,-$E122*$I122/12*3,IF($J122=2,-$E122*$I122/12*2,IF($J122=3,-$E122*$I122/12*1,0)))))+IF(CU$5&lt;&gt;$H122,0,IF(CU122&lt;0,IF($J122=1,-$E122*$I122/12*0,IF($J122=2,-$E122*$I122/12*1,IF($J122=3,-$E122*$I122/12*2,IF($J122&gt;=4,-$E122*$I122/12*3,0))))))</f>
        <v>0</v>
      </c>
      <c r="CW122" s="406">
        <f>IF($H122&lt;&gt;CZ$5,0,IF(CZ122&lt;0,IF(OR($J122=1,$J122=2,$J122=3,$J122=4),-$E122*$I122/12*3,IF($J122=5,-$E122*$I122/12*2,IF($J122=6,-$E122*$I122/12*1,0)))))+IF(CU$5&lt;&gt;$H122,0,IF(CU122&lt;0,IF($J122=4,-$E122*$I122/12*0,IF($J122=5,-$E122*$I122/12*1,IF($J122=6,-$E122*$I122/12*2,IF($J122&gt;=7,-$E122*$I122/12*3,0))))))</f>
        <v>0</v>
      </c>
      <c r="CX122" s="406">
        <f>IF($H122&lt;&gt;CZ$5,0,IF(CZ122&lt;0,IF(OR($J122=1,$J122=2,$J122=3,$J122=4,$J122=5,$J122=6,$J122=7),-$E122*$I122/12*3,IF($J122=8,-$E122*$I122/12*2,IF($J122=9,-$E122*$I122/12*1,0)))))+IF(CU$5&lt;&gt;$H122,0,IF(CU122&lt;0,IF($J122=7,-$E122*$I122/12*0,IF($J122=8,-$E122*$I122/12*1,IF($J122=9,-$E122*$I122/12*2,IF($J122&gt;=10,-$E122*$I122/12*3,0))))))</f>
        <v>0</v>
      </c>
      <c r="CY122" s="402">
        <f>IF($H122&lt;&gt;CZ$5,0,IF(CZ122&lt;0,IF(OR($J122=1,$J122=2,$J122=3,$J122=4,$J122=5,$J122=6,$J122=7,$J122=8,$J122=9,$J122=10),-$E122*$I122/12*3,IF($J122=11,-$E122*$I122/12*2,IF($J122=12,-$E122*$I122/12*1,0)))))+IF(CU$5&lt;&gt;$H122,0,IF(CU122&lt;0,IF($J122=10,-$E122*$I122/12*0,IF($J122=11,-$E122*$I122/12*1,IF($J122=12,-$E122*$I122/12*2,0)))))</f>
        <v>0</v>
      </c>
      <c r="CZ122" s="403">
        <f>IF(AND(CU122&lt;&gt;0,CU$5=$H122),-$I122*$E122-CU122,IF(CZ$5=$H122,-$I122*$E122*(12-$J122+1)/12,0))</f>
        <v>0</v>
      </c>
      <c r="DA122" s="400">
        <f>IF($H122&lt;&gt;DE$5,0,IF(DE122&lt;0,IF($J122=1,-$E122*$I122/12*3,IF($J122=2,-$E122*$I122/12*2,IF($J122=3,-$E122*$I122/12*1,0)))))+IF(CZ$5&lt;&gt;$H122,0,IF(CZ122&lt;0,IF($J122=1,-$E122*$I122/12*0,IF($J122=2,-$E122*$I122/12*1,IF($J122=3,-$E122*$I122/12*2,IF($J122&gt;=4,-$E122*$I122/12*3,0))))))</f>
        <v>0</v>
      </c>
      <c r="DB122" s="406">
        <f>IF($H122&lt;&gt;DE$5,0,IF(DE122&lt;0,IF(OR($J122=1,$J122=2,$J122=3,$J122=4),-$E122*$I122/12*3,IF($J122=5,-$E122*$I122/12*2,IF($J122=6,-$E122*$I122/12*1,0)))))+IF(CZ$5&lt;&gt;$H122,0,IF(CZ122&lt;0,IF($J122=4,-$E122*$I122/12*0,IF($J122=5,-$E122*$I122/12*1,IF($J122=6,-$E122*$I122/12*2,IF($J122&gt;=7,-$E122*$I122/12*3,0))))))</f>
        <v>0</v>
      </c>
      <c r="DC122" s="406">
        <f>IF($H122&lt;&gt;DE$5,0,IF(DE122&lt;0,IF(OR($J122=1,$J122=2,$J122=3,$J122=4,$J122=5,$J122=6,$J122=7),-$E122*$I122/12*3,IF($J122=8,-$E122*$I122/12*2,IF($J122=9,-$E122*$I122/12*1,0)))))+IF(CZ$5&lt;&gt;$H122,0,IF(CZ122&lt;0,IF($J122=7,-$E122*$I122/12*0,IF($J122=8,-$E122*$I122/12*1,IF($J122=9,-$E122*$I122/12*2,IF($J122&gt;=10,-$E122*$I122/12*3,0))))))</f>
        <v>0</v>
      </c>
      <c r="DD122" s="402">
        <f>IF($H122&lt;&gt;DE$5,0,IF(DE122&lt;0,IF(OR($J122=1,$J122=2,$J122=3,$J122=4,$J122=5,$J122=6,$J122=7,$J122=8,$J122=9,$J122=10),-$E122*$I122/12*3,IF($J122=11,-$E122*$I122/12*2,IF($J122=12,-$E122*$I122/12*1,0)))))+IF(CZ$5&lt;&gt;$H122,0,IF(CZ122&lt;0,IF($J122=10,-$E122*$I122/12*0,IF($J122=11,-$E122*$I122/12*1,IF($J122=12,-$E122*$I122/12*2,0)))))</f>
        <v>0</v>
      </c>
      <c r="DE122" s="403">
        <f>IF(AND(CZ122&lt;&gt;0,CZ$5=$H122),-$I122*$E122-CZ122,IF(DE$5=$H122,-$I122*$E122*(12-$J122+1)/12,0))</f>
        <v>0</v>
      </c>
      <c r="DF122" s="400">
        <f t="shared" si="929"/>
        <v>0</v>
      </c>
      <c r="DG122" s="406">
        <f t="shared" si="930"/>
        <v>0</v>
      </c>
      <c r="DH122" s="406">
        <f t="shared" si="931"/>
        <v>0</v>
      </c>
      <c r="DI122" s="402">
        <f t="shared" si="932"/>
        <v>0</v>
      </c>
      <c r="DJ122" s="403">
        <f t="shared" si="933"/>
        <v>0</v>
      </c>
      <c r="DK122" s="400">
        <f t="shared" si="934"/>
        <v>0</v>
      </c>
      <c r="DL122" s="406">
        <f t="shared" si="935"/>
        <v>0</v>
      </c>
      <c r="DM122" s="406">
        <f t="shared" si="936"/>
        <v>0</v>
      </c>
      <c r="DN122" s="402">
        <f t="shared" si="937"/>
        <v>0</v>
      </c>
      <c r="DO122" s="403">
        <f t="shared" si="938"/>
        <v>0</v>
      </c>
      <c r="DP122" s="400">
        <f t="shared" si="948"/>
        <v>0</v>
      </c>
      <c r="DQ122" s="406">
        <f t="shared" si="949"/>
        <v>0</v>
      </c>
      <c r="DR122" s="406">
        <f t="shared" si="950"/>
        <v>0</v>
      </c>
      <c r="DS122" s="402">
        <f t="shared" si="951"/>
        <v>0</v>
      </c>
      <c r="DT122" s="403">
        <f t="shared" si="952"/>
        <v>0</v>
      </c>
      <c r="EF122" s="35"/>
      <c r="EI122" s="759"/>
    </row>
    <row r="123" spans="3:139" ht="12.75" customHeight="1" x14ac:dyDescent="0.2">
      <c r="C123" s="850" t="s">
        <v>622</v>
      </c>
      <c r="D123" s="52"/>
      <c r="E123" s="530">
        <f t="shared" si="831"/>
        <v>300</v>
      </c>
      <c r="F123" s="532">
        <v>300</v>
      </c>
      <c r="G123" s="532">
        <v>300</v>
      </c>
      <c r="H123" s="449">
        <v>2044</v>
      </c>
      <c r="I123" s="450">
        <v>4.2999999999999997E-2</v>
      </c>
      <c r="J123" s="451">
        <v>3</v>
      </c>
      <c r="K123" s="392"/>
      <c r="L123" s="397">
        <f t="shared" si="832"/>
        <v>0</v>
      </c>
      <c r="M123" s="394">
        <f t="shared" si="953"/>
        <v>0</v>
      </c>
      <c r="N123" s="404">
        <f t="shared" si="954"/>
        <v>0</v>
      </c>
      <c r="O123" s="404">
        <f t="shared" si="955"/>
        <v>0</v>
      </c>
      <c r="P123" s="396">
        <f t="shared" si="956"/>
        <v>0</v>
      </c>
      <c r="Q123" s="397">
        <f t="shared" si="837"/>
        <v>0</v>
      </c>
      <c r="R123" s="394">
        <f t="shared" si="957"/>
        <v>0</v>
      </c>
      <c r="S123" s="404">
        <f t="shared" si="958"/>
        <v>0</v>
      </c>
      <c r="T123" s="404">
        <f t="shared" si="959"/>
        <v>0</v>
      </c>
      <c r="U123" s="396">
        <f t="shared" si="960"/>
        <v>0</v>
      </c>
      <c r="V123" s="397">
        <f t="shared" si="842"/>
        <v>0</v>
      </c>
      <c r="W123" s="394">
        <f t="shared" si="961"/>
        <v>0</v>
      </c>
      <c r="X123" s="404">
        <f t="shared" si="962"/>
        <v>0</v>
      </c>
      <c r="Y123" s="404">
        <f t="shared" si="963"/>
        <v>0</v>
      </c>
      <c r="Z123" s="396">
        <f t="shared" si="964"/>
        <v>0</v>
      </c>
      <c r="AA123" s="397">
        <f t="shared" si="847"/>
        <v>0</v>
      </c>
      <c r="AB123" s="394">
        <f t="shared" si="965"/>
        <v>0</v>
      </c>
      <c r="AC123" s="404">
        <f t="shared" si="966"/>
        <v>0</v>
      </c>
      <c r="AD123" s="404">
        <f t="shared" si="967"/>
        <v>0</v>
      </c>
      <c r="AE123" s="396">
        <f t="shared" si="968"/>
        <v>0</v>
      </c>
      <c r="AF123" s="397">
        <f t="shared" si="852"/>
        <v>0</v>
      </c>
      <c r="AG123" s="394">
        <f t="shared" si="969"/>
        <v>0</v>
      </c>
      <c r="AH123" s="404">
        <f t="shared" si="970"/>
        <v>0</v>
      </c>
      <c r="AI123" s="404">
        <f t="shared" si="971"/>
        <v>0</v>
      </c>
      <c r="AJ123" s="396">
        <f t="shared" si="972"/>
        <v>0</v>
      </c>
      <c r="AK123" s="397">
        <f t="shared" si="857"/>
        <v>0</v>
      </c>
      <c r="AL123" s="394">
        <f t="shared" si="973"/>
        <v>0</v>
      </c>
      <c r="AM123" s="404">
        <f t="shared" si="974"/>
        <v>0</v>
      </c>
      <c r="AN123" s="404">
        <f t="shared" si="975"/>
        <v>0</v>
      </c>
      <c r="AO123" s="396">
        <f t="shared" si="976"/>
        <v>0</v>
      </c>
      <c r="AP123" s="397">
        <f t="shared" si="862"/>
        <v>0</v>
      </c>
      <c r="AQ123" s="394">
        <f t="shared" si="977"/>
        <v>0</v>
      </c>
      <c r="AR123" s="404">
        <f t="shared" si="978"/>
        <v>0</v>
      </c>
      <c r="AS123" s="404">
        <f t="shared" si="979"/>
        <v>0</v>
      </c>
      <c r="AT123" s="396">
        <f t="shared" si="980"/>
        <v>0</v>
      </c>
      <c r="AU123" s="397">
        <f t="shared" si="867"/>
        <v>0</v>
      </c>
      <c r="AV123" s="394">
        <f t="shared" si="981"/>
        <v>0</v>
      </c>
      <c r="AW123" s="404">
        <f t="shared" si="982"/>
        <v>0</v>
      </c>
      <c r="AX123" s="404">
        <f t="shared" si="983"/>
        <v>0</v>
      </c>
      <c r="AY123" s="396">
        <f t="shared" si="984"/>
        <v>0</v>
      </c>
      <c r="AZ123" s="397">
        <f t="shared" si="872"/>
        <v>0</v>
      </c>
      <c r="BA123" s="394">
        <f t="shared" si="873"/>
        <v>0</v>
      </c>
      <c r="BB123" s="404">
        <f t="shared" si="874"/>
        <v>0</v>
      </c>
      <c r="BC123" s="404">
        <f t="shared" si="875"/>
        <v>0</v>
      </c>
      <c r="BD123" s="396">
        <f t="shared" si="876"/>
        <v>0</v>
      </c>
      <c r="BE123" s="397">
        <f t="shared" si="877"/>
        <v>0</v>
      </c>
      <c r="BF123" s="394">
        <f t="shared" si="878"/>
        <v>0</v>
      </c>
      <c r="BG123" s="404">
        <f t="shared" si="879"/>
        <v>0</v>
      </c>
      <c r="BH123" s="404">
        <f t="shared" si="880"/>
        <v>0</v>
      </c>
      <c r="BI123" s="396">
        <f t="shared" si="881"/>
        <v>0</v>
      </c>
      <c r="BJ123" s="397">
        <f t="shared" si="882"/>
        <v>0</v>
      </c>
      <c r="BK123" s="394">
        <f t="shared" si="944"/>
        <v>0</v>
      </c>
      <c r="BL123" s="404">
        <f t="shared" si="945"/>
        <v>0</v>
      </c>
      <c r="BM123" s="404">
        <f t="shared" si="946"/>
        <v>0</v>
      </c>
      <c r="BN123" s="396">
        <f t="shared" si="947"/>
        <v>0</v>
      </c>
      <c r="BO123" s="397">
        <f t="shared" si="887"/>
        <v>0</v>
      </c>
      <c r="BP123" s="452"/>
      <c r="BQ123" s="403">
        <f t="shared" si="888"/>
        <v>0</v>
      </c>
      <c r="BR123" s="400">
        <f>IF($H123&lt;&gt;BV$5,0,IF(BV123&lt;0,IF($J123=1,-$E123*$I123/12*3,IF($J123=2,-$E123*$I123/12*2,IF($J123=3,-$E123*$I123/12*1,0)))))+IF(BQ$5&lt;&gt;$H123,0,IF(BQ123&lt;0,IF($J123=1,-$E123*$I123/12*0,IF($J123=2,-$E123*$I123/12*1,IF($J123=3,-$E123*$I123/12*2,IF($J123&gt;=4,-$E123*$I123/12*3,0))))))</f>
        <v>0</v>
      </c>
      <c r="BS123" s="406">
        <f>IF($H123&lt;&gt;BV$5,0,IF(BV123&lt;0,IF(OR($J123=1,$J123=2,$J123=3,$J123=4),-$E123*$I123/12*3,IF($J123=5,-$E123*$I123/12*2,IF($J123=6,-$E123*$I123/12*1,0)))))+IF(BQ$5&lt;&gt;$H123,0,IF(BQ123&lt;0,IF($J123=4,-$E123*$I123/12*0,IF($J123=5,-$E123*$I123/12*1,IF($J123=6,-$E123*$I123/12*2,IF($J123&gt;=7,-$E123*$I123/12*3,0))))))</f>
        <v>0</v>
      </c>
      <c r="BT123" s="406">
        <f>IF($H123&lt;&gt;BV$5,0,IF(BV123&lt;0,IF(OR($J123=1,$J123=2,$J123=3,$J123=4,$J123=5,$J123=6,$J123=7),-$E123*$I123/12*3,IF($J123=8,-$E123*$I123/12*2,IF($J123=9,-$E123*$I123/12*1,0)))))+IF(BQ$5&lt;&gt;$H123,0,IF(BQ123&lt;0,IF($J123=7,-$E123*$I123/12*0,IF($J123=8,-$E123*$I123/12*1,IF($J123=9,-$E123*$I123/12*2,IF($J123&gt;=10,-$E123*$I123/12*3,0))))))</f>
        <v>0</v>
      </c>
      <c r="BU123" s="402">
        <f>IF($H123&lt;&gt;BV$5,0,IF(BV123&lt;0,IF(OR($J123=1,$J123=2,$J123=3,$J123=4,$J123=5,$J123=6,$J123=7,$J123=8,$J123=9,$J123=10),-$E123*$I123/12*3,IF($J123=11,-$E123*$I123/12*2,IF($J123=12,-$E123*$I123/12*1,0)))))+IF(BQ$5&lt;&gt;$H123,0,IF(BQ123&lt;0,IF($J123=10,-$E123*$I123/12*0,IF($J123=11,-$E123*$I123/12*1,IF($J123=12,-$E123*$I123/12*2,0)))))</f>
        <v>0</v>
      </c>
      <c r="BV123" s="403">
        <f>IF(AND(BQ123&lt;&gt;0,BQ$5=$H123),-$I123*$E123-BQ123,IF(BV$5=$H123,-$I123*$E123*(12-$J123+1)/12,0))</f>
        <v>0</v>
      </c>
      <c r="BW123" s="400">
        <f>IF($H123&lt;&gt;CA$5,0,IF(CA123&lt;0,IF($J123=1,-$E123*$I123/12*3,IF($J123=2,-$E123*$I123/12*2,IF($J123=3,-$E123*$I123/12*1,0)))))+IF(BV$5&lt;&gt;$H123,0,IF(BV123&lt;0,IF($J123=1,-$E123*$I123/12*0,IF($J123=2,-$E123*$I123/12*1,IF($J123=3,-$E123*$I123/12*2,IF($J123&gt;=4,-$E123*$I123/12*3,0))))))</f>
        <v>0</v>
      </c>
      <c r="BX123" s="406">
        <f>IF($H123&lt;&gt;CA$5,0,IF(CA123&lt;0,IF(OR($J123=1,$J123=2,$J123=3,$J123=4),-$E123*$I123/12*3,IF($J123=5,-$E123*$I123/12*2,IF($J123=6,-$E123*$I123/12*1,0)))))+IF(BV$5&lt;&gt;$H123,0,IF(BV123&lt;0,IF($J123=4,-$E123*$I123/12*0,IF($J123=5,-$E123*$I123/12*1,IF($J123=6,-$E123*$I123/12*2,IF($J123&gt;=7,-$E123*$I123/12*3,0))))))</f>
        <v>0</v>
      </c>
      <c r="BY123" s="406">
        <f>IF($H123&lt;&gt;CA$5,0,IF(CA123&lt;0,IF(OR($J123=1,$J123=2,$J123=3,$J123=4,$J123=5,$J123=6,$J123=7),-$E123*$I123/12*3,IF($J123=8,-$E123*$I123/12*2,IF($J123=9,-$E123*$I123/12*1,0)))))+IF(BV$5&lt;&gt;$H123,0,IF(BV123&lt;0,IF($J123=7,-$E123*$I123/12*0,IF($J123=8,-$E123*$I123/12*1,IF($J123=9,-$E123*$I123/12*2,IF($J123&gt;=10,-$E123*$I123/12*3,0))))))</f>
        <v>0</v>
      </c>
      <c r="BZ123" s="402">
        <f>IF($H123&lt;&gt;CA$5,0,IF(CA123&lt;0,IF(OR($J123=1,$J123=2,$J123=3,$J123=4,$J123=5,$J123=6,$J123=7,$J123=8,$J123=9,$J123=10),-$E123*$I123/12*3,IF($J123=11,-$E123*$I123/12*2,IF($J123=12,-$E123*$I123/12*1,0)))))+IF(BV$5&lt;&gt;$H123,0,IF(BV123&lt;0,IF($J123=10,-$E123*$I123/12*0,IF($J123=11,-$E123*$I123/12*1,IF($J123=12,-$E123*$I123/12*2,0)))))</f>
        <v>0</v>
      </c>
      <c r="CA123" s="403">
        <f>IF(AND(BV123&lt;&gt;0,BV$5=$H123),-$I123*$E123-BV123,IF(CA$5=$H123,-$I123*$E123*(12-$J123+1)/12,0))</f>
        <v>0</v>
      </c>
      <c r="CB123" s="400">
        <f>IF($H123&lt;&gt;CF$5,0,IF(CF123&lt;0,IF($J123=1,-$E123*$I123/12*3,IF($J123=2,-$E123*$I123/12*2,IF($J123=3,-$E123*$I123/12*1,0)))))+IF(CA$5&lt;&gt;$H123,0,IF(CA123&lt;0,IF($J123=1,-$E123*$I123/12*0,IF($J123=2,-$E123*$I123/12*1,IF($J123=3,-$E123*$I123/12*2,IF($J123&gt;=4,-$E123*$I123/12*3,0))))))</f>
        <v>0</v>
      </c>
      <c r="CC123" s="406">
        <f>IF($H123&lt;&gt;CF$5,0,IF(CF123&lt;0,IF(OR($J123=1,$J123=2,$J123=3,$J123=4),-$E123*$I123/12*3,IF($J123=5,-$E123*$I123/12*2,IF($J123=6,-$E123*$I123/12*1,0)))))+IF(CA$5&lt;&gt;$H123,0,IF(CA123&lt;0,IF($J123=4,-$E123*$I123/12*0,IF($J123=5,-$E123*$I123/12*1,IF($J123=6,-$E123*$I123/12*2,IF($J123&gt;=7,-$E123*$I123/12*3,0))))))</f>
        <v>0</v>
      </c>
      <c r="CD123" s="406">
        <f>IF($H123&lt;&gt;CF$5,0,IF(CF123&lt;0,IF(OR($J123=1,$J123=2,$J123=3,$J123=4,$J123=5,$J123=6,$J123=7),-$E123*$I123/12*3,IF($J123=8,-$E123*$I123/12*2,IF($J123=9,-$E123*$I123/12*1,0)))))+IF(CA$5&lt;&gt;$H123,0,IF(CA123&lt;0,IF($J123=7,-$E123*$I123/12*0,IF($J123=8,-$E123*$I123/12*1,IF($J123=9,-$E123*$I123/12*2,IF($J123&gt;=10,-$E123*$I123/12*3,0))))))</f>
        <v>0</v>
      </c>
      <c r="CE123" s="402">
        <f>IF($H123&lt;&gt;CF$5,0,IF(CF123&lt;0,IF(OR($J123=1,$J123=2,$J123=3,$J123=4,$J123=5,$J123=6,$J123=7,$J123=8,$J123=9,$J123=10),-$E123*$I123/12*3,IF($J123=11,-$E123*$I123/12*2,IF($J123=12,-$E123*$I123/12*1,0)))))+IF(CA$5&lt;&gt;$H123,0,IF(CA123&lt;0,IF($J123=10,-$E123*$I123/12*0,IF($J123=11,-$E123*$I123/12*1,IF($J123=12,-$E123*$I123/12*2,0)))))</f>
        <v>0</v>
      </c>
      <c r="CF123" s="403">
        <f>IF(AND(CA123&lt;&gt;0,CA$5=$H123),-$I123*$E123-CA123,IF(CF$5=$H123,-$I123*$E123*(12-$J123+1)/12,0))</f>
        <v>0</v>
      </c>
      <c r="CG123" s="400">
        <f>IF($H123&lt;&gt;CK$5,0,IF(CK123&lt;0,IF($J123=1,-$E123*$I123/12*3,IF($J123=2,-$E123*$I123/12*2,IF($J123=3,-$E123*$I123/12*1,0)))))+IF(CF$5&lt;&gt;$H123,0,IF(CF123&lt;0,IF($J123=1,-$E123*$I123/12*0,IF($J123=2,-$E123*$I123/12*1,IF($J123=3,-$E123*$I123/12*2,IF($J123&gt;=4,-$E123*$I123/12*3,0))))))</f>
        <v>0</v>
      </c>
      <c r="CH123" s="406">
        <f>IF($H123&lt;&gt;CK$5,0,IF(CK123&lt;0,IF(OR($J123=1,$J123=2,$J123=3,$J123=4),-$E123*$I123/12*3,IF($J123=5,-$E123*$I123/12*2,IF($J123=6,-$E123*$I123/12*1,0)))))+IF(CF$5&lt;&gt;$H123,0,IF(CF123&lt;0,IF($J123=4,-$E123*$I123/12*0,IF($J123=5,-$E123*$I123/12*1,IF($J123=6,-$E123*$I123/12*2,IF($J123&gt;=7,-$E123*$I123/12*3,0))))))</f>
        <v>0</v>
      </c>
      <c r="CI123" s="406">
        <f>IF($H123&lt;&gt;CK$5,0,IF(CK123&lt;0,IF(OR($J123=1,$J123=2,$J123=3,$J123=4,$J123=5,$J123=6,$J123=7),-$E123*$I123/12*3,IF($J123=8,-$E123*$I123/12*2,IF($J123=9,-$E123*$I123/12*1,0)))))+IF(CF$5&lt;&gt;$H123,0,IF(CF123&lt;0,IF($J123=7,-$E123*$I123/12*0,IF($J123=8,-$E123*$I123/12*1,IF($J123=9,-$E123*$I123/12*2,IF($J123&gt;=10,-$E123*$I123/12*3,0))))))</f>
        <v>0</v>
      </c>
      <c r="CJ123" s="402">
        <f>IF($H123&lt;&gt;CK$5,0,IF(CK123&lt;0,IF(OR($J123=1,$J123=2,$J123=3,$J123=4,$J123=5,$J123=6,$J123=7,$J123=8,$J123=9,$J123=10),-$E123*$I123/12*3,IF($J123=11,-$E123*$I123/12*2,IF($J123=12,-$E123*$I123/12*1,0)))))+IF(CF$5&lt;&gt;$H123,0,IF(CF123&lt;0,IF($J123=10,-$E123*$I123/12*0,IF($J123=11,-$E123*$I123/12*1,IF($J123=12,-$E123*$I123/12*2,0)))))</f>
        <v>0</v>
      </c>
      <c r="CK123" s="403">
        <f>IF(AND(CF123&lt;&gt;0,CF$5=$H123),-$I123*$E123-CF123,IF(CK$5=$H123,-$I123*$E123*(12-$J123+1)/12,0))</f>
        <v>0</v>
      </c>
      <c r="CL123" s="400">
        <f>IF($H123&lt;&gt;CP$5,0,IF(CP123&lt;0,IF($J123=1,-$E123*$I123/12*3,IF($J123=2,-$E123*$I123/12*2,IF($J123=3,-$E123*$I123/12*1,0)))))+IF(CK$5&lt;&gt;$H123,0,IF(CK123&lt;0,IF($J123=1,-$E123*$I123/12*0,IF($J123=2,-$E123*$I123/12*1,IF($J123=3,-$E123*$I123/12*2,IF($J123&gt;=4,-$E123*$I123/12*3,0))))))</f>
        <v>0</v>
      </c>
      <c r="CM123" s="406">
        <f>IF($H123&lt;&gt;CP$5,0,IF(CP123&lt;0,IF(OR($J123=1,$J123=2,$J123=3,$J123=4),-$E123*$I123/12*3,IF($J123=5,-$E123*$I123/12*2,IF($J123=6,-$E123*$I123/12*1,0)))))+IF(CK$5&lt;&gt;$H123,0,IF(CK123&lt;0,IF($J123=4,-$E123*$I123/12*0,IF($J123=5,-$E123*$I123/12*1,IF($J123=6,-$E123*$I123/12*2,IF($J123&gt;=7,-$E123*$I123/12*3,0))))))</f>
        <v>0</v>
      </c>
      <c r="CN123" s="406">
        <f>IF($H123&lt;&gt;CP$5,0,IF(CP123&lt;0,IF(OR($J123=1,$J123=2,$J123=3,$J123=4,$J123=5,$J123=6,$J123=7),-$E123*$I123/12*3,IF($J123=8,-$E123*$I123/12*2,IF($J123=9,-$E123*$I123/12*1,0)))))+IF(CK$5&lt;&gt;$H123,0,IF(CK123&lt;0,IF($J123=7,-$E123*$I123/12*0,IF($J123=8,-$E123*$I123/12*1,IF($J123=9,-$E123*$I123/12*2,IF($J123&gt;=10,-$E123*$I123/12*3,0))))))</f>
        <v>0</v>
      </c>
      <c r="CO123" s="402">
        <f>IF($H123&lt;&gt;CP$5,0,IF(CP123&lt;0,IF(OR($J123=1,$J123=2,$J123=3,$J123=4,$J123=5,$J123=6,$J123=7,$J123=8,$J123=9,$J123=10),-$E123*$I123/12*3,IF($J123=11,-$E123*$I123/12*2,IF($J123=12,-$E123*$I123/12*1,0)))))+IF(CK$5&lt;&gt;$H123,0,IF(CK123&lt;0,IF($J123=10,-$E123*$I123/12*0,IF($J123=11,-$E123*$I123/12*1,IF($J123=12,-$E123*$I123/12*2,0)))))</f>
        <v>0</v>
      </c>
      <c r="CP123" s="403">
        <f>IF(AND(CK123&lt;&gt;0,CK$5=$H123),-$I123*$E123-CK123,IF(CP$5=$H123,-$I123*$E123*(12-$J123+1)/12,0))</f>
        <v>0</v>
      </c>
      <c r="CQ123" s="400">
        <f>IF($H123&lt;&gt;CU$5,0,IF(CU123&lt;0,IF($J123=1,-$E123*$I123/12*3,IF($J123=2,-$E123*$I123/12*2,IF($J123=3,-$E123*$I123/12*1,0)))))+IF(CP$5&lt;&gt;$H123,0,IF(CP123&lt;0,IF($J123=1,-$E123*$I123/12*0,IF($J123=2,-$E123*$I123/12*1,IF($J123=3,-$E123*$I123/12*2,IF($J123&gt;=4,-$E123*$I123/12*3,0))))))</f>
        <v>0</v>
      </c>
      <c r="CR123" s="406">
        <f>IF($H123&lt;&gt;CU$5,0,IF(CU123&lt;0,IF(OR($J123=1,$J123=2,$J123=3,$J123=4),-$E123*$I123/12*3,IF($J123=5,-$E123*$I123/12*2,IF($J123=6,-$E123*$I123/12*1,0)))))+IF(CP$5&lt;&gt;$H123,0,IF(CP123&lt;0,IF($J123=4,-$E123*$I123/12*0,IF($J123=5,-$E123*$I123/12*1,IF($J123=6,-$E123*$I123/12*2,IF($J123&gt;=7,-$E123*$I123/12*3,0))))))</f>
        <v>0</v>
      </c>
      <c r="CS123" s="406">
        <f>IF($H123&lt;&gt;CU$5,0,IF(CU123&lt;0,IF(OR($J123=1,$J123=2,$J123=3,$J123=4,$J123=5,$J123=6,$J123=7),-$E123*$I123/12*3,IF($J123=8,-$E123*$I123/12*2,IF($J123=9,-$E123*$I123/12*1,0)))))+IF(CP$5&lt;&gt;$H123,0,IF(CP123&lt;0,IF($J123=7,-$E123*$I123/12*0,IF($J123=8,-$E123*$I123/12*1,IF($J123=9,-$E123*$I123/12*2,IF($J123&gt;=10,-$E123*$I123/12*3,0))))))</f>
        <v>0</v>
      </c>
      <c r="CT123" s="402">
        <f>IF($H123&lt;&gt;CU$5,0,IF(CU123&lt;0,IF(OR($J123=1,$J123=2,$J123=3,$J123=4,$J123=5,$J123=6,$J123=7,$J123=8,$J123=9,$J123=10),-$E123*$I123/12*3,IF($J123=11,-$E123*$I123/12*2,IF($J123=12,-$E123*$I123/12*1,0)))))+IF(CP$5&lt;&gt;$H123,0,IF(CP123&lt;0,IF($J123=10,-$E123*$I123/12*0,IF($J123=11,-$E123*$I123/12*1,IF($J123=12,-$E123*$I123/12*2,0)))))</f>
        <v>0</v>
      </c>
      <c r="CU123" s="403">
        <f>IF(AND(CP123&lt;&gt;0,CP$5=$H123),-$I123*$E123-CP123,IF(CU$5=$H123,-$I123*$E123*(12-$J123+1)/12,0))</f>
        <v>0</v>
      </c>
      <c r="CV123" s="400">
        <f>IF($H123&lt;&gt;CZ$5,0,IF(CZ123&lt;0,IF($J123=1,-$E123*$I123/12*3,IF($J123=2,-$E123*$I123/12*2,IF($J123=3,-$E123*$I123/12*1,0)))))+IF(CU$5&lt;&gt;$H123,0,IF(CU123&lt;0,IF($J123=1,-$E123*$I123/12*0,IF($J123=2,-$E123*$I123/12*1,IF($J123=3,-$E123*$I123/12*2,IF($J123&gt;=4,-$E123*$I123/12*3,0))))))</f>
        <v>0</v>
      </c>
      <c r="CW123" s="406">
        <f>IF($H123&lt;&gt;CZ$5,0,IF(CZ123&lt;0,IF(OR($J123=1,$J123=2,$J123=3,$J123=4),-$E123*$I123/12*3,IF($J123=5,-$E123*$I123/12*2,IF($J123=6,-$E123*$I123/12*1,0)))))+IF(CU$5&lt;&gt;$H123,0,IF(CU123&lt;0,IF($J123=4,-$E123*$I123/12*0,IF($J123=5,-$E123*$I123/12*1,IF($J123=6,-$E123*$I123/12*2,IF($J123&gt;=7,-$E123*$I123/12*3,0))))))</f>
        <v>0</v>
      </c>
      <c r="CX123" s="406">
        <f>IF($H123&lt;&gt;CZ$5,0,IF(CZ123&lt;0,IF(OR($J123=1,$J123=2,$J123=3,$J123=4,$J123=5,$J123=6,$J123=7),-$E123*$I123/12*3,IF($J123=8,-$E123*$I123/12*2,IF($J123=9,-$E123*$I123/12*1,0)))))+IF(CU$5&lt;&gt;$H123,0,IF(CU123&lt;0,IF($J123=7,-$E123*$I123/12*0,IF($J123=8,-$E123*$I123/12*1,IF($J123=9,-$E123*$I123/12*2,IF($J123&gt;=10,-$E123*$I123/12*3,0))))))</f>
        <v>0</v>
      </c>
      <c r="CY123" s="402">
        <f>IF($H123&lt;&gt;CZ$5,0,IF(CZ123&lt;0,IF(OR($J123=1,$J123=2,$J123=3,$J123=4,$J123=5,$J123=6,$J123=7,$J123=8,$J123=9,$J123=10),-$E123*$I123/12*3,IF($J123=11,-$E123*$I123/12*2,IF($J123=12,-$E123*$I123/12*1,0)))))+IF(CU$5&lt;&gt;$H123,0,IF(CU123&lt;0,IF($J123=10,-$E123*$I123/12*0,IF($J123=11,-$E123*$I123/12*1,IF($J123=12,-$E123*$I123/12*2,0)))))</f>
        <v>0</v>
      </c>
      <c r="CZ123" s="403">
        <f>IF(AND(CU123&lt;&gt;0,CU$5=$H123),-$I123*$E123-CU123,IF(CZ$5=$H123,-$I123*$E123*(12-$J123+1)/12,0))</f>
        <v>0</v>
      </c>
      <c r="DA123" s="400">
        <f>IF($H123&lt;&gt;DE$5,0,IF(DE123&lt;0,IF($J123=1,-$E123*$I123/12*3,IF($J123=2,-$E123*$I123/12*2,IF($J123=3,-$E123*$I123/12*1,0)))))+IF(CZ$5&lt;&gt;$H123,0,IF(CZ123&lt;0,IF($J123=1,-$E123*$I123/12*0,IF($J123=2,-$E123*$I123/12*1,IF($J123=3,-$E123*$I123/12*2,IF($J123&gt;=4,-$E123*$I123/12*3,0))))))</f>
        <v>0</v>
      </c>
      <c r="DB123" s="406">
        <f>IF($H123&lt;&gt;DE$5,0,IF(DE123&lt;0,IF(OR($J123=1,$J123=2,$J123=3,$J123=4),-$E123*$I123/12*3,IF($J123=5,-$E123*$I123/12*2,IF($J123=6,-$E123*$I123/12*1,0)))))+IF(CZ$5&lt;&gt;$H123,0,IF(CZ123&lt;0,IF($J123=4,-$E123*$I123/12*0,IF($J123=5,-$E123*$I123/12*1,IF($J123=6,-$E123*$I123/12*2,IF($J123&gt;=7,-$E123*$I123/12*3,0))))))</f>
        <v>0</v>
      </c>
      <c r="DC123" s="406">
        <f>IF($H123&lt;&gt;DE$5,0,IF(DE123&lt;0,IF(OR($J123=1,$J123=2,$J123=3,$J123=4,$J123=5,$J123=6,$J123=7),-$E123*$I123/12*3,IF($J123=8,-$E123*$I123/12*2,IF($J123=9,-$E123*$I123/12*1,0)))))+IF(CZ$5&lt;&gt;$H123,0,IF(CZ123&lt;0,IF($J123=7,-$E123*$I123/12*0,IF($J123=8,-$E123*$I123/12*1,IF($J123=9,-$E123*$I123/12*2,IF($J123&gt;=10,-$E123*$I123/12*3,0))))))</f>
        <v>0</v>
      </c>
      <c r="DD123" s="402">
        <f>IF($H123&lt;&gt;DE$5,0,IF(DE123&lt;0,IF(OR($J123=1,$J123=2,$J123=3,$J123=4,$J123=5,$J123=6,$J123=7,$J123=8,$J123=9,$J123=10),-$E123*$I123/12*3,IF($J123=11,-$E123*$I123/12*2,IF($J123=12,-$E123*$I123/12*1,0)))))+IF(CZ$5&lt;&gt;$H123,0,IF(CZ123&lt;0,IF($J123=10,-$E123*$I123/12*0,IF($J123=11,-$E123*$I123/12*1,IF($J123=12,-$E123*$I123/12*2,0)))))</f>
        <v>0</v>
      </c>
      <c r="DE123" s="403">
        <f>IF(AND(CZ123&lt;&gt;0,CZ$5=$H123),-$I123*$E123-CZ123,IF(DE$5=$H123,-$I123*$E123*(12-$J123+1)/12,0))</f>
        <v>0</v>
      </c>
      <c r="DF123" s="400">
        <f t="shared" si="929"/>
        <v>0</v>
      </c>
      <c r="DG123" s="406">
        <f t="shared" si="930"/>
        <v>0</v>
      </c>
      <c r="DH123" s="406">
        <f t="shared" si="931"/>
        <v>0</v>
      </c>
      <c r="DI123" s="402">
        <f t="shared" si="932"/>
        <v>0</v>
      </c>
      <c r="DJ123" s="403">
        <f t="shared" si="933"/>
        <v>0</v>
      </c>
      <c r="DK123" s="400">
        <f t="shared" si="934"/>
        <v>0</v>
      </c>
      <c r="DL123" s="406">
        <f t="shared" si="935"/>
        <v>0</v>
      </c>
      <c r="DM123" s="406">
        <f t="shared" si="936"/>
        <v>0</v>
      </c>
      <c r="DN123" s="402">
        <f t="shared" si="937"/>
        <v>0</v>
      </c>
      <c r="DO123" s="403">
        <f t="shared" si="938"/>
        <v>0</v>
      </c>
      <c r="DP123" s="400">
        <f t="shared" si="948"/>
        <v>0</v>
      </c>
      <c r="DQ123" s="406">
        <f t="shared" si="949"/>
        <v>0</v>
      </c>
      <c r="DR123" s="406">
        <f t="shared" si="950"/>
        <v>0</v>
      </c>
      <c r="DS123" s="402">
        <f t="shared" si="951"/>
        <v>0</v>
      </c>
      <c r="DT123" s="403">
        <f t="shared" si="952"/>
        <v>0</v>
      </c>
      <c r="EF123" s="35"/>
      <c r="EI123" s="759"/>
    </row>
    <row r="124" spans="3:139" ht="12.75" customHeight="1" x14ac:dyDescent="0.2">
      <c r="C124" s="850" t="s">
        <v>623</v>
      </c>
      <c r="D124" s="467"/>
      <c r="E124" s="530">
        <f t="shared" si="831"/>
        <v>250</v>
      </c>
      <c r="F124" s="532">
        <v>250</v>
      </c>
      <c r="G124" s="532">
        <v>250</v>
      </c>
      <c r="H124" s="580">
        <v>2046</v>
      </c>
      <c r="I124" s="450">
        <v>3.5499999999999997E-2</v>
      </c>
      <c r="J124" s="451">
        <v>6</v>
      </c>
      <c r="K124" s="392"/>
      <c r="L124" s="397">
        <f t="shared" si="832"/>
        <v>0</v>
      </c>
      <c r="M124" s="394">
        <f t="shared" si="953"/>
        <v>0</v>
      </c>
      <c r="N124" s="404">
        <f t="shared" si="954"/>
        <v>0</v>
      </c>
      <c r="O124" s="404">
        <f t="shared" si="955"/>
        <v>0</v>
      </c>
      <c r="P124" s="396">
        <f t="shared" si="956"/>
        <v>0</v>
      </c>
      <c r="Q124" s="397">
        <f t="shared" si="837"/>
        <v>0</v>
      </c>
      <c r="R124" s="394">
        <f t="shared" si="957"/>
        <v>0</v>
      </c>
      <c r="S124" s="404">
        <f t="shared" si="958"/>
        <v>0</v>
      </c>
      <c r="T124" s="404">
        <f t="shared" si="959"/>
        <v>0</v>
      </c>
      <c r="U124" s="396">
        <f t="shared" si="960"/>
        <v>0</v>
      </c>
      <c r="V124" s="397">
        <f t="shared" si="842"/>
        <v>0</v>
      </c>
      <c r="W124" s="394">
        <f t="shared" si="961"/>
        <v>0</v>
      </c>
      <c r="X124" s="404">
        <f t="shared" si="962"/>
        <v>0</v>
      </c>
      <c r="Y124" s="404">
        <f t="shared" si="963"/>
        <v>0</v>
      </c>
      <c r="Z124" s="396">
        <f t="shared" si="964"/>
        <v>0</v>
      </c>
      <c r="AA124" s="397">
        <f t="shared" si="847"/>
        <v>0</v>
      </c>
      <c r="AB124" s="394">
        <f t="shared" si="965"/>
        <v>0</v>
      </c>
      <c r="AC124" s="404">
        <f t="shared" si="966"/>
        <v>0</v>
      </c>
      <c r="AD124" s="404">
        <f t="shared" si="967"/>
        <v>0</v>
      </c>
      <c r="AE124" s="396">
        <f t="shared" si="968"/>
        <v>0</v>
      </c>
      <c r="AF124" s="397">
        <f t="shared" si="852"/>
        <v>0</v>
      </c>
      <c r="AG124" s="394">
        <f t="shared" si="969"/>
        <v>0</v>
      </c>
      <c r="AH124" s="404">
        <f t="shared" si="970"/>
        <v>0</v>
      </c>
      <c r="AI124" s="404">
        <f t="shared" si="971"/>
        <v>0</v>
      </c>
      <c r="AJ124" s="396">
        <f t="shared" si="972"/>
        <v>0</v>
      </c>
      <c r="AK124" s="397">
        <f t="shared" si="857"/>
        <v>0</v>
      </c>
      <c r="AL124" s="394">
        <f t="shared" si="973"/>
        <v>0</v>
      </c>
      <c r="AM124" s="404">
        <f t="shared" si="974"/>
        <v>0</v>
      </c>
      <c r="AN124" s="404">
        <f t="shared" si="975"/>
        <v>0</v>
      </c>
      <c r="AO124" s="396">
        <f t="shared" si="976"/>
        <v>0</v>
      </c>
      <c r="AP124" s="397">
        <f t="shared" si="862"/>
        <v>0</v>
      </c>
      <c r="AQ124" s="394">
        <f t="shared" si="977"/>
        <v>0</v>
      </c>
      <c r="AR124" s="404">
        <f t="shared" si="978"/>
        <v>0</v>
      </c>
      <c r="AS124" s="404">
        <f t="shared" si="979"/>
        <v>0</v>
      </c>
      <c r="AT124" s="396">
        <f t="shared" si="980"/>
        <v>0</v>
      </c>
      <c r="AU124" s="397">
        <f t="shared" si="867"/>
        <v>0</v>
      </c>
      <c r="AV124" s="394">
        <f t="shared" si="981"/>
        <v>0</v>
      </c>
      <c r="AW124" s="404">
        <f t="shared" si="982"/>
        <v>0</v>
      </c>
      <c r="AX124" s="404">
        <f t="shared" si="983"/>
        <v>0</v>
      </c>
      <c r="AY124" s="396">
        <f t="shared" si="984"/>
        <v>0</v>
      </c>
      <c r="AZ124" s="397">
        <f t="shared" si="872"/>
        <v>0</v>
      </c>
      <c r="BA124" s="394">
        <f>IF(BE124=0,0,IF(BE124&lt;0,IF($J124=3,BE124,IF($J124=2,BE124,IF($J124=1,BE124,0)))))</f>
        <v>0</v>
      </c>
      <c r="BB124" s="404">
        <f>IF(BE124=0,0,IF(BE124&lt;0,IF($J124=6,BE124,IF($J124=5,BE124,IF($J124=4,BE124,0)))))</f>
        <v>0</v>
      </c>
      <c r="BC124" s="404">
        <f>IF(BE124=0,0,IF(BE124&lt;0,IF($J124=9,BE124,IF($J124=8,BE124,IF($J124=7,BE124,0)))))</f>
        <v>0</v>
      </c>
      <c r="BD124" s="396">
        <f>IF(BE124=0,0,IF(BE124&lt;0,IF($J124=12,BE124,IF($J124=11,BE124,IF($J124=10,BE124,0)))))</f>
        <v>0</v>
      </c>
      <c r="BE124" s="397">
        <f t="shared" si="877"/>
        <v>0</v>
      </c>
      <c r="BF124" s="394">
        <f>IF(BJ124=0,0,IF(BJ124&lt;0,IF($J124=3,BJ124,IF($J124=2,BJ124,IF($J124=1,BJ124,0)))))</f>
        <v>0</v>
      </c>
      <c r="BG124" s="404">
        <f>IF(BJ124=0,0,IF(BJ124&lt;0,IF($J124=6,BJ124,IF($J124=5,BJ124,IF($J124=4,BJ124,0)))))</f>
        <v>0</v>
      </c>
      <c r="BH124" s="404">
        <f>IF(BJ124=0,0,IF(BJ124&lt;0,IF($J124=9,BJ124,IF($J124=8,BJ124,IF($J124=7,BJ124,0)))))</f>
        <v>0</v>
      </c>
      <c r="BI124" s="396">
        <f>IF(BJ124=0,0,IF(BJ124&lt;0,IF($J124=12,BJ124,IF($J124=11,BJ124,IF($J124=10,BJ124,0)))))</f>
        <v>0</v>
      </c>
      <c r="BJ124" s="397">
        <f t="shared" si="882"/>
        <v>0</v>
      </c>
      <c r="BK124" s="394">
        <f>IF(BO124=0,0,IF(BO124&lt;0,IF($J124=3,BO124,IF($J124=2,BO124,IF($J124=1,BO124,0)))))</f>
        <v>0</v>
      </c>
      <c r="BL124" s="404">
        <f>IF(BO124=0,0,IF(BO124&lt;0,IF($J124=6,BO124,IF($J124=5,BO124,IF($J124=4,BO124,0)))))</f>
        <v>0</v>
      </c>
      <c r="BM124" s="404">
        <f>IF(BO124=0,0,IF(BO124&lt;0,IF($J124=9,BO124,IF($J124=8,BO124,IF($J124=7,BO124,0)))))</f>
        <v>0</v>
      </c>
      <c r="BN124" s="396">
        <f>IF(BO124=0,0,IF(BO124&lt;0,IF($J124=12,BO124,IF($J124=11,BO124,IF($J124=10,BO124,0)))))</f>
        <v>0</v>
      </c>
      <c r="BO124" s="397">
        <f t="shared" si="887"/>
        <v>0</v>
      </c>
      <c r="BP124" s="452"/>
      <c r="BQ124" s="403">
        <f>IF(AND(BP124&lt;&gt;0,BP$5=$H124),-$I124*$E124-BP124,IF(BQ$5=$H124,-$I124*$E124*(12-$J124+1)/12,0))</f>
        <v>0</v>
      </c>
      <c r="BR124" s="400">
        <f>IF($H124&lt;&gt;BV$5,0,IF(BV124&lt;0,IF($J124=1,-$E124*$I124/12*3,IF($J124=2,-$E124*$I124/12*2,IF($J124=3,-$E124*$I124/12*1,0)))))+IF(BQ$5&lt;&gt;$H124,0,IF(BQ124&lt;0,IF($J124=1,-$E124*$I124/12*0,IF($J124=2,-$E124*$I124/12*1,IF($J124=3,-$E124*$I124/12*2,IF($J124&gt;=4,-$E124*$I124/12*3,0))))))</f>
        <v>0</v>
      </c>
      <c r="BS124" s="406">
        <f>IF($H124&lt;&gt;BV$5,0,IF(BV124&lt;0,IF(OR($J124=1,$J124=2,$J124=3,$J124=4),-$E124*$I124/12*3,IF($J124=5,-$E124*$I124/12*2,IF($J124=6,-$E124*$I124/12*1,0)))))+IF(BQ$5&lt;&gt;$H124,0,IF(BQ124&lt;0,IF($J124=4,-$E124*$I124/12*0,IF($J124=5,-$E124*$I124/12*1,IF($J124=6,-$E124*$I124/12*2,IF($J124&gt;=7,-$E124*$I124/12*3,0))))))</f>
        <v>0</v>
      </c>
      <c r="BT124" s="406">
        <f>IF($H124&lt;&gt;BV$5,0,IF(BV124&lt;0,IF(OR($J124=1,$J124=2,$J124=3,$J124=4,$J124=5,$J124=6,$J124=7),-$E124*$I124/12*3,IF($J124=8,-$E124*$I124/12*2,IF($J124=9,-$E124*$I124/12*1,0)))))+IF(BQ$5&lt;&gt;$H124,0,IF(BQ124&lt;0,IF($J124=7,-$E124*$I124/12*0,IF($J124=8,-$E124*$I124/12*1,IF($J124=9,-$E124*$I124/12*2,IF($J124&gt;=10,-$E124*$I124/12*3,0))))))</f>
        <v>0</v>
      </c>
      <c r="BU124" s="402">
        <f>IF($H124&lt;&gt;BV$5,0,IF(BV124&lt;0,IF(OR($J124=1,$J124=2,$J124=3,$J124=4,$J124=5,$J124=6,$J124=7,$J124=8,$J124=9,$J124=10),-$E124*$I124/12*3,IF($J124=11,-$E124*$I124/12*2,IF($J124=12,-$E124*$I124/12*1,0)))))+IF(BQ$5&lt;&gt;$H124,0,IF(BQ124&lt;0,IF($J124=10,-$E124*$I124/12*0,IF($J124=11,-$E124*$I124/12*1,IF($J124=12,-$E124*$I124/12*2,0)))))</f>
        <v>0</v>
      </c>
      <c r="BV124" s="403">
        <f>IF(AND(BQ124&lt;&gt;0,BQ$5=$H124),-$I124*$E124-BQ124,IF(BV$5=$H124,-$I124*$E124*(12-$J124+1)/12,0))</f>
        <v>0</v>
      </c>
      <c r="BW124" s="400">
        <f>IF($H124&lt;&gt;CA$5,0,IF(CA124&lt;0,IF($J124=1,-$E124*$I124/12*3,IF($J124=2,-$E124*$I124/12*2,IF($J124=3,-$E124*$I124/12*1,0)))))+IF(BV$5&lt;&gt;$H124,0,IF(BV124&lt;0,IF($J124=1,-$E124*$I124/12*0,IF($J124=2,-$E124*$I124/12*1,IF($J124=3,-$E124*$I124/12*2,IF($J124&gt;=4,-$E124*$I124/12*3,0))))))</f>
        <v>0</v>
      </c>
      <c r="BX124" s="406">
        <f>IF($H124&lt;&gt;CA$5,0,IF(CA124&lt;0,IF(OR($J124=1,$J124=2,$J124=3,$J124=4),-$E124*$I124/12*3,IF($J124=5,-$E124*$I124/12*2,IF($J124=6,-$E124*$I124/12*1,0)))))+IF(BV$5&lt;&gt;$H124,0,IF(BV124&lt;0,IF($J124=4,-$E124*$I124/12*0,IF($J124=5,-$E124*$I124/12*1,IF($J124=6,-$E124*$I124/12*2,IF($J124&gt;=7,-$E124*$I124/12*3,0))))))</f>
        <v>0</v>
      </c>
      <c r="BY124" s="406">
        <f>IF($H124&lt;&gt;CA$5,0,IF(CA124&lt;0,IF(OR($J124=1,$J124=2,$J124=3,$J124=4,$J124=5,$J124=6,$J124=7),-$E124*$I124/12*3,IF($J124=8,-$E124*$I124/12*2,IF($J124=9,-$E124*$I124/12*1,0)))))+IF(BV$5&lt;&gt;$H124,0,IF(BV124&lt;0,IF($J124=7,-$E124*$I124/12*0,IF($J124=8,-$E124*$I124/12*1,IF($J124=9,-$E124*$I124/12*2,IF($J124&gt;=10,-$E124*$I124/12*3,0))))))</f>
        <v>0</v>
      </c>
      <c r="BZ124" s="402">
        <f>IF($H124&lt;&gt;CA$5,0,IF(CA124&lt;0,IF(OR($J124=1,$J124=2,$J124=3,$J124=4,$J124=5,$J124=6,$J124=7,$J124=8,$J124=9,$J124=10),-$E124*$I124/12*3,IF($J124=11,-$E124*$I124/12*2,IF($J124=12,-$E124*$I124/12*1,0)))))+IF(BV$5&lt;&gt;$H124,0,IF(BV124&lt;0,IF($J124=10,-$E124*$I124/12*0,IF($J124=11,-$E124*$I124/12*1,IF($J124=12,-$E124*$I124/12*2,0)))))</f>
        <v>0</v>
      </c>
      <c r="CA124" s="403">
        <f>IF(AND(BV124&lt;&gt;0,BV$5=$H124),-$I124*$E124-BV124,IF(CA$5=$H124,-$I124*$E124*(12-$J124+1)/12,0))</f>
        <v>0</v>
      </c>
      <c r="CB124" s="400">
        <f>IF($H124&lt;&gt;CF$5,0,IF(CF124&lt;0,IF($J124=1,-$E124*$I124/12*3,IF($J124=2,-$E124*$I124/12*2,IF($J124=3,-$E124*$I124/12*1,0)))))+IF(CA$5&lt;&gt;$H124,0,IF(CA124&lt;0,IF($J124=1,-$E124*$I124/12*0,IF($J124=2,-$E124*$I124/12*1,IF($J124=3,-$E124*$I124/12*2,IF($J124&gt;=4,-$E124*$I124/12*3,0))))))</f>
        <v>0</v>
      </c>
      <c r="CC124" s="406">
        <f>IF($H124&lt;&gt;CF$5,0,IF(CF124&lt;0,IF(OR($J124=1,$J124=2,$J124=3,$J124=4),-$E124*$I124/12*3,IF($J124=5,-$E124*$I124/12*2,IF($J124=6,-$E124*$I124/12*1,0)))))+IF(CA$5&lt;&gt;$H124,0,IF(CA124&lt;0,IF($J124=4,-$E124*$I124/12*0,IF($J124=5,-$E124*$I124/12*1,IF($J124=6,-$E124*$I124/12*2,IF($J124&gt;=7,-$E124*$I124/12*3,0))))))</f>
        <v>0</v>
      </c>
      <c r="CD124" s="406">
        <f>IF($H124&lt;&gt;CF$5,0,IF(CF124&lt;0,IF(OR($J124=1,$J124=2,$J124=3,$J124=4,$J124=5,$J124=6,$J124=7),-$E124*$I124/12*3,IF($J124=8,-$E124*$I124/12*2,IF($J124=9,-$E124*$I124/12*1,0)))))+IF(CA$5&lt;&gt;$H124,0,IF(CA124&lt;0,IF($J124=7,-$E124*$I124/12*0,IF($J124=8,-$E124*$I124/12*1,IF($J124=9,-$E124*$I124/12*2,IF($J124&gt;=10,-$E124*$I124/12*3,0))))))</f>
        <v>0</v>
      </c>
      <c r="CE124" s="402">
        <f>IF($H124&lt;&gt;CF$5,0,IF(CF124&lt;0,IF(OR($J124=1,$J124=2,$J124=3,$J124=4,$J124=5,$J124=6,$J124=7,$J124=8,$J124=9,$J124=10),-$E124*$I124/12*3,IF($J124=11,-$E124*$I124/12*2,IF($J124=12,-$E124*$I124/12*1,0)))))+IF(CA$5&lt;&gt;$H124,0,IF(CA124&lt;0,IF($J124=10,-$E124*$I124/12*0,IF($J124=11,-$E124*$I124/12*1,IF($J124=12,-$E124*$I124/12*2,0)))))</f>
        <v>0</v>
      </c>
      <c r="CF124" s="403">
        <f>IF(AND(CA124&lt;&gt;0,CA$5=$H124),-$I124*$E124-CA124,IF(CF$5=$H124,-$I124*$E124*(12-$J124+1)/12,0))</f>
        <v>0</v>
      </c>
      <c r="CG124" s="400">
        <f>IF($H124&lt;&gt;CK$5,0,IF(CK124&lt;0,IF($J124=1,-$E124*$I124/12*3,IF($J124=2,-$E124*$I124/12*2,IF($J124=3,-$E124*$I124/12*1,0)))))+IF(CF$5&lt;&gt;$H124,0,IF(CF124&lt;0,IF($J124=1,-$E124*$I124/12*0,IF($J124=2,-$E124*$I124/12*1,IF($J124=3,-$E124*$I124/12*2,IF($J124&gt;=4,-$E124*$I124/12*3,0))))))</f>
        <v>0</v>
      </c>
      <c r="CH124" s="406">
        <f>IF($H124&lt;&gt;CK$5,0,IF(CK124&lt;0,IF(OR($J124=1,$J124=2,$J124=3,$J124=4),-$E124*$I124/12*3,IF($J124=5,-$E124*$I124/12*2,IF($J124=6,-$E124*$I124/12*1,0)))))+IF(CF$5&lt;&gt;$H124,0,IF(CF124&lt;0,IF($J124=4,-$E124*$I124/12*0,IF($J124=5,-$E124*$I124/12*1,IF($J124=6,-$E124*$I124/12*2,IF($J124&gt;=7,-$E124*$I124/12*3,0))))))</f>
        <v>0</v>
      </c>
      <c r="CI124" s="406">
        <f>IF($H124&lt;&gt;CK$5,0,IF(CK124&lt;0,IF(OR($J124=1,$J124=2,$J124=3,$J124=4,$J124=5,$J124=6,$J124=7),-$E124*$I124/12*3,IF($J124=8,-$E124*$I124/12*2,IF($J124=9,-$E124*$I124/12*1,0)))))+IF(CF$5&lt;&gt;$H124,0,IF(CF124&lt;0,IF($J124=7,-$E124*$I124/12*0,IF($J124=8,-$E124*$I124/12*1,IF($J124=9,-$E124*$I124/12*2,IF($J124&gt;=10,-$E124*$I124/12*3,0))))))</f>
        <v>0</v>
      </c>
      <c r="CJ124" s="402">
        <f>IF($H124&lt;&gt;CK$5,0,IF(CK124&lt;0,IF(OR($J124=1,$J124=2,$J124=3,$J124=4,$J124=5,$J124=6,$J124=7,$J124=8,$J124=9,$J124=10),-$E124*$I124/12*3,IF($J124=11,-$E124*$I124/12*2,IF($J124=12,-$E124*$I124/12*1,0)))))+IF(CF$5&lt;&gt;$H124,0,IF(CF124&lt;0,IF($J124=10,-$E124*$I124/12*0,IF($J124=11,-$E124*$I124/12*1,IF($J124=12,-$E124*$I124/12*2,0)))))</f>
        <v>0</v>
      </c>
      <c r="CK124" s="403">
        <f>IF(AND(CF124&lt;&gt;0,CF$5=$H124),-$I124*$E124-CF124,IF(CK$5=$H124,-$I124*$E124*(12-$J124+1)/12,0))</f>
        <v>0</v>
      </c>
      <c r="CL124" s="400">
        <f>IF($H124&lt;&gt;CP$5,0,IF(CP124&lt;0,IF($J124=1,-$E124*$I124/12*3,IF($J124=2,-$E124*$I124/12*2,IF($J124=3,-$E124*$I124/12*1,0)))))+IF(CK$5&lt;&gt;$H124,0,IF(CK124&lt;0,IF($J124=1,-$E124*$I124/12*0,IF($J124=2,-$E124*$I124/12*1,IF($J124=3,-$E124*$I124/12*2,IF($J124&gt;=4,-$E124*$I124/12*3,0))))))</f>
        <v>0</v>
      </c>
      <c r="CM124" s="406">
        <f>IF($H124&lt;&gt;CP$5,0,IF(CP124&lt;0,IF(OR($J124=1,$J124=2,$J124=3,$J124=4),-$E124*$I124/12*3,IF($J124=5,-$E124*$I124/12*2,IF($J124=6,-$E124*$I124/12*1,0)))))+IF(CK$5&lt;&gt;$H124,0,IF(CK124&lt;0,IF($J124=4,-$E124*$I124/12*0,IF($J124=5,-$E124*$I124/12*1,IF($J124=6,-$E124*$I124/12*2,IF($J124&gt;=7,-$E124*$I124/12*3,0))))))</f>
        <v>0</v>
      </c>
      <c r="CN124" s="406">
        <f>IF($H124&lt;&gt;CP$5,0,IF(CP124&lt;0,IF(OR($J124=1,$J124=2,$J124=3,$J124=4,$J124=5,$J124=6,$J124=7),-$E124*$I124/12*3,IF($J124=8,-$E124*$I124/12*2,IF($J124=9,-$E124*$I124/12*1,0)))))+IF(CK$5&lt;&gt;$H124,0,IF(CK124&lt;0,IF($J124=7,-$E124*$I124/12*0,IF($J124=8,-$E124*$I124/12*1,IF($J124=9,-$E124*$I124/12*2,IF($J124&gt;=10,-$E124*$I124/12*3,0))))))</f>
        <v>0</v>
      </c>
      <c r="CO124" s="402">
        <f>IF($H124&lt;&gt;CP$5,0,IF(CP124&lt;0,IF(OR($J124=1,$J124=2,$J124=3,$J124=4,$J124=5,$J124=6,$J124=7,$J124=8,$J124=9,$J124=10),-$E124*$I124/12*3,IF($J124=11,-$E124*$I124/12*2,IF($J124=12,-$E124*$I124/12*1,0)))))+IF(CK$5&lt;&gt;$H124,0,IF(CK124&lt;0,IF($J124=10,-$E124*$I124/12*0,IF($J124=11,-$E124*$I124/12*1,IF($J124=12,-$E124*$I124/12*2,0)))))</f>
        <v>0</v>
      </c>
      <c r="CP124" s="403">
        <f>IF(AND(CK124&lt;&gt;0,CK$5=$H124),-$I124*$E124-CK124,IF(CP$5=$H124,-$I124*$E124*(12-$J124+1)/12,0))</f>
        <v>0</v>
      </c>
      <c r="CQ124" s="400">
        <f>IF($H124&lt;&gt;CU$5,0,IF(CU124&lt;0,IF($J124=1,-$E124*$I124/12*3,IF($J124=2,-$E124*$I124/12*2,IF($J124=3,-$E124*$I124/12*1,0)))))+IF(CP$5&lt;&gt;$H124,0,IF(CP124&lt;0,IF($J124=1,-$E124*$I124/12*0,IF($J124=2,-$E124*$I124/12*1,IF($J124=3,-$E124*$I124/12*2,IF($J124&gt;=4,-$E124*$I124/12*3,0))))))</f>
        <v>0</v>
      </c>
      <c r="CR124" s="406">
        <f>IF($H124&lt;&gt;CU$5,0,IF(CU124&lt;0,IF(OR($J124=1,$J124=2,$J124=3,$J124=4),-$E124*$I124/12*3,IF($J124=5,-$E124*$I124/12*2,IF($J124=6,-$E124*$I124/12*1,0)))))+IF(CP$5&lt;&gt;$H124,0,IF(CP124&lt;0,IF($J124=4,-$E124*$I124/12*0,IF($J124=5,-$E124*$I124/12*1,IF($J124=6,-$E124*$I124/12*2,IF($J124&gt;=7,-$E124*$I124/12*3,0))))))</f>
        <v>0</v>
      </c>
      <c r="CS124" s="406">
        <f>IF($H124&lt;&gt;CU$5,0,IF(CU124&lt;0,IF(OR($J124=1,$J124=2,$J124=3,$J124=4,$J124=5,$J124=6,$J124=7),-$E124*$I124/12*3,IF($J124=8,-$E124*$I124/12*2,IF($J124=9,-$E124*$I124/12*1,0)))))+IF(CP$5&lt;&gt;$H124,0,IF(CP124&lt;0,IF($J124=7,-$E124*$I124/12*0,IF($J124=8,-$E124*$I124/12*1,IF($J124=9,-$E124*$I124/12*2,IF($J124&gt;=10,-$E124*$I124/12*3,0))))))</f>
        <v>0</v>
      </c>
      <c r="CT124" s="402">
        <f>IF($H124&lt;&gt;CU$5,0,IF(CU124&lt;0,IF(OR($J124=1,$J124=2,$J124=3,$J124=4,$J124=5,$J124=6,$J124=7,$J124=8,$J124=9,$J124=10),-$E124*$I124/12*3,IF($J124=11,-$E124*$I124/12*2,IF($J124=12,-$E124*$I124/12*1,0)))))+IF(CP$5&lt;&gt;$H124,0,IF(CP124&lt;0,IF($J124=10,-$E124*$I124/12*0,IF($J124=11,-$E124*$I124/12*1,IF($J124=12,-$E124*$I124/12*2,0)))))</f>
        <v>0</v>
      </c>
      <c r="CU124" s="403">
        <f>IF(AND(CP124&lt;&gt;0,CP$5=$H124),-$I124*$E124-CP124,IF(CU$5=$H124,-$I124*$E124*(12-$J124+1)/12,0))</f>
        <v>0</v>
      </c>
      <c r="CV124" s="400">
        <f>IF($H124&lt;&gt;CZ$5,0,IF(CZ124&lt;0,IF($J124=1,-$E124*$I124/12*3,IF($J124=2,-$E124*$I124/12*2,IF($J124=3,-$E124*$I124/12*1,0)))))+IF(CU$5&lt;&gt;$H124,0,IF(CU124&lt;0,IF($J124=1,-$E124*$I124/12*0,IF($J124=2,-$E124*$I124/12*1,IF($J124=3,-$E124*$I124/12*2,IF($J124&gt;=4,-$E124*$I124/12*3,0))))))</f>
        <v>0</v>
      </c>
      <c r="CW124" s="406">
        <f>IF($H124&lt;&gt;CZ$5,0,IF(CZ124&lt;0,IF(OR($J124=1,$J124=2,$J124=3,$J124=4),-$E124*$I124/12*3,IF($J124=5,-$E124*$I124/12*2,IF($J124=6,-$E124*$I124/12*1,0)))))+IF(CU$5&lt;&gt;$H124,0,IF(CU124&lt;0,IF($J124=4,-$E124*$I124/12*0,IF($J124=5,-$E124*$I124/12*1,IF($J124=6,-$E124*$I124/12*2,IF($J124&gt;=7,-$E124*$I124/12*3,0))))))</f>
        <v>0</v>
      </c>
      <c r="CX124" s="406">
        <f>IF($H124&lt;&gt;CZ$5,0,IF(CZ124&lt;0,IF(OR($J124=1,$J124=2,$J124=3,$J124=4,$J124=5,$J124=6,$J124=7),-$E124*$I124/12*3,IF($J124=8,-$E124*$I124/12*2,IF($J124=9,-$E124*$I124/12*1,0)))))+IF(CU$5&lt;&gt;$H124,0,IF(CU124&lt;0,IF($J124=7,-$E124*$I124/12*0,IF($J124=8,-$E124*$I124/12*1,IF($J124=9,-$E124*$I124/12*2,IF($J124&gt;=10,-$E124*$I124/12*3,0))))))</f>
        <v>0</v>
      </c>
      <c r="CY124" s="402">
        <f>IF($H124&lt;&gt;CZ$5,0,IF(CZ124&lt;0,IF(OR($J124=1,$J124=2,$J124=3,$J124=4,$J124=5,$J124=6,$J124=7,$J124=8,$J124=9,$J124=10),-$E124*$I124/12*3,IF($J124=11,-$E124*$I124/12*2,IF($J124=12,-$E124*$I124/12*1,0)))))+IF(CU$5&lt;&gt;$H124,0,IF(CU124&lt;0,IF($J124=10,-$E124*$I124/12*0,IF($J124=11,-$E124*$I124/12*1,IF($J124=12,-$E124*$I124/12*2,0)))))</f>
        <v>0</v>
      </c>
      <c r="CZ124" s="403">
        <f>IF(AND(CU124&lt;&gt;0,CU$5=$H124),-$I124*$E124-CU124,IF(CZ$5=$H124,-$I124*$E124*(12-$J124+1)/12,0))</f>
        <v>0</v>
      </c>
      <c r="DA124" s="400">
        <f>IF($H124&lt;&gt;DE$5,0,IF(DE124&lt;0,IF($J124=1,-$E124*$I124/12*3,IF($J124=2,-$E124*$I124/12*2,IF($J124=3,-$E124*$I124/12*1,0)))))+IF(CZ$5&lt;&gt;$H124,0,IF(CZ124&lt;0,IF($J124=1,-$E124*$I124/12*0,IF($J124=2,-$E124*$I124/12*1,IF($J124=3,-$E124*$I124/12*2,IF($J124&gt;=4,-$E124*$I124/12*3,0))))))</f>
        <v>0</v>
      </c>
      <c r="DB124" s="406">
        <f>IF($H124&lt;&gt;DE$5,0,IF(DE124&lt;0,IF(OR($J124=1,$J124=2,$J124=3,$J124=4),-$E124*$I124/12*3,IF($J124=5,-$E124*$I124/12*2,IF($J124=6,-$E124*$I124/12*1,0)))))+IF(CZ$5&lt;&gt;$H124,0,IF(CZ124&lt;0,IF($J124=4,-$E124*$I124/12*0,IF($J124=5,-$E124*$I124/12*1,IF($J124=6,-$E124*$I124/12*2,IF($J124&gt;=7,-$E124*$I124/12*3,0))))))</f>
        <v>0</v>
      </c>
      <c r="DC124" s="406">
        <f>IF($H124&lt;&gt;DE$5,0,IF(DE124&lt;0,IF(OR($J124=1,$J124=2,$J124=3,$J124=4,$J124=5,$J124=6,$J124=7),-$E124*$I124/12*3,IF($J124=8,-$E124*$I124/12*2,IF($J124=9,-$E124*$I124/12*1,0)))))+IF(CZ$5&lt;&gt;$H124,0,IF(CZ124&lt;0,IF($J124=7,-$E124*$I124/12*0,IF($J124=8,-$E124*$I124/12*1,IF($J124=9,-$E124*$I124/12*2,IF($J124&gt;=10,-$E124*$I124/12*3,0))))))</f>
        <v>0</v>
      </c>
      <c r="DD124" s="402">
        <f>IF($H124&lt;&gt;DE$5,0,IF(DE124&lt;0,IF(OR($J124=1,$J124=2,$J124=3,$J124=4,$J124=5,$J124=6,$J124=7,$J124=8,$J124=9,$J124=10),-$E124*$I124/12*3,IF($J124=11,-$E124*$I124/12*2,IF($J124=12,-$E124*$I124/12*1,0)))))+IF(CZ$5&lt;&gt;$H124,0,IF(CZ124&lt;0,IF($J124=10,-$E124*$I124/12*0,IF($J124=11,-$E124*$I124/12*1,IF($J124=12,-$E124*$I124/12*2,0)))))</f>
        <v>0</v>
      </c>
      <c r="DE124" s="403">
        <f>IF(AND(CZ124&lt;&gt;0,CZ$5=$H124),-$I124*$E124-CZ124,IF(DE$5=$H124,-$I124*$E124*(12-$J124+1)/12,0))</f>
        <v>0</v>
      </c>
      <c r="DF124" s="400">
        <f>IF($H124&lt;&gt;DJ$5,0,IF(DJ124&lt;0,IF($J124=1,-$E124*$I124/12*3,IF($J124=2,-$E124*$I124/12*2,IF($J124=3,-$E124*$I124/12*1,0)))))+IF(DE$5&lt;&gt;$H124,0,IF(DE124&lt;0,IF($J124=1,-$E124*$I124/12*0,IF($J124=2,-$E124*$I124/12*1,IF($J124=3,-$E124*$I124/12*2,IF($J124&gt;=4,-$E124*$I124/12*3,0))))))</f>
        <v>0</v>
      </c>
      <c r="DG124" s="406">
        <f>IF($H124&lt;&gt;DJ$5,0,IF(DJ124&lt;0,IF(OR($J124=1,$J124=2,$J124=3,$J124=4),-$E124*$I124/12*3,IF($J124=5,-$E124*$I124/12*2,IF($J124=6,-$E124*$I124/12*1,0)))))+IF(DE$5&lt;&gt;$H124,0,IF(DE124&lt;0,IF($J124=4,-$E124*$I124/12*0,IF($J124=5,-$E124*$I124/12*1,IF($J124=6,-$E124*$I124/12*2,IF($J124&gt;=7,-$E124*$I124/12*3,0))))))</f>
        <v>0</v>
      </c>
      <c r="DH124" s="406">
        <f>IF($H124&lt;&gt;DJ$5,0,IF(DJ124&lt;0,IF(OR($J124=1,$J124=2,$J124=3,$J124=4,$J124=5,$J124=6,$J124=7),-$E124*$I124/12*3,IF($J124=8,-$E124*$I124/12*2,IF($J124=9,-$E124*$I124/12*1,0)))))+IF(DE$5&lt;&gt;$H124,0,IF(DE124&lt;0,IF($J124=7,-$E124*$I124/12*0,IF($J124=8,-$E124*$I124/12*1,IF($J124=9,-$E124*$I124/12*2,IF($J124&gt;=10,-$E124*$I124/12*3,0))))))</f>
        <v>0</v>
      </c>
      <c r="DI124" s="402">
        <f>IF($H124&lt;&gt;DJ$5,0,IF(DJ124&lt;0,IF(OR($J124=1,$J124=2,$J124=3,$J124=4,$J124=5,$J124=6,$J124=7,$J124=8,$J124=9,$J124=10),-$E124*$I124/12*3,IF($J124=11,-$E124*$I124/12*2,IF($J124=12,-$E124*$I124/12*1,0)))))+IF(DE$5&lt;&gt;$H124,0,IF(DE124&lt;0,IF($J124=10,-$E124*$I124/12*0,IF($J124=11,-$E124*$I124/12*1,IF($J124=12,-$E124*$I124/12*2,0)))))</f>
        <v>0</v>
      </c>
      <c r="DJ124" s="403">
        <f>IF(AND(DE124&lt;&gt;0,DE$5=$H124),-$I124*$E124-DE124,IF(DJ$5=$H124,-$I124*$E124*(12-$J124+1)/12,0))</f>
        <v>0</v>
      </c>
      <c r="DK124" s="400">
        <f>IF($H124&lt;&gt;DO$5,0,IF(DO124&lt;0,IF($J124=1,-$E124*$I124/12*3,IF($J124=2,-$E124*$I124/12*2,IF($J124=3,-$E124*$I124/12*1,0)))))+IF(DJ$5&lt;&gt;$H124,0,IF(DJ124&lt;0,IF($J124=1,-$E124*$I124/12*0,IF($J124=2,-$E124*$I124/12*1,IF($J124=3,-$E124*$I124/12*2,IF($J124&gt;=4,-$E124*$I124/12*3,0))))))</f>
        <v>0</v>
      </c>
      <c r="DL124" s="406">
        <f>IF($H124&lt;&gt;DO$5,0,IF(DO124&lt;0,IF(OR($J124=1,$J124=2,$J124=3,$J124=4),-$E124*$I124/12*3,IF($J124=5,-$E124*$I124/12*2,IF($J124=6,-$E124*$I124/12*1,0)))))+IF(DJ$5&lt;&gt;$H124,0,IF(DJ124&lt;0,IF($J124=4,-$E124*$I124/12*0,IF($J124=5,-$E124*$I124/12*1,IF($J124=6,-$E124*$I124/12*2,IF($J124&gt;=7,-$E124*$I124/12*3,0))))))</f>
        <v>0</v>
      </c>
      <c r="DM124" s="406">
        <f>IF($H124&lt;&gt;DO$5,0,IF(DO124&lt;0,IF(OR($J124=1,$J124=2,$J124=3,$J124=4,$J124=5,$J124=6,$J124=7),-$E124*$I124/12*3,IF($J124=8,-$E124*$I124/12*2,IF($J124=9,-$E124*$I124/12*1,0)))))+IF(DJ$5&lt;&gt;$H124,0,IF(DJ124&lt;0,IF($J124=7,-$E124*$I124/12*0,IF($J124=8,-$E124*$I124/12*1,IF($J124=9,-$E124*$I124/12*2,IF($J124&gt;=10,-$E124*$I124/12*3,0))))))</f>
        <v>0</v>
      </c>
      <c r="DN124" s="402">
        <f>IF($H124&lt;&gt;DO$5,0,IF(DO124&lt;0,IF(OR($J124=1,$J124=2,$J124=3,$J124=4,$J124=5,$J124=6,$J124=7,$J124=8,$J124=9,$J124=10),-$E124*$I124/12*3,IF($J124=11,-$E124*$I124/12*2,IF($J124=12,-$E124*$I124/12*1,0)))))+IF(DJ$5&lt;&gt;$H124,0,IF(DJ124&lt;0,IF($J124=10,-$E124*$I124/12*0,IF($J124=11,-$E124*$I124/12*1,IF($J124=12,-$E124*$I124/12*2,0)))))</f>
        <v>0</v>
      </c>
      <c r="DO124" s="403">
        <f>IF(AND(DJ124&lt;&gt;0,DJ$5=$H124),-$I124*$E124-DJ124,IF(DO$5=$H124,-$I124*$E124*(12-$J124+1)/12,0))</f>
        <v>0</v>
      </c>
      <c r="DP124" s="400">
        <f>IF($H124&lt;&gt;DT$5,0,IF(DT124&lt;0,IF($J124=1,-$E124*$I124/12*3,IF($J124=2,-$E124*$I124/12*2,IF($J124=3,-$E124*$I124/12*1,0)))))+IF(DO$5&lt;&gt;$H124,0,IF(DO124&lt;0,IF($J124=1,-$E124*$I124/12*0,IF($J124=2,-$E124*$I124/12*1,IF($J124=3,-$E124*$I124/12*2,IF($J124&gt;=4,-$E124*$I124/12*3,0))))))</f>
        <v>0</v>
      </c>
      <c r="DQ124" s="406">
        <f>IF($H124&lt;&gt;DT$5,0,IF(DT124&lt;0,IF(OR($J124=1,$J124=2,$J124=3,$J124=4),-$E124*$I124/12*3,IF($J124=5,-$E124*$I124/12*2,IF($J124=6,-$E124*$I124/12*1,0)))))+IF(DO$5&lt;&gt;$H124,0,IF(DO124&lt;0,IF($J124=4,-$E124*$I124/12*0,IF($J124=5,-$E124*$I124/12*1,IF($J124=6,-$E124*$I124/12*2,IF($J124&gt;=7,-$E124*$I124/12*3,0))))))</f>
        <v>0</v>
      </c>
      <c r="DR124" s="406">
        <f>IF($H124&lt;&gt;DT$5,0,IF(DT124&lt;0,IF(OR($J124=1,$J124=2,$J124=3,$J124=4,$J124=5,$J124=6,$J124=7),-$E124*$I124/12*3,IF($J124=8,-$E124*$I124/12*2,IF($J124=9,-$E124*$I124/12*1,0)))))+IF(DO$5&lt;&gt;$H124,0,IF(DO124&lt;0,IF($J124=7,-$E124*$I124/12*0,IF($J124=8,-$E124*$I124/12*1,IF($J124=9,-$E124*$I124/12*2,IF($J124&gt;=10,-$E124*$I124/12*3,0))))))</f>
        <v>0</v>
      </c>
      <c r="DS124" s="402">
        <f>IF($H124&lt;&gt;DT$5,0,IF(DT124&lt;0,IF(OR($J124=1,$J124=2,$J124=3,$J124=4,$J124=5,$J124=6,$J124=7,$J124=8,$J124=9,$J124=10),-$E124*$I124/12*3,IF($J124=11,-$E124*$I124/12*2,IF($J124=12,-$E124*$I124/12*1,0)))))+IF(DO$5&lt;&gt;$H124,0,IF(DO124&lt;0,IF($J124=10,-$E124*$I124/12*0,IF($J124=11,-$E124*$I124/12*1,IF($J124=12,-$E124*$I124/12*2,0)))))</f>
        <v>0</v>
      </c>
      <c r="DT124" s="403">
        <f>IF(AND(DO124&lt;&gt;0,DO$5=$H124),-$I124*$E124-DO124,IF(DT$5=$H124,-$I124*$E124*(12-$J124+1)/12,0))</f>
        <v>0</v>
      </c>
      <c r="EF124" s="35"/>
      <c r="EI124" s="759"/>
    </row>
    <row r="125" spans="3:139" ht="12.75" customHeight="1" x14ac:dyDescent="0.2">
      <c r="C125" s="850" t="s">
        <v>639</v>
      </c>
      <c r="D125" s="467"/>
      <c r="E125" s="530">
        <f t="shared" si="831"/>
        <v>400</v>
      </c>
      <c r="F125" s="532">
        <v>400</v>
      </c>
      <c r="G125" s="532">
        <v>0</v>
      </c>
      <c r="H125" s="580">
        <v>2047</v>
      </c>
      <c r="I125" s="450">
        <v>3.7999999999999999E-2</v>
      </c>
      <c r="J125" s="451">
        <v>6</v>
      </c>
      <c r="K125" s="392"/>
      <c r="L125" s="397">
        <f t="shared" si="832"/>
        <v>0</v>
      </c>
      <c r="M125" s="394">
        <f t="shared" si="953"/>
        <v>0</v>
      </c>
      <c r="N125" s="404">
        <f t="shared" si="954"/>
        <v>0</v>
      </c>
      <c r="O125" s="404">
        <f t="shared" si="955"/>
        <v>0</v>
      </c>
      <c r="P125" s="396">
        <f t="shared" si="956"/>
        <v>0</v>
      </c>
      <c r="Q125" s="397">
        <f t="shared" si="837"/>
        <v>0</v>
      </c>
      <c r="R125" s="394">
        <f t="shared" si="957"/>
        <v>0</v>
      </c>
      <c r="S125" s="404">
        <f t="shared" si="958"/>
        <v>0</v>
      </c>
      <c r="T125" s="404">
        <f t="shared" si="959"/>
        <v>0</v>
      </c>
      <c r="U125" s="396">
        <f t="shared" si="960"/>
        <v>0</v>
      </c>
      <c r="V125" s="397">
        <f t="shared" si="842"/>
        <v>0</v>
      </c>
      <c r="W125" s="394">
        <f t="shared" si="961"/>
        <v>0</v>
      </c>
      <c r="X125" s="404">
        <f t="shared" si="962"/>
        <v>0</v>
      </c>
      <c r="Y125" s="404">
        <f t="shared" si="963"/>
        <v>0</v>
      </c>
      <c r="Z125" s="396">
        <f t="shared" si="964"/>
        <v>0</v>
      </c>
      <c r="AA125" s="397">
        <f t="shared" si="847"/>
        <v>0</v>
      </c>
      <c r="AB125" s="394">
        <f t="shared" si="965"/>
        <v>0</v>
      </c>
      <c r="AC125" s="404">
        <f t="shared" si="966"/>
        <v>0</v>
      </c>
      <c r="AD125" s="404">
        <f t="shared" si="967"/>
        <v>0</v>
      </c>
      <c r="AE125" s="396">
        <f t="shared" si="968"/>
        <v>0</v>
      </c>
      <c r="AF125" s="397">
        <f t="shared" si="852"/>
        <v>0</v>
      </c>
      <c r="AG125" s="394">
        <f t="shared" si="969"/>
        <v>0</v>
      </c>
      <c r="AH125" s="404">
        <f t="shared" si="970"/>
        <v>0</v>
      </c>
      <c r="AI125" s="404">
        <f t="shared" si="971"/>
        <v>0</v>
      </c>
      <c r="AJ125" s="396">
        <f t="shared" si="972"/>
        <v>0</v>
      </c>
      <c r="AK125" s="397">
        <f t="shared" si="857"/>
        <v>0</v>
      </c>
      <c r="AL125" s="394">
        <f t="shared" si="973"/>
        <v>0</v>
      </c>
      <c r="AM125" s="404">
        <f t="shared" si="974"/>
        <v>0</v>
      </c>
      <c r="AN125" s="404">
        <f t="shared" si="975"/>
        <v>0</v>
      </c>
      <c r="AO125" s="396">
        <f t="shared" si="976"/>
        <v>0</v>
      </c>
      <c r="AP125" s="397">
        <f t="shared" si="862"/>
        <v>0</v>
      </c>
      <c r="AQ125" s="394">
        <f t="shared" si="977"/>
        <v>0</v>
      </c>
      <c r="AR125" s="404">
        <f t="shared" si="978"/>
        <v>0</v>
      </c>
      <c r="AS125" s="404">
        <f t="shared" si="979"/>
        <v>0</v>
      </c>
      <c r="AT125" s="396">
        <f t="shared" si="980"/>
        <v>0</v>
      </c>
      <c r="AU125" s="397">
        <f t="shared" si="867"/>
        <v>0</v>
      </c>
      <c r="AV125" s="394">
        <f t="shared" si="981"/>
        <v>0</v>
      </c>
      <c r="AW125" s="404">
        <f t="shared" si="982"/>
        <v>0</v>
      </c>
      <c r="AX125" s="404">
        <f t="shared" si="983"/>
        <v>0</v>
      </c>
      <c r="AY125" s="396">
        <f t="shared" si="984"/>
        <v>0</v>
      </c>
      <c r="AZ125" s="397">
        <f t="shared" si="872"/>
        <v>0</v>
      </c>
      <c r="BA125" s="394">
        <f>IF(BE125=0,0,IF(BE125&lt;0,IF($J125=3,BE125,IF($J125=2,BE125,IF($J125=1,BE125,0)))))</f>
        <v>0</v>
      </c>
      <c r="BB125" s="404">
        <f>IF(BE125=0,0,IF(BE125&lt;0,IF($J125=6,BE125,IF($J125=5,BE125,IF($J125=4,BE125,0)))))</f>
        <v>0</v>
      </c>
      <c r="BC125" s="404">
        <f>IF(BE125=0,0,IF(BE125&lt;0,IF($J125=9,BE125,IF($J125=8,BE125,IF($J125=7,BE125,0)))))</f>
        <v>0</v>
      </c>
      <c r="BD125" s="396">
        <f>IF(BE125=0,0,IF(BE125&lt;0,IF($J125=12,BE125,IF($J125=11,BE125,IF($J125=10,BE125,0)))))</f>
        <v>0</v>
      </c>
      <c r="BE125" s="397">
        <f t="shared" si="877"/>
        <v>0</v>
      </c>
      <c r="BF125" s="394">
        <f>IF(BJ125=0,0,IF(BJ125&lt;0,IF($J125=3,BJ125,IF($J125=2,BJ125,IF($J125=1,BJ125,0)))))</f>
        <v>0</v>
      </c>
      <c r="BG125" s="404">
        <f>IF(BJ125=0,0,IF(BJ125&lt;0,IF($J125=6,BJ125,IF($J125=5,BJ125,IF($J125=4,BJ125,0)))))</f>
        <v>0</v>
      </c>
      <c r="BH125" s="404">
        <f>IF(BJ125=0,0,IF(BJ125&lt;0,IF($J125=9,BJ125,IF($J125=8,BJ125,IF($J125=7,BJ125,0)))))</f>
        <v>0</v>
      </c>
      <c r="BI125" s="396">
        <f>IF(BJ125=0,0,IF(BJ125&lt;0,IF($J125=12,BJ125,IF($J125=11,BJ125,IF($J125=10,BJ125,0)))))</f>
        <v>0</v>
      </c>
      <c r="BJ125" s="397">
        <f t="shared" si="882"/>
        <v>0</v>
      </c>
      <c r="BK125" s="394">
        <f>IF(BO125=0,0,IF(BO125&lt;0,IF($J125=3,BO125,IF($J125=2,BO125,IF($J125=1,BO125,0)))))</f>
        <v>0</v>
      </c>
      <c r="BL125" s="404">
        <f>IF(BO125=0,0,IF(BO125&lt;0,IF($J125=6,BO125,IF($J125=5,BO125,IF($J125=4,BO125,0)))))</f>
        <v>0</v>
      </c>
      <c r="BM125" s="404">
        <f>IF(BO125=0,0,IF(BO125&lt;0,IF($J125=9,BO125,IF($J125=8,BO125,IF($J125=7,BO125,0)))))</f>
        <v>0</v>
      </c>
      <c r="BN125" s="396">
        <f>IF(BO125=0,0,IF(BO125&lt;0,IF($J125=12,BO125,IF($J125=11,BO125,IF($J125=10,BO125,0)))))</f>
        <v>0</v>
      </c>
      <c r="BO125" s="397">
        <f t="shared" si="887"/>
        <v>0</v>
      </c>
      <c r="BP125" s="452"/>
      <c r="BQ125" s="403">
        <f>IF(AND(BP125&lt;&gt;0,BP$5=$H125),-$I125*$E125-BP125,IF(BQ$5=$H125,-$I125*$E125*(12-$J125+1)/12,0))</f>
        <v>0</v>
      </c>
      <c r="BR125" s="400">
        <f>IF($H125&lt;&gt;BV$5,0,IF(BV125&lt;0,IF($J125=1,-$E125*$I125/12*3,IF($J125=2,-$E125*$I125/12*2,IF($J125=3,-$E125*$I125/12*1,0)))))+IF(BQ$5&lt;&gt;$H125,0,IF(BQ125&lt;0,IF($J125=1,-$E125*$I125/12*0,IF($J125=2,-$E125*$I125/12*1,IF($J125=3,-$E125*$I125/12*2,IF($J125&gt;=4,-$E125*$I125/12*3,0))))))</f>
        <v>0</v>
      </c>
      <c r="BS125" s="406">
        <f>IF($H125&lt;&gt;BV$5,0,IF(BV125&lt;0,IF(OR($J125=1,$J125=2,$J125=3,$J125=4),-$E125*$I125/12*3,IF($J125=5,-$E125*$I125/12*2,IF($J125=6,-$E125*$I125/12*1,0)))))+IF(BQ$5&lt;&gt;$H125,0,IF(BQ125&lt;0,IF($J125=4,-$E125*$I125/12*0,IF($J125=5,-$E125*$I125/12*1,IF($J125=6,-$E125*$I125/12*2,IF($J125&gt;=7,-$E125*$I125/12*3,0))))))</f>
        <v>0</v>
      </c>
      <c r="BT125" s="406">
        <f>IF($H125&lt;&gt;BV$5,0,IF(BV125&lt;0,IF(OR($J125=1,$J125=2,$J125=3,$J125=4,$J125=5,$J125=6,$J125=7),-$E125*$I125/12*3,IF($J125=8,-$E125*$I125/12*2,IF($J125=9,-$E125*$I125/12*1,0)))))+IF(BQ$5&lt;&gt;$H125,0,IF(BQ125&lt;0,IF($J125=7,-$E125*$I125/12*0,IF($J125=8,-$E125*$I125/12*1,IF($J125=9,-$E125*$I125/12*2,IF($J125&gt;=10,-$E125*$I125/12*3,0))))))</f>
        <v>0</v>
      </c>
      <c r="BU125" s="402">
        <f>IF($H125&lt;&gt;BV$5,0,IF(BV125&lt;0,IF(OR($J125=1,$J125=2,$J125=3,$J125=4,$J125=5,$J125=6,$J125=7,$J125=8,$J125=9,$J125=10),-$E125*$I125/12*3,IF($J125=11,-$E125*$I125/12*2,IF($J125=12,-$E125*$I125/12*1,0)))))+IF(BQ$5&lt;&gt;$H125,0,IF(BQ125&lt;0,IF($J125=10,-$E125*$I125/12*0,IF($J125=11,-$E125*$I125/12*1,IF($J125=12,-$E125*$I125/12*2,0)))))</f>
        <v>0</v>
      </c>
      <c r="BV125" s="403">
        <f>IF(AND(BQ125&lt;&gt;0,BQ$5=$H125),-$I125*$E125-BQ125,IF(BV$5=$H125,-$I125*$E125*(12-$J125+1)/12,0))</f>
        <v>0</v>
      </c>
      <c r="BW125" s="400">
        <f>IF($H125&lt;&gt;CA$5,0,IF(CA125&lt;0,IF($J125=1,-$E125*$I125/12*3,IF($J125=2,-$E125*$I125/12*2,IF($J125=3,-$E125*$I125/12*1,0)))))+IF(BV$5&lt;&gt;$H125,0,IF(BV125&lt;0,IF($J125=1,-$E125*$I125/12*0,IF($J125=2,-$E125*$I125/12*1,IF($J125=3,-$E125*$I125/12*2,IF($J125&gt;=4,-$E125*$I125/12*3,0))))))</f>
        <v>0</v>
      </c>
      <c r="BX125" s="406">
        <f>IF($H125&lt;&gt;CA$5,0,IF(CA125&lt;0,IF(OR($J125=1,$J125=2,$J125=3,$J125=4),-$E125*$I125/12*3,IF($J125=5,-$E125*$I125/12*2,IF($J125=6,-$E125*$I125/12*1,0)))))+IF(BV$5&lt;&gt;$H125,0,IF(BV125&lt;0,IF($J125=4,-$E125*$I125/12*0,IF($J125=5,-$E125*$I125/12*1,IF($J125=6,-$E125*$I125/12*2,IF($J125&gt;=7,-$E125*$I125/12*3,0))))))</f>
        <v>0</v>
      </c>
      <c r="BY125" s="406">
        <f>IF($H125&lt;&gt;CA$5,0,IF(CA125&lt;0,IF(OR($J125=1,$J125=2,$J125=3,$J125=4,$J125=5,$J125=6,$J125=7),-$E125*$I125/12*3,IF($J125=8,-$E125*$I125/12*2,IF($J125=9,-$E125*$I125/12*1,0)))))+IF(BV$5&lt;&gt;$H125,0,IF(BV125&lt;0,IF($J125=7,-$E125*$I125/12*0,IF($J125=8,-$E125*$I125/12*1,IF($J125=9,-$E125*$I125/12*2,IF($J125&gt;=10,-$E125*$I125/12*3,0))))))</f>
        <v>0</v>
      </c>
      <c r="BZ125" s="402">
        <f>IF($H125&lt;&gt;CA$5,0,IF(CA125&lt;0,IF(OR($J125=1,$J125=2,$J125=3,$J125=4,$J125=5,$J125=6,$J125=7,$J125=8,$J125=9,$J125=10),-$E125*$I125/12*3,IF($J125=11,-$E125*$I125/12*2,IF($J125=12,-$E125*$I125/12*1,0)))))+IF(BV$5&lt;&gt;$H125,0,IF(BV125&lt;0,IF($J125=10,-$E125*$I125/12*0,IF($J125=11,-$E125*$I125/12*1,IF($J125=12,-$E125*$I125/12*2,0)))))</f>
        <v>0</v>
      </c>
      <c r="CA125" s="403">
        <f>IF(AND(BV125&lt;&gt;0,BV$5=$H125),-$I125*$E125-BV125,IF(CA$5=$H125,-$I125*$E125*(12-$J125+1)/12,0))</f>
        <v>0</v>
      </c>
      <c r="CB125" s="400">
        <f>IF($H125&lt;&gt;CF$5,0,IF(CF125&lt;0,IF($J125=1,-$E125*$I125/12*3,IF($J125=2,-$E125*$I125/12*2,IF($J125=3,-$E125*$I125/12*1,0)))))+IF(CA$5&lt;&gt;$H125,0,IF(CA125&lt;0,IF($J125=1,-$E125*$I125/12*0,IF($J125=2,-$E125*$I125/12*1,IF($J125=3,-$E125*$I125/12*2,IF($J125&gt;=4,-$E125*$I125/12*3,0))))))</f>
        <v>0</v>
      </c>
      <c r="CC125" s="406">
        <f>IF($H125&lt;&gt;CF$5,0,IF(CF125&lt;0,IF(OR($J125=1,$J125=2,$J125=3,$J125=4),-$E125*$I125/12*3,IF($J125=5,-$E125*$I125/12*2,IF($J125=6,-$E125*$I125/12*1,0)))))+IF(CA$5&lt;&gt;$H125,0,IF(CA125&lt;0,IF($J125=4,-$E125*$I125/12*0,IF($J125=5,-$E125*$I125/12*1,IF($J125=6,-$E125*$I125/12*2,IF($J125&gt;=7,-$E125*$I125/12*3,0))))))</f>
        <v>0</v>
      </c>
      <c r="CD125" s="406">
        <f>IF($H125&lt;&gt;CF$5,0,IF(CF125&lt;0,IF(OR($J125=1,$J125=2,$J125=3,$J125=4,$J125=5,$J125=6,$J125=7),-$E125*$I125/12*3,IF($J125=8,-$E125*$I125/12*2,IF($J125=9,-$E125*$I125/12*1,0)))))+IF(CA$5&lt;&gt;$H125,0,IF(CA125&lt;0,IF($J125=7,-$E125*$I125/12*0,IF($J125=8,-$E125*$I125/12*1,IF($J125=9,-$E125*$I125/12*2,IF($J125&gt;=10,-$E125*$I125/12*3,0))))))</f>
        <v>0</v>
      </c>
      <c r="CE125" s="402">
        <f>IF($H125&lt;&gt;CF$5,0,IF(CF125&lt;0,IF(OR($J125=1,$J125=2,$J125=3,$J125=4,$J125=5,$J125=6,$J125=7,$J125=8,$J125=9,$J125=10),-$E125*$I125/12*3,IF($J125=11,-$E125*$I125/12*2,IF($J125=12,-$E125*$I125/12*1,0)))))+IF(CA$5&lt;&gt;$H125,0,IF(CA125&lt;0,IF($J125=10,-$E125*$I125/12*0,IF($J125=11,-$E125*$I125/12*1,IF($J125=12,-$E125*$I125/12*2,0)))))</f>
        <v>0</v>
      </c>
      <c r="CF125" s="403">
        <f>IF(AND(CA125&lt;&gt;0,CA$5=$H125),-$I125*$E125-CA125,IF(CF$5=$H125,-$I125*$E125*(12-$J125+1)/12,0))</f>
        <v>0</v>
      </c>
      <c r="CG125" s="400">
        <f>IF($H125&lt;&gt;CK$5,0,IF(CK125&lt;0,IF($J125=1,-$E125*$I125/12*3,IF($J125=2,-$E125*$I125/12*2,IF($J125=3,-$E125*$I125/12*1,0)))))+IF(CF$5&lt;&gt;$H125,0,IF(CF125&lt;0,IF($J125=1,-$E125*$I125/12*0,IF($J125=2,-$E125*$I125/12*1,IF($J125=3,-$E125*$I125/12*2,IF($J125&gt;=4,-$E125*$I125/12*3,0))))))</f>
        <v>0</v>
      </c>
      <c r="CH125" s="406">
        <f>IF($H125&lt;&gt;CK$5,0,IF(CK125&lt;0,IF(OR($J125=1,$J125=2,$J125=3,$J125=4),-$E125*$I125/12*3,IF($J125=5,-$E125*$I125/12*2,IF($J125=6,-$E125*$I125/12*1,0)))))+IF(CF$5&lt;&gt;$H125,0,IF(CF125&lt;0,IF($J125=4,-$E125*$I125/12*0,IF($J125=5,-$E125*$I125/12*1,IF($J125=6,-$E125*$I125/12*2,IF($J125&gt;=7,-$E125*$I125/12*3,0))))))</f>
        <v>0</v>
      </c>
      <c r="CI125" s="406">
        <f>IF($H125&lt;&gt;CK$5,0,IF(CK125&lt;0,IF(OR($J125=1,$J125=2,$J125=3,$J125=4,$J125=5,$J125=6,$J125=7),-$E125*$I125/12*3,IF($J125=8,-$E125*$I125/12*2,IF($J125=9,-$E125*$I125/12*1,0)))))+IF(CF$5&lt;&gt;$H125,0,IF(CF125&lt;0,IF($J125=7,-$E125*$I125/12*0,IF($J125=8,-$E125*$I125/12*1,IF($J125=9,-$E125*$I125/12*2,IF($J125&gt;=10,-$E125*$I125/12*3,0))))))</f>
        <v>0</v>
      </c>
      <c r="CJ125" s="402">
        <f>IF($H125&lt;&gt;CK$5,0,IF(CK125&lt;0,IF(OR($J125=1,$J125=2,$J125=3,$J125=4,$J125=5,$J125=6,$J125=7,$J125=8,$J125=9,$J125=10),-$E125*$I125/12*3,IF($J125=11,-$E125*$I125/12*2,IF($J125=12,-$E125*$I125/12*1,0)))))+IF(CF$5&lt;&gt;$H125,0,IF(CF125&lt;0,IF($J125=10,-$E125*$I125/12*0,IF($J125=11,-$E125*$I125/12*1,IF($J125=12,-$E125*$I125/12*2,0)))))</f>
        <v>0</v>
      </c>
      <c r="CK125" s="403">
        <f>IF(AND(CF125&lt;&gt;0,CF$5=$H125),-$I125*$E125-CF125,IF(CK$5=$H125,-$I125*$E125*(12-$J125+1)/12,0))</f>
        <v>0</v>
      </c>
      <c r="CL125" s="400">
        <f>IF($H125&lt;&gt;CP$5,0,IF(CP125&lt;0,IF($J125=1,-$E125*$I125/12*3,IF($J125=2,-$E125*$I125/12*2,IF($J125=3,-$E125*$I125/12*1,0)))))+IF(CK$5&lt;&gt;$H125,0,IF(CK125&lt;0,IF($J125=1,-$E125*$I125/12*0,IF($J125=2,-$E125*$I125/12*1,IF($J125=3,-$E125*$I125/12*2,IF($J125&gt;=4,-$E125*$I125/12*3,0))))))</f>
        <v>0</v>
      </c>
      <c r="CM125" s="406">
        <f>IF($H125&lt;&gt;CP$5,0,IF(CP125&lt;0,IF(OR($J125=1,$J125=2,$J125=3,$J125=4),-$E125*$I125/12*3,IF($J125=5,-$E125*$I125/12*2,IF($J125=6,-$E125*$I125/12*1,0)))))+IF(CK$5&lt;&gt;$H125,0,IF(CK125&lt;0,IF($J125=4,-$E125*$I125/12*0,IF($J125=5,-$E125*$I125/12*1,IF($J125=6,-$E125*$I125/12*2,IF($J125&gt;=7,-$E125*$I125/12*3,0))))))</f>
        <v>0</v>
      </c>
      <c r="CN125" s="406">
        <f>IF($H125&lt;&gt;CP$5,0,IF(CP125&lt;0,IF(OR($J125=1,$J125=2,$J125=3,$J125=4,$J125=5,$J125=6,$J125=7),-$E125*$I125/12*3,IF($J125=8,-$E125*$I125/12*2,IF($J125=9,-$E125*$I125/12*1,0)))))+IF(CK$5&lt;&gt;$H125,0,IF(CK125&lt;0,IF($J125=7,-$E125*$I125/12*0,IF($J125=8,-$E125*$I125/12*1,IF($J125=9,-$E125*$I125/12*2,IF($J125&gt;=10,-$E125*$I125/12*3,0))))))</f>
        <v>0</v>
      </c>
      <c r="CO125" s="402">
        <f>IF($H125&lt;&gt;CP$5,0,IF(CP125&lt;0,IF(OR($J125=1,$J125=2,$J125=3,$J125=4,$J125=5,$J125=6,$J125=7,$J125=8,$J125=9,$J125=10),-$E125*$I125/12*3,IF($J125=11,-$E125*$I125/12*2,IF($J125=12,-$E125*$I125/12*1,0)))))+IF(CK$5&lt;&gt;$H125,0,IF(CK125&lt;0,IF($J125=10,-$E125*$I125/12*0,IF($J125=11,-$E125*$I125/12*1,IF($J125=12,-$E125*$I125/12*2,0)))))</f>
        <v>0</v>
      </c>
      <c r="CP125" s="403">
        <f>IF(AND(CK125&lt;&gt;0,CK$5=$H125),-$I125*$E125-CK125,IF(CP$5=$H125,-$I125*$E125*(12-$J125+1)/12,0))</f>
        <v>0</v>
      </c>
      <c r="CQ125" s="400">
        <f>IF($H125&lt;&gt;CU$5,0,IF(CU125&lt;0,IF($J125=1,-$E125*$I125/12*3,IF($J125=2,-$E125*$I125/12*2,IF($J125=3,-$E125*$I125/12*1,0)))))+IF(CP$5&lt;&gt;$H125,0,IF(CP125&lt;0,IF($J125=1,-$E125*$I125/12*0,IF($J125=2,-$E125*$I125/12*1,IF($J125=3,-$E125*$I125/12*2,IF($J125&gt;=4,-$E125*$I125/12*3,0))))))</f>
        <v>0</v>
      </c>
      <c r="CR125" s="406">
        <f>IF($H125&lt;&gt;CU$5,0,IF(CU125&lt;0,IF(OR($J125=1,$J125=2,$J125=3,$J125=4),-$E125*$I125/12*3,IF($J125=5,-$E125*$I125/12*2,IF($J125=6,-$E125*$I125/12*1,0)))))+IF(CP$5&lt;&gt;$H125,0,IF(CP125&lt;0,IF($J125=4,-$E125*$I125/12*0,IF($J125=5,-$E125*$I125/12*1,IF($J125=6,-$E125*$I125/12*2,IF($J125&gt;=7,-$E125*$I125/12*3,0))))))</f>
        <v>0</v>
      </c>
      <c r="CS125" s="406">
        <f>IF($H125&lt;&gt;CU$5,0,IF(CU125&lt;0,IF(OR($J125=1,$J125=2,$J125=3,$J125=4,$J125=5,$J125=6,$J125=7),-$E125*$I125/12*3,IF($J125=8,-$E125*$I125/12*2,IF($J125=9,-$E125*$I125/12*1,0)))))+IF(CP$5&lt;&gt;$H125,0,IF(CP125&lt;0,IF($J125=7,-$E125*$I125/12*0,IF($J125=8,-$E125*$I125/12*1,IF($J125=9,-$E125*$I125/12*2,IF($J125&gt;=10,-$E125*$I125/12*3,0))))))</f>
        <v>0</v>
      </c>
      <c r="CT125" s="402">
        <f>IF($H125&lt;&gt;CU$5,0,IF(CU125&lt;0,IF(OR($J125=1,$J125=2,$J125=3,$J125=4,$J125=5,$J125=6,$J125=7,$J125=8,$J125=9,$J125=10),-$E125*$I125/12*3,IF($J125=11,-$E125*$I125/12*2,IF($J125=12,-$E125*$I125/12*1,0)))))+IF(CP$5&lt;&gt;$H125,0,IF(CP125&lt;0,IF($J125=10,-$E125*$I125/12*0,IF($J125=11,-$E125*$I125/12*1,IF($J125=12,-$E125*$I125/12*2,0)))))</f>
        <v>0</v>
      </c>
      <c r="CU125" s="403">
        <f>IF(AND(CP125&lt;&gt;0,CP$5=$H125),-$I125*$E125-CP125,IF(CU$5=$H125,-$I125*$E125*(12-$J125+1)/12,0))</f>
        <v>0</v>
      </c>
      <c r="CV125" s="400">
        <f>IF($H125&lt;&gt;CZ$5,0,IF(CZ125&lt;0,IF($J125=1,-$E125*$I125/12*3,IF($J125=2,-$E125*$I125/12*2,IF($J125=3,-$E125*$I125/12*1,0)))))+IF(CU$5&lt;&gt;$H125,0,IF(CU125&lt;0,IF($J125=1,-$E125*$I125/12*0,IF($J125=2,-$E125*$I125/12*1,IF($J125=3,-$E125*$I125/12*2,IF($J125&gt;=4,-$E125*$I125/12*3,0))))))</f>
        <v>0</v>
      </c>
      <c r="CW125" s="406">
        <f>IF($H125&lt;&gt;CZ$5,0,IF(CZ125&lt;0,IF(OR($J125=1,$J125=2,$J125=3,$J125=4),-$E125*$I125/12*3,IF($J125=5,-$E125*$I125/12*2,IF($J125=6,-$E125*$I125/12*1,0)))))+IF(CU$5&lt;&gt;$H125,0,IF(CU125&lt;0,IF($J125=4,-$E125*$I125/12*0,IF($J125=5,-$E125*$I125/12*1,IF($J125=6,-$E125*$I125/12*2,IF($J125&gt;=7,-$E125*$I125/12*3,0))))))</f>
        <v>0</v>
      </c>
      <c r="CX125" s="406">
        <f>IF($H125&lt;&gt;CZ$5,0,IF(CZ125&lt;0,IF(OR($J125=1,$J125=2,$J125=3,$J125=4,$J125=5,$J125=6,$J125=7),-$E125*$I125/12*3,IF($J125=8,-$E125*$I125/12*2,IF($J125=9,-$E125*$I125/12*1,0)))))+IF(CU$5&lt;&gt;$H125,0,IF(CU125&lt;0,IF($J125=7,-$E125*$I125/12*0,IF($J125=8,-$E125*$I125/12*1,IF($J125=9,-$E125*$I125/12*2,IF($J125&gt;=10,-$E125*$I125/12*3,0))))))</f>
        <v>0</v>
      </c>
      <c r="CY125" s="402">
        <f>IF($H125&lt;&gt;CZ$5,0,IF(CZ125&lt;0,IF(OR($J125=1,$J125=2,$J125=3,$J125=4,$J125=5,$J125=6,$J125=7,$J125=8,$J125=9,$J125=10),-$E125*$I125/12*3,IF($J125=11,-$E125*$I125/12*2,IF($J125=12,-$E125*$I125/12*1,0)))))+IF(CU$5&lt;&gt;$H125,0,IF(CU125&lt;0,IF($J125=10,-$E125*$I125/12*0,IF($J125=11,-$E125*$I125/12*1,IF($J125=12,-$E125*$I125/12*2,0)))))</f>
        <v>0</v>
      </c>
      <c r="CZ125" s="403">
        <f>IF(AND(CU125&lt;&gt;0,CU$5=$H125),-$I125*$E125-CU125,IF(CZ$5=$H125,-$I125*$E125*(12-$J125+1)/12,0))</f>
        <v>0</v>
      </c>
      <c r="DA125" s="400">
        <f>IF($H125&lt;&gt;DE$5,0,IF(DE125&lt;0,IF($J125=1,-$E125*$I125/12*3,IF($J125=2,-$E125*$I125/12*2,IF($J125=3,-$E125*$I125/12*1,0)))))+IF(CZ$5&lt;&gt;$H125,0,IF(CZ125&lt;0,IF($J125=1,-$E125*$I125/12*0,IF($J125=2,-$E125*$I125/12*1,IF($J125=3,-$E125*$I125/12*2,IF($J125&gt;=4,-$E125*$I125/12*3,0))))))</f>
        <v>0</v>
      </c>
      <c r="DB125" s="406">
        <f>IF($H125&lt;&gt;DE$5,0,IF(DE125&lt;0,IF(OR($J125=1,$J125=2,$J125=3,$J125=4),-$E125*$I125/12*3,IF($J125=5,-$E125*$I125/12*2,IF($J125=6,-$E125*$I125/12*1,0)))))+IF(CZ$5&lt;&gt;$H125,0,IF(CZ125&lt;0,IF($J125=4,-$E125*$I125/12*0,IF($J125=5,-$E125*$I125/12*1,IF($J125=6,-$E125*$I125/12*2,IF($J125&gt;=7,-$E125*$I125/12*3,0))))))</f>
        <v>0</v>
      </c>
      <c r="DC125" s="406">
        <f>IF($H125&lt;&gt;DE$5,0,IF(DE125&lt;0,IF(OR($J125=1,$J125=2,$J125=3,$J125=4,$J125=5,$J125=6,$J125=7),-$E125*$I125/12*3,IF($J125=8,-$E125*$I125/12*2,IF($J125=9,-$E125*$I125/12*1,0)))))+IF(CZ$5&lt;&gt;$H125,0,IF(CZ125&lt;0,IF($J125=7,-$E125*$I125/12*0,IF($J125=8,-$E125*$I125/12*1,IF($J125=9,-$E125*$I125/12*2,IF($J125&gt;=10,-$E125*$I125/12*3,0))))))</f>
        <v>0</v>
      </c>
      <c r="DD125" s="402">
        <f>IF($H125&lt;&gt;DE$5,0,IF(DE125&lt;0,IF(OR($J125=1,$J125=2,$J125=3,$J125=4,$J125=5,$J125=6,$J125=7,$J125=8,$J125=9,$J125=10),-$E125*$I125/12*3,IF($J125=11,-$E125*$I125/12*2,IF($J125=12,-$E125*$I125/12*1,0)))))+IF(CZ$5&lt;&gt;$H125,0,IF(CZ125&lt;0,IF($J125=10,-$E125*$I125/12*0,IF($J125=11,-$E125*$I125/12*1,IF($J125=12,-$E125*$I125/12*2,0)))))</f>
        <v>0</v>
      </c>
      <c r="DE125" s="403">
        <f>IF(AND(CZ125&lt;&gt;0,CZ$5=$H125),-$I125*$E125-CZ125,IF(DE$5=$H125,-$I125*$E125*(12-$J125+1)/12,0))</f>
        <v>0</v>
      </c>
      <c r="DF125" s="400">
        <f>IF($H125&lt;&gt;DJ$5,0,IF(DJ125&lt;0,IF($J125=1,-$E125*$I125/12*3,IF($J125=2,-$E125*$I125/12*2,IF($J125=3,-$E125*$I125/12*1,0)))))+IF(DE$5&lt;&gt;$H125,0,IF(DE125&lt;0,IF($J125=1,-$E125*$I125/12*0,IF($J125=2,-$E125*$I125/12*1,IF($J125=3,-$E125*$I125/12*2,IF($J125&gt;=4,-$E125*$I125/12*3,0))))))</f>
        <v>0</v>
      </c>
      <c r="DG125" s="406">
        <f>IF($H125&lt;&gt;DJ$5,0,IF(DJ125&lt;0,IF(OR($J125=1,$J125=2,$J125=3,$J125=4),-$E125*$I125/12*3,IF($J125=5,-$E125*$I125/12*2,IF($J125=6,-$E125*$I125/12*1,0)))))+IF(DE$5&lt;&gt;$H125,0,IF(DE125&lt;0,IF($J125=4,-$E125*$I125/12*0,IF($J125=5,-$E125*$I125/12*1,IF($J125=6,-$E125*$I125/12*2,IF($J125&gt;=7,-$E125*$I125/12*3,0))))))</f>
        <v>0</v>
      </c>
      <c r="DH125" s="406">
        <f>IF($H125&lt;&gt;DJ$5,0,IF(DJ125&lt;0,IF(OR($J125=1,$J125=2,$J125=3,$J125=4,$J125=5,$J125=6,$J125=7),-$E125*$I125/12*3,IF($J125=8,-$E125*$I125/12*2,IF($J125=9,-$E125*$I125/12*1,0)))))+IF(DE$5&lt;&gt;$H125,0,IF(DE125&lt;0,IF($J125=7,-$E125*$I125/12*0,IF($J125=8,-$E125*$I125/12*1,IF($J125=9,-$E125*$I125/12*2,IF($J125&gt;=10,-$E125*$I125/12*3,0))))))</f>
        <v>0</v>
      </c>
      <c r="DI125" s="402">
        <f>IF($H125&lt;&gt;DJ$5,0,IF(DJ125&lt;0,IF(OR($J125=1,$J125=2,$J125=3,$J125=4,$J125=5,$J125=6,$J125=7,$J125=8,$J125=9,$J125=10),-$E125*$I125/12*3,IF($J125=11,-$E125*$I125/12*2,IF($J125=12,-$E125*$I125/12*1,0)))))+IF(DE$5&lt;&gt;$H125,0,IF(DE125&lt;0,IF($J125=10,-$E125*$I125/12*0,IF($J125=11,-$E125*$I125/12*1,IF($J125=12,-$E125*$I125/12*2,0)))))</f>
        <v>0</v>
      </c>
      <c r="DJ125" s="403">
        <f>IF(AND(DE125&lt;&gt;0,DE$5=$H125),-$I125*$E125-DE125,IF(DJ$5=$H125,-$I125*$E125*(12-$J125+1)/12,0))</f>
        <v>0</v>
      </c>
      <c r="DK125" s="400">
        <f>IF($H125&lt;&gt;DO$5,0,IF(DO125&lt;0,IF($J125=1,-$E125*$I125/12*3,IF($J125=2,-$E125*$I125/12*2,IF($J125=3,-$E125*$I125/12*1,0)))))+IF(DJ$5&lt;&gt;$H125,0,IF(DJ125&lt;0,IF($J125=1,-$E125*$I125/12*0,IF($J125=2,-$E125*$I125/12*1,IF($J125=3,-$E125*$I125/12*2,IF($J125&gt;=4,-$E125*$I125/12*3,0))))))</f>
        <v>0</v>
      </c>
      <c r="DL125" s="406">
        <f>IF($H125&lt;&gt;DO$5,0,IF(DO125&lt;0,IF(OR($J125=1,$J125=2,$J125=3,$J125=4),-$E125*$I125/12*3,IF($J125=5,-$E125*$I125/12*2,IF($J125=6,-$E125*$I125/12*1,0)))))+IF(DJ$5&lt;&gt;$H125,0,IF(DJ125&lt;0,IF($J125=4,-$E125*$I125/12*0,IF($J125=5,-$E125*$I125/12*1,IF($J125=6,-$E125*$I125/12*2,IF($J125&gt;=7,-$E125*$I125/12*3,0))))))</f>
        <v>0</v>
      </c>
      <c r="DM125" s="406">
        <f>IF($H125&lt;&gt;DO$5,0,IF(DO125&lt;0,IF(OR($J125=1,$J125=2,$J125=3,$J125=4,$J125=5,$J125=6,$J125=7),-$E125*$I125/12*3,IF($J125=8,-$E125*$I125/12*2,IF($J125=9,-$E125*$I125/12*1,0)))))+IF(DJ$5&lt;&gt;$H125,0,IF(DJ125&lt;0,IF($J125=7,-$E125*$I125/12*0,IF($J125=8,-$E125*$I125/12*1,IF($J125=9,-$E125*$I125/12*2,IF($J125&gt;=10,-$E125*$I125/12*3,0))))))</f>
        <v>0</v>
      </c>
      <c r="DN125" s="402">
        <f>IF($H125&lt;&gt;DO$5,0,IF(DO125&lt;0,IF(OR($J125=1,$J125=2,$J125=3,$J125=4,$J125=5,$J125=6,$J125=7,$J125=8,$J125=9,$J125=10),-$E125*$I125/12*3,IF($J125=11,-$E125*$I125/12*2,IF($J125=12,-$E125*$I125/12*1,0)))))+IF(DJ$5&lt;&gt;$H125,0,IF(DJ125&lt;0,IF($J125=10,-$E125*$I125/12*0,IF($J125=11,-$E125*$I125/12*1,IF($J125=12,-$E125*$I125/12*2,0)))))</f>
        <v>0</v>
      </c>
      <c r="DO125" s="403">
        <f>IF(AND(DJ125&lt;&gt;0,DJ$5=$H125),-$I125*$E125-DJ125,IF(DO$5=$H125,-$I125*$E125*(12-$J125+1)/12,0))</f>
        <v>0</v>
      </c>
      <c r="DP125" s="400">
        <f>IF($H125&lt;&gt;DT$5,0,IF(DT125&lt;0,IF($J125=1,-$E125*$I125/12*3,IF($J125=2,-$E125*$I125/12*2,IF($J125=3,-$E125*$I125/12*1,0)))))+IF(DO$5&lt;&gt;$H125,0,IF(DO125&lt;0,IF($J125=1,-$E125*$I125/12*0,IF($J125=2,-$E125*$I125/12*1,IF($J125=3,-$E125*$I125/12*2,IF($J125&gt;=4,-$E125*$I125/12*3,0))))))</f>
        <v>0</v>
      </c>
      <c r="DQ125" s="406">
        <f>IF($H125&lt;&gt;DT$5,0,IF(DT125&lt;0,IF(OR($J125=1,$J125=2,$J125=3,$J125=4),-$E125*$I125/12*3,IF($J125=5,-$E125*$I125/12*2,IF($J125=6,-$E125*$I125/12*1,0)))))+IF(DO$5&lt;&gt;$H125,0,IF(DO125&lt;0,IF($J125=4,-$E125*$I125/12*0,IF($J125=5,-$E125*$I125/12*1,IF($J125=6,-$E125*$I125/12*2,IF($J125&gt;=7,-$E125*$I125/12*3,0))))))</f>
        <v>0</v>
      </c>
      <c r="DR125" s="406">
        <f>IF($H125&lt;&gt;DT$5,0,IF(DT125&lt;0,IF(OR($J125=1,$J125=2,$J125=3,$J125=4,$J125=5,$J125=6,$J125=7),-$E125*$I125/12*3,IF($J125=8,-$E125*$I125/12*2,IF($J125=9,-$E125*$I125/12*1,0)))))+IF(DO$5&lt;&gt;$H125,0,IF(DO125&lt;0,IF($J125=7,-$E125*$I125/12*0,IF($J125=8,-$E125*$I125/12*1,IF($J125=9,-$E125*$I125/12*2,IF($J125&gt;=10,-$E125*$I125/12*3,0))))))</f>
        <v>0</v>
      </c>
      <c r="DS125" s="402">
        <f>IF($H125&lt;&gt;DT$5,0,IF(DT125&lt;0,IF(OR($J125=1,$J125=2,$J125=3,$J125=4,$J125=5,$J125=6,$J125=7,$J125=8,$J125=9,$J125=10),-$E125*$I125/12*3,IF($J125=11,-$E125*$I125/12*2,IF($J125=12,-$E125*$I125/12*1,0)))))+IF(DO$5&lt;&gt;$H125,0,IF(DO125&lt;0,IF($J125=10,-$E125*$I125/12*0,IF($J125=11,-$E125*$I125/12*1,IF($J125=12,-$E125*$I125/12*2,0)))))</f>
        <v>0</v>
      </c>
      <c r="DT125" s="403">
        <f>IF(AND(DO125&lt;&gt;0,DO$5=$H125),-$I125*$E125-DO125,IF(DT$5=$H125,-$I125*$E125*(12-$J125+1)/12,0))</f>
        <v>0</v>
      </c>
      <c r="EF125" s="35"/>
      <c r="EI125" s="759"/>
    </row>
    <row r="126" spans="3:139" ht="12.75" customHeight="1" x14ac:dyDescent="0.2">
      <c r="C126" s="511"/>
      <c r="D126" s="70"/>
      <c r="E126" s="530"/>
      <c r="F126" s="537"/>
      <c r="G126" s="537"/>
      <c r="H126" s="449"/>
      <c r="I126" s="450"/>
      <c r="J126" s="451"/>
      <c r="K126" s="392"/>
      <c r="L126" s="397"/>
      <c r="M126" s="394"/>
      <c r="N126" s="404"/>
      <c r="O126" s="404"/>
      <c r="P126" s="396"/>
      <c r="Q126" s="397"/>
      <c r="R126" s="394"/>
      <c r="S126" s="404"/>
      <c r="T126" s="404"/>
      <c r="U126" s="396"/>
      <c r="V126" s="397"/>
      <c r="W126" s="394"/>
      <c r="X126" s="404"/>
      <c r="Y126" s="404"/>
      <c r="Z126" s="396"/>
      <c r="AA126" s="397"/>
      <c r="AB126" s="394"/>
      <c r="AC126" s="404"/>
      <c r="AD126" s="404"/>
      <c r="AE126" s="396"/>
      <c r="AF126" s="397"/>
      <c r="AG126" s="394"/>
      <c r="AH126" s="404"/>
      <c r="AI126" s="404"/>
      <c r="AJ126" s="396"/>
      <c r="AK126" s="397"/>
      <c r="AL126" s="394"/>
      <c r="AM126" s="404"/>
      <c r="AN126" s="404"/>
      <c r="AO126" s="396"/>
      <c r="AP126" s="397"/>
      <c r="AQ126" s="394"/>
      <c r="AR126" s="404"/>
      <c r="AS126" s="404"/>
      <c r="AT126" s="396"/>
      <c r="AU126" s="397"/>
      <c r="AV126" s="394"/>
      <c r="AW126" s="404"/>
      <c r="AX126" s="404"/>
      <c r="AY126" s="396"/>
      <c r="AZ126" s="397"/>
      <c r="BA126" s="394"/>
      <c r="BB126" s="404"/>
      <c r="BC126" s="404"/>
      <c r="BD126" s="396"/>
      <c r="BE126" s="397"/>
      <c r="BF126" s="394"/>
      <c r="BG126" s="404"/>
      <c r="BH126" s="404"/>
      <c r="BI126" s="396"/>
      <c r="BJ126" s="397"/>
      <c r="BK126" s="394"/>
      <c r="BL126" s="404"/>
      <c r="BM126" s="404"/>
      <c r="BN126" s="396"/>
      <c r="BO126" s="397"/>
      <c r="BP126" s="452"/>
      <c r="BQ126" s="403"/>
      <c r="BR126" s="400"/>
      <c r="BS126" s="406"/>
      <c r="BT126" s="406"/>
      <c r="BU126" s="402"/>
      <c r="BV126" s="403"/>
      <c r="BW126" s="400"/>
      <c r="BX126" s="406"/>
      <c r="BY126" s="406"/>
      <c r="BZ126" s="402"/>
      <c r="CA126" s="403"/>
      <c r="CB126" s="400"/>
      <c r="CC126" s="406"/>
      <c r="CD126" s="406"/>
      <c r="CE126" s="402"/>
      <c r="CF126" s="403"/>
      <c r="CG126" s="400"/>
      <c r="CH126" s="406"/>
      <c r="CI126" s="406"/>
      <c r="CJ126" s="402"/>
      <c r="CK126" s="403"/>
      <c r="CL126" s="400"/>
      <c r="CM126" s="406"/>
      <c r="CN126" s="406"/>
      <c r="CO126" s="402"/>
      <c r="CP126" s="403"/>
      <c r="CQ126" s="400"/>
      <c r="CR126" s="406"/>
      <c r="CS126" s="406"/>
      <c r="CT126" s="402"/>
      <c r="CU126" s="403"/>
      <c r="CV126" s="400"/>
      <c r="CW126" s="406"/>
      <c r="CX126" s="406"/>
      <c r="CY126" s="402"/>
      <c r="CZ126" s="403"/>
      <c r="DA126" s="400"/>
      <c r="DB126" s="406"/>
      <c r="DC126" s="406"/>
      <c r="DD126" s="402"/>
      <c r="DE126" s="403"/>
      <c r="DF126" s="400"/>
      <c r="DG126" s="406"/>
      <c r="DH126" s="406"/>
      <c r="DI126" s="402"/>
      <c r="DJ126" s="403"/>
      <c r="DK126" s="400"/>
      <c r="DL126" s="406"/>
      <c r="DM126" s="406"/>
      <c r="DN126" s="402"/>
      <c r="DO126" s="403"/>
      <c r="DP126" s="400"/>
      <c r="DQ126" s="406"/>
      <c r="DR126" s="406"/>
      <c r="DS126" s="402"/>
      <c r="DT126" s="403"/>
    </row>
    <row r="127" spans="3:139" ht="12.75" customHeight="1" x14ac:dyDescent="0.2">
      <c r="C127" s="1" t="s">
        <v>526</v>
      </c>
      <c r="D127" s="70"/>
      <c r="E127" s="530">
        <f t="shared" si="831"/>
        <v>3.5658913043478262</v>
      </c>
      <c r="F127" s="532">
        <v>0</v>
      </c>
      <c r="G127" s="532">
        <f>164.031/46</f>
        <v>3.5658913043478262</v>
      </c>
      <c r="H127" s="449">
        <v>2017</v>
      </c>
      <c r="I127" s="450">
        <f>AVERAGE(11.2%,14.3%)</f>
        <v>0.1275</v>
      </c>
      <c r="J127" s="470">
        <v>7</v>
      </c>
      <c r="K127" s="392"/>
      <c r="L127" s="397">
        <f>IF(L$5=$H127,-$E127,0)</f>
        <v>0</v>
      </c>
      <c r="M127" s="394">
        <f>IF(Q127=0,0,IF(Q127&lt;0,IF($J127=3,Q127,IF($J127=2,Q127,IF($J127=1,Q127,0)))))</f>
        <v>0</v>
      </c>
      <c r="N127" s="404">
        <f>IF(Q127=0,0,IF(Q127&lt;0,IF($J127=6,Q127,IF($J127=5,Q127,IF($J127=4,Q127,0)))))</f>
        <v>0</v>
      </c>
      <c r="O127" s="404">
        <f>IF(Q127=0,0,IF(Q127&lt;0,IF($J127=9,Q127,IF($J127=8,Q127,IF($J127=7,Q127,0)))))</f>
        <v>0</v>
      </c>
      <c r="P127" s="396">
        <f>IF(Q127=0,0,IF(Q127&lt;0,IF($J127=12,Q127,IF($J127=11,Q127,IF($J127=10,Q127,0)))))</f>
        <v>0</v>
      </c>
      <c r="Q127" s="397">
        <f>IF(Q$5=$H127,-$E127,0)</f>
        <v>0</v>
      </c>
      <c r="R127" s="394">
        <f>IF(V127=0,0,IF(V127&lt;0,IF($J127=3,V127,IF($J127=2,V127,IF($J127=1,V127,0)))))</f>
        <v>0</v>
      </c>
      <c r="S127" s="404">
        <f>IF(V127=0,0,IF(V127&lt;0,IF($J127=6,V127,IF($J127=5,V127,IF($J127=4,V127,0)))))</f>
        <v>0</v>
      </c>
      <c r="T127" s="404">
        <f>IF(V127=0,0,IF(V127&lt;0,IF($J127=9,V127,IF($J127=8,V127,IF($J127=7,V127,0)))))</f>
        <v>0</v>
      </c>
      <c r="U127" s="396">
        <f>IF(V127=0,0,IF(V127&lt;0,IF($J127=12,V127,IF($J127=11,V127,IF($J127=10,V127,0)))))</f>
        <v>0</v>
      </c>
      <c r="V127" s="397">
        <f>IF(V$5=$H127,-$E127,0)</f>
        <v>0</v>
      </c>
      <c r="W127" s="394">
        <f>IF(AA127=0,0,IF(AA127&lt;0,IF($J127=3,AA127,IF($J127=2,AA127,IF($J127=1,AA127,0)))))</f>
        <v>0</v>
      </c>
      <c r="X127" s="404">
        <f>IF(AA127=0,0,IF(AA127&lt;0,IF($J127=6,AA127,IF($J127=5,AA127,IF($J127=4,AA127,0)))))</f>
        <v>0</v>
      </c>
      <c r="Y127" s="404">
        <f>IF(AA127=0,0,IF(AA127&lt;0,IF($J127=9,AA127,IF($J127=8,AA127,IF($J127=7,AA127,0)))))</f>
        <v>0</v>
      </c>
      <c r="Z127" s="396">
        <f>IF(AA127=0,0,IF(AA127&lt;0,IF($J127=12,AA127,IF($J127=11,AA127,IF($J127=10,AA127,0)))))</f>
        <v>0</v>
      </c>
      <c r="AA127" s="397">
        <f>IF(AA$5=$H127,-$E127,0)</f>
        <v>0</v>
      </c>
      <c r="AB127" s="394">
        <f>IF(AF127=0,0,IF(AF127&lt;0,IF($J127=3,AF127,IF($J127=2,AF127,IF($J127=1,AF127,0)))))</f>
        <v>0</v>
      </c>
      <c r="AC127" s="404">
        <f>IF(AF127=0,0,IF(AF127&lt;0,IF($J127=6,AF127,IF($J127=5,AF127,IF($J127=4,AF127,0)))))</f>
        <v>0</v>
      </c>
      <c r="AD127" s="404">
        <f>IF(AF127=0,0,IF(AF127&lt;0,IF($J127=9,AF127,IF($J127=8,AF127,IF($J127=7,AF127,0)))))</f>
        <v>0</v>
      </c>
      <c r="AE127" s="396">
        <f>IF(AF127=0,0,IF(AF127&lt;0,IF($J127=12,AF127,IF($J127=11,AF127,IF($J127=10,AF127,0)))))</f>
        <v>0</v>
      </c>
      <c r="AF127" s="397">
        <f>IF(AF$5=$H127,-$E127,0)</f>
        <v>0</v>
      </c>
      <c r="AG127" s="394">
        <f>IF(AK127=0,0,IF(AK127&lt;0,IF($J127=3,AK127,IF($J127=2,AK127,IF($J127=1,AK127,0)))))</f>
        <v>0</v>
      </c>
      <c r="AH127" s="404">
        <f>IF(AK127=0,0,IF(AK127&lt;0,IF($J127=6,AK127,IF($J127=5,AK127,IF($J127=4,AK127,0)))))</f>
        <v>0</v>
      </c>
      <c r="AI127" s="404">
        <f>IF(AK127=0,0,IF(AK127&lt;0,IF($J127=9,AK127,IF($J127=8,AK127,IF($J127=7,AK127,0)))))</f>
        <v>0</v>
      </c>
      <c r="AJ127" s="396">
        <f>IF(AK127=0,0,IF(AK127&lt;0,IF($J127=12,AK127,IF($J127=11,AK127,IF($J127=10,AK127,0)))))</f>
        <v>0</v>
      </c>
      <c r="AK127" s="397">
        <f>IF(AK$5=$H127,-$E127,0)</f>
        <v>0</v>
      </c>
      <c r="AL127" s="394">
        <f>IF(AP127=0,0,IF(AP127&lt;0,IF($J127=3,AP127,IF($J127=2,AP127,IF($J127=1,AP127,0)))))</f>
        <v>0</v>
      </c>
      <c r="AM127" s="404">
        <f>IF(AP127=0,0,IF(AP127&lt;0,IF($J127=6,AP127,IF($J127=5,AP127,IF($J127=4,AP127,0)))))</f>
        <v>0</v>
      </c>
      <c r="AN127" s="404">
        <f>IF(AP127=0,0,IF(AP127&lt;0,IF($J127=9,AP127,IF($J127=8,AP127,IF($J127=7,AP127,0)))))</f>
        <v>0</v>
      </c>
      <c r="AO127" s="396">
        <f>IF(AP127=0,0,IF(AP127&lt;0,IF($J127=12,AP127,IF($J127=11,AP127,IF($J127=10,AP127,0)))))</f>
        <v>0</v>
      </c>
      <c r="AP127" s="397">
        <f>IF(AP$5=$H127,-$E127,0)</f>
        <v>0</v>
      </c>
      <c r="AQ127" s="394">
        <f>IF(AU127=0,0,IF(AU127&lt;0,IF($J127=3,AU127,IF($J127=2,AU127,IF($J127=1,AU127,0)))))</f>
        <v>0</v>
      </c>
      <c r="AR127" s="404">
        <f>IF(AU127=0,0,IF(AU127&lt;0,IF($J127=6,AU127,IF($J127=5,AU127,IF($J127=4,AU127,0)))))</f>
        <v>0</v>
      </c>
      <c r="AS127" s="404">
        <f>IF(AU127=0,0,IF(AU127&lt;0,IF($J127=9,AU127,IF($J127=8,AU127,IF($J127=7,AU127,0)))))</f>
        <v>-3.5658913043478262</v>
      </c>
      <c r="AT127" s="396">
        <f>IF(AU127=0,0,IF(AU127&lt;0,IF($J127=12,AU127,IF($J127=11,AU127,IF($J127=10,AU127,0)))))</f>
        <v>0</v>
      </c>
      <c r="AU127" s="397">
        <f>IF(AU$5=$H127,-$E127,0)</f>
        <v>-3.5658913043478262</v>
      </c>
      <c r="AV127" s="394">
        <f>IF(AZ127=0,0,IF(AZ127&lt;0,IF($J127=3,AZ127,IF($J127=2,AZ127,IF($J127=1,AZ127,0)))))</f>
        <v>0</v>
      </c>
      <c r="AW127" s="404">
        <f>IF(AZ127=0,0,IF(AZ127&lt;0,IF($J127=6,AZ127,IF($J127=5,AZ127,IF($J127=4,AZ127,0)))))</f>
        <v>0</v>
      </c>
      <c r="AX127" s="404">
        <f>IF(AZ127=0,0,IF(AZ127&lt;0,IF($J127=9,AZ127,IF($J127=8,AZ127,IF($J127=7,AZ127,0)))))</f>
        <v>0</v>
      </c>
      <c r="AY127" s="396">
        <f>IF(AZ127=0,0,IF(AZ127&lt;0,IF($J127=12,AZ127,IF($J127=11,AZ127,IF($J127=10,AZ127,0)))))</f>
        <v>0</v>
      </c>
      <c r="AZ127" s="397">
        <f>IF(AZ$5=$H127,-$E127,0)</f>
        <v>0</v>
      </c>
      <c r="BA127" s="394">
        <f>IF(BE127=0,0,IF(BE127&lt;0,IF($J127=3,BE127,IF($J127=2,BE127,IF($J127=1,BE127,0)))))</f>
        <v>0</v>
      </c>
      <c r="BB127" s="404">
        <f>IF(BE127=0,0,IF(BE127&lt;0,IF($J127=6,BE127,IF($J127=5,BE127,IF($J127=4,BE127,0)))))</f>
        <v>0</v>
      </c>
      <c r="BC127" s="404">
        <f>IF(BE127=0,0,IF(BE127&lt;0,IF($J127=9,BE127,IF($J127=8,BE127,IF($J127=7,BE127,0)))))</f>
        <v>0</v>
      </c>
      <c r="BD127" s="396">
        <f>IF(BE127=0,0,IF(BE127&lt;0,IF($J127=12,BE127,IF($J127=11,BE127,IF($J127=10,BE127,0)))))</f>
        <v>0</v>
      </c>
      <c r="BE127" s="397">
        <f>IF(BE$5=$H127,-$E127,0)</f>
        <v>0</v>
      </c>
      <c r="BF127" s="394">
        <f>IF(BJ127=0,0,IF(BJ127&lt;0,IF($J127=3,BJ127,IF($J127=2,BJ127,IF($J127=1,BJ127,0)))))</f>
        <v>0</v>
      </c>
      <c r="BG127" s="404">
        <f>IF(BJ127=0,0,IF(BJ127&lt;0,IF($J127=6,BJ127,IF($J127=5,BJ127,IF($J127=4,BJ127,0)))))</f>
        <v>0</v>
      </c>
      <c r="BH127" s="404">
        <f>IF(BJ127=0,0,IF(BJ127&lt;0,IF($J127=9,BJ127,IF($J127=8,BJ127,IF($J127=7,BJ127,0)))))</f>
        <v>0</v>
      </c>
      <c r="BI127" s="396">
        <f>IF(BJ127=0,0,IF(BJ127&lt;0,IF($J127=12,BJ127,IF($J127=11,BJ127,IF($J127=10,BJ127,0)))))</f>
        <v>0</v>
      </c>
      <c r="BJ127" s="397">
        <f>IF(BJ$5=$H127,-$E127,0)</f>
        <v>0</v>
      </c>
      <c r="BK127" s="394">
        <f>IF(BO127=0,0,IF(BO127&lt;0,IF($J127=3,BO127,IF($J127=2,BO127,IF($J127=1,BO127,0)))))</f>
        <v>0</v>
      </c>
      <c r="BL127" s="404">
        <f>IF(BO127=0,0,IF(BO127&lt;0,IF($J127=6,BO127,IF($J127=5,BO127,IF($J127=4,BO127,0)))))</f>
        <v>0</v>
      </c>
      <c r="BM127" s="404">
        <f>IF(BO127=0,0,IF(BO127&lt;0,IF($J127=9,BO127,IF($J127=8,BO127,IF($J127=7,BO127,0)))))</f>
        <v>0</v>
      </c>
      <c r="BN127" s="396">
        <f>IF(BO127=0,0,IF(BO127&lt;0,IF($J127=12,BO127,IF($J127=11,BO127,IF($J127=10,BO127,0)))))</f>
        <v>0</v>
      </c>
      <c r="BO127" s="397">
        <f>IF(BO$5=$H127,-$E127,0)</f>
        <v>0</v>
      </c>
      <c r="BP127" s="452"/>
      <c r="BQ127" s="403">
        <f>IF(AND(BP127&lt;&gt;0,BP$5=$H127),-$I127*$E127-BP127,IF(BQ$5=$H127,-$I127*$E127*(12-$J127+1)/12,0))</f>
        <v>0</v>
      </c>
      <c r="BR127" s="400">
        <f>IF($H127&lt;&gt;BV$5,0,IF(BV127&lt;0,IF($J127=1,-$E127*$I127/12*3,IF($J127=2,-$E127*$I127/12*2,IF($J127=3,-$E127*$I127/12*1,0)))))+IF(BQ$5&lt;&gt;$H127,0,IF(BQ127&lt;0,IF($J127=1,-$E127*$I127/12*0,IF($J127=2,-$E127*$I127/12*1,IF($J127=3,-$E127*$I127/12*2,IF($J127&gt;=4,-$E127*$I127/12*3,0))))))</f>
        <v>0</v>
      </c>
      <c r="BS127" s="406">
        <f>IF($H127&lt;&gt;BV$5,0,IF(BV127&lt;0,IF(OR($J127=1,$J127=2,$J127=3,$J127=4),-$E127*$I127/12*3,IF($J127=5,-$E127*$I127/12*2,IF($J127=6,-$E127*$I127/12*1,0)))))+IF(BQ$5&lt;&gt;$H127,0,IF(BQ127&lt;0,IF($J127=4,-$E127*$I127/12*0,IF($J127=5,-$E127*$I127/12*1,IF($J127=6,-$E127*$I127/12*2,IF($J127&gt;=7,-$E127*$I127/12*3,0))))))</f>
        <v>0</v>
      </c>
      <c r="BT127" s="406">
        <f>IF($H127&lt;&gt;BV$5,0,IF(BV127&lt;0,IF(OR($J127=1,$J127=2,$J127=3,$J127=4,$J127=5,$J127=6,$J127=7),-$E127*$I127/12*3,IF($J127=8,-$E127*$I127/12*2,IF($J127=9,-$E127*$I127/12*1,0)))))+IF(BQ$5&lt;&gt;$H127,0,IF(BQ127&lt;0,IF($J127=7,-$E127*$I127/12*0,IF($J127=8,-$E127*$I127/12*1,IF($J127=9,-$E127*$I127/12*2,IF($J127&gt;=10,-$E127*$I127/12*3,0))))))</f>
        <v>0</v>
      </c>
      <c r="BU127" s="402">
        <f>IF($H127&lt;&gt;BV$5,0,IF(BV127&lt;0,IF(OR($J127=1,$J127=2,$J127=3,$J127=4,$J127=5,$J127=6,$J127=7,$J127=8,$J127=9,$J127=10),-$E127*$I127/12*3,IF($J127=11,-$E127*$I127/12*2,IF($J127=12,-$E127*$I127/12*1,0)))))+IF(BQ$5&lt;&gt;$H127,0,IF(BQ127&lt;0,IF($J127=10,-$E127*$I127/12*0,IF($J127=11,-$E127*$I127/12*1,IF($J127=12,-$E127*$I127/12*2,0)))))</f>
        <v>0</v>
      </c>
      <c r="BV127" s="403">
        <f>IF(AND(BQ127&lt;&gt;0,BQ$5=$H127),-$I127*$E127-BQ127,IF(BV$5=$H127,-$I127*$E127*(12-$J127+1)/12,0))</f>
        <v>0</v>
      </c>
      <c r="BW127" s="400">
        <f>IF($H127&lt;&gt;CA$5,0,IF(CA127&lt;0,IF($J127=1,-$E127*$I127/12*3,IF($J127=2,-$E127*$I127/12*2,IF($J127=3,-$E127*$I127/12*1,0)))))+IF(BV$5&lt;&gt;$H127,0,IF(BV127&lt;0,IF($J127=1,-$E127*$I127/12*0,IF($J127=2,-$E127*$I127/12*1,IF($J127=3,-$E127*$I127/12*2,IF($J127&gt;=4,-$E127*$I127/12*3,0))))))</f>
        <v>0</v>
      </c>
      <c r="BX127" s="406">
        <f>IF($H127&lt;&gt;CA$5,0,IF(CA127&lt;0,IF(OR($J127=1,$J127=2,$J127=3,$J127=4),-$E127*$I127/12*3,IF($J127=5,-$E127*$I127/12*2,IF($J127=6,-$E127*$I127/12*1,0)))))+IF(BV$5&lt;&gt;$H127,0,IF(BV127&lt;0,IF($J127=4,-$E127*$I127/12*0,IF($J127=5,-$E127*$I127/12*1,IF($J127=6,-$E127*$I127/12*2,IF($J127&gt;=7,-$E127*$I127/12*3,0))))))</f>
        <v>0</v>
      </c>
      <c r="BY127" s="406">
        <f>IF($H127&lt;&gt;CA$5,0,IF(CA127&lt;0,IF(OR($J127=1,$J127=2,$J127=3,$J127=4,$J127=5,$J127=6,$J127=7),-$E127*$I127/12*3,IF($J127=8,-$E127*$I127/12*2,IF($J127=9,-$E127*$I127/12*1,0)))))+IF(BV$5&lt;&gt;$H127,0,IF(BV127&lt;0,IF($J127=7,-$E127*$I127/12*0,IF($J127=8,-$E127*$I127/12*1,IF($J127=9,-$E127*$I127/12*2,IF($J127&gt;=10,-$E127*$I127/12*3,0))))))</f>
        <v>0</v>
      </c>
      <c r="BZ127" s="402">
        <f>IF($H127&lt;&gt;CA$5,0,IF(CA127&lt;0,IF(OR($J127=1,$J127=2,$J127=3,$J127=4,$J127=5,$J127=6,$J127=7,$J127=8,$J127=9,$J127=10),-$E127*$I127/12*3,IF($J127=11,-$E127*$I127/12*2,IF($J127=12,-$E127*$I127/12*1,0)))))+IF(BV$5&lt;&gt;$H127,0,IF(BV127&lt;0,IF($J127=10,-$E127*$I127/12*0,IF($J127=11,-$E127*$I127/12*1,IF($J127=12,-$E127*$I127/12*2,0)))))</f>
        <v>0</v>
      </c>
      <c r="CA127" s="403">
        <f>IF(AND(BV127&lt;&gt;0,BV$5=$H127),-$I127*$E127-BV127,IF(CA$5=$H127,-$I127*$E127*(12-$J127+1)/12,0))</f>
        <v>0</v>
      </c>
      <c r="CB127" s="400">
        <f>IF($H127&lt;&gt;CF$5,0,IF(CF127&lt;0,IF($J127=1,-$E127*$I127/12*3,IF($J127=2,-$E127*$I127/12*2,IF($J127=3,-$E127*$I127/12*1,0)))))+IF(CA$5&lt;&gt;$H127,0,IF(CA127&lt;0,IF($J127=1,-$E127*$I127/12*0,IF($J127=2,-$E127*$I127/12*1,IF($J127=3,-$E127*$I127/12*2,IF($J127&gt;=4,-$E127*$I127/12*3,0))))))</f>
        <v>0</v>
      </c>
      <c r="CC127" s="406">
        <f>IF($H127&lt;&gt;CF$5,0,IF(CF127&lt;0,IF(OR($J127=1,$J127=2,$J127=3,$J127=4),-$E127*$I127/12*3,IF($J127=5,-$E127*$I127/12*2,IF($J127=6,-$E127*$I127/12*1,0)))))+IF(CA$5&lt;&gt;$H127,0,IF(CA127&lt;0,IF($J127=4,-$E127*$I127/12*0,IF($J127=5,-$E127*$I127/12*1,IF($J127=6,-$E127*$I127/12*2,IF($J127&gt;=7,-$E127*$I127/12*3,0))))))</f>
        <v>0</v>
      </c>
      <c r="CD127" s="406">
        <f>IF($H127&lt;&gt;CF$5,0,IF(CF127&lt;0,IF(OR($J127=1,$J127=2,$J127=3,$J127=4,$J127=5,$J127=6,$J127=7),-$E127*$I127/12*3,IF($J127=8,-$E127*$I127/12*2,IF($J127=9,-$E127*$I127/12*1,0)))))+IF(CA$5&lt;&gt;$H127,0,IF(CA127&lt;0,IF($J127=7,-$E127*$I127/12*0,IF($J127=8,-$E127*$I127/12*1,IF($J127=9,-$E127*$I127/12*2,IF($J127&gt;=10,-$E127*$I127/12*3,0))))))</f>
        <v>0</v>
      </c>
      <c r="CE127" s="402">
        <f>IF($H127&lt;&gt;CF$5,0,IF(CF127&lt;0,IF(OR($J127=1,$J127=2,$J127=3,$J127=4,$J127=5,$J127=6,$J127=7,$J127=8,$J127=9,$J127=10),-$E127*$I127/12*3,IF($J127=11,-$E127*$I127/12*2,IF($J127=12,-$E127*$I127/12*1,0)))))+IF(CA$5&lt;&gt;$H127,0,IF(CA127&lt;0,IF($J127=10,-$E127*$I127/12*0,IF($J127=11,-$E127*$I127/12*1,IF($J127=12,-$E127*$I127/12*2,0)))))</f>
        <v>0</v>
      </c>
      <c r="CF127" s="403">
        <f>IF(AND(CA127&lt;&gt;0,CA$5=$H127),-$I127*$E127-CA127,IF(CF$5=$H127,-$I127*$E127*(12-$J127+1)/12,0))</f>
        <v>0</v>
      </c>
      <c r="CG127" s="400">
        <f>IF($H127&lt;&gt;CK$5,0,IF(CK127&lt;0,IF($J127=1,-$E127*$I127/12*3,IF($J127=2,-$E127*$I127/12*2,IF($J127=3,-$E127*$I127/12*1,0)))))+IF(CF$5&lt;&gt;$H127,0,IF(CF127&lt;0,IF($J127=1,-$E127*$I127/12*0,IF($J127=2,-$E127*$I127/12*1,IF($J127=3,-$E127*$I127/12*2,IF($J127&gt;=4,-$E127*$I127/12*3,0))))))</f>
        <v>0</v>
      </c>
      <c r="CH127" s="406">
        <f>IF($H127&lt;&gt;CK$5,0,IF(CK127&lt;0,IF(OR($J127=1,$J127=2,$J127=3,$J127=4),-$E127*$I127/12*3,IF($J127=5,-$E127*$I127/12*2,IF($J127=6,-$E127*$I127/12*1,0)))))+IF(CF$5&lt;&gt;$H127,0,IF(CF127&lt;0,IF($J127=4,-$E127*$I127/12*0,IF($J127=5,-$E127*$I127/12*1,IF($J127=6,-$E127*$I127/12*2,IF($J127&gt;=7,-$E127*$I127/12*3,0))))))</f>
        <v>0</v>
      </c>
      <c r="CI127" s="406">
        <f>IF($H127&lt;&gt;CK$5,0,IF(CK127&lt;0,IF(OR($J127=1,$J127=2,$J127=3,$J127=4,$J127=5,$J127=6,$J127=7),-$E127*$I127/12*3,IF($J127=8,-$E127*$I127/12*2,IF($J127=9,-$E127*$I127/12*1,0)))))+IF(CF$5&lt;&gt;$H127,0,IF(CF127&lt;0,IF($J127=7,-$E127*$I127/12*0,IF($J127=8,-$E127*$I127/12*1,IF($J127=9,-$E127*$I127/12*2,IF($J127&gt;=10,-$E127*$I127/12*3,0))))))</f>
        <v>0</v>
      </c>
      <c r="CJ127" s="402">
        <f>IF($H127&lt;&gt;CK$5,0,IF(CK127&lt;0,IF(OR($J127=1,$J127=2,$J127=3,$J127=4,$J127=5,$J127=6,$J127=7,$J127=8,$J127=9,$J127=10),-$E127*$I127/12*3,IF($J127=11,-$E127*$I127/12*2,IF($J127=12,-$E127*$I127/12*1,0)))))+IF(CF$5&lt;&gt;$H127,0,IF(CF127&lt;0,IF($J127=10,-$E127*$I127/12*0,IF($J127=11,-$E127*$I127/12*1,IF($J127=12,-$E127*$I127/12*2,0)))))</f>
        <v>0</v>
      </c>
      <c r="CK127" s="403">
        <f>IF(AND(CF127&lt;&gt;0,CF$5=$H127),-$I127*$E127-CF127,IF(CK$5=$H127,-$I127*$E127*(12-$J127+1)/12,0))</f>
        <v>0</v>
      </c>
      <c r="CL127" s="400">
        <f>IF($H127&lt;&gt;CP$5,0,IF(CP127&lt;0,IF($J127=1,-$E127*$I127/12*3,IF($J127=2,-$E127*$I127/12*2,IF($J127=3,-$E127*$I127/12*1,0)))))+IF(CK$5&lt;&gt;$H127,0,IF(CK127&lt;0,IF($J127=1,-$E127*$I127/12*0,IF($J127=2,-$E127*$I127/12*1,IF($J127=3,-$E127*$I127/12*2,IF($J127&gt;=4,-$E127*$I127/12*3,0))))))</f>
        <v>0</v>
      </c>
      <c r="CM127" s="406">
        <f>IF($H127&lt;&gt;CP$5,0,IF(CP127&lt;0,IF(OR($J127=1,$J127=2,$J127=3,$J127=4),-$E127*$I127/12*3,IF($J127=5,-$E127*$I127/12*2,IF($J127=6,-$E127*$I127/12*1,0)))))+IF(CK$5&lt;&gt;$H127,0,IF(CK127&lt;0,IF($J127=4,-$E127*$I127/12*0,IF($J127=5,-$E127*$I127/12*1,IF($J127=6,-$E127*$I127/12*2,IF($J127&gt;=7,-$E127*$I127/12*3,0))))))</f>
        <v>0</v>
      </c>
      <c r="CN127" s="406">
        <f>IF($H127&lt;&gt;CP$5,0,IF(CP127&lt;0,IF(OR($J127=1,$J127=2,$J127=3,$J127=4,$J127=5,$J127=6,$J127=7),-$E127*$I127/12*3,IF($J127=8,-$E127*$I127/12*2,IF($J127=9,-$E127*$I127/12*1,0)))))+IF(CK$5&lt;&gt;$H127,0,IF(CK127&lt;0,IF($J127=7,-$E127*$I127/12*0,IF($J127=8,-$E127*$I127/12*1,IF($J127=9,-$E127*$I127/12*2,IF($J127&gt;=10,-$E127*$I127/12*3,0))))))</f>
        <v>0</v>
      </c>
      <c r="CO127" s="402">
        <f>IF($H127&lt;&gt;CP$5,0,IF(CP127&lt;0,IF(OR($J127=1,$J127=2,$J127=3,$J127=4,$J127=5,$J127=6,$J127=7,$J127=8,$J127=9,$J127=10),-$E127*$I127/12*3,IF($J127=11,-$E127*$I127/12*2,IF($J127=12,-$E127*$I127/12*1,0)))))+IF(CK$5&lt;&gt;$H127,0,IF(CK127&lt;0,IF($J127=10,-$E127*$I127/12*0,IF($J127=11,-$E127*$I127/12*1,IF($J127=12,-$E127*$I127/12*2,0)))))</f>
        <v>0</v>
      </c>
      <c r="CP127" s="403">
        <f>IF(AND(CK127&lt;&gt;0,CK$5=$H127),-$I127*$E127-CK127,IF(CP$5=$H127,-$I127*$E127*(12-$J127+1)/12,0))</f>
        <v>0</v>
      </c>
      <c r="CQ127" s="400">
        <f>IF($H127&lt;&gt;CU$5,0,IF(CU127&lt;0,IF($J127=1,-$E127*$I127/12*3,IF($J127=2,-$E127*$I127/12*2,IF($J127=3,-$E127*$I127/12*1,0)))))+IF(CP$5&lt;&gt;$H127,0,IF(CP127&lt;0,IF($J127=1,-$E127*$I127/12*0,IF($J127=2,-$E127*$I127/12*1,IF($J127=3,-$E127*$I127/12*2,IF($J127&gt;=4,-$E127*$I127/12*3,0))))))</f>
        <v>0</v>
      </c>
      <c r="CR127" s="406">
        <f>IF($H127&lt;&gt;CU$5,0,IF(CU127&lt;0,IF(OR($J127=1,$J127=2,$J127=3,$J127=4),-$E127*$I127/12*3,IF($J127=5,-$E127*$I127/12*2,IF($J127=6,-$E127*$I127/12*1,0)))))+IF(CP$5&lt;&gt;$H127,0,IF(CP127&lt;0,IF($J127=4,-$E127*$I127/12*0,IF($J127=5,-$E127*$I127/12*1,IF($J127=6,-$E127*$I127/12*2,IF($J127&gt;=7,-$E127*$I127/12*3,0))))))</f>
        <v>0</v>
      </c>
      <c r="CS127" s="406">
        <f>IF($H127&lt;&gt;CU$5,0,IF(CU127&lt;0,IF(OR($J127=1,$J127=2,$J127=3,$J127=4,$J127=5,$J127=6,$J127=7),-$E127*$I127/12*3,IF($J127=8,-$E127*$I127/12*2,IF($J127=9,-$E127*$I127/12*1,0)))))+IF(CP$5&lt;&gt;$H127,0,IF(CP127&lt;0,IF($J127=7,-$E127*$I127/12*0,IF($J127=8,-$E127*$I127/12*1,IF($J127=9,-$E127*$I127/12*2,IF($J127&gt;=10,-$E127*$I127/12*3,0))))))</f>
        <v>0</v>
      </c>
      <c r="CT127" s="402">
        <f>IF($H127&lt;&gt;CU$5,0,IF(CU127&lt;0,IF(OR($J127=1,$J127=2,$J127=3,$J127=4,$J127=5,$J127=6,$J127=7,$J127=8,$J127=9,$J127=10),-$E127*$I127/12*3,IF($J127=11,-$E127*$I127/12*2,IF($J127=12,-$E127*$I127/12*1,0)))))+IF(CP$5&lt;&gt;$H127,0,IF(CP127&lt;0,IF($J127=10,-$E127*$I127/12*0,IF($J127=11,-$E127*$I127/12*1,IF($J127=12,-$E127*$I127/12*2,0)))))</f>
        <v>0</v>
      </c>
      <c r="CU127" s="403">
        <f>IF(AND(CP127&lt;&gt;0,CP$5=$H127),-$I127*$E127-CP127,IF(CU$5=$H127,-$I127*$E127*(12-$J127+1)/12,0))</f>
        <v>0</v>
      </c>
      <c r="CV127" s="400">
        <f>IF($H127&lt;&gt;CZ$5,0,IF(CZ127&lt;0,IF($J127=1,-$E127*$I127/12*3,IF($J127=2,-$E127*$I127/12*2,IF($J127=3,-$E127*$I127/12*1,0)))))+IF(CU$5&lt;&gt;$H127,0,IF(CU127&lt;0,IF($J127=1,-$E127*$I127/12*0,IF($J127=2,-$E127*$I127/12*1,IF($J127=3,-$E127*$I127/12*2,IF($J127&gt;=4,-$E127*$I127/12*3,0))))))</f>
        <v>0</v>
      </c>
      <c r="CW127" s="406">
        <f>IF($H127&lt;&gt;CZ$5,0,IF(CZ127&lt;0,IF(OR($J127=1,$J127=2,$J127=3,$J127=4),-$E127*$I127/12*3,IF($J127=5,-$E127*$I127/12*2,IF($J127=6,-$E127*$I127/12*1,0)))))+IF(CU$5&lt;&gt;$H127,0,IF(CU127&lt;0,IF($J127=4,-$E127*$I127/12*0,IF($J127=5,-$E127*$I127/12*1,IF($J127=6,-$E127*$I127/12*2,IF($J127&gt;=7,-$E127*$I127/12*3,0))))))</f>
        <v>0</v>
      </c>
      <c r="CX127" s="406">
        <f>IF($H127&lt;&gt;CZ$5,0,IF(CZ127&lt;0,IF(OR($J127=1,$J127=2,$J127=3,$J127=4,$J127=5,$J127=6,$J127=7),-$E127*$I127/12*3,IF($J127=8,-$E127*$I127/12*2,IF($J127=9,-$E127*$I127/12*1,0)))))+IF(CU$5&lt;&gt;$H127,0,IF(CU127&lt;0,IF($J127=7,-$E127*$I127/12*0,IF($J127=8,-$E127*$I127/12*1,IF($J127=9,-$E127*$I127/12*2,IF($J127&gt;=10,-$E127*$I127/12*3,0))))))</f>
        <v>-0.11366278532608695</v>
      </c>
      <c r="CY127" s="402">
        <f>IF($H127&lt;&gt;CZ$5,0,IF(CZ127&lt;0,IF(OR($J127=1,$J127=2,$J127=3,$J127=4,$J127=5,$J127=6,$J127=7,$J127=8,$J127=9,$J127=10),-$E127*$I127/12*3,IF($J127=11,-$E127*$I127/12*2,IF($J127=12,-$E127*$I127/12*1,0)))))+IF(CU$5&lt;&gt;$H127,0,IF(CU127&lt;0,IF($J127=10,-$E127*$I127/12*0,IF($J127=11,-$E127*$I127/12*1,IF($J127=12,-$E127*$I127/12*2,0)))))</f>
        <v>-0.11366278532608695</v>
      </c>
      <c r="CZ127" s="403">
        <f>IF(AND(CU127&lt;&gt;0,CU$5=$H127),-$I127*$E127-CU127,IF(CZ$5=$H127,-$I127*$E127*(12-$J127+1)/12,0))</f>
        <v>-0.22732557065217393</v>
      </c>
      <c r="DA127" s="400">
        <f>IF($H127&lt;&gt;DE$5,0,IF(DE127&lt;0,IF($J127=1,-$E127*$I127/12*3,IF($J127=2,-$E127*$I127/12*2,IF($J127=3,-$E127*$I127/12*1,0)))))+IF(CZ$5&lt;&gt;$H127,0,IF(CZ127&lt;0,IF($J127=1,-$E127*$I127/12*0,IF($J127=2,-$E127*$I127/12*1,IF($J127=3,-$E127*$I127/12*2,IF($J127&gt;=4,-$E127*$I127/12*3,0))))))</f>
        <v>-0.11366278532608695</v>
      </c>
      <c r="DB127" s="406">
        <f>IF($H127&lt;&gt;DE$5,0,IF(DE127&lt;0,IF(OR($J127=1,$J127=2,$J127=3,$J127=4),-$E127*$I127/12*3,IF($J127=5,-$E127*$I127/12*2,IF($J127=6,-$E127*$I127/12*1,0)))))+IF(CZ$5&lt;&gt;$H127,0,IF(CZ127&lt;0,IF($J127=4,-$E127*$I127/12*0,IF($J127=5,-$E127*$I127/12*1,IF($J127=6,-$E127*$I127/12*2,IF($J127&gt;=7,-$E127*$I127/12*3,0))))))</f>
        <v>-0.11366278532608695</v>
      </c>
      <c r="DC127" s="406">
        <f>IF($H127&lt;&gt;DE$5,0,IF(DE127&lt;0,IF(OR($J127=1,$J127=2,$J127=3,$J127=4,$J127=5,$J127=6,$J127=7),-$E127*$I127/12*3,IF($J127=8,-$E127*$I127/12*2,IF($J127=9,-$E127*$I127/12*1,0)))))+IF(CZ$5&lt;&gt;$H127,0,IF(CZ127&lt;0,IF($J127=7,-$E127*$I127/12*0,IF($J127=8,-$E127*$I127/12*1,IF($J127=9,-$E127*$I127/12*2,IF($J127&gt;=10,-$E127*$I127/12*3,0))))))</f>
        <v>0</v>
      </c>
      <c r="DD127" s="402">
        <f>IF($H127&lt;&gt;DE$5,0,IF(DE127&lt;0,IF(OR($J127=1,$J127=2,$J127=3,$J127=4,$J127=5,$J127=6,$J127=7,$J127=8,$J127=9,$J127=10),-$E127*$I127/12*3,IF($J127=11,-$E127*$I127/12*2,IF($J127=12,-$E127*$I127/12*1,0)))))+IF(CZ$5&lt;&gt;$H127,0,IF(CZ127&lt;0,IF($J127=10,-$E127*$I127/12*0,IF($J127=11,-$E127*$I127/12*1,IF($J127=12,-$E127*$I127/12*2,0)))))</f>
        <v>0</v>
      </c>
      <c r="DE127" s="403">
        <f>IF(AND(CZ127&lt;&gt;0,CZ$5=$H127),-$I127*$E127-CZ127,IF(DE$5=$H127,-$I127*$E127*(12-$J127+1)/12,0))</f>
        <v>-0.22732557065217393</v>
      </c>
      <c r="DF127" s="400">
        <f>IF($H127&lt;&gt;DJ$5,0,IF(DJ127&lt;0,IF($J127=1,-$E127*$I127/12*3,IF($J127=2,-$E127*$I127/12*2,IF($J127=3,-$E127*$I127/12*1,0)))))+IF(DE$5&lt;&gt;$H127,0,IF(DE127&lt;0,IF($J127=1,-$E127*$I127/12*0,IF($J127=2,-$E127*$I127/12*1,IF($J127=3,-$E127*$I127/12*2,IF($J127&gt;=4,-$E127*$I127/12*3,0))))))</f>
        <v>0</v>
      </c>
      <c r="DG127" s="406">
        <f>IF($H127&lt;&gt;DJ$5,0,IF(DJ127&lt;0,IF(OR($J127=1,$J127=2,$J127=3,$J127=4),-$E127*$I127/12*3,IF($J127=5,-$E127*$I127/12*2,IF($J127=6,-$E127*$I127/12*1,0)))))+IF(DE$5&lt;&gt;$H127,0,IF(DE127&lt;0,IF($J127=4,-$E127*$I127/12*0,IF($J127=5,-$E127*$I127/12*1,IF($J127=6,-$E127*$I127/12*2,IF($J127&gt;=7,-$E127*$I127/12*3,0))))))</f>
        <v>0</v>
      </c>
      <c r="DH127" s="406">
        <f>IF($H127&lt;&gt;DJ$5,0,IF(DJ127&lt;0,IF(OR($J127=1,$J127=2,$J127=3,$J127=4,$J127=5,$J127=6,$J127=7),-$E127*$I127/12*3,IF($J127=8,-$E127*$I127/12*2,IF($J127=9,-$E127*$I127/12*1,0)))))+IF(DE$5&lt;&gt;$H127,0,IF(DE127&lt;0,IF($J127=7,-$E127*$I127/12*0,IF($J127=8,-$E127*$I127/12*1,IF($J127=9,-$E127*$I127/12*2,IF($J127&gt;=10,-$E127*$I127/12*3,0))))))</f>
        <v>0</v>
      </c>
      <c r="DI127" s="402">
        <f>IF($H127&lt;&gt;DJ$5,0,IF(DJ127&lt;0,IF(OR($J127=1,$J127=2,$J127=3,$J127=4,$J127=5,$J127=6,$J127=7,$J127=8,$J127=9,$J127=10),-$E127*$I127/12*3,IF($J127=11,-$E127*$I127/12*2,IF($J127=12,-$E127*$I127/12*1,0)))))+IF(DE$5&lt;&gt;$H127,0,IF(DE127&lt;0,IF($J127=10,-$E127*$I127/12*0,IF($J127=11,-$E127*$I127/12*1,IF($J127=12,-$E127*$I127/12*2,0)))))</f>
        <v>0</v>
      </c>
      <c r="DJ127" s="403">
        <f>IF(AND(DE127&lt;&gt;0,DE$5=$H127),-$I127*$E127-DE127,IF(DJ$5=$H127,-$I127*$E127*(12-$J127+1)/12,0))</f>
        <v>0</v>
      </c>
      <c r="DK127" s="400">
        <f>IF($H127&lt;&gt;DO$5,0,IF(DO127&lt;0,IF($J127=1,-$E127*$I127/12*3,IF($J127=2,-$E127*$I127/12*2,IF($J127=3,-$E127*$I127/12*1,0)))))+IF(DJ$5&lt;&gt;$H127,0,IF(DJ127&lt;0,IF($J127=1,-$E127*$I127/12*0,IF($J127=2,-$E127*$I127/12*1,IF($J127=3,-$E127*$I127/12*2,IF($J127&gt;=4,-$E127*$I127/12*3,0))))))</f>
        <v>0</v>
      </c>
      <c r="DL127" s="406">
        <f>IF($H127&lt;&gt;DO$5,0,IF(DO127&lt;0,IF(OR($J127=1,$J127=2,$J127=3,$J127=4),-$E127*$I127/12*3,IF($J127=5,-$E127*$I127/12*2,IF($J127=6,-$E127*$I127/12*1,0)))))+IF(DJ$5&lt;&gt;$H127,0,IF(DJ127&lt;0,IF($J127=4,-$E127*$I127/12*0,IF($J127=5,-$E127*$I127/12*1,IF($J127=6,-$E127*$I127/12*2,IF($J127&gt;=7,-$E127*$I127/12*3,0))))))</f>
        <v>0</v>
      </c>
      <c r="DM127" s="406">
        <f>IF($H127&lt;&gt;DO$5,0,IF(DO127&lt;0,IF(OR($J127=1,$J127=2,$J127=3,$J127=4,$J127=5,$J127=6,$J127=7),-$E127*$I127/12*3,IF($J127=8,-$E127*$I127/12*2,IF($J127=9,-$E127*$I127/12*1,0)))))+IF(DJ$5&lt;&gt;$H127,0,IF(DJ127&lt;0,IF($J127=7,-$E127*$I127/12*0,IF($J127=8,-$E127*$I127/12*1,IF($J127=9,-$E127*$I127/12*2,IF($J127&gt;=10,-$E127*$I127/12*3,0))))))</f>
        <v>0</v>
      </c>
      <c r="DN127" s="402">
        <f>IF($H127&lt;&gt;DO$5,0,IF(DO127&lt;0,IF(OR($J127=1,$J127=2,$J127=3,$J127=4,$J127=5,$J127=6,$J127=7,$J127=8,$J127=9,$J127=10),-$E127*$I127/12*3,IF($J127=11,-$E127*$I127/12*2,IF($J127=12,-$E127*$I127/12*1,0)))))+IF(DJ$5&lt;&gt;$H127,0,IF(DJ127&lt;0,IF($J127=10,-$E127*$I127/12*0,IF($J127=11,-$E127*$I127/12*1,IF($J127=12,-$E127*$I127/12*2,0)))))</f>
        <v>0</v>
      </c>
      <c r="DO127" s="403">
        <f>IF(AND(DJ127&lt;&gt;0,DJ$5=$H127),-$I127*$E127-DJ127,IF(DO$5=$H127,-$I127*$E127*(12-$J127+1)/12,0))</f>
        <v>0</v>
      </c>
      <c r="DP127" s="400">
        <f>IF($H127&lt;&gt;DT$5,0,IF(DT127&lt;0,IF($J127=1,-$E127*$I127/12*3,IF($J127=2,-$E127*$I127/12*2,IF($J127=3,-$E127*$I127/12*1,0)))))+IF(DO$5&lt;&gt;$H127,0,IF(DO127&lt;0,IF($J127=1,-$E127*$I127/12*0,IF($J127=2,-$E127*$I127/12*1,IF($J127=3,-$E127*$I127/12*2,IF($J127&gt;=4,-$E127*$I127/12*3,0))))))</f>
        <v>0</v>
      </c>
      <c r="DQ127" s="406">
        <f>IF($H127&lt;&gt;DT$5,0,IF(DT127&lt;0,IF(OR($J127=1,$J127=2,$J127=3,$J127=4),-$E127*$I127/12*3,IF($J127=5,-$E127*$I127/12*2,IF($J127=6,-$E127*$I127/12*1,0)))))+IF(DO$5&lt;&gt;$H127,0,IF(DO127&lt;0,IF($J127=4,-$E127*$I127/12*0,IF($J127=5,-$E127*$I127/12*1,IF($J127=6,-$E127*$I127/12*2,IF($J127&gt;=7,-$E127*$I127/12*3,0))))))</f>
        <v>0</v>
      </c>
      <c r="DR127" s="406">
        <f>IF($H127&lt;&gt;DT$5,0,IF(DT127&lt;0,IF(OR($J127=1,$J127=2,$J127=3,$J127=4,$J127=5,$J127=6,$J127=7),-$E127*$I127/12*3,IF($J127=8,-$E127*$I127/12*2,IF($J127=9,-$E127*$I127/12*1,0)))))+IF(DO$5&lt;&gt;$H127,0,IF(DO127&lt;0,IF($J127=7,-$E127*$I127/12*0,IF($J127=8,-$E127*$I127/12*1,IF($J127=9,-$E127*$I127/12*2,IF($J127&gt;=10,-$E127*$I127/12*3,0))))))</f>
        <v>0</v>
      </c>
      <c r="DS127" s="402">
        <f>IF($H127&lt;&gt;DT$5,0,IF(DT127&lt;0,IF(OR($J127=1,$J127=2,$J127=3,$J127=4,$J127=5,$J127=6,$J127=7,$J127=8,$J127=9,$J127=10),-$E127*$I127/12*3,IF($J127=11,-$E127*$I127/12*2,IF($J127=12,-$E127*$I127/12*1,0)))))+IF(DO$5&lt;&gt;$H127,0,IF(DO127&lt;0,IF($J127=10,-$E127*$I127/12*0,IF($J127=11,-$E127*$I127/12*1,IF($J127=12,-$E127*$I127/12*2,0)))))</f>
        <v>0</v>
      </c>
      <c r="DT127" s="403">
        <f>IF(AND(DO127&lt;&gt;0,DO$5=$H127),-$I127*$E127-DO127,IF(DT$5=$H127,-$I127*$E127*(12-$J127+1)/12,0))</f>
        <v>0</v>
      </c>
    </row>
    <row r="128" spans="3:139" ht="12.75" customHeight="1" x14ac:dyDescent="0.2">
      <c r="C128" s="1" t="s">
        <v>526</v>
      </c>
      <c r="D128" s="70"/>
      <c r="E128" s="530">
        <f t="shared" si="831"/>
        <v>151</v>
      </c>
      <c r="F128" s="532">
        <f>151-SUM(F127:F127)</f>
        <v>151</v>
      </c>
      <c r="G128" s="532">
        <f>155.927-SUM(G127:G127)</f>
        <v>152.36110869565218</v>
      </c>
      <c r="H128" s="449">
        <v>2060</v>
      </c>
      <c r="I128" s="450">
        <f>AVERAGE(11.2%,14.3%)</f>
        <v>0.1275</v>
      </c>
      <c r="J128" s="470">
        <v>7</v>
      </c>
      <c r="K128" s="392"/>
      <c r="L128" s="397">
        <f>IF(L$5=$H128,-$E128,0)</f>
        <v>0</v>
      </c>
      <c r="M128" s="394">
        <f>IF(Q128=0,0,IF(Q128&lt;0,IF($J128=3,Q128,IF($J128=2,Q128,IF($J128=1,Q128,0)))))</f>
        <v>0</v>
      </c>
      <c r="N128" s="404">
        <f>IF(Q128=0,0,IF(Q128&lt;0,IF($J128=6,Q128,IF($J128=5,Q128,IF($J128=4,Q128,0)))))</f>
        <v>0</v>
      </c>
      <c r="O128" s="404">
        <f>IF(Q128=0,0,IF(Q128&lt;0,IF($J128=9,Q128,IF($J128=8,Q128,IF($J128=7,Q128,0)))))</f>
        <v>0</v>
      </c>
      <c r="P128" s="396">
        <f>IF(Q128=0,0,IF(Q128&lt;0,IF($J128=12,Q128,IF($J128=11,Q128,IF($J128=10,Q128,0)))))</f>
        <v>0</v>
      </c>
      <c r="Q128" s="397">
        <f>IF(Q$5=$H128,-$E128,0)</f>
        <v>0</v>
      </c>
      <c r="R128" s="394">
        <f>IF(V128=0,0,IF(V128&lt;0,IF($J128=3,V128,IF($J128=2,V128,IF($J128=1,V128,0)))))</f>
        <v>0</v>
      </c>
      <c r="S128" s="404">
        <f>IF(V128=0,0,IF(V128&lt;0,IF($J128=6,V128,IF($J128=5,V128,IF($J128=4,V128,0)))))</f>
        <v>0</v>
      </c>
      <c r="T128" s="404">
        <f>IF(V128=0,0,IF(V128&lt;0,IF($J128=9,V128,IF($J128=8,V128,IF($J128=7,V128,0)))))</f>
        <v>0</v>
      </c>
      <c r="U128" s="396">
        <f>IF(V128=0,0,IF(V128&lt;0,IF($J128=12,V128,IF($J128=11,V128,IF($J128=10,V128,0)))))</f>
        <v>0</v>
      </c>
      <c r="V128" s="397">
        <f>IF(V$5=$H128,-$E128,0)</f>
        <v>0</v>
      </c>
      <c r="W128" s="394">
        <f>IF(AA128=0,0,IF(AA128&lt;0,IF($J128=3,AA128,IF($J128=2,AA128,IF($J128=1,AA128,0)))))</f>
        <v>0</v>
      </c>
      <c r="X128" s="404">
        <f>IF(AA128=0,0,IF(AA128&lt;0,IF($J128=6,AA128,IF($J128=5,AA128,IF($J128=4,AA128,0)))))</f>
        <v>0</v>
      </c>
      <c r="Y128" s="404">
        <f>IF(AA128=0,0,IF(AA128&lt;0,IF($J128=9,AA128,IF($J128=8,AA128,IF($J128=7,AA128,0)))))</f>
        <v>0</v>
      </c>
      <c r="Z128" s="396">
        <f>IF(AA128=0,0,IF(AA128&lt;0,IF($J128=12,AA128,IF($J128=11,AA128,IF($J128=10,AA128,0)))))</f>
        <v>0</v>
      </c>
      <c r="AA128" s="397">
        <f>IF(AA$5=$H128,-$E128,0)</f>
        <v>0</v>
      </c>
      <c r="AB128" s="394">
        <f>IF(AF128=0,0,IF(AF128&lt;0,IF($J128=3,AF128,IF($J128=2,AF128,IF($J128=1,AF128,0)))))</f>
        <v>0</v>
      </c>
      <c r="AC128" s="404">
        <f>IF(AF128=0,0,IF(AF128&lt;0,IF($J128=6,AF128,IF($J128=5,AF128,IF($J128=4,AF128,0)))))</f>
        <v>0</v>
      </c>
      <c r="AD128" s="404">
        <f>IF(AF128=0,0,IF(AF128&lt;0,IF($J128=9,AF128,IF($J128=8,AF128,IF($J128=7,AF128,0)))))</f>
        <v>0</v>
      </c>
      <c r="AE128" s="396">
        <f>IF(AF128=0,0,IF(AF128&lt;0,IF($J128=12,AF128,IF($J128=11,AF128,IF($J128=10,AF128,0)))))</f>
        <v>0</v>
      </c>
      <c r="AF128" s="397">
        <f>IF(AF$5=$H128,-$E128,0)</f>
        <v>0</v>
      </c>
      <c r="AG128" s="394">
        <f>IF(AK128=0,0,IF(AK128&lt;0,IF($J128=3,AK128,IF($J128=2,AK128,IF($J128=1,AK128,0)))))</f>
        <v>0</v>
      </c>
      <c r="AH128" s="404">
        <f>IF(AK128=0,0,IF(AK128&lt;0,IF($J128=6,AK128,IF($J128=5,AK128,IF($J128=4,AK128,0)))))</f>
        <v>0</v>
      </c>
      <c r="AI128" s="404">
        <f>IF(AK128=0,0,IF(AK128&lt;0,IF($J128=9,AK128,IF($J128=8,AK128,IF($J128=7,AK128,0)))))</f>
        <v>0</v>
      </c>
      <c r="AJ128" s="396">
        <f>IF(AK128=0,0,IF(AK128&lt;0,IF($J128=12,AK128,IF($J128=11,AK128,IF($J128=10,AK128,0)))))</f>
        <v>0</v>
      </c>
      <c r="AK128" s="397">
        <f>IF(AK$5=$H128,-$E128,0)</f>
        <v>0</v>
      </c>
      <c r="AL128" s="394">
        <f>IF(AP128=0,0,IF(AP128&lt;0,IF($J128=3,AP128,IF($J128=2,AP128,IF($J128=1,AP128,0)))))</f>
        <v>0</v>
      </c>
      <c r="AM128" s="404">
        <f>IF(AP128=0,0,IF(AP128&lt;0,IF($J128=6,AP128,IF($J128=5,AP128,IF($J128=4,AP128,0)))))</f>
        <v>0</v>
      </c>
      <c r="AN128" s="404">
        <f>IF(AP128=0,0,IF(AP128&lt;0,IF($J128=9,AP128,IF($J128=8,AP128,IF($J128=7,AP128,0)))))</f>
        <v>0</v>
      </c>
      <c r="AO128" s="396">
        <f>IF(AP128=0,0,IF(AP128&lt;0,IF($J128=12,AP128,IF($J128=11,AP128,IF($J128=10,AP128,0)))))</f>
        <v>0</v>
      </c>
      <c r="AP128" s="397">
        <f>IF(AP$5=$H128,-$E128,0)</f>
        <v>0</v>
      </c>
      <c r="AQ128" s="394">
        <f>IF(AU128=0,0,IF(AU128&lt;0,IF($J128=3,AU128,IF($J128=2,AU128,IF($J128=1,AU128,0)))))</f>
        <v>0</v>
      </c>
      <c r="AR128" s="404">
        <f>IF(AU128=0,0,IF(AU128&lt;0,IF($J128=6,AU128,IF($J128=5,AU128,IF($J128=4,AU128,0)))))</f>
        <v>0</v>
      </c>
      <c r="AS128" s="404">
        <f>IF(AU128=0,0,IF(AU128&lt;0,IF($J128=9,AU128,IF($J128=8,AU128,IF($J128=7,AU128,0)))))</f>
        <v>0</v>
      </c>
      <c r="AT128" s="396">
        <f>IF(AU128=0,0,IF(AU128&lt;0,IF($J128=12,AU128,IF($J128=11,AU128,IF($J128=10,AU128,0)))))</f>
        <v>0</v>
      </c>
      <c r="AU128" s="397">
        <f>IF(AU$5=$H128,-$E128,0)</f>
        <v>0</v>
      </c>
      <c r="AV128" s="394">
        <f>IF(AZ128=0,0,IF(AZ128&lt;0,IF($J128=3,AZ128,IF($J128=2,AZ128,IF($J128=1,AZ128,0)))))</f>
        <v>0</v>
      </c>
      <c r="AW128" s="404">
        <f>IF(AZ128=0,0,IF(AZ128&lt;0,IF($J128=6,AZ128,IF($J128=5,AZ128,IF($J128=4,AZ128,0)))))</f>
        <v>0</v>
      </c>
      <c r="AX128" s="404">
        <f>IF(AZ128=0,0,IF(AZ128&lt;0,IF($J128=9,AZ128,IF($J128=8,AZ128,IF($J128=7,AZ128,0)))))</f>
        <v>0</v>
      </c>
      <c r="AY128" s="396">
        <f>IF(AZ128=0,0,IF(AZ128&lt;0,IF($J128=12,AZ128,IF($J128=11,AZ128,IF($J128=10,AZ128,0)))))</f>
        <v>0</v>
      </c>
      <c r="AZ128" s="397">
        <f>IF(AZ$5=$H128,-$E128,0)</f>
        <v>0</v>
      </c>
      <c r="BA128" s="394">
        <f>IF(BE128=0,0,IF(BE128&lt;0,IF($J128=3,BE128,IF($J128=2,BE128,IF($J128=1,BE128,0)))))</f>
        <v>0</v>
      </c>
      <c r="BB128" s="404">
        <f>IF(BE128=0,0,IF(BE128&lt;0,IF($J128=6,BE128,IF($J128=5,BE128,IF($J128=4,BE128,0)))))</f>
        <v>0</v>
      </c>
      <c r="BC128" s="404">
        <f>IF(BE128=0,0,IF(BE128&lt;0,IF($J128=9,BE128,IF($J128=8,BE128,IF($J128=7,BE128,0)))))</f>
        <v>0</v>
      </c>
      <c r="BD128" s="396">
        <f>IF(BE128=0,0,IF(BE128&lt;0,IF($J128=12,BE128,IF($J128=11,BE128,IF($J128=10,BE128,0)))))</f>
        <v>0</v>
      </c>
      <c r="BE128" s="397">
        <f>IF(BE$5=$H128,-$E128,0)</f>
        <v>0</v>
      </c>
      <c r="BF128" s="394">
        <f>IF(BJ128=0,0,IF(BJ128&lt;0,IF($J128=3,BJ128,IF($J128=2,BJ128,IF($J128=1,BJ128,0)))))</f>
        <v>0</v>
      </c>
      <c r="BG128" s="404">
        <f>IF(BJ128=0,0,IF(BJ128&lt;0,IF($J128=6,BJ128,IF($J128=5,BJ128,IF($J128=4,BJ128,0)))))</f>
        <v>0</v>
      </c>
      <c r="BH128" s="404">
        <f>IF(BJ128=0,0,IF(BJ128&lt;0,IF($J128=9,BJ128,IF($J128=8,BJ128,IF($J128=7,BJ128,0)))))</f>
        <v>0</v>
      </c>
      <c r="BI128" s="396">
        <f>IF(BJ128=0,0,IF(BJ128&lt;0,IF($J128=12,BJ128,IF($J128=11,BJ128,IF($J128=10,BJ128,0)))))</f>
        <v>0</v>
      </c>
      <c r="BJ128" s="397">
        <f>IF(BJ$5=$H128,-$E128,0)</f>
        <v>0</v>
      </c>
      <c r="BK128" s="394">
        <f>IF(BO128=0,0,IF(BO128&lt;0,IF($J128=3,BO128,IF($J128=2,BO128,IF($J128=1,BO128,0)))))</f>
        <v>0</v>
      </c>
      <c r="BL128" s="404">
        <f>IF(BO128=0,0,IF(BO128&lt;0,IF($J128=6,BO128,IF($J128=5,BO128,IF($J128=4,BO128,0)))))</f>
        <v>0</v>
      </c>
      <c r="BM128" s="404">
        <f>IF(BO128=0,0,IF(BO128&lt;0,IF($J128=9,BO128,IF($J128=8,BO128,IF($J128=7,BO128,0)))))</f>
        <v>0</v>
      </c>
      <c r="BN128" s="396">
        <f>IF(BO128=0,0,IF(BO128&lt;0,IF($J128=12,BO128,IF($J128=11,BO128,IF($J128=10,BO128,0)))))</f>
        <v>0</v>
      </c>
      <c r="BO128" s="397">
        <f>IF(BO$5=$H128,-$E128,0)</f>
        <v>0</v>
      </c>
      <c r="BP128" s="452"/>
      <c r="BQ128" s="403">
        <f>IF(AND(BP128&lt;&gt;0,BP$5=$H128),-$I128*$E128-BP128,IF(BQ$5=$H128,-$I128*$E128*(12-$J128+1)/12,0))</f>
        <v>0</v>
      </c>
      <c r="BR128" s="400">
        <f>IF($H128&lt;&gt;BV$5,0,IF(BV128&lt;0,IF($J128=1,-$E128*$I128/12*3,IF($J128=2,-$E128*$I128/12*2,IF($J128=3,-$E128*$I128/12*1,0)))))+IF(BQ$5&lt;&gt;$H128,0,IF(BQ128&lt;0,IF($J128=1,-$E128*$I128/12*0,IF($J128=2,-$E128*$I128/12*1,IF($J128=3,-$E128*$I128/12*2,IF($J128&gt;=4,-$E128*$I128/12*3,0))))))</f>
        <v>0</v>
      </c>
      <c r="BS128" s="406">
        <f>IF($H128&lt;&gt;BV$5,0,IF(BV128&lt;0,IF(OR($J128=1,$J128=2,$J128=3,$J128=4),-$E128*$I128/12*3,IF($J128=5,-$E128*$I128/12*2,IF($J128=6,-$E128*$I128/12*1,0)))))+IF(BQ$5&lt;&gt;$H128,0,IF(BQ128&lt;0,IF($J128=4,-$E128*$I128/12*0,IF($J128=5,-$E128*$I128/12*1,IF($J128=6,-$E128*$I128/12*2,IF($J128&gt;=7,-$E128*$I128/12*3,0))))))</f>
        <v>0</v>
      </c>
      <c r="BT128" s="406">
        <f>IF($H128&lt;&gt;BV$5,0,IF(BV128&lt;0,IF(OR($J128=1,$J128=2,$J128=3,$J128=4,$J128=5,$J128=6,$J128=7),-$E128*$I128/12*3,IF($J128=8,-$E128*$I128/12*2,IF($J128=9,-$E128*$I128/12*1,0)))))+IF(BQ$5&lt;&gt;$H128,0,IF(BQ128&lt;0,IF($J128=7,-$E128*$I128/12*0,IF($J128=8,-$E128*$I128/12*1,IF($J128=9,-$E128*$I128/12*2,IF($J128&gt;=10,-$E128*$I128/12*3,0))))))</f>
        <v>0</v>
      </c>
      <c r="BU128" s="402">
        <f>IF($H128&lt;&gt;BV$5,0,IF(BV128&lt;0,IF(OR($J128=1,$J128=2,$J128=3,$J128=4,$J128=5,$J128=6,$J128=7,$J128=8,$J128=9,$J128=10),-$E128*$I128/12*3,IF($J128=11,-$E128*$I128/12*2,IF($J128=12,-$E128*$I128/12*1,0)))))+IF(BQ$5&lt;&gt;$H128,0,IF(BQ128&lt;0,IF($J128=10,-$E128*$I128/12*0,IF($J128=11,-$E128*$I128/12*1,IF($J128=12,-$E128*$I128/12*2,0)))))</f>
        <v>0</v>
      </c>
      <c r="BV128" s="403">
        <f>IF(AND(BQ128&lt;&gt;0,BQ$5=$H128),-$I128*$E128-BQ128,IF(BV$5=$H128,-$I128*$E128*(12-$J128+1)/12,0))</f>
        <v>0</v>
      </c>
      <c r="BW128" s="400">
        <f>IF($H128&lt;&gt;CA$5,0,IF(CA128&lt;0,IF($J128=1,-$E128*$I128/12*3,IF($J128=2,-$E128*$I128/12*2,IF($J128=3,-$E128*$I128/12*1,0)))))+IF(BV$5&lt;&gt;$H128,0,IF(BV128&lt;0,IF($J128=1,-$E128*$I128/12*0,IF($J128=2,-$E128*$I128/12*1,IF($J128=3,-$E128*$I128/12*2,IF($J128&gt;=4,-$E128*$I128/12*3,0))))))</f>
        <v>0</v>
      </c>
      <c r="BX128" s="406">
        <f>IF($H128&lt;&gt;CA$5,0,IF(CA128&lt;0,IF(OR($J128=1,$J128=2,$J128=3,$J128=4),-$E128*$I128/12*3,IF($J128=5,-$E128*$I128/12*2,IF($J128=6,-$E128*$I128/12*1,0)))))+IF(BV$5&lt;&gt;$H128,0,IF(BV128&lt;0,IF($J128=4,-$E128*$I128/12*0,IF($J128=5,-$E128*$I128/12*1,IF($J128=6,-$E128*$I128/12*2,IF($J128&gt;=7,-$E128*$I128/12*3,0))))))</f>
        <v>0</v>
      </c>
      <c r="BY128" s="406">
        <f>IF($H128&lt;&gt;CA$5,0,IF(CA128&lt;0,IF(OR($J128=1,$J128=2,$J128=3,$J128=4,$J128=5,$J128=6,$J128=7),-$E128*$I128/12*3,IF($J128=8,-$E128*$I128/12*2,IF($J128=9,-$E128*$I128/12*1,0)))))+IF(BV$5&lt;&gt;$H128,0,IF(BV128&lt;0,IF($J128=7,-$E128*$I128/12*0,IF($J128=8,-$E128*$I128/12*1,IF($J128=9,-$E128*$I128/12*2,IF($J128&gt;=10,-$E128*$I128/12*3,0))))))</f>
        <v>0</v>
      </c>
      <c r="BZ128" s="402">
        <f>IF($H128&lt;&gt;CA$5,0,IF(CA128&lt;0,IF(OR($J128=1,$J128=2,$J128=3,$J128=4,$J128=5,$J128=6,$J128=7,$J128=8,$J128=9,$J128=10),-$E128*$I128/12*3,IF($J128=11,-$E128*$I128/12*2,IF($J128=12,-$E128*$I128/12*1,0)))))+IF(BV$5&lt;&gt;$H128,0,IF(BV128&lt;0,IF($J128=10,-$E128*$I128/12*0,IF($J128=11,-$E128*$I128/12*1,IF($J128=12,-$E128*$I128/12*2,0)))))</f>
        <v>0</v>
      </c>
      <c r="CA128" s="403">
        <f>IF(AND(BV128&lt;&gt;0,BV$5=$H128),-$I128*$E128-BV128,IF(CA$5=$H128,-$I128*$E128*(12-$J128+1)/12,0))</f>
        <v>0</v>
      </c>
      <c r="CB128" s="400">
        <f>IF($H128&lt;&gt;CF$5,0,IF(CF128&lt;0,IF($J128=1,-$E128*$I128/12*3,IF($J128=2,-$E128*$I128/12*2,IF($J128=3,-$E128*$I128/12*1,0)))))+IF(CA$5&lt;&gt;$H128,0,IF(CA128&lt;0,IF($J128=1,-$E128*$I128/12*0,IF($J128=2,-$E128*$I128/12*1,IF($J128=3,-$E128*$I128/12*2,IF($J128&gt;=4,-$E128*$I128/12*3,0))))))</f>
        <v>0</v>
      </c>
      <c r="CC128" s="406">
        <f>IF($H128&lt;&gt;CF$5,0,IF(CF128&lt;0,IF(OR($J128=1,$J128=2,$J128=3,$J128=4),-$E128*$I128/12*3,IF($J128=5,-$E128*$I128/12*2,IF($J128=6,-$E128*$I128/12*1,0)))))+IF(CA$5&lt;&gt;$H128,0,IF(CA128&lt;0,IF($J128=4,-$E128*$I128/12*0,IF($J128=5,-$E128*$I128/12*1,IF($J128=6,-$E128*$I128/12*2,IF($J128&gt;=7,-$E128*$I128/12*3,0))))))</f>
        <v>0</v>
      </c>
      <c r="CD128" s="406">
        <f>IF($H128&lt;&gt;CF$5,0,IF(CF128&lt;0,IF(OR($J128=1,$J128=2,$J128=3,$J128=4,$J128=5,$J128=6,$J128=7),-$E128*$I128/12*3,IF($J128=8,-$E128*$I128/12*2,IF($J128=9,-$E128*$I128/12*1,0)))))+IF(CA$5&lt;&gt;$H128,0,IF(CA128&lt;0,IF($J128=7,-$E128*$I128/12*0,IF($J128=8,-$E128*$I128/12*1,IF($J128=9,-$E128*$I128/12*2,IF($J128&gt;=10,-$E128*$I128/12*3,0))))))</f>
        <v>0</v>
      </c>
      <c r="CE128" s="402">
        <f>IF($H128&lt;&gt;CF$5,0,IF(CF128&lt;0,IF(OR($J128=1,$J128=2,$J128=3,$J128=4,$J128=5,$J128=6,$J128=7,$J128=8,$J128=9,$J128=10),-$E128*$I128/12*3,IF($J128=11,-$E128*$I128/12*2,IF($J128=12,-$E128*$I128/12*1,0)))))+IF(CA$5&lt;&gt;$H128,0,IF(CA128&lt;0,IF($J128=10,-$E128*$I128/12*0,IF($J128=11,-$E128*$I128/12*1,IF($J128=12,-$E128*$I128/12*2,0)))))</f>
        <v>0</v>
      </c>
      <c r="CF128" s="403">
        <f>IF(AND(CA128&lt;&gt;0,CA$5=$H128),-$I128*$E128-CA128,IF(CF$5=$H128,-$I128*$E128*(12-$J128+1)/12,0))</f>
        <v>0</v>
      </c>
      <c r="CG128" s="400">
        <f>IF($H128&lt;&gt;CK$5,0,IF(CK128&lt;0,IF($J128=1,-$E128*$I128/12*3,IF($J128=2,-$E128*$I128/12*2,IF($J128=3,-$E128*$I128/12*1,0)))))+IF(CF$5&lt;&gt;$H128,0,IF(CF128&lt;0,IF($J128=1,-$E128*$I128/12*0,IF($J128=2,-$E128*$I128/12*1,IF($J128=3,-$E128*$I128/12*2,IF($J128&gt;=4,-$E128*$I128/12*3,0))))))</f>
        <v>0</v>
      </c>
      <c r="CH128" s="406">
        <f>IF($H128&lt;&gt;CK$5,0,IF(CK128&lt;0,IF(OR($J128=1,$J128=2,$J128=3,$J128=4),-$E128*$I128/12*3,IF($J128=5,-$E128*$I128/12*2,IF($J128=6,-$E128*$I128/12*1,0)))))+IF(CF$5&lt;&gt;$H128,0,IF(CF128&lt;0,IF($J128=4,-$E128*$I128/12*0,IF($J128=5,-$E128*$I128/12*1,IF($J128=6,-$E128*$I128/12*2,IF($J128&gt;=7,-$E128*$I128/12*3,0))))))</f>
        <v>0</v>
      </c>
      <c r="CI128" s="406">
        <f>IF($H128&lt;&gt;CK$5,0,IF(CK128&lt;0,IF(OR($J128=1,$J128=2,$J128=3,$J128=4,$J128=5,$J128=6,$J128=7),-$E128*$I128/12*3,IF($J128=8,-$E128*$I128/12*2,IF($J128=9,-$E128*$I128/12*1,0)))))+IF(CF$5&lt;&gt;$H128,0,IF(CF128&lt;0,IF($J128=7,-$E128*$I128/12*0,IF($J128=8,-$E128*$I128/12*1,IF($J128=9,-$E128*$I128/12*2,IF($J128&gt;=10,-$E128*$I128/12*3,0))))))</f>
        <v>0</v>
      </c>
      <c r="CJ128" s="402">
        <f>IF($H128&lt;&gt;CK$5,0,IF(CK128&lt;0,IF(OR($J128=1,$J128=2,$J128=3,$J128=4,$J128=5,$J128=6,$J128=7,$J128=8,$J128=9,$J128=10),-$E128*$I128/12*3,IF($J128=11,-$E128*$I128/12*2,IF($J128=12,-$E128*$I128/12*1,0)))))+IF(CF$5&lt;&gt;$H128,0,IF(CF128&lt;0,IF($J128=10,-$E128*$I128/12*0,IF($J128=11,-$E128*$I128/12*1,IF($J128=12,-$E128*$I128/12*2,0)))))</f>
        <v>0</v>
      </c>
      <c r="CK128" s="403">
        <f>IF(AND(CF128&lt;&gt;0,CF$5=$H128),-$I128*$E128-CF128,IF(CK$5=$H128,-$I128*$E128*(12-$J128+1)/12,0))</f>
        <v>0</v>
      </c>
      <c r="CL128" s="400">
        <f>IF($H128&lt;&gt;CP$5,0,IF(CP128&lt;0,IF($J128=1,-$E128*$I128/12*3,IF($J128=2,-$E128*$I128/12*2,IF($J128=3,-$E128*$I128/12*1,0)))))+IF(CK$5&lt;&gt;$H128,0,IF(CK128&lt;0,IF($J128=1,-$E128*$I128/12*0,IF($J128=2,-$E128*$I128/12*1,IF($J128=3,-$E128*$I128/12*2,IF($J128&gt;=4,-$E128*$I128/12*3,0))))))</f>
        <v>0</v>
      </c>
      <c r="CM128" s="406">
        <f>IF($H128&lt;&gt;CP$5,0,IF(CP128&lt;0,IF(OR($J128=1,$J128=2,$J128=3,$J128=4),-$E128*$I128/12*3,IF($J128=5,-$E128*$I128/12*2,IF($J128=6,-$E128*$I128/12*1,0)))))+IF(CK$5&lt;&gt;$H128,0,IF(CK128&lt;0,IF($J128=4,-$E128*$I128/12*0,IF($J128=5,-$E128*$I128/12*1,IF($J128=6,-$E128*$I128/12*2,IF($J128&gt;=7,-$E128*$I128/12*3,0))))))</f>
        <v>0</v>
      </c>
      <c r="CN128" s="406">
        <f>IF($H128&lt;&gt;CP$5,0,IF(CP128&lt;0,IF(OR($J128=1,$J128=2,$J128=3,$J128=4,$J128=5,$J128=6,$J128=7),-$E128*$I128/12*3,IF($J128=8,-$E128*$I128/12*2,IF($J128=9,-$E128*$I128/12*1,0)))))+IF(CK$5&lt;&gt;$H128,0,IF(CK128&lt;0,IF($J128=7,-$E128*$I128/12*0,IF($J128=8,-$E128*$I128/12*1,IF($J128=9,-$E128*$I128/12*2,IF($J128&gt;=10,-$E128*$I128/12*3,0))))))</f>
        <v>0</v>
      </c>
      <c r="CO128" s="402">
        <f>IF($H128&lt;&gt;CP$5,0,IF(CP128&lt;0,IF(OR($J128=1,$J128=2,$J128=3,$J128=4,$J128=5,$J128=6,$J128=7,$J128=8,$J128=9,$J128=10),-$E128*$I128/12*3,IF($J128=11,-$E128*$I128/12*2,IF($J128=12,-$E128*$I128/12*1,0)))))+IF(CK$5&lt;&gt;$H128,0,IF(CK128&lt;0,IF($J128=10,-$E128*$I128/12*0,IF($J128=11,-$E128*$I128/12*1,IF($J128=12,-$E128*$I128/12*2,0)))))</f>
        <v>0</v>
      </c>
      <c r="CP128" s="403">
        <f>IF(AND(CK128&lt;&gt;0,CK$5=$H128),-$I128*$E128-CK128,IF(CP$5=$H128,-$I128*$E128*(12-$J128+1)/12,0))</f>
        <v>0</v>
      </c>
      <c r="CQ128" s="400">
        <f>IF($H128&lt;&gt;CU$5,0,IF(CU128&lt;0,IF($J128=1,-$E128*$I128/12*3,IF($J128=2,-$E128*$I128/12*2,IF($J128=3,-$E128*$I128/12*1,0)))))+IF(CP$5&lt;&gt;$H128,0,IF(CP128&lt;0,IF($J128=1,-$E128*$I128/12*0,IF($J128=2,-$E128*$I128/12*1,IF($J128=3,-$E128*$I128/12*2,IF($J128&gt;=4,-$E128*$I128/12*3,0))))))</f>
        <v>0</v>
      </c>
      <c r="CR128" s="406">
        <f>IF($H128&lt;&gt;CU$5,0,IF(CU128&lt;0,IF(OR($J128=1,$J128=2,$J128=3,$J128=4),-$E128*$I128/12*3,IF($J128=5,-$E128*$I128/12*2,IF($J128=6,-$E128*$I128/12*1,0)))))+IF(CP$5&lt;&gt;$H128,0,IF(CP128&lt;0,IF($J128=4,-$E128*$I128/12*0,IF($J128=5,-$E128*$I128/12*1,IF($J128=6,-$E128*$I128/12*2,IF($J128&gt;=7,-$E128*$I128/12*3,0))))))</f>
        <v>0</v>
      </c>
      <c r="CS128" s="406">
        <f>IF($H128&lt;&gt;CU$5,0,IF(CU128&lt;0,IF(OR($J128=1,$J128=2,$J128=3,$J128=4,$J128=5,$J128=6,$J128=7),-$E128*$I128/12*3,IF($J128=8,-$E128*$I128/12*2,IF($J128=9,-$E128*$I128/12*1,0)))))+IF(CP$5&lt;&gt;$H128,0,IF(CP128&lt;0,IF($J128=7,-$E128*$I128/12*0,IF($J128=8,-$E128*$I128/12*1,IF($J128=9,-$E128*$I128/12*2,IF($J128&gt;=10,-$E128*$I128/12*3,0))))))</f>
        <v>0</v>
      </c>
      <c r="CT128" s="402">
        <f>IF($H128&lt;&gt;CU$5,0,IF(CU128&lt;0,IF(OR($J128=1,$J128=2,$J128=3,$J128=4,$J128=5,$J128=6,$J128=7,$J128=8,$J128=9,$J128=10),-$E128*$I128/12*3,IF($J128=11,-$E128*$I128/12*2,IF($J128=12,-$E128*$I128/12*1,0)))))+IF(CP$5&lt;&gt;$H128,0,IF(CP128&lt;0,IF($J128=10,-$E128*$I128/12*0,IF($J128=11,-$E128*$I128/12*1,IF($J128=12,-$E128*$I128/12*2,0)))))</f>
        <v>0</v>
      </c>
      <c r="CU128" s="403">
        <f>IF(AND(CP128&lt;&gt;0,CP$5=$H128),-$I128*$E128-CP128,IF(CU$5=$H128,-$I128*$E128*(12-$J128+1)/12,0))</f>
        <v>0</v>
      </c>
      <c r="CV128" s="400">
        <f>IF($H128&lt;&gt;CZ$5,0,IF(CZ128&lt;0,IF($J128=1,-$E128*$I128/12*3,IF($J128=2,-$E128*$I128/12*2,IF($J128=3,-$E128*$I128/12*1,0)))))+IF(CU$5&lt;&gt;$H128,0,IF(CU128&lt;0,IF($J128=1,-$E128*$I128/12*0,IF($J128=2,-$E128*$I128/12*1,IF($J128=3,-$E128*$I128/12*2,IF($J128&gt;=4,-$E128*$I128/12*3,0))))))</f>
        <v>0</v>
      </c>
      <c r="CW128" s="406">
        <f>IF($H128&lt;&gt;CZ$5,0,IF(CZ128&lt;0,IF(OR($J128=1,$J128=2,$J128=3,$J128=4),-$E128*$I128/12*3,IF($J128=5,-$E128*$I128/12*2,IF($J128=6,-$E128*$I128/12*1,0)))))+IF(CU$5&lt;&gt;$H128,0,IF(CU128&lt;0,IF($J128=4,-$E128*$I128/12*0,IF($J128=5,-$E128*$I128/12*1,IF($J128=6,-$E128*$I128/12*2,IF($J128&gt;=7,-$E128*$I128/12*3,0))))))</f>
        <v>0</v>
      </c>
      <c r="CX128" s="406">
        <f>IF($H128&lt;&gt;CZ$5,0,IF(CZ128&lt;0,IF(OR($J128=1,$J128=2,$J128=3,$J128=4,$J128=5,$J128=6,$J128=7),-$E128*$I128/12*3,IF($J128=8,-$E128*$I128/12*2,IF($J128=9,-$E128*$I128/12*1,0)))))+IF(CU$5&lt;&gt;$H128,0,IF(CU128&lt;0,IF($J128=7,-$E128*$I128/12*0,IF($J128=8,-$E128*$I128/12*1,IF($J128=9,-$E128*$I128/12*2,IF($J128&gt;=10,-$E128*$I128/12*3,0))))))</f>
        <v>0</v>
      </c>
      <c r="CY128" s="402">
        <f>IF($H128&lt;&gt;CZ$5,0,IF(CZ128&lt;0,IF(OR($J128=1,$J128=2,$J128=3,$J128=4,$J128=5,$J128=6,$J128=7,$J128=8,$J128=9,$J128=10),-$E128*$I128/12*3,IF($J128=11,-$E128*$I128/12*2,IF($J128=12,-$E128*$I128/12*1,0)))))+IF(CU$5&lt;&gt;$H128,0,IF(CU128&lt;0,IF($J128=10,-$E128*$I128/12*0,IF($J128=11,-$E128*$I128/12*1,IF($J128=12,-$E128*$I128/12*2,0)))))</f>
        <v>0</v>
      </c>
      <c r="CZ128" s="403">
        <f>IF(AND(CU128&lt;&gt;0,CU$5=$H128),-$I128*$E128-CU128,IF(CZ$5=$H128,-$I128*$E128*(12-$J128+1)/12,0))</f>
        <v>0</v>
      </c>
      <c r="DA128" s="400">
        <f>IF($H128&lt;&gt;DE$5,0,IF(DE128&lt;0,IF($J128=1,-$E128*$I128/12*3,IF($J128=2,-$E128*$I128/12*2,IF($J128=3,-$E128*$I128/12*1,0)))))+IF(CZ$5&lt;&gt;$H128,0,IF(CZ128&lt;0,IF($J128=1,-$E128*$I128/12*0,IF($J128=2,-$E128*$I128/12*1,IF($J128=3,-$E128*$I128/12*2,IF($J128&gt;=4,-$E128*$I128/12*3,0))))))</f>
        <v>0</v>
      </c>
      <c r="DB128" s="406">
        <f>IF($H128&lt;&gt;DE$5,0,IF(DE128&lt;0,IF(OR($J128=1,$J128=2,$J128=3,$J128=4),-$E128*$I128/12*3,IF($J128=5,-$E128*$I128/12*2,IF($J128=6,-$E128*$I128/12*1,0)))))+IF(CZ$5&lt;&gt;$H128,0,IF(CZ128&lt;0,IF($J128=4,-$E128*$I128/12*0,IF($J128=5,-$E128*$I128/12*1,IF($J128=6,-$E128*$I128/12*2,IF($J128&gt;=7,-$E128*$I128/12*3,0))))))</f>
        <v>0</v>
      </c>
      <c r="DC128" s="406">
        <f>IF($H128&lt;&gt;DE$5,0,IF(DE128&lt;0,IF(OR($J128=1,$J128=2,$J128=3,$J128=4,$J128=5,$J128=6,$J128=7),-$E128*$I128/12*3,IF($J128=8,-$E128*$I128/12*2,IF($J128=9,-$E128*$I128/12*1,0)))))+IF(CZ$5&lt;&gt;$H128,0,IF(CZ128&lt;0,IF($J128=7,-$E128*$I128/12*0,IF($J128=8,-$E128*$I128/12*1,IF($J128=9,-$E128*$I128/12*2,IF($J128&gt;=10,-$E128*$I128/12*3,0))))))</f>
        <v>0</v>
      </c>
      <c r="DD128" s="402">
        <f>IF($H128&lt;&gt;DE$5,0,IF(DE128&lt;0,IF(OR($J128=1,$J128=2,$J128=3,$J128=4,$J128=5,$J128=6,$J128=7,$J128=8,$J128=9,$J128=10),-$E128*$I128/12*3,IF($J128=11,-$E128*$I128/12*2,IF($J128=12,-$E128*$I128/12*1,0)))))+IF(CZ$5&lt;&gt;$H128,0,IF(CZ128&lt;0,IF($J128=10,-$E128*$I128/12*0,IF($J128=11,-$E128*$I128/12*1,IF($J128=12,-$E128*$I128/12*2,0)))))</f>
        <v>0</v>
      </c>
      <c r="DE128" s="403">
        <f>IF(AND(CZ128&lt;&gt;0,CZ$5=$H128),-$I128*$E128-CZ128,IF(DE$5=$H128,-$I128*$E128*(12-$J128+1)/12,0))</f>
        <v>0</v>
      </c>
      <c r="DF128" s="400">
        <f>IF($H128&lt;&gt;DJ$5,0,IF(DJ128&lt;0,IF($J128=1,-$E128*$I128/12*3,IF($J128=2,-$E128*$I128/12*2,IF($J128=3,-$E128*$I128/12*1,0)))))+IF(DE$5&lt;&gt;$H128,0,IF(DE128&lt;0,IF($J128=1,-$E128*$I128/12*0,IF($J128=2,-$E128*$I128/12*1,IF($J128=3,-$E128*$I128/12*2,IF($J128&gt;=4,-$E128*$I128/12*3,0))))))</f>
        <v>0</v>
      </c>
      <c r="DG128" s="406">
        <f>IF($H128&lt;&gt;DJ$5,0,IF(DJ128&lt;0,IF(OR($J128=1,$J128=2,$J128=3,$J128=4),-$E128*$I128/12*3,IF($J128=5,-$E128*$I128/12*2,IF($J128=6,-$E128*$I128/12*1,0)))))+IF(DE$5&lt;&gt;$H128,0,IF(DE128&lt;0,IF($J128=4,-$E128*$I128/12*0,IF($J128=5,-$E128*$I128/12*1,IF($J128=6,-$E128*$I128/12*2,IF($J128&gt;=7,-$E128*$I128/12*3,0))))))</f>
        <v>0</v>
      </c>
      <c r="DH128" s="406">
        <f>IF($H128&lt;&gt;DJ$5,0,IF(DJ128&lt;0,IF(OR($J128=1,$J128=2,$J128=3,$J128=4,$J128=5,$J128=6,$J128=7),-$E128*$I128/12*3,IF($J128=8,-$E128*$I128/12*2,IF($J128=9,-$E128*$I128/12*1,0)))))+IF(DE$5&lt;&gt;$H128,0,IF(DE128&lt;0,IF($J128=7,-$E128*$I128/12*0,IF($J128=8,-$E128*$I128/12*1,IF($J128=9,-$E128*$I128/12*2,IF($J128&gt;=10,-$E128*$I128/12*3,0))))))</f>
        <v>0</v>
      </c>
      <c r="DI128" s="402">
        <f>IF($H128&lt;&gt;DJ$5,0,IF(DJ128&lt;0,IF(OR($J128=1,$J128=2,$J128=3,$J128=4,$J128=5,$J128=6,$J128=7,$J128=8,$J128=9,$J128=10),-$E128*$I128/12*3,IF($J128=11,-$E128*$I128/12*2,IF($J128=12,-$E128*$I128/12*1,0)))))+IF(DE$5&lt;&gt;$H128,0,IF(DE128&lt;0,IF($J128=10,-$E128*$I128/12*0,IF($J128=11,-$E128*$I128/12*1,IF($J128=12,-$E128*$I128/12*2,0)))))</f>
        <v>0</v>
      </c>
      <c r="DJ128" s="403">
        <f>IF(AND(DE128&lt;&gt;0,DE$5=$H128),-$I128*$E128-DE128,IF(DJ$5=$H128,-$I128*$E128*(12-$J128+1)/12,0))</f>
        <v>0</v>
      </c>
      <c r="DK128" s="400">
        <f>IF($H128&lt;&gt;DO$5,0,IF(DO128&lt;0,IF($J128=1,-$E128*$I128/12*3,IF($J128=2,-$E128*$I128/12*2,IF($J128=3,-$E128*$I128/12*1,0)))))+IF(DJ$5&lt;&gt;$H128,0,IF(DJ128&lt;0,IF($J128=1,-$E128*$I128/12*0,IF($J128=2,-$E128*$I128/12*1,IF($J128=3,-$E128*$I128/12*2,IF($J128&gt;=4,-$E128*$I128/12*3,0))))))</f>
        <v>0</v>
      </c>
      <c r="DL128" s="406">
        <f>IF($H128&lt;&gt;DO$5,0,IF(DO128&lt;0,IF(OR($J128=1,$J128=2,$J128=3,$J128=4),-$E128*$I128/12*3,IF($J128=5,-$E128*$I128/12*2,IF($J128=6,-$E128*$I128/12*1,0)))))+IF(DJ$5&lt;&gt;$H128,0,IF(DJ128&lt;0,IF($J128=4,-$E128*$I128/12*0,IF($J128=5,-$E128*$I128/12*1,IF($J128=6,-$E128*$I128/12*2,IF($J128&gt;=7,-$E128*$I128/12*3,0))))))</f>
        <v>0</v>
      </c>
      <c r="DM128" s="406">
        <f>IF($H128&lt;&gt;DO$5,0,IF(DO128&lt;0,IF(OR($J128=1,$J128=2,$J128=3,$J128=4,$J128=5,$J128=6,$J128=7),-$E128*$I128/12*3,IF($J128=8,-$E128*$I128/12*2,IF($J128=9,-$E128*$I128/12*1,0)))))+IF(DJ$5&lt;&gt;$H128,0,IF(DJ128&lt;0,IF($J128=7,-$E128*$I128/12*0,IF($J128=8,-$E128*$I128/12*1,IF($J128=9,-$E128*$I128/12*2,IF($J128&gt;=10,-$E128*$I128/12*3,0))))))</f>
        <v>0</v>
      </c>
      <c r="DN128" s="402">
        <f>IF($H128&lt;&gt;DO$5,0,IF(DO128&lt;0,IF(OR($J128=1,$J128=2,$J128=3,$J128=4,$J128=5,$J128=6,$J128=7,$J128=8,$J128=9,$J128=10),-$E128*$I128/12*3,IF($J128=11,-$E128*$I128/12*2,IF($J128=12,-$E128*$I128/12*1,0)))))+IF(DJ$5&lt;&gt;$H128,0,IF(DJ128&lt;0,IF($J128=10,-$E128*$I128/12*0,IF($J128=11,-$E128*$I128/12*1,IF($J128=12,-$E128*$I128/12*2,0)))))</f>
        <v>0</v>
      </c>
      <c r="DO128" s="403">
        <f>IF(AND(DJ128&lt;&gt;0,DJ$5=$H128),-$I128*$E128-DJ128,IF(DO$5=$H128,-$I128*$E128*(12-$J128+1)/12,0))</f>
        <v>0</v>
      </c>
      <c r="DP128" s="400">
        <f>IF($H128&lt;&gt;DT$5,0,IF(DT128&lt;0,IF($J128=1,-$E128*$I128/12*3,IF($J128=2,-$E128*$I128/12*2,IF($J128=3,-$E128*$I128/12*1,0)))))+IF(DO$5&lt;&gt;$H128,0,IF(DO128&lt;0,IF($J128=1,-$E128*$I128/12*0,IF($J128=2,-$E128*$I128/12*1,IF($J128=3,-$E128*$I128/12*2,IF($J128&gt;=4,-$E128*$I128/12*3,0))))))</f>
        <v>0</v>
      </c>
      <c r="DQ128" s="406">
        <f>IF($H128&lt;&gt;DT$5,0,IF(DT128&lt;0,IF(OR($J128=1,$J128=2,$J128=3,$J128=4),-$E128*$I128/12*3,IF($J128=5,-$E128*$I128/12*2,IF($J128=6,-$E128*$I128/12*1,0)))))+IF(DO$5&lt;&gt;$H128,0,IF(DO128&lt;0,IF($J128=4,-$E128*$I128/12*0,IF($J128=5,-$E128*$I128/12*1,IF($J128=6,-$E128*$I128/12*2,IF($J128&gt;=7,-$E128*$I128/12*3,0))))))</f>
        <v>0</v>
      </c>
      <c r="DR128" s="406">
        <f>IF($H128&lt;&gt;DT$5,0,IF(DT128&lt;0,IF(OR($J128=1,$J128=2,$J128=3,$J128=4,$J128=5,$J128=6,$J128=7),-$E128*$I128/12*3,IF($J128=8,-$E128*$I128/12*2,IF($J128=9,-$E128*$I128/12*1,0)))))+IF(DO$5&lt;&gt;$H128,0,IF(DO128&lt;0,IF($J128=7,-$E128*$I128/12*0,IF($J128=8,-$E128*$I128/12*1,IF($J128=9,-$E128*$I128/12*2,IF($J128&gt;=10,-$E128*$I128/12*3,0))))))</f>
        <v>0</v>
      </c>
      <c r="DS128" s="402">
        <f>IF($H128&lt;&gt;DT$5,0,IF(DT128&lt;0,IF(OR($J128=1,$J128=2,$J128=3,$J128=4,$J128=5,$J128=6,$J128=7,$J128=8,$J128=9,$J128=10),-$E128*$I128/12*3,IF($J128=11,-$E128*$I128/12*2,IF($J128=12,-$E128*$I128/12*1,0)))))+IF(DO$5&lt;&gt;$H128,0,IF(DO128&lt;0,IF($J128=10,-$E128*$I128/12*0,IF($J128=11,-$E128*$I128/12*1,IF($J128=12,-$E128*$I128/12*2,0)))))</f>
        <v>0</v>
      </c>
      <c r="DT128" s="403">
        <f>IF(AND(DO128&lt;&gt;0,DO$5=$H128),-$I128*$E128-DO128,IF(DT$5=$H128,-$I128*$E128*(12-$J128+1)/12,0))</f>
        <v>0</v>
      </c>
    </row>
    <row r="129" spans="1:124" ht="12.75" customHeight="1" x14ac:dyDescent="0.2">
      <c r="C129" s="511"/>
      <c r="D129" s="70"/>
      <c r="E129" s="530"/>
      <c r="F129" s="537"/>
      <c r="G129" s="537"/>
      <c r="H129" s="449"/>
      <c r="I129" s="450"/>
      <c r="J129" s="451"/>
      <c r="K129" s="392"/>
      <c r="L129" s="397"/>
      <c r="M129" s="394"/>
      <c r="N129" s="404"/>
      <c r="O129" s="404"/>
      <c r="P129" s="396"/>
      <c r="Q129" s="397"/>
      <c r="R129" s="394"/>
      <c r="S129" s="404"/>
      <c r="T129" s="404"/>
      <c r="U129" s="396"/>
      <c r="V129" s="397"/>
      <c r="W129" s="394"/>
      <c r="X129" s="404"/>
      <c r="Y129" s="404"/>
      <c r="Z129" s="396"/>
      <c r="AA129" s="397"/>
      <c r="AB129" s="394"/>
      <c r="AC129" s="404"/>
      <c r="AD129" s="404"/>
      <c r="AE129" s="396"/>
      <c r="AF129" s="397"/>
      <c r="AG129" s="394"/>
      <c r="AH129" s="404"/>
      <c r="AI129" s="404"/>
      <c r="AJ129" s="396"/>
      <c r="AK129" s="397"/>
      <c r="AL129" s="394"/>
      <c r="AM129" s="404"/>
      <c r="AN129" s="404"/>
      <c r="AO129" s="396"/>
      <c r="AP129" s="397"/>
      <c r="AQ129" s="394"/>
      <c r="AR129" s="404"/>
      <c r="AS129" s="404"/>
      <c r="AT129" s="396"/>
      <c r="AU129" s="397"/>
      <c r="AV129" s="394"/>
      <c r="AW129" s="404"/>
      <c r="AX129" s="404"/>
      <c r="AY129" s="396"/>
      <c r="AZ129" s="397"/>
      <c r="BA129" s="394"/>
      <c r="BB129" s="404"/>
      <c r="BC129" s="404"/>
      <c r="BD129" s="396"/>
      <c r="BE129" s="397"/>
      <c r="BF129" s="394"/>
      <c r="BG129" s="404"/>
      <c r="BH129" s="404"/>
      <c r="BI129" s="396"/>
      <c r="BJ129" s="397"/>
      <c r="BK129" s="394"/>
      <c r="BL129" s="404"/>
      <c r="BM129" s="404"/>
      <c r="BN129" s="396"/>
      <c r="BO129" s="397"/>
      <c r="BP129" s="452"/>
      <c r="BQ129" s="403"/>
      <c r="BR129" s="400"/>
      <c r="BS129" s="406"/>
      <c r="BT129" s="406"/>
      <c r="BU129" s="402"/>
      <c r="BV129" s="403"/>
      <c r="BW129" s="400"/>
      <c r="BX129" s="406"/>
      <c r="BY129" s="406"/>
      <c r="BZ129" s="402"/>
      <c r="CA129" s="403"/>
      <c r="CB129" s="400"/>
      <c r="CC129" s="406"/>
      <c r="CD129" s="406"/>
      <c r="CE129" s="402"/>
      <c r="CF129" s="403"/>
      <c r="CG129" s="400"/>
      <c r="CH129" s="406"/>
      <c r="CI129" s="406"/>
      <c r="CJ129" s="402"/>
      <c r="CK129" s="403"/>
      <c r="CL129" s="400"/>
      <c r="CM129" s="406"/>
      <c r="CN129" s="406"/>
      <c r="CO129" s="402"/>
      <c r="CP129" s="403"/>
      <c r="CQ129" s="400"/>
      <c r="CR129" s="406"/>
      <c r="CS129" s="406"/>
      <c r="CT129" s="402"/>
      <c r="CU129" s="403"/>
      <c r="CV129" s="400"/>
      <c r="CW129" s="406"/>
      <c r="CX129" s="406"/>
      <c r="CY129" s="402"/>
      <c r="CZ129" s="403"/>
      <c r="DA129" s="400"/>
      <c r="DB129" s="406"/>
      <c r="DC129" s="406"/>
      <c r="DD129" s="402"/>
      <c r="DE129" s="403"/>
      <c r="DF129" s="400"/>
      <c r="DG129" s="406"/>
      <c r="DH129" s="406"/>
      <c r="DI129" s="402"/>
      <c r="DJ129" s="403"/>
      <c r="DK129" s="400"/>
      <c r="DL129" s="406"/>
      <c r="DM129" s="406"/>
      <c r="DN129" s="402"/>
      <c r="DO129" s="403"/>
      <c r="DP129" s="400"/>
      <c r="DQ129" s="406"/>
      <c r="DR129" s="406"/>
      <c r="DS129" s="402"/>
      <c r="DT129" s="403"/>
    </row>
    <row r="130" spans="1:124" ht="12.75" customHeight="1" x14ac:dyDescent="0.2">
      <c r="A130" s="26"/>
      <c r="B130" s="26"/>
      <c r="C130" s="589" t="s">
        <v>170</v>
      </c>
      <c r="D130" s="589"/>
      <c r="E130" s="590">
        <f>SUM(E112:E129)</f>
        <v>4654.565891304348</v>
      </c>
      <c r="F130" s="590">
        <f>SUM(F112:F129)</f>
        <v>4651</v>
      </c>
      <c r="G130" s="590">
        <f>SUM(G112:G129)</f>
        <v>4255.9270000000006</v>
      </c>
      <c r="H130" s="591"/>
      <c r="I130" s="592"/>
      <c r="J130" s="593"/>
      <c r="K130" s="594"/>
      <c r="L130" s="595">
        <f>SUM(Debt!L112:L129)</f>
        <v>0</v>
      </c>
      <c r="M130" s="596">
        <f>SUM(Debt!M112:M129)</f>
        <v>0</v>
      </c>
      <c r="N130" s="597">
        <f>SUM(Debt!N112:N129)</f>
        <v>0</v>
      </c>
      <c r="O130" s="597">
        <f>SUM(Debt!O112:O129)</f>
        <v>0</v>
      </c>
      <c r="P130" s="598">
        <f>SUM(Debt!P112:P129)</f>
        <v>0</v>
      </c>
      <c r="Q130" s="595">
        <f>SUM(Debt!Q112:Q129)</f>
        <v>0</v>
      </c>
      <c r="R130" s="596">
        <f>SUM(Debt!R112:R129)</f>
        <v>0</v>
      </c>
      <c r="S130" s="597">
        <f>SUM(Debt!S112:S129)</f>
        <v>0</v>
      </c>
      <c r="T130" s="597">
        <f>SUM(Debt!T112:T129)</f>
        <v>0</v>
      </c>
      <c r="U130" s="598">
        <f>SUM(Debt!U112:U129)</f>
        <v>0</v>
      </c>
      <c r="V130" s="595">
        <f>SUM(Debt!V112:V129)</f>
        <v>0</v>
      </c>
      <c r="W130" s="596">
        <f>SUM(Debt!W112:W129)</f>
        <v>0</v>
      </c>
      <c r="X130" s="597">
        <f>SUM(Debt!X112:X129)</f>
        <v>0</v>
      </c>
      <c r="Y130" s="597">
        <f>SUM(Debt!Y112:Y129)</f>
        <v>0</v>
      </c>
      <c r="Z130" s="598">
        <f>SUM(Debt!Z112:Z129)</f>
        <v>0</v>
      </c>
      <c r="AA130" s="595">
        <f>SUM(Debt!AA112:AA129)</f>
        <v>0</v>
      </c>
      <c r="AB130" s="596">
        <f>SUM(Debt!AB112:AB129)</f>
        <v>0</v>
      </c>
      <c r="AC130" s="597">
        <f>SUM(Debt!AC112:AC129)</f>
        <v>0</v>
      </c>
      <c r="AD130" s="597">
        <f>SUM(Debt!AD112:AD129)</f>
        <v>0</v>
      </c>
      <c r="AE130" s="598">
        <f>SUM(Debt!AE112:AE129)</f>
        <v>0</v>
      </c>
      <c r="AF130" s="595">
        <f>SUM(Debt!AF112:AF129)</f>
        <v>0</v>
      </c>
      <c r="AG130" s="596">
        <f>SUM(Debt!AG112:AG129)</f>
        <v>0</v>
      </c>
      <c r="AH130" s="597">
        <f>SUM(Debt!AH112:AH129)</f>
        <v>0</v>
      </c>
      <c r="AI130" s="597">
        <f>SUM(Debt!AI112:AI129)</f>
        <v>0</v>
      </c>
      <c r="AJ130" s="598">
        <f>SUM(Debt!AJ112:AJ129)</f>
        <v>0</v>
      </c>
      <c r="AK130" s="595">
        <f>SUM(Debt!AK112:AK129)</f>
        <v>0</v>
      </c>
      <c r="AL130" s="596">
        <f>SUM(Debt!AL112:AL129)</f>
        <v>0</v>
      </c>
      <c r="AM130" s="597">
        <f>SUM(Debt!AM112:AM129)</f>
        <v>0</v>
      </c>
      <c r="AN130" s="597">
        <f>SUM(Debt!AN112:AN129)</f>
        <v>0</v>
      </c>
      <c r="AO130" s="598">
        <f>SUM(Debt!AO112:AO129)</f>
        <v>0</v>
      </c>
      <c r="AP130" s="595">
        <f>SUM(Debt!AP112:AP129)</f>
        <v>0</v>
      </c>
      <c r="AQ130" s="596">
        <f>SUM(Debt!AQ112:AQ129)</f>
        <v>0</v>
      </c>
      <c r="AR130" s="597">
        <f>SUM(Debt!AR112:AR129)</f>
        <v>0</v>
      </c>
      <c r="AS130" s="597">
        <f>SUM(Debt!AS112:AS129)</f>
        <v>-3.5658913043478262</v>
      </c>
      <c r="AT130" s="598">
        <f>SUM(Debt!AT112:AT129)</f>
        <v>0</v>
      </c>
      <c r="AU130" s="595">
        <f>SUM(Debt!AU112:AU129)</f>
        <v>-3.5658913043478262</v>
      </c>
      <c r="AV130" s="596">
        <f>SUM(Debt!AV112:AV129)</f>
        <v>0</v>
      </c>
      <c r="AW130" s="597">
        <f>SUM(Debt!AW112:AW129)</f>
        <v>0</v>
      </c>
      <c r="AX130" s="597">
        <f>SUM(Debt!AX112:AX129)</f>
        <v>-300</v>
      </c>
      <c r="AY130" s="598">
        <f>SUM(Debt!AY112:AY129)</f>
        <v>0</v>
      </c>
      <c r="AZ130" s="595">
        <f>SUM(Debt!AZ112:AZ129)</f>
        <v>-300</v>
      </c>
      <c r="BA130" s="596">
        <f>SUM(Debt!BA112:BA129)</f>
        <v>0</v>
      </c>
      <c r="BB130" s="597">
        <f>SUM(Debt!BB112:BB129)</f>
        <v>-400</v>
      </c>
      <c r="BC130" s="597">
        <f>SUM(Debt!BC112:BC129)</f>
        <v>0</v>
      </c>
      <c r="BD130" s="598">
        <f>SUM(Debt!BD112:BD129)</f>
        <v>0</v>
      </c>
      <c r="BE130" s="595">
        <f>SUM(Debt!BE112:BE129)</f>
        <v>-400</v>
      </c>
      <c r="BF130" s="596">
        <f>SUM(Debt!BF112:BF129)</f>
        <v>0</v>
      </c>
      <c r="BG130" s="597">
        <f>SUM(Debt!BG112:BG129)</f>
        <v>0</v>
      </c>
      <c r="BH130" s="597">
        <f>SUM(Debt!BH112:BH129)</f>
        <v>0</v>
      </c>
      <c r="BI130" s="598">
        <f>SUM(Debt!BI112:BI129)</f>
        <v>-400</v>
      </c>
      <c r="BJ130" s="595">
        <f>SUM(Debt!BJ112:BJ129)</f>
        <v>-400</v>
      </c>
      <c r="BK130" s="596">
        <f>SUM(Debt!BK112:BK129)</f>
        <v>0</v>
      </c>
      <c r="BL130" s="597">
        <f>SUM(Debt!BL112:BL129)</f>
        <v>0</v>
      </c>
      <c r="BM130" s="597">
        <f>SUM(Debt!BM112:BM129)</f>
        <v>0</v>
      </c>
      <c r="BN130" s="598">
        <f>SUM(Debt!BN112:BN129)</f>
        <v>0</v>
      </c>
      <c r="BO130" s="595">
        <f>SUM(Debt!BO112:BO129)</f>
        <v>0</v>
      </c>
      <c r="BP130" s="599"/>
      <c r="BQ130" s="600">
        <f>SUM(Debt!BQ112:BQ129)</f>
        <v>0</v>
      </c>
      <c r="BR130" s="601">
        <f>SUM(Debt!BR112:BR129)</f>
        <v>0</v>
      </c>
      <c r="BS130" s="602">
        <f>SUM(Debt!BS112:BS129)</f>
        <v>0</v>
      </c>
      <c r="BT130" s="602">
        <f>SUM(Debt!BT112:BT129)</f>
        <v>0</v>
      </c>
      <c r="BU130" s="603">
        <f>SUM(Debt!BU112:BU129)</f>
        <v>0</v>
      </c>
      <c r="BV130" s="600">
        <f>SUM(Debt!BV112:BV129)</f>
        <v>0</v>
      </c>
      <c r="BW130" s="601">
        <f>SUM(Debt!BW112:BW129)</f>
        <v>0</v>
      </c>
      <c r="BX130" s="602">
        <f>SUM(Debt!BX112:BX129)</f>
        <v>0</v>
      </c>
      <c r="BY130" s="602">
        <f>SUM(Debt!BY112:BY129)</f>
        <v>0</v>
      </c>
      <c r="BZ130" s="603">
        <f>SUM(Debt!BZ112:BZ129)</f>
        <v>0</v>
      </c>
      <c r="CA130" s="600">
        <f>SUM(Debt!CA112:CA129)</f>
        <v>0</v>
      </c>
      <c r="CB130" s="601">
        <f>SUM(Debt!CB112:CB129)</f>
        <v>0</v>
      </c>
      <c r="CC130" s="602">
        <f>SUM(Debt!CC112:CC129)</f>
        <v>0</v>
      </c>
      <c r="CD130" s="602">
        <f>SUM(Debt!CD112:CD129)</f>
        <v>0</v>
      </c>
      <c r="CE130" s="603">
        <f>SUM(Debt!CE112:CE129)</f>
        <v>0</v>
      </c>
      <c r="CF130" s="600">
        <f>SUM(Debt!CF112:CF129)</f>
        <v>0</v>
      </c>
      <c r="CG130" s="601">
        <f>SUM(Debt!CG112:CG129)</f>
        <v>0</v>
      </c>
      <c r="CH130" s="602">
        <f>SUM(Debt!CH112:CH129)</f>
        <v>0</v>
      </c>
      <c r="CI130" s="602">
        <f>SUM(Debt!CI112:CI129)</f>
        <v>0</v>
      </c>
      <c r="CJ130" s="603">
        <f>SUM(Debt!CJ112:CJ129)</f>
        <v>0</v>
      </c>
      <c r="CK130" s="600">
        <f>SUM(Debt!CK112:CK129)</f>
        <v>0</v>
      </c>
      <c r="CL130" s="601">
        <f>SUM(Debt!CL112:CL129)</f>
        <v>0</v>
      </c>
      <c r="CM130" s="602">
        <f>SUM(Debt!CM112:CM129)</f>
        <v>0</v>
      </c>
      <c r="CN130" s="602">
        <f>SUM(Debt!CN112:CN129)</f>
        <v>0</v>
      </c>
      <c r="CO130" s="603">
        <f>SUM(Debt!CO112:CO129)</f>
        <v>0</v>
      </c>
      <c r="CP130" s="600">
        <f>SUM(Debt!CP112:CP129)</f>
        <v>0</v>
      </c>
      <c r="CQ130" s="601">
        <f>SUM(Debt!CQ112:CQ129)</f>
        <v>0</v>
      </c>
      <c r="CR130" s="602">
        <f>SUM(Debt!CR112:CR129)</f>
        <v>0</v>
      </c>
      <c r="CS130" s="602">
        <f>SUM(Debt!CS112:CS129)</f>
        <v>0</v>
      </c>
      <c r="CT130" s="603">
        <f>SUM(Debt!CT112:CT129)</f>
        <v>0</v>
      </c>
      <c r="CU130" s="600">
        <f>SUM(Debt!CU112:CU129)</f>
        <v>0</v>
      </c>
      <c r="CV130" s="601">
        <f>SUM(Debt!CV112:CV129)</f>
        <v>0</v>
      </c>
      <c r="CW130" s="602">
        <f>SUM(Debt!CW112:CW129)</f>
        <v>0</v>
      </c>
      <c r="CX130" s="602">
        <f>SUM(Debt!CX112:CX129)</f>
        <v>-0.11366278532608695</v>
      </c>
      <c r="CY130" s="603">
        <f>SUM(Debt!CY112:CY129)</f>
        <v>-0.11366278532608695</v>
      </c>
      <c r="CZ130" s="600">
        <f>SUM(Debt!CZ112:CZ129)</f>
        <v>-0.22732557065217393</v>
      </c>
      <c r="DA130" s="601">
        <f>SUM(Debt!DA112:DA129)</f>
        <v>-0.11366278532608695</v>
      </c>
      <c r="DB130" s="602">
        <f>SUM(Debt!DB112:DB129)</f>
        <v>-0.11366278532608695</v>
      </c>
      <c r="DC130" s="602">
        <f>SUM(Debt!DC112:DC129)</f>
        <v>-2.9000000000000004</v>
      </c>
      <c r="DD130" s="603">
        <f>SUM(Debt!DD112:DD129)</f>
        <v>-4.3500000000000005</v>
      </c>
      <c r="DE130" s="600">
        <f>SUM(Debt!DE112:DE129)</f>
        <v>-7.4773255706521748</v>
      </c>
      <c r="DF130" s="601">
        <f>SUM(Debt!DF112:DF129)</f>
        <v>-4.3500000000000005</v>
      </c>
      <c r="DG130" s="602">
        <f>SUM(Debt!DG112:DG129)</f>
        <v>-6.0583333333333336</v>
      </c>
      <c r="DH130" s="602">
        <f>SUM(Debt!DH112:DH129)</f>
        <v>-6.5750000000000002</v>
      </c>
      <c r="DI130" s="603">
        <f>SUM(Debt!DI112:DI129)</f>
        <v>-5.125</v>
      </c>
      <c r="DJ130" s="600">
        <f>SUM(Debt!DJ112:DJ129)</f>
        <v>-22.108333333333334</v>
      </c>
      <c r="DK130" s="601">
        <f>SUM(Debt!DK112:DK129)</f>
        <v>-5.125</v>
      </c>
      <c r="DL130" s="602">
        <f>SUM(Debt!DL112:DL129)</f>
        <v>-3.4166666666666665</v>
      </c>
      <c r="DM130" s="602">
        <f>SUM(Debt!DM112:DM129)</f>
        <v>0</v>
      </c>
      <c r="DN130" s="603">
        <f>SUM(Debt!DN112:DN129)</f>
        <v>-2.1333333333333333</v>
      </c>
      <c r="DO130" s="600">
        <f>SUM(Debt!DO112:DO129)</f>
        <v>-10.674999999999999</v>
      </c>
      <c r="DP130" s="601">
        <f>SUM(Debt!DP112:DP129)</f>
        <v>-3.2</v>
      </c>
      <c r="DQ130" s="602">
        <f>SUM(Debt!DQ112:DQ129)</f>
        <v>-3.2</v>
      </c>
      <c r="DR130" s="602">
        <f>SUM(Debt!DR112:DR129)</f>
        <v>-3.2</v>
      </c>
      <c r="DS130" s="603">
        <f>SUM(Debt!DS112:DS129)</f>
        <v>-1.0666666666666667</v>
      </c>
      <c r="DT130" s="600">
        <f>SUM(Debt!DT112:DT129)</f>
        <v>-10.666666666666668</v>
      </c>
    </row>
    <row r="131" spans="1:124" ht="12.75" customHeight="1" x14ac:dyDescent="0.2">
      <c r="C131" s="464"/>
      <c r="D131" s="464"/>
      <c r="E131" s="530"/>
      <c r="F131" s="537"/>
      <c r="G131" s="537"/>
      <c r="H131" s="449"/>
      <c r="I131" s="465"/>
      <c r="J131" s="466" t="s">
        <v>315</v>
      </c>
      <c r="K131" s="392"/>
      <c r="L131" s="393"/>
      <c r="M131" s="394"/>
      <c r="N131" s="395"/>
      <c r="O131" s="395"/>
      <c r="P131" s="396"/>
      <c r="Q131" s="397"/>
      <c r="R131" s="394"/>
      <c r="S131" s="395"/>
      <c r="T131" s="395"/>
      <c r="U131" s="396"/>
      <c r="V131" s="397"/>
      <c r="W131" s="394"/>
      <c r="X131" s="395"/>
      <c r="Y131" s="395"/>
      <c r="Z131" s="396"/>
      <c r="AA131" s="397"/>
      <c r="AB131" s="394"/>
      <c r="AC131" s="395"/>
      <c r="AD131" s="395"/>
      <c r="AE131" s="396"/>
      <c r="AF131" s="397"/>
      <c r="AG131" s="394"/>
      <c r="AH131" s="395"/>
      <c r="AI131" s="395"/>
      <c r="AJ131" s="396"/>
      <c r="AK131" s="397"/>
      <c r="AL131" s="394"/>
      <c r="AM131" s="395"/>
      <c r="AN131" s="395"/>
      <c r="AO131" s="396"/>
      <c r="AP131" s="397"/>
      <c r="AQ131" s="394"/>
      <c r="AR131" s="395"/>
      <c r="AS131" s="395"/>
      <c r="AT131" s="396"/>
      <c r="AU131" s="397"/>
      <c r="AV131" s="394"/>
      <c r="AW131" s="395"/>
      <c r="AX131" s="395"/>
      <c r="AY131" s="396"/>
      <c r="AZ131" s="397"/>
      <c r="BA131" s="394"/>
      <c r="BB131" s="395"/>
      <c r="BC131" s="395"/>
      <c r="BD131" s="396"/>
      <c r="BE131" s="397"/>
      <c r="BF131" s="394"/>
      <c r="BG131" s="395"/>
      <c r="BH131" s="395"/>
      <c r="BI131" s="396"/>
      <c r="BJ131" s="397"/>
      <c r="BK131" s="394"/>
      <c r="BL131" s="395"/>
      <c r="BM131" s="395"/>
      <c r="BN131" s="396"/>
      <c r="BO131" s="397"/>
      <c r="BP131" s="452"/>
      <c r="BQ131" s="399"/>
      <c r="BR131" s="400"/>
      <c r="BS131" s="401"/>
      <c r="BT131" s="401"/>
      <c r="BU131" s="402"/>
      <c r="BV131" s="403"/>
      <c r="BW131" s="400"/>
      <c r="BX131" s="401"/>
      <c r="BY131" s="401"/>
      <c r="BZ131" s="402"/>
      <c r="CA131" s="403"/>
      <c r="CB131" s="400"/>
      <c r="CC131" s="401"/>
      <c r="CD131" s="401"/>
      <c r="CE131" s="402"/>
      <c r="CF131" s="403"/>
      <c r="CG131" s="400"/>
      <c r="CH131" s="401"/>
      <c r="CI131" s="401"/>
      <c r="CJ131" s="402"/>
      <c r="CK131" s="403"/>
      <c r="CL131" s="400"/>
      <c r="CM131" s="401"/>
      <c r="CN131" s="401"/>
      <c r="CO131" s="402"/>
      <c r="CP131" s="403"/>
      <c r="CQ131" s="400"/>
      <c r="CR131" s="401"/>
      <c r="CS131" s="401"/>
      <c r="CT131" s="402"/>
      <c r="CU131" s="403"/>
      <c r="CV131" s="400"/>
      <c r="CW131" s="401"/>
      <c r="CX131" s="401"/>
      <c r="CY131" s="402"/>
      <c r="CZ131" s="403"/>
      <c r="DA131" s="400"/>
      <c r="DB131" s="401"/>
      <c r="DC131" s="401"/>
      <c r="DD131" s="402"/>
      <c r="DE131" s="403"/>
      <c r="DF131" s="400"/>
      <c r="DG131" s="401"/>
      <c r="DH131" s="401"/>
      <c r="DI131" s="402"/>
      <c r="DJ131" s="403"/>
      <c r="DK131" s="400"/>
      <c r="DL131" s="401"/>
      <c r="DM131" s="401"/>
      <c r="DN131" s="402"/>
      <c r="DO131" s="403"/>
      <c r="DP131" s="400"/>
      <c r="DQ131" s="401"/>
      <c r="DR131" s="401"/>
      <c r="DS131" s="402"/>
      <c r="DT131" s="403"/>
    </row>
    <row r="132" spans="1:124" ht="12.75" customHeight="1" x14ac:dyDescent="0.2">
      <c r="C132" s="467" t="s">
        <v>330</v>
      </c>
      <c r="D132" s="467"/>
      <c r="E132" s="530"/>
      <c r="F132" s="537"/>
      <c r="G132" s="537"/>
      <c r="H132" s="580"/>
      <c r="I132" s="390"/>
      <c r="J132" s="391"/>
      <c r="K132" s="392"/>
      <c r="L132" s="393"/>
      <c r="M132" s="394"/>
      <c r="N132" s="395"/>
      <c r="O132" s="395"/>
      <c r="P132" s="396"/>
      <c r="Q132" s="397"/>
      <c r="R132" s="394"/>
      <c r="S132" s="395"/>
      <c r="T132" s="395"/>
      <c r="U132" s="396"/>
      <c r="V132" s="397"/>
      <c r="W132" s="394"/>
      <c r="X132" s="395"/>
      <c r="Y132" s="395"/>
      <c r="Z132" s="396"/>
      <c r="AA132" s="397"/>
      <c r="AB132" s="394"/>
      <c r="AC132" s="395"/>
      <c r="AD132" s="395"/>
      <c r="AE132" s="396"/>
      <c r="AF132" s="397"/>
      <c r="AG132" s="394"/>
      <c r="AH132" s="395"/>
      <c r="AI132" s="395"/>
      <c r="AJ132" s="396"/>
      <c r="AK132" s="397"/>
      <c r="AL132" s="394"/>
      <c r="AM132" s="395"/>
      <c r="AN132" s="395"/>
      <c r="AO132" s="396"/>
      <c r="AP132" s="397"/>
      <c r="AQ132" s="394"/>
      <c r="AR132" s="395"/>
      <c r="AS132" s="395"/>
      <c r="AT132" s="396"/>
      <c r="AU132" s="397"/>
      <c r="AV132" s="394"/>
      <c r="AW132" s="395"/>
      <c r="AX132" s="395"/>
      <c r="AY132" s="396"/>
      <c r="AZ132" s="397"/>
      <c r="BA132" s="394"/>
      <c r="BB132" s="395"/>
      <c r="BC132" s="395"/>
      <c r="BD132" s="396"/>
      <c r="BE132" s="397"/>
      <c r="BF132" s="394"/>
      <c r="BG132" s="395"/>
      <c r="BH132" s="395"/>
      <c r="BI132" s="396"/>
      <c r="BJ132" s="397"/>
      <c r="BK132" s="394"/>
      <c r="BL132" s="395"/>
      <c r="BM132" s="395"/>
      <c r="BN132" s="396"/>
      <c r="BO132" s="397"/>
      <c r="BP132" s="445"/>
      <c r="BQ132" s="399"/>
      <c r="BR132" s="400"/>
      <c r="BS132" s="401"/>
      <c r="BT132" s="401"/>
      <c r="BU132" s="402"/>
      <c r="BV132" s="403"/>
      <c r="BW132" s="400"/>
      <c r="BX132" s="401"/>
      <c r="BY132" s="401"/>
      <c r="BZ132" s="402"/>
      <c r="CA132" s="403"/>
      <c r="CB132" s="400"/>
      <c r="CC132" s="401"/>
      <c r="CD132" s="401"/>
      <c r="CE132" s="402"/>
      <c r="CF132" s="403"/>
      <c r="CG132" s="400"/>
      <c r="CH132" s="401"/>
      <c r="CI132" s="401"/>
      <c r="CJ132" s="402"/>
      <c r="CK132" s="403"/>
      <c r="CL132" s="400"/>
      <c r="CM132" s="401"/>
      <c r="CN132" s="401"/>
      <c r="CO132" s="402"/>
      <c r="CP132" s="403"/>
      <c r="CQ132" s="400"/>
      <c r="CR132" s="401"/>
      <c r="CS132" s="401"/>
      <c r="CT132" s="402"/>
      <c r="CU132" s="403"/>
      <c r="CV132" s="400"/>
      <c r="CW132" s="401"/>
      <c r="CX132" s="401"/>
      <c r="CY132" s="402"/>
      <c r="CZ132" s="403"/>
      <c r="DA132" s="400"/>
      <c r="DB132" s="401"/>
      <c r="DC132" s="401"/>
      <c r="DD132" s="402"/>
      <c r="DE132" s="403"/>
      <c r="DF132" s="400"/>
      <c r="DG132" s="401"/>
      <c r="DH132" s="401"/>
      <c r="DI132" s="402"/>
      <c r="DJ132" s="403"/>
      <c r="DK132" s="400"/>
      <c r="DL132" s="401"/>
      <c r="DM132" s="401"/>
      <c r="DN132" s="402"/>
      <c r="DO132" s="403"/>
      <c r="DP132" s="400"/>
      <c r="DQ132" s="401"/>
      <c r="DR132" s="401"/>
      <c r="DS132" s="402"/>
      <c r="DT132" s="403"/>
    </row>
    <row r="133" spans="1:124" ht="12.75" customHeight="1" x14ac:dyDescent="0.2">
      <c r="C133" s="847" t="s">
        <v>639</v>
      </c>
      <c r="D133" s="467"/>
      <c r="E133" s="532">
        <v>400</v>
      </c>
      <c r="F133" s="537"/>
      <c r="G133" s="537"/>
      <c r="H133" s="580">
        <v>2017</v>
      </c>
      <c r="I133" s="450">
        <v>3.7999999999999999E-2</v>
      </c>
      <c r="J133" s="451">
        <v>6</v>
      </c>
      <c r="K133" s="392"/>
      <c r="L133" s="393">
        <f t="shared" ref="L133:L137" si="985">IF(L$5=$H133,$E133,0)</f>
        <v>0</v>
      </c>
      <c r="M133" s="394">
        <f t="shared" ref="M133:M136" si="986">IF(Q133=0,0,IF(Q133&gt;0,IF($J133=3,Q133,IF($J133=2,Q133,IF($J133=1,Q133,0)))))</f>
        <v>0</v>
      </c>
      <c r="N133" s="395">
        <f t="shared" ref="N133:N136" si="987">IF(Q133=0,0,IF(Q133&gt;0,IF($J133=6,Q133,IF($J133=5,Q133,IF($J133=4,Q133,0)))))</f>
        <v>0</v>
      </c>
      <c r="O133" s="395">
        <f t="shared" ref="O133:O136" si="988">IF(Q133=0,0,IF(Q133&gt;0,IF($J133=9,Q133,IF($J133=8,Q133,IF($J133=7,Q133,0)))))</f>
        <v>0</v>
      </c>
      <c r="P133" s="396">
        <f t="shared" ref="P133:P136" si="989">IF(Q133=0,0,IF(Q133&gt;0,IF($J133=12,Q133,IF($J133=11,Q133,IF($J133=10,Q133,0)))))</f>
        <v>0</v>
      </c>
      <c r="Q133" s="397">
        <f t="shared" ref="Q133:Q137" si="990">IF(Q$5=$H133,$E133,0)</f>
        <v>0</v>
      </c>
      <c r="R133" s="394">
        <f t="shared" ref="R133:R136" si="991">IF(V133=0,0,IF(V133&gt;0,IF($J133=3,V133,IF($J133=2,V133,IF($J133=1,V133,0)))))</f>
        <v>0</v>
      </c>
      <c r="S133" s="395">
        <f t="shared" ref="S133:S136" si="992">IF(V133=0,0,IF(V133&gt;0,IF($J133=6,V133,IF($J133=5,V133,IF($J133=4,V133,0)))))</f>
        <v>0</v>
      </c>
      <c r="T133" s="395">
        <f t="shared" ref="T133:T136" si="993">IF(V133=0,0,IF(V133&gt;0,IF($J133=9,V133,IF($J133=8,V133,IF($J133=7,V133,0)))))</f>
        <v>0</v>
      </c>
      <c r="U133" s="396">
        <f t="shared" ref="U133:U136" si="994">IF(V133=0,0,IF(V133&gt;0,IF($J133=12,V133,IF($J133=11,V133,IF($J133=10,V133,0)))))</f>
        <v>0</v>
      </c>
      <c r="V133" s="397">
        <f t="shared" ref="V133:V137" si="995">IF(V$5=$H133,$E133,0)</f>
        <v>0</v>
      </c>
      <c r="W133" s="394">
        <f t="shared" ref="W133:W136" si="996">IF(AA133=0,0,IF(AA133&gt;0,IF($J133=3,AA133,IF($J133=2,AA133,IF($J133=1,AA133,0)))))</f>
        <v>0</v>
      </c>
      <c r="X133" s="395">
        <f t="shared" ref="X133:X136" si="997">IF(AA133=0,0,IF(AA133&gt;0,IF($J133=6,AA133,IF($J133=5,AA133,IF($J133=4,AA133,0)))))</f>
        <v>0</v>
      </c>
      <c r="Y133" s="395">
        <f t="shared" ref="Y133:Y136" si="998">IF(AA133=0,0,IF(AA133&gt;0,IF($J133=9,AA133,IF($J133=8,AA133,IF($J133=7,AA133,0)))))</f>
        <v>0</v>
      </c>
      <c r="Z133" s="396">
        <f t="shared" ref="Z133:Z136" si="999">IF(AA133=0,0,IF(AA133&gt;0,IF($J133=12,AA133,IF($J133=11,AA133,IF($J133=10,AA133,0)))))</f>
        <v>0</v>
      </c>
      <c r="AA133" s="397">
        <f t="shared" ref="AA133:AA137" si="1000">IF(AA$5=$H133,$E133,0)</f>
        <v>0</v>
      </c>
      <c r="AB133" s="394">
        <f t="shared" ref="AB133:AB136" si="1001">IF(AF133=0,0,IF(AF133&gt;0,IF($J133=3,AF133,IF($J133=2,AF133,IF($J133=1,AF133,0)))))</f>
        <v>0</v>
      </c>
      <c r="AC133" s="395">
        <f t="shared" ref="AC133:AC136" si="1002">IF(AF133=0,0,IF(AF133&gt;0,IF($J133=6,AF133,IF($J133=5,AF133,IF($J133=4,AF133,0)))))</f>
        <v>0</v>
      </c>
      <c r="AD133" s="395">
        <f t="shared" ref="AD133:AD136" si="1003">IF(AF133=0,0,IF(AF133&gt;0,IF($J133=9,AF133,IF($J133=8,AF133,IF($J133=7,AF133,0)))))</f>
        <v>0</v>
      </c>
      <c r="AE133" s="396">
        <f t="shared" ref="AE133:AE136" si="1004">IF(AF133=0,0,IF(AF133&gt;0,IF($J133=12,AF133,IF($J133=11,AF133,IF($J133=10,AF133,0)))))</f>
        <v>0</v>
      </c>
      <c r="AF133" s="397">
        <f t="shared" ref="AF133:AF137" si="1005">IF(AF$5=$H133,$E133,0)</f>
        <v>0</v>
      </c>
      <c r="AG133" s="394">
        <f t="shared" ref="AG133:AG136" si="1006">IF(AK133=0,0,IF(AK133&gt;0,IF($J133=3,AK133,IF($J133=2,AK133,IF($J133=1,AK133,0)))))</f>
        <v>0</v>
      </c>
      <c r="AH133" s="395">
        <f t="shared" ref="AH133:AH136" si="1007">IF(AK133=0,0,IF(AK133&gt;0,IF($J133=6,AK133,IF($J133=5,AK133,IF($J133=4,AK133,0)))))</f>
        <v>0</v>
      </c>
      <c r="AI133" s="395">
        <f t="shared" ref="AI133:AI136" si="1008">IF(AK133=0,0,IF(AK133&gt;0,IF($J133=9,AK133,IF($J133=8,AK133,IF($J133=7,AK133,0)))))</f>
        <v>0</v>
      </c>
      <c r="AJ133" s="396">
        <f t="shared" ref="AJ133:AJ136" si="1009">IF(AK133=0,0,IF(AK133&gt;0,IF($J133=12,AK133,IF($J133=11,AK133,IF($J133=10,AK133,0)))))</f>
        <v>0</v>
      </c>
      <c r="AK133" s="397">
        <f t="shared" ref="AK133:AK137" si="1010">IF(AK$5=$H133,$E133,0)</f>
        <v>0</v>
      </c>
      <c r="AL133" s="394">
        <f t="shared" ref="AL133:AL136" si="1011">IF(AP133=0,0,IF(AP133&gt;0,IF($J133=3,AP133,IF($J133=2,AP133,IF($J133=1,AP133,0)))))</f>
        <v>0</v>
      </c>
      <c r="AM133" s="395">
        <f t="shared" ref="AM133:AM136" si="1012">IF(AP133=0,0,IF(AP133&gt;0,IF($J133=6,AP133,IF($J133=5,AP133,IF($J133=4,AP133,0)))))</f>
        <v>0</v>
      </c>
      <c r="AN133" s="395">
        <f t="shared" ref="AN133:AN136" si="1013">IF(AP133=0,0,IF(AP133&gt;0,IF($J133=9,AP133,IF($J133=8,AP133,IF($J133=7,AP133,0)))))</f>
        <v>0</v>
      </c>
      <c r="AO133" s="396">
        <f t="shared" ref="AO133:AO136" si="1014">IF(AP133=0,0,IF(AP133&gt;0,IF($J133=12,AP133,IF($J133=11,AP133,IF($J133=10,AP133,0)))))</f>
        <v>0</v>
      </c>
      <c r="AP133" s="397">
        <f t="shared" ref="AP133:AP137" si="1015">IF(AP$5=$H133,$E133,0)</f>
        <v>0</v>
      </c>
      <c r="AQ133" s="394">
        <f t="shared" ref="AQ133:AQ136" si="1016">IF(AU133=0,0,IF(AU133&gt;0,IF($J133=3,AU133,IF($J133=2,AU133,IF($J133=1,AU133,0)))))</f>
        <v>0</v>
      </c>
      <c r="AR133" s="395">
        <f t="shared" ref="AR133:AR136" si="1017">IF(AU133=0,0,IF(AU133&gt;0,IF($J133=6,AU133,IF($J133=5,AU133,IF($J133=4,AU133,0)))))</f>
        <v>400</v>
      </c>
      <c r="AS133" s="395">
        <f t="shared" ref="AS133:AS136" si="1018">IF(AU133=0,0,IF(AU133&gt;0,IF($J133=9,AU133,IF($J133=8,AU133,IF($J133=7,AU133,0)))))</f>
        <v>0</v>
      </c>
      <c r="AT133" s="396">
        <f t="shared" ref="AT133:AT136" si="1019">IF(AU133=0,0,IF(AU133&gt;0,IF($J133=12,AU133,IF($J133=11,AU133,IF($J133=10,AU133,0)))))</f>
        <v>0</v>
      </c>
      <c r="AU133" s="397">
        <f t="shared" ref="AU133:AU137" si="1020">IF(AU$5=$H133,$E133,0)</f>
        <v>400</v>
      </c>
      <c r="AV133" s="394">
        <f t="shared" ref="AV133:AV136" si="1021">IF(AZ133=0,0,IF(AZ133&gt;0,IF($J133=3,AZ133,IF($J133=2,AZ133,IF($J133=1,AZ133,0)))))</f>
        <v>0</v>
      </c>
      <c r="AW133" s="395">
        <f t="shared" ref="AW133:AW136" si="1022">IF(AZ133=0,0,IF(AZ133&gt;0,IF($J133=6,AZ133,IF($J133=5,AZ133,IF($J133=4,AZ133,0)))))</f>
        <v>0</v>
      </c>
      <c r="AX133" s="395">
        <f t="shared" ref="AX133:AX136" si="1023">IF(AZ133=0,0,IF(AZ133&gt;0,IF($J133=9,AZ133,IF($J133=8,AZ133,IF($J133=7,AZ133,0)))))</f>
        <v>0</v>
      </c>
      <c r="AY133" s="396">
        <f t="shared" ref="AY133:AY136" si="1024">IF(AZ133=0,0,IF(AZ133&gt;0,IF($J133=12,AZ133,IF($J133=11,AZ133,IF($J133=10,AZ133,0)))))</f>
        <v>0</v>
      </c>
      <c r="AZ133" s="397">
        <f t="shared" ref="AZ133:AZ137" si="1025">IF(AZ$5=$H133,$E133,0)</f>
        <v>0</v>
      </c>
      <c r="BA133" s="394">
        <f t="shared" ref="BA133:BA136" si="1026">IF(BE133=0,0,IF(BE133&gt;0,IF($J133=3,BE133,IF($J133=2,BE133,IF($J133=1,BE133,0)))))</f>
        <v>0</v>
      </c>
      <c r="BB133" s="395">
        <f t="shared" ref="BB133:BB136" si="1027">IF(BE133=0,0,IF(BE133&gt;0,IF($J133=6,BE133,IF($J133=5,BE133,IF($J133=4,BE133,0)))))</f>
        <v>0</v>
      </c>
      <c r="BC133" s="395">
        <f t="shared" ref="BC133:BC136" si="1028">IF(BE133=0,0,IF(BE133&gt;0,IF($J133=9,BE133,IF($J133=8,BE133,IF($J133=7,BE133,0)))))</f>
        <v>0</v>
      </c>
      <c r="BD133" s="396">
        <f t="shared" ref="BD133:BD136" si="1029">IF(BE133=0,0,IF(BE133&gt;0,IF($J133=12,BE133,IF($J133=11,BE133,IF($J133=10,BE133,0)))))</f>
        <v>0</v>
      </c>
      <c r="BE133" s="397">
        <f t="shared" ref="BE133:BE137" si="1030">IF(BE$5=$H133,$E133,0)</f>
        <v>0</v>
      </c>
      <c r="BF133" s="394">
        <f t="shared" ref="BF133:BF136" si="1031">IF(BJ133=0,0,IF(BJ133&gt;0,IF($J133=3,BJ133,IF($J133=2,BJ133,IF($J133=1,BJ133,0)))))</f>
        <v>0</v>
      </c>
      <c r="BG133" s="395">
        <f t="shared" ref="BG133:BG136" si="1032">IF(BJ133=0,0,IF(BJ133&gt;0,IF($J133=6,BJ133,IF($J133=5,BJ133,IF($J133=4,BJ133,0)))))</f>
        <v>0</v>
      </c>
      <c r="BH133" s="395">
        <f t="shared" ref="BH133:BH136" si="1033">IF(BJ133=0,0,IF(BJ133&gt;0,IF($J133=9,BJ133,IF($J133=8,BJ133,IF($J133=7,BJ133,0)))))</f>
        <v>0</v>
      </c>
      <c r="BI133" s="396">
        <f t="shared" ref="BI133:BI136" si="1034">IF(BJ133=0,0,IF(BJ133&gt;0,IF($J133=12,BJ133,IF($J133=11,BJ133,IF($J133=10,BJ133,0)))))</f>
        <v>0</v>
      </c>
      <c r="BJ133" s="397">
        <f t="shared" ref="BJ133:BJ137" si="1035">IF(BJ$5=$H133,$E133,0)</f>
        <v>0</v>
      </c>
      <c r="BK133" s="394">
        <f t="shared" ref="BK133:BK136" si="1036">IF(BO133=0,0,IF(BO133&gt;0,IF($J133=3,BO133,IF($J133=2,BO133,IF($J133=1,BO133,0)))))</f>
        <v>0</v>
      </c>
      <c r="BL133" s="395">
        <f t="shared" ref="BL133:BL136" si="1037">IF(BO133=0,0,IF(BO133&gt;0,IF($J133=6,BO133,IF($J133=5,BO133,IF($J133=4,BO133,0)))))</f>
        <v>0</v>
      </c>
      <c r="BM133" s="395">
        <f t="shared" ref="BM133:BM136" si="1038">IF(BO133=0,0,IF(BO133&gt;0,IF($J133=9,BO133,IF($J133=8,BO133,IF($J133=7,BO133,0)))))</f>
        <v>0</v>
      </c>
      <c r="BN133" s="396">
        <f t="shared" ref="BN133:BN136" si="1039">IF(BO133=0,0,IF(BO133&gt;0,IF($J133=12,BO133,IF($J133=11,BO133,IF($J133=10,BO133,0)))))</f>
        <v>0</v>
      </c>
      <c r="BO133" s="397">
        <f t="shared" ref="BO133:BO137" si="1040">IF(BO$5=$H133,$E133,0)</f>
        <v>0</v>
      </c>
      <c r="BP133" s="445"/>
      <c r="BQ133" s="399">
        <f t="shared" ref="BQ133:BQ136" si="1041">IF(AND(BP133&lt;&gt;0,BP$5=$H133),$I133*$E133-BP133,IF(BQ$5=$H133,$I133*$E133*(12-$J133+1)/12,0))</f>
        <v>0</v>
      </c>
      <c r="BR133" s="400">
        <f t="shared" ref="BR133:BR136" si="1042">IF($H133&lt;&gt;BV$5,0,IF(BV133&gt;0,IF($J133=1,$E133*$I133/12*3,IF($J133=2,$E133*$I133/12*2,IF($J133=3,$E133*$I133/12*1,0)))))+IF(BQ$5&lt;&gt;$H133,0,IF(BQ133&gt;0,IF($J133=1,$E133*$I133/12*0,IF($J133=2,$E133*$I133/12*1,IF($J133=3,$E133*$I133/12*2,IF($J133&gt;=4,$E133*$I133/12*3,0))))))</f>
        <v>0</v>
      </c>
      <c r="BS133" s="401">
        <f t="shared" ref="BS133:BS136" si="1043">IF($H133&lt;&gt;BV$5,0,IF(BV133&gt;0,IF(OR($J133=1,$J133=2,$J133=3,$J133=4),$E133*$I133/12*3,IF($J133=5,$E133*$I133/12*2,IF($J133=6,$E133*$I133/12*1,0)))))+IF(BQ$5&lt;&gt;$H133,0,IF(BQ133&gt;0,IF($J133=4,$E133*$I133/12*0,IF($J133=5,$E133*$I133/12*1,IF($J133=6,$E133*$I133/12*2,IF($J133&gt;=7,$E133*$I133/12*3,0))))))</f>
        <v>0</v>
      </c>
      <c r="BT133" s="401">
        <f t="shared" ref="BT133:BT136" si="1044">IF($H133&lt;&gt;BV$5,0,IF(BV133&gt;0,IF(OR($J133=1,$J133=2,$J133=3,$J133=4,$J133=5,$J133=6,$J133=7),$E133*$I133/12*3,IF($J133=8,$E133*$I133/12*2,IF($J133=9,$E133*$I133/12*1,0)))))+IF(BQ$5&lt;&gt;$H133,0,IF(BQ133&gt;0,IF($J133=7,$E133*$I133/12*0,IF($J133=8,$E133*$I133/12*1,IF($J133=9,$E133*$I133/12*2,IF($J133&gt;=10,$E133*$I133/12*3,0))))))</f>
        <v>0</v>
      </c>
      <c r="BU133" s="402">
        <f t="shared" ref="BU133:BU136" si="1045">IF($H133&lt;&gt;BV$5,0,IF(BV133&gt;0,IF(OR($J133=1,$J133=2,$J133=3,$J133=4,$J133=5,$J133=6,$J133=7,$J133=8,$J133=9,$J133=10),$E133*$I133/12*3,IF($J133=11,$E133*$I133/12*2,IF($J133=12,$E133*$I133/12*1,0)))))+IF(BQ$5&lt;&gt;$H133,0,IF(BQ133&gt;0,IF($J133=10,$E133*$I133/12*0,IF($J133=11,$E133*$I133/12*1,IF($J133=12,$E133*$I133/12*2,0)))))</f>
        <v>0</v>
      </c>
      <c r="BV133" s="403">
        <f t="shared" ref="BV133:BV136" si="1046">IF(AND(BQ133&lt;&gt;0,BQ$5=$H133),$I133*$E133-BQ133,IF(BV$5=$H133,$I133*$E133*(12-$J133+1)/12,0))</f>
        <v>0</v>
      </c>
      <c r="BW133" s="400">
        <f t="shared" ref="BW133:BW136" si="1047">IF($H133&lt;&gt;CA$5,0,IF(CA133&gt;0,IF($J133=1,$E133*$I133/12*3,IF($J133=2,$E133*$I133/12*2,IF($J133=3,$E133*$I133/12*1,0)))))+IF(BV$5&lt;&gt;$H133,0,IF(BV133&gt;0,IF($J133=1,$E133*$I133/12*0,IF($J133=2,$E133*$I133/12*1,IF($J133=3,$E133*$I133/12*2,IF($J133&gt;=4,$E133*$I133/12*3,0))))))</f>
        <v>0</v>
      </c>
      <c r="BX133" s="401">
        <f t="shared" ref="BX133:BX136" si="1048">IF($H133&lt;&gt;CA$5,0,IF(CA133&gt;0,IF(OR($J133=1,$J133=2,$J133=3,$J133=4),$E133*$I133/12*3,IF($J133=5,$E133*$I133/12*2,IF($J133=6,$E133*$I133/12*1,0)))))+IF(BV$5&lt;&gt;$H133,0,IF(BV133&gt;0,IF($J133=4,$E133*$I133/12*0,IF($J133=5,$E133*$I133/12*1,IF($J133=6,$E133*$I133/12*2,IF($J133&gt;=7,$E133*$I133/12*3,0))))))</f>
        <v>0</v>
      </c>
      <c r="BY133" s="401">
        <f t="shared" ref="BY133:BY136" si="1049">IF($H133&lt;&gt;CA$5,0,IF(CA133&gt;0,IF(OR($J133=1,$J133=2,$J133=3,$J133=4,$J133=5,$J133=6,$J133=7),$E133*$I133/12*3,IF($J133=8,$E133*$I133/12*2,IF($J133=9,$E133*$I133/12*1,0)))))+IF(BV$5&lt;&gt;$H133,0,IF(BV133&gt;0,IF($J133=7,$E133*$I133/12*0,IF($J133=8,$E133*$I133/12*1,IF($J133=9,$E133*$I133/12*2,IF($J133&gt;=10,$E133*$I133/12*3,0))))))</f>
        <v>0</v>
      </c>
      <c r="BZ133" s="402">
        <f t="shared" ref="BZ133:BZ136" si="1050">IF($H133&lt;&gt;CA$5,0,IF(CA133&gt;0,IF(OR($J133=1,$J133=2,$J133=3,$J133=4,$J133=5,$J133=6,$J133=7,$J133=8,$J133=9,$J133=10),$E133*$I133/12*3,IF($J133=11,$E133*$I133/12*2,IF($J133=12,$E133*$I133/12*1,0)))))+IF(BV$5&lt;&gt;$H133,0,IF(BV133&gt;0,IF($J133=10,$E133*$I133/12*0,IF($J133=11,$E133*$I133/12*1,IF($J133=12,$E133*$I133/12*2,0)))))</f>
        <v>0</v>
      </c>
      <c r="CA133" s="403">
        <f t="shared" ref="CA133:CA136" si="1051">IF(AND(BV133&lt;&gt;0,BV$5=$H133),$I133*$E133-BV133,IF(CA$5=$H133,$I133*$E133*(12-$J133+1)/12,0))</f>
        <v>0</v>
      </c>
      <c r="CB133" s="400">
        <f t="shared" ref="CB133:CB136" si="1052">IF($H133&lt;&gt;CF$5,0,IF(CF133&gt;0,IF($J133=1,$E133*$I133/12*3,IF($J133=2,$E133*$I133/12*2,IF($J133=3,$E133*$I133/12*1,0)))))+IF(CA$5&lt;&gt;$H133,0,IF(CA133&gt;0,IF($J133=1,$E133*$I133/12*0,IF($J133=2,$E133*$I133/12*1,IF($J133=3,$E133*$I133/12*2,IF($J133&gt;=4,$E133*$I133/12*3,0))))))</f>
        <v>0</v>
      </c>
      <c r="CC133" s="401">
        <f t="shared" ref="CC133:CC136" si="1053">IF($H133&lt;&gt;CF$5,0,IF(CF133&gt;0,IF(OR($J133=1,$J133=2,$J133=3,$J133=4),$E133*$I133/12*3,IF($J133=5,$E133*$I133/12*2,IF($J133=6,$E133*$I133/12*1,0)))))+IF(CA$5&lt;&gt;$H133,0,IF(CA133&gt;0,IF($J133=4,$E133*$I133/12*0,IF($J133=5,$E133*$I133/12*1,IF($J133=6,$E133*$I133/12*2,IF($J133&gt;=7,$E133*$I133/12*3,0))))))</f>
        <v>0</v>
      </c>
      <c r="CD133" s="401">
        <f t="shared" ref="CD133:CD136" si="1054">IF($H133&lt;&gt;CF$5,0,IF(CF133&gt;0,IF(OR($J133=1,$J133=2,$J133=3,$J133=4,$J133=5,$J133=6,$J133=7),$E133*$I133/12*3,IF($J133=8,$E133*$I133/12*2,IF($J133=9,$E133*$I133/12*1,0)))))+IF(CA$5&lt;&gt;$H133,0,IF(CA133&gt;0,IF($J133=7,$E133*$I133/12*0,IF($J133=8,$E133*$I133/12*1,IF($J133=9,$E133*$I133/12*2,IF($J133&gt;=10,$E133*$I133/12*3,0))))))</f>
        <v>0</v>
      </c>
      <c r="CE133" s="402">
        <f t="shared" ref="CE133:CE136" si="1055">IF($H133&lt;&gt;CF$5,0,IF(CF133&gt;0,IF(OR($J133=1,$J133=2,$J133=3,$J133=4,$J133=5,$J133=6,$J133=7,$J133=8,$J133=9,$J133=10),$E133*$I133/12*3,IF($J133=11,$E133*$I133/12*2,IF($J133=12,$E133*$I133/12*1,0)))))+IF(CA$5&lt;&gt;$H133,0,IF(CA133&gt;0,IF($J133=10,$E133*$I133/12*0,IF($J133=11,$E133*$I133/12*1,IF($J133=12,$E133*$I133/12*2,0)))))</f>
        <v>0</v>
      </c>
      <c r="CF133" s="403">
        <f t="shared" ref="CF133:CF136" si="1056">IF(AND(CA133&lt;&gt;0,CA$5=$H133),$I133*$E133-CA133,IF(CF$5=$H133,$I133*$E133*(12-$J133+1)/12,0))</f>
        <v>0</v>
      </c>
      <c r="CG133" s="400">
        <f t="shared" ref="CG133:CG136" si="1057">IF($H133&lt;&gt;CK$5,0,IF(CK133&gt;0,IF($J133=1,$E133*$I133/12*3,IF($J133=2,$E133*$I133/12*2,IF($J133=3,$E133*$I133/12*1,0)))))+IF(CF$5&lt;&gt;$H133,0,IF(CF133&gt;0,IF($J133=1,$E133*$I133/12*0,IF($J133=2,$E133*$I133/12*1,IF($J133=3,$E133*$I133/12*2,IF($J133&gt;=4,$E133*$I133/12*3,0))))))</f>
        <v>0</v>
      </c>
      <c r="CH133" s="401">
        <f t="shared" ref="CH133:CH136" si="1058">IF($H133&lt;&gt;CK$5,0,IF(CK133&gt;0,IF(OR($J133=1,$J133=2,$J133=3,$J133=4),$E133*$I133/12*3,IF($J133=5,$E133*$I133/12*2,IF($J133=6,$E133*$I133/12*1,0)))))+IF(CF$5&lt;&gt;$H133,0,IF(CF133&gt;0,IF($J133=4,$E133*$I133/12*0,IF($J133=5,$E133*$I133/12*1,IF($J133=6,$E133*$I133/12*2,IF($J133&gt;=7,$E133*$I133/12*3,0))))))</f>
        <v>0</v>
      </c>
      <c r="CI133" s="401">
        <f t="shared" ref="CI133:CI136" si="1059">IF($H133&lt;&gt;CK$5,0,IF(CK133&gt;0,IF(OR($J133=1,$J133=2,$J133=3,$J133=4,$J133=5,$J133=6,$J133=7),$E133*$I133/12*3,IF($J133=8,$E133*$I133/12*2,IF($J133=9,$E133*$I133/12*1,0)))))+IF(CF$5&lt;&gt;$H133,0,IF(CF133&gt;0,IF($J133=7,$E133*$I133/12*0,IF($J133=8,$E133*$I133/12*1,IF($J133=9,$E133*$I133/12*2,IF($J133&gt;=10,$E133*$I133/12*3,0))))))</f>
        <v>0</v>
      </c>
      <c r="CJ133" s="402">
        <f t="shared" ref="CJ133:CJ136" si="1060">IF($H133&lt;&gt;CK$5,0,IF(CK133&gt;0,IF(OR($J133=1,$J133=2,$J133=3,$J133=4,$J133=5,$J133=6,$J133=7,$J133=8,$J133=9,$J133=10),$E133*$I133/12*3,IF($J133=11,$E133*$I133/12*2,IF($J133=12,$E133*$I133/12*1,0)))))+IF(CF$5&lt;&gt;$H133,0,IF(CF133&gt;0,IF($J133=10,$E133*$I133/12*0,IF($J133=11,$E133*$I133/12*1,IF($J133=12,$E133*$I133/12*2,0)))))</f>
        <v>0</v>
      </c>
      <c r="CK133" s="403">
        <f t="shared" ref="CK133:CK136" si="1061">IF(AND(CF133&lt;&gt;0,CF$5=$H133),$I133*$E133-CF133,IF(CK$5=$H133,$I133*$E133*(12-$J133+1)/12,0))</f>
        <v>0</v>
      </c>
      <c r="CL133" s="400">
        <f t="shared" ref="CL133:CL136" si="1062">IF($H133&lt;&gt;CP$5,0,IF(CP133&gt;0,IF($J133=1,$E133*$I133/12*3,IF($J133=2,$E133*$I133/12*2,IF($J133=3,$E133*$I133/12*1,0)))))+IF(CK$5&lt;&gt;$H133,0,IF(CK133&gt;0,IF($J133=1,$E133*$I133/12*0,IF($J133=2,$E133*$I133/12*1,IF($J133=3,$E133*$I133/12*2,IF($J133&gt;=4,$E133*$I133/12*3,0))))))</f>
        <v>0</v>
      </c>
      <c r="CM133" s="401">
        <f t="shared" ref="CM133:CM136" si="1063">IF($H133&lt;&gt;CP$5,0,IF(CP133&gt;0,IF(OR($J133=1,$J133=2,$J133=3,$J133=4),$E133*$I133/12*3,IF($J133=5,$E133*$I133/12*2,IF($J133=6,$E133*$I133/12*1,0)))))+IF(CK$5&lt;&gt;$H133,0,IF(CK133&gt;0,IF($J133=4,$E133*$I133/12*0,IF($J133=5,$E133*$I133/12*1,IF($J133=6,$E133*$I133/12*2,IF($J133&gt;=7,$E133*$I133/12*3,0))))))</f>
        <v>0</v>
      </c>
      <c r="CN133" s="401">
        <f t="shared" ref="CN133:CN136" si="1064">IF($H133&lt;&gt;CP$5,0,IF(CP133&gt;0,IF(OR($J133=1,$J133=2,$J133=3,$J133=4,$J133=5,$J133=6,$J133=7),$E133*$I133/12*3,IF($J133=8,$E133*$I133/12*2,IF($J133=9,$E133*$I133/12*1,0)))))+IF(CK$5&lt;&gt;$H133,0,IF(CK133&gt;0,IF($J133=7,$E133*$I133/12*0,IF($J133=8,$E133*$I133/12*1,IF($J133=9,$E133*$I133/12*2,IF($J133&gt;=10,$E133*$I133/12*3,0))))))</f>
        <v>0</v>
      </c>
      <c r="CO133" s="402">
        <f t="shared" ref="CO133:CO136" si="1065">IF($H133&lt;&gt;CP$5,0,IF(CP133&gt;0,IF(OR($J133=1,$J133=2,$J133=3,$J133=4,$J133=5,$J133=6,$J133=7,$J133=8,$J133=9,$J133=10),$E133*$I133/12*3,IF($J133=11,$E133*$I133/12*2,IF($J133=12,$E133*$I133/12*1,0)))))+IF(CK$5&lt;&gt;$H133,0,IF(CK133&gt;0,IF($J133=10,$E133*$I133/12*0,IF($J133=11,$E133*$I133/12*1,IF($J133=12,$E133*$I133/12*2,0)))))</f>
        <v>0</v>
      </c>
      <c r="CP133" s="403">
        <f t="shared" ref="CP133:CP136" si="1066">IF(AND(CK133&lt;&gt;0,CK$5=$H133),$I133*$E133-CK133,IF(CP$5=$H133,$I133*$E133*(12-$J133+1)/12,0))</f>
        <v>0</v>
      </c>
      <c r="CQ133" s="400">
        <f t="shared" ref="CQ133:CQ136" si="1067">IF($H133&lt;&gt;CU$5,0,IF(CU133&gt;0,IF($J133=1,$E133*$I133/12*3,IF($J133=2,$E133*$I133/12*2,IF($J133=3,$E133*$I133/12*1,0)))))+IF(CP$5&lt;&gt;$H133,0,IF(CP133&gt;0,IF($J133=1,$E133*$I133/12*0,IF($J133=2,$E133*$I133/12*1,IF($J133=3,$E133*$I133/12*2,IF($J133&gt;=4,$E133*$I133/12*3,0))))))</f>
        <v>0</v>
      </c>
      <c r="CR133" s="401">
        <f t="shared" ref="CR133:CR136" si="1068">IF($H133&lt;&gt;CU$5,0,IF(CU133&gt;0,IF(OR($J133=1,$J133=2,$J133=3,$J133=4),$E133*$I133/12*3,IF($J133=5,$E133*$I133/12*2,IF($J133=6,$E133*$I133/12*1,0)))))+IF(CP$5&lt;&gt;$H133,0,IF(CP133&gt;0,IF($J133=4,$E133*$I133/12*0,IF($J133=5,$E133*$I133/12*1,IF($J133=6,$E133*$I133/12*2,IF($J133&gt;=7,$E133*$I133/12*3,0))))))</f>
        <v>0</v>
      </c>
      <c r="CS133" s="401">
        <f t="shared" ref="CS133:CS136" si="1069">IF($H133&lt;&gt;CU$5,0,IF(CU133&gt;0,IF(OR($J133=1,$J133=2,$J133=3,$J133=4,$J133=5,$J133=6,$J133=7),$E133*$I133/12*3,IF($J133=8,$E133*$I133/12*2,IF($J133=9,$E133*$I133/12*1,0)))))+IF(CP$5&lt;&gt;$H133,0,IF(CP133&gt;0,IF($J133=7,$E133*$I133/12*0,IF($J133=8,$E133*$I133/12*1,IF($J133=9,$E133*$I133/12*2,IF($J133&gt;=10,$E133*$I133/12*3,0))))))</f>
        <v>0</v>
      </c>
      <c r="CT133" s="402">
        <f t="shared" ref="CT133:CT136" si="1070">IF($H133&lt;&gt;CU$5,0,IF(CU133&gt;0,IF(OR($J133=1,$J133=2,$J133=3,$J133=4,$J133=5,$J133=6,$J133=7,$J133=8,$J133=9,$J133=10),$E133*$I133/12*3,IF($J133=11,$E133*$I133/12*2,IF($J133=12,$E133*$I133/12*1,0)))))+IF(CP$5&lt;&gt;$H133,0,IF(CP133&gt;0,IF($J133=10,$E133*$I133/12*0,IF($J133=11,$E133*$I133/12*1,IF($J133=12,$E133*$I133/12*2,0)))))</f>
        <v>0</v>
      </c>
      <c r="CU133" s="403">
        <f t="shared" ref="CU133:CU136" si="1071">IF(AND(CP133&lt;&gt;0,CP$5=$H133),$I133*$E133-CP133,IF(CU$5=$H133,$I133*$E133*(12-$J133+1)/12,0))</f>
        <v>0</v>
      </c>
      <c r="CV133" s="400">
        <f t="shared" ref="CV133:CV136" si="1072">IF($H133&lt;&gt;CZ$5,0,IF(CZ133&gt;0,IF($J133=1,$E133*$I133/12*3,IF($J133=2,$E133*$I133/12*2,IF($J133=3,$E133*$I133/12*1,0)))))+IF(CU$5&lt;&gt;$H133,0,IF(CU133&gt;0,IF($J133=1,$E133*$I133/12*0,IF($J133=2,$E133*$I133/12*1,IF($J133=3,$E133*$I133/12*2,IF($J133&gt;=4,$E133*$I133/12*3,0))))))</f>
        <v>0</v>
      </c>
      <c r="CW133" s="401">
        <f t="shared" ref="CW133:CW136" si="1073">IF($H133&lt;&gt;CZ$5,0,IF(CZ133&gt;0,IF(OR($J133=1,$J133=2,$J133=3,$J133=4),$E133*$I133/12*3,IF($J133=5,$E133*$I133/12*2,IF($J133=6,$E133*$I133/12*1,0)))))+IF(CU$5&lt;&gt;$H133,0,IF(CU133&gt;0,IF($J133=4,$E133*$I133/12*0,IF($J133=5,$E133*$I133/12*1,IF($J133=6,$E133*$I133/12*2,IF($J133&gt;=7,$E133*$I133/12*3,0))))))</f>
        <v>1.2666666666666666</v>
      </c>
      <c r="CX133" s="401">
        <f t="shared" ref="CX133:CX136" si="1074">IF($H133&lt;&gt;CZ$5,0,IF(CZ133&gt;0,IF(OR($J133=1,$J133=2,$J133=3,$J133=4,$J133=5,$J133=6,$J133=7),$E133*$I133/12*3,IF($J133=8,$E133*$I133/12*2,IF($J133=9,$E133*$I133/12*1,0)))))+IF(CU$5&lt;&gt;$H133,0,IF(CU133&gt;0,IF($J133=7,$E133*$I133/12*0,IF($J133=8,$E133*$I133/12*1,IF($J133=9,$E133*$I133/12*2,IF($J133&gt;=10,$E133*$I133/12*3,0))))))</f>
        <v>3.8</v>
      </c>
      <c r="CY133" s="402">
        <f t="shared" ref="CY133:CY136" si="1075">IF($H133&lt;&gt;CZ$5,0,IF(CZ133&gt;0,IF(OR($J133=1,$J133=2,$J133=3,$J133=4,$J133=5,$J133=6,$J133=7,$J133=8,$J133=9,$J133=10),$E133*$I133/12*3,IF($J133=11,$E133*$I133/12*2,IF($J133=12,$E133*$I133/12*1,0)))))+IF(CU$5&lt;&gt;$H133,0,IF(CU133&gt;0,IF($J133=10,$E133*$I133/12*0,IF($J133=11,$E133*$I133/12*1,IF($J133=12,$E133*$I133/12*2,0)))))</f>
        <v>3.8</v>
      </c>
      <c r="CZ133" s="403">
        <f t="shared" ref="CZ133:CZ136" si="1076">IF(AND(CU133&lt;&gt;0,CU$5=$H133),$I133*$E133-CU133,IF(CZ$5=$H133,$I133*$E133*(12-$J133+1)/12,0))</f>
        <v>8.8666666666666654</v>
      </c>
      <c r="DA133" s="400">
        <f t="shared" ref="DA133:DA136" si="1077">IF($H133&lt;&gt;DE$5,0,IF(DE133&gt;0,IF($J133=1,$E133*$I133/12*3,IF($J133=2,$E133*$I133/12*2,IF($J133=3,$E133*$I133/12*1,0)))))+IF(CZ$5&lt;&gt;$H133,0,IF(CZ133&gt;0,IF($J133=1,$E133*$I133/12*0,IF($J133=2,$E133*$I133/12*1,IF($J133=3,$E133*$I133/12*2,IF($J133&gt;=4,$E133*$I133/12*3,0))))))</f>
        <v>3.8</v>
      </c>
      <c r="DB133" s="401">
        <f t="shared" ref="DB133:DB136" si="1078">IF($H133&lt;&gt;DE$5,0,IF(DE133&gt;0,IF(OR($J133=1,$J133=2,$J133=3,$J133=4),$E133*$I133/12*3,IF($J133=5,$E133*$I133/12*2,IF($J133=6,$E133*$I133/12*1,0)))))+IF(CZ$5&lt;&gt;$H133,0,IF(CZ133&gt;0,IF($J133=4,$E133*$I133/12*0,IF($J133=5,$E133*$I133/12*1,IF($J133=6,$E133*$I133/12*2,IF($J133&gt;=7,$E133*$I133/12*3,0))))))</f>
        <v>2.5333333333333332</v>
      </c>
      <c r="DC133" s="401">
        <f t="shared" ref="DC133:DC136" si="1079">IF($H133&lt;&gt;DE$5,0,IF(DE133&gt;0,IF(OR($J133=1,$J133=2,$J133=3,$J133=4,$J133=5,$J133=6,$J133=7),$E133*$I133/12*3,IF($J133=8,$E133*$I133/12*2,IF($J133=9,$E133*$I133/12*1,0)))))+IF(CZ$5&lt;&gt;$H133,0,IF(CZ133&gt;0,IF($J133=7,$E133*$I133/12*0,IF($J133=8,$E133*$I133/12*1,IF($J133=9,$E133*$I133/12*2,IF($J133&gt;=10,$E133*$I133/12*3,0))))))</f>
        <v>0</v>
      </c>
      <c r="DD133" s="402">
        <f t="shared" ref="DD133:DD136" si="1080">IF($H133&lt;&gt;DE$5,0,IF(DE133&gt;0,IF(OR($J133=1,$J133=2,$J133=3,$J133=4,$J133=5,$J133=6,$J133=7,$J133=8,$J133=9,$J133=10),$E133*$I133/12*3,IF($J133=11,$E133*$I133/12*2,IF($J133=12,$E133*$I133/12*1,0)))))+IF(CZ$5&lt;&gt;$H133,0,IF(CZ133&gt;0,IF($J133=10,$E133*$I133/12*0,IF($J133=11,$E133*$I133/12*1,IF($J133=12,$E133*$I133/12*2,0)))))</f>
        <v>0</v>
      </c>
      <c r="DE133" s="403">
        <f t="shared" ref="DE133:DE136" si="1081">IF(AND(CZ133&lt;&gt;0,CZ$5=$H133),$I133*$E133-CZ133,IF(DE$5=$H133,$I133*$E133*(12-$J133+1)/12,0))</f>
        <v>6.3333333333333339</v>
      </c>
      <c r="DF133" s="400">
        <f t="shared" ref="DF133:DF136" si="1082">IF($H133&lt;&gt;DJ$5,0,IF(DJ133&gt;0,IF($J133=1,$E133*$I133/12*3,IF($J133=2,$E133*$I133/12*2,IF($J133=3,$E133*$I133/12*1,0)))))+IF(DE$5&lt;&gt;$H133,0,IF(DE133&gt;0,IF($J133=1,$E133*$I133/12*0,IF($J133=2,$E133*$I133/12*1,IF($J133=3,$E133*$I133/12*2,IF($J133&gt;=4,$E133*$I133/12*3,0))))))</f>
        <v>0</v>
      </c>
      <c r="DG133" s="401">
        <f t="shared" ref="DG133:DG136" si="1083">IF($H133&lt;&gt;DJ$5,0,IF(DJ133&gt;0,IF(OR($J133=1,$J133=2,$J133=3,$J133=4),$E133*$I133/12*3,IF($J133=5,$E133*$I133/12*2,IF($J133=6,$E133*$I133/12*1,0)))))+IF(DE$5&lt;&gt;$H133,0,IF(DE133&gt;0,IF($J133=4,$E133*$I133/12*0,IF($J133=5,$E133*$I133/12*1,IF($J133=6,$E133*$I133/12*2,IF($J133&gt;=7,$E133*$I133/12*3,0))))))</f>
        <v>0</v>
      </c>
      <c r="DH133" s="401">
        <f t="shared" ref="DH133:DH136" si="1084">IF($H133&lt;&gt;DJ$5,0,IF(DJ133&gt;0,IF(OR($J133=1,$J133=2,$J133=3,$J133=4,$J133=5,$J133=6,$J133=7),$E133*$I133/12*3,IF($J133=8,$E133*$I133/12*2,IF($J133=9,$E133*$I133/12*1,0)))))+IF(DE$5&lt;&gt;$H133,0,IF(DE133&gt;0,IF($J133=7,$E133*$I133/12*0,IF($J133=8,$E133*$I133/12*1,IF($J133=9,$E133*$I133/12*2,IF($J133&gt;=10,$E133*$I133/12*3,0))))))</f>
        <v>0</v>
      </c>
      <c r="DI133" s="402">
        <f t="shared" ref="DI133:DI136" si="1085">IF($H133&lt;&gt;DJ$5,0,IF(DJ133&gt;0,IF(OR($J133=1,$J133=2,$J133=3,$J133=4,$J133=5,$J133=6,$J133=7,$J133=8,$J133=9,$J133=10),$E133*$I133/12*3,IF($J133=11,$E133*$I133/12*2,IF($J133=12,$E133*$I133/12*1,0)))))+IF(DE$5&lt;&gt;$H133,0,IF(DE133&gt;0,IF($J133=10,$E133*$I133/12*0,IF($J133=11,$E133*$I133/12*1,IF($J133=12,$E133*$I133/12*2,0)))))</f>
        <v>0</v>
      </c>
      <c r="DJ133" s="403">
        <f t="shared" ref="DJ133:DJ136" si="1086">IF(AND(DE133&lt;&gt;0,DE$5=$H133),$I133*$E133-DE133,IF(DJ$5=$H133,$I133*$E133*(12-$J133+1)/12,0))</f>
        <v>0</v>
      </c>
      <c r="DK133" s="400">
        <f t="shared" ref="DK133:DK136" si="1087">IF($H133&lt;&gt;DO$5,0,IF(DO133&gt;0,IF($J133=1,$E133*$I133/12*3,IF($J133=2,$E133*$I133/12*2,IF($J133=3,$E133*$I133/12*1,0)))))+IF(DJ$5&lt;&gt;$H133,0,IF(DJ133&gt;0,IF($J133=1,$E133*$I133/12*0,IF($J133=2,$E133*$I133/12*1,IF($J133=3,$E133*$I133/12*2,IF($J133&gt;=4,$E133*$I133/12*3,0))))))</f>
        <v>0</v>
      </c>
      <c r="DL133" s="401">
        <f t="shared" ref="DL133:DL136" si="1088">IF($H133&lt;&gt;DO$5,0,IF(DO133&gt;0,IF(OR($J133=1,$J133=2,$J133=3,$J133=4),$E133*$I133/12*3,IF($J133=5,$E133*$I133/12*2,IF($J133=6,$E133*$I133/12*1,0)))))+IF(DJ$5&lt;&gt;$H133,0,IF(DJ133&gt;0,IF($J133=4,$E133*$I133/12*0,IF($J133=5,$E133*$I133/12*1,IF($J133=6,$E133*$I133/12*2,IF($J133&gt;=7,$E133*$I133/12*3,0))))))</f>
        <v>0</v>
      </c>
      <c r="DM133" s="401">
        <f t="shared" ref="DM133:DM136" si="1089">IF($H133&lt;&gt;DO$5,0,IF(DO133&gt;0,IF(OR($J133=1,$J133=2,$J133=3,$J133=4,$J133=5,$J133=6,$J133=7),$E133*$I133/12*3,IF($J133=8,$E133*$I133/12*2,IF($J133=9,$E133*$I133/12*1,0)))))+IF(DJ$5&lt;&gt;$H133,0,IF(DJ133&gt;0,IF($J133=7,$E133*$I133/12*0,IF($J133=8,$E133*$I133/12*1,IF($J133=9,$E133*$I133/12*2,IF($J133&gt;=10,$E133*$I133/12*3,0))))))</f>
        <v>0</v>
      </c>
      <c r="DN133" s="402">
        <f t="shared" ref="DN133:DN136" si="1090">IF($H133&lt;&gt;DO$5,0,IF(DO133&gt;0,IF(OR($J133=1,$J133=2,$J133=3,$J133=4,$J133=5,$J133=6,$J133=7,$J133=8,$J133=9,$J133=10),$E133*$I133/12*3,IF($J133=11,$E133*$I133/12*2,IF($J133=12,$E133*$I133/12*1,0)))))+IF(DJ$5&lt;&gt;$H133,0,IF(DJ133&gt;0,IF($J133=10,$E133*$I133/12*0,IF($J133=11,$E133*$I133/12*1,IF($J133=12,$E133*$I133/12*2,0)))))</f>
        <v>0</v>
      </c>
      <c r="DO133" s="403">
        <f t="shared" ref="DO133:DO136" si="1091">IF(AND(DJ133&lt;&gt;0,DJ$5=$H133),$I133*$E133-DJ133,IF(DO$5=$H133,$I133*$E133*(12-$J133+1)/12,0))</f>
        <v>0</v>
      </c>
      <c r="DP133" s="400">
        <f t="shared" ref="DP133:DP136" si="1092">IF($H133&lt;&gt;DT$5,0,IF(DT133&gt;0,IF($J133=1,$E133*$I133/12*3,IF($J133=2,$E133*$I133/12*2,IF($J133=3,$E133*$I133/12*1,0)))))+IF(DO$5&lt;&gt;$H133,0,IF(DO133&gt;0,IF($J133=1,$E133*$I133/12*0,IF($J133=2,$E133*$I133/12*1,IF($J133=3,$E133*$I133/12*2,IF($J133&gt;=4,$E133*$I133/12*3,0))))))</f>
        <v>0</v>
      </c>
      <c r="DQ133" s="401">
        <f t="shared" ref="DQ133:DQ136" si="1093">IF($H133&lt;&gt;DT$5,0,IF(DT133&gt;0,IF(OR($J133=1,$J133=2,$J133=3,$J133=4),$E133*$I133/12*3,IF($J133=5,$E133*$I133/12*2,IF($J133=6,$E133*$I133/12*1,0)))))+IF(DO$5&lt;&gt;$H133,0,IF(DO133&gt;0,IF($J133=4,$E133*$I133/12*0,IF($J133=5,$E133*$I133/12*1,IF($J133=6,$E133*$I133/12*2,IF($J133&gt;=7,$E133*$I133/12*3,0))))))</f>
        <v>0</v>
      </c>
      <c r="DR133" s="401">
        <f t="shared" ref="DR133:DR136" si="1094">IF($H133&lt;&gt;DT$5,0,IF(DT133&gt;0,IF(OR($J133=1,$J133=2,$J133=3,$J133=4,$J133=5,$J133=6,$J133=7),$E133*$I133/12*3,IF($J133=8,$E133*$I133/12*2,IF($J133=9,$E133*$I133/12*1,0)))))+IF(DO$5&lt;&gt;$H133,0,IF(DO133&gt;0,IF($J133=7,$E133*$I133/12*0,IF($J133=8,$E133*$I133/12*1,IF($J133=9,$E133*$I133/12*2,IF($J133&gt;=10,$E133*$I133/12*3,0))))))</f>
        <v>0</v>
      </c>
      <c r="DS133" s="402">
        <f t="shared" ref="DS133:DS136" si="1095">IF($H133&lt;&gt;DT$5,0,IF(DT133&gt;0,IF(OR($J133=1,$J133=2,$J133=3,$J133=4,$J133=5,$J133=6,$J133=7,$J133=8,$J133=9,$J133=10),$E133*$I133/12*3,IF($J133=11,$E133*$I133/12*2,IF($J133=12,$E133*$I133/12*1,0)))))+IF(DO$5&lt;&gt;$H133,0,IF(DO133&gt;0,IF($J133=10,$E133*$I133/12*0,IF($J133=11,$E133*$I133/12*1,IF($J133=12,$E133*$I133/12*2,0)))))</f>
        <v>0</v>
      </c>
      <c r="DT133" s="403">
        <f t="shared" ref="DT133:DT136" si="1096">IF(AND(DO133&lt;&gt;0,DO$5=$H133),$I133*$E133-DO133,IF(DT$5=$H133,$I133*$E133*(12-$J133+1)/12,0))</f>
        <v>0</v>
      </c>
    </row>
    <row r="134" spans="1:124" ht="12.75" customHeight="1" x14ac:dyDescent="0.2">
      <c r="C134" s="52" t="s">
        <v>533</v>
      </c>
      <c r="D134" s="52"/>
      <c r="E134" s="530">
        <f>PSCO!BB185</f>
        <v>750</v>
      </c>
      <c r="F134" s="537"/>
      <c r="G134" s="537"/>
      <c r="H134" s="468">
        <v>2018</v>
      </c>
      <c r="I134" s="469">
        <v>0.04</v>
      </c>
      <c r="J134" s="470">
        <v>7</v>
      </c>
      <c r="K134" s="392"/>
      <c r="L134" s="393">
        <f t="shared" si="985"/>
        <v>0</v>
      </c>
      <c r="M134" s="394">
        <f t="shared" si="986"/>
        <v>0</v>
      </c>
      <c r="N134" s="395">
        <f t="shared" si="987"/>
        <v>0</v>
      </c>
      <c r="O134" s="395">
        <f t="shared" si="988"/>
        <v>0</v>
      </c>
      <c r="P134" s="396">
        <f t="shared" si="989"/>
        <v>0</v>
      </c>
      <c r="Q134" s="397">
        <f t="shared" si="990"/>
        <v>0</v>
      </c>
      <c r="R134" s="394">
        <f t="shared" si="991"/>
        <v>0</v>
      </c>
      <c r="S134" s="395">
        <f t="shared" si="992"/>
        <v>0</v>
      </c>
      <c r="T134" s="395">
        <f t="shared" si="993"/>
        <v>0</v>
      </c>
      <c r="U134" s="396">
        <f t="shared" si="994"/>
        <v>0</v>
      </c>
      <c r="V134" s="397">
        <f t="shared" si="995"/>
        <v>0</v>
      </c>
      <c r="W134" s="394">
        <f t="shared" si="996"/>
        <v>0</v>
      </c>
      <c r="X134" s="395">
        <f t="shared" si="997"/>
        <v>0</v>
      </c>
      <c r="Y134" s="395">
        <f t="shared" si="998"/>
        <v>0</v>
      </c>
      <c r="Z134" s="396">
        <f t="shared" si="999"/>
        <v>0</v>
      </c>
      <c r="AA134" s="397">
        <f t="shared" si="1000"/>
        <v>0</v>
      </c>
      <c r="AB134" s="394">
        <f t="shared" si="1001"/>
        <v>0</v>
      </c>
      <c r="AC134" s="395">
        <f t="shared" si="1002"/>
        <v>0</v>
      </c>
      <c r="AD134" s="395">
        <f t="shared" si="1003"/>
        <v>0</v>
      </c>
      <c r="AE134" s="396">
        <f t="shared" si="1004"/>
        <v>0</v>
      </c>
      <c r="AF134" s="397">
        <f t="shared" si="1005"/>
        <v>0</v>
      </c>
      <c r="AG134" s="394">
        <f t="shared" si="1006"/>
        <v>0</v>
      </c>
      <c r="AH134" s="395">
        <f t="shared" si="1007"/>
        <v>0</v>
      </c>
      <c r="AI134" s="395">
        <f t="shared" si="1008"/>
        <v>0</v>
      </c>
      <c r="AJ134" s="396">
        <f t="shared" si="1009"/>
        <v>0</v>
      </c>
      <c r="AK134" s="397">
        <f t="shared" si="1010"/>
        <v>0</v>
      </c>
      <c r="AL134" s="394">
        <f t="shared" si="1011"/>
        <v>0</v>
      </c>
      <c r="AM134" s="395">
        <f t="shared" si="1012"/>
        <v>0</v>
      </c>
      <c r="AN134" s="395">
        <f t="shared" si="1013"/>
        <v>0</v>
      </c>
      <c r="AO134" s="396">
        <f t="shared" si="1014"/>
        <v>0</v>
      </c>
      <c r="AP134" s="397">
        <f t="shared" si="1015"/>
        <v>0</v>
      </c>
      <c r="AQ134" s="394">
        <f t="shared" si="1016"/>
        <v>0</v>
      </c>
      <c r="AR134" s="395">
        <f t="shared" si="1017"/>
        <v>0</v>
      </c>
      <c r="AS134" s="395">
        <f t="shared" si="1018"/>
        <v>0</v>
      </c>
      <c r="AT134" s="396">
        <f t="shared" si="1019"/>
        <v>0</v>
      </c>
      <c r="AU134" s="397">
        <f t="shared" si="1020"/>
        <v>0</v>
      </c>
      <c r="AV134" s="394">
        <f t="shared" si="1021"/>
        <v>0</v>
      </c>
      <c r="AW134" s="395">
        <f t="shared" si="1022"/>
        <v>0</v>
      </c>
      <c r="AX134" s="395">
        <f t="shared" si="1023"/>
        <v>750</v>
      </c>
      <c r="AY134" s="396">
        <f t="shared" si="1024"/>
        <v>0</v>
      </c>
      <c r="AZ134" s="397">
        <f t="shared" si="1025"/>
        <v>750</v>
      </c>
      <c r="BA134" s="394">
        <f t="shared" si="1026"/>
        <v>0</v>
      </c>
      <c r="BB134" s="395">
        <f t="shared" si="1027"/>
        <v>0</v>
      </c>
      <c r="BC134" s="395">
        <f t="shared" si="1028"/>
        <v>0</v>
      </c>
      <c r="BD134" s="396">
        <f t="shared" si="1029"/>
        <v>0</v>
      </c>
      <c r="BE134" s="397">
        <f t="shared" si="1030"/>
        <v>0</v>
      </c>
      <c r="BF134" s="394">
        <f t="shared" si="1031"/>
        <v>0</v>
      </c>
      <c r="BG134" s="395">
        <f t="shared" si="1032"/>
        <v>0</v>
      </c>
      <c r="BH134" s="395">
        <f t="shared" si="1033"/>
        <v>0</v>
      </c>
      <c r="BI134" s="396">
        <f t="shared" si="1034"/>
        <v>0</v>
      </c>
      <c r="BJ134" s="397">
        <f t="shared" si="1035"/>
        <v>0</v>
      </c>
      <c r="BK134" s="394">
        <f t="shared" si="1036"/>
        <v>0</v>
      </c>
      <c r="BL134" s="395">
        <f t="shared" si="1037"/>
        <v>0</v>
      </c>
      <c r="BM134" s="395">
        <f t="shared" si="1038"/>
        <v>0</v>
      </c>
      <c r="BN134" s="396">
        <f t="shared" si="1039"/>
        <v>0</v>
      </c>
      <c r="BO134" s="397">
        <f t="shared" si="1040"/>
        <v>0</v>
      </c>
      <c r="BP134" s="445"/>
      <c r="BQ134" s="399">
        <f t="shared" si="1041"/>
        <v>0</v>
      </c>
      <c r="BR134" s="400">
        <f t="shared" si="1042"/>
        <v>0</v>
      </c>
      <c r="BS134" s="401">
        <f t="shared" si="1043"/>
        <v>0</v>
      </c>
      <c r="BT134" s="401">
        <f t="shared" si="1044"/>
        <v>0</v>
      </c>
      <c r="BU134" s="402">
        <f t="shared" si="1045"/>
        <v>0</v>
      </c>
      <c r="BV134" s="403">
        <f t="shared" si="1046"/>
        <v>0</v>
      </c>
      <c r="BW134" s="400">
        <f t="shared" si="1047"/>
        <v>0</v>
      </c>
      <c r="BX134" s="401">
        <f t="shared" si="1048"/>
        <v>0</v>
      </c>
      <c r="BY134" s="401">
        <f t="shared" si="1049"/>
        <v>0</v>
      </c>
      <c r="BZ134" s="402">
        <f t="shared" si="1050"/>
        <v>0</v>
      </c>
      <c r="CA134" s="403">
        <f t="shared" si="1051"/>
        <v>0</v>
      </c>
      <c r="CB134" s="400">
        <f t="shared" si="1052"/>
        <v>0</v>
      </c>
      <c r="CC134" s="401">
        <f t="shared" si="1053"/>
        <v>0</v>
      </c>
      <c r="CD134" s="401">
        <f t="shared" si="1054"/>
        <v>0</v>
      </c>
      <c r="CE134" s="402">
        <f t="shared" si="1055"/>
        <v>0</v>
      </c>
      <c r="CF134" s="403">
        <f t="shared" si="1056"/>
        <v>0</v>
      </c>
      <c r="CG134" s="400">
        <f t="shared" si="1057"/>
        <v>0</v>
      </c>
      <c r="CH134" s="401">
        <f t="shared" si="1058"/>
        <v>0</v>
      </c>
      <c r="CI134" s="401">
        <f t="shared" si="1059"/>
        <v>0</v>
      </c>
      <c r="CJ134" s="402">
        <f t="shared" si="1060"/>
        <v>0</v>
      </c>
      <c r="CK134" s="403">
        <f t="shared" si="1061"/>
        <v>0</v>
      </c>
      <c r="CL134" s="400">
        <f t="shared" si="1062"/>
        <v>0</v>
      </c>
      <c r="CM134" s="401">
        <f t="shared" si="1063"/>
        <v>0</v>
      </c>
      <c r="CN134" s="401">
        <f t="shared" si="1064"/>
        <v>0</v>
      </c>
      <c r="CO134" s="402">
        <f t="shared" si="1065"/>
        <v>0</v>
      </c>
      <c r="CP134" s="403">
        <f t="shared" si="1066"/>
        <v>0</v>
      </c>
      <c r="CQ134" s="400">
        <f t="shared" si="1067"/>
        <v>0</v>
      </c>
      <c r="CR134" s="401">
        <f t="shared" si="1068"/>
        <v>0</v>
      </c>
      <c r="CS134" s="401">
        <f t="shared" si="1069"/>
        <v>0</v>
      </c>
      <c r="CT134" s="402">
        <f t="shared" si="1070"/>
        <v>0</v>
      </c>
      <c r="CU134" s="403">
        <f t="shared" si="1071"/>
        <v>0</v>
      </c>
      <c r="CV134" s="400">
        <f t="shared" si="1072"/>
        <v>0</v>
      </c>
      <c r="CW134" s="401">
        <f t="shared" si="1073"/>
        <v>0</v>
      </c>
      <c r="CX134" s="401">
        <f t="shared" si="1074"/>
        <v>0</v>
      </c>
      <c r="CY134" s="402">
        <f t="shared" si="1075"/>
        <v>0</v>
      </c>
      <c r="CZ134" s="403">
        <f t="shared" si="1076"/>
        <v>0</v>
      </c>
      <c r="DA134" s="400">
        <f t="shared" si="1077"/>
        <v>0</v>
      </c>
      <c r="DB134" s="401">
        <f t="shared" si="1078"/>
        <v>0</v>
      </c>
      <c r="DC134" s="401">
        <f t="shared" si="1079"/>
        <v>7.5</v>
      </c>
      <c r="DD134" s="402">
        <f t="shared" si="1080"/>
        <v>7.5</v>
      </c>
      <c r="DE134" s="403">
        <f t="shared" si="1081"/>
        <v>15</v>
      </c>
      <c r="DF134" s="400">
        <f t="shared" si="1082"/>
        <v>7.5</v>
      </c>
      <c r="DG134" s="401">
        <f t="shared" si="1083"/>
        <v>7.5</v>
      </c>
      <c r="DH134" s="401">
        <f t="shared" si="1084"/>
        <v>0</v>
      </c>
      <c r="DI134" s="402">
        <f t="shared" si="1085"/>
        <v>0</v>
      </c>
      <c r="DJ134" s="403">
        <f t="shared" si="1086"/>
        <v>15</v>
      </c>
      <c r="DK134" s="400">
        <f t="shared" si="1087"/>
        <v>0</v>
      </c>
      <c r="DL134" s="401">
        <f t="shared" si="1088"/>
        <v>0</v>
      </c>
      <c r="DM134" s="401">
        <f t="shared" si="1089"/>
        <v>0</v>
      </c>
      <c r="DN134" s="402">
        <f t="shared" si="1090"/>
        <v>0</v>
      </c>
      <c r="DO134" s="403">
        <f t="shared" si="1091"/>
        <v>0</v>
      </c>
      <c r="DP134" s="400">
        <f t="shared" si="1092"/>
        <v>0</v>
      </c>
      <c r="DQ134" s="401">
        <f t="shared" si="1093"/>
        <v>0</v>
      </c>
      <c r="DR134" s="401">
        <f t="shared" si="1094"/>
        <v>0</v>
      </c>
      <c r="DS134" s="402">
        <f t="shared" si="1095"/>
        <v>0</v>
      </c>
      <c r="DT134" s="403">
        <f t="shared" si="1096"/>
        <v>0</v>
      </c>
    </row>
    <row r="135" spans="1:124" ht="12.75" customHeight="1" x14ac:dyDescent="0.2">
      <c r="C135" s="847" t="s">
        <v>560</v>
      </c>
      <c r="D135" s="52"/>
      <c r="E135" s="530">
        <f>+PSCO!BG185</f>
        <v>200</v>
      </c>
      <c r="F135" s="537"/>
      <c r="G135" s="537"/>
      <c r="H135" s="468">
        <v>2019</v>
      </c>
      <c r="I135" s="469">
        <v>4.4999999999999998E-2</v>
      </c>
      <c r="J135" s="470">
        <v>4</v>
      </c>
      <c r="K135" s="392"/>
      <c r="L135" s="393">
        <f t="shared" si="985"/>
        <v>0</v>
      </c>
      <c r="M135" s="394">
        <f t="shared" si="986"/>
        <v>0</v>
      </c>
      <c r="N135" s="395">
        <f t="shared" si="987"/>
        <v>0</v>
      </c>
      <c r="O135" s="395">
        <f t="shared" si="988"/>
        <v>0</v>
      </c>
      <c r="P135" s="396">
        <f t="shared" si="989"/>
        <v>0</v>
      </c>
      <c r="Q135" s="397">
        <f t="shared" si="990"/>
        <v>0</v>
      </c>
      <c r="R135" s="394">
        <f t="shared" si="991"/>
        <v>0</v>
      </c>
      <c r="S135" s="395">
        <f t="shared" si="992"/>
        <v>0</v>
      </c>
      <c r="T135" s="395">
        <f t="shared" si="993"/>
        <v>0</v>
      </c>
      <c r="U135" s="396">
        <f t="shared" si="994"/>
        <v>0</v>
      </c>
      <c r="V135" s="397">
        <f t="shared" si="995"/>
        <v>0</v>
      </c>
      <c r="W135" s="394">
        <f t="shared" si="996"/>
        <v>0</v>
      </c>
      <c r="X135" s="395">
        <f t="shared" si="997"/>
        <v>0</v>
      </c>
      <c r="Y135" s="395">
        <f t="shared" si="998"/>
        <v>0</v>
      </c>
      <c r="Z135" s="396">
        <f t="shared" si="999"/>
        <v>0</v>
      </c>
      <c r="AA135" s="397">
        <f t="shared" si="1000"/>
        <v>0</v>
      </c>
      <c r="AB135" s="394">
        <f t="shared" si="1001"/>
        <v>0</v>
      </c>
      <c r="AC135" s="395">
        <f t="shared" si="1002"/>
        <v>0</v>
      </c>
      <c r="AD135" s="395">
        <f t="shared" si="1003"/>
        <v>0</v>
      </c>
      <c r="AE135" s="396">
        <f t="shared" si="1004"/>
        <v>0</v>
      </c>
      <c r="AF135" s="397">
        <f t="shared" si="1005"/>
        <v>0</v>
      </c>
      <c r="AG135" s="394">
        <f t="shared" si="1006"/>
        <v>0</v>
      </c>
      <c r="AH135" s="395">
        <f t="shared" si="1007"/>
        <v>0</v>
      </c>
      <c r="AI135" s="395">
        <f t="shared" si="1008"/>
        <v>0</v>
      </c>
      <c r="AJ135" s="396">
        <f t="shared" si="1009"/>
        <v>0</v>
      </c>
      <c r="AK135" s="397">
        <f t="shared" si="1010"/>
        <v>0</v>
      </c>
      <c r="AL135" s="394">
        <f t="shared" si="1011"/>
        <v>0</v>
      </c>
      <c r="AM135" s="395">
        <f t="shared" si="1012"/>
        <v>0</v>
      </c>
      <c r="AN135" s="395">
        <f t="shared" si="1013"/>
        <v>0</v>
      </c>
      <c r="AO135" s="396">
        <f t="shared" si="1014"/>
        <v>0</v>
      </c>
      <c r="AP135" s="397">
        <f t="shared" si="1015"/>
        <v>0</v>
      </c>
      <c r="AQ135" s="394">
        <f t="shared" si="1016"/>
        <v>0</v>
      </c>
      <c r="AR135" s="395">
        <f t="shared" si="1017"/>
        <v>0</v>
      </c>
      <c r="AS135" s="395">
        <f t="shared" si="1018"/>
        <v>0</v>
      </c>
      <c r="AT135" s="396">
        <f t="shared" si="1019"/>
        <v>0</v>
      </c>
      <c r="AU135" s="397">
        <f t="shared" si="1020"/>
        <v>0</v>
      </c>
      <c r="AV135" s="394">
        <f t="shared" si="1021"/>
        <v>0</v>
      </c>
      <c r="AW135" s="395">
        <f t="shared" si="1022"/>
        <v>0</v>
      </c>
      <c r="AX135" s="395">
        <f t="shared" si="1023"/>
        <v>0</v>
      </c>
      <c r="AY135" s="396">
        <f t="shared" si="1024"/>
        <v>0</v>
      </c>
      <c r="AZ135" s="397">
        <f t="shared" si="1025"/>
        <v>0</v>
      </c>
      <c r="BA135" s="394">
        <f t="shared" si="1026"/>
        <v>0</v>
      </c>
      <c r="BB135" s="395">
        <f t="shared" si="1027"/>
        <v>200</v>
      </c>
      <c r="BC135" s="395">
        <f t="shared" si="1028"/>
        <v>0</v>
      </c>
      <c r="BD135" s="396">
        <f t="shared" si="1029"/>
        <v>0</v>
      </c>
      <c r="BE135" s="397">
        <f t="shared" si="1030"/>
        <v>200</v>
      </c>
      <c r="BF135" s="394">
        <f t="shared" si="1031"/>
        <v>0</v>
      </c>
      <c r="BG135" s="395">
        <f t="shared" si="1032"/>
        <v>0</v>
      </c>
      <c r="BH135" s="395">
        <f t="shared" si="1033"/>
        <v>0</v>
      </c>
      <c r="BI135" s="396">
        <f t="shared" si="1034"/>
        <v>0</v>
      </c>
      <c r="BJ135" s="397">
        <f t="shared" si="1035"/>
        <v>0</v>
      </c>
      <c r="BK135" s="394">
        <f t="shared" si="1036"/>
        <v>0</v>
      </c>
      <c r="BL135" s="395">
        <f t="shared" si="1037"/>
        <v>0</v>
      </c>
      <c r="BM135" s="395">
        <f t="shared" si="1038"/>
        <v>0</v>
      </c>
      <c r="BN135" s="396">
        <f t="shared" si="1039"/>
        <v>0</v>
      </c>
      <c r="BO135" s="397">
        <f t="shared" si="1040"/>
        <v>0</v>
      </c>
      <c r="BP135" s="445"/>
      <c r="BQ135" s="399">
        <f t="shared" si="1041"/>
        <v>0</v>
      </c>
      <c r="BR135" s="400">
        <f t="shared" si="1042"/>
        <v>0</v>
      </c>
      <c r="BS135" s="401">
        <f t="shared" si="1043"/>
        <v>0</v>
      </c>
      <c r="BT135" s="401">
        <f t="shared" si="1044"/>
        <v>0</v>
      </c>
      <c r="BU135" s="402">
        <f t="shared" si="1045"/>
        <v>0</v>
      </c>
      <c r="BV135" s="403">
        <f t="shared" si="1046"/>
        <v>0</v>
      </c>
      <c r="BW135" s="400">
        <f t="shared" si="1047"/>
        <v>0</v>
      </c>
      <c r="BX135" s="401">
        <f t="shared" si="1048"/>
        <v>0</v>
      </c>
      <c r="BY135" s="401">
        <f t="shared" si="1049"/>
        <v>0</v>
      </c>
      <c r="BZ135" s="402">
        <f t="shared" si="1050"/>
        <v>0</v>
      </c>
      <c r="CA135" s="403">
        <f t="shared" si="1051"/>
        <v>0</v>
      </c>
      <c r="CB135" s="400">
        <f t="shared" si="1052"/>
        <v>0</v>
      </c>
      <c r="CC135" s="401">
        <f t="shared" si="1053"/>
        <v>0</v>
      </c>
      <c r="CD135" s="401">
        <f t="shared" si="1054"/>
        <v>0</v>
      </c>
      <c r="CE135" s="402">
        <f t="shared" si="1055"/>
        <v>0</v>
      </c>
      <c r="CF135" s="403">
        <f t="shared" si="1056"/>
        <v>0</v>
      </c>
      <c r="CG135" s="400">
        <f t="shared" si="1057"/>
        <v>0</v>
      </c>
      <c r="CH135" s="401">
        <f t="shared" si="1058"/>
        <v>0</v>
      </c>
      <c r="CI135" s="401">
        <f t="shared" si="1059"/>
        <v>0</v>
      </c>
      <c r="CJ135" s="402">
        <f t="shared" si="1060"/>
        <v>0</v>
      </c>
      <c r="CK135" s="403">
        <f t="shared" si="1061"/>
        <v>0</v>
      </c>
      <c r="CL135" s="400">
        <f t="shared" si="1062"/>
        <v>0</v>
      </c>
      <c r="CM135" s="401">
        <f t="shared" si="1063"/>
        <v>0</v>
      </c>
      <c r="CN135" s="401">
        <f t="shared" si="1064"/>
        <v>0</v>
      </c>
      <c r="CO135" s="402">
        <f t="shared" si="1065"/>
        <v>0</v>
      </c>
      <c r="CP135" s="403">
        <f t="shared" si="1066"/>
        <v>0</v>
      </c>
      <c r="CQ135" s="400">
        <f t="shared" si="1067"/>
        <v>0</v>
      </c>
      <c r="CR135" s="401">
        <f t="shared" si="1068"/>
        <v>0</v>
      </c>
      <c r="CS135" s="401">
        <f t="shared" si="1069"/>
        <v>0</v>
      </c>
      <c r="CT135" s="402">
        <f t="shared" si="1070"/>
        <v>0</v>
      </c>
      <c r="CU135" s="403">
        <f t="shared" si="1071"/>
        <v>0</v>
      </c>
      <c r="CV135" s="400">
        <f t="shared" si="1072"/>
        <v>0</v>
      </c>
      <c r="CW135" s="401">
        <f t="shared" si="1073"/>
        <v>0</v>
      </c>
      <c r="CX135" s="401">
        <f t="shared" si="1074"/>
        <v>0</v>
      </c>
      <c r="CY135" s="402">
        <f t="shared" si="1075"/>
        <v>0</v>
      </c>
      <c r="CZ135" s="403">
        <f t="shared" si="1076"/>
        <v>0</v>
      </c>
      <c r="DA135" s="400">
        <f t="shared" si="1077"/>
        <v>0</v>
      </c>
      <c r="DB135" s="401">
        <f t="shared" si="1078"/>
        <v>0</v>
      </c>
      <c r="DC135" s="401">
        <f t="shared" si="1079"/>
        <v>0</v>
      </c>
      <c r="DD135" s="402">
        <f t="shared" si="1080"/>
        <v>0</v>
      </c>
      <c r="DE135" s="403">
        <f t="shared" si="1081"/>
        <v>0</v>
      </c>
      <c r="DF135" s="400">
        <f t="shared" si="1082"/>
        <v>0</v>
      </c>
      <c r="DG135" s="401">
        <f t="shared" si="1083"/>
        <v>2.25</v>
      </c>
      <c r="DH135" s="401">
        <f t="shared" si="1084"/>
        <v>2.25</v>
      </c>
      <c r="DI135" s="402">
        <f t="shared" si="1085"/>
        <v>2.25</v>
      </c>
      <c r="DJ135" s="403">
        <f t="shared" si="1086"/>
        <v>6.75</v>
      </c>
      <c r="DK135" s="400">
        <f t="shared" si="1087"/>
        <v>2.25</v>
      </c>
      <c r="DL135" s="401">
        <f t="shared" si="1088"/>
        <v>0</v>
      </c>
      <c r="DM135" s="401">
        <f t="shared" si="1089"/>
        <v>0</v>
      </c>
      <c r="DN135" s="402">
        <f t="shared" si="1090"/>
        <v>0</v>
      </c>
      <c r="DO135" s="403">
        <f t="shared" si="1091"/>
        <v>2.25</v>
      </c>
      <c r="DP135" s="400">
        <f t="shared" si="1092"/>
        <v>0</v>
      </c>
      <c r="DQ135" s="401">
        <f t="shared" si="1093"/>
        <v>0</v>
      </c>
      <c r="DR135" s="401">
        <f t="shared" si="1094"/>
        <v>0</v>
      </c>
      <c r="DS135" s="402">
        <f t="shared" si="1095"/>
        <v>0</v>
      </c>
      <c r="DT135" s="403">
        <f t="shared" si="1096"/>
        <v>0</v>
      </c>
    </row>
    <row r="136" spans="1:124" ht="12.75" customHeight="1" x14ac:dyDescent="0.2">
      <c r="C136" s="847" t="s">
        <v>603</v>
      </c>
      <c r="D136" s="52"/>
      <c r="E136" s="530">
        <f>+PSCO!BL185</f>
        <v>400</v>
      </c>
      <c r="F136" s="537"/>
      <c r="G136" s="537"/>
      <c r="H136" s="468">
        <v>2020</v>
      </c>
      <c r="I136" s="469">
        <v>4.4999999999999998E-2</v>
      </c>
      <c r="J136" s="470">
        <v>4</v>
      </c>
      <c r="K136" s="392"/>
      <c r="L136" s="393">
        <f t="shared" si="985"/>
        <v>0</v>
      </c>
      <c r="M136" s="394">
        <f t="shared" si="986"/>
        <v>0</v>
      </c>
      <c r="N136" s="395">
        <f t="shared" si="987"/>
        <v>0</v>
      </c>
      <c r="O136" s="395">
        <f t="shared" si="988"/>
        <v>0</v>
      </c>
      <c r="P136" s="396">
        <f t="shared" si="989"/>
        <v>0</v>
      </c>
      <c r="Q136" s="397">
        <f t="shared" si="990"/>
        <v>0</v>
      </c>
      <c r="R136" s="394">
        <f t="shared" si="991"/>
        <v>0</v>
      </c>
      <c r="S136" s="395">
        <f t="shared" si="992"/>
        <v>0</v>
      </c>
      <c r="T136" s="395">
        <f t="shared" si="993"/>
        <v>0</v>
      </c>
      <c r="U136" s="396">
        <f t="shared" si="994"/>
        <v>0</v>
      </c>
      <c r="V136" s="397">
        <f t="shared" si="995"/>
        <v>0</v>
      </c>
      <c r="W136" s="394">
        <f t="shared" si="996"/>
        <v>0</v>
      </c>
      <c r="X136" s="395">
        <f t="shared" si="997"/>
        <v>0</v>
      </c>
      <c r="Y136" s="395">
        <f t="shared" si="998"/>
        <v>0</v>
      </c>
      <c r="Z136" s="396">
        <f t="shared" si="999"/>
        <v>0</v>
      </c>
      <c r="AA136" s="397">
        <f t="shared" si="1000"/>
        <v>0</v>
      </c>
      <c r="AB136" s="394">
        <f t="shared" si="1001"/>
        <v>0</v>
      </c>
      <c r="AC136" s="395">
        <f t="shared" si="1002"/>
        <v>0</v>
      </c>
      <c r="AD136" s="395">
        <f t="shared" si="1003"/>
        <v>0</v>
      </c>
      <c r="AE136" s="396">
        <f t="shared" si="1004"/>
        <v>0</v>
      </c>
      <c r="AF136" s="397">
        <f t="shared" si="1005"/>
        <v>0</v>
      </c>
      <c r="AG136" s="394">
        <f t="shared" si="1006"/>
        <v>0</v>
      </c>
      <c r="AH136" s="395">
        <f t="shared" si="1007"/>
        <v>0</v>
      </c>
      <c r="AI136" s="395">
        <f t="shared" si="1008"/>
        <v>0</v>
      </c>
      <c r="AJ136" s="396">
        <f t="shared" si="1009"/>
        <v>0</v>
      </c>
      <c r="AK136" s="397">
        <f t="shared" si="1010"/>
        <v>0</v>
      </c>
      <c r="AL136" s="394">
        <f t="shared" si="1011"/>
        <v>0</v>
      </c>
      <c r="AM136" s="395">
        <f t="shared" si="1012"/>
        <v>0</v>
      </c>
      <c r="AN136" s="395">
        <f t="shared" si="1013"/>
        <v>0</v>
      </c>
      <c r="AO136" s="396">
        <f t="shared" si="1014"/>
        <v>0</v>
      </c>
      <c r="AP136" s="397">
        <f t="shared" si="1015"/>
        <v>0</v>
      </c>
      <c r="AQ136" s="394">
        <f t="shared" si="1016"/>
        <v>0</v>
      </c>
      <c r="AR136" s="395">
        <f t="shared" si="1017"/>
        <v>0</v>
      </c>
      <c r="AS136" s="395">
        <f t="shared" si="1018"/>
        <v>0</v>
      </c>
      <c r="AT136" s="396">
        <f t="shared" si="1019"/>
        <v>0</v>
      </c>
      <c r="AU136" s="397">
        <f t="shared" si="1020"/>
        <v>0</v>
      </c>
      <c r="AV136" s="394">
        <f t="shared" si="1021"/>
        <v>0</v>
      </c>
      <c r="AW136" s="395">
        <f t="shared" si="1022"/>
        <v>0</v>
      </c>
      <c r="AX136" s="395">
        <f t="shared" si="1023"/>
        <v>0</v>
      </c>
      <c r="AY136" s="396">
        <f t="shared" si="1024"/>
        <v>0</v>
      </c>
      <c r="AZ136" s="397">
        <f t="shared" si="1025"/>
        <v>0</v>
      </c>
      <c r="BA136" s="394">
        <f t="shared" si="1026"/>
        <v>0</v>
      </c>
      <c r="BB136" s="395">
        <f t="shared" si="1027"/>
        <v>0</v>
      </c>
      <c r="BC136" s="395">
        <f t="shared" si="1028"/>
        <v>0</v>
      </c>
      <c r="BD136" s="396">
        <f t="shared" si="1029"/>
        <v>0</v>
      </c>
      <c r="BE136" s="397">
        <f t="shared" si="1030"/>
        <v>0</v>
      </c>
      <c r="BF136" s="394">
        <f t="shared" si="1031"/>
        <v>0</v>
      </c>
      <c r="BG136" s="395">
        <f t="shared" si="1032"/>
        <v>400</v>
      </c>
      <c r="BH136" s="395">
        <f t="shared" si="1033"/>
        <v>0</v>
      </c>
      <c r="BI136" s="396">
        <f t="shared" si="1034"/>
        <v>0</v>
      </c>
      <c r="BJ136" s="397">
        <f t="shared" si="1035"/>
        <v>400</v>
      </c>
      <c r="BK136" s="394">
        <f t="shared" si="1036"/>
        <v>0</v>
      </c>
      <c r="BL136" s="395">
        <f t="shared" si="1037"/>
        <v>0</v>
      </c>
      <c r="BM136" s="395">
        <f t="shared" si="1038"/>
        <v>0</v>
      </c>
      <c r="BN136" s="396">
        <f t="shared" si="1039"/>
        <v>0</v>
      </c>
      <c r="BO136" s="397">
        <f t="shared" si="1040"/>
        <v>0</v>
      </c>
      <c r="BP136" s="445"/>
      <c r="BQ136" s="399">
        <f t="shared" si="1041"/>
        <v>0</v>
      </c>
      <c r="BR136" s="400">
        <f t="shared" si="1042"/>
        <v>0</v>
      </c>
      <c r="BS136" s="401">
        <f t="shared" si="1043"/>
        <v>0</v>
      </c>
      <c r="BT136" s="401">
        <f t="shared" si="1044"/>
        <v>0</v>
      </c>
      <c r="BU136" s="402">
        <f t="shared" si="1045"/>
        <v>0</v>
      </c>
      <c r="BV136" s="403">
        <f t="shared" si="1046"/>
        <v>0</v>
      </c>
      <c r="BW136" s="400">
        <f t="shared" si="1047"/>
        <v>0</v>
      </c>
      <c r="BX136" s="401">
        <f t="shared" si="1048"/>
        <v>0</v>
      </c>
      <c r="BY136" s="401">
        <f t="shared" si="1049"/>
        <v>0</v>
      </c>
      <c r="BZ136" s="402">
        <f t="shared" si="1050"/>
        <v>0</v>
      </c>
      <c r="CA136" s="403">
        <f t="shared" si="1051"/>
        <v>0</v>
      </c>
      <c r="CB136" s="400">
        <f t="shared" si="1052"/>
        <v>0</v>
      </c>
      <c r="CC136" s="401">
        <f t="shared" si="1053"/>
        <v>0</v>
      </c>
      <c r="CD136" s="401">
        <f t="shared" si="1054"/>
        <v>0</v>
      </c>
      <c r="CE136" s="402">
        <f t="shared" si="1055"/>
        <v>0</v>
      </c>
      <c r="CF136" s="403">
        <f t="shared" si="1056"/>
        <v>0</v>
      </c>
      <c r="CG136" s="400">
        <f t="shared" si="1057"/>
        <v>0</v>
      </c>
      <c r="CH136" s="401">
        <f t="shared" si="1058"/>
        <v>0</v>
      </c>
      <c r="CI136" s="401">
        <f t="shared" si="1059"/>
        <v>0</v>
      </c>
      <c r="CJ136" s="402">
        <f t="shared" si="1060"/>
        <v>0</v>
      </c>
      <c r="CK136" s="403">
        <f t="shared" si="1061"/>
        <v>0</v>
      </c>
      <c r="CL136" s="400">
        <f t="shared" si="1062"/>
        <v>0</v>
      </c>
      <c r="CM136" s="401">
        <f t="shared" si="1063"/>
        <v>0</v>
      </c>
      <c r="CN136" s="401">
        <f t="shared" si="1064"/>
        <v>0</v>
      </c>
      <c r="CO136" s="402">
        <f t="shared" si="1065"/>
        <v>0</v>
      </c>
      <c r="CP136" s="403">
        <f t="shared" si="1066"/>
        <v>0</v>
      </c>
      <c r="CQ136" s="400">
        <f t="shared" si="1067"/>
        <v>0</v>
      </c>
      <c r="CR136" s="401">
        <f t="shared" si="1068"/>
        <v>0</v>
      </c>
      <c r="CS136" s="401">
        <f t="shared" si="1069"/>
        <v>0</v>
      </c>
      <c r="CT136" s="402">
        <f t="shared" si="1070"/>
        <v>0</v>
      </c>
      <c r="CU136" s="403">
        <f t="shared" si="1071"/>
        <v>0</v>
      </c>
      <c r="CV136" s="400">
        <f t="shared" si="1072"/>
        <v>0</v>
      </c>
      <c r="CW136" s="401">
        <f t="shared" si="1073"/>
        <v>0</v>
      </c>
      <c r="CX136" s="401">
        <f t="shared" si="1074"/>
        <v>0</v>
      </c>
      <c r="CY136" s="402">
        <f t="shared" si="1075"/>
        <v>0</v>
      </c>
      <c r="CZ136" s="403">
        <f t="shared" si="1076"/>
        <v>0</v>
      </c>
      <c r="DA136" s="400">
        <f t="shared" si="1077"/>
        <v>0</v>
      </c>
      <c r="DB136" s="401">
        <f t="shared" si="1078"/>
        <v>0</v>
      </c>
      <c r="DC136" s="401">
        <f t="shared" si="1079"/>
        <v>0</v>
      </c>
      <c r="DD136" s="402">
        <f t="shared" si="1080"/>
        <v>0</v>
      </c>
      <c r="DE136" s="403">
        <f t="shared" si="1081"/>
        <v>0</v>
      </c>
      <c r="DF136" s="400">
        <f t="shared" si="1082"/>
        <v>0</v>
      </c>
      <c r="DG136" s="401">
        <f t="shared" si="1083"/>
        <v>0</v>
      </c>
      <c r="DH136" s="401">
        <f t="shared" si="1084"/>
        <v>0</v>
      </c>
      <c r="DI136" s="402">
        <f t="shared" si="1085"/>
        <v>0</v>
      </c>
      <c r="DJ136" s="403">
        <f t="shared" si="1086"/>
        <v>0</v>
      </c>
      <c r="DK136" s="400">
        <f t="shared" si="1087"/>
        <v>0</v>
      </c>
      <c r="DL136" s="401">
        <f t="shared" si="1088"/>
        <v>4.5</v>
      </c>
      <c r="DM136" s="401">
        <f t="shared" si="1089"/>
        <v>4.5</v>
      </c>
      <c r="DN136" s="402">
        <f t="shared" si="1090"/>
        <v>4.5</v>
      </c>
      <c r="DO136" s="403">
        <f t="shared" si="1091"/>
        <v>13.5</v>
      </c>
      <c r="DP136" s="400">
        <f t="shared" si="1092"/>
        <v>4.5</v>
      </c>
      <c r="DQ136" s="401">
        <f t="shared" si="1093"/>
        <v>0</v>
      </c>
      <c r="DR136" s="401">
        <f t="shared" si="1094"/>
        <v>0</v>
      </c>
      <c r="DS136" s="402">
        <f t="shared" si="1095"/>
        <v>0</v>
      </c>
      <c r="DT136" s="403">
        <f t="shared" si="1096"/>
        <v>4.5</v>
      </c>
    </row>
    <row r="137" spans="1:124" ht="12.75" customHeight="1" x14ac:dyDescent="0.2">
      <c r="C137" s="996" t="s">
        <v>674</v>
      </c>
      <c r="D137" s="52"/>
      <c r="E137" s="530">
        <f>+PSCO!BQ185</f>
        <v>400</v>
      </c>
      <c r="F137" s="537"/>
      <c r="G137" s="537"/>
      <c r="H137" s="468">
        <v>2021</v>
      </c>
      <c r="I137" s="469">
        <v>4.4999999999999998E-2</v>
      </c>
      <c r="J137" s="470">
        <v>4</v>
      </c>
      <c r="K137" s="392"/>
      <c r="L137" s="393">
        <f t="shared" si="985"/>
        <v>0</v>
      </c>
      <c r="M137" s="394">
        <f t="shared" ref="M137" si="1097">IF(Q137=0,0,IF(Q137&gt;0,IF($J137=3,Q137,IF($J137=2,Q137,IF($J137=1,Q137,0)))))</f>
        <v>0</v>
      </c>
      <c r="N137" s="395">
        <f t="shared" ref="N137" si="1098">IF(Q137=0,0,IF(Q137&gt;0,IF($J137=6,Q137,IF($J137=5,Q137,IF($J137=4,Q137,0)))))</f>
        <v>0</v>
      </c>
      <c r="O137" s="395">
        <f t="shared" ref="O137" si="1099">IF(Q137=0,0,IF(Q137&gt;0,IF($J137=9,Q137,IF($J137=8,Q137,IF($J137=7,Q137,0)))))</f>
        <v>0</v>
      </c>
      <c r="P137" s="396">
        <f t="shared" ref="P137" si="1100">IF(Q137=0,0,IF(Q137&gt;0,IF($J137=12,Q137,IF($J137=11,Q137,IF($J137=10,Q137,0)))))</f>
        <v>0</v>
      </c>
      <c r="Q137" s="397">
        <f t="shared" si="990"/>
        <v>0</v>
      </c>
      <c r="R137" s="394">
        <f t="shared" ref="R137" si="1101">IF(V137=0,0,IF(V137&gt;0,IF($J137=3,V137,IF($J137=2,V137,IF($J137=1,V137,0)))))</f>
        <v>0</v>
      </c>
      <c r="S137" s="395">
        <f t="shared" ref="S137" si="1102">IF(V137=0,0,IF(V137&gt;0,IF($J137=6,V137,IF($J137=5,V137,IF($J137=4,V137,0)))))</f>
        <v>0</v>
      </c>
      <c r="T137" s="395">
        <f t="shared" ref="T137" si="1103">IF(V137=0,0,IF(V137&gt;0,IF($J137=9,V137,IF($J137=8,V137,IF($J137=7,V137,0)))))</f>
        <v>0</v>
      </c>
      <c r="U137" s="396">
        <f t="shared" ref="U137" si="1104">IF(V137=0,0,IF(V137&gt;0,IF($J137=12,V137,IF($J137=11,V137,IF($J137=10,V137,0)))))</f>
        <v>0</v>
      </c>
      <c r="V137" s="397">
        <f t="shared" si="995"/>
        <v>0</v>
      </c>
      <c r="W137" s="394">
        <f t="shared" ref="W137" si="1105">IF(AA137=0,0,IF(AA137&gt;0,IF($J137=3,AA137,IF($J137=2,AA137,IF($J137=1,AA137,0)))))</f>
        <v>0</v>
      </c>
      <c r="X137" s="395">
        <f t="shared" ref="X137" si="1106">IF(AA137=0,0,IF(AA137&gt;0,IF($J137=6,AA137,IF($J137=5,AA137,IF($J137=4,AA137,0)))))</f>
        <v>0</v>
      </c>
      <c r="Y137" s="395">
        <f t="shared" ref="Y137" si="1107">IF(AA137=0,0,IF(AA137&gt;0,IF($J137=9,AA137,IF($J137=8,AA137,IF($J137=7,AA137,0)))))</f>
        <v>0</v>
      </c>
      <c r="Z137" s="396">
        <f t="shared" ref="Z137" si="1108">IF(AA137=0,0,IF(AA137&gt;0,IF($J137=12,AA137,IF($J137=11,AA137,IF($J137=10,AA137,0)))))</f>
        <v>0</v>
      </c>
      <c r="AA137" s="397">
        <f t="shared" si="1000"/>
        <v>0</v>
      </c>
      <c r="AB137" s="394">
        <f t="shared" ref="AB137" si="1109">IF(AF137=0,0,IF(AF137&gt;0,IF($J137=3,AF137,IF($J137=2,AF137,IF($J137=1,AF137,0)))))</f>
        <v>0</v>
      </c>
      <c r="AC137" s="395">
        <f t="shared" ref="AC137" si="1110">IF(AF137=0,0,IF(AF137&gt;0,IF($J137=6,AF137,IF($J137=5,AF137,IF($J137=4,AF137,0)))))</f>
        <v>0</v>
      </c>
      <c r="AD137" s="395">
        <f t="shared" ref="AD137" si="1111">IF(AF137=0,0,IF(AF137&gt;0,IF($J137=9,AF137,IF($J137=8,AF137,IF($J137=7,AF137,0)))))</f>
        <v>0</v>
      </c>
      <c r="AE137" s="396">
        <f t="shared" ref="AE137" si="1112">IF(AF137=0,0,IF(AF137&gt;0,IF($J137=12,AF137,IF($J137=11,AF137,IF($J137=10,AF137,0)))))</f>
        <v>0</v>
      </c>
      <c r="AF137" s="397">
        <f t="shared" si="1005"/>
        <v>0</v>
      </c>
      <c r="AG137" s="394">
        <f t="shared" ref="AG137" si="1113">IF(AK137=0,0,IF(AK137&gt;0,IF($J137=3,AK137,IF($J137=2,AK137,IF($J137=1,AK137,0)))))</f>
        <v>0</v>
      </c>
      <c r="AH137" s="395">
        <f t="shared" ref="AH137" si="1114">IF(AK137=0,0,IF(AK137&gt;0,IF($J137=6,AK137,IF($J137=5,AK137,IF($J137=4,AK137,0)))))</f>
        <v>0</v>
      </c>
      <c r="AI137" s="395">
        <f t="shared" ref="AI137" si="1115">IF(AK137=0,0,IF(AK137&gt;0,IF($J137=9,AK137,IF($J137=8,AK137,IF($J137=7,AK137,0)))))</f>
        <v>0</v>
      </c>
      <c r="AJ137" s="396">
        <f t="shared" ref="AJ137" si="1116">IF(AK137=0,0,IF(AK137&gt;0,IF($J137=12,AK137,IF($J137=11,AK137,IF($J137=10,AK137,0)))))</f>
        <v>0</v>
      </c>
      <c r="AK137" s="397">
        <f t="shared" si="1010"/>
        <v>0</v>
      </c>
      <c r="AL137" s="394">
        <f t="shared" ref="AL137" si="1117">IF(AP137=0,0,IF(AP137&gt;0,IF($J137=3,AP137,IF($J137=2,AP137,IF($J137=1,AP137,0)))))</f>
        <v>0</v>
      </c>
      <c r="AM137" s="395">
        <f t="shared" ref="AM137" si="1118">IF(AP137=0,0,IF(AP137&gt;0,IF($J137=6,AP137,IF($J137=5,AP137,IF($J137=4,AP137,0)))))</f>
        <v>0</v>
      </c>
      <c r="AN137" s="395">
        <f t="shared" ref="AN137" si="1119">IF(AP137=0,0,IF(AP137&gt;0,IF($J137=9,AP137,IF($J137=8,AP137,IF($J137=7,AP137,0)))))</f>
        <v>0</v>
      </c>
      <c r="AO137" s="396">
        <f t="shared" ref="AO137" si="1120">IF(AP137=0,0,IF(AP137&gt;0,IF($J137=12,AP137,IF($J137=11,AP137,IF($J137=10,AP137,0)))))</f>
        <v>0</v>
      </c>
      <c r="AP137" s="397">
        <f t="shared" si="1015"/>
        <v>0</v>
      </c>
      <c r="AQ137" s="394">
        <f t="shared" ref="AQ137" si="1121">IF(AU137=0,0,IF(AU137&gt;0,IF($J137=3,AU137,IF($J137=2,AU137,IF($J137=1,AU137,0)))))</f>
        <v>0</v>
      </c>
      <c r="AR137" s="395">
        <f t="shared" ref="AR137" si="1122">IF(AU137=0,0,IF(AU137&gt;0,IF($J137=6,AU137,IF($J137=5,AU137,IF($J137=4,AU137,0)))))</f>
        <v>0</v>
      </c>
      <c r="AS137" s="395">
        <f t="shared" ref="AS137" si="1123">IF(AU137=0,0,IF(AU137&gt;0,IF($J137=9,AU137,IF($J137=8,AU137,IF($J137=7,AU137,0)))))</f>
        <v>0</v>
      </c>
      <c r="AT137" s="396">
        <f t="shared" ref="AT137" si="1124">IF(AU137=0,0,IF(AU137&gt;0,IF($J137=12,AU137,IF($J137=11,AU137,IF($J137=10,AU137,0)))))</f>
        <v>0</v>
      </c>
      <c r="AU137" s="397">
        <f t="shared" si="1020"/>
        <v>0</v>
      </c>
      <c r="AV137" s="394">
        <f t="shared" ref="AV137" si="1125">IF(AZ137=0,0,IF(AZ137&gt;0,IF($J137=3,AZ137,IF($J137=2,AZ137,IF($J137=1,AZ137,0)))))</f>
        <v>0</v>
      </c>
      <c r="AW137" s="395">
        <f t="shared" ref="AW137" si="1126">IF(AZ137=0,0,IF(AZ137&gt;0,IF($J137=6,AZ137,IF($J137=5,AZ137,IF($J137=4,AZ137,0)))))</f>
        <v>0</v>
      </c>
      <c r="AX137" s="395">
        <f t="shared" ref="AX137" si="1127">IF(AZ137=0,0,IF(AZ137&gt;0,IF($J137=9,AZ137,IF($J137=8,AZ137,IF($J137=7,AZ137,0)))))</f>
        <v>0</v>
      </c>
      <c r="AY137" s="396">
        <f t="shared" ref="AY137" si="1128">IF(AZ137=0,0,IF(AZ137&gt;0,IF($J137=12,AZ137,IF($J137=11,AZ137,IF($J137=10,AZ137,0)))))</f>
        <v>0</v>
      </c>
      <c r="AZ137" s="397">
        <f t="shared" si="1025"/>
        <v>0</v>
      </c>
      <c r="BA137" s="394">
        <f t="shared" ref="BA137" si="1129">IF(BE137=0,0,IF(BE137&gt;0,IF($J137=3,BE137,IF($J137=2,BE137,IF($J137=1,BE137,0)))))</f>
        <v>0</v>
      </c>
      <c r="BB137" s="395">
        <f t="shared" ref="BB137" si="1130">IF(BE137=0,0,IF(BE137&gt;0,IF($J137=6,BE137,IF($J137=5,BE137,IF($J137=4,BE137,0)))))</f>
        <v>0</v>
      </c>
      <c r="BC137" s="395">
        <f t="shared" ref="BC137" si="1131">IF(BE137=0,0,IF(BE137&gt;0,IF($J137=9,BE137,IF($J137=8,BE137,IF($J137=7,BE137,0)))))</f>
        <v>0</v>
      </c>
      <c r="BD137" s="396">
        <f t="shared" ref="BD137" si="1132">IF(BE137=0,0,IF(BE137&gt;0,IF($J137=12,BE137,IF($J137=11,BE137,IF($J137=10,BE137,0)))))</f>
        <v>0</v>
      </c>
      <c r="BE137" s="397">
        <f t="shared" si="1030"/>
        <v>0</v>
      </c>
      <c r="BF137" s="394">
        <f t="shared" ref="BF137" si="1133">IF(BJ137=0,0,IF(BJ137&gt;0,IF($J137=3,BJ137,IF($J137=2,BJ137,IF($J137=1,BJ137,0)))))</f>
        <v>0</v>
      </c>
      <c r="BG137" s="395">
        <f t="shared" ref="BG137" si="1134">IF(BJ137=0,0,IF(BJ137&gt;0,IF($J137=6,BJ137,IF($J137=5,BJ137,IF($J137=4,BJ137,0)))))</f>
        <v>0</v>
      </c>
      <c r="BH137" s="395">
        <f t="shared" ref="BH137" si="1135">IF(BJ137=0,0,IF(BJ137&gt;0,IF($J137=9,BJ137,IF($J137=8,BJ137,IF($J137=7,BJ137,0)))))</f>
        <v>0</v>
      </c>
      <c r="BI137" s="396">
        <f t="shared" ref="BI137" si="1136">IF(BJ137=0,0,IF(BJ137&gt;0,IF($J137=12,BJ137,IF($J137=11,BJ137,IF($J137=10,BJ137,0)))))</f>
        <v>0</v>
      </c>
      <c r="BJ137" s="397">
        <f t="shared" si="1035"/>
        <v>0</v>
      </c>
      <c r="BK137" s="394">
        <f t="shared" ref="BK137" si="1137">IF(BO137=0,0,IF(BO137&gt;0,IF($J137=3,BO137,IF($J137=2,BO137,IF($J137=1,BO137,0)))))</f>
        <v>0</v>
      </c>
      <c r="BL137" s="395">
        <f t="shared" ref="BL137" si="1138">IF(BO137=0,0,IF(BO137&gt;0,IF($J137=6,BO137,IF($J137=5,BO137,IF($J137=4,BO137,0)))))</f>
        <v>400</v>
      </c>
      <c r="BM137" s="395">
        <f t="shared" ref="BM137" si="1139">IF(BO137=0,0,IF(BO137&gt;0,IF($J137=9,BO137,IF($J137=8,BO137,IF($J137=7,BO137,0)))))</f>
        <v>0</v>
      </c>
      <c r="BN137" s="396">
        <f t="shared" ref="BN137" si="1140">IF(BO137=0,0,IF(BO137&gt;0,IF($J137=12,BO137,IF($J137=11,BO137,IF($J137=10,BO137,0)))))</f>
        <v>0</v>
      </c>
      <c r="BO137" s="397">
        <f t="shared" si="1040"/>
        <v>400</v>
      </c>
      <c r="BP137" s="445"/>
      <c r="BQ137" s="399">
        <f t="shared" ref="BQ137" si="1141">IF(AND(BP137&lt;&gt;0,BP$5=$H137),$I137*$E137-BP137,IF(BQ$5=$H137,$I137*$E137*(12-$J137+1)/12,0))</f>
        <v>0</v>
      </c>
      <c r="BR137" s="400">
        <f t="shared" ref="BR137" si="1142">IF($H137&lt;&gt;BV$5,0,IF(BV137&gt;0,IF($J137=1,$E137*$I137/12*3,IF($J137=2,$E137*$I137/12*2,IF($J137=3,$E137*$I137/12*1,0)))))+IF(BQ$5&lt;&gt;$H137,0,IF(BQ137&gt;0,IF($J137=1,$E137*$I137/12*0,IF($J137=2,$E137*$I137/12*1,IF($J137=3,$E137*$I137/12*2,IF($J137&gt;=4,$E137*$I137/12*3,0))))))</f>
        <v>0</v>
      </c>
      <c r="BS137" s="401">
        <f t="shared" ref="BS137" si="1143">IF($H137&lt;&gt;BV$5,0,IF(BV137&gt;0,IF(OR($J137=1,$J137=2,$J137=3,$J137=4),$E137*$I137/12*3,IF($J137=5,$E137*$I137/12*2,IF($J137=6,$E137*$I137/12*1,0)))))+IF(BQ$5&lt;&gt;$H137,0,IF(BQ137&gt;0,IF($J137=4,$E137*$I137/12*0,IF($J137=5,$E137*$I137/12*1,IF($J137=6,$E137*$I137/12*2,IF($J137&gt;=7,$E137*$I137/12*3,0))))))</f>
        <v>0</v>
      </c>
      <c r="BT137" s="401">
        <f t="shared" ref="BT137" si="1144">IF($H137&lt;&gt;BV$5,0,IF(BV137&gt;0,IF(OR($J137=1,$J137=2,$J137=3,$J137=4,$J137=5,$J137=6,$J137=7),$E137*$I137/12*3,IF($J137=8,$E137*$I137/12*2,IF($J137=9,$E137*$I137/12*1,0)))))+IF(BQ$5&lt;&gt;$H137,0,IF(BQ137&gt;0,IF($J137=7,$E137*$I137/12*0,IF($J137=8,$E137*$I137/12*1,IF($J137=9,$E137*$I137/12*2,IF($J137&gt;=10,$E137*$I137/12*3,0))))))</f>
        <v>0</v>
      </c>
      <c r="BU137" s="402">
        <f t="shared" ref="BU137" si="1145">IF($H137&lt;&gt;BV$5,0,IF(BV137&gt;0,IF(OR($J137=1,$J137=2,$J137=3,$J137=4,$J137=5,$J137=6,$J137=7,$J137=8,$J137=9,$J137=10),$E137*$I137/12*3,IF($J137=11,$E137*$I137/12*2,IF($J137=12,$E137*$I137/12*1,0)))))+IF(BQ$5&lt;&gt;$H137,0,IF(BQ137&gt;0,IF($J137=10,$E137*$I137/12*0,IF($J137=11,$E137*$I137/12*1,IF($J137=12,$E137*$I137/12*2,0)))))</f>
        <v>0</v>
      </c>
      <c r="BV137" s="403">
        <f t="shared" ref="BV137" si="1146">IF(AND(BQ137&lt;&gt;0,BQ$5=$H137),$I137*$E137-BQ137,IF(BV$5=$H137,$I137*$E137*(12-$J137+1)/12,0))</f>
        <v>0</v>
      </c>
      <c r="BW137" s="400">
        <f t="shared" ref="BW137" si="1147">IF($H137&lt;&gt;CA$5,0,IF(CA137&gt;0,IF($J137=1,$E137*$I137/12*3,IF($J137=2,$E137*$I137/12*2,IF($J137=3,$E137*$I137/12*1,0)))))+IF(BV$5&lt;&gt;$H137,0,IF(BV137&gt;0,IF($J137=1,$E137*$I137/12*0,IF($J137=2,$E137*$I137/12*1,IF($J137=3,$E137*$I137/12*2,IF($J137&gt;=4,$E137*$I137/12*3,0))))))</f>
        <v>0</v>
      </c>
      <c r="BX137" s="401">
        <f t="shared" ref="BX137" si="1148">IF($H137&lt;&gt;CA$5,0,IF(CA137&gt;0,IF(OR($J137=1,$J137=2,$J137=3,$J137=4),$E137*$I137/12*3,IF($J137=5,$E137*$I137/12*2,IF($J137=6,$E137*$I137/12*1,0)))))+IF(BV$5&lt;&gt;$H137,0,IF(BV137&gt;0,IF($J137=4,$E137*$I137/12*0,IF($J137=5,$E137*$I137/12*1,IF($J137=6,$E137*$I137/12*2,IF($J137&gt;=7,$E137*$I137/12*3,0))))))</f>
        <v>0</v>
      </c>
      <c r="BY137" s="401">
        <f t="shared" ref="BY137" si="1149">IF($H137&lt;&gt;CA$5,0,IF(CA137&gt;0,IF(OR($J137=1,$J137=2,$J137=3,$J137=4,$J137=5,$J137=6,$J137=7),$E137*$I137/12*3,IF($J137=8,$E137*$I137/12*2,IF($J137=9,$E137*$I137/12*1,0)))))+IF(BV$5&lt;&gt;$H137,0,IF(BV137&gt;0,IF($J137=7,$E137*$I137/12*0,IF($J137=8,$E137*$I137/12*1,IF($J137=9,$E137*$I137/12*2,IF($J137&gt;=10,$E137*$I137/12*3,0))))))</f>
        <v>0</v>
      </c>
      <c r="BZ137" s="402">
        <f t="shared" ref="BZ137" si="1150">IF($H137&lt;&gt;CA$5,0,IF(CA137&gt;0,IF(OR($J137=1,$J137=2,$J137=3,$J137=4,$J137=5,$J137=6,$J137=7,$J137=8,$J137=9,$J137=10),$E137*$I137/12*3,IF($J137=11,$E137*$I137/12*2,IF($J137=12,$E137*$I137/12*1,0)))))+IF(BV$5&lt;&gt;$H137,0,IF(BV137&gt;0,IF($J137=10,$E137*$I137/12*0,IF($J137=11,$E137*$I137/12*1,IF($J137=12,$E137*$I137/12*2,0)))))</f>
        <v>0</v>
      </c>
      <c r="CA137" s="403">
        <f t="shared" ref="CA137" si="1151">IF(AND(BV137&lt;&gt;0,BV$5=$H137),$I137*$E137-BV137,IF(CA$5=$H137,$I137*$E137*(12-$J137+1)/12,0))</f>
        <v>0</v>
      </c>
      <c r="CB137" s="400">
        <f t="shared" ref="CB137" si="1152">IF($H137&lt;&gt;CF$5,0,IF(CF137&gt;0,IF($J137=1,$E137*$I137/12*3,IF($J137=2,$E137*$I137/12*2,IF($J137=3,$E137*$I137/12*1,0)))))+IF(CA$5&lt;&gt;$H137,0,IF(CA137&gt;0,IF($J137=1,$E137*$I137/12*0,IF($J137=2,$E137*$I137/12*1,IF($J137=3,$E137*$I137/12*2,IF($J137&gt;=4,$E137*$I137/12*3,0))))))</f>
        <v>0</v>
      </c>
      <c r="CC137" s="401">
        <f t="shared" ref="CC137" si="1153">IF($H137&lt;&gt;CF$5,0,IF(CF137&gt;0,IF(OR($J137=1,$J137=2,$J137=3,$J137=4),$E137*$I137/12*3,IF($J137=5,$E137*$I137/12*2,IF($J137=6,$E137*$I137/12*1,0)))))+IF(CA$5&lt;&gt;$H137,0,IF(CA137&gt;0,IF($J137=4,$E137*$I137/12*0,IF($J137=5,$E137*$I137/12*1,IF($J137=6,$E137*$I137/12*2,IF($J137&gt;=7,$E137*$I137/12*3,0))))))</f>
        <v>0</v>
      </c>
      <c r="CD137" s="401">
        <f t="shared" ref="CD137" si="1154">IF($H137&lt;&gt;CF$5,0,IF(CF137&gt;0,IF(OR($J137=1,$J137=2,$J137=3,$J137=4,$J137=5,$J137=6,$J137=7),$E137*$I137/12*3,IF($J137=8,$E137*$I137/12*2,IF($J137=9,$E137*$I137/12*1,0)))))+IF(CA$5&lt;&gt;$H137,0,IF(CA137&gt;0,IF($J137=7,$E137*$I137/12*0,IF($J137=8,$E137*$I137/12*1,IF($J137=9,$E137*$I137/12*2,IF($J137&gt;=10,$E137*$I137/12*3,0))))))</f>
        <v>0</v>
      </c>
      <c r="CE137" s="402">
        <f t="shared" ref="CE137" si="1155">IF($H137&lt;&gt;CF$5,0,IF(CF137&gt;0,IF(OR($J137=1,$J137=2,$J137=3,$J137=4,$J137=5,$J137=6,$J137=7,$J137=8,$J137=9,$J137=10),$E137*$I137/12*3,IF($J137=11,$E137*$I137/12*2,IF($J137=12,$E137*$I137/12*1,0)))))+IF(CA$5&lt;&gt;$H137,0,IF(CA137&gt;0,IF($J137=10,$E137*$I137/12*0,IF($J137=11,$E137*$I137/12*1,IF($J137=12,$E137*$I137/12*2,0)))))</f>
        <v>0</v>
      </c>
      <c r="CF137" s="403">
        <f t="shared" ref="CF137" si="1156">IF(AND(CA137&lt;&gt;0,CA$5=$H137),$I137*$E137-CA137,IF(CF$5=$H137,$I137*$E137*(12-$J137+1)/12,0))</f>
        <v>0</v>
      </c>
      <c r="CG137" s="400">
        <f t="shared" ref="CG137" si="1157">IF($H137&lt;&gt;CK$5,0,IF(CK137&gt;0,IF($J137=1,$E137*$I137/12*3,IF($J137=2,$E137*$I137/12*2,IF($J137=3,$E137*$I137/12*1,0)))))+IF(CF$5&lt;&gt;$H137,0,IF(CF137&gt;0,IF($J137=1,$E137*$I137/12*0,IF($J137=2,$E137*$I137/12*1,IF($J137=3,$E137*$I137/12*2,IF($J137&gt;=4,$E137*$I137/12*3,0))))))</f>
        <v>0</v>
      </c>
      <c r="CH137" s="401">
        <f t="shared" ref="CH137" si="1158">IF($H137&lt;&gt;CK$5,0,IF(CK137&gt;0,IF(OR($J137=1,$J137=2,$J137=3,$J137=4),$E137*$I137/12*3,IF($J137=5,$E137*$I137/12*2,IF($J137=6,$E137*$I137/12*1,0)))))+IF(CF$5&lt;&gt;$H137,0,IF(CF137&gt;0,IF($J137=4,$E137*$I137/12*0,IF($J137=5,$E137*$I137/12*1,IF($J137=6,$E137*$I137/12*2,IF($J137&gt;=7,$E137*$I137/12*3,0))))))</f>
        <v>0</v>
      </c>
      <c r="CI137" s="401">
        <f t="shared" ref="CI137" si="1159">IF($H137&lt;&gt;CK$5,0,IF(CK137&gt;0,IF(OR($J137=1,$J137=2,$J137=3,$J137=4,$J137=5,$J137=6,$J137=7),$E137*$I137/12*3,IF($J137=8,$E137*$I137/12*2,IF($J137=9,$E137*$I137/12*1,0)))))+IF(CF$5&lt;&gt;$H137,0,IF(CF137&gt;0,IF($J137=7,$E137*$I137/12*0,IF($J137=8,$E137*$I137/12*1,IF($J137=9,$E137*$I137/12*2,IF($J137&gt;=10,$E137*$I137/12*3,0))))))</f>
        <v>0</v>
      </c>
      <c r="CJ137" s="402">
        <f t="shared" ref="CJ137" si="1160">IF($H137&lt;&gt;CK$5,0,IF(CK137&gt;0,IF(OR($J137=1,$J137=2,$J137=3,$J137=4,$J137=5,$J137=6,$J137=7,$J137=8,$J137=9,$J137=10),$E137*$I137/12*3,IF($J137=11,$E137*$I137/12*2,IF($J137=12,$E137*$I137/12*1,0)))))+IF(CF$5&lt;&gt;$H137,0,IF(CF137&gt;0,IF($J137=10,$E137*$I137/12*0,IF($J137=11,$E137*$I137/12*1,IF($J137=12,$E137*$I137/12*2,0)))))</f>
        <v>0</v>
      </c>
      <c r="CK137" s="403">
        <f t="shared" ref="CK137" si="1161">IF(AND(CF137&lt;&gt;0,CF$5=$H137),$I137*$E137-CF137,IF(CK$5=$H137,$I137*$E137*(12-$J137+1)/12,0))</f>
        <v>0</v>
      </c>
      <c r="CL137" s="400">
        <f t="shared" ref="CL137" si="1162">IF($H137&lt;&gt;CP$5,0,IF(CP137&gt;0,IF($J137=1,$E137*$I137/12*3,IF($J137=2,$E137*$I137/12*2,IF($J137=3,$E137*$I137/12*1,0)))))+IF(CK$5&lt;&gt;$H137,0,IF(CK137&gt;0,IF($J137=1,$E137*$I137/12*0,IF($J137=2,$E137*$I137/12*1,IF($J137=3,$E137*$I137/12*2,IF($J137&gt;=4,$E137*$I137/12*3,0))))))</f>
        <v>0</v>
      </c>
      <c r="CM137" s="401">
        <f t="shared" ref="CM137" si="1163">IF($H137&lt;&gt;CP$5,0,IF(CP137&gt;0,IF(OR($J137=1,$J137=2,$J137=3,$J137=4),$E137*$I137/12*3,IF($J137=5,$E137*$I137/12*2,IF($J137=6,$E137*$I137/12*1,0)))))+IF(CK$5&lt;&gt;$H137,0,IF(CK137&gt;0,IF($J137=4,$E137*$I137/12*0,IF($J137=5,$E137*$I137/12*1,IF($J137=6,$E137*$I137/12*2,IF($J137&gt;=7,$E137*$I137/12*3,0))))))</f>
        <v>0</v>
      </c>
      <c r="CN137" s="401">
        <f t="shared" ref="CN137" si="1164">IF($H137&lt;&gt;CP$5,0,IF(CP137&gt;0,IF(OR($J137=1,$J137=2,$J137=3,$J137=4,$J137=5,$J137=6,$J137=7),$E137*$I137/12*3,IF($J137=8,$E137*$I137/12*2,IF($J137=9,$E137*$I137/12*1,0)))))+IF(CK$5&lt;&gt;$H137,0,IF(CK137&gt;0,IF($J137=7,$E137*$I137/12*0,IF($J137=8,$E137*$I137/12*1,IF($J137=9,$E137*$I137/12*2,IF($J137&gt;=10,$E137*$I137/12*3,0))))))</f>
        <v>0</v>
      </c>
      <c r="CO137" s="402">
        <f t="shared" ref="CO137" si="1165">IF($H137&lt;&gt;CP$5,0,IF(CP137&gt;0,IF(OR($J137=1,$J137=2,$J137=3,$J137=4,$J137=5,$J137=6,$J137=7,$J137=8,$J137=9,$J137=10),$E137*$I137/12*3,IF($J137=11,$E137*$I137/12*2,IF($J137=12,$E137*$I137/12*1,0)))))+IF(CK$5&lt;&gt;$H137,0,IF(CK137&gt;0,IF($J137=10,$E137*$I137/12*0,IF($J137=11,$E137*$I137/12*1,IF($J137=12,$E137*$I137/12*2,0)))))</f>
        <v>0</v>
      </c>
      <c r="CP137" s="403">
        <f t="shared" ref="CP137" si="1166">IF(AND(CK137&lt;&gt;0,CK$5=$H137),$I137*$E137-CK137,IF(CP$5=$H137,$I137*$E137*(12-$J137+1)/12,0))</f>
        <v>0</v>
      </c>
      <c r="CQ137" s="400">
        <f t="shared" ref="CQ137" si="1167">IF($H137&lt;&gt;CU$5,0,IF(CU137&gt;0,IF($J137=1,$E137*$I137/12*3,IF($J137=2,$E137*$I137/12*2,IF($J137=3,$E137*$I137/12*1,0)))))+IF(CP$5&lt;&gt;$H137,0,IF(CP137&gt;0,IF($J137=1,$E137*$I137/12*0,IF($J137=2,$E137*$I137/12*1,IF($J137=3,$E137*$I137/12*2,IF($J137&gt;=4,$E137*$I137/12*3,0))))))</f>
        <v>0</v>
      </c>
      <c r="CR137" s="401">
        <f t="shared" ref="CR137" si="1168">IF($H137&lt;&gt;CU$5,0,IF(CU137&gt;0,IF(OR($J137=1,$J137=2,$J137=3,$J137=4),$E137*$I137/12*3,IF($J137=5,$E137*$I137/12*2,IF($J137=6,$E137*$I137/12*1,0)))))+IF(CP$5&lt;&gt;$H137,0,IF(CP137&gt;0,IF($J137=4,$E137*$I137/12*0,IF($J137=5,$E137*$I137/12*1,IF($J137=6,$E137*$I137/12*2,IF($J137&gt;=7,$E137*$I137/12*3,0))))))</f>
        <v>0</v>
      </c>
      <c r="CS137" s="401">
        <f t="shared" ref="CS137" si="1169">IF($H137&lt;&gt;CU$5,0,IF(CU137&gt;0,IF(OR($J137=1,$J137=2,$J137=3,$J137=4,$J137=5,$J137=6,$J137=7),$E137*$I137/12*3,IF($J137=8,$E137*$I137/12*2,IF($J137=9,$E137*$I137/12*1,0)))))+IF(CP$5&lt;&gt;$H137,0,IF(CP137&gt;0,IF($J137=7,$E137*$I137/12*0,IF($J137=8,$E137*$I137/12*1,IF($J137=9,$E137*$I137/12*2,IF($J137&gt;=10,$E137*$I137/12*3,0))))))</f>
        <v>0</v>
      </c>
      <c r="CT137" s="402">
        <f t="shared" ref="CT137" si="1170">IF($H137&lt;&gt;CU$5,0,IF(CU137&gt;0,IF(OR($J137=1,$J137=2,$J137=3,$J137=4,$J137=5,$J137=6,$J137=7,$J137=8,$J137=9,$J137=10),$E137*$I137/12*3,IF($J137=11,$E137*$I137/12*2,IF($J137=12,$E137*$I137/12*1,0)))))+IF(CP$5&lt;&gt;$H137,0,IF(CP137&gt;0,IF($J137=10,$E137*$I137/12*0,IF($J137=11,$E137*$I137/12*1,IF($J137=12,$E137*$I137/12*2,0)))))</f>
        <v>0</v>
      </c>
      <c r="CU137" s="403">
        <f t="shared" ref="CU137" si="1171">IF(AND(CP137&lt;&gt;0,CP$5=$H137),$I137*$E137-CP137,IF(CU$5=$H137,$I137*$E137*(12-$J137+1)/12,0))</f>
        <v>0</v>
      </c>
      <c r="CV137" s="400">
        <f t="shared" ref="CV137" si="1172">IF($H137&lt;&gt;CZ$5,0,IF(CZ137&gt;0,IF($J137=1,$E137*$I137/12*3,IF($J137=2,$E137*$I137/12*2,IF($J137=3,$E137*$I137/12*1,0)))))+IF(CU$5&lt;&gt;$H137,0,IF(CU137&gt;0,IF($J137=1,$E137*$I137/12*0,IF($J137=2,$E137*$I137/12*1,IF($J137=3,$E137*$I137/12*2,IF($J137&gt;=4,$E137*$I137/12*3,0))))))</f>
        <v>0</v>
      </c>
      <c r="CW137" s="401">
        <f t="shared" ref="CW137" si="1173">IF($H137&lt;&gt;CZ$5,0,IF(CZ137&gt;0,IF(OR($J137=1,$J137=2,$J137=3,$J137=4),$E137*$I137/12*3,IF($J137=5,$E137*$I137/12*2,IF($J137=6,$E137*$I137/12*1,0)))))+IF(CU$5&lt;&gt;$H137,0,IF(CU137&gt;0,IF($J137=4,$E137*$I137/12*0,IF($J137=5,$E137*$I137/12*1,IF($J137=6,$E137*$I137/12*2,IF($J137&gt;=7,$E137*$I137/12*3,0))))))</f>
        <v>0</v>
      </c>
      <c r="CX137" s="401">
        <f t="shared" ref="CX137" si="1174">IF($H137&lt;&gt;CZ$5,0,IF(CZ137&gt;0,IF(OR($J137=1,$J137=2,$J137=3,$J137=4,$J137=5,$J137=6,$J137=7),$E137*$I137/12*3,IF($J137=8,$E137*$I137/12*2,IF($J137=9,$E137*$I137/12*1,0)))))+IF(CU$5&lt;&gt;$H137,0,IF(CU137&gt;0,IF($J137=7,$E137*$I137/12*0,IF($J137=8,$E137*$I137/12*1,IF($J137=9,$E137*$I137/12*2,IF($J137&gt;=10,$E137*$I137/12*3,0))))))</f>
        <v>0</v>
      </c>
      <c r="CY137" s="402">
        <f t="shared" ref="CY137" si="1175">IF($H137&lt;&gt;CZ$5,0,IF(CZ137&gt;0,IF(OR($J137=1,$J137=2,$J137=3,$J137=4,$J137=5,$J137=6,$J137=7,$J137=8,$J137=9,$J137=10),$E137*$I137/12*3,IF($J137=11,$E137*$I137/12*2,IF($J137=12,$E137*$I137/12*1,0)))))+IF(CU$5&lt;&gt;$H137,0,IF(CU137&gt;0,IF($J137=10,$E137*$I137/12*0,IF($J137=11,$E137*$I137/12*1,IF($J137=12,$E137*$I137/12*2,0)))))</f>
        <v>0</v>
      </c>
      <c r="CZ137" s="403">
        <f t="shared" ref="CZ137" si="1176">IF(AND(CU137&lt;&gt;0,CU$5=$H137),$I137*$E137-CU137,IF(CZ$5=$H137,$I137*$E137*(12-$J137+1)/12,0))</f>
        <v>0</v>
      </c>
      <c r="DA137" s="400">
        <f t="shared" ref="DA137" si="1177">IF($H137&lt;&gt;DE$5,0,IF(DE137&gt;0,IF($J137=1,$E137*$I137/12*3,IF($J137=2,$E137*$I137/12*2,IF($J137=3,$E137*$I137/12*1,0)))))+IF(CZ$5&lt;&gt;$H137,0,IF(CZ137&gt;0,IF($J137=1,$E137*$I137/12*0,IF($J137=2,$E137*$I137/12*1,IF($J137=3,$E137*$I137/12*2,IF($J137&gt;=4,$E137*$I137/12*3,0))))))</f>
        <v>0</v>
      </c>
      <c r="DB137" s="401">
        <f t="shared" ref="DB137" si="1178">IF($H137&lt;&gt;DE$5,0,IF(DE137&gt;0,IF(OR($J137=1,$J137=2,$J137=3,$J137=4),$E137*$I137/12*3,IF($J137=5,$E137*$I137/12*2,IF($J137=6,$E137*$I137/12*1,0)))))+IF(CZ$5&lt;&gt;$H137,0,IF(CZ137&gt;0,IF($J137=4,$E137*$I137/12*0,IF($J137=5,$E137*$I137/12*1,IF($J137=6,$E137*$I137/12*2,IF($J137&gt;=7,$E137*$I137/12*3,0))))))</f>
        <v>0</v>
      </c>
      <c r="DC137" s="401">
        <f t="shared" ref="DC137" si="1179">IF($H137&lt;&gt;DE$5,0,IF(DE137&gt;0,IF(OR($J137=1,$J137=2,$J137=3,$J137=4,$J137=5,$J137=6,$J137=7),$E137*$I137/12*3,IF($J137=8,$E137*$I137/12*2,IF($J137=9,$E137*$I137/12*1,0)))))+IF(CZ$5&lt;&gt;$H137,0,IF(CZ137&gt;0,IF($J137=7,$E137*$I137/12*0,IF($J137=8,$E137*$I137/12*1,IF($J137=9,$E137*$I137/12*2,IF($J137&gt;=10,$E137*$I137/12*3,0))))))</f>
        <v>0</v>
      </c>
      <c r="DD137" s="402">
        <f t="shared" ref="DD137" si="1180">IF($H137&lt;&gt;DE$5,0,IF(DE137&gt;0,IF(OR($J137=1,$J137=2,$J137=3,$J137=4,$J137=5,$J137=6,$J137=7,$J137=8,$J137=9,$J137=10),$E137*$I137/12*3,IF($J137=11,$E137*$I137/12*2,IF($J137=12,$E137*$I137/12*1,0)))))+IF(CZ$5&lt;&gt;$H137,0,IF(CZ137&gt;0,IF($J137=10,$E137*$I137/12*0,IF($J137=11,$E137*$I137/12*1,IF($J137=12,$E137*$I137/12*2,0)))))</f>
        <v>0</v>
      </c>
      <c r="DE137" s="403">
        <f t="shared" ref="DE137" si="1181">IF(AND(CZ137&lt;&gt;0,CZ$5=$H137),$I137*$E137-CZ137,IF(DE$5=$H137,$I137*$E137*(12-$J137+1)/12,0))</f>
        <v>0</v>
      </c>
      <c r="DF137" s="400">
        <f t="shared" ref="DF137" si="1182">IF($H137&lt;&gt;DJ$5,0,IF(DJ137&gt;0,IF($J137=1,$E137*$I137/12*3,IF($J137=2,$E137*$I137/12*2,IF($J137=3,$E137*$I137/12*1,0)))))+IF(DE$5&lt;&gt;$H137,0,IF(DE137&gt;0,IF($J137=1,$E137*$I137/12*0,IF($J137=2,$E137*$I137/12*1,IF($J137=3,$E137*$I137/12*2,IF($J137&gt;=4,$E137*$I137/12*3,0))))))</f>
        <v>0</v>
      </c>
      <c r="DG137" s="401">
        <f t="shared" ref="DG137" si="1183">IF($H137&lt;&gt;DJ$5,0,IF(DJ137&gt;0,IF(OR($J137=1,$J137=2,$J137=3,$J137=4),$E137*$I137/12*3,IF($J137=5,$E137*$I137/12*2,IF($J137=6,$E137*$I137/12*1,0)))))+IF(DE$5&lt;&gt;$H137,0,IF(DE137&gt;0,IF($J137=4,$E137*$I137/12*0,IF($J137=5,$E137*$I137/12*1,IF($J137=6,$E137*$I137/12*2,IF($J137&gt;=7,$E137*$I137/12*3,0))))))</f>
        <v>0</v>
      </c>
      <c r="DH137" s="401">
        <f t="shared" ref="DH137" si="1184">IF($H137&lt;&gt;DJ$5,0,IF(DJ137&gt;0,IF(OR($J137=1,$J137=2,$J137=3,$J137=4,$J137=5,$J137=6,$J137=7),$E137*$I137/12*3,IF($J137=8,$E137*$I137/12*2,IF($J137=9,$E137*$I137/12*1,0)))))+IF(DE$5&lt;&gt;$H137,0,IF(DE137&gt;0,IF($J137=7,$E137*$I137/12*0,IF($J137=8,$E137*$I137/12*1,IF($J137=9,$E137*$I137/12*2,IF($J137&gt;=10,$E137*$I137/12*3,0))))))</f>
        <v>0</v>
      </c>
      <c r="DI137" s="402">
        <f t="shared" ref="DI137" si="1185">IF($H137&lt;&gt;DJ$5,0,IF(DJ137&gt;0,IF(OR($J137=1,$J137=2,$J137=3,$J137=4,$J137=5,$J137=6,$J137=7,$J137=8,$J137=9,$J137=10),$E137*$I137/12*3,IF($J137=11,$E137*$I137/12*2,IF($J137=12,$E137*$I137/12*1,0)))))+IF(DE$5&lt;&gt;$H137,0,IF(DE137&gt;0,IF($J137=10,$E137*$I137/12*0,IF($J137=11,$E137*$I137/12*1,IF($J137=12,$E137*$I137/12*2,0)))))</f>
        <v>0</v>
      </c>
      <c r="DJ137" s="403">
        <f t="shared" ref="DJ137" si="1186">IF(AND(DE137&lt;&gt;0,DE$5=$H137),$I137*$E137-DE137,IF(DJ$5=$H137,$I137*$E137*(12-$J137+1)/12,0))</f>
        <v>0</v>
      </c>
      <c r="DK137" s="400">
        <f t="shared" ref="DK137" si="1187">IF($H137&lt;&gt;DO$5,0,IF(DO137&gt;0,IF($J137=1,$E137*$I137/12*3,IF($J137=2,$E137*$I137/12*2,IF($J137=3,$E137*$I137/12*1,0)))))+IF(DJ$5&lt;&gt;$H137,0,IF(DJ137&gt;0,IF($J137=1,$E137*$I137/12*0,IF($J137=2,$E137*$I137/12*1,IF($J137=3,$E137*$I137/12*2,IF($J137&gt;=4,$E137*$I137/12*3,0))))))</f>
        <v>0</v>
      </c>
      <c r="DL137" s="401">
        <f t="shared" ref="DL137" si="1188">IF($H137&lt;&gt;DO$5,0,IF(DO137&gt;0,IF(OR($J137=1,$J137=2,$J137=3,$J137=4),$E137*$I137/12*3,IF($J137=5,$E137*$I137/12*2,IF($J137=6,$E137*$I137/12*1,0)))))+IF(DJ$5&lt;&gt;$H137,0,IF(DJ137&gt;0,IF($J137=4,$E137*$I137/12*0,IF($J137=5,$E137*$I137/12*1,IF($J137=6,$E137*$I137/12*2,IF($J137&gt;=7,$E137*$I137/12*3,0))))))</f>
        <v>0</v>
      </c>
      <c r="DM137" s="401">
        <f t="shared" ref="DM137" si="1189">IF($H137&lt;&gt;DO$5,0,IF(DO137&gt;0,IF(OR($J137=1,$J137=2,$J137=3,$J137=4,$J137=5,$J137=6,$J137=7),$E137*$I137/12*3,IF($J137=8,$E137*$I137/12*2,IF($J137=9,$E137*$I137/12*1,0)))))+IF(DJ$5&lt;&gt;$H137,0,IF(DJ137&gt;0,IF($J137=7,$E137*$I137/12*0,IF($J137=8,$E137*$I137/12*1,IF($J137=9,$E137*$I137/12*2,IF($J137&gt;=10,$E137*$I137/12*3,0))))))</f>
        <v>0</v>
      </c>
      <c r="DN137" s="402">
        <f t="shared" ref="DN137" si="1190">IF($H137&lt;&gt;DO$5,0,IF(DO137&gt;0,IF(OR($J137=1,$J137=2,$J137=3,$J137=4,$J137=5,$J137=6,$J137=7,$J137=8,$J137=9,$J137=10),$E137*$I137/12*3,IF($J137=11,$E137*$I137/12*2,IF($J137=12,$E137*$I137/12*1,0)))))+IF(DJ$5&lt;&gt;$H137,0,IF(DJ137&gt;0,IF($J137=10,$E137*$I137/12*0,IF($J137=11,$E137*$I137/12*1,IF($J137=12,$E137*$I137/12*2,0)))))</f>
        <v>0</v>
      </c>
      <c r="DO137" s="403">
        <f t="shared" ref="DO137" si="1191">IF(AND(DJ137&lt;&gt;0,DJ$5=$H137),$I137*$E137-DJ137,IF(DO$5=$H137,$I137*$E137*(12-$J137+1)/12,0))</f>
        <v>0</v>
      </c>
      <c r="DP137" s="400">
        <f t="shared" ref="DP137" si="1192">IF($H137&lt;&gt;DT$5,0,IF(DT137&gt;0,IF($J137=1,$E137*$I137/12*3,IF($J137=2,$E137*$I137/12*2,IF($J137=3,$E137*$I137/12*1,0)))))+IF(DO$5&lt;&gt;$H137,0,IF(DO137&gt;0,IF($J137=1,$E137*$I137/12*0,IF($J137=2,$E137*$I137/12*1,IF($J137=3,$E137*$I137/12*2,IF($J137&gt;=4,$E137*$I137/12*3,0))))))</f>
        <v>0</v>
      </c>
      <c r="DQ137" s="401">
        <f t="shared" ref="DQ137" si="1193">IF($H137&lt;&gt;DT$5,0,IF(DT137&gt;0,IF(OR($J137=1,$J137=2,$J137=3,$J137=4),$E137*$I137/12*3,IF($J137=5,$E137*$I137/12*2,IF($J137=6,$E137*$I137/12*1,0)))))+IF(DO$5&lt;&gt;$H137,0,IF(DO137&gt;0,IF($J137=4,$E137*$I137/12*0,IF($J137=5,$E137*$I137/12*1,IF($J137=6,$E137*$I137/12*2,IF($J137&gt;=7,$E137*$I137/12*3,0))))))</f>
        <v>4.5</v>
      </c>
      <c r="DR137" s="401">
        <f t="shared" ref="DR137" si="1194">IF($H137&lt;&gt;DT$5,0,IF(DT137&gt;0,IF(OR($J137=1,$J137=2,$J137=3,$J137=4,$J137=5,$J137=6,$J137=7),$E137*$I137/12*3,IF($J137=8,$E137*$I137/12*2,IF($J137=9,$E137*$I137/12*1,0)))))+IF(DO$5&lt;&gt;$H137,0,IF(DO137&gt;0,IF($J137=7,$E137*$I137/12*0,IF($J137=8,$E137*$I137/12*1,IF($J137=9,$E137*$I137/12*2,IF($J137&gt;=10,$E137*$I137/12*3,0))))))</f>
        <v>4.5</v>
      </c>
      <c r="DS137" s="402">
        <f t="shared" ref="DS137" si="1195">IF($H137&lt;&gt;DT$5,0,IF(DT137&gt;0,IF(OR($J137=1,$J137=2,$J137=3,$J137=4,$J137=5,$J137=6,$J137=7,$J137=8,$J137=9,$J137=10),$E137*$I137/12*3,IF($J137=11,$E137*$I137/12*2,IF($J137=12,$E137*$I137/12*1,0)))))+IF(DO$5&lt;&gt;$H137,0,IF(DO137&gt;0,IF($J137=10,$E137*$I137/12*0,IF($J137=11,$E137*$I137/12*1,IF($J137=12,$E137*$I137/12*2,0)))))</f>
        <v>4.5</v>
      </c>
      <c r="DT137" s="403">
        <f t="shared" ref="DT137" si="1196">IF(AND(DO137&lt;&gt;0,DO$5=$H137),$I137*$E137-DO137,IF(DT$5=$H137,$I137*$E137*(12-$J137+1)/12,0))</f>
        <v>13.5</v>
      </c>
    </row>
    <row r="138" spans="1:124" ht="12.75" customHeight="1" x14ac:dyDescent="0.2">
      <c r="C138" s="471"/>
      <c r="D138" s="471"/>
      <c r="E138" s="533"/>
      <c r="F138" s="538"/>
      <c r="G138" s="538"/>
      <c r="H138" s="577"/>
      <c r="I138" s="512"/>
      <c r="J138" s="497"/>
      <c r="K138" s="411"/>
      <c r="L138" s="412"/>
      <c r="M138" s="413"/>
      <c r="N138" s="414"/>
      <c r="O138" s="414"/>
      <c r="P138" s="415"/>
      <c r="Q138" s="412"/>
      <c r="R138" s="413"/>
      <c r="S138" s="414"/>
      <c r="T138" s="414"/>
      <c r="U138" s="415"/>
      <c r="V138" s="412"/>
      <c r="W138" s="413"/>
      <c r="X138" s="414"/>
      <c r="Y138" s="414"/>
      <c r="Z138" s="415"/>
      <c r="AA138" s="412"/>
      <c r="AB138" s="413"/>
      <c r="AC138" s="414"/>
      <c r="AD138" s="414"/>
      <c r="AE138" s="415"/>
      <c r="AF138" s="412"/>
      <c r="AG138" s="413"/>
      <c r="AH138" s="414"/>
      <c r="AI138" s="414"/>
      <c r="AJ138" s="415"/>
      <c r="AK138" s="412"/>
      <c r="AL138" s="413"/>
      <c r="AM138" s="414"/>
      <c r="AN138" s="414"/>
      <c r="AO138" s="415"/>
      <c r="AP138" s="412"/>
      <c r="AQ138" s="413"/>
      <c r="AR138" s="414"/>
      <c r="AS138" s="414"/>
      <c r="AT138" s="415"/>
      <c r="AU138" s="412"/>
      <c r="AV138" s="413"/>
      <c r="AW138" s="414"/>
      <c r="AX138" s="414"/>
      <c r="AY138" s="415"/>
      <c r="AZ138" s="412"/>
      <c r="BA138" s="413"/>
      <c r="BB138" s="414"/>
      <c r="BC138" s="414"/>
      <c r="BD138" s="415"/>
      <c r="BE138" s="412"/>
      <c r="BF138" s="413"/>
      <c r="BG138" s="414"/>
      <c r="BH138" s="414"/>
      <c r="BI138" s="415"/>
      <c r="BJ138" s="412"/>
      <c r="BK138" s="413"/>
      <c r="BL138" s="414"/>
      <c r="BM138" s="414"/>
      <c r="BN138" s="415"/>
      <c r="BO138" s="412"/>
      <c r="BP138" s="505"/>
      <c r="BQ138" s="417"/>
      <c r="BR138" s="418"/>
      <c r="BS138" s="419"/>
      <c r="BT138" s="419"/>
      <c r="BU138" s="420"/>
      <c r="BV138" s="417"/>
      <c r="BW138" s="418"/>
      <c r="BX138" s="419"/>
      <c r="BY138" s="419"/>
      <c r="BZ138" s="420"/>
      <c r="CA138" s="417"/>
      <c r="CB138" s="418"/>
      <c r="CC138" s="419"/>
      <c r="CD138" s="419"/>
      <c r="CE138" s="420"/>
      <c r="CF138" s="417"/>
      <c r="CG138" s="418"/>
      <c r="CH138" s="419"/>
      <c r="CI138" s="419"/>
      <c r="CJ138" s="420"/>
      <c r="CK138" s="417"/>
      <c r="CL138" s="418"/>
      <c r="CM138" s="419"/>
      <c r="CN138" s="419"/>
      <c r="CO138" s="420"/>
      <c r="CP138" s="417"/>
      <c r="CQ138" s="418"/>
      <c r="CR138" s="419"/>
      <c r="CS138" s="419"/>
      <c r="CT138" s="420"/>
      <c r="CU138" s="417"/>
      <c r="CV138" s="418"/>
      <c r="CW138" s="419"/>
      <c r="CX138" s="419"/>
      <c r="CY138" s="420"/>
      <c r="CZ138" s="417"/>
      <c r="DA138" s="418"/>
      <c r="DB138" s="419"/>
      <c r="DC138" s="419"/>
      <c r="DD138" s="420"/>
      <c r="DE138" s="417"/>
      <c r="DF138" s="418"/>
      <c r="DG138" s="419"/>
      <c r="DH138" s="419"/>
      <c r="DI138" s="420"/>
      <c r="DJ138" s="417"/>
      <c r="DK138" s="418"/>
      <c r="DL138" s="419"/>
      <c r="DM138" s="419"/>
      <c r="DN138" s="420"/>
      <c r="DO138" s="417"/>
      <c r="DP138" s="418"/>
      <c r="DQ138" s="419"/>
      <c r="DR138" s="419"/>
      <c r="DS138" s="420"/>
      <c r="DT138" s="417"/>
    </row>
    <row r="139" spans="1:124" ht="12.75" customHeight="1" x14ac:dyDescent="0.2">
      <c r="A139" s="26"/>
      <c r="B139" s="26"/>
      <c r="C139" s="141" t="s">
        <v>170</v>
      </c>
      <c r="D139" s="26"/>
      <c r="E139" s="535">
        <f>SUM(E133:E138)</f>
        <v>2150</v>
      </c>
      <c r="F139" s="705"/>
      <c r="G139" s="705"/>
      <c r="H139" s="579"/>
      <c r="I139" s="422"/>
      <c r="J139" s="423"/>
      <c r="K139" s="462"/>
      <c r="L139" s="424">
        <f t="shared" ref="L139:AQ139" si="1197">SUM(L133:L138)</f>
        <v>0</v>
      </c>
      <c r="M139" s="425">
        <f t="shared" si="1197"/>
        <v>0</v>
      </c>
      <c r="N139" s="426">
        <f t="shared" si="1197"/>
        <v>0</v>
      </c>
      <c r="O139" s="426">
        <f t="shared" si="1197"/>
        <v>0</v>
      </c>
      <c r="P139" s="427">
        <f t="shared" si="1197"/>
        <v>0</v>
      </c>
      <c r="Q139" s="424">
        <f t="shared" si="1197"/>
        <v>0</v>
      </c>
      <c r="R139" s="425">
        <f t="shared" si="1197"/>
        <v>0</v>
      </c>
      <c r="S139" s="426">
        <f t="shared" si="1197"/>
        <v>0</v>
      </c>
      <c r="T139" s="426">
        <f t="shared" si="1197"/>
        <v>0</v>
      </c>
      <c r="U139" s="427">
        <f t="shared" si="1197"/>
        <v>0</v>
      </c>
      <c r="V139" s="424">
        <f t="shared" si="1197"/>
        <v>0</v>
      </c>
      <c r="W139" s="425">
        <f t="shared" si="1197"/>
        <v>0</v>
      </c>
      <c r="X139" s="426">
        <f t="shared" si="1197"/>
        <v>0</v>
      </c>
      <c r="Y139" s="426">
        <f t="shared" si="1197"/>
        <v>0</v>
      </c>
      <c r="Z139" s="427">
        <f t="shared" si="1197"/>
        <v>0</v>
      </c>
      <c r="AA139" s="424">
        <f t="shared" si="1197"/>
        <v>0</v>
      </c>
      <c r="AB139" s="425">
        <f t="shared" si="1197"/>
        <v>0</v>
      </c>
      <c r="AC139" s="426">
        <f t="shared" si="1197"/>
        <v>0</v>
      </c>
      <c r="AD139" s="426">
        <f t="shared" si="1197"/>
        <v>0</v>
      </c>
      <c r="AE139" s="427">
        <f t="shared" si="1197"/>
        <v>0</v>
      </c>
      <c r="AF139" s="424">
        <f t="shared" si="1197"/>
        <v>0</v>
      </c>
      <c r="AG139" s="425">
        <f t="shared" si="1197"/>
        <v>0</v>
      </c>
      <c r="AH139" s="426">
        <f t="shared" si="1197"/>
        <v>0</v>
      </c>
      <c r="AI139" s="426">
        <f t="shared" si="1197"/>
        <v>0</v>
      </c>
      <c r="AJ139" s="427">
        <f t="shared" si="1197"/>
        <v>0</v>
      </c>
      <c r="AK139" s="424">
        <f t="shared" si="1197"/>
        <v>0</v>
      </c>
      <c r="AL139" s="425">
        <f t="shared" si="1197"/>
        <v>0</v>
      </c>
      <c r="AM139" s="426">
        <f t="shared" si="1197"/>
        <v>0</v>
      </c>
      <c r="AN139" s="426">
        <f t="shared" si="1197"/>
        <v>0</v>
      </c>
      <c r="AO139" s="427">
        <f t="shared" si="1197"/>
        <v>0</v>
      </c>
      <c r="AP139" s="424">
        <f t="shared" si="1197"/>
        <v>0</v>
      </c>
      <c r="AQ139" s="425">
        <f t="shared" si="1197"/>
        <v>0</v>
      </c>
      <c r="AR139" s="426">
        <f t="shared" ref="AR139:BJ139" si="1198">SUM(AR133:AR138)</f>
        <v>400</v>
      </c>
      <c r="AS139" s="426">
        <f t="shared" si="1198"/>
        <v>0</v>
      </c>
      <c r="AT139" s="427">
        <f t="shared" si="1198"/>
        <v>0</v>
      </c>
      <c r="AU139" s="424">
        <f t="shared" si="1198"/>
        <v>400</v>
      </c>
      <c r="AV139" s="425">
        <f t="shared" si="1198"/>
        <v>0</v>
      </c>
      <c r="AW139" s="426">
        <f t="shared" si="1198"/>
        <v>0</v>
      </c>
      <c r="AX139" s="426">
        <f t="shared" si="1198"/>
        <v>750</v>
      </c>
      <c r="AY139" s="427">
        <f t="shared" si="1198"/>
        <v>0</v>
      </c>
      <c r="AZ139" s="424">
        <f t="shared" si="1198"/>
        <v>750</v>
      </c>
      <c r="BA139" s="425">
        <f t="shared" si="1198"/>
        <v>0</v>
      </c>
      <c r="BB139" s="426">
        <f t="shared" si="1198"/>
        <v>200</v>
      </c>
      <c r="BC139" s="426">
        <f t="shared" si="1198"/>
        <v>0</v>
      </c>
      <c r="BD139" s="427">
        <f t="shared" si="1198"/>
        <v>0</v>
      </c>
      <c r="BE139" s="424">
        <f t="shared" si="1198"/>
        <v>200</v>
      </c>
      <c r="BF139" s="425">
        <f t="shared" si="1198"/>
        <v>0</v>
      </c>
      <c r="BG139" s="426">
        <f t="shared" si="1198"/>
        <v>400</v>
      </c>
      <c r="BH139" s="426">
        <f t="shared" si="1198"/>
        <v>0</v>
      </c>
      <c r="BI139" s="427">
        <f t="shared" si="1198"/>
        <v>0</v>
      </c>
      <c r="BJ139" s="424">
        <f t="shared" si="1198"/>
        <v>400</v>
      </c>
      <c r="BK139" s="425">
        <f t="shared" ref="BK139:BO139" si="1199">SUM(BK133:BK138)</f>
        <v>0</v>
      </c>
      <c r="BL139" s="426">
        <f t="shared" si="1199"/>
        <v>400</v>
      </c>
      <c r="BM139" s="426">
        <f t="shared" si="1199"/>
        <v>0</v>
      </c>
      <c r="BN139" s="427">
        <f t="shared" si="1199"/>
        <v>0</v>
      </c>
      <c r="BO139" s="424">
        <f t="shared" si="1199"/>
        <v>400</v>
      </c>
      <c r="BP139" s="481"/>
      <c r="BQ139" s="429">
        <f t="shared" ref="BQ139:CV139" si="1200">SUM(BQ133:BQ138)</f>
        <v>0</v>
      </c>
      <c r="BR139" s="430">
        <f t="shared" si="1200"/>
        <v>0</v>
      </c>
      <c r="BS139" s="431">
        <f t="shared" si="1200"/>
        <v>0</v>
      </c>
      <c r="BT139" s="431">
        <f t="shared" si="1200"/>
        <v>0</v>
      </c>
      <c r="BU139" s="432">
        <f t="shared" si="1200"/>
        <v>0</v>
      </c>
      <c r="BV139" s="429">
        <f t="shared" si="1200"/>
        <v>0</v>
      </c>
      <c r="BW139" s="430">
        <f t="shared" si="1200"/>
        <v>0</v>
      </c>
      <c r="BX139" s="431">
        <f t="shared" si="1200"/>
        <v>0</v>
      </c>
      <c r="BY139" s="431">
        <f t="shared" si="1200"/>
        <v>0</v>
      </c>
      <c r="BZ139" s="432">
        <f t="shared" si="1200"/>
        <v>0</v>
      </c>
      <c r="CA139" s="429">
        <f t="shared" si="1200"/>
        <v>0</v>
      </c>
      <c r="CB139" s="430">
        <f t="shared" si="1200"/>
        <v>0</v>
      </c>
      <c r="CC139" s="431">
        <f t="shared" si="1200"/>
        <v>0</v>
      </c>
      <c r="CD139" s="431">
        <f t="shared" si="1200"/>
        <v>0</v>
      </c>
      <c r="CE139" s="432">
        <f t="shared" si="1200"/>
        <v>0</v>
      </c>
      <c r="CF139" s="429">
        <f t="shared" si="1200"/>
        <v>0</v>
      </c>
      <c r="CG139" s="430">
        <f t="shared" si="1200"/>
        <v>0</v>
      </c>
      <c r="CH139" s="431">
        <f t="shared" si="1200"/>
        <v>0</v>
      </c>
      <c r="CI139" s="431">
        <f t="shared" si="1200"/>
        <v>0</v>
      </c>
      <c r="CJ139" s="432">
        <f t="shared" si="1200"/>
        <v>0</v>
      </c>
      <c r="CK139" s="429">
        <f t="shared" si="1200"/>
        <v>0</v>
      </c>
      <c r="CL139" s="430">
        <f t="shared" si="1200"/>
        <v>0</v>
      </c>
      <c r="CM139" s="431">
        <f t="shared" si="1200"/>
        <v>0</v>
      </c>
      <c r="CN139" s="431">
        <f t="shared" si="1200"/>
        <v>0</v>
      </c>
      <c r="CO139" s="432">
        <f t="shared" si="1200"/>
        <v>0</v>
      </c>
      <c r="CP139" s="429">
        <f t="shared" si="1200"/>
        <v>0</v>
      </c>
      <c r="CQ139" s="430">
        <f t="shared" si="1200"/>
        <v>0</v>
      </c>
      <c r="CR139" s="431">
        <f t="shared" si="1200"/>
        <v>0</v>
      </c>
      <c r="CS139" s="431">
        <f t="shared" si="1200"/>
        <v>0</v>
      </c>
      <c r="CT139" s="432">
        <f t="shared" si="1200"/>
        <v>0</v>
      </c>
      <c r="CU139" s="429">
        <f t="shared" si="1200"/>
        <v>0</v>
      </c>
      <c r="CV139" s="430">
        <f t="shared" si="1200"/>
        <v>0</v>
      </c>
      <c r="CW139" s="431">
        <f t="shared" ref="CW139:DO139" si="1201">SUM(CW133:CW138)</f>
        <v>1.2666666666666666</v>
      </c>
      <c r="CX139" s="431">
        <f t="shared" si="1201"/>
        <v>3.8</v>
      </c>
      <c r="CY139" s="432">
        <f t="shared" si="1201"/>
        <v>3.8</v>
      </c>
      <c r="CZ139" s="429">
        <f t="shared" si="1201"/>
        <v>8.8666666666666654</v>
      </c>
      <c r="DA139" s="430">
        <f t="shared" si="1201"/>
        <v>3.8</v>
      </c>
      <c r="DB139" s="431">
        <f t="shared" si="1201"/>
        <v>2.5333333333333332</v>
      </c>
      <c r="DC139" s="431">
        <f t="shared" si="1201"/>
        <v>7.5</v>
      </c>
      <c r="DD139" s="432">
        <f t="shared" si="1201"/>
        <v>7.5</v>
      </c>
      <c r="DE139" s="429">
        <f t="shared" si="1201"/>
        <v>21.333333333333336</v>
      </c>
      <c r="DF139" s="430">
        <f t="shared" si="1201"/>
        <v>7.5</v>
      </c>
      <c r="DG139" s="431">
        <f t="shared" si="1201"/>
        <v>9.75</v>
      </c>
      <c r="DH139" s="431">
        <f t="shared" si="1201"/>
        <v>2.25</v>
      </c>
      <c r="DI139" s="432">
        <f t="shared" si="1201"/>
        <v>2.25</v>
      </c>
      <c r="DJ139" s="429">
        <f t="shared" si="1201"/>
        <v>21.75</v>
      </c>
      <c r="DK139" s="430">
        <f t="shared" si="1201"/>
        <v>2.25</v>
      </c>
      <c r="DL139" s="431">
        <f t="shared" si="1201"/>
        <v>4.5</v>
      </c>
      <c r="DM139" s="431">
        <f t="shared" si="1201"/>
        <v>4.5</v>
      </c>
      <c r="DN139" s="432">
        <f t="shared" si="1201"/>
        <v>4.5</v>
      </c>
      <c r="DO139" s="429">
        <f t="shared" si="1201"/>
        <v>15.75</v>
      </c>
      <c r="DP139" s="430">
        <f t="shared" ref="DP139:DT139" si="1202">SUM(DP133:DP138)</f>
        <v>4.5</v>
      </c>
      <c r="DQ139" s="431">
        <f t="shared" si="1202"/>
        <v>4.5</v>
      </c>
      <c r="DR139" s="431">
        <f t="shared" si="1202"/>
        <v>4.5</v>
      </c>
      <c r="DS139" s="432">
        <f t="shared" si="1202"/>
        <v>4.5</v>
      </c>
      <c r="DT139" s="429">
        <f t="shared" si="1202"/>
        <v>18</v>
      </c>
    </row>
    <row r="140" spans="1:124" ht="12.75" customHeight="1" x14ac:dyDescent="0.2">
      <c r="C140" s="26"/>
      <c r="D140" s="26"/>
      <c r="E140" s="530"/>
      <c r="F140" s="537"/>
      <c r="G140" s="537"/>
      <c r="H140" s="580"/>
      <c r="I140" s="390"/>
      <c r="J140" s="391"/>
      <c r="K140" s="392"/>
      <c r="L140" s="393"/>
      <c r="M140" s="394"/>
      <c r="N140" s="395"/>
      <c r="O140" s="395"/>
      <c r="P140" s="396"/>
      <c r="Q140" s="397"/>
      <c r="R140" s="394"/>
      <c r="S140" s="395"/>
      <c r="T140" s="395"/>
      <c r="U140" s="396"/>
      <c r="V140" s="397"/>
      <c r="W140" s="394"/>
      <c r="X140" s="395"/>
      <c r="Y140" s="395"/>
      <c r="Z140" s="396"/>
      <c r="AA140" s="397"/>
      <c r="AB140" s="394"/>
      <c r="AC140" s="395"/>
      <c r="AD140" s="395"/>
      <c r="AE140" s="396"/>
      <c r="AF140" s="397"/>
      <c r="AG140" s="394"/>
      <c r="AH140" s="395"/>
      <c r="AI140" s="395"/>
      <c r="AJ140" s="396"/>
      <c r="AK140" s="397"/>
      <c r="AL140" s="394"/>
      <c r="AM140" s="395"/>
      <c r="AN140" s="395"/>
      <c r="AO140" s="396"/>
      <c r="AP140" s="397"/>
      <c r="AQ140" s="394"/>
      <c r="AR140" s="395"/>
      <c r="AS140" s="395"/>
      <c r="AT140" s="396"/>
      <c r="AU140" s="397"/>
      <c r="AV140" s="394"/>
      <c r="AW140" s="395"/>
      <c r="AX140" s="395"/>
      <c r="AY140" s="396"/>
      <c r="AZ140" s="397"/>
      <c r="BA140" s="394"/>
      <c r="BB140" s="395"/>
      <c r="BC140" s="395"/>
      <c r="BD140" s="396"/>
      <c r="BE140" s="397"/>
      <c r="BF140" s="394"/>
      <c r="BG140" s="395"/>
      <c r="BH140" s="395"/>
      <c r="BI140" s="396"/>
      <c r="BJ140" s="397"/>
      <c r="BK140" s="394"/>
      <c r="BL140" s="395"/>
      <c r="BM140" s="395"/>
      <c r="BN140" s="396"/>
      <c r="BO140" s="397"/>
      <c r="BP140" s="452"/>
      <c r="BQ140" s="399"/>
      <c r="BR140" s="400"/>
      <c r="BS140" s="401"/>
      <c r="BT140" s="401"/>
      <c r="BU140" s="402"/>
      <c r="BV140" s="403"/>
      <c r="BW140" s="400"/>
      <c r="BX140" s="401"/>
      <c r="BY140" s="401"/>
      <c r="BZ140" s="402"/>
      <c r="CA140" s="403"/>
      <c r="CB140" s="400"/>
      <c r="CC140" s="401"/>
      <c r="CD140" s="401"/>
      <c r="CE140" s="402"/>
      <c r="CF140" s="403"/>
      <c r="CG140" s="400"/>
      <c r="CH140" s="401"/>
      <c r="CI140" s="401"/>
      <c r="CJ140" s="402"/>
      <c r="CK140" s="403"/>
      <c r="CL140" s="400"/>
      <c r="CM140" s="401"/>
      <c r="CN140" s="401"/>
      <c r="CO140" s="402"/>
      <c r="CP140" s="403"/>
      <c r="CQ140" s="400"/>
      <c r="CR140" s="401"/>
      <c r="CS140" s="401"/>
      <c r="CT140" s="402"/>
      <c r="CU140" s="403"/>
      <c r="CV140" s="400"/>
      <c r="CW140" s="401"/>
      <c r="CX140" s="401"/>
      <c r="CY140" s="402"/>
      <c r="CZ140" s="403"/>
      <c r="DA140" s="400"/>
      <c r="DB140" s="401"/>
      <c r="DC140" s="401"/>
      <c r="DD140" s="402"/>
      <c r="DE140" s="403"/>
      <c r="DF140" s="400"/>
      <c r="DG140" s="401"/>
      <c r="DH140" s="401"/>
      <c r="DI140" s="402"/>
      <c r="DJ140" s="403"/>
      <c r="DK140" s="400"/>
      <c r="DL140" s="401"/>
      <c r="DM140" s="401"/>
      <c r="DN140" s="402"/>
      <c r="DO140" s="403"/>
      <c r="DP140" s="400"/>
      <c r="DQ140" s="401"/>
      <c r="DR140" s="401"/>
      <c r="DS140" s="402"/>
      <c r="DT140" s="403"/>
    </row>
    <row r="141" spans="1:124" ht="12.75" customHeight="1" x14ac:dyDescent="0.2">
      <c r="A141" s="26"/>
      <c r="B141" s="26"/>
      <c r="C141" s="26" t="s">
        <v>334</v>
      </c>
      <c r="D141" s="26"/>
      <c r="E141" s="535"/>
      <c r="F141" s="705"/>
      <c r="G141" s="705"/>
      <c r="H141" s="587"/>
      <c r="I141" s="506"/>
      <c r="J141" s="507"/>
      <c r="K141" s="462"/>
      <c r="L141" s="424">
        <f t="shared" ref="L141:AQ141" si="1203">+L139+L130</f>
        <v>0</v>
      </c>
      <c r="M141" s="425">
        <f t="shared" si="1203"/>
        <v>0</v>
      </c>
      <c r="N141" s="426">
        <f t="shared" si="1203"/>
        <v>0</v>
      </c>
      <c r="O141" s="426">
        <f t="shared" si="1203"/>
        <v>0</v>
      </c>
      <c r="P141" s="427">
        <f t="shared" si="1203"/>
        <v>0</v>
      </c>
      <c r="Q141" s="424">
        <f t="shared" si="1203"/>
        <v>0</v>
      </c>
      <c r="R141" s="425">
        <f t="shared" si="1203"/>
        <v>0</v>
      </c>
      <c r="S141" s="426">
        <f t="shared" si="1203"/>
        <v>0</v>
      </c>
      <c r="T141" s="426">
        <f t="shared" si="1203"/>
        <v>0</v>
      </c>
      <c r="U141" s="427">
        <f t="shared" si="1203"/>
        <v>0</v>
      </c>
      <c r="V141" s="424">
        <f t="shared" si="1203"/>
        <v>0</v>
      </c>
      <c r="W141" s="425">
        <f t="shared" si="1203"/>
        <v>0</v>
      </c>
      <c r="X141" s="426">
        <f t="shared" si="1203"/>
        <v>0</v>
      </c>
      <c r="Y141" s="426">
        <f t="shared" si="1203"/>
        <v>0</v>
      </c>
      <c r="Z141" s="427">
        <f t="shared" si="1203"/>
        <v>0</v>
      </c>
      <c r="AA141" s="424">
        <f t="shared" si="1203"/>
        <v>0</v>
      </c>
      <c r="AB141" s="425">
        <f t="shared" si="1203"/>
        <v>0</v>
      </c>
      <c r="AC141" s="426">
        <f t="shared" si="1203"/>
        <v>0</v>
      </c>
      <c r="AD141" s="426">
        <f t="shared" si="1203"/>
        <v>0</v>
      </c>
      <c r="AE141" s="427">
        <f t="shared" si="1203"/>
        <v>0</v>
      </c>
      <c r="AF141" s="424">
        <f t="shared" si="1203"/>
        <v>0</v>
      </c>
      <c r="AG141" s="425">
        <f t="shared" si="1203"/>
        <v>0</v>
      </c>
      <c r="AH141" s="426">
        <f t="shared" si="1203"/>
        <v>0</v>
      </c>
      <c r="AI141" s="426">
        <f t="shared" si="1203"/>
        <v>0</v>
      </c>
      <c r="AJ141" s="427">
        <f t="shared" si="1203"/>
        <v>0</v>
      </c>
      <c r="AK141" s="424">
        <f t="shared" si="1203"/>
        <v>0</v>
      </c>
      <c r="AL141" s="425">
        <f t="shared" si="1203"/>
        <v>0</v>
      </c>
      <c r="AM141" s="426">
        <f t="shared" si="1203"/>
        <v>0</v>
      </c>
      <c r="AN141" s="426">
        <f t="shared" si="1203"/>
        <v>0</v>
      </c>
      <c r="AO141" s="427">
        <f t="shared" si="1203"/>
        <v>0</v>
      </c>
      <c r="AP141" s="424">
        <f t="shared" si="1203"/>
        <v>0</v>
      </c>
      <c r="AQ141" s="425">
        <f t="shared" si="1203"/>
        <v>0</v>
      </c>
      <c r="AR141" s="426">
        <f t="shared" ref="AR141:BJ141" si="1204">+AR139+AR130</f>
        <v>400</v>
      </c>
      <c r="AS141" s="426">
        <f t="shared" si="1204"/>
        <v>-3.5658913043478262</v>
      </c>
      <c r="AT141" s="427">
        <f t="shared" si="1204"/>
        <v>0</v>
      </c>
      <c r="AU141" s="424">
        <f t="shared" si="1204"/>
        <v>396.43410869565218</v>
      </c>
      <c r="AV141" s="425">
        <f t="shared" si="1204"/>
        <v>0</v>
      </c>
      <c r="AW141" s="426">
        <f t="shared" si="1204"/>
        <v>0</v>
      </c>
      <c r="AX141" s="426">
        <f t="shared" si="1204"/>
        <v>450</v>
      </c>
      <c r="AY141" s="427">
        <f t="shared" si="1204"/>
        <v>0</v>
      </c>
      <c r="AZ141" s="424">
        <f t="shared" si="1204"/>
        <v>450</v>
      </c>
      <c r="BA141" s="425">
        <f t="shared" si="1204"/>
        <v>0</v>
      </c>
      <c r="BB141" s="426">
        <f t="shared" si="1204"/>
        <v>-200</v>
      </c>
      <c r="BC141" s="426">
        <f t="shared" si="1204"/>
        <v>0</v>
      </c>
      <c r="BD141" s="427">
        <f t="shared" si="1204"/>
        <v>0</v>
      </c>
      <c r="BE141" s="424">
        <f t="shared" si="1204"/>
        <v>-200</v>
      </c>
      <c r="BF141" s="425">
        <f t="shared" si="1204"/>
        <v>0</v>
      </c>
      <c r="BG141" s="426">
        <f t="shared" si="1204"/>
        <v>400</v>
      </c>
      <c r="BH141" s="426">
        <f t="shared" si="1204"/>
        <v>0</v>
      </c>
      <c r="BI141" s="427">
        <f t="shared" si="1204"/>
        <v>-400</v>
      </c>
      <c r="BJ141" s="424">
        <f t="shared" si="1204"/>
        <v>0</v>
      </c>
      <c r="BK141" s="425">
        <f t="shared" ref="BK141:BO141" si="1205">+BK139+BK130</f>
        <v>0</v>
      </c>
      <c r="BL141" s="426">
        <f t="shared" si="1205"/>
        <v>400</v>
      </c>
      <c r="BM141" s="426">
        <f t="shared" si="1205"/>
        <v>0</v>
      </c>
      <c r="BN141" s="427">
        <f t="shared" si="1205"/>
        <v>0</v>
      </c>
      <c r="BO141" s="424">
        <f t="shared" si="1205"/>
        <v>400</v>
      </c>
      <c r="BP141" s="481"/>
      <c r="BQ141" s="429">
        <f t="shared" ref="BQ141:CV141" si="1206">+BQ139+BQ130</f>
        <v>0</v>
      </c>
      <c r="BR141" s="430">
        <f t="shared" si="1206"/>
        <v>0</v>
      </c>
      <c r="BS141" s="431">
        <f t="shared" si="1206"/>
        <v>0</v>
      </c>
      <c r="BT141" s="431">
        <f t="shared" si="1206"/>
        <v>0</v>
      </c>
      <c r="BU141" s="432">
        <f t="shared" si="1206"/>
        <v>0</v>
      </c>
      <c r="BV141" s="429">
        <f t="shared" si="1206"/>
        <v>0</v>
      </c>
      <c r="BW141" s="430">
        <f t="shared" si="1206"/>
        <v>0</v>
      </c>
      <c r="BX141" s="431">
        <f t="shared" si="1206"/>
        <v>0</v>
      </c>
      <c r="BY141" s="431">
        <f t="shared" si="1206"/>
        <v>0</v>
      </c>
      <c r="BZ141" s="432">
        <f t="shared" si="1206"/>
        <v>0</v>
      </c>
      <c r="CA141" s="429">
        <f t="shared" si="1206"/>
        <v>0</v>
      </c>
      <c r="CB141" s="430">
        <f t="shared" si="1206"/>
        <v>0</v>
      </c>
      <c r="CC141" s="431">
        <f t="shared" si="1206"/>
        <v>0</v>
      </c>
      <c r="CD141" s="431">
        <f t="shared" si="1206"/>
        <v>0</v>
      </c>
      <c r="CE141" s="432">
        <f t="shared" si="1206"/>
        <v>0</v>
      </c>
      <c r="CF141" s="429">
        <f t="shared" si="1206"/>
        <v>0</v>
      </c>
      <c r="CG141" s="430">
        <f t="shared" si="1206"/>
        <v>0</v>
      </c>
      <c r="CH141" s="431">
        <f t="shared" si="1206"/>
        <v>0</v>
      </c>
      <c r="CI141" s="431">
        <f t="shared" si="1206"/>
        <v>0</v>
      </c>
      <c r="CJ141" s="432">
        <f t="shared" si="1206"/>
        <v>0</v>
      </c>
      <c r="CK141" s="429">
        <f t="shared" si="1206"/>
        <v>0</v>
      </c>
      <c r="CL141" s="430">
        <f t="shared" si="1206"/>
        <v>0</v>
      </c>
      <c r="CM141" s="431">
        <f t="shared" si="1206"/>
        <v>0</v>
      </c>
      <c r="CN141" s="431">
        <f t="shared" si="1206"/>
        <v>0</v>
      </c>
      <c r="CO141" s="432">
        <f t="shared" si="1206"/>
        <v>0</v>
      </c>
      <c r="CP141" s="429">
        <f t="shared" si="1206"/>
        <v>0</v>
      </c>
      <c r="CQ141" s="430">
        <f t="shared" si="1206"/>
        <v>0</v>
      </c>
      <c r="CR141" s="431">
        <f t="shared" si="1206"/>
        <v>0</v>
      </c>
      <c r="CS141" s="431">
        <f t="shared" si="1206"/>
        <v>0</v>
      </c>
      <c r="CT141" s="432">
        <f t="shared" si="1206"/>
        <v>0</v>
      </c>
      <c r="CU141" s="429">
        <f t="shared" si="1206"/>
        <v>0</v>
      </c>
      <c r="CV141" s="430">
        <f t="shared" si="1206"/>
        <v>0</v>
      </c>
      <c r="CW141" s="431">
        <f t="shared" ref="CW141:DO141" si="1207">+CW139+CW130</f>
        <v>1.2666666666666666</v>
      </c>
      <c r="CX141" s="431">
        <f t="shared" si="1207"/>
        <v>3.6863372146739128</v>
      </c>
      <c r="CY141" s="432">
        <f t="shared" si="1207"/>
        <v>3.6863372146739128</v>
      </c>
      <c r="CZ141" s="429">
        <f t="shared" si="1207"/>
        <v>8.6393410960144923</v>
      </c>
      <c r="DA141" s="430">
        <f t="shared" si="1207"/>
        <v>3.6863372146739128</v>
      </c>
      <c r="DB141" s="431">
        <f t="shared" si="1207"/>
        <v>2.4196705480072462</v>
      </c>
      <c r="DC141" s="431">
        <f t="shared" si="1207"/>
        <v>4.5999999999999996</v>
      </c>
      <c r="DD141" s="432">
        <f t="shared" si="1207"/>
        <v>3.1499999999999995</v>
      </c>
      <c r="DE141" s="429">
        <f t="shared" si="1207"/>
        <v>13.856007762681161</v>
      </c>
      <c r="DF141" s="430">
        <f t="shared" si="1207"/>
        <v>3.1499999999999995</v>
      </c>
      <c r="DG141" s="431">
        <f t="shared" si="1207"/>
        <v>3.6916666666666664</v>
      </c>
      <c r="DH141" s="431">
        <f t="shared" si="1207"/>
        <v>-4.3250000000000002</v>
      </c>
      <c r="DI141" s="432">
        <f t="shared" si="1207"/>
        <v>-2.875</v>
      </c>
      <c r="DJ141" s="429">
        <f t="shared" si="1207"/>
        <v>-0.35833333333333428</v>
      </c>
      <c r="DK141" s="430">
        <f t="shared" si="1207"/>
        <v>-2.875</v>
      </c>
      <c r="DL141" s="431">
        <f t="shared" si="1207"/>
        <v>1.0833333333333335</v>
      </c>
      <c r="DM141" s="431">
        <f t="shared" si="1207"/>
        <v>4.5</v>
      </c>
      <c r="DN141" s="432">
        <f t="shared" si="1207"/>
        <v>2.3666666666666667</v>
      </c>
      <c r="DO141" s="429">
        <f t="shared" si="1207"/>
        <v>5.0750000000000011</v>
      </c>
      <c r="DP141" s="430">
        <f t="shared" ref="DP141:DT141" si="1208">+DP139+DP130</f>
        <v>1.2999999999999998</v>
      </c>
      <c r="DQ141" s="431">
        <f t="shared" si="1208"/>
        <v>1.2999999999999998</v>
      </c>
      <c r="DR141" s="431">
        <f t="shared" si="1208"/>
        <v>1.2999999999999998</v>
      </c>
      <c r="DS141" s="432">
        <f t="shared" si="1208"/>
        <v>3.4333333333333336</v>
      </c>
      <c r="DT141" s="429">
        <f t="shared" si="1208"/>
        <v>7.3333333333333321</v>
      </c>
    </row>
    <row r="142" spans="1:124" ht="12.75" customHeight="1" x14ac:dyDescent="0.2">
      <c r="A142" s="26"/>
      <c r="B142" s="26"/>
      <c r="C142" s="26"/>
      <c r="D142" s="26"/>
      <c r="E142" s="535"/>
      <c r="F142" s="705"/>
      <c r="G142" s="705"/>
      <c r="H142" s="587"/>
      <c r="I142" s="506"/>
      <c r="J142" s="507"/>
      <c r="K142" s="462"/>
      <c r="L142" s="482"/>
      <c r="M142" s="425"/>
      <c r="N142" s="433"/>
      <c r="O142" s="433"/>
      <c r="P142" s="427"/>
      <c r="Q142" s="424"/>
      <c r="R142" s="425"/>
      <c r="S142" s="433"/>
      <c r="T142" s="433"/>
      <c r="U142" s="427"/>
      <c r="V142" s="424"/>
      <c r="W142" s="425"/>
      <c r="X142" s="433"/>
      <c r="Y142" s="433"/>
      <c r="Z142" s="427"/>
      <c r="AA142" s="424"/>
      <c r="AB142" s="425"/>
      <c r="AC142" s="433"/>
      <c r="AD142" s="433"/>
      <c r="AE142" s="427"/>
      <c r="AF142" s="424"/>
      <c r="AG142" s="425"/>
      <c r="AH142" s="433"/>
      <c r="AI142" s="433"/>
      <c r="AJ142" s="427"/>
      <c r="AK142" s="424"/>
      <c r="AL142" s="425"/>
      <c r="AM142" s="433"/>
      <c r="AN142" s="433"/>
      <c r="AO142" s="427"/>
      <c r="AP142" s="424"/>
      <c r="AQ142" s="425"/>
      <c r="AR142" s="433"/>
      <c r="AS142" s="433"/>
      <c r="AT142" s="427"/>
      <c r="AU142" s="424"/>
      <c r="AV142" s="425"/>
      <c r="AW142" s="433"/>
      <c r="AX142" s="433"/>
      <c r="AY142" s="427"/>
      <c r="AZ142" s="424"/>
      <c r="BA142" s="425"/>
      <c r="BB142" s="433"/>
      <c r="BC142" s="433"/>
      <c r="BD142" s="427"/>
      <c r="BE142" s="424"/>
      <c r="BF142" s="425"/>
      <c r="BG142" s="433"/>
      <c r="BH142" s="433"/>
      <c r="BI142" s="427"/>
      <c r="BJ142" s="424"/>
      <c r="BK142" s="425"/>
      <c r="BL142" s="433"/>
      <c r="BM142" s="433"/>
      <c r="BN142" s="427"/>
      <c r="BO142" s="424"/>
      <c r="BP142" s="481"/>
      <c r="BQ142" s="434"/>
      <c r="BR142" s="430"/>
      <c r="BS142" s="435"/>
      <c r="BT142" s="435"/>
      <c r="BU142" s="432"/>
      <c r="BV142" s="429"/>
      <c r="BW142" s="430"/>
      <c r="BX142" s="435"/>
      <c r="BY142" s="435"/>
      <c r="BZ142" s="432"/>
      <c r="CA142" s="429"/>
      <c r="CB142" s="430"/>
      <c r="CC142" s="435"/>
      <c r="CD142" s="435"/>
      <c r="CE142" s="432"/>
      <c r="CF142" s="429"/>
      <c r="CG142" s="430"/>
      <c r="CH142" s="435"/>
      <c r="CI142" s="435"/>
      <c r="CJ142" s="432"/>
      <c r="CK142" s="429"/>
      <c r="CL142" s="430"/>
      <c r="CM142" s="435"/>
      <c r="CN142" s="435"/>
      <c r="CO142" s="432"/>
      <c r="CP142" s="429"/>
      <c r="CQ142" s="430"/>
      <c r="CR142" s="435"/>
      <c r="CS142" s="435"/>
      <c r="CT142" s="432"/>
      <c r="CU142" s="429"/>
      <c r="CV142" s="430"/>
      <c r="CW142" s="435"/>
      <c r="CX142" s="435"/>
      <c r="CY142" s="432"/>
      <c r="CZ142" s="429"/>
      <c r="DA142" s="430"/>
      <c r="DB142" s="435"/>
      <c r="DC142" s="435"/>
      <c r="DD142" s="432"/>
      <c r="DE142" s="429"/>
      <c r="DF142" s="430"/>
      <c r="DG142" s="435"/>
      <c r="DH142" s="435"/>
      <c r="DI142" s="432"/>
      <c r="DJ142" s="429"/>
      <c r="DK142" s="430"/>
      <c r="DL142" s="435"/>
      <c r="DM142" s="435"/>
      <c r="DN142" s="432"/>
      <c r="DO142" s="429"/>
      <c r="DP142" s="430"/>
      <c r="DQ142" s="435"/>
      <c r="DR142" s="435"/>
      <c r="DS142" s="432"/>
      <c r="DT142" s="429"/>
    </row>
    <row r="143" spans="1:124" ht="12.75" customHeight="1" thickBot="1" x14ac:dyDescent="0.25">
      <c r="B143" s="377"/>
      <c r="C143" s="377"/>
      <c r="D143" s="377"/>
      <c r="E143" s="539"/>
      <c r="F143" s="540"/>
      <c r="G143" s="540"/>
      <c r="H143" s="581"/>
      <c r="I143" s="438"/>
      <c r="J143" s="439"/>
      <c r="K143" s="483"/>
      <c r="L143" s="440"/>
      <c r="M143" s="484"/>
      <c r="N143" s="485"/>
      <c r="O143" s="485"/>
      <c r="P143" s="486"/>
      <c r="Q143" s="440"/>
      <c r="R143" s="484"/>
      <c r="S143" s="485"/>
      <c r="T143" s="485"/>
      <c r="U143" s="486"/>
      <c r="V143" s="440"/>
      <c r="W143" s="484"/>
      <c r="X143" s="485"/>
      <c r="Y143" s="485"/>
      <c r="Z143" s="486"/>
      <c r="AA143" s="440"/>
      <c r="AB143" s="484"/>
      <c r="AC143" s="485"/>
      <c r="AD143" s="485"/>
      <c r="AE143" s="486"/>
      <c r="AF143" s="440"/>
      <c r="AG143" s="484"/>
      <c r="AH143" s="485"/>
      <c r="AI143" s="485"/>
      <c r="AJ143" s="486"/>
      <c r="AK143" s="440"/>
      <c r="AL143" s="484"/>
      <c r="AM143" s="485"/>
      <c r="AN143" s="485"/>
      <c r="AO143" s="486"/>
      <c r="AP143" s="440"/>
      <c r="AQ143" s="484"/>
      <c r="AR143" s="485"/>
      <c r="AS143" s="485"/>
      <c r="AT143" s="486"/>
      <c r="AU143" s="440"/>
      <c r="AV143" s="484"/>
      <c r="AW143" s="485"/>
      <c r="AX143" s="485"/>
      <c r="AY143" s="486"/>
      <c r="AZ143" s="440"/>
      <c r="BA143" s="484"/>
      <c r="BB143" s="485"/>
      <c r="BC143" s="485"/>
      <c r="BD143" s="486"/>
      <c r="BE143" s="440"/>
      <c r="BF143" s="484"/>
      <c r="BG143" s="485"/>
      <c r="BH143" s="485"/>
      <c r="BI143" s="486"/>
      <c r="BJ143" s="440"/>
      <c r="BK143" s="484"/>
      <c r="BL143" s="485"/>
      <c r="BM143" s="485"/>
      <c r="BN143" s="486"/>
      <c r="BO143" s="440"/>
      <c r="BP143" s="487"/>
      <c r="BQ143" s="442"/>
      <c r="BR143" s="488"/>
      <c r="BS143" s="489"/>
      <c r="BT143" s="489"/>
      <c r="BU143" s="490"/>
      <c r="BV143" s="442"/>
      <c r="BW143" s="488"/>
      <c r="BX143" s="489"/>
      <c r="BY143" s="489"/>
      <c r="BZ143" s="490"/>
      <c r="CA143" s="442"/>
      <c r="CB143" s="488"/>
      <c r="CC143" s="489"/>
      <c r="CD143" s="489"/>
      <c r="CE143" s="490"/>
      <c r="CF143" s="442"/>
      <c r="CG143" s="488"/>
      <c r="CH143" s="489"/>
      <c r="CI143" s="489"/>
      <c r="CJ143" s="490"/>
      <c r="CK143" s="442"/>
      <c r="CL143" s="488"/>
      <c r="CM143" s="489"/>
      <c r="CN143" s="489"/>
      <c r="CO143" s="490"/>
      <c r="CP143" s="442"/>
      <c r="CQ143" s="488"/>
      <c r="CR143" s="489"/>
      <c r="CS143" s="489"/>
      <c r="CT143" s="490"/>
      <c r="CU143" s="442"/>
      <c r="CV143" s="488"/>
      <c r="CW143" s="489"/>
      <c r="CX143" s="489"/>
      <c r="CY143" s="490"/>
      <c r="CZ143" s="442"/>
      <c r="DA143" s="488"/>
      <c r="DB143" s="489"/>
      <c r="DC143" s="489"/>
      <c r="DD143" s="490"/>
      <c r="DE143" s="442"/>
      <c r="DF143" s="488"/>
      <c r="DG143" s="489"/>
      <c r="DH143" s="489"/>
      <c r="DI143" s="490"/>
      <c r="DJ143" s="442"/>
      <c r="DK143" s="488"/>
      <c r="DL143" s="489"/>
      <c r="DM143" s="489"/>
      <c r="DN143" s="490"/>
      <c r="DO143" s="442"/>
      <c r="DP143" s="488"/>
      <c r="DQ143" s="489"/>
      <c r="DR143" s="489"/>
      <c r="DS143" s="490"/>
      <c r="DT143" s="442"/>
    </row>
    <row r="144" spans="1:124" ht="12.75" customHeight="1" x14ac:dyDescent="0.2">
      <c r="B144" s="16" t="s">
        <v>338</v>
      </c>
      <c r="C144" s="16"/>
      <c r="D144" s="17"/>
      <c r="E144" s="530"/>
      <c r="F144" s="537"/>
      <c r="G144" s="537"/>
      <c r="H144" s="586"/>
      <c r="I144" s="492"/>
      <c r="J144" s="444"/>
      <c r="K144" s="392"/>
      <c r="L144" s="393"/>
      <c r="M144" s="394"/>
      <c r="N144" s="395"/>
      <c r="O144" s="395"/>
      <c r="P144" s="396"/>
      <c r="Q144" s="397"/>
      <c r="R144" s="394"/>
      <c r="S144" s="395"/>
      <c r="T144" s="395"/>
      <c r="U144" s="396"/>
      <c r="V144" s="397"/>
      <c r="W144" s="394"/>
      <c r="X144" s="395"/>
      <c r="Y144" s="395"/>
      <c r="Z144" s="396"/>
      <c r="AA144" s="397"/>
      <c r="AB144" s="394"/>
      <c r="AC144" s="395"/>
      <c r="AD144" s="395"/>
      <c r="AE144" s="396"/>
      <c r="AF144" s="397"/>
      <c r="AG144" s="394"/>
      <c r="AH144" s="395"/>
      <c r="AI144" s="395"/>
      <c r="AJ144" s="396"/>
      <c r="AK144" s="397"/>
      <c r="AL144" s="394"/>
      <c r="AM144" s="395"/>
      <c r="AN144" s="395"/>
      <c r="AO144" s="396"/>
      <c r="AP144" s="397"/>
      <c r="AQ144" s="394"/>
      <c r="AR144" s="395"/>
      <c r="AS144" s="395"/>
      <c r="AT144" s="396"/>
      <c r="AU144" s="397"/>
      <c r="AV144" s="394"/>
      <c r="AW144" s="395"/>
      <c r="AX144" s="395"/>
      <c r="AY144" s="396"/>
      <c r="AZ144" s="397"/>
      <c r="BA144" s="394"/>
      <c r="BB144" s="395"/>
      <c r="BC144" s="395"/>
      <c r="BD144" s="396"/>
      <c r="BE144" s="397"/>
      <c r="BF144" s="394"/>
      <c r="BG144" s="395"/>
      <c r="BH144" s="395"/>
      <c r="BI144" s="396"/>
      <c r="BJ144" s="397"/>
      <c r="BK144" s="394"/>
      <c r="BL144" s="395"/>
      <c r="BM144" s="395"/>
      <c r="BN144" s="396"/>
      <c r="BO144" s="397"/>
      <c r="BP144" s="445"/>
      <c r="BQ144" s="399"/>
      <c r="BR144" s="400"/>
      <c r="BS144" s="401"/>
      <c r="BT144" s="401"/>
      <c r="BU144" s="402"/>
      <c r="BV144" s="403"/>
      <c r="BW144" s="400"/>
      <c r="BX144" s="401"/>
      <c r="BY144" s="401"/>
      <c r="BZ144" s="402"/>
      <c r="CA144" s="403"/>
      <c r="CB144" s="400"/>
      <c r="CC144" s="401"/>
      <c r="CD144" s="401"/>
      <c r="CE144" s="402"/>
      <c r="CF144" s="403"/>
      <c r="CG144" s="400"/>
      <c r="CH144" s="401"/>
      <c r="CI144" s="401"/>
      <c r="CJ144" s="402"/>
      <c r="CK144" s="403"/>
      <c r="CL144" s="400"/>
      <c r="CM144" s="401"/>
      <c r="CN144" s="401"/>
      <c r="CO144" s="402"/>
      <c r="CP144" s="403"/>
      <c r="CQ144" s="400"/>
      <c r="CR144" s="401"/>
      <c r="CS144" s="401"/>
      <c r="CT144" s="402"/>
      <c r="CU144" s="403"/>
      <c r="CV144" s="400"/>
      <c r="CW144" s="401"/>
      <c r="CX144" s="401"/>
      <c r="CY144" s="402"/>
      <c r="CZ144" s="403"/>
      <c r="DA144" s="400"/>
      <c r="DB144" s="401"/>
      <c r="DC144" s="401"/>
      <c r="DD144" s="402"/>
      <c r="DE144" s="403"/>
      <c r="DF144" s="400"/>
      <c r="DG144" s="401"/>
      <c r="DH144" s="401"/>
      <c r="DI144" s="402"/>
      <c r="DJ144" s="403"/>
      <c r="DK144" s="400"/>
      <c r="DL144" s="401"/>
      <c r="DM144" s="401"/>
      <c r="DN144" s="402"/>
      <c r="DO144" s="403"/>
      <c r="DP144" s="400"/>
      <c r="DQ144" s="401"/>
      <c r="DR144" s="401"/>
      <c r="DS144" s="402"/>
      <c r="DT144" s="403"/>
    </row>
    <row r="145" spans="1:139" ht="12.75" customHeight="1" x14ac:dyDescent="0.2">
      <c r="C145" s="26"/>
      <c r="D145" s="26"/>
      <c r="E145" s="530"/>
      <c r="F145" s="537"/>
      <c r="G145" s="537"/>
      <c r="H145" s="580"/>
      <c r="I145" s="390"/>
      <c r="J145" s="391"/>
      <c r="K145" s="392"/>
      <c r="L145" s="393"/>
      <c r="M145" s="394"/>
      <c r="N145" s="395"/>
      <c r="O145" s="395"/>
      <c r="P145" s="396"/>
      <c r="Q145" s="397"/>
      <c r="R145" s="394"/>
      <c r="S145" s="395"/>
      <c r="T145" s="395"/>
      <c r="U145" s="396"/>
      <c r="V145" s="397"/>
      <c r="W145" s="394"/>
      <c r="X145" s="395"/>
      <c r="Y145" s="395"/>
      <c r="Z145" s="396"/>
      <c r="AA145" s="397"/>
      <c r="AB145" s="394"/>
      <c r="AC145" s="395"/>
      <c r="AD145" s="395"/>
      <c r="AE145" s="396"/>
      <c r="AF145" s="397"/>
      <c r="AG145" s="394"/>
      <c r="AH145" s="395"/>
      <c r="AI145" s="395"/>
      <c r="AJ145" s="396"/>
      <c r="AK145" s="397"/>
      <c r="AL145" s="394"/>
      <c r="AM145" s="395"/>
      <c r="AN145" s="395"/>
      <c r="AO145" s="396"/>
      <c r="AP145" s="397"/>
      <c r="AQ145" s="394"/>
      <c r="AR145" s="395"/>
      <c r="AS145" s="395"/>
      <c r="AT145" s="396"/>
      <c r="AU145" s="397"/>
      <c r="AV145" s="394"/>
      <c r="AW145" s="395"/>
      <c r="AX145" s="395"/>
      <c r="AY145" s="396"/>
      <c r="AZ145" s="397"/>
      <c r="BA145" s="394"/>
      <c r="BB145" s="395"/>
      <c r="BC145" s="395"/>
      <c r="BD145" s="396"/>
      <c r="BE145" s="397"/>
      <c r="BF145" s="394"/>
      <c r="BG145" s="395"/>
      <c r="BH145" s="395"/>
      <c r="BI145" s="396"/>
      <c r="BJ145" s="397"/>
      <c r="BK145" s="394"/>
      <c r="BL145" s="395"/>
      <c r="BM145" s="395"/>
      <c r="BN145" s="396"/>
      <c r="BO145" s="397"/>
      <c r="BP145" s="445"/>
      <c r="BQ145" s="399"/>
      <c r="BR145" s="400"/>
      <c r="BS145" s="401"/>
      <c r="BT145" s="401"/>
      <c r="BU145" s="402"/>
      <c r="BV145" s="403"/>
      <c r="BW145" s="400"/>
      <c r="BX145" s="401"/>
      <c r="BY145" s="401"/>
      <c r="BZ145" s="402"/>
      <c r="CA145" s="403"/>
      <c r="CB145" s="400"/>
      <c r="CC145" s="401"/>
      <c r="CD145" s="401"/>
      <c r="CE145" s="402"/>
      <c r="CF145" s="403"/>
      <c r="CG145" s="400"/>
      <c r="CH145" s="401"/>
      <c r="CI145" s="401"/>
      <c r="CJ145" s="402"/>
      <c r="CK145" s="403"/>
      <c r="CL145" s="400"/>
      <c r="CM145" s="401"/>
      <c r="CN145" s="401"/>
      <c r="CO145" s="402"/>
      <c r="CP145" s="403"/>
      <c r="CQ145" s="400"/>
      <c r="CR145" s="401"/>
      <c r="CS145" s="401"/>
      <c r="CT145" s="402"/>
      <c r="CU145" s="403"/>
      <c r="CV145" s="400"/>
      <c r="CW145" s="401"/>
      <c r="CX145" s="401"/>
      <c r="CY145" s="402"/>
      <c r="CZ145" s="403"/>
      <c r="DA145" s="400"/>
      <c r="DB145" s="401"/>
      <c r="DC145" s="401"/>
      <c r="DD145" s="402"/>
      <c r="DE145" s="403"/>
      <c r="DF145" s="400"/>
      <c r="DG145" s="401"/>
      <c r="DH145" s="401"/>
      <c r="DI145" s="402"/>
      <c r="DJ145" s="403"/>
      <c r="DK145" s="400"/>
      <c r="DL145" s="401"/>
      <c r="DM145" s="401"/>
      <c r="DN145" s="402"/>
      <c r="DO145" s="403"/>
      <c r="DP145" s="400"/>
      <c r="DQ145" s="401"/>
      <c r="DR145" s="401"/>
      <c r="DS145" s="402"/>
      <c r="DT145" s="403"/>
    </row>
    <row r="146" spans="1:139" ht="12.75" customHeight="1" x14ac:dyDescent="0.2">
      <c r="C146" s="240" t="s">
        <v>333</v>
      </c>
      <c r="D146" s="240"/>
      <c r="E146" s="530"/>
      <c r="F146" s="537"/>
      <c r="G146" s="537"/>
      <c r="H146" s="449"/>
      <c r="I146" s="390"/>
      <c r="J146" s="391"/>
      <c r="K146" s="448"/>
      <c r="L146" s="393"/>
      <c r="M146" s="394"/>
      <c r="N146" s="395"/>
      <c r="O146" s="395"/>
      <c r="P146" s="396"/>
      <c r="Q146" s="397"/>
      <c r="R146" s="394"/>
      <c r="S146" s="395"/>
      <c r="T146" s="395"/>
      <c r="U146" s="396"/>
      <c r="V146" s="397"/>
      <c r="W146" s="394"/>
      <c r="X146" s="395"/>
      <c r="Y146" s="395"/>
      <c r="Z146" s="396"/>
      <c r="AA146" s="397"/>
      <c r="AB146" s="394"/>
      <c r="AC146" s="395"/>
      <c r="AD146" s="395"/>
      <c r="AE146" s="396"/>
      <c r="AF146" s="397"/>
      <c r="AG146" s="394"/>
      <c r="AH146" s="395"/>
      <c r="AI146" s="395"/>
      <c r="AJ146" s="396"/>
      <c r="AK146" s="397"/>
      <c r="AL146" s="394"/>
      <c r="AM146" s="395"/>
      <c r="AN146" s="395"/>
      <c r="AO146" s="396"/>
      <c r="AP146" s="397"/>
      <c r="AQ146" s="394"/>
      <c r="AR146" s="395"/>
      <c r="AS146" s="395"/>
      <c r="AT146" s="396"/>
      <c r="AU146" s="397"/>
      <c r="AV146" s="394"/>
      <c r="AW146" s="395"/>
      <c r="AX146" s="395"/>
      <c r="AY146" s="396"/>
      <c r="AZ146" s="397"/>
      <c r="BA146" s="394"/>
      <c r="BB146" s="395"/>
      <c r="BC146" s="395"/>
      <c r="BD146" s="396"/>
      <c r="BE146" s="397"/>
      <c r="BF146" s="394"/>
      <c r="BG146" s="395"/>
      <c r="BH146" s="395"/>
      <c r="BI146" s="396"/>
      <c r="BJ146" s="397"/>
      <c r="BK146" s="394"/>
      <c r="BL146" s="395"/>
      <c r="BM146" s="395"/>
      <c r="BN146" s="396"/>
      <c r="BO146" s="397"/>
      <c r="BP146" s="445"/>
      <c r="BQ146" s="399"/>
      <c r="BR146" s="400"/>
      <c r="BS146" s="401"/>
      <c r="BT146" s="401"/>
      <c r="BU146" s="402"/>
      <c r="BV146" s="403"/>
      <c r="BW146" s="400"/>
      <c r="BX146" s="401"/>
      <c r="BY146" s="401"/>
      <c r="BZ146" s="402"/>
      <c r="CA146" s="403"/>
      <c r="CB146" s="400"/>
      <c r="CC146" s="401"/>
      <c r="CD146" s="401"/>
      <c r="CE146" s="402"/>
      <c r="CF146" s="403"/>
      <c r="CG146" s="400"/>
      <c r="CH146" s="401"/>
      <c r="CI146" s="401"/>
      <c r="CJ146" s="402"/>
      <c r="CK146" s="403"/>
      <c r="CL146" s="400"/>
      <c r="CM146" s="401"/>
      <c r="CN146" s="401"/>
      <c r="CO146" s="402"/>
      <c r="CP146" s="403"/>
      <c r="CQ146" s="400"/>
      <c r="CR146" s="401"/>
      <c r="CS146" s="401"/>
      <c r="CT146" s="402"/>
      <c r="CU146" s="403"/>
      <c r="CV146" s="400"/>
      <c r="CW146" s="401"/>
      <c r="CX146" s="401"/>
      <c r="CY146" s="402"/>
      <c r="CZ146" s="403"/>
      <c r="DA146" s="400"/>
      <c r="DB146" s="401"/>
      <c r="DC146" s="401"/>
      <c r="DD146" s="402"/>
      <c r="DE146" s="403"/>
      <c r="DF146" s="400"/>
      <c r="DG146" s="401"/>
      <c r="DH146" s="401"/>
      <c r="DI146" s="402"/>
      <c r="DJ146" s="403"/>
      <c r="DK146" s="400"/>
      <c r="DL146" s="401"/>
      <c r="DM146" s="401"/>
      <c r="DN146" s="402"/>
      <c r="DO146" s="403"/>
      <c r="DP146" s="400"/>
      <c r="DQ146" s="401"/>
      <c r="DR146" s="401"/>
      <c r="DS146" s="402"/>
      <c r="DT146" s="403"/>
    </row>
    <row r="147" spans="1:139" ht="12.75" customHeight="1" x14ac:dyDescent="0.2">
      <c r="C147" s="52" t="s">
        <v>379</v>
      </c>
      <c r="D147" s="70"/>
      <c r="E147" s="530">
        <f>IF(F147=0,G147,F147)</f>
        <v>250</v>
      </c>
      <c r="F147" s="532">
        <v>0</v>
      </c>
      <c r="G147" s="532">
        <v>250</v>
      </c>
      <c r="H147" s="449">
        <v>2017</v>
      </c>
      <c r="I147" s="450">
        <v>8.7499999999999994E-2</v>
      </c>
      <c r="J147" s="451">
        <v>8</v>
      </c>
      <c r="K147" s="392"/>
      <c r="L147" s="397">
        <f>IF(L$5=$H147,-$E147,0)</f>
        <v>0</v>
      </c>
      <c r="M147" s="394">
        <f>IF(Q147=0,0,IF(Q147&lt;0,IF($J147=3,Q147,IF($J147=2,Q147,IF($J147=1,Q147,0)))))</f>
        <v>0</v>
      </c>
      <c r="N147" s="404">
        <f>IF(Q147=0,0,IF(Q147&lt;0,IF($J147=6,Q147,IF($J147=5,Q147,IF($J147=4,Q147,0)))))</f>
        <v>0</v>
      </c>
      <c r="O147" s="404">
        <f>IF(Q147=0,0,IF(Q147&lt;0,IF($J147=9,Q147,IF($J147=8,Q147,IF($J147=7,Q147,0)))))</f>
        <v>0</v>
      </c>
      <c r="P147" s="396">
        <f>IF(Q147=0,0,IF(Q147&lt;0,IF($J147=12,Q147,IF($J147=11,Q147,IF($J147=10,Q147,0)))))</f>
        <v>0</v>
      </c>
      <c r="Q147" s="397">
        <f>IF(Q$5=$H147,-$E147,0)</f>
        <v>0</v>
      </c>
      <c r="R147" s="394">
        <f>IF(V147=0,0,IF(V147&lt;0,IF($J147=3,V147,IF($J147=2,V147,IF($J147=1,V147,0)))))</f>
        <v>0</v>
      </c>
      <c r="S147" s="404">
        <f>IF(V147=0,0,IF(V147&lt;0,IF($J147=6,V147,IF($J147=5,V147,IF($J147=4,V147,0)))))</f>
        <v>0</v>
      </c>
      <c r="T147" s="404">
        <f>IF(V147=0,0,IF(V147&lt;0,IF($J147=9,V147,IF($J147=8,V147,IF($J147=7,V147,0)))))</f>
        <v>0</v>
      </c>
      <c r="U147" s="396">
        <f>IF(V147=0,0,IF(V147&lt;0,IF($J147=12,V147,IF($J147=11,V147,IF($J147=10,V147,0)))))</f>
        <v>0</v>
      </c>
      <c r="V147" s="397">
        <f>IF(V$5=$H147,-$E147,0)</f>
        <v>0</v>
      </c>
      <c r="W147" s="394">
        <f>IF(AA147=0,0,IF(AA147&lt;0,IF($J147=3,AA147,IF($J147=2,AA147,IF($J147=1,AA147,0)))))</f>
        <v>0</v>
      </c>
      <c r="X147" s="404">
        <f>IF(AA147=0,0,IF(AA147&lt;0,IF($J147=6,AA147,IF($J147=5,AA147,IF($J147=4,AA147,0)))))</f>
        <v>0</v>
      </c>
      <c r="Y147" s="404">
        <f>IF(AA147=0,0,IF(AA147&lt;0,IF($J147=9,AA147,IF($J147=8,AA147,IF($J147=7,AA147,0)))))</f>
        <v>0</v>
      </c>
      <c r="Z147" s="396">
        <f>IF(AA147=0,0,IF(AA147&lt;0,IF($J147=12,AA147,IF($J147=11,AA147,IF($J147=10,AA147,0)))))</f>
        <v>0</v>
      </c>
      <c r="AA147" s="397">
        <f>IF(AA$5=$H147,-$E147,0)</f>
        <v>0</v>
      </c>
      <c r="AB147" s="394">
        <f>IF(AF147=0,0,IF(AF147&lt;0,IF($J147=3,AF147,IF($J147=2,AF147,IF($J147=1,AF147,0)))))</f>
        <v>0</v>
      </c>
      <c r="AC147" s="404">
        <f>IF(AF147=0,0,IF(AF147&lt;0,IF($J147=6,AF147,IF($J147=5,AF147,IF($J147=4,AF147,0)))))</f>
        <v>0</v>
      </c>
      <c r="AD147" s="404">
        <f>IF(AF147=0,0,IF(AF147&lt;0,IF($J147=9,AF147,IF($J147=8,AF147,IF($J147=7,AF147,0)))))</f>
        <v>0</v>
      </c>
      <c r="AE147" s="396">
        <f>IF(AF147=0,0,IF(AF147&lt;0,IF($J147=12,AF147,IF($J147=11,AF147,IF($J147=10,AF147,0)))))</f>
        <v>0</v>
      </c>
      <c r="AF147" s="397">
        <f>IF(AF$5=$H147,-$E147,0)</f>
        <v>0</v>
      </c>
      <c r="AG147" s="394">
        <f>IF(AK147=0,0,IF(AK147&lt;0,IF($J147=3,AK147,IF($J147=2,AK147,IF($J147=1,AK147,0)))))</f>
        <v>0</v>
      </c>
      <c r="AH147" s="404">
        <f>IF(AK147=0,0,IF(AK147&lt;0,IF($J147=6,AK147,IF($J147=5,AK147,IF($J147=4,AK147,0)))))</f>
        <v>0</v>
      </c>
      <c r="AI147" s="404">
        <f>IF(AK147=0,0,IF(AK147&lt;0,IF($J147=9,AK147,IF($J147=8,AK147,IF($J147=7,AK147,0)))))</f>
        <v>0</v>
      </c>
      <c r="AJ147" s="396">
        <f>IF(AK147=0,0,IF(AK147&lt;0,IF($J147=12,AK147,IF($J147=11,AK147,IF($J147=10,AK147,0)))))</f>
        <v>0</v>
      </c>
      <c r="AK147" s="397">
        <f>IF(AK$5=$H147,-$E147,0)</f>
        <v>0</v>
      </c>
      <c r="AL147" s="394">
        <f>IF(AP147=0,0,IF(AP147&lt;0,IF($J147=3,AP147,IF($J147=2,AP147,IF($J147=1,AP147,0)))))</f>
        <v>0</v>
      </c>
      <c r="AM147" s="404">
        <f>IF(AP147=0,0,IF(AP147&lt;0,IF($J147=6,AP147,IF($J147=5,AP147,IF($J147=4,AP147,0)))))</f>
        <v>0</v>
      </c>
      <c r="AN147" s="404">
        <f>IF(AP147=0,0,IF(AP147&lt;0,IF($J147=9,AP147,IF($J147=8,AP147,IF($J147=7,AP147,0)))))</f>
        <v>0</v>
      </c>
      <c r="AO147" s="396">
        <f>IF(AP147=0,0,IF(AP147&lt;0,IF($J147=12,AP147,IF($J147=11,AP147,IF($J147=10,AP147,0)))))</f>
        <v>0</v>
      </c>
      <c r="AP147" s="397">
        <f>IF(AP$5=$H147,-$E147,0)</f>
        <v>0</v>
      </c>
      <c r="AQ147" s="394">
        <f>IF(AU147=0,0,IF(AU147&lt;0,IF($J147=3,AU147,IF($J147=2,AU147,IF($J147=1,AU147,0)))))</f>
        <v>0</v>
      </c>
      <c r="AR147" s="404">
        <f>IF(AU147=0,0,IF(AU147&lt;0,IF($J147=6,AU147,IF($J147=5,AU147,IF($J147=4,AU147,0)))))</f>
        <v>0</v>
      </c>
      <c r="AS147" s="404">
        <f>IF(AU147=0,0,IF(AU147&lt;0,IF($J147=9,AU147,IF($J147=8,AU147,IF($J147=7,AU147,0)))))</f>
        <v>-250</v>
      </c>
      <c r="AT147" s="396">
        <f>IF(AU147=0,0,IF(AU147&lt;0,IF($J147=12,AU147,IF($J147=11,AU147,IF($J147=10,AU147,0)))))</f>
        <v>0</v>
      </c>
      <c r="AU147" s="397">
        <f>IF(AU$5=$H147,-$E147,0)</f>
        <v>-250</v>
      </c>
      <c r="AV147" s="394">
        <f>IF(AZ147=0,0,IF(AZ147&lt;0,IF($J147=3,AZ147,IF($J147=2,AZ147,IF($J147=1,AZ147,0)))))</f>
        <v>0</v>
      </c>
      <c r="AW147" s="404">
        <f>IF(AZ147=0,0,IF(AZ147&lt;0,IF($J147=6,AZ147,IF($J147=5,AZ147,IF($J147=4,AZ147,0)))))</f>
        <v>0</v>
      </c>
      <c r="AX147" s="404">
        <f>IF(AZ147=0,0,IF(AZ147&lt;0,IF($J147=9,AZ147,IF($J147=8,AZ147,IF($J147=7,AZ147,0)))))</f>
        <v>0</v>
      </c>
      <c r="AY147" s="396">
        <f>IF(AZ147=0,0,IF(AZ147&lt;0,IF($J147=12,AZ147,IF($J147=11,AZ147,IF($J147=10,AZ147,0)))))</f>
        <v>0</v>
      </c>
      <c r="AZ147" s="397">
        <f>IF(AZ$5=$H147,-$E147,0)</f>
        <v>0</v>
      </c>
      <c r="BA147" s="394">
        <f>IF(BE147=0,0,IF(BE147&lt;0,IF($J147=3,BE147,IF($J147=2,BE147,IF($J147=1,BE147,0)))))</f>
        <v>0</v>
      </c>
      <c r="BB147" s="404">
        <f>IF(BE147=0,0,IF(BE147&lt;0,IF($J147=6,BE147,IF($J147=5,BE147,IF($J147=4,BE147,0)))))</f>
        <v>0</v>
      </c>
      <c r="BC147" s="404">
        <f>IF(BE147=0,0,IF(BE147&lt;0,IF($J147=9,BE147,IF($J147=8,BE147,IF($J147=7,BE147,0)))))</f>
        <v>0</v>
      </c>
      <c r="BD147" s="396">
        <f>IF(BE147=0,0,IF(BE147&lt;0,IF($J147=12,BE147,IF($J147=11,BE147,IF($J147=10,BE147,0)))))</f>
        <v>0</v>
      </c>
      <c r="BE147" s="397">
        <f>IF(BE$5=$H147,-$E147,0)</f>
        <v>0</v>
      </c>
      <c r="BF147" s="394">
        <f>IF(BJ147=0,0,IF(BJ147&lt;0,IF($J147=3,BJ147,IF($J147=2,BJ147,IF($J147=1,BJ147,0)))))</f>
        <v>0</v>
      </c>
      <c r="BG147" s="404">
        <f>IF(BJ147=0,0,IF(BJ147&lt;0,IF($J147=6,BJ147,IF($J147=5,BJ147,IF($J147=4,BJ147,0)))))</f>
        <v>0</v>
      </c>
      <c r="BH147" s="404">
        <f>IF(BJ147=0,0,IF(BJ147&lt;0,IF($J147=9,BJ147,IF($J147=8,BJ147,IF($J147=7,BJ147,0)))))</f>
        <v>0</v>
      </c>
      <c r="BI147" s="396">
        <f>IF(BJ147=0,0,IF(BJ147&lt;0,IF($J147=12,BJ147,IF($J147=11,BJ147,IF($J147=10,BJ147,0)))))</f>
        <v>0</v>
      </c>
      <c r="BJ147" s="397">
        <f>IF(BJ$5=$H147,-$E147,0)</f>
        <v>0</v>
      </c>
      <c r="BK147" s="394">
        <f>IF(BO147=0,0,IF(BO147&lt;0,IF($J147=3,BO147,IF($J147=2,BO147,IF($J147=1,BO147,0)))))</f>
        <v>0</v>
      </c>
      <c r="BL147" s="404">
        <f>IF(BO147=0,0,IF(BO147&lt;0,IF($J147=6,BO147,IF($J147=5,BO147,IF($J147=4,BO147,0)))))</f>
        <v>0</v>
      </c>
      <c r="BM147" s="404">
        <f>IF(BO147=0,0,IF(BO147&lt;0,IF($J147=9,BO147,IF($J147=8,BO147,IF($J147=7,BO147,0)))))</f>
        <v>0</v>
      </c>
      <c r="BN147" s="396">
        <f>IF(BO147=0,0,IF(BO147&lt;0,IF($J147=12,BO147,IF($J147=11,BO147,IF($J147=10,BO147,0)))))</f>
        <v>0</v>
      </c>
      <c r="BO147" s="397">
        <f>IF(BO$5=$H147,-$E147,0)</f>
        <v>0</v>
      </c>
      <c r="BP147" s="452"/>
      <c r="BQ147" s="403">
        <f>IF(AND(BP147&lt;&gt;0,BP$5=$H147),-$I147*$E147-BP147,IF(BQ$5=$H147,-$I147*$E147*(12-$J147+1)/12,0))</f>
        <v>0</v>
      </c>
      <c r="BR147" s="400">
        <f>IF($H147&lt;&gt;BV$5,0,IF(BV147&lt;0,IF($J147=1,-$E147*$I147/12*3,IF($J147=2,-$E147*$I147/12*2,IF($J147=3,-$E147*$I147/12*1,0)))))+IF(BQ$5&lt;&gt;$H147,0,IF(BQ147&lt;0,IF($J147=1,-$E147*$I147/12*0,IF($J147=2,-$E147*$I147/12*1,IF($J147=3,-$E147*$I147/12*2,IF($J147&gt;=4,-$E147*$I147/12*3,0))))))</f>
        <v>0</v>
      </c>
      <c r="BS147" s="406">
        <f>IF($H147&lt;&gt;BV$5,0,IF(BV147&lt;0,IF(OR($J147=1,$J147=2,$J147=3,$J147=4),-$E147*$I147/12*3,IF($J147=5,-$E147*$I147/12*2,IF($J147=6,-$E147*$I147/12*1,0)))))+IF(BQ$5&lt;&gt;$H147,0,IF(BQ147&lt;0,IF($J147=4,-$E147*$I147/12*0,IF($J147=5,-$E147*$I147/12*1,IF($J147=6,-$E147*$I147/12*2,IF($J147&gt;=7,-$E147*$I147/12*3,0))))))</f>
        <v>0</v>
      </c>
      <c r="BT147" s="406">
        <f>IF($H147&lt;&gt;BV$5,0,IF(BV147&lt;0,IF(OR($J147=1,$J147=2,$J147=3,$J147=4,$J147=5,$J147=6,$J147=7),-$E147*$I147/12*3,IF($J147=8,-$E147*$I147/12*2,IF($J147=9,-$E147*$I147/12*1,0)))))+IF(BQ$5&lt;&gt;$H147,0,IF(BQ147&lt;0,IF($J147=7,-$E147*$I147/12*0,IF($J147=8,-$E147*$I147/12*1,IF($J147=9,-$E147*$I147/12*2,IF($J147&gt;=10,-$E147*$I147/12*3,0))))))</f>
        <v>0</v>
      </c>
      <c r="BU147" s="402">
        <f>IF($H147&lt;&gt;BV$5,0,IF(BV147&lt;0,IF(OR($J147=1,$J147=2,$J147=3,$J147=4,$J147=5,$J147=6,$J147=7,$J147=8,$J147=9,$J147=10),-$E147*$I147/12*3,IF($J147=11,-$E147*$I147/12*2,IF($J147=12,-$E147*$I147/12*1,0)))))+IF(BQ$5&lt;&gt;$H147,0,IF(BQ147&lt;0,IF($J147=10,-$E147*$I147/12*0,IF($J147=11,-$E147*$I147/12*1,IF($J147=12,-$E147*$I147/12*2,0)))))</f>
        <v>0</v>
      </c>
      <c r="BV147" s="403">
        <f>IF(AND(BQ147&lt;&gt;0,BQ$5=$H147),-$I147*$E147-BQ147,IF(BV$5=$H147,-$I147*$E147*(12-$J147+1)/12,0))</f>
        <v>0</v>
      </c>
      <c r="BW147" s="400">
        <f>IF($H147&lt;&gt;CA$5,0,IF(CA147&lt;0,IF($J147=1,-$E147*$I147/12*3,IF($J147=2,-$E147*$I147/12*2,IF($J147=3,-$E147*$I147/12*1,0)))))+IF(BV$5&lt;&gt;$H147,0,IF(BV147&lt;0,IF($J147=1,-$E147*$I147/12*0,IF($J147=2,-$E147*$I147/12*1,IF($J147=3,-$E147*$I147/12*2,IF($J147&gt;=4,-$E147*$I147/12*3,0))))))</f>
        <v>0</v>
      </c>
      <c r="BX147" s="406">
        <f>IF($H147&lt;&gt;CA$5,0,IF(CA147&lt;0,IF(OR($J147=1,$J147=2,$J147=3,$J147=4),-$E147*$I147/12*3,IF($J147=5,-$E147*$I147/12*2,IF($J147=6,-$E147*$I147/12*1,0)))))+IF(BV$5&lt;&gt;$H147,0,IF(BV147&lt;0,IF($J147=4,-$E147*$I147/12*0,IF($J147=5,-$E147*$I147/12*1,IF($J147=6,-$E147*$I147/12*2,IF($J147&gt;=7,-$E147*$I147/12*3,0))))))</f>
        <v>0</v>
      </c>
      <c r="BY147" s="406">
        <f>IF($H147&lt;&gt;CA$5,0,IF(CA147&lt;0,IF(OR($J147=1,$J147=2,$J147=3,$J147=4,$J147=5,$J147=6,$J147=7),-$E147*$I147/12*3,IF($J147=8,-$E147*$I147/12*2,IF($J147=9,-$E147*$I147/12*1,0)))))+IF(BV$5&lt;&gt;$H147,0,IF(BV147&lt;0,IF($J147=7,-$E147*$I147/12*0,IF($J147=8,-$E147*$I147/12*1,IF($J147=9,-$E147*$I147/12*2,IF($J147&gt;=10,-$E147*$I147/12*3,0))))))</f>
        <v>0</v>
      </c>
      <c r="BZ147" s="402">
        <f>IF($H147&lt;&gt;CA$5,0,IF(CA147&lt;0,IF(OR($J147=1,$J147=2,$J147=3,$J147=4,$J147=5,$J147=6,$J147=7,$J147=8,$J147=9,$J147=10),-$E147*$I147/12*3,IF($J147=11,-$E147*$I147/12*2,IF($J147=12,-$E147*$I147/12*1,0)))))+IF(BV$5&lt;&gt;$H147,0,IF(BV147&lt;0,IF($J147=10,-$E147*$I147/12*0,IF($J147=11,-$E147*$I147/12*1,IF($J147=12,-$E147*$I147/12*2,0)))))</f>
        <v>0</v>
      </c>
      <c r="CA147" s="403">
        <f>IF(AND(BV147&lt;&gt;0,BV$5=$H147),-$I147*$E147-BV147,IF(CA$5=$H147,-$I147*$E147*(12-$J147+1)/12,0))</f>
        <v>0</v>
      </c>
      <c r="CB147" s="400">
        <f>IF($H147&lt;&gt;CF$5,0,IF(CF147&lt;0,IF($J147=1,-$E147*$I147/12*3,IF($J147=2,-$E147*$I147/12*2,IF($J147=3,-$E147*$I147/12*1,0)))))+IF(CA$5&lt;&gt;$H147,0,IF(CA147&lt;0,IF($J147=1,-$E147*$I147/12*0,IF($J147=2,-$E147*$I147/12*1,IF($J147=3,-$E147*$I147/12*2,IF($J147&gt;=4,-$E147*$I147/12*3,0))))))</f>
        <v>0</v>
      </c>
      <c r="CC147" s="406">
        <f>IF($H147&lt;&gt;CF$5,0,IF(CF147&lt;0,IF(OR($J147=1,$J147=2,$J147=3,$J147=4),-$E147*$I147/12*3,IF($J147=5,-$E147*$I147/12*2,IF($J147=6,-$E147*$I147/12*1,0)))))+IF(CA$5&lt;&gt;$H147,0,IF(CA147&lt;0,IF($J147=4,-$E147*$I147/12*0,IF($J147=5,-$E147*$I147/12*1,IF($J147=6,-$E147*$I147/12*2,IF($J147&gt;=7,-$E147*$I147/12*3,0))))))</f>
        <v>0</v>
      </c>
      <c r="CD147" s="406">
        <f>IF($H147&lt;&gt;CF$5,0,IF(CF147&lt;0,IF(OR($J147=1,$J147=2,$J147=3,$J147=4,$J147=5,$J147=6,$J147=7),-$E147*$I147/12*3,IF($J147=8,-$E147*$I147/12*2,IF($J147=9,-$E147*$I147/12*1,0)))))+IF(CA$5&lt;&gt;$H147,0,IF(CA147&lt;0,IF($J147=7,-$E147*$I147/12*0,IF($J147=8,-$E147*$I147/12*1,IF($J147=9,-$E147*$I147/12*2,IF($J147&gt;=10,-$E147*$I147/12*3,0))))))</f>
        <v>0</v>
      </c>
      <c r="CE147" s="402">
        <f>IF($H147&lt;&gt;CF$5,0,IF(CF147&lt;0,IF(OR($J147=1,$J147=2,$J147=3,$J147=4,$J147=5,$J147=6,$J147=7,$J147=8,$J147=9,$J147=10),-$E147*$I147/12*3,IF($J147=11,-$E147*$I147/12*2,IF($J147=12,-$E147*$I147/12*1,0)))))+IF(CA$5&lt;&gt;$H147,0,IF(CA147&lt;0,IF($J147=10,-$E147*$I147/12*0,IF($J147=11,-$E147*$I147/12*1,IF($J147=12,-$E147*$I147/12*2,0)))))</f>
        <v>0</v>
      </c>
      <c r="CF147" s="403">
        <f>IF(AND(CA147&lt;&gt;0,CA$5=$H147),-$I147*$E147-CA147,IF(CF$5=$H147,-$I147*$E147*(12-$J147+1)/12,0))</f>
        <v>0</v>
      </c>
      <c r="CG147" s="400">
        <f>IF($H147&lt;&gt;CK$5,0,IF(CK147&lt;0,IF($J147=1,-$E147*$I147/12*3,IF($J147=2,-$E147*$I147/12*2,IF($J147=3,-$E147*$I147/12*1,0)))))+IF(CF$5&lt;&gt;$H147,0,IF(CF147&lt;0,IF($J147=1,-$E147*$I147/12*0,IF($J147=2,-$E147*$I147/12*1,IF($J147=3,-$E147*$I147/12*2,IF($J147&gt;=4,-$E147*$I147/12*3,0))))))</f>
        <v>0</v>
      </c>
      <c r="CH147" s="406">
        <f>IF($H147&lt;&gt;CK$5,0,IF(CK147&lt;0,IF(OR($J147=1,$J147=2,$J147=3,$J147=4),-$E147*$I147/12*3,IF($J147=5,-$E147*$I147/12*2,IF($J147=6,-$E147*$I147/12*1,0)))))+IF(CF$5&lt;&gt;$H147,0,IF(CF147&lt;0,IF($J147=4,-$E147*$I147/12*0,IF($J147=5,-$E147*$I147/12*1,IF($J147=6,-$E147*$I147/12*2,IF($J147&gt;=7,-$E147*$I147/12*3,0))))))</f>
        <v>0</v>
      </c>
      <c r="CI147" s="406">
        <f>IF($H147&lt;&gt;CK$5,0,IF(CK147&lt;0,IF(OR($J147=1,$J147=2,$J147=3,$J147=4,$J147=5,$J147=6,$J147=7),-$E147*$I147/12*3,IF($J147=8,-$E147*$I147/12*2,IF($J147=9,-$E147*$I147/12*1,0)))))+IF(CF$5&lt;&gt;$H147,0,IF(CF147&lt;0,IF($J147=7,-$E147*$I147/12*0,IF($J147=8,-$E147*$I147/12*1,IF($J147=9,-$E147*$I147/12*2,IF($J147&gt;=10,-$E147*$I147/12*3,0))))))</f>
        <v>0</v>
      </c>
      <c r="CJ147" s="402">
        <f>IF($H147&lt;&gt;CK$5,0,IF(CK147&lt;0,IF(OR($J147=1,$J147=2,$J147=3,$J147=4,$J147=5,$J147=6,$J147=7,$J147=8,$J147=9,$J147=10),-$E147*$I147/12*3,IF($J147=11,-$E147*$I147/12*2,IF($J147=12,-$E147*$I147/12*1,0)))))+IF(CF$5&lt;&gt;$H147,0,IF(CF147&lt;0,IF($J147=10,-$E147*$I147/12*0,IF($J147=11,-$E147*$I147/12*1,IF($J147=12,-$E147*$I147/12*2,0)))))</f>
        <v>0</v>
      </c>
      <c r="CK147" s="403">
        <f>IF(AND(CF147&lt;&gt;0,CF$5=$H147),-$I147*$E147-CF147,IF(CK$5=$H147,-$I147*$E147*(12-$J147+1)/12,0))</f>
        <v>0</v>
      </c>
      <c r="CL147" s="400">
        <f>IF($H147&lt;&gt;CP$5,0,IF(CP147&lt;0,IF($J147=1,-$E147*$I147/12*3,IF($J147=2,-$E147*$I147/12*2,IF($J147=3,-$E147*$I147/12*1,0)))))+IF(CK$5&lt;&gt;$H147,0,IF(CK147&lt;0,IF($J147=1,-$E147*$I147/12*0,IF($J147=2,-$E147*$I147/12*1,IF($J147=3,-$E147*$I147/12*2,IF($J147&gt;=4,-$E147*$I147/12*3,0))))))</f>
        <v>0</v>
      </c>
      <c r="CM147" s="406">
        <f>IF($H147&lt;&gt;CP$5,0,IF(CP147&lt;0,IF(OR($J147=1,$J147=2,$J147=3,$J147=4),-$E147*$I147/12*3,IF($J147=5,-$E147*$I147/12*2,IF($J147=6,-$E147*$I147/12*1,0)))))+IF(CK$5&lt;&gt;$H147,0,IF(CK147&lt;0,IF($J147=4,-$E147*$I147/12*0,IF($J147=5,-$E147*$I147/12*1,IF($J147=6,-$E147*$I147/12*2,IF($J147&gt;=7,-$E147*$I147/12*3,0))))))</f>
        <v>0</v>
      </c>
      <c r="CN147" s="406">
        <f>IF($H147&lt;&gt;CP$5,0,IF(CP147&lt;0,IF(OR($J147=1,$J147=2,$J147=3,$J147=4,$J147=5,$J147=6,$J147=7),-$E147*$I147/12*3,IF($J147=8,-$E147*$I147/12*2,IF($J147=9,-$E147*$I147/12*1,0)))))+IF(CK$5&lt;&gt;$H147,0,IF(CK147&lt;0,IF($J147=7,-$E147*$I147/12*0,IF($J147=8,-$E147*$I147/12*1,IF($J147=9,-$E147*$I147/12*2,IF($J147&gt;=10,-$E147*$I147/12*3,0))))))</f>
        <v>0</v>
      </c>
      <c r="CO147" s="402">
        <f>IF($H147&lt;&gt;CP$5,0,IF(CP147&lt;0,IF(OR($J147=1,$J147=2,$J147=3,$J147=4,$J147=5,$J147=6,$J147=7,$J147=8,$J147=9,$J147=10),-$E147*$I147/12*3,IF($J147=11,-$E147*$I147/12*2,IF($J147=12,-$E147*$I147/12*1,0)))))+IF(CK$5&lt;&gt;$H147,0,IF(CK147&lt;0,IF($J147=10,-$E147*$I147/12*0,IF($J147=11,-$E147*$I147/12*1,IF($J147=12,-$E147*$I147/12*2,0)))))</f>
        <v>0</v>
      </c>
      <c r="CP147" s="403">
        <f>IF(AND(CK147&lt;&gt;0,CK$5=$H147),-$I147*$E147-CK147,IF(CP$5=$H147,-$I147*$E147*(12-$J147+1)/12,0))</f>
        <v>0</v>
      </c>
      <c r="CQ147" s="400">
        <f>IF($H147&lt;&gt;CU$5,0,IF(CU147&lt;0,IF($J147=1,-$E147*$I147/12*3,IF($J147=2,-$E147*$I147/12*2,IF($J147=3,-$E147*$I147/12*1,0)))))+IF(CP$5&lt;&gt;$H147,0,IF(CP147&lt;0,IF($J147=1,-$E147*$I147/12*0,IF($J147=2,-$E147*$I147/12*1,IF($J147=3,-$E147*$I147/12*2,IF($J147&gt;=4,-$E147*$I147/12*3,0))))))</f>
        <v>0</v>
      </c>
      <c r="CR147" s="406">
        <f>IF($H147&lt;&gt;CU$5,0,IF(CU147&lt;0,IF(OR($J147=1,$J147=2,$J147=3,$J147=4),-$E147*$I147/12*3,IF($J147=5,-$E147*$I147/12*2,IF($J147=6,-$E147*$I147/12*1,0)))))+IF(CP$5&lt;&gt;$H147,0,IF(CP147&lt;0,IF($J147=4,-$E147*$I147/12*0,IF($J147=5,-$E147*$I147/12*1,IF($J147=6,-$E147*$I147/12*2,IF($J147&gt;=7,-$E147*$I147/12*3,0))))))</f>
        <v>0</v>
      </c>
      <c r="CS147" s="406">
        <f>IF($H147&lt;&gt;CU$5,0,IF(CU147&lt;0,IF(OR($J147=1,$J147=2,$J147=3,$J147=4,$J147=5,$J147=6,$J147=7),-$E147*$I147/12*3,IF($J147=8,-$E147*$I147/12*2,IF($J147=9,-$E147*$I147/12*1,0)))))+IF(CP$5&lt;&gt;$H147,0,IF(CP147&lt;0,IF($J147=7,-$E147*$I147/12*0,IF($J147=8,-$E147*$I147/12*1,IF($J147=9,-$E147*$I147/12*2,IF($J147&gt;=10,-$E147*$I147/12*3,0))))))</f>
        <v>0</v>
      </c>
      <c r="CT147" s="402">
        <f>IF($H147&lt;&gt;CU$5,0,IF(CU147&lt;0,IF(OR($J147=1,$J147=2,$J147=3,$J147=4,$J147=5,$J147=6,$J147=7,$J147=8,$J147=9,$J147=10),-$E147*$I147/12*3,IF($J147=11,-$E147*$I147/12*2,IF($J147=12,-$E147*$I147/12*1,0)))))+IF(CP$5&lt;&gt;$H147,0,IF(CP147&lt;0,IF($J147=10,-$E147*$I147/12*0,IF($J147=11,-$E147*$I147/12*1,IF($J147=12,-$E147*$I147/12*2,0)))))</f>
        <v>0</v>
      </c>
      <c r="CU147" s="403">
        <f>IF(AND(CP147&lt;&gt;0,CP$5=$H147),-$I147*$E147-CP147,IF(CU$5=$H147,-$I147*$E147*(12-$J147+1)/12,0))</f>
        <v>0</v>
      </c>
      <c r="CV147" s="400">
        <f>IF($H147&lt;&gt;CZ$5,0,IF(CZ147&lt;0,IF($J147=1,-$E147*$I147/12*3,IF($J147=2,-$E147*$I147/12*2,IF($J147=3,-$E147*$I147/12*1,0)))))+IF(CU$5&lt;&gt;$H147,0,IF(CU147&lt;0,IF($J147=1,-$E147*$I147/12*0,IF($J147=2,-$E147*$I147/12*1,IF($J147=3,-$E147*$I147/12*2,IF($J147&gt;=4,-$E147*$I147/12*3,0))))))</f>
        <v>0</v>
      </c>
      <c r="CW147" s="406">
        <f>IF($H147&lt;&gt;CZ$5,0,IF(CZ147&lt;0,IF(OR($J147=1,$J147=2,$J147=3,$J147=4),-$E147*$I147/12*3,IF($J147=5,-$E147*$I147/12*2,IF($J147=6,-$E147*$I147/12*1,0)))))+IF(CU$5&lt;&gt;$H147,0,IF(CU147&lt;0,IF($J147=4,-$E147*$I147/12*0,IF($J147=5,-$E147*$I147/12*1,IF($J147=6,-$E147*$I147/12*2,IF($J147&gt;=7,-$E147*$I147/12*3,0))))))</f>
        <v>0</v>
      </c>
      <c r="CX147" s="406">
        <f>IF($H147&lt;&gt;CZ$5,0,IF(CZ147&lt;0,IF(OR($J147=1,$J147=2,$J147=3,$J147=4,$J147=5,$J147=6,$J147=7),-$E147*$I147/12*3,IF($J147=8,-$E147*$I147/12*2,IF($J147=9,-$E147*$I147/12*1,0)))))+IF(CU$5&lt;&gt;$H147,0,IF(CU147&lt;0,IF($J147=7,-$E147*$I147/12*0,IF($J147=8,-$E147*$I147/12*1,IF($J147=9,-$E147*$I147/12*2,IF($J147&gt;=10,-$E147*$I147/12*3,0))))))</f>
        <v>-3.6458333333333335</v>
      </c>
      <c r="CY147" s="402">
        <f>IF($H147&lt;&gt;CZ$5,0,IF(CZ147&lt;0,IF(OR($J147=1,$J147=2,$J147=3,$J147=4,$J147=5,$J147=6,$J147=7,$J147=8,$J147=9,$J147=10),-$E147*$I147/12*3,IF($J147=11,-$E147*$I147/12*2,IF($J147=12,-$E147*$I147/12*1,0)))))+IF(CU$5&lt;&gt;$H147,0,IF(CU147&lt;0,IF($J147=10,-$E147*$I147/12*0,IF($J147=11,-$E147*$I147/12*1,IF($J147=12,-$E147*$I147/12*2,0)))))</f>
        <v>-5.46875</v>
      </c>
      <c r="CZ147" s="403">
        <f>IF(AND(CU147&lt;&gt;0,CU$5=$H147),-$I147*$E147-CU147,IF(CZ$5=$H147,-$I147*$E147*(12-$J147+1)/12,0))</f>
        <v>-9.1145833333333339</v>
      </c>
      <c r="DA147" s="400">
        <f>IF($H147&lt;&gt;DE$5,0,IF(DE147&lt;0,IF($J147=1,-$E147*$I147/12*3,IF($J147=2,-$E147*$I147/12*2,IF($J147=3,-$E147*$I147/12*1,0)))))+IF(CZ$5&lt;&gt;$H147,0,IF(CZ147&lt;0,IF($J147=1,-$E147*$I147/12*0,IF($J147=2,-$E147*$I147/12*1,IF($J147=3,-$E147*$I147/12*2,IF($J147&gt;=4,-$E147*$I147/12*3,0))))))</f>
        <v>-5.46875</v>
      </c>
      <c r="DB147" s="406">
        <f>IF($H147&lt;&gt;DE$5,0,IF(DE147&lt;0,IF(OR($J147=1,$J147=2,$J147=3,$J147=4),-$E147*$I147/12*3,IF($J147=5,-$E147*$I147/12*2,IF($J147=6,-$E147*$I147/12*1,0)))))+IF(CZ$5&lt;&gt;$H147,0,IF(CZ147&lt;0,IF($J147=4,-$E147*$I147/12*0,IF($J147=5,-$E147*$I147/12*1,IF($J147=6,-$E147*$I147/12*2,IF($J147&gt;=7,-$E147*$I147/12*3,0))))))</f>
        <v>-5.46875</v>
      </c>
      <c r="DC147" s="406">
        <f>IF($H147&lt;&gt;DE$5,0,IF(DE147&lt;0,IF(OR($J147=1,$J147=2,$J147=3,$J147=4,$J147=5,$J147=6,$J147=7),-$E147*$I147/12*3,IF($J147=8,-$E147*$I147/12*2,IF($J147=9,-$E147*$I147/12*1,0)))))+IF(CZ$5&lt;&gt;$H147,0,IF(CZ147&lt;0,IF($J147=7,-$E147*$I147/12*0,IF($J147=8,-$E147*$I147/12*1,IF($J147=9,-$E147*$I147/12*2,IF($J147&gt;=10,-$E147*$I147/12*3,0))))))</f>
        <v>-1.8229166666666667</v>
      </c>
      <c r="DD147" s="402">
        <f>IF($H147&lt;&gt;DE$5,0,IF(DE147&lt;0,IF(OR($J147=1,$J147=2,$J147=3,$J147=4,$J147=5,$J147=6,$J147=7,$J147=8,$J147=9,$J147=10),-$E147*$I147/12*3,IF($J147=11,-$E147*$I147/12*2,IF($J147=12,-$E147*$I147/12*1,0)))))+IF(CZ$5&lt;&gt;$H147,0,IF(CZ147&lt;0,IF($J147=10,-$E147*$I147/12*0,IF($J147=11,-$E147*$I147/12*1,IF($J147=12,-$E147*$I147/12*2,0)))))</f>
        <v>0</v>
      </c>
      <c r="DE147" s="403">
        <f>IF(AND(CZ147&lt;&gt;0,CZ$5=$H147),-$I147*$E147-CZ147,IF(DE$5=$H147,-$I147*$E147*(12-$J147+1)/12,0))</f>
        <v>-12.760416666666666</v>
      </c>
      <c r="DF147" s="400">
        <f>IF($H147&lt;&gt;DJ$5,0,IF(DJ147&lt;0,IF($J147=1,-$E147*$I147/12*3,IF($J147=2,-$E147*$I147/12*2,IF($J147=3,-$E147*$I147/12*1,0)))))+IF(DE$5&lt;&gt;$H147,0,IF(DE147&lt;0,IF($J147=1,-$E147*$I147/12*0,IF($J147=2,-$E147*$I147/12*1,IF($J147=3,-$E147*$I147/12*2,IF($J147&gt;=4,-$E147*$I147/12*3,0))))))</f>
        <v>0</v>
      </c>
      <c r="DG147" s="406">
        <f>IF($H147&lt;&gt;DJ$5,0,IF(DJ147&lt;0,IF(OR($J147=1,$J147=2,$J147=3,$J147=4),-$E147*$I147/12*3,IF($J147=5,-$E147*$I147/12*2,IF($J147=6,-$E147*$I147/12*1,0)))))+IF(DE$5&lt;&gt;$H147,0,IF(DE147&lt;0,IF($J147=4,-$E147*$I147/12*0,IF($J147=5,-$E147*$I147/12*1,IF($J147=6,-$E147*$I147/12*2,IF($J147&gt;=7,-$E147*$I147/12*3,0))))))</f>
        <v>0</v>
      </c>
      <c r="DH147" s="406">
        <f>IF($H147&lt;&gt;DJ$5,0,IF(DJ147&lt;0,IF(OR($J147=1,$J147=2,$J147=3,$J147=4,$J147=5,$J147=6,$J147=7),-$E147*$I147/12*3,IF($J147=8,-$E147*$I147/12*2,IF($J147=9,-$E147*$I147/12*1,0)))))+IF(DE$5&lt;&gt;$H147,0,IF(DE147&lt;0,IF($J147=7,-$E147*$I147/12*0,IF($J147=8,-$E147*$I147/12*1,IF($J147=9,-$E147*$I147/12*2,IF($J147&gt;=10,-$E147*$I147/12*3,0))))))</f>
        <v>0</v>
      </c>
      <c r="DI147" s="402">
        <f>IF($H147&lt;&gt;DJ$5,0,IF(DJ147&lt;0,IF(OR($J147=1,$J147=2,$J147=3,$J147=4,$J147=5,$J147=6,$J147=7,$J147=8,$J147=9,$J147=10),-$E147*$I147/12*3,IF($J147=11,-$E147*$I147/12*2,IF($J147=12,-$E147*$I147/12*1,0)))))+IF(DE$5&lt;&gt;$H147,0,IF(DE147&lt;0,IF($J147=10,-$E147*$I147/12*0,IF($J147=11,-$E147*$I147/12*1,IF($J147=12,-$E147*$I147/12*2,0)))))</f>
        <v>0</v>
      </c>
      <c r="DJ147" s="403">
        <f>IF(AND(DE147&lt;&gt;0,DE$5=$H147),-$I147*$E147-DE147,IF(DJ$5=$H147,-$I147*$E147*(12-$J147+1)/12,0))</f>
        <v>0</v>
      </c>
      <c r="DK147" s="400">
        <f>IF($H147&lt;&gt;DO$5,0,IF(DO147&lt;0,IF($J147=1,-$E147*$I147/12*3,IF($J147=2,-$E147*$I147/12*2,IF($J147=3,-$E147*$I147/12*1,0)))))+IF(DJ$5&lt;&gt;$H147,0,IF(DJ147&lt;0,IF($J147=1,-$E147*$I147/12*0,IF($J147=2,-$E147*$I147/12*1,IF($J147=3,-$E147*$I147/12*2,IF($J147&gt;=4,-$E147*$I147/12*3,0))))))</f>
        <v>0</v>
      </c>
      <c r="DL147" s="406">
        <f>IF($H147&lt;&gt;DO$5,0,IF(DO147&lt;0,IF(OR($J147=1,$J147=2,$J147=3,$J147=4),-$E147*$I147/12*3,IF($J147=5,-$E147*$I147/12*2,IF($J147=6,-$E147*$I147/12*1,0)))))+IF(DJ$5&lt;&gt;$H147,0,IF(DJ147&lt;0,IF($J147=4,-$E147*$I147/12*0,IF($J147=5,-$E147*$I147/12*1,IF($J147=6,-$E147*$I147/12*2,IF($J147&gt;=7,-$E147*$I147/12*3,0))))))</f>
        <v>0</v>
      </c>
      <c r="DM147" s="406">
        <f>IF($H147&lt;&gt;DO$5,0,IF(DO147&lt;0,IF(OR($J147=1,$J147=2,$J147=3,$J147=4,$J147=5,$J147=6,$J147=7),-$E147*$I147/12*3,IF($J147=8,-$E147*$I147/12*2,IF($J147=9,-$E147*$I147/12*1,0)))))+IF(DJ$5&lt;&gt;$H147,0,IF(DJ147&lt;0,IF($J147=7,-$E147*$I147/12*0,IF($J147=8,-$E147*$I147/12*1,IF($J147=9,-$E147*$I147/12*2,IF($J147&gt;=10,-$E147*$I147/12*3,0))))))</f>
        <v>0</v>
      </c>
      <c r="DN147" s="402">
        <f>IF($H147&lt;&gt;DO$5,0,IF(DO147&lt;0,IF(OR($J147=1,$J147=2,$J147=3,$J147=4,$J147=5,$J147=6,$J147=7,$J147=8,$J147=9,$J147=10),-$E147*$I147/12*3,IF($J147=11,-$E147*$I147/12*2,IF($J147=12,-$E147*$I147/12*1,0)))))+IF(DJ$5&lt;&gt;$H147,0,IF(DJ147&lt;0,IF($J147=10,-$E147*$I147/12*0,IF($J147=11,-$E147*$I147/12*1,IF($J147=12,-$E147*$I147/12*2,0)))))</f>
        <v>0</v>
      </c>
      <c r="DO147" s="403">
        <f>IF(AND(DJ147&lt;&gt;0,DJ$5=$H147),-$I147*$E147-DJ147,IF(DO$5=$H147,-$I147*$E147*(12-$J147+1)/12,0))</f>
        <v>0</v>
      </c>
      <c r="DP147" s="400">
        <f>IF($H147&lt;&gt;DT$5,0,IF(DT147&lt;0,IF($J147=1,-$E147*$I147/12*3,IF($J147=2,-$E147*$I147/12*2,IF($J147=3,-$E147*$I147/12*1,0)))))+IF(DO$5&lt;&gt;$H147,0,IF(DO147&lt;0,IF($J147=1,-$E147*$I147/12*0,IF($J147=2,-$E147*$I147/12*1,IF($J147=3,-$E147*$I147/12*2,IF($J147&gt;=4,-$E147*$I147/12*3,0))))))</f>
        <v>0</v>
      </c>
      <c r="DQ147" s="406">
        <f>IF($H147&lt;&gt;DT$5,0,IF(DT147&lt;0,IF(OR($J147=1,$J147=2,$J147=3,$J147=4),-$E147*$I147/12*3,IF($J147=5,-$E147*$I147/12*2,IF($J147=6,-$E147*$I147/12*1,0)))))+IF(DO$5&lt;&gt;$H147,0,IF(DO147&lt;0,IF($J147=4,-$E147*$I147/12*0,IF($J147=5,-$E147*$I147/12*1,IF($J147=6,-$E147*$I147/12*2,IF($J147&gt;=7,-$E147*$I147/12*3,0))))))</f>
        <v>0</v>
      </c>
      <c r="DR147" s="406">
        <f>IF($H147&lt;&gt;DT$5,0,IF(DT147&lt;0,IF(OR($J147=1,$J147=2,$J147=3,$J147=4,$J147=5,$J147=6,$J147=7),-$E147*$I147/12*3,IF($J147=8,-$E147*$I147/12*2,IF($J147=9,-$E147*$I147/12*1,0)))))+IF(DO$5&lt;&gt;$H147,0,IF(DO147&lt;0,IF($J147=7,-$E147*$I147/12*0,IF($J147=8,-$E147*$I147/12*1,IF($J147=9,-$E147*$I147/12*2,IF($J147&gt;=10,-$E147*$I147/12*3,0))))))</f>
        <v>0</v>
      </c>
      <c r="DS147" s="402">
        <f>IF($H147&lt;&gt;DT$5,0,IF(DT147&lt;0,IF(OR($J147=1,$J147=2,$J147=3,$J147=4,$J147=5,$J147=6,$J147=7,$J147=8,$J147=9,$J147=10),-$E147*$I147/12*3,IF($J147=11,-$E147*$I147/12*2,IF($J147=12,-$E147*$I147/12*1,0)))))+IF(DO$5&lt;&gt;$H147,0,IF(DO147&lt;0,IF($J147=10,-$E147*$I147/12*0,IF($J147=11,-$E147*$I147/12*1,IF($J147=12,-$E147*$I147/12*2,0)))))</f>
        <v>0</v>
      </c>
      <c r="DT147" s="403">
        <f>IF(AND(DO147&lt;&gt;0,DO$5=$H147),-$I147*$E147-DO147,IF(DT$5=$H147,-$I147*$E147*(12-$J147+1)/12,0))</f>
        <v>0</v>
      </c>
      <c r="EF147" s="35"/>
      <c r="EI147" s="759"/>
    </row>
    <row r="148" spans="1:139" ht="12.75" customHeight="1" x14ac:dyDescent="0.2">
      <c r="C148" s="52" t="s">
        <v>380</v>
      </c>
      <c r="D148" s="70"/>
      <c r="E148" s="530">
        <f>IF(F148=0,G148,F148)</f>
        <v>100</v>
      </c>
      <c r="F148" s="532">
        <v>100</v>
      </c>
      <c r="G148" s="532">
        <v>100</v>
      </c>
      <c r="H148" s="449">
        <v>2033</v>
      </c>
      <c r="I148" s="450">
        <v>0.06</v>
      </c>
      <c r="J148" s="451">
        <v>10</v>
      </c>
      <c r="K148" s="392"/>
      <c r="L148" s="397">
        <f>IF(L$5=$H148,-$E148,0)</f>
        <v>0</v>
      </c>
      <c r="M148" s="394">
        <f>IF(Q148=0,0,IF(Q148&lt;0,IF($J148=3,Q148,IF($J148=2,Q148,IF($J148=1,Q148,0)))))</f>
        <v>0</v>
      </c>
      <c r="N148" s="404">
        <f>IF(Q148=0,0,IF(Q148&lt;0,IF($J148=6,Q148,IF($J148=5,Q148,IF($J148=4,Q148,0)))))</f>
        <v>0</v>
      </c>
      <c r="O148" s="404">
        <f>IF(Q148=0,0,IF(Q148&lt;0,IF($J148=9,Q148,IF($J148=8,Q148,IF($J148=7,Q148,0)))))</f>
        <v>0</v>
      </c>
      <c r="P148" s="396">
        <f>IF(Q148=0,0,IF(Q148&lt;0,IF($J148=12,Q148,IF($J148=11,Q148,IF($J148=10,Q148,0)))))</f>
        <v>0</v>
      </c>
      <c r="Q148" s="397">
        <f>IF(Q$5=$H148,-$E148,0)</f>
        <v>0</v>
      </c>
      <c r="R148" s="394">
        <f>IF(V148=0,0,IF(V148&lt;0,IF($J148=3,V148,IF($J148=2,V148,IF($J148=1,V148,0)))))</f>
        <v>0</v>
      </c>
      <c r="S148" s="404">
        <f>IF(V148=0,0,IF(V148&lt;0,IF($J148=6,V148,IF($J148=5,V148,IF($J148=4,V148,0)))))</f>
        <v>0</v>
      </c>
      <c r="T148" s="404">
        <f>IF(V148=0,0,IF(V148&lt;0,IF($J148=9,V148,IF($J148=8,V148,IF($J148=7,V148,0)))))</f>
        <v>0</v>
      </c>
      <c r="U148" s="396">
        <f>IF(V148=0,0,IF(V148&lt;0,IF($J148=12,V148,IF($J148=11,V148,IF($J148=10,V148,0)))))</f>
        <v>0</v>
      </c>
      <c r="V148" s="397">
        <f>IF(V$5=$H148,-$E148,0)</f>
        <v>0</v>
      </c>
      <c r="W148" s="394">
        <f>IF(AA148=0,0,IF(AA148&lt;0,IF($J148=3,AA148,IF($J148=2,AA148,IF($J148=1,AA148,0)))))</f>
        <v>0</v>
      </c>
      <c r="X148" s="404">
        <f>IF(AA148=0,0,IF(AA148&lt;0,IF($J148=6,AA148,IF($J148=5,AA148,IF($J148=4,AA148,0)))))</f>
        <v>0</v>
      </c>
      <c r="Y148" s="404">
        <f>IF(AA148=0,0,IF(AA148&lt;0,IF($J148=9,AA148,IF($J148=8,AA148,IF($J148=7,AA148,0)))))</f>
        <v>0</v>
      </c>
      <c r="Z148" s="396">
        <f>IF(AA148=0,0,IF(AA148&lt;0,IF($J148=12,AA148,IF($J148=11,AA148,IF($J148=10,AA148,0)))))</f>
        <v>0</v>
      </c>
      <c r="AA148" s="397">
        <f>IF(AA$5=$H148,-$E148,0)</f>
        <v>0</v>
      </c>
      <c r="AB148" s="394">
        <f>IF(AF148=0,0,IF(AF148&lt;0,IF($J148=3,AF148,IF($J148=2,AF148,IF($J148=1,AF148,0)))))</f>
        <v>0</v>
      </c>
      <c r="AC148" s="404">
        <f>IF(AF148=0,0,IF(AF148&lt;0,IF($J148=6,AF148,IF($J148=5,AF148,IF($J148=4,AF148,0)))))</f>
        <v>0</v>
      </c>
      <c r="AD148" s="404">
        <f>IF(AF148=0,0,IF(AF148&lt;0,IF($J148=9,AF148,IF($J148=8,AF148,IF($J148=7,AF148,0)))))</f>
        <v>0</v>
      </c>
      <c r="AE148" s="396">
        <f>IF(AF148=0,0,IF(AF148&lt;0,IF($J148=12,AF148,IF($J148=11,AF148,IF($J148=10,AF148,0)))))</f>
        <v>0</v>
      </c>
      <c r="AF148" s="397">
        <f>IF(AF$5=$H148,-$E148,0)</f>
        <v>0</v>
      </c>
      <c r="AG148" s="394">
        <f>IF(AK148=0,0,IF(AK148&lt;0,IF($J148=3,AK148,IF($J148=2,AK148,IF($J148=1,AK148,0)))))</f>
        <v>0</v>
      </c>
      <c r="AH148" s="404">
        <f>IF(AK148=0,0,IF(AK148&lt;0,IF($J148=6,AK148,IF($J148=5,AK148,IF($J148=4,AK148,0)))))</f>
        <v>0</v>
      </c>
      <c r="AI148" s="404">
        <f>IF(AK148=0,0,IF(AK148&lt;0,IF($J148=9,AK148,IF($J148=8,AK148,IF($J148=7,AK148,0)))))</f>
        <v>0</v>
      </c>
      <c r="AJ148" s="396">
        <f>IF(AK148=0,0,IF(AK148&lt;0,IF($J148=12,AK148,IF($J148=11,AK148,IF($J148=10,AK148,0)))))</f>
        <v>0</v>
      </c>
      <c r="AK148" s="397">
        <f>IF(AK$5=$H148,-$E148,0)</f>
        <v>0</v>
      </c>
      <c r="AL148" s="394">
        <f>IF(AP148=0,0,IF(AP148&lt;0,IF($J148=3,AP148,IF($J148=2,AP148,IF($J148=1,AP148,0)))))</f>
        <v>0</v>
      </c>
      <c r="AM148" s="404">
        <f>IF(AP148=0,0,IF(AP148&lt;0,IF($J148=6,AP148,IF($J148=5,AP148,IF($J148=4,AP148,0)))))</f>
        <v>0</v>
      </c>
      <c r="AN148" s="404">
        <f>IF(AP148=0,0,IF(AP148&lt;0,IF($J148=9,AP148,IF($J148=8,AP148,IF($J148=7,AP148,0)))))</f>
        <v>0</v>
      </c>
      <c r="AO148" s="396">
        <f>IF(AP148=0,0,IF(AP148&lt;0,IF($J148=12,AP148,IF($J148=11,AP148,IF($J148=10,AP148,0)))))</f>
        <v>0</v>
      </c>
      <c r="AP148" s="397">
        <f>IF(AP$5=$H148,-$E148,0)</f>
        <v>0</v>
      </c>
      <c r="AQ148" s="394">
        <f>IF(AU148=0,0,IF(AU148&lt;0,IF($J148=3,AU148,IF($J148=2,AU148,IF($J148=1,AU148,0)))))</f>
        <v>0</v>
      </c>
      <c r="AR148" s="404">
        <f>IF(AU148=0,0,IF(AU148&lt;0,IF($J148=6,AU148,IF($J148=5,AU148,IF($J148=4,AU148,0)))))</f>
        <v>0</v>
      </c>
      <c r="AS148" s="404">
        <f>IF(AU148=0,0,IF(AU148&lt;0,IF($J148=9,AU148,IF($J148=8,AU148,IF($J148=7,AU148,0)))))</f>
        <v>0</v>
      </c>
      <c r="AT148" s="396">
        <f>IF(AU148=0,0,IF(AU148&lt;0,IF($J148=12,AU148,IF($J148=11,AU148,IF($J148=10,AU148,0)))))</f>
        <v>0</v>
      </c>
      <c r="AU148" s="397">
        <f>IF(AU$5=$H148,-$E148,0)</f>
        <v>0</v>
      </c>
      <c r="AV148" s="394">
        <f>IF(AZ148=0,0,IF(AZ148&lt;0,IF($J148=3,AZ148,IF($J148=2,AZ148,IF($J148=1,AZ148,0)))))</f>
        <v>0</v>
      </c>
      <c r="AW148" s="404">
        <f>IF(AZ148=0,0,IF(AZ148&lt;0,IF($J148=6,AZ148,IF($J148=5,AZ148,IF($J148=4,AZ148,0)))))</f>
        <v>0</v>
      </c>
      <c r="AX148" s="404">
        <f>IF(AZ148=0,0,IF(AZ148&lt;0,IF($J148=9,AZ148,IF($J148=8,AZ148,IF($J148=7,AZ148,0)))))</f>
        <v>0</v>
      </c>
      <c r="AY148" s="396">
        <f>IF(AZ148=0,0,IF(AZ148&lt;0,IF($J148=12,AZ148,IF($J148=11,AZ148,IF($J148=10,AZ148,0)))))</f>
        <v>0</v>
      </c>
      <c r="AZ148" s="397">
        <f>IF(AZ$5=$H148,-$E148,0)</f>
        <v>0</v>
      </c>
      <c r="BA148" s="394">
        <f>IF(BE148=0,0,IF(BE148&lt;0,IF($J148=3,BE148,IF($J148=2,BE148,IF($J148=1,BE148,0)))))</f>
        <v>0</v>
      </c>
      <c r="BB148" s="404">
        <f>IF(BE148=0,0,IF(BE148&lt;0,IF($J148=6,BE148,IF($J148=5,BE148,IF($J148=4,BE148,0)))))</f>
        <v>0</v>
      </c>
      <c r="BC148" s="404">
        <f>IF(BE148=0,0,IF(BE148&lt;0,IF($J148=9,BE148,IF($J148=8,BE148,IF($J148=7,BE148,0)))))</f>
        <v>0</v>
      </c>
      <c r="BD148" s="396">
        <f>IF(BE148=0,0,IF(BE148&lt;0,IF($J148=12,BE148,IF($J148=11,BE148,IF($J148=10,BE148,0)))))</f>
        <v>0</v>
      </c>
      <c r="BE148" s="397">
        <f>IF(BE$5=$H148,-$E148,0)</f>
        <v>0</v>
      </c>
      <c r="BF148" s="394">
        <f>IF(BJ148=0,0,IF(BJ148&lt;0,IF($J148=3,BJ148,IF($J148=2,BJ148,IF($J148=1,BJ148,0)))))</f>
        <v>0</v>
      </c>
      <c r="BG148" s="404">
        <f>IF(BJ148=0,0,IF(BJ148&lt;0,IF($J148=6,BJ148,IF($J148=5,BJ148,IF($J148=4,BJ148,0)))))</f>
        <v>0</v>
      </c>
      <c r="BH148" s="404">
        <f>IF(BJ148=0,0,IF(BJ148&lt;0,IF($J148=9,BJ148,IF($J148=8,BJ148,IF($J148=7,BJ148,0)))))</f>
        <v>0</v>
      </c>
      <c r="BI148" s="396">
        <f>IF(BJ148=0,0,IF(BJ148&lt;0,IF($J148=12,BJ148,IF($J148=11,BJ148,IF($J148=10,BJ148,0)))))</f>
        <v>0</v>
      </c>
      <c r="BJ148" s="397">
        <f>IF(BJ$5=$H148,-$E148,0)</f>
        <v>0</v>
      </c>
      <c r="BK148" s="394">
        <f>IF(BO148=0,0,IF(BO148&lt;0,IF($J148=3,BO148,IF($J148=2,BO148,IF($J148=1,BO148,0)))))</f>
        <v>0</v>
      </c>
      <c r="BL148" s="404">
        <f>IF(BO148=0,0,IF(BO148&lt;0,IF($J148=6,BO148,IF($J148=5,BO148,IF($J148=4,BO148,0)))))</f>
        <v>0</v>
      </c>
      <c r="BM148" s="404">
        <f>IF(BO148=0,0,IF(BO148&lt;0,IF($J148=9,BO148,IF($J148=8,BO148,IF($J148=7,BO148,0)))))</f>
        <v>0</v>
      </c>
      <c r="BN148" s="396">
        <f>IF(BO148=0,0,IF(BO148&lt;0,IF($J148=12,BO148,IF($J148=11,BO148,IF($J148=10,BO148,0)))))</f>
        <v>0</v>
      </c>
      <c r="BO148" s="397">
        <f>IF(BO$5=$H148,-$E148,0)</f>
        <v>0</v>
      </c>
      <c r="BP148" s="452"/>
      <c r="BQ148" s="403">
        <f>IF(AND(BP148&lt;&gt;0,BP$5=$H148),-$I148*$E148-BP148,IF(BQ$5=$H148,-$I148*$E148*(12-$J148+1)/12,0))</f>
        <v>0</v>
      </c>
      <c r="BR148" s="400">
        <f>IF($H148&lt;&gt;BV$5,0,IF(BV148&lt;0,IF($J148=1,-$E148*$I148/12*3,IF($J148=2,-$E148*$I148/12*2,IF($J148=3,-$E148*$I148/12*1,0)))))+IF(BQ$5&lt;&gt;$H148,0,IF(BQ148&lt;0,IF($J148=1,-$E148*$I148/12*0,IF($J148=2,-$E148*$I148/12*1,IF($J148=3,-$E148*$I148/12*2,IF($J148&gt;=4,-$E148*$I148/12*3,0))))))</f>
        <v>0</v>
      </c>
      <c r="BS148" s="406">
        <f>IF($H148&lt;&gt;BV$5,0,IF(BV148&lt;0,IF(OR($J148=1,$J148=2,$J148=3,$J148=4),-$E148*$I148/12*3,IF($J148=5,-$E148*$I148/12*2,IF($J148=6,-$E148*$I148/12*1,0)))))+IF(BQ$5&lt;&gt;$H148,0,IF(BQ148&lt;0,IF($J148=4,-$E148*$I148/12*0,IF($J148=5,-$E148*$I148/12*1,IF($J148=6,-$E148*$I148/12*2,IF($J148&gt;=7,-$E148*$I148/12*3,0))))))</f>
        <v>0</v>
      </c>
      <c r="BT148" s="406">
        <f>IF($H148&lt;&gt;BV$5,0,IF(BV148&lt;0,IF(OR($J148=1,$J148=2,$J148=3,$J148=4,$J148=5,$J148=6,$J148=7),-$E148*$I148/12*3,IF($J148=8,-$E148*$I148/12*2,IF($J148=9,-$E148*$I148/12*1,0)))))+IF(BQ$5&lt;&gt;$H148,0,IF(BQ148&lt;0,IF($J148=7,-$E148*$I148/12*0,IF($J148=8,-$E148*$I148/12*1,IF($J148=9,-$E148*$I148/12*2,IF($J148&gt;=10,-$E148*$I148/12*3,0))))))</f>
        <v>0</v>
      </c>
      <c r="BU148" s="402">
        <f>IF($H148&lt;&gt;BV$5,0,IF(BV148&lt;0,IF(OR($J148=1,$J148=2,$J148=3,$J148=4,$J148=5,$J148=6,$J148=7,$J148=8,$J148=9,$J148=10),-$E148*$I148/12*3,IF($J148=11,-$E148*$I148/12*2,IF($J148=12,-$E148*$I148/12*1,0)))))+IF(BQ$5&lt;&gt;$H148,0,IF(BQ148&lt;0,IF($J148=10,-$E148*$I148/12*0,IF($J148=11,-$E148*$I148/12*1,IF($J148=12,-$E148*$I148/12*2,0)))))</f>
        <v>0</v>
      </c>
      <c r="BV148" s="403">
        <f>IF(AND(BQ148&lt;&gt;0,BQ$5=$H148),-$I148*$E148-BQ148,IF(BV$5=$H148,-$I148*$E148*(12-$J148+1)/12,0))</f>
        <v>0</v>
      </c>
      <c r="BW148" s="400">
        <f>IF($H148&lt;&gt;CA$5,0,IF(CA148&lt;0,IF($J148=1,-$E148*$I148/12*3,IF($J148=2,-$E148*$I148/12*2,IF($J148=3,-$E148*$I148/12*1,0)))))+IF(BV$5&lt;&gt;$H148,0,IF(BV148&lt;0,IF($J148=1,-$E148*$I148/12*0,IF($J148=2,-$E148*$I148/12*1,IF($J148=3,-$E148*$I148/12*2,IF($J148&gt;=4,-$E148*$I148/12*3,0))))))</f>
        <v>0</v>
      </c>
      <c r="BX148" s="406">
        <f>IF($H148&lt;&gt;CA$5,0,IF(CA148&lt;0,IF(OR($J148=1,$J148=2,$J148=3,$J148=4),-$E148*$I148/12*3,IF($J148=5,-$E148*$I148/12*2,IF($J148=6,-$E148*$I148/12*1,0)))))+IF(BV$5&lt;&gt;$H148,0,IF(BV148&lt;0,IF($J148=4,-$E148*$I148/12*0,IF($J148=5,-$E148*$I148/12*1,IF($J148=6,-$E148*$I148/12*2,IF($J148&gt;=7,-$E148*$I148/12*3,0))))))</f>
        <v>0</v>
      </c>
      <c r="BY148" s="406">
        <f>IF($H148&lt;&gt;CA$5,0,IF(CA148&lt;0,IF(OR($J148=1,$J148=2,$J148=3,$J148=4,$J148=5,$J148=6,$J148=7),-$E148*$I148/12*3,IF($J148=8,-$E148*$I148/12*2,IF($J148=9,-$E148*$I148/12*1,0)))))+IF(BV$5&lt;&gt;$H148,0,IF(BV148&lt;0,IF($J148=7,-$E148*$I148/12*0,IF($J148=8,-$E148*$I148/12*1,IF($J148=9,-$E148*$I148/12*2,IF($J148&gt;=10,-$E148*$I148/12*3,0))))))</f>
        <v>0</v>
      </c>
      <c r="BZ148" s="402">
        <f>IF($H148&lt;&gt;CA$5,0,IF(CA148&lt;0,IF(OR($J148=1,$J148=2,$J148=3,$J148=4,$J148=5,$J148=6,$J148=7,$J148=8,$J148=9,$J148=10),-$E148*$I148/12*3,IF($J148=11,-$E148*$I148/12*2,IF($J148=12,-$E148*$I148/12*1,0)))))+IF(BV$5&lt;&gt;$H148,0,IF(BV148&lt;0,IF($J148=10,-$E148*$I148/12*0,IF($J148=11,-$E148*$I148/12*1,IF($J148=12,-$E148*$I148/12*2,0)))))</f>
        <v>0</v>
      </c>
      <c r="CA148" s="403">
        <f>IF(AND(BV148&lt;&gt;0,BV$5=$H148),-$I148*$E148-BV148,IF(CA$5=$H148,-$I148*$E148*(12-$J148+1)/12,0))</f>
        <v>0</v>
      </c>
      <c r="CB148" s="400">
        <f>IF($H148&lt;&gt;CF$5,0,IF(CF148&lt;0,IF($J148=1,-$E148*$I148/12*3,IF($J148=2,-$E148*$I148/12*2,IF($J148=3,-$E148*$I148/12*1,0)))))+IF(CA$5&lt;&gt;$H148,0,IF(CA148&lt;0,IF($J148=1,-$E148*$I148/12*0,IF($J148=2,-$E148*$I148/12*1,IF($J148=3,-$E148*$I148/12*2,IF($J148&gt;=4,-$E148*$I148/12*3,0))))))</f>
        <v>0</v>
      </c>
      <c r="CC148" s="406">
        <f>IF($H148&lt;&gt;CF$5,0,IF(CF148&lt;0,IF(OR($J148=1,$J148=2,$J148=3,$J148=4),-$E148*$I148/12*3,IF($J148=5,-$E148*$I148/12*2,IF($J148=6,-$E148*$I148/12*1,0)))))+IF(CA$5&lt;&gt;$H148,0,IF(CA148&lt;0,IF($J148=4,-$E148*$I148/12*0,IF($J148=5,-$E148*$I148/12*1,IF($J148=6,-$E148*$I148/12*2,IF($J148&gt;=7,-$E148*$I148/12*3,0))))))</f>
        <v>0</v>
      </c>
      <c r="CD148" s="406">
        <f>IF($H148&lt;&gt;CF$5,0,IF(CF148&lt;0,IF(OR($J148=1,$J148=2,$J148=3,$J148=4,$J148=5,$J148=6,$J148=7),-$E148*$I148/12*3,IF($J148=8,-$E148*$I148/12*2,IF($J148=9,-$E148*$I148/12*1,0)))))+IF(CA$5&lt;&gt;$H148,0,IF(CA148&lt;0,IF($J148=7,-$E148*$I148/12*0,IF($J148=8,-$E148*$I148/12*1,IF($J148=9,-$E148*$I148/12*2,IF($J148&gt;=10,-$E148*$I148/12*3,0))))))</f>
        <v>0</v>
      </c>
      <c r="CE148" s="402">
        <f>IF($H148&lt;&gt;CF$5,0,IF(CF148&lt;0,IF(OR($J148=1,$J148=2,$J148=3,$J148=4,$J148=5,$J148=6,$J148=7,$J148=8,$J148=9,$J148=10),-$E148*$I148/12*3,IF($J148=11,-$E148*$I148/12*2,IF($J148=12,-$E148*$I148/12*1,0)))))+IF(CA$5&lt;&gt;$H148,0,IF(CA148&lt;0,IF($J148=10,-$E148*$I148/12*0,IF($J148=11,-$E148*$I148/12*1,IF($J148=12,-$E148*$I148/12*2,0)))))</f>
        <v>0</v>
      </c>
      <c r="CF148" s="403">
        <f>IF(AND(CA148&lt;&gt;0,CA$5=$H148),-$I148*$E148-CA148,IF(CF$5=$H148,-$I148*$E148*(12-$J148+1)/12,0))</f>
        <v>0</v>
      </c>
      <c r="CG148" s="400">
        <f>IF($H148&lt;&gt;CK$5,0,IF(CK148&lt;0,IF($J148=1,-$E148*$I148/12*3,IF($J148=2,-$E148*$I148/12*2,IF($J148=3,-$E148*$I148/12*1,0)))))+IF(CF$5&lt;&gt;$H148,0,IF(CF148&lt;0,IF($J148=1,-$E148*$I148/12*0,IF($J148=2,-$E148*$I148/12*1,IF($J148=3,-$E148*$I148/12*2,IF($J148&gt;=4,-$E148*$I148/12*3,0))))))</f>
        <v>0</v>
      </c>
      <c r="CH148" s="406">
        <f>IF($H148&lt;&gt;CK$5,0,IF(CK148&lt;0,IF(OR($J148=1,$J148=2,$J148=3,$J148=4),-$E148*$I148/12*3,IF($J148=5,-$E148*$I148/12*2,IF($J148=6,-$E148*$I148/12*1,0)))))+IF(CF$5&lt;&gt;$H148,0,IF(CF148&lt;0,IF($J148=4,-$E148*$I148/12*0,IF($J148=5,-$E148*$I148/12*1,IF($J148=6,-$E148*$I148/12*2,IF($J148&gt;=7,-$E148*$I148/12*3,0))))))</f>
        <v>0</v>
      </c>
      <c r="CI148" s="406">
        <f>IF($H148&lt;&gt;CK$5,0,IF(CK148&lt;0,IF(OR($J148=1,$J148=2,$J148=3,$J148=4,$J148=5,$J148=6,$J148=7),-$E148*$I148/12*3,IF($J148=8,-$E148*$I148/12*2,IF($J148=9,-$E148*$I148/12*1,0)))))+IF(CF$5&lt;&gt;$H148,0,IF(CF148&lt;0,IF($J148=7,-$E148*$I148/12*0,IF($J148=8,-$E148*$I148/12*1,IF($J148=9,-$E148*$I148/12*2,IF($J148&gt;=10,-$E148*$I148/12*3,0))))))</f>
        <v>0</v>
      </c>
      <c r="CJ148" s="402">
        <f>IF($H148&lt;&gt;CK$5,0,IF(CK148&lt;0,IF(OR($J148=1,$J148=2,$J148=3,$J148=4,$J148=5,$J148=6,$J148=7,$J148=8,$J148=9,$J148=10),-$E148*$I148/12*3,IF($J148=11,-$E148*$I148/12*2,IF($J148=12,-$E148*$I148/12*1,0)))))+IF(CF$5&lt;&gt;$H148,0,IF(CF148&lt;0,IF($J148=10,-$E148*$I148/12*0,IF($J148=11,-$E148*$I148/12*1,IF($J148=12,-$E148*$I148/12*2,0)))))</f>
        <v>0</v>
      </c>
      <c r="CK148" s="403">
        <f>IF(AND(CF148&lt;&gt;0,CF$5=$H148),-$I148*$E148-CF148,IF(CK$5=$H148,-$I148*$E148*(12-$J148+1)/12,0))</f>
        <v>0</v>
      </c>
      <c r="CL148" s="400">
        <f>IF($H148&lt;&gt;CP$5,0,IF(CP148&lt;0,IF($J148=1,-$E148*$I148/12*3,IF($J148=2,-$E148*$I148/12*2,IF($J148=3,-$E148*$I148/12*1,0)))))+IF(CK$5&lt;&gt;$H148,0,IF(CK148&lt;0,IF($J148=1,-$E148*$I148/12*0,IF($J148=2,-$E148*$I148/12*1,IF($J148=3,-$E148*$I148/12*2,IF($J148&gt;=4,-$E148*$I148/12*3,0))))))</f>
        <v>0</v>
      </c>
      <c r="CM148" s="406">
        <f>IF($H148&lt;&gt;CP$5,0,IF(CP148&lt;0,IF(OR($J148=1,$J148=2,$J148=3,$J148=4),-$E148*$I148/12*3,IF($J148=5,-$E148*$I148/12*2,IF($J148=6,-$E148*$I148/12*1,0)))))+IF(CK$5&lt;&gt;$H148,0,IF(CK148&lt;0,IF($J148=4,-$E148*$I148/12*0,IF($J148=5,-$E148*$I148/12*1,IF($J148=6,-$E148*$I148/12*2,IF($J148&gt;=7,-$E148*$I148/12*3,0))))))</f>
        <v>0</v>
      </c>
      <c r="CN148" s="406">
        <f>IF($H148&lt;&gt;CP$5,0,IF(CP148&lt;0,IF(OR($J148=1,$J148=2,$J148=3,$J148=4,$J148=5,$J148=6,$J148=7),-$E148*$I148/12*3,IF($J148=8,-$E148*$I148/12*2,IF($J148=9,-$E148*$I148/12*1,0)))))+IF(CK$5&lt;&gt;$H148,0,IF(CK148&lt;0,IF($J148=7,-$E148*$I148/12*0,IF($J148=8,-$E148*$I148/12*1,IF($J148=9,-$E148*$I148/12*2,IF($J148&gt;=10,-$E148*$I148/12*3,0))))))</f>
        <v>0</v>
      </c>
      <c r="CO148" s="402">
        <f>IF($H148&lt;&gt;CP$5,0,IF(CP148&lt;0,IF(OR($J148=1,$J148=2,$J148=3,$J148=4,$J148=5,$J148=6,$J148=7,$J148=8,$J148=9,$J148=10),-$E148*$I148/12*3,IF($J148=11,-$E148*$I148/12*2,IF($J148=12,-$E148*$I148/12*1,0)))))+IF(CK$5&lt;&gt;$H148,0,IF(CK148&lt;0,IF($J148=10,-$E148*$I148/12*0,IF($J148=11,-$E148*$I148/12*1,IF($J148=12,-$E148*$I148/12*2,0)))))</f>
        <v>0</v>
      </c>
      <c r="CP148" s="403">
        <f>IF(AND(CK148&lt;&gt;0,CK$5=$H148),-$I148*$E148-CK148,IF(CP$5=$H148,-$I148*$E148*(12-$J148+1)/12,0))</f>
        <v>0</v>
      </c>
      <c r="CQ148" s="400">
        <f>IF($H148&lt;&gt;CU$5,0,IF(CU148&lt;0,IF($J148=1,-$E148*$I148/12*3,IF($J148=2,-$E148*$I148/12*2,IF($J148=3,-$E148*$I148/12*1,0)))))+IF(CP$5&lt;&gt;$H148,0,IF(CP148&lt;0,IF($J148=1,-$E148*$I148/12*0,IF($J148=2,-$E148*$I148/12*1,IF($J148=3,-$E148*$I148/12*2,IF($J148&gt;=4,-$E148*$I148/12*3,0))))))</f>
        <v>0</v>
      </c>
      <c r="CR148" s="406">
        <f>IF($H148&lt;&gt;CU$5,0,IF(CU148&lt;0,IF(OR($J148=1,$J148=2,$J148=3,$J148=4),-$E148*$I148/12*3,IF($J148=5,-$E148*$I148/12*2,IF($J148=6,-$E148*$I148/12*1,0)))))+IF(CP$5&lt;&gt;$H148,0,IF(CP148&lt;0,IF($J148=4,-$E148*$I148/12*0,IF($J148=5,-$E148*$I148/12*1,IF($J148=6,-$E148*$I148/12*2,IF($J148&gt;=7,-$E148*$I148/12*3,0))))))</f>
        <v>0</v>
      </c>
      <c r="CS148" s="406">
        <f>IF($H148&lt;&gt;CU$5,0,IF(CU148&lt;0,IF(OR($J148=1,$J148=2,$J148=3,$J148=4,$J148=5,$J148=6,$J148=7),-$E148*$I148/12*3,IF($J148=8,-$E148*$I148/12*2,IF($J148=9,-$E148*$I148/12*1,0)))))+IF(CP$5&lt;&gt;$H148,0,IF(CP148&lt;0,IF($J148=7,-$E148*$I148/12*0,IF($J148=8,-$E148*$I148/12*1,IF($J148=9,-$E148*$I148/12*2,IF($J148&gt;=10,-$E148*$I148/12*3,0))))))</f>
        <v>0</v>
      </c>
      <c r="CT148" s="402">
        <f>IF($H148&lt;&gt;CU$5,0,IF(CU148&lt;0,IF(OR($J148=1,$J148=2,$J148=3,$J148=4,$J148=5,$J148=6,$J148=7,$J148=8,$J148=9,$J148=10),-$E148*$I148/12*3,IF($J148=11,-$E148*$I148/12*2,IF($J148=12,-$E148*$I148/12*1,0)))))+IF(CP$5&lt;&gt;$H148,0,IF(CP148&lt;0,IF($J148=10,-$E148*$I148/12*0,IF($J148=11,-$E148*$I148/12*1,IF($J148=12,-$E148*$I148/12*2,0)))))</f>
        <v>0</v>
      </c>
      <c r="CU148" s="403">
        <f>IF(AND(CP148&lt;&gt;0,CP$5=$H148),-$I148*$E148-CP148,IF(CU$5=$H148,-$I148*$E148*(12-$J148+1)/12,0))</f>
        <v>0</v>
      </c>
      <c r="CV148" s="400">
        <f>IF($H148&lt;&gt;CZ$5,0,IF(CZ148&lt;0,IF($J148=1,-$E148*$I148/12*3,IF($J148=2,-$E148*$I148/12*2,IF($J148=3,-$E148*$I148/12*1,0)))))+IF(CU$5&lt;&gt;$H148,0,IF(CU148&lt;0,IF($J148=1,-$E148*$I148/12*0,IF($J148=2,-$E148*$I148/12*1,IF($J148=3,-$E148*$I148/12*2,IF($J148&gt;=4,-$E148*$I148/12*3,0))))))</f>
        <v>0</v>
      </c>
      <c r="CW148" s="406">
        <f>IF($H148&lt;&gt;CZ$5,0,IF(CZ148&lt;0,IF(OR($J148=1,$J148=2,$J148=3,$J148=4),-$E148*$I148/12*3,IF($J148=5,-$E148*$I148/12*2,IF($J148=6,-$E148*$I148/12*1,0)))))+IF(CU$5&lt;&gt;$H148,0,IF(CU148&lt;0,IF($J148=4,-$E148*$I148/12*0,IF($J148=5,-$E148*$I148/12*1,IF($J148=6,-$E148*$I148/12*2,IF($J148&gt;=7,-$E148*$I148/12*3,0))))))</f>
        <v>0</v>
      </c>
      <c r="CX148" s="406">
        <f>IF($H148&lt;&gt;CZ$5,0,IF(CZ148&lt;0,IF(OR($J148=1,$J148=2,$J148=3,$J148=4,$J148=5,$J148=6,$J148=7),-$E148*$I148/12*3,IF($J148=8,-$E148*$I148/12*2,IF($J148=9,-$E148*$I148/12*1,0)))))+IF(CU$5&lt;&gt;$H148,0,IF(CU148&lt;0,IF($J148=7,-$E148*$I148/12*0,IF($J148=8,-$E148*$I148/12*1,IF($J148=9,-$E148*$I148/12*2,IF($J148&gt;=10,-$E148*$I148/12*3,0))))))</f>
        <v>0</v>
      </c>
      <c r="CY148" s="402">
        <f>IF($H148&lt;&gt;CZ$5,0,IF(CZ148&lt;0,IF(OR($J148=1,$J148=2,$J148=3,$J148=4,$J148=5,$J148=6,$J148=7,$J148=8,$J148=9,$J148=10),-$E148*$I148/12*3,IF($J148=11,-$E148*$I148/12*2,IF($J148=12,-$E148*$I148/12*1,0)))))+IF(CU$5&lt;&gt;$H148,0,IF(CU148&lt;0,IF($J148=10,-$E148*$I148/12*0,IF($J148=11,-$E148*$I148/12*1,IF($J148=12,-$E148*$I148/12*2,0)))))</f>
        <v>0</v>
      </c>
      <c r="CZ148" s="403">
        <f>IF(AND(CU148&lt;&gt;0,CU$5=$H148),-$I148*$E148-CU148,IF(CZ$5=$H148,-$I148*$E148*(12-$J148+1)/12,0))</f>
        <v>0</v>
      </c>
      <c r="DA148" s="400">
        <f>IF($H148&lt;&gt;DE$5,0,IF(DE148&lt;0,IF($J148=1,-$E148*$I148/12*3,IF($J148=2,-$E148*$I148/12*2,IF($J148=3,-$E148*$I148/12*1,0)))))+IF(CZ$5&lt;&gt;$H148,0,IF(CZ148&lt;0,IF($J148=1,-$E148*$I148/12*0,IF($J148=2,-$E148*$I148/12*1,IF($J148=3,-$E148*$I148/12*2,IF($J148&gt;=4,-$E148*$I148/12*3,0))))))</f>
        <v>0</v>
      </c>
      <c r="DB148" s="406">
        <f>IF($H148&lt;&gt;DE$5,0,IF(DE148&lt;0,IF(OR($J148=1,$J148=2,$J148=3,$J148=4),-$E148*$I148/12*3,IF($J148=5,-$E148*$I148/12*2,IF($J148=6,-$E148*$I148/12*1,0)))))+IF(CZ$5&lt;&gt;$H148,0,IF(CZ148&lt;0,IF($J148=4,-$E148*$I148/12*0,IF($J148=5,-$E148*$I148/12*1,IF($J148=6,-$E148*$I148/12*2,IF($J148&gt;=7,-$E148*$I148/12*3,0))))))</f>
        <v>0</v>
      </c>
      <c r="DC148" s="406">
        <f>IF($H148&lt;&gt;DE$5,0,IF(DE148&lt;0,IF(OR($J148=1,$J148=2,$J148=3,$J148=4,$J148=5,$J148=6,$J148=7),-$E148*$I148/12*3,IF($J148=8,-$E148*$I148/12*2,IF($J148=9,-$E148*$I148/12*1,0)))))+IF(CZ$5&lt;&gt;$H148,0,IF(CZ148&lt;0,IF($J148=7,-$E148*$I148/12*0,IF($J148=8,-$E148*$I148/12*1,IF($J148=9,-$E148*$I148/12*2,IF($J148&gt;=10,-$E148*$I148/12*3,0))))))</f>
        <v>0</v>
      </c>
      <c r="DD148" s="402">
        <f>IF($H148&lt;&gt;DE$5,0,IF(DE148&lt;0,IF(OR($J148=1,$J148=2,$J148=3,$J148=4,$J148=5,$J148=6,$J148=7,$J148=8,$J148=9,$J148=10),-$E148*$I148/12*3,IF($J148=11,-$E148*$I148/12*2,IF($J148=12,-$E148*$I148/12*1,0)))))+IF(CZ$5&lt;&gt;$H148,0,IF(CZ148&lt;0,IF($J148=10,-$E148*$I148/12*0,IF($J148=11,-$E148*$I148/12*1,IF($J148=12,-$E148*$I148/12*2,0)))))</f>
        <v>0</v>
      </c>
      <c r="DE148" s="403">
        <f>IF(AND(CZ148&lt;&gt;0,CZ$5=$H148),-$I148*$E148-CZ148,IF(DE$5=$H148,-$I148*$E148*(12-$J148+1)/12,0))</f>
        <v>0</v>
      </c>
      <c r="DF148" s="400">
        <f>IF($H148&lt;&gt;DJ$5,0,IF(DJ148&lt;0,IF($J148=1,-$E148*$I148/12*3,IF($J148=2,-$E148*$I148/12*2,IF($J148=3,-$E148*$I148/12*1,0)))))+IF(DE$5&lt;&gt;$H148,0,IF(DE148&lt;0,IF($J148=1,-$E148*$I148/12*0,IF($J148=2,-$E148*$I148/12*1,IF($J148=3,-$E148*$I148/12*2,IF($J148&gt;=4,-$E148*$I148/12*3,0))))))</f>
        <v>0</v>
      </c>
      <c r="DG148" s="406">
        <f>IF($H148&lt;&gt;DJ$5,0,IF(DJ148&lt;0,IF(OR($J148=1,$J148=2,$J148=3,$J148=4),-$E148*$I148/12*3,IF($J148=5,-$E148*$I148/12*2,IF($J148=6,-$E148*$I148/12*1,0)))))+IF(DE$5&lt;&gt;$H148,0,IF(DE148&lt;0,IF($J148=4,-$E148*$I148/12*0,IF($J148=5,-$E148*$I148/12*1,IF($J148=6,-$E148*$I148/12*2,IF($J148&gt;=7,-$E148*$I148/12*3,0))))))</f>
        <v>0</v>
      </c>
      <c r="DH148" s="406">
        <f>IF($H148&lt;&gt;DJ$5,0,IF(DJ148&lt;0,IF(OR($J148=1,$J148=2,$J148=3,$J148=4,$J148=5,$J148=6,$J148=7),-$E148*$I148/12*3,IF($J148=8,-$E148*$I148/12*2,IF($J148=9,-$E148*$I148/12*1,0)))))+IF(DE$5&lt;&gt;$H148,0,IF(DE148&lt;0,IF($J148=7,-$E148*$I148/12*0,IF($J148=8,-$E148*$I148/12*1,IF($J148=9,-$E148*$I148/12*2,IF($J148&gt;=10,-$E148*$I148/12*3,0))))))</f>
        <v>0</v>
      </c>
      <c r="DI148" s="402">
        <f>IF($H148&lt;&gt;DJ$5,0,IF(DJ148&lt;0,IF(OR($J148=1,$J148=2,$J148=3,$J148=4,$J148=5,$J148=6,$J148=7,$J148=8,$J148=9,$J148=10),-$E148*$I148/12*3,IF($J148=11,-$E148*$I148/12*2,IF($J148=12,-$E148*$I148/12*1,0)))))+IF(DE$5&lt;&gt;$H148,0,IF(DE148&lt;0,IF($J148=10,-$E148*$I148/12*0,IF($J148=11,-$E148*$I148/12*1,IF($J148=12,-$E148*$I148/12*2,0)))))</f>
        <v>0</v>
      </c>
      <c r="DJ148" s="403">
        <f>IF(AND(DE148&lt;&gt;0,DE$5=$H148),-$I148*$E148-DE148,IF(DJ$5=$H148,-$I148*$E148*(12-$J148+1)/12,0))</f>
        <v>0</v>
      </c>
      <c r="DK148" s="400">
        <f>IF($H148&lt;&gt;DO$5,0,IF(DO148&lt;0,IF($J148=1,-$E148*$I148/12*3,IF($J148=2,-$E148*$I148/12*2,IF($J148=3,-$E148*$I148/12*1,0)))))+IF(DJ$5&lt;&gt;$H148,0,IF(DJ148&lt;0,IF($J148=1,-$E148*$I148/12*0,IF($J148=2,-$E148*$I148/12*1,IF($J148=3,-$E148*$I148/12*2,IF($J148&gt;=4,-$E148*$I148/12*3,0))))))</f>
        <v>0</v>
      </c>
      <c r="DL148" s="406">
        <f>IF($H148&lt;&gt;DO$5,0,IF(DO148&lt;0,IF(OR($J148=1,$J148=2,$J148=3,$J148=4),-$E148*$I148/12*3,IF($J148=5,-$E148*$I148/12*2,IF($J148=6,-$E148*$I148/12*1,0)))))+IF(DJ$5&lt;&gt;$H148,0,IF(DJ148&lt;0,IF($J148=4,-$E148*$I148/12*0,IF($J148=5,-$E148*$I148/12*1,IF($J148=6,-$E148*$I148/12*2,IF($J148&gt;=7,-$E148*$I148/12*3,0))))))</f>
        <v>0</v>
      </c>
      <c r="DM148" s="406">
        <f>IF($H148&lt;&gt;DO$5,0,IF(DO148&lt;0,IF(OR($J148=1,$J148=2,$J148=3,$J148=4,$J148=5,$J148=6,$J148=7),-$E148*$I148/12*3,IF($J148=8,-$E148*$I148/12*2,IF($J148=9,-$E148*$I148/12*1,0)))))+IF(DJ$5&lt;&gt;$H148,0,IF(DJ148&lt;0,IF($J148=7,-$E148*$I148/12*0,IF($J148=8,-$E148*$I148/12*1,IF($J148=9,-$E148*$I148/12*2,IF($J148&gt;=10,-$E148*$I148/12*3,0))))))</f>
        <v>0</v>
      </c>
      <c r="DN148" s="402">
        <f>IF($H148&lt;&gt;DO$5,0,IF(DO148&lt;0,IF(OR($J148=1,$J148=2,$J148=3,$J148=4,$J148=5,$J148=6,$J148=7,$J148=8,$J148=9,$J148=10),-$E148*$I148/12*3,IF($J148=11,-$E148*$I148/12*2,IF($J148=12,-$E148*$I148/12*1,0)))))+IF(DJ$5&lt;&gt;$H148,0,IF(DJ148&lt;0,IF($J148=10,-$E148*$I148/12*0,IF($J148=11,-$E148*$I148/12*1,IF($J148=12,-$E148*$I148/12*2,0)))))</f>
        <v>0</v>
      </c>
      <c r="DO148" s="403">
        <f>IF(AND(DJ148&lt;&gt;0,DJ$5=$H148),-$I148*$E148-DJ148,IF(DO$5=$H148,-$I148*$E148*(12-$J148+1)/12,0))</f>
        <v>0</v>
      </c>
      <c r="DP148" s="400">
        <f>IF($H148&lt;&gt;DT$5,0,IF(DT148&lt;0,IF($J148=1,-$E148*$I148/12*3,IF($J148=2,-$E148*$I148/12*2,IF($J148=3,-$E148*$I148/12*1,0)))))+IF(DO$5&lt;&gt;$H148,0,IF(DO148&lt;0,IF($J148=1,-$E148*$I148/12*0,IF($J148=2,-$E148*$I148/12*1,IF($J148=3,-$E148*$I148/12*2,IF($J148&gt;=4,-$E148*$I148/12*3,0))))))</f>
        <v>0</v>
      </c>
      <c r="DQ148" s="406">
        <f>IF($H148&lt;&gt;DT$5,0,IF(DT148&lt;0,IF(OR($J148=1,$J148=2,$J148=3,$J148=4),-$E148*$I148/12*3,IF($J148=5,-$E148*$I148/12*2,IF($J148=6,-$E148*$I148/12*1,0)))))+IF(DO$5&lt;&gt;$H148,0,IF(DO148&lt;0,IF($J148=4,-$E148*$I148/12*0,IF($J148=5,-$E148*$I148/12*1,IF($J148=6,-$E148*$I148/12*2,IF($J148&gt;=7,-$E148*$I148/12*3,0))))))</f>
        <v>0</v>
      </c>
      <c r="DR148" s="406">
        <f>IF($H148&lt;&gt;DT$5,0,IF(DT148&lt;0,IF(OR($J148=1,$J148=2,$J148=3,$J148=4,$J148=5,$J148=6,$J148=7),-$E148*$I148/12*3,IF($J148=8,-$E148*$I148/12*2,IF($J148=9,-$E148*$I148/12*1,0)))))+IF(DO$5&lt;&gt;$H148,0,IF(DO148&lt;0,IF($J148=7,-$E148*$I148/12*0,IF($J148=8,-$E148*$I148/12*1,IF($J148=9,-$E148*$I148/12*2,IF($J148&gt;=10,-$E148*$I148/12*3,0))))))</f>
        <v>0</v>
      </c>
      <c r="DS148" s="402">
        <f>IF($H148&lt;&gt;DT$5,0,IF(DT148&lt;0,IF(OR($J148=1,$J148=2,$J148=3,$J148=4,$J148=5,$J148=6,$J148=7,$J148=8,$J148=9,$J148=10),-$E148*$I148/12*3,IF($J148=11,-$E148*$I148/12*2,IF($J148=12,-$E148*$I148/12*1,0)))))+IF(DO$5&lt;&gt;$H148,0,IF(DO148&lt;0,IF($J148=10,-$E148*$I148/12*0,IF($J148=11,-$E148*$I148/12*1,IF($J148=12,-$E148*$I148/12*2,0)))))</f>
        <v>0</v>
      </c>
      <c r="DT148" s="403">
        <f>IF(AND(DO148&lt;&gt;0,DO$5=$H148),-$I148*$E148-DO148,IF(DT$5=$H148,-$I148*$E148*(12-$J148+1)/12,0))</f>
        <v>0</v>
      </c>
      <c r="EF148" s="35"/>
      <c r="EI148" s="759"/>
    </row>
    <row r="149" spans="1:139" ht="12.75" customHeight="1" x14ac:dyDescent="0.2">
      <c r="C149" s="52" t="s">
        <v>381</v>
      </c>
      <c r="D149" s="70"/>
      <c r="E149" s="530">
        <f>IF(F149=0,G149,F149)</f>
        <v>250</v>
      </c>
      <c r="F149" s="532">
        <v>250</v>
      </c>
      <c r="G149" s="532">
        <v>250</v>
      </c>
      <c r="H149" s="449">
        <v>2036</v>
      </c>
      <c r="I149" s="450">
        <v>0.06</v>
      </c>
      <c r="J149" s="451">
        <v>10</v>
      </c>
      <c r="K149" s="392"/>
      <c r="L149" s="397">
        <f>IF(L$5=$H149,-$E149,0)</f>
        <v>0</v>
      </c>
      <c r="M149" s="394">
        <f>IF(Q149=0,0,IF(Q149&lt;0,IF($J149=3,Q149,IF($J149=2,Q149,IF($J149=1,Q149,0)))))</f>
        <v>0</v>
      </c>
      <c r="N149" s="404">
        <f>IF(Q149=0,0,IF(Q149&lt;0,IF($J149=6,Q149,IF($J149=5,Q149,IF($J149=4,Q149,0)))))</f>
        <v>0</v>
      </c>
      <c r="O149" s="404">
        <f>IF(Q149=0,0,IF(Q149&lt;0,IF($J149=9,Q149,IF($J149=8,Q149,IF($J149=7,Q149,0)))))</f>
        <v>0</v>
      </c>
      <c r="P149" s="396">
        <f>IF(Q149=0,0,IF(Q149&lt;0,IF($J149=12,Q149,IF($J149=11,Q149,IF($J149=10,Q149,0)))))</f>
        <v>0</v>
      </c>
      <c r="Q149" s="397">
        <f>IF(Q$5=$H149,-$E149,0)</f>
        <v>0</v>
      </c>
      <c r="R149" s="394">
        <f>IF(V149=0,0,IF(V149&lt;0,IF($J149=3,V149,IF($J149=2,V149,IF($J149=1,V149,0)))))</f>
        <v>0</v>
      </c>
      <c r="S149" s="404">
        <f>IF(V149=0,0,IF(V149&lt;0,IF($J149=6,V149,IF($J149=5,V149,IF($J149=4,V149,0)))))</f>
        <v>0</v>
      </c>
      <c r="T149" s="404">
        <f>IF(V149=0,0,IF(V149&lt;0,IF($J149=9,V149,IF($J149=8,V149,IF($J149=7,V149,0)))))</f>
        <v>0</v>
      </c>
      <c r="U149" s="396">
        <f>IF(V149=0,0,IF(V149&lt;0,IF($J149=12,V149,IF($J149=11,V149,IF($J149=10,V149,0)))))</f>
        <v>0</v>
      </c>
      <c r="V149" s="397">
        <f>IF(V$5=$H149,-$E149,0)</f>
        <v>0</v>
      </c>
      <c r="W149" s="394">
        <f>IF(AA149=0,0,IF(AA149&lt;0,IF($J149=3,AA149,IF($J149=2,AA149,IF($J149=1,AA149,0)))))</f>
        <v>0</v>
      </c>
      <c r="X149" s="404">
        <f>IF(AA149=0,0,IF(AA149&lt;0,IF($J149=6,AA149,IF($J149=5,AA149,IF($J149=4,AA149,0)))))</f>
        <v>0</v>
      </c>
      <c r="Y149" s="404">
        <f>IF(AA149=0,0,IF(AA149&lt;0,IF($J149=9,AA149,IF($J149=8,AA149,IF($J149=7,AA149,0)))))</f>
        <v>0</v>
      </c>
      <c r="Z149" s="396">
        <f>IF(AA149=0,0,IF(AA149&lt;0,IF($J149=12,AA149,IF($J149=11,AA149,IF($J149=10,AA149,0)))))</f>
        <v>0</v>
      </c>
      <c r="AA149" s="397">
        <f>IF(AA$5=$H149,-$E149,0)</f>
        <v>0</v>
      </c>
      <c r="AB149" s="394">
        <f>IF(AF149=0,0,IF(AF149&lt;0,IF($J149=3,AF149,IF($J149=2,AF149,IF($J149=1,AF149,0)))))</f>
        <v>0</v>
      </c>
      <c r="AC149" s="404">
        <f>IF(AF149=0,0,IF(AF149&lt;0,IF($J149=6,AF149,IF($J149=5,AF149,IF($J149=4,AF149,0)))))</f>
        <v>0</v>
      </c>
      <c r="AD149" s="404">
        <f>IF(AF149=0,0,IF(AF149&lt;0,IF($J149=9,AF149,IF($J149=8,AF149,IF($J149=7,AF149,0)))))</f>
        <v>0</v>
      </c>
      <c r="AE149" s="396">
        <f>IF(AF149=0,0,IF(AF149&lt;0,IF($J149=12,AF149,IF($J149=11,AF149,IF($J149=10,AF149,0)))))</f>
        <v>0</v>
      </c>
      <c r="AF149" s="397">
        <f>IF(AF$5=$H149,-$E149,0)</f>
        <v>0</v>
      </c>
      <c r="AG149" s="394">
        <f>IF(AK149=0,0,IF(AK149&lt;0,IF($J149=3,AK149,IF($J149=2,AK149,IF($J149=1,AK149,0)))))</f>
        <v>0</v>
      </c>
      <c r="AH149" s="404">
        <f>IF(AK149=0,0,IF(AK149&lt;0,IF($J149=6,AK149,IF($J149=5,AK149,IF($J149=4,AK149,0)))))</f>
        <v>0</v>
      </c>
      <c r="AI149" s="404">
        <f>IF(AK149=0,0,IF(AK149&lt;0,IF($J149=9,AK149,IF($J149=8,AK149,IF($J149=7,AK149,0)))))</f>
        <v>0</v>
      </c>
      <c r="AJ149" s="396">
        <f>IF(AK149=0,0,IF(AK149&lt;0,IF($J149=12,AK149,IF($J149=11,AK149,IF($J149=10,AK149,0)))))</f>
        <v>0</v>
      </c>
      <c r="AK149" s="397">
        <f>IF(AK$5=$H149,-$E149,0)</f>
        <v>0</v>
      </c>
      <c r="AL149" s="394">
        <f>IF(AP149=0,0,IF(AP149&lt;0,IF($J149=3,AP149,IF($J149=2,AP149,IF($J149=1,AP149,0)))))</f>
        <v>0</v>
      </c>
      <c r="AM149" s="404">
        <f>IF(AP149=0,0,IF(AP149&lt;0,IF($J149=6,AP149,IF($J149=5,AP149,IF($J149=4,AP149,0)))))</f>
        <v>0</v>
      </c>
      <c r="AN149" s="404">
        <f>IF(AP149=0,0,IF(AP149&lt;0,IF($J149=9,AP149,IF($J149=8,AP149,IF($J149=7,AP149,0)))))</f>
        <v>0</v>
      </c>
      <c r="AO149" s="396">
        <f>IF(AP149=0,0,IF(AP149&lt;0,IF($J149=12,AP149,IF($J149=11,AP149,IF($J149=10,AP149,0)))))</f>
        <v>0</v>
      </c>
      <c r="AP149" s="397">
        <f>IF(AP$5=$H149,-$E149,0)</f>
        <v>0</v>
      </c>
      <c r="AQ149" s="394">
        <f>IF(AU149=0,0,IF(AU149&lt;0,IF($J149=3,AU149,IF($J149=2,AU149,IF($J149=1,AU149,0)))))</f>
        <v>0</v>
      </c>
      <c r="AR149" s="404">
        <f>IF(AU149=0,0,IF(AU149&lt;0,IF($J149=6,AU149,IF($J149=5,AU149,IF($J149=4,AU149,0)))))</f>
        <v>0</v>
      </c>
      <c r="AS149" s="404">
        <f>IF(AU149=0,0,IF(AU149&lt;0,IF($J149=9,AU149,IF($J149=8,AU149,IF($J149=7,AU149,0)))))</f>
        <v>0</v>
      </c>
      <c r="AT149" s="396">
        <f>IF(AU149=0,0,IF(AU149&lt;0,IF($J149=12,AU149,IF($J149=11,AU149,IF($J149=10,AU149,0)))))</f>
        <v>0</v>
      </c>
      <c r="AU149" s="397">
        <f>IF(AU$5=$H149,-$E149,0)</f>
        <v>0</v>
      </c>
      <c r="AV149" s="394">
        <f>IF(AZ149=0,0,IF(AZ149&lt;0,IF($J149=3,AZ149,IF($J149=2,AZ149,IF($J149=1,AZ149,0)))))</f>
        <v>0</v>
      </c>
      <c r="AW149" s="404">
        <f>IF(AZ149=0,0,IF(AZ149&lt;0,IF($J149=6,AZ149,IF($J149=5,AZ149,IF($J149=4,AZ149,0)))))</f>
        <v>0</v>
      </c>
      <c r="AX149" s="404">
        <f>IF(AZ149=0,0,IF(AZ149&lt;0,IF($J149=9,AZ149,IF($J149=8,AZ149,IF($J149=7,AZ149,0)))))</f>
        <v>0</v>
      </c>
      <c r="AY149" s="396">
        <f>IF(AZ149=0,0,IF(AZ149&lt;0,IF($J149=12,AZ149,IF($J149=11,AZ149,IF($J149=10,AZ149,0)))))</f>
        <v>0</v>
      </c>
      <c r="AZ149" s="397">
        <f>IF(AZ$5=$H149,-$E149,0)</f>
        <v>0</v>
      </c>
      <c r="BA149" s="394">
        <f>IF(BE149=0,0,IF(BE149&lt;0,IF($J149=3,BE149,IF($J149=2,BE149,IF($J149=1,BE149,0)))))</f>
        <v>0</v>
      </c>
      <c r="BB149" s="404">
        <f>IF(BE149=0,0,IF(BE149&lt;0,IF($J149=6,BE149,IF($J149=5,BE149,IF($J149=4,BE149,0)))))</f>
        <v>0</v>
      </c>
      <c r="BC149" s="404">
        <f>IF(BE149=0,0,IF(BE149&lt;0,IF($J149=9,BE149,IF($J149=8,BE149,IF($J149=7,BE149,0)))))</f>
        <v>0</v>
      </c>
      <c r="BD149" s="396">
        <f>IF(BE149=0,0,IF(BE149&lt;0,IF($J149=12,BE149,IF($J149=11,BE149,IF($J149=10,BE149,0)))))</f>
        <v>0</v>
      </c>
      <c r="BE149" s="397">
        <f>IF(BE$5=$H149,-$E149,0)</f>
        <v>0</v>
      </c>
      <c r="BF149" s="394">
        <f>IF(BJ149=0,0,IF(BJ149&lt;0,IF($J149=3,BJ149,IF($J149=2,BJ149,IF($J149=1,BJ149,0)))))</f>
        <v>0</v>
      </c>
      <c r="BG149" s="404">
        <f>IF(BJ149=0,0,IF(BJ149&lt;0,IF($J149=6,BJ149,IF($J149=5,BJ149,IF($J149=4,BJ149,0)))))</f>
        <v>0</v>
      </c>
      <c r="BH149" s="404">
        <f>IF(BJ149=0,0,IF(BJ149&lt;0,IF($J149=9,BJ149,IF($J149=8,BJ149,IF($J149=7,BJ149,0)))))</f>
        <v>0</v>
      </c>
      <c r="BI149" s="396">
        <f>IF(BJ149=0,0,IF(BJ149&lt;0,IF($J149=12,BJ149,IF($J149=11,BJ149,IF($J149=10,BJ149,0)))))</f>
        <v>0</v>
      </c>
      <c r="BJ149" s="397">
        <f>IF(BJ$5=$H149,-$E149,0)</f>
        <v>0</v>
      </c>
      <c r="BK149" s="394">
        <f>IF(BO149=0,0,IF(BO149&lt;0,IF($J149=3,BO149,IF($J149=2,BO149,IF($J149=1,BO149,0)))))</f>
        <v>0</v>
      </c>
      <c r="BL149" s="404">
        <f>IF(BO149=0,0,IF(BO149&lt;0,IF($J149=6,BO149,IF($J149=5,BO149,IF($J149=4,BO149,0)))))</f>
        <v>0</v>
      </c>
      <c r="BM149" s="404">
        <f>IF(BO149=0,0,IF(BO149&lt;0,IF($J149=9,BO149,IF($J149=8,BO149,IF($J149=7,BO149,0)))))</f>
        <v>0</v>
      </c>
      <c r="BN149" s="396">
        <f>IF(BO149=0,0,IF(BO149&lt;0,IF($J149=12,BO149,IF($J149=11,BO149,IF($J149=10,BO149,0)))))</f>
        <v>0</v>
      </c>
      <c r="BO149" s="397">
        <f>IF(BO$5=$H149,-$E149,0)</f>
        <v>0</v>
      </c>
      <c r="BP149" s="452"/>
      <c r="BQ149" s="403">
        <f>IF(AND(BP149&lt;&gt;0,BP$5=$H149),-$I149*$E149-BP149,IF(BQ$5=$H149,-$I149*$E149*(12-$J149+1)/12,0))</f>
        <v>0</v>
      </c>
      <c r="BR149" s="400">
        <f>IF($H149&lt;&gt;BV$5,0,IF(BV149&lt;0,IF($J149=1,-$E149*$I149/12*3,IF($J149=2,-$E149*$I149/12*2,IF($J149=3,-$E149*$I149/12*1,0)))))+IF(BQ$5&lt;&gt;$H149,0,IF(BQ149&lt;0,IF($J149=1,-$E149*$I149/12*0,IF($J149=2,-$E149*$I149/12*1,IF($J149=3,-$E149*$I149/12*2,IF($J149&gt;=4,-$E149*$I149/12*3,0))))))</f>
        <v>0</v>
      </c>
      <c r="BS149" s="406">
        <f>IF($H149&lt;&gt;BV$5,0,IF(BV149&lt;0,IF(OR($J149=1,$J149=2,$J149=3,$J149=4),-$E149*$I149/12*3,IF($J149=5,-$E149*$I149/12*2,IF($J149=6,-$E149*$I149/12*1,0)))))+IF(BQ$5&lt;&gt;$H149,0,IF(BQ149&lt;0,IF($J149=4,-$E149*$I149/12*0,IF($J149=5,-$E149*$I149/12*1,IF($J149=6,-$E149*$I149/12*2,IF($J149&gt;=7,-$E149*$I149/12*3,0))))))</f>
        <v>0</v>
      </c>
      <c r="BT149" s="406">
        <f>IF($H149&lt;&gt;BV$5,0,IF(BV149&lt;0,IF(OR($J149=1,$J149=2,$J149=3,$J149=4,$J149=5,$J149=6,$J149=7),-$E149*$I149/12*3,IF($J149=8,-$E149*$I149/12*2,IF($J149=9,-$E149*$I149/12*1,0)))))+IF(BQ$5&lt;&gt;$H149,0,IF(BQ149&lt;0,IF($J149=7,-$E149*$I149/12*0,IF($J149=8,-$E149*$I149/12*1,IF($J149=9,-$E149*$I149/12*2,IF($J149&gt;=10,-$E149*$I149/12*3,0))))))</f>
        <v>0</v>
      </c>
      <c r="BU149" s="402">
        <f>IF($H149&lt;&gt;BV$5,0,IF(BV149&lt;0,IF(OR($J149=1,$J149=2,$J149=3,$J149=4,$J149=5,$J149=6,$J149=7,$J149=8,$J149=9,$J149=10),-$E149*$I149/12*3,IF($J149=11,-$E149*$I149/12*2,IF($J149=12,-$E149*$I149/12*1,0)))))+IF(BQ$5&lt;&gt;$H149,0,IF(BQ149&lt;0,IF($J149=10,-$E149*$I149/12*0,IF($J149=11,-$E149*$I149/12*1,IF($J149=12,-$E149*$I149/12*2,0)))))</f>
        <v>0</v>
      </c>
      <c r="BV149" s="403">
        <f>IF(AND(BQ149&lt;&gt;0,BQ$5=$H149),-$I149*$E149-BQ149,IF(BV$5=$H149,-$I149*$E149*(12-$J149+1)/12,0))</f>
        <v>0</v>
      </c>
      <c r="BW149" s="400">
        <f>IF($H149&lt;&gt;CA$5,0,IF(CA149&lt;0,IF($J149=1,-$E149*$I149/12*3,IF($J149=2,-$E149*$I149/12*2,IF($J149=3,-$E149*$I149/12*1,0)))))+IF(BV$5&lt;&gt;$H149,0,IF(BV149&lt;0,IF($J149=1,-$E149*$I149/12*0,IF($J149=2,-$E149*$I149/12*1,IF($J149=3,-$E149*$I149/12*2,IF($J149&gt;=4,-$E149*$I149/12*3,0))))))</f>
        <v>0</v>
      </c>
      <c r="BX149" s="406">
        <f>IF($H149&lt;&gt;CA$5,0,IF(CA149&lt;0,IF(OR($J149=1,$J149=2,$J149=3,$J149=4),-$E149*$I149/12*3,IF($J149=5,-$E149*$I149/12*2,IF($J149=6,-$E149*$I149/12*1,0)))))+IF(BV$5&lt;&gt;$H149,0,IF(BV149&lt;0,IF($J149=4,-$E149*$I149/12*0,IF($J149=5,-$E149*$I149/12*1,IF($J149=6,-$E149*$I149/12*2,IF($J149&gt;=7,-$E149*$I149/12*3,0))))))</f>
        <v>0</v>
      </c>
      <c r="BY149" s="406">
        <f>IF($H149&lt;&gt;CA$5,0,IF(CA149&lt;0,IF(OR($J149=1,$J149=2,$J149=3,$J149=4,$J149=5,$J149=6,$J149=7),-$E149*$I149/12*3,IF($J149=8,-$E149*$I149/12*2,IF($J149=9,-$E149*$I149/12*1,0)))))+IF(BV$5&lt;&gt;$H149,0,IF(BV149&lt;0,IF($J149=7,-$E149*$I149/12*0,IF($J149=8,-$E149*$I149/12*1,IF($J149=9,-$E149*$I149/12*2,IF($J149&gt;=10,-$E149*$I149/12*3,0))))))</f>
        <v>0</v>
      </c>
      <c r="BZ149" s="402">
        <f>IF($H149&lt;&gt;CA$5,0,IF(CA149&lt;0,IF(OR($J149=1,$J149=2,$J149=3,$J149=4,$J149=5,$J149=6,$J149=7,$J149=8,$J149=9,$J149=10),-$E149*$I149/12*3,IF($J149=11,-$E149*$I149/12*2,IF($J149=12,-$E149*$I149/12*1,0)))))+IF(BV$5&lt;&gt;$H149,0,IF(BV149&lt;0,IF($J149=10,-$E149*$I149/12*0,IF($J149=11,-$E149*$I149/12*1,IF($J149=12,-$E149*$I149/12*2,0)))))</f>
        <v>0</v>
      </c>
      <c r="CA149" s="403">
        <f>IF(AND(BV149&lt;&gt;0,BV$5=$H149),-$I149*$E149-BV149,IF(CA$5=$H149,-$I149*$E149*(12-$J149+1)/12,0))</f>
        <v>0</v>
      </c>
      <c r="CB149" s="400">
        <f>IF($H149&lt;&gt;CF$5,0,IF(CF149&lt;0,IF($J149=1,-$E149*$I149/12*3,IF($J149=2,-$E149*$I149/12*2,IF($J149=3,-$E149*$I149/12*1,0)))))+IF(CA$5&lt;&gt;$H149,0,IF(CA149&lt;0,IF($J149=1,-$E149*$I149/12*0,IF($J149=2,-$E149*$I149/12*1,IF($J149=3,-$E149*$I149/12*2,IF($J149&gt;=4,-$E149*$I149/12*3,0))))))</f>
        <v>0</v>
      </c>
      <c r="CC149" s="406">
        <f>IF($H149&lt;&gt;CF$5,0,IF(CF149&lt;0,IF(OR($J149=1,$J149=2,$J149=3,$J149=4),-$E149*$I149/12*3,IF($J149=5,-$E149*$I149/12*2,IF($J149=6,-$E149*$I149/12*1,0)))))+IF(CA$5&lt;&gt;$H149,0,IF(CA149&lt;0,IF($J149=4,-$E149*$I149/12*0,IF($J149=5,-$E149*$I149/12*1,IF($J149=6,-$E149*$I149/12*2,IF($J149&gt;=7,-$E149*$I149/12*3,0))))))</f>
        <v>0</v>
      </c>
      <c r="CD149" s="406">
        <f>IF($H149&lt;&gt;CF$5,0,IF(CF149&lt;0,IF(OR($J149=1,$J149=2,$J149=3,$J149=4,$J149=5,$J149=6,$J149=7),-$E149*$I149/12*3,IF($J149=8,-$E149*$I149/12*2,IF($J149=9,-$E149*$I149/12*1,0)))))+IF(CA$5&lt;&gt;$H149,0,IF(CA149&lt;0,IF($J149=7,-$E149*$I149/12*0,IF($J149=8,-$E149*$I149/12*1,IF($J149=9,-$E149*$I149/12*2,IF($J149&gt;=10,-$E149*$I149/12*3,0))))))</f>
        <v>0</v>
      </c>
      <c r="CE149" s="402">
        <f>IF($H149&lt;&gt;CF$5,0,IF(CF149&lt;0,IF(OR($J149=1,$J149=2,$J149=3,$J149=4,$J149=5,$J149=6,$J149=7,$J149=8,$J149=9,$J149=10),-$E149*$I149/12*3,IF($J149=11,-$E149*$I149/12*2,IF($J149=12,-$E149*$I149/12*1,0)))))+IF(CA$5&lt;&gt;$H149,0,IF(CA149&lt;0,IF($J149=10,-$E149*$I149/12*0,IF($J149=11,-$E149*$I149/12*1,IF($J149=12,-$E149*$I149/12*2,0)))))</f>
        <v>0</v>
      </c>
      <c r="CF149" s="403">
        <f>IF(AND(CA149&lt;&gt;0,CA$5=$H149),-$I149*$E149-CA149,IF(CF$5=$H149,-$I149*$E149*(12-$J149+1)/12,0))</f>
        <v>0</v>
      </c>
      <c r="CG149" s="400">
        <f>IF($H149&lt;&gt;CK$5,0,IF(CK149&lt;0,IF($J149=1,-$E149*$I149/12*3,IF($J149=2,-$E149*$I149/12*2,IF($J149=3,-$E149*$I149/12*1,0)))))+IF(CF$5&lt;&gt;$H149,0,IF(CF149&lt;0,IF($J149=1,-$E149*$I149/12*0,IF($J149=2,-$E149*$I149/12*1,IF($J149=3,-$E149*$I149/12*2,IF($J149&gt;=4,-$E149*$I149/12*3,0))))))</f>
        <v>0</v>
      </c>
      <c r="CH149" s="406">
        <f>IF($H149&lt;&gt;CK$5,0,IF(CK149&lt;0,IF(OR($J149=1,$J149=2,$J149=3,$J149=4),-$E149*$I149/12*3,IF($J149=5,-$E149*$I149/12*2,IF($J149=6,-$E149*$I149/12*1,0)))))+IF(CF$5&lt;&gt;$H149,0,IF(CF149&lt;0,IF($J149=4,-$E149*$I149/12*0,IF($J149=5,-$E149*$I149/12*1,IF($J149=6,-$E149*$I149/12*2,IF($J149&gt;=7,-$E149*$I149/12*3,0))))))</f>
        <v>0</v>
      </c>
      <c r="CI149" s="406">
        <f>IF($H149&lt;&gt;CK$5,0,IF(CK149&lt;0,IF(OR($J149=1,$J149=2,$J149=3,$J149=4,$J149=5,$J149=6,$J149=7),-$E149*$I149/12*3,IF($J149=8,-$E149*$I149/12*2,IF($J149=9,-$E149*$I149/12*1,0)))))+IF(CF$5&lt;&gt;$H149,0,IF(CF149&lt;0,IF($J149=7,-$E149*$I149/12*0,IF($J149=8,-$E149*$I149/12*1,IF($J149=9,-$E149*$I149/12*2,IF($J149&gt;=10,-$E149*$I149/12*3,0))))))</f>
        <v>0</v>
      </c>
      <c r="CJ149" s="402">
        <f>IF($H149&lt;&gt;CK$5,0,IF(CK149&lt;0,IF(OR($J149=1,$J149=2,$J149=3,$J149=4,$J149=5,$J149=6,$J149=7,$J149=8,$J149=9,$J149=10),-$E149*$I149/12*3,IF($J149=11,-$E149*$I149/12*2,IF($J149=12,-$E149*$I149/12*1,0)))))+IF(CF$5&lt;&gt;$H149,0,IF(CF149&lt;0,IF($J149=10,-$E149*$I149/12*0,IF($J149=11,-$E149*$I149/12*1,IF($J149=12,-$E149*$I149/12*2,0)))))</f>
        <v>0</v>
      </c>
      <c r="CK149" s="403">
        <f>IF(AND(CF149&lt;&gt;0,CF$5=$H149),-$I149*$E149-CF149,IF(CK$5=$H149,-$I149*$E149*(12-$J149+1)/12,0))</f>
        <v>0</v>
      </c>
      <c r="CL149" s="400">
        <f>IF($H149&lt;&gt;CP$5,0,IF(CP149&lt;0,IF($J149=1,-$E149*$I149/12*3,IF($J149=2,-$E149*$I149/12*2,IF($J149=3,-$E149*$I149/12*1,0)))))+IF(CK$5&lt;&gt;$H149,0,IF(CK149&lt;0,IF($J149=1,-$E149*$I149/12*0,IF($J149=2,-$E149*$I149/12*1,IF($J149=3,-$E149*$I149/12*2,IF($J149&gt;=4,-$E149*$I149/12*3,0))))))</f>
        <v>0</v>
      </c>
      <c r="CM149" s="406">
        <f>IF($H149&lt;&gt;CP$5,0,IF(CP149&lt;0,IF(OR($J149=1,$J149=2,$J149=3,$J149=4),-$E149*$I149/12*3,IF($J149=5,-$E149*$I149/12*2,IF($J149=6,-$E149*$I149/12*1,0)))))+IF(CK$5&lt;&gt;$H149,0,IF(CK149&lt;0,IF($J149=4,-$E149*$I149/12*0,IF($J149=5,-$E149*$I149/12*1,IF($J149=6,-$E149*$I149/12*2,IF($J149&gt;=7,-$E149*$I149/12*3,0))))))</f>
        <v>0</v>
      </c>
      <c r="CN149" s="406">
        <f>IF($H149&lt;&gt;CP$5,0,IF(CP149&lt;0,IF(OR($J149=1,$J149=2,$J149=3,$J149=4,$J149=5,$J149=6,$J149=7),-$E149*$I149/12*3,IF($J149=8,-$E149*$I149/12*2,IF($J149=9,-$E149*$I149/12*1,0)))))+IF(CK$5&lt;&gt;$H149,0,IF(CK149&lt;0,IF($J149=7,-$E149*$I149/12*0,IF($J149=8,-$E149*$I149/12*1,IF($J149=9,-$E149*$I149/12*2,IF($J149&gt;=10,-$E149*$I149/12*3,0))))))</f>
        <v>0</v>
      </c>
      <c r="CO149" s="402">
        <f>IF($H149&lt;&gt;CP$5,0,IF(CP149&lt;0,IF(OR($J149=1,$J149=2,$J149=3,$J149=4,$J149=5,$J149=6,$J149=7,$J149=8,$J149=9,$J149=10),-$E149*$I149/12*3,IF($J149=11,-$E149*$I149/12*2,IF($J149=12,-$E149*$I149/12*1,0)))))+IF(CK$5&lt;&gt;$H149,0,IF(CK149&lt;0,IF($J149=10,-$E149*$I149/12*0,IF($J149=11,-$E149*$I149/12*1,IF($J149=12,-$E149*$I149/12*2,0)))))</f>
        <v>0</v>
      </c>
      <c r="CP149" s="403">
        <f>IF(AND(CK149&lt;&gt;0,CK$5=$H149),-$I149*$E149-CK149,IF(CP$5=$H149,-$I149*$E149*(12-$J149+1)/12,0))</f>
        <v>0</v>
      </c>
      <c r="CQ149" s="400">
        <f>IF($H149&lt;&gt;CU$5,0,IF(CU149&lt;0,IF($J149=1,-$E149*$I149/12*3,IF($J149=2,-$E149*$I149/12*2,IF($J149=3,-$E149*$I149/12*1,0)))))+IF(CP$5&lt;&gt;$H149,0,IF(CP149&lt;0,IF($J149=1,-$E149*$I149/12*0,IF($J149=2,-$E149*$I149/12*1,IF($J149=3,-$E149*$I149/12*2,IF($J149&gt;=4,-$E149*$I149/12*3,0))))))</f>
        <v>0</v>
      </c>
      <c r="CR149" s="406">
        <f>IF($H149&lt;&gt;CU$5,0,IF(CU149&lt;0,IF(OR($J149=1,$J149=2,$J149=3,$J149=4),-$E149*$I149/12*3,IF($J149=5,-$E149*$I149/12*2,IF($J149=6,-$E149*$I149/12*1,0)))))+IF(CP$5&lt;&gt;$H149,0,IF(CP149&lt;0,IF($J149=4,-$E149*$I149/12*0,IF($J149=5,-$E149*$I149/12*1,IF($J149=6,-$E149*$I149/12*2,IF($J149&gt;=7,-$E149*$I149/12*3,0))))))</f>
        <v>0</v>
      </c>
      <c r="CS149" s="406">
        <f>IF($H149&lt;&gt;CU$5,0,IF(CU149&lt;0,IF(OR($J149=1,$J149=2,$J149=3,$J149=4,$J149=5,$J149=6,$J149=7),-$E149*$I149/12*3,IF($J149=8,-$E149*$I149/12*2,IF($J149=9,-$E149*$I149/12*1,0)))))+IF(CP$5&lt;&gt;$H149,0,IF(CP149&lt;0,IF($J149=7,-$E149*$I149/12*0,IF($J149=8,-$E149*$I149/12*1,IF($J149=9,-$E149*$I149/12*2,IF($J149&gt;=10,-$E149*$I149/12*3,0))))))</f>
        <v>0</v>
      </c>
      <c r="CT149" s="402">
        <f>IF($H149&lt;&gt;CU$5,0,IF(CU149&lt;0,IF(OR($J149=1,$J149=2,$J149=3,$J149=4,$J149=5,$J149=6,$J149=7,$J149=8,$J149=9,$J149=10),-$E149*$I149/12*3,IF($J149=11,-$E149*$I149/12*2,IF($J149=12,-$E149*$I149/12*1,0)))))+IF(CP$5&lt;&gt;$H149,0,IF(CP149&lt;0,IF($J149=10,-$E149*$I149/12*0,IF($J149=11,-$E149*$I149/12*1,IF($J149=12,-$E149*$I149/12*2,0)))))</f>
        <v>0</v>
      </c>
      <c r="CU149" s="403">
        <f>IF(AND(CP149&lt;&gt;0,CP$5=$H149),-$I149*$E149-CP149,IF(CU$5=$H149,-$I149*$E149*(12-$J149+1)/12,0))</f>
        <v>0</v>
      </c>
      <c r="CV149" s="400">
        <f>IF($H149&lt;&gt;CZ$5,0,IF(CZ149&lt;0,IF($J149=1,-$E149*$I149/12*3,IF($J149=2,-$E149*$I149/12*2,IF($J149=3,-$E149*$I149/12*1,0)))))+IF(CU$5&lt;&gt;$H149,0,IF(CU149&lt;0,IF($J149=1,-$E149*$I149/12*0,IF($J149=2,-$E149*$I149/12*1,IF($J149=3,-$E149*$I149/12*2,IF($J149&gt;=4,-$E149*$I149/12*3,0))))))</f>
        <v>0</v>
      </c>
      <c r="CW149" s="406">
        <f>IF($H149&lt;&gt;CZ$5,0,IF(CZ149&lt;0,IF(OR($J149=1,$J149=2,$J149=3,$J149=4),-$E149*$I149/12*3,IF($J149=5,-$E149*$I149/12*2,IF($J149=6,-$E149*$I149/12*1,0)))))+IF(CU$5&lt;&gt;$H149,0,IF(CU149&lt;0,IF($J149=4,-$E149*$I149/12*0,IF($J149=5,-$E149*$I149/12*1,IF($J149=6,-$E149*$I149/12*2,IF($J149&gt;=7,-$E149*$I149/12*3,0))))))</f>
        <v>0</v>
      </c>
      <c r="CX149" s="406">
        <f>IF($H149&lt;&gt;CZ$5,0,IF(CZ149&lt;0,IF(OR($J149=1,$J149=2,$J149=3,$J149=4,$J149=5,$J149=6,$J149=7),-$E149*$I149/12*3,IF($J149=8,-$E149*$I149/12*2,IF($J149=9,-$E149*$I149/12*1,0)))))+IF(CU$5&lt;&gt;$H149,0,IF(CU149&lt;0,IF($J149=7,-$E149*$I149/12*0,IF($J149=8,-$E149*$I149/12*1,IF($J149=9,-$E149*$I149/12*2,IF($J149&gt;=10,-$E149*$I149/12*3,0))))))</f>
        <v>0</v>
      </c>
      <c r="CY149" s="402">
        <f>IF($H149&lt;&gt;CZ$5,0,IF(CZ149&lt;0,IF(OR($J149=1,$J149=2,$J149=3,$J149=4,$J149=5,$J149=6,$J149=7,$J149=8,$J149=9,$J149=10),-$E149*$I149/12*3,IF($J149=11,-$E149*$I149/12*2,IF($J149=12,-$E149*$I149/12*1,0)))))+IF(CU$5&lt;&gt;$H149,0,IF(CU149&lt;0,IF($J149=10,-$E149*$I149/12*0,IF($J149=11,-$E149*$I149/12*1,IF($J149=12,-$E149*$I149/12*2,0)))))</f>
        <v>0</v>
      </c>
      <c r="CZ149" s="403">
        <f>IF(AND(CU149&lt;&gt;0,CU$5=$H149),-$I149*$E149-CU149,IF(CZ$5=$H149,-$I149*$E149*(12-$J149+1)/12,0))</f>
        <v>0</v>
      </c>
      <c r="DA149" s="400">
        <f>IF($H149&lt;&gt;DE$5,0,IF(DE149&lt;0,IF($J149=1,-$E149*$I149/12*3,IF($J149=2,-$E149*$I149/12*2,IF($J149=3,-$E149*$I149/12*1,0)))))+IF(CZ$5&lt;&gt;$H149,0,IF(CZ149&lt;0,IF($J149=1,-$E149*$I149/12*0,IF($J149=2,-$E149*$I149/12*1,IF($J149=3,-$E149*$I149/12*2,IF($J149&gt;=4,-$E149*$I149/12*3,0))))))</f>
        <v>0</v>
      </c>
      <c r="DB149" s="406">
        <f>IF($H149&lt;&gt;DE$5,0,IF(DE149&lt;0,IF(OR($J149=1,$J149=2,$J149=3,$J149=4),-$E149*$I149/12*3,IF($J149=5,-$E149*$I149/12*2,IF($J149=6,-$E149*$I149/12*1,0)))))+IF(CZ$5&lt;&gt;$H149,0,IF(CZ149&lt;0,IF($J149=4,-$E149*$I149/12*0,IF($J149=5,-$E149*$I149/12*1,IF($J149=6,-$E149*$I149/12*2,IF($J149&gt;=7,-$E149*$I149/12*3,0))))))</f>
        <v>0</v>
      </c>
      <c r="DC149" s="406">
        <f>IF($H149&lt;&gt;DE$5,0,IF(DE149&lt;0,IF(OR($J149=1,$J149=2,$J149=3,$J149=4,$J149=5,$J149=6,$J149=7),-$E149*$I149/12*3,IF($J149=8,-$E149*$I149/12*2,IF($J149=9,-$E149*$I149/12*1,0)))))+IF(CZ$5&lt;&gt;$H149,0,IF(CZ149&lt;0,IF($J149=7,-$E149*$I149/12*0,IF($J149=8,-$E149*$I149/12*1,IF($J149=9,-$E149*$I149/12*2,IF($J149&gt;=10,-$E149*$I149/12*3,0))))))</f>
        <v>0</v>
      </c>
      <c r="DD149" s="402">
        <f>IF($H149&lt;&gt;DE$5,0,IF(DE149&lt;0,IF(OR($J149=1,$J149=2,$J149=3,$J149=4,$J149=5,$J149=6,$J149=7,$J149=8,$J149=9,$J149=10),-$E149*$I149/12*3,IF($J149=11,-$E149*$I149/12*2,IF($J149=12,-$E149*$I149/12*1,0)))))+IF(CZ$5&lt;&gt;$H149,0,IF(CZ149&lt;0,IF($J149=10,-$E149*$I149/12*0,IF($J149=11,-$E149*$I149/12*1,IF($J149=12,-$E149*$I149/12*2,0)))))</f>
        <v>0</v>
      </c>
      <c r="DE149" s="403">
        <f>IF(AND(CZ149&lt;&gt;0,CZ$5=$H149),-$I149*$E149-CZ149,IF(DE$5=$H149,-$I149*$E149*(12-$J149+1)/12,0))</f>
        <v>0</v>
      </c>
      <c r="DF149" s="400">
        <f>IF($H149&lt;&gt;DJ$5,0,IF(DJ149&lt;0,IF($J149=1,-$E149*$I149/12*3,IF($J149=2,-$E149*$I149/12*2,IF($J149=3,-$E149*$I149/12*1,0)))))+IF(DE$5&lt;&gt;$H149,0,IF(DE149&lt;0,IF($J149=1,-$E149*$I149/12*0,IF($J149=2,-$E149*$I149/12*1,IF($J149=3,-$E149*$I149/12*2,IF($J149&gt;=4,-$E149*$I149/12*3,0))))))</f>
        <v>0</v>
      </c>
      <c r="DG149" s="406">
        <f>IF($H149&lt;&gt;DJ$5,0,IF(DJ149&lt;0,IF(OR($J149=1,$J149=2,$J149=3,$J149=4),-$E149*$I149/12*3,IF($J149=5,-$E149*$I149/12*2,IF($J149=6,-$E149*$I149/12*1,0)))))+IF(DE$5&lt;&gt;$H149,0,IF(DE149&lt;0,IF($J149=4,-$E149*$I149/12*0,IF($J149=5,-$E149*$I149/12*1,IF($J149=6,-$E149*$I149/12*2,IF($J149&gt;=7,-$E149*$I149/12*3,0))))))</f>
        <v>0</v>
      </c>
      <c r="DH149" s="406">
        <f>IF($H149&lt;&gt;DJ$5,0,IF(DJ149&lt;0,IF(OR($J149=1,$J149=2,$J149=3,$J149=4,$J149=5,$J149=6,$J149=7),-$E149*$I149/12*3,IF($J149=8,-$E149*$I149/12*2,IF($J149=9,-$E149*$I149/12*1,0)))))+IF(DE$5&lt;&gt;$H149,0,IF(DE149&lt;0,IF($J149=7,-$E149*$I149/12*0,IF($J149=8,-$E149*$I149/12*1,IF($J149=9,-$E149*$I149/12*2,IF($J149&gt;=10,-$E149*$I149/12*3,0))))))</f>
        <v>0</v>
      </c>
      <c r="DI149" s="402">
        <f>IF($H149&lt;&gt;DJ$5,0,IF(DJ149&lt;0,IF(OR($J149=1,$J149=2,$J149=3,$J149=4,$J149=5,$J149=6,$J149=7,$J149=8,$J149=9,$J149=10),-$E149*$I149/12*3,IF($J149=11,-$E149*$I149/12*2,IF($J149=12,-$E149*$I149/12*1,0)))))+IF(DE$5&lt;&gt;$H149,0,IF(DE149&lt;0,IF($J149=10,-$E149*$I149/12*0,IF($J149=11,-$E149*$I149/12*1,IF($J149=12,-$E149*$I149/12*2,0)))))</f>
        <v>0</v>
      </c>
      <c r="DJ149" s="403">
        <f>IF(AND(DE149&lt;&gt;0,DE$5=$H149),-$I149*$E149-DE149,IF(DJ$5=$H149,-$I149*$E149*(12-$J149+1)/12,0))</f>
        <v>0</v>
      </c>
      <c r="DK149" s="400">
        <f>IF($H149&lt;&gt;DO$5,0,IF(DO149&lt;0,IF($J149=1,-$E149*$I149/12*3,IF($J149=2,-$E149*$I149/12*2,IF($J149=3,-$E149*$I149/12*1,0)))))+IF(DJ$5&lt;&gt;$H149,0,IF(DJ149&lt;0,IF($J149=1,-$E149*$I149/12*0,IF($J149=2,-$E149*$I149/12*1,IF($J149=3,-$E149*$I149/12*2,IF($J149&gt;=4,-$E149*$I149/12*3,0))))))</f>
        <v>0</v>
      </c>
      <c r="DL149" s="406">
        <f>IF($H149&lt;&gt;DO$5,0,IF(DO149&lt;0,IF(OR($J149=1,$J149=2,$J149=3,$J149=4),-$E149*$I149/12*3,IF($J149=5,-$E149*$I149/12*2,IF($J149=6,-$E149*$I149/12*1,0)))))+IF(DJ$5&lt;&gt;$H149,0,IF(DJ149&lt;0,IF($J149=4,-$E149*$I149/12*0,IF($J149=5,-$E149*$I149/12*1,IF($J149=6,-$E149*$I149/12*2,IF($J149&gt;=7,-$E149*$I149/12*3,0))))))</f>
        <v>0</v>
      </c>
      <c r="DM149" s="406">
        <f>IF($H149&lt;&gt;DO$5,0,IF(DO149&lt;0,IF(OR($J149=1,$J149=2,$J149=3,$J149=4,$J149=5,$J149=6,$J149=7),-$E149*$I149/12*3,IF($J149=8,-$E149*$I149/12*2,IF($J149=9,-$E149*$I149/12*1,0)))))+IF(DJ$5&lt;&gt;$H149,0,IF(DJ149&lt;0,IF($J149=7,-$E149*$I149/12*0,IF($J149=8,-$E149*$I149/12*1,IF($J149=9,-$E149*$I149/12*2,IF($J149&gt;=10,-$E149*$I149/12*3,0))))))</f>
        <v>0</v>
      </c>
      <c r="DN149" s="402">
        <f>IF($H149&lt;&gt;DO$5,0,IF(DO149&lt;0,IF(OR($J149=1,$J149=2,$J149=3,$J149=4,$J149=5,$J149=6,$J149=7,$J149=8,$J149=9,$J149=10),-$E149*$I149/12*3,IF($J149=11,-$E149*$I149/12*2,IF($J149=12,-$E149*$I149/12*1,0)))))+IF(DJ$5&lt;&gt;$H149,0,IF(DJ149&lt;0,IF($J149=10,-$E149*$I149/12*0,IF($J149=11,-$E149*$I149/12*1,IF($J149=12,-$E149*$I149/12*2,0)))))</f>
        <v>0</v>
      </c>
      <c r="DO149" s="403">
        <f>IF(AND(DJ149&lt;&gt;0,DJ$5=$H149),-$I149*$E149-DJ149,IF(DO$5=$H149,-$I149*$E149*(12-$J149+1)/12,0))</f>
        <v>0</v>
      </c>
      <c r="DP149" s="400">
        <f>IF($H149&lt;&gt;DT$5,0,IF(DT149&lt;0,IF($J149=1,-$E149*$I149/12*3,IF($J149=2,-$E149*$I149/12*2,IF($J149=3,-$E149*$I149/12*1,0)))))+IF(DO$5&lt;&gt;$H149,0,IF(DO149&lt;0,IF($J149=1,-$E149*$I149/12*0,IF($J149=2,-$E149*$I149/12*1,IF($J149=3,-$E149*$I149/12*2,IF($J149&gt;=4,-$E149*$I149/12*3,0))))))</f>
        <v>0</v>
      </c>
      <c r="DQ149" s="406">
        <f>IF($H149&lt;&gt;DT$5,0,IF(DT149&lt;0,IF(OR($J149=1,$J149=2,$J149=3,$J149=4),-$E149*$I149/12*3,IF($J149=5,-$E149*$I149/12*2,IF($J149=6,-$E149*$I149/12*1,0)))))+IF(DO$5&lt;&gt;$H149,0,IF(DO149&lt;0,IF($J149=4,-$E149*$I149/12*0,IF($J149=5,-$E149*$I149/12*1,IF($J149=6,-$E149*$I149/12*2,IF($J149&gt;=7,-$E149*$I149/12*3,0))))))</f>
        <v>0</v>
      </c>
      <c r="DR149" s="406">
        <f>IF($H149&lt;&gt;DT$5,0,IF(DT149&lt;0,IF(OR($J149=1,$J149=2,$J149=3,$J149=4,$J149=5,$J149=6,$J149=7),-$E149*$I149/12*3,IF($J149=8,-$E149*$I149/12*2,IF($J149=9,-$E149*$I149/12*1,0)))))+IF(DO$5&lt;&gt;$H149,0,IF(DO149&lt;0,IF($J149=7,-$E149*$I149/12*0,IF($J149=8,-$E149*$I149/12*1,IF($J149=9,-$E149*$I149/12*2,IF($J149&gt;=10,-$E149*$I149/12*3,0))))))</f>
        <v>0</v>
      </c>
      <c r="DS149" s="402">
        <f>IF($H149&lt;&gt;DT$5,0,IF(DT149&lt;0,IF(OR($J149=1,$J149=2,$J149=3,$J149=4,$J149=5,$J149=6,$J149=7,$J149=8,$J149=9,$J149=10),-$E149*$I149/12*3,IF($J149=11,-$E149*$I149/12*2,IF($J149=12,-$E149*$I149/12*1,0)))))+IF(DO$5&lt;&gt;$H149,0,IF(DO149&lt;0,IF($J149=10,-$E149*$I149/12*0,IF($J149=11,-$E149*$I149/12*1,IF($J149=12,-$E149*$I149/12*2,0)))))</f>
        <v>0</v>
      </c>
      <c r="DT149" s="403">
        <f>IF(AND(DO149&lt;&gt;0,DO$5=$H149),-$I149*$E149-DO149,IF(DT$5=$H149,-$I149*$E149*(12-$J149+1)/12,0))</f>
        <v>0</v>
      </c>
      <c r="EF149" s="35"/>
      <c r="EI149" s="759"/>
    </row>
    <row r="150" spans="1:139" ht="12.75" customHeight="1" x14ac:dyDescent="0.2">
      <c r="C150" s="52"/>
      <c r="D150" s="70"/>
      <c r="E150" s="530"/>
      <c r="F150" s="532"/>
      <c r="G150" s="532"/>
      <c r="H150" s="449"/>
      <c r="I150" s="450"/>
      <c r="J150" s="451"/>
      <c r="K150" s="392"/>
      <c r="L150" s="397"/>
      <c r="M150" s="394"/>
      <c r="N150" s="404"/>
      <c r="O150" s="404"/>
      <c r="P150" s="396"/>
      <c r="Q150" s="397"/>
      <c r="R150" s="394"/>
      <c r="S150" s="404"/>
      <c r="T150" s="404"/>
      <c r="U150" s="396"/>
      <c r="V150" s="397"/>
      <c r="W150" s="394"/>
      <c r="X150" s="404"/>
      <c r="Y150" s="404"/>
      <c r="Z150" s="396"/>
      <c r="AA150" s="397"/>
      <c r="AB150" s="394"/>
      <c r="AC150" s="404"/>
      <c r="AD150" s="404"/>
      <c r="AE150" s="396"/>
      <c r="AF150" s="397"/>
      <c r="AG150" s="394"/>
      <c r="AH150" s="404"/>
      <c r="AI150" s="404"/>
      <c r="AJ150" s="396"/>
      <c r="AK150" s="397"/>
      <c r="AL150" s="394"/>
      <c r="AM150" s="404"/>
      <c r="AN150" s="404"/>
      <c r="AO150" s="396"/>
      <c r="AP150" s="397"/>
      <c r="AQ150" s="394"/>
      <c r="AR150" s="404"/>
      <c r="AS150" s="404"/>
      <c r="AT150" s="396"/>
      <c r="AU150" s="397"/>
      <c r="AV150" s="394"/>
      <c r="AW150" s="404"/>
      <c r="AX150" s="404"/>
      <c r="AY150" s="396"/>
      <c r="AZ150" s="397"/>
      <c r="BA150" s="394"/>
      <c r="BB150" s="404"/>
      <c r="BC150" s="404"/>
      <c r="BD150" s="396"/>
      <c r="BE150" s="397"/>
      <c r="BF150" s="394"/>
      <c r="BG150" s="404"/>
      <c r="BH150" s="404"/>
      <c r="BI150" s="396"/>
      <c r="BJ150" s="397"/>
      <c r="BK150" s="394"/>
      <c r="BL150" s="404"/>
      <c r="BM150" s="404"/>
      <c r="BN150" s="396"/>
      <c r="BO150" s="397"/>
      <c r="BP150" s="452"/>
      <c r="BQ150" s="403"/>
      <c r="BR150" s="400"/>
      <c r="BS150" s="406"/>
      <c r="BT150" s="406"/>
      <c r="BU150" s="402"/>
      <c r="BV150" s="403"/>
      <c r="BW150" s="400"/>
      <c r="BX150" s="406"/>
      <c r="BY150" s="406"/>
      <c r="BZ150" s="402"/>
      <c r="CA150" s="403"/>
      <c r="CB150" s="400"/>
      <c r="CC150" s="406"/>
      <c r="CD150" s="406"/>
      <c r="CE150" s="402"/>
      <c r="CF150" s="403"/>
      <c r="CG150" s="400"/>
      <c r="CH150" s="406"/>
      <c r="CI150" s="406"/>
      <c r="CJ150" s="402"/>
      <c r="CK150" s="403"/>
      <c r="CL150" s="400"/>
      <c r="CM150" s="406"/>
      <c r="CN150" s="406"/>
      <c r="CO150" s="402"/>
      <c r="CP150" s="403"/>
      <c r="CQ150" s="400"/>
      <c r="CR150" s="406"/>
      <c r="CS150" s="406"/>
      <c r="CT150" s="402"/>
      <c r="CU150" s="403"/>
      <c r="CV150" s="400"/>
      <c r="CW150" s="406"/>
      <c r="CX150" s="406"/>
      <c r="CY150" s="402"/>
      <c r="CZ150" s="403"/>
      <c r="DA150" s="400"/>
      <c r="DB150" s="406"/>
      <c r="DC150" s="406"/>
      <c r="DD150" s="402"/>
      <c r="DE150" s="403"/>
      <c r="DF150" s="400"/>
      <c r="DG150" s="406"/>
      <c r="DH150" s="406"/>
      <c r="DI150" s="402"/>
      <c r="DJ150" s="403"/>
      <c r="DK150" s="400"/>
      <c r="DL150" s="406"/>
      <c r="DM150" s="406"/>
      <c r="DN150" s="402"/>
      <c r="DO150" s="403"/>
      <c r="DP150" s="400"/>
      <c r="DQ150" s="406"/>
      <c r="DR150" s="406"/>
      <c r="DS150" s="402"/>
      <c r="DT150" s="403"/>
    </row>
    <row r="151" spans="1:139" ht="12.75" customHeight="1" x14ac:dyDescent="0.2">
      <c r="C151" s="847" t="s">
        <v>615</v>
      </c>
      <c r="D151" s="807"/>
      <c r="E151" s="530">
        <f>IF(F151=0,G151,F151)</f>
        <v>350</v>
      </c>
      <c r="F151" s="715">
        <v>350</v>
      </c>
      <c r="G151" s="715">
        <v>350</v>
      </c>
      <c r="H151" s="808">
        <v>2024</v>
      </c>
      <c r="I151" s="809">
        <v>3.3000000000000002E-2</v>
      </c>
      <c r="J151" s="810">
        <v>6</v>
      </c>
      <c r="K151" s="392"/>
      <c r="L151" s="397">
        <f>IF(L$5=$H151,-$E151,0)</f>
        <v>0</v>
      </c>
      <c r="M151" s="394">
        <f>IF(Q151=0,0,IF(Q151&lt;0,IF($J151=3,Q151,IF($J151=2,Q151,IF($J151=1,Q151,0)))))</f>
        <v>0</v>
      </c>
      <c r="N151" s="404">
        <f>IF(Q151=0,0,IF(Q151&lt;0,IF($J151=6,Q151,IF($J151=5,Q151,IF($J151=4,Q151,0)))))</f>
        <v>0</v>
      </c>
      <c r="O151" s="404">
        <f>IF(Q151=0,0,IF(Q151&lt;0,IF($J151=9,Q151,IF($J151=8,Q151,IF($J151=7,Q151,0)))))</f>
        <v>0</v>
      </c>
      <c r="P151" s="396">
        <f>IF(Q151=0,0,IF(Q151&lt;0,IF($J151=12,Q151,IF($J151=11,Q151,IF($J151=10,Q151,0)))))</f>
        <v>0</v>
      </c>
      <c r="Q151" s="397">
        <f>IF(Q$5=$H151,-$E151,0)</f>
        <v>0</v>
      </c>
      <c r="R151" s="394">
        <f>IF(V151=0,0,IF(V151&lt;0,IF($J151=3,V151,IF($J151=2,V151,IF($J151=1,V151,0)))))</f>
        <v>0</v>
      </c>
      <c r="S151" s="404">
        <f>IF(V151=0,0,IF(V151&lt;0,IF($J151=6,V151,IF($J151=5,V151,IF($J151=4,V151,0)))))</f>
        <v>0</v>
      </c>
      <c r="T151" s="404">
        <f>IF(V151=0,0,IF(V151&lt;0,IF($J151=9,V151,IF($J151=8,V151,IF($J151=7,V151,0)))))</f>
        <v>0</v>
      </c>
      <c r="U151" s="396">
        <f>IF(V151=0,0,IF(V151&lt;0,IF($J151=12,V151,IF($J151=11,V151,IF($J151=10,V151,0)))))</f>
        <v>0</v>
      </c>
      <c r="V151" s="397">
        <f>IF(V$5=$H151,-$E151,0)</f>
        <v>0</v>
      </c>
      <c r="W151" s="394">
        <f>IF(AA151=0,0,IF(AA151&lt;0,IF($J151=3,AA151,IF($J151=2,AA151,IF($J151=1,AA151,0)))))</f>
        <v>0</v>
      </c>
      <c r="X151" s="404">
        <f>IF(AA151=0,0,IF(AA151&lt;0,IF($J151=6,AA151,IF($J151=5,AA151,IF($J151=4,AA151,0)))))</f>
        <v>0</v>
      </c>
      <c r="Y151" s="404">
        <f>IF(AA151=0,0,IF(AA151&lt;0,IF($J151=9,AA151,IF($J151=8,AA151,IF($J151=7,AA151,0)))))</f>
        <v>0</v>
      </c>
      <c r="Z151" s="396">
        <f>IF(AA151=0,0,IF(AA151&lt;0,IF($J151=12,AA151,IF($J151=11,AA151,IF($J151=10,AA151,0)))))</f>
        <v>0</v>
      </c>
      <c r="AA151" s="397">
        <f>IF(AA$5=$H151,-$E151,0)</f>
        <v>0</v>
      </c>
      <c r="AB151" s="394">
        <f>IF(AF151=0,0,IF(AF151&lt;0,IF($J151=3,AF151,IF($J151=2,AF151,IF($J151=1,AF151,0)))))</f>
        <v>0</v>
      </c>
      <c r="AC151" s="404">
        <f>IF(AF151=0,0,IF(AF151&lt;0,IF($J151=6,AF151,IF($J151=5,AF151,IF($J151=4,AF151,0)))))</f>
        <v>0</v>
      </c>
      <c r="AD151" s="404">
        <f>IF(AF151=0,0,IF(AF151&lt;0,IF($J151=9,AF151,IF($J151=8,AF151,IF($J151=7,AF151,0)))))</f>
        <v>0</v>
      </c>
      <c r="AE151" s="396">
        <f>IF(AF151=0,0,IF(AF151&lt;0,IF($J151=12,AF151,IF($J151=11,AF151,IF($J151=10,AF151,0)))))</f>
        <v>0</v>
      </c>
      <c r="AF151" s="397">
        <f>IF(AF$5=$H151,-$E151,0)</f>
        <v>0</v>
      </c>
      <c r="AG151" s="394">
        <f>IF(AK151=0,0,IF(AK151&lt;0,IF($J151=3,AK151,IF($J151=2,AK151,IF($J151=1,AK151,0)))))</f>
        <v>0</v>
      </c>
      <c r="AH151" s="404">
        <f>IF(AK151=0,0,IF(AK151&lt;0,IF($J151=6,AK151,IF($J151=5,AK151,IF($J151=4,AK151,0)))))</f>
        <v>0</v>
      </c>
      <c r="AI151" s="404">
        <f>IF(AK151=0,0,IF(AK151&lt;0,IF($J151=9,AK151,IF($J151=8,AK151,IF($J151=7,AK151,0)))))</f>
        <v>0</v>
      </c>
      <c r="AJ151" s="396">
        <f>IF(AK151=0,0,IF(AK151&lt;0,IF($J151=12,AK151,IF($J151=11,AK151,IF($J151=10,AK151,0)))))</f>
        <v>0</v>
      </c>
      <c r="AK151" s="397">
        <f>IF(AK$5=$H151,-$E151,0)</f>
        <v>0</v>
      </c>
      <c r="AL151" s="394">
        <f>IF(AP151=0,0,IF(AP151&lt;0,IF($J151=3,AP151,IF($J151=2,AP151,IF($J151=1,AP151,0)))))</f>
        <v>0</v>
      </c>
      <c r="AM151" s="404">
        <f>IF(AP151=0,0,IF(AP151&lt;0,IF($J151=6,AP151,IF($J151=5,AP151,IF($J151=4,AP151,0)))))</f>
        <v>0</v>
      </c>
      <c r="AN151" s="404">
        <f>IF(AP151=0,0,IF(AP151&lt;0,IF($J151=9,AP151,IF($J151=8,AP151,IF($J151=7,AP151,0)))))</f>
        <v>0</v>
      </c>
      <c r="AO151" s="396">
        <f>IF(AP151=0,0,IF(AP151&lt;0,IF($J151=12,AP151,IF($J151=11,AP151,IF($J151=10,AP151,0)))))</f>
        <v>0</v>
      </c>
      <c r="AP151" s="397">
        <f>IF(AP$5=$H151,-$E151,0)</f>
        <v>0</v>
      </c>
      <c r="AQ151" s="394">
        <f>IF(AU151=0,0,IF(AU151&lt;0,IF($J151=3,AU151,IF($J151=2,AU151,IF($J151=1,AU151,0)))))</f>
        <v>0</v>
      </c>
      <c r="AR151" s="404">
        <f>IF(AU151=0,0,IF(AU151&lt;0,IF($J151=6,AU151,IF($J151=5,AU151,IF($J151=4,AU151,0)))))</f>
        <v>0</v>
      </c>
      <c r="AS151" s="404">
        <f>IF(AU151=0,0,IF(AU151&lt;0,IF($J151=9,AU151,IF($J151=8,AU151,IF($J151=7,AU151,0)))))</f>
        <v>0</v>
      </c>
      <c r="AT151" s="396">
        <f>IF(AU151=0,0,IF(AU151&lt;0,IF($J151=12,AU151,IF($J151=11,AU151,IF($J151=10,AU151,0)))))</f>
        <v>0</v>
      </c>
      <c r="AU151" s="397">
        <f>IF(AU$5=$H151,-$E151,0)</f>
        <v>0</v>
      </c>
      <c r="AV151" s="394">
        <f>IF(AZ151=0,0,IF(AZ151&lt;0,IF($J151=3,AZ151,IF($J151=2,AZ151,IF($J151=1,AZ151,0)))))</f>
        <v>0</v>
      </c>
      <c r="AW151" s="404">
        <f>IF(AZ151=0,0,IF(AZ151&lt;0,IF($J151=6,AZ151,IF($J151=5,AZ151,IF($J151=4,AZ151,0)))))</f>
        <v>0</v>
      </c>
      <c r="AX151" s="404">
        <f>IF(AZ151=0,0,IF(AZ151&lt;0,IF($J151=9,AZ151,IF($J151=8,AZ151,IF($J151=7,AZ151,0)))))</f>
        <v>0</v>
      </c>
      <c r="AY151" s="396">
        <f>IF(AZ151=0,0,IF(AZ151&lt;0,IF($J151=12,AZ151,IF($J151=11,AZ151,IF($J151=10,AZ151,0)))))</f>
        <v>0</v>
      </c>
      <c r="AZ151" s="397">
        <f>IF(AZ$5=$H151,-$E151,0)</f>
        <v>0</v>
      </c>
      <c r="BA151" s="394">
        <f>IF(BE151=0,0,IF(BE151&lt;0,IF($J151=3,BE151,IF($J151=2,BE151,IF($J151=1,BE151,0)))))</f>
        <v>0</v>
      </c>
      <c r="BB151" s="404">
        <f>IF(BE151=0,0,IF(BE151&lt;0,IF($J151=6,BE151,IF($J151=5,BE151,IF($J151=4,BE151,0)))))</f>
        <v>0</v>
      </c>
      <c r="BC151" s="404">
        <f>IF(BE151=0,0,IF(BE151&lt;0,IF($J151=9,BE151,IF($J151=8,BE151,IF($J151=7,BE151,0)))))</f>
        <v>0</v>
      </c>
      <c r="BD151" s="396">
        <f>IF(BE151=0,0,IF(BE151&lt;0,IF($J151=12,BE151,IF($J151=11,BE151,IF($J151=10,BE151,0)))))</f>
        <v>0</v>
      </c>
      <c r="BE151" s="397">
        <f>IF(BE$5=$H151,-$E151,0)</f>
        <v>0</v>
      </c>
      <c r="BF151" s="394">
        <f>IF(BJ151=0,0,IF(BJ151&lt;0,IF($J151=3,BJ151,IF($J151=2,BJ151,IF($J151=1,BJ151,0)))))</f>
        <v>0</v>
      </c>
      <c r="BG151" s="404">
        <f>IF(BJ151=0,0,IF(BJ151&lt;0,IF($J151=6,BJ151,IF($J151=5,BJ151,IF($J151=4,BJ151,0)))))</f>
        <v>0</v>
      </c>
      <c r="BH151" s="404">
        <f>IF(BJ151=0,0,IF(BJ151&lt;0,IF($J151=9,BJ151,IF($J151=8,BJ151,IF($J151=7,BJ151,0)))))</f>
        <v>0</v>
      </c>
      <c r="BI151" s="396">
        <f>IF(BJ151=0,0,IF(BJ151&lt;0,IF($J151=12,BJ151,IF($J151=11,BJ151,IF($J151=10,BJ151,0)))))</f>
        <v>0</v>
      </c>
      <c r="BJ151" s="397">
        <f>IF(BJ$5=$H151,-$E151,0)</f>
        <v>0</v>
      </c>
      <c r="BK151" s="394">
        <f>IF(BO151=0,0,IF(BO151&lt;0,IF($J151=3,BO151,IF($J151=2,BO151,IF($J151=1,BO151,0)))))</f>
        <v>0</v>
      </c>
      <c r="BL151" s="404">
        <f>IF(BO151=0,0,IF(BO151&lt;0,IF($J151=6,BO151,IF($J151=5,BO151,IF($J151=4,BO151,0)))))</f>
        <v>0</v>
      </c>
      <c r="BM151" s="404">
        <f>IF(BO151=0,0,IF(BO151&lt;0,IF($J151=9,BO151,IF($J151=8,BO151,IF($J151=7,BO151,0)))))</f>
        <v>0</v>
      </c>
      <c r="BN151" s="396">
        <f>IF(BO151=0,0,IF(BO151&lt;0,IF($J151=12,BO151,IF($J151=11,BO151,IF($J151=10,BO151,0)))))</f>
        <v>0</v>
      </c>
      <c r="BO151" s="397">
        <f>IF(BO$5=$H151,-$E151,0)</f>
        <v>0</v>
      </c>
      <c r="BP151" s="452"/>
      <c r="BQ151" s="403">
        <f>IF(AND(BP151&lt;&gt;0,BP$5=$H151),-$I151*$E151-BP151,IF(BQ$5=$H151,-$I151*$E151*(12-$J151+1)/12,0))</f>
        <v>0</v>
      </c>
      <c r="BR151" s="400">
        <f>IF($H151&lt;&gt;BV$5,0,IF(BV151&lt;0,IF($J151=1,-$E151*$I151/12*3,IF($J151=2,-$E151*$I151/12*2,IF($J151=3,-$E151*$I151/12*1,0)))))+IF(BQ$5&lt;&gt;$H151,0,IF(BQ151&lt;0,IF($J151=1,-$E151*$I151/12*0,IF($J151=2,-$E151*$I151/12*1,IF($J151=3,-$E151*$I151/12*2,IF($J151&gt;=4,-$E151*$I151/12*3,0))))))</f>
        <v>0</v>
      </c>
      <c r="BS151" s="406">
        <f>IF($H151&lt;&gt;BV$5,0,IF(BV151&lt;0,IF(OR($J151=1,$J151=2,$J151=3,$J151=4),-$E151*$I151/12*3,IF($J151=5,-$E151*$I151/12*2,IF($J151=6,-$E151*$I151/12*1,0)))))+IF(BQ$5&lt;&gt;$H151,0,IF(BQ151&lt;0,IF($J151=4,-$E151*$I151/12*0,IF($J151=5,-$E151*$I151/12*1,IF($J151=6,-$E151*$I151/12*2,IF($J151&gt;=7,-$E151*$I151/12*3,0))))))</f>
        <v>0</v>
      </c>
      <c r="BT151" s="406">
        <f>IF($H151&lt;&gt;BV$5,0,IF(BV151&lt;0,IF(OR($J151=1,$J151=2,$J151=3,$J151=4,$J151=5,$J151=6,$J151=7),-$E151*$I151/12*3,IF($J151=8,-$E151*$I151/12*2,IF($J151=9,-$E151*$I151/12*1,0)))))+IF(BQ$5&lt;&gt;$H151,0,IF(BQ151&lt;0,IF($J151=7,-$E151*$I151/12*0,IF($J151=8,-$E151*$I151/12*1,IF($J151=9,-$E151*$I151/12*2,IF($J151&gt;=10,-$E151*$I151/12*3,0))))))</f>
        <v>0</v>
      </c>
      <c r="BU151" s="402">
        <f>IF($H151&lt;&gt;BV$5,0,IF(BV151&lt;0,IF(OR($J151=1,$J151=2,$J151=3,$J151=4,$J151=5,$J151=6,$J151=7,$J151=8,$J151=9,$J151=10),-$E151*$I151/12*3,IF($J151=11,-$E151*$I151/12*2,IF($J151=12,-$E151*$I151/12*1,0)))))+IF(BQ$5&lt;&gt;$H151,0,IF(BQ151&lt;0,IF($J151=10,-$E151*$I151/12*0,IF($J151=11,-$E151*$I151/12*1,IF($J151=12,-$E151*$I151/12*2,0)))))</f>
        <v>0</v>
      </c>
      <c r="BV151" s="403">
        <f>IF(AND(BQ151&lt;&gt;0,BQ$5=$H151),-$I151*$E151-BQ151,IF(BV$5=$H151,-$I151*$E151*(12-$J151+1)/12,0))</f>
        <v>0</v>
      </c>
      <c r="BW151" s="400">
        <f>IF($H151&lt;&gt;CA$5,0,IF(CA151&lt;0,IF($J151=1,-$E151*$I151/12*3,IF($J151=2,-$E151*$I151/12*2,IF($J151=3,-$E151*$I151/12*1,0)))))+IF(BV$5&lt;&gt;$H151,0,IF(BV151&lt;0,IF($J151=1,-$E151*$I151/12*0,IF($J151=2,-$E151*$I151/12*1,IF($J151=3,-$E151*$I151/12*2,IF($J151&gt;=4,-$E151*$I151/12*3,0))))))</f>
        <v>0</v>
      </c>
      <c r="BX151" s="406">
        <f>IF($H151&lt;&gt;CA$5,0,IF(CA151&lt;0,IF(OR($J151=1,$J151=2,$J151=3,$J151=4),-$E151*$I151/12*3,IF($J151=5,-$E151*$I151/12*2,IF($J151=6,-$E151*$I151/12*1,0)))))+IF(BV$5&lt;&gt;$H151,0,IF(BV151&lt;0,IF($J151=4,-$E151*$I151/12*0,IF($J151=5,-$E151*$I151/12*1,IF($J151=6,-$E151*$I151/12*2,IF($J151&gt;=7,-$E151*$I151/12*3,0))))))</f>
        <v>0</v>
      </c>
      <c r="BY151" s="406">
        <f>IF($H151&lt;&gt;CA$5,0,IF(CA151&lt;0,IF(OR($J151=1,$J151=2,$J151=3,$J151=4,$J151=5,$J151=6,$J151=7),-$E151*$I151/12*3,IF($J151=8,-$E151*$I151/12*2,IF($J151=9,-$E151*$I151/12*1,0)))))+IF(BV$5&lt;&gt;$H151,0,IF(BV151&lt;0,IF($J151=7,-$E151*$I151/12*0,IF($J151=8,-$E151*$I151/12*1,IF($J151=9,-$E151*$I151/12*2,IF($J151&gt;=10,-$E151*$I151/12*3,0))))))</f>
        <v>0</v>
      </c>
      <c r="BZ151" s="402">
        <f>IF($H151&lt;&gt;CA$5,0,IF(CA151&lt;0,IF(OR($J151=1,$J151=2,$J151=3,$J151=4,$J151=5,$J151=6,$J151=7,$J151=8,$J151=9,$J151=10),-$E151*$I151/12*3,IF($J151=11,-$E151*$I151/12*2,IF($J151=12,-$E151*$I151/12*1,0)))))+IF(BV$5&lt;&gt;$H151,0,IF(BV151&lt;0,IF($J151=10,-$E151*$I151/12*0,IF($J151=11,-$E151*$I151/12*1,IF($J151=12,-$E151*$I151/12*2,0)))))</f>
        <v>0</v>
      </c>
      <c r="CA151" s="403">
        <f>IF(AND(BV151&lt;&gt;0,BV$5=$H151),-$I151*$E151-BV151,IF(CA$5=$H151,-$I151*$E151*(12-$J151+1)/12,0))</f>
        <v>0</v>
      </c>
      <c r="CB151" s="400">
        <f>IF($H151&lt;&gt;CF$5,0,IF(CF151&lt;0,IF($J151=1,-$E151*$I151/12*3,IF($J151=2,-$E151*$I151/12*2,IF($J151=3,-$E151*$I151/12*1,0)))))+IF(CA$5&lt;&gt;$H151,0,IF(CA151&lt;0,IF($J151=1,-$E151*$I151/12*0,IF($J151=2,-$E151*$I151/12*1,IF($J151=3,-$E151*$I151/12*2,IF($J151&gt;=4,-$E151*$I151/12*3,0))))))</f>
        <v>0</v>
      </c>
      <c r="CC151" s="406">
        <f>IF($H151&lt;&gt;CF$5,0,IF(CF151&lt;0,IF(OR($J151=1,$J151=2,$J151=3,$J151=4),-$E151*$I151/12*3,IF($J151=5,-$E151*$I151/12*2,IF($J151=6,-$E151*$I151/12*1,0)))))+IF(CA$5&lt;&gt;$H151,0,IF(CA151&lt;0,IF($J151=4,-$E151*$I151/12*0,IF($J151=5,-$E151*$I151/12*1,IF($J151=6,-$E151*$I151/12*2,IF($J151&gt;=7,-$E151*$I151/12*3,0))))))</f>
        <v>0</v>
      </c>
      <c r="CD151" s="406">
        <f>IF($H151&lt;&gt;CF$5,0,IF(CF151&lt;0,IF(OR($J151=1,$J151=2,$J151=3,$J151=4,$J151=5,$J151=6,$J151=7),-$E151*$I151/12*3,IF($J151=8,-$E151*$I151/12*2,IF($J151=9,-$E151*$I151/12*1,0)))))+IF(CA$5&lt;&gt;$H151,0,IF(CA151&lt;0,IF($J151=7,-$E151*$I151/12*0,IF($J151=8,-$E151*$I151/12*1,IF($J151=9,-$E151*$I151/12*2,IF($J151&gt;=10,-$E151*$I151/12*3,0))))))</f>
        <v>0</v>
      </c>
      <c r="CE151" s="402">
        <f>IF($H151&lt;&gt;CF$5,0,IF(CF151&lt;0,IF(OR($J151=1,$J151=2,$J151=3,$J151=4,$J151=5,$J151=6,$J151=7,$J151=8,$J151=9,$J151=10),-$E151*$I151/12*3,IF($J151=11,-$E151*$I151/12*2,IF($J151=12,-$E151*$I151/12*1,0)))))+IF(CA$5&lt;&gt;$H151,0,IF(CA151&lt;0,IF($J151=10,-$E151*$I151/12*0,IF($J151=11,-$E151*$I151/12*1,IF($J151=12,-$E151*$I151/12*2,0)))))</f>
        <v>0</v>
      </c>
      <c r="CF151" s="403">
        <f>IF(AND(CA151&lt;&gt;0,CA$5=$H151),-$I151*$E151-CA151,IF(CF$5=$H151,-$I151*$E151*(12-$J151+1)/12,0))</f>
        <v>0</v>
      </c>
      <c r="CG151" s="400">
        <f>IF($H151&lt;&gt;CK$5,0,IF(CK151&lt;0,IF($J151=1,-$E151*$I151/12*3,IF($J151=2,-$E151*$I151/12*2,IF($J151=3,-$E151*$I151/12*1,0)))))+IF(CF$5&lt;&gt;$H151,0,IF(CF151&lt;0,IF($J151=1,-$E151*$I151/12*0,IF($J151=2,-$E151*$I151/12*1,IF($J151=3,-$E151*$I151/12*2,IF($J151&gt;=4,-$E151*$I151/12*3,0))))))</f>
        <v>0</v>
      </c>
      <c r="CH151" s="406">
        <f>IF($H151&lt;&gt;CK$5,0,IF(CK151&lt;0,IF(OR($J151=1,$J151=2,$J151=3,$J151=4),-$E151*$I151/12*3,IF($J151=5,-$E151*$I151/12*2,IF($J151=6,-$E151*$I151/12*1,0)))))+IF(CF$5&lt;&gt;$H151,0,IF(CF151&lt;0,IF($J151=4,-$E151*$I151/12*0,IF($J151=5,-$E151*$I151/12*1,IF($J151=6,-$E151*$I151/12*2,IF($J151&gt;=7,-$E151*$I151/12*3,0))))))</f>
        <v>0</v>
      </c>
      <c r="CI151" s="406">
        <f>IF($H151&lt;&gt;CK$5,0,IF(CK151&lt;0,IF(OR($J151=1,$J151=2,$J151=3,$J151=4,$J151=5,$J151=6,$J151=7),-$E151*$I151/12*3,IF($J151=8,-$E151*$I151/12*2,IF($J151=9,-$E151*$I151/12*1,0)))))+IF(CF$5&lt;&gt;$H151,0,IF(CF151&lt;0,IF($J151=7,-$E151*$I151/12*0,IF($J151=8,-$E151*$I151/12*1,IF($J151=9,-$E151*$I151/12*2,IF($J151&gt;=10,-$E151*$I151/12*3,0))))))</f>
        <v>0</v>
      </c>
      <c r="CJ151" s="402">
        <f>IF($H151&lt;&gt;CK$5,0,IF(CK151&lt;0,IF(OR($J151=1,$J151=2,$J151=3,$J151=4,$J151=5,$J151=6,$J151=7,$J151=8,$J151=9,$J151=10),-$E151*$I151/12*3,IF($J151=11,-$E151*$I151/12*2,IF($J151=12,-$E151*$I151/12*1,0)))))+IF(CF$5&lt;&gt;$H151,0,IF(CF151&lt;0,IF($J151=10,-$E151*$I151/12*0,IF($J151=11,-$E151*$I151/12*1,IF($J151=12,-$E151*$I151/12*2,0)))))</f>
        <v>0</v>
      </c>
      <c r="CK151" s="403">
        <f>IF(AND(CF151&lt;&gt;0,CF$5=$H151),-$I151*$E151-CF151,IF(CK$5=$H151,-$I151*$E151*(12-$J151+1)/12,0))</f>
        <v>0</v>
      </c>
      <c r="CL151" s="400">
        <f>IF($H151&lt;&gt;CP$5,0,IF(CP151&lt;0,IF($J151=1,-$E151*$I151/12*3,IF($J151=2,-$E151*$I151/12*2,IF($J151=3,-$E151*$I151/12*1,0)))))+IF(CK$5&lt;&gt;$H151,0,IF(CK151&lt;0,IF($J151=1,-$E151*$I151/12*0,IF($J151=2,-$E151*$I151/12*1,IF($J151=3,-$E151*$I151/12*2,IF($J151&gt;=4,-$E151*$I151/12*3,0))))))</f>
        <v>0</v>
      </c>
      <c r="CM151" s="406">
        <f>IF($H151&lt;&gt;CP$5,0,IF(CP151&lt;0,IF(OR($J151=1,$J151=2,$J151=3,$J151=4),-$E151*$I151/12*3,IF($J151=5,-$E151*$I151/12*2,IF($J151=6,-$E151*$I151/12*1,0)))))+IF(CK$5&lt;&gt;$H151,0,IF(CK151&lt;0,IF($J151=4,-$E151*$I151/12*0,IF($J151=5,-$E151*$I151/12*1,IF($J151=6,-$E151*$I151/12*2,IF($J151&gt;=7,-$E151*$I151/12*3,0))))))</f>
        <v>0</v>
      </c>
      <c r="CN151" s="406">
        <f>IF($H151&lt;&gt;CP$5,0,IF(CP151&lt;0,IF(OR($J151=1,$J151=2,$J151=3,$J151=4,$J151=5,$J151=6,$J151=7),-$E151*$I151/12*3,IF($J151=8,-$E151*$I151/12*2,IF($J151=9,-$E151*$I151/12*1,0)))))+IF(CK$5&lt;&gt;$H151,0,IF(CK151&lt;0,IF($J151=7,-$E151*$I151/12*0,IF($J151=8,-$E151*$I151/12*1,IF($J151=9,-$E151*$I151/12*2,IF($J151&gt;=10,-$E151*$I151/12*3,0))))))</f>
        <v>0</v>
      </c>
      <c r="CO151" s="402">
        <f>IF($H151&lt;&gt;CP$5,0,IF(CP151&lt;0,IF(OR($J151=1,$J151=2,$J151=3,$J151=4,$J151=5,$J151=6,$J151=7,$J151=8,$J151=9,$J151=10),-$E151*$I151/12*3,IF($J151=11,-$E151*$I151/12*2,IF($J151=12,-$E151*$I151/12*1,0)))))+IF(CK$5&lt;&gt;$H151,0,IF(CK151&lt;0,IF($J151=10,-$E151*$I151/12*0,IF($J151=11,-$E151*$I151/12*1,IF($J151=12,-$E151*$I151/12*2,0)))))</f>
        <v>0</v>
      </c>
      <c r="CP151" s="403">
        <f>IF(AND(CK151&lt;&gt;0,CK$5=$H151),-$I151*$E151-CK151,IF(CP$5=$H151,-$I151*$E151*(12-$J151+1)/12,0))</f>
        <v>0</v>
      </c>
      <c r="CQ151" s="400">
        <f>IF($H151&lt;&gt;CU$5,0,IF(CU151&lt;0,IF($J151=1,-$E151*$I151/12*3,IF($J151=2,-$E151*$I151/12*2,IF($J151=3,-$E151*$I151/12*1,0)))))+IF(CP$5&lt;&gt;$H151,0,IF(CP151&lt;0,IF($J151=1,-$E151*$I151/12*0,IF($J151=2,-$E151*$I151/12*1,IF($J151=3,-$E151*$I151/12*2,IF($J151&gt;=4,-$E151*$I151/12*3,0))))))</f>
        <v>0</v>
      </c>
      <c r="CR151" s="406">
        <f>IF($H151&lt;&gt;CU$5,0,IF(CU151&lt;0,IF(OR($J151=1,$J151=2,$J151=3,$J151=4),-$E151*$I151/12*3,IF($J151=5,-$E151*$I151/12*2,IF($J151=6,-$E151*$I151/12*1,0)))))+IF(CP$5&lt;&gt;$H151,0,IF(CP151&lt;0,IF($J151=4,-$E151*$I151/12*0,IF($J151=5,-$E151*$I151/12*1,IF($J151=6,-$E151*$I151/12*2,IF($J151&gt;=7,-$E151*$I151/12*3,0))))))</f>
        <v>0</v>
      </c>
      <c r="CS151" s="406">
        <f>IF($H151&lt;&gt;CU$5,0,IF(CU151&lt;0,IF(OR($J151=1,$J151=2,$J151=3,$J151=4,$J151=5,$J151=6,$J151=7),-$E151*$I151/12*3,IF($J151=8,-$E151*$I151/12*2,IF($J151=9,-$E151*$I151/12*1,0)))))+IF(CP$5&lt;&gt;$H151,0,IF(CP151&lt;0,IF($J151=7,-$E151*$I151/12*0,IF($J151=8,-$E151*$I151/12*1,IF($J151=9,-$E151*$I151/12*2,IF($J151&gt;=10,-$E151*$I151/12*3,0))))))</f>
        <v>0</v>
      </c>
      <c r="CT151" s="402">
        <f>IF($H151&lt;&gt;CU$5,0,IF(CU151&lt;0,IF(OR($J151=1,$J151=2,$J151=3,$J151=4,$J151=5,$J151=6,$J151=7,$J151=8,$J151=9,$J151=10),-$E151*$I151/12*3,IF($J151=11,-$E151*$I151/12*2,IF($J151=12,-$E151*$I151/12*1,0)))))+IF(CP$5&lt;&gt;$H151,0,IF(CP151&lt;0,IF($J151=10,-$E151*$I151/12*0,IF($J151=11,-$E151*$I151/12*1,IF($J151=12,-$E151*$I151/12*2,0)))))</f>
        <v>0</v>
      </c>
      <c r="CU151" s="403">
        <f>IF(AND(CP151&lt;&gt;0,CP$5=$H151),-$I151*$E151-CP151,IF(CU$5=$H151,-$I151*$E151*(12-$J151+1)/12,0))</f>
        <v>0</v>
      </c>
      <c r="CV151" s="400">
        <f>IF($H151&lt;&gt;CZ$5,0,IF(CZ151&lt;0,IF($J151=1,-$E151*$I151/12*3,IF($J151=2,-$E151*$I151/12*2,IF($J151=3,-$E151*$I151/12*1,0)))))+IF(CU$5&lt;&gt;$H151,0,IF(CU151&lt;0,IF($J151=1,-$E151*$I151/12*0,IF($J151=2,-$E151*$I151/12*1,IF($J151=3,-$E151*$I151/12*2,IF($J151&gt;=4,-$E151*$I151/12*3,0))))))</f>
        <v>0</v>
      </c>
      <c r="CW151" s="406">
        <f>IF($H151&lt;&gt;CZ$5,0,IF(CZ151&lt;0,IF(OR($J151=1,$J151=2,$J151=3,$J151=4),-$E151*$I151/12*3,IF($J151=5,-$E151*$I151/12*2,IF($J151=6,-$E151*$I151/12*1,0)))))+IF(CU$5&lt;&gt;$H151,0,IF(CU151&lt;0,IF($J151=4,-$E151*$I151/12*0,IF($J151=5,-$E151*$I151/12*1,IF($J151=6,-$E151*$I151/12*2,IF($J151&gt;=7,-$E151*$I151/12*3,0))))))</f>
        <v>0</v>
      </c>
      <c r="CX151" s="406">
        <f>IF($H151&lt;&gt;CZ$5,0,IF(CZ151&lt;0,IF(OR($J151=1,$J151=2,$J151=3,$J151=4,$J151=5,$J151=6,$J151=7),-$E151*$I151/12*3,IF($J151=8,-$E151*$I151/12*2,IF($J151=9,-$E151*$I151/12*1,0)))))+IF(CU$5&lt;&gt;$H151,0,IF(CU151&lt;0,IF($J151=7,-$E151*$I151/12*0,IF($J151=8,-$E151*$I151/12*1,IF($J151=9,-$E151*$I151/12*2,IF($J151&gt;=10,-$E151*$I151/12*3,0))))))</f>
        <v>0</v>
      </c>
      <c r="CY151" s="402">
        <f>IF($H151&lt;&gt;CZ$5,0,IF(CZ151&lt;0,IF(OR($J151=1,$J151=2,$J151=3,$J151=4,$J151=5,$J151=6,$J151=7,$J151=8,$J151=9,$J151=10),-$E151*$I151/12*3,IF($J151=11,-$E151*$I151/12*2,IF($J151=12,-$E151*$I151/12*1,0)))))+IF(CU$5&lt;&gt;$H151,0,IF(CU151&lt;0,IF($J151=10,-$E151*$I151/12*0,IF($J151=11,-$E151*$I151/12*1,IF($J151=12,-$E151*$I151/12*2,0)))))</f>
        <v>0</v>
      </c>
      <c r="CZ151" s="403">
        <f>IF(AND(CU151&lt;&gt;0,CU$5=$H151),-$I151*$E151-CU151,IF(CZ$5=$H151,-$I151*$E151*(12-$J151+1)/12,0))</f>
        <v>0</v>
      </c>
      <c r="DA151" s="400">
        <f>IF($H151&lt;&gt;DE$5,0,IF(DE151&lt;0,IF($J151=1,-$E151*$I151/12*3,IF($J151=2,-$E151*$I151/12*2,IF($J151=3,-$E151*$I151/12*1,0)))))+IF(CZ$5&lt;&gt;$H151,0,IF(CZ151&lt;0,IF($J151=1,-$E151*$I151/12*0,IF($J151=2,-$E151*$I151/12*1,IF($J151=3,-$E151*$I151/12*2,IF($J151&gt;=4,-$E151*$I151/12*3,0))))))</f>
        <v>0</v>
      </c>
      <c r="DB151" s="406">
        <f>IF($H151&lt;&gt;DE$5,0,IF(DE151&lt;0,IF(OR($J151=1,$J151=2,$J151=3,$J151=4),-$E151*$I151/12*3,IF($J151=5,-$E151*$I151/12*2,IF($J151=6,-$E151*$I151/12*1,0)))))+IF(CZ$5&lt;&gt;$H151,0,IF(CZ151&lt;0,IF($J151=4,-$E151*$I151/12*0,IF($J151=5,-$E151*$I151/12*1,IF($J151=6,-$E151*$I151/12*2,IF($J151&gt;=7,-$E151*$I151/12*3,0))))))</f>
        <v>0</v>
      </c>
      <c r="DC151" s="406">
        <f>IF($H151&lt;&gt;DE$5,0,IF(DE151&lt;0,IF(OR($J151=1,$J151=2,$J151=3,$J151=4,$J151=5,$J151=6,$J151=7),-$E151*$I151/12*3,IF($J151=8,-$E151*$I151/12*2,IF($J151=9,-$E151*$I151/12*1,0)))))+IF(CZ$5&lt;&gt;$H151,0,IF(CZ151&lt;0,IF($J151=7,-$E151*$I151/12*0,IF($J151=8,-$E151*$I151/12*1,IF($J151=9,-$E151*$I151/12*2,IF($J151&gt;=10,-$E151*$I151/12*3,0))))))</f>
        <v>0</v>
      </c>
      <c r="DD151" s="402">
        <f>IF($H151&lt;&gt;DE$5,0,IF(DE151&lt;0,IF(OR($J151=1,$J151=2,$J151=3,$J151=4,$J151=5,$J151=6,$J151=7,$J151=8,$J151=9,$J151=10),-$E151*$I151/12*3,IF($J151=11,-$E151*$I151/12*2,IF($J151=12,-$E151*$I151/12*1,0)))))+IF(CZ$5&lt;&gt;$H151,0,IF(CZ151&lt;0,IF($J151=10,-$E151*$I151/12*0,IF($J151=11,-$E151*$I151/12*1,IF($J151=12,-$E151*$I151/12*2,0)))))</f>
        <v>0</v>
      </c>
      <c r="DE151" s="403">
        <f>IF(AND(CZ151&lt;&gt;0,CZ$5=$H151),-$I151*$E151-CZ151,IF(DE$5=$H151,-$I151*$E151*(12-$J151+1)/12,0))</f>
        <v>0</v>
      </c>
      <c r="DF151" s="400">
        <f>IF($H151&lt;&gt;DJ$5,0,IF(DJ151&lt;0,IF($J151=1,-$E151*$I151/12*3,IF($J151=2,-$E151*$I151/12*2,IF($J151=3,-$E151*$I151/12*1,0)))))+IF(DE$5&lt;&gt;$H151,0,IF(DE151&lt;0,IF($J151=1,-$E151*$I151/12*0,IF($J151=2,-$E151*$I151/12*1,IF($J151=3,-$E151*$I151/12*2,IF($J151&gt;=4,-$E151*$I151/12*3,0))))))</f>
        <v>0</v>
      </c>
      <c r="DG151" s="406">
        <f>IF($H151&lt;&gt;DJ$5,0,IF(DJ151&lt;0,IF(OR($J151=1,$J151=2,$J151=3,$J151=4),-$E151*$I151/12*3,IF($J151=5,-$E151*$I151/12*2,IF($J151=6,-$E151*$I151/12*1,0)))))+IF(DE$5&lt;&gt;$H151,0,IF(DE151&lt;0,IF($J151=4,-$E151*$I151/12*0,IF($J151=5,-$E151*$I151/12*1,IF($J151=6,-$E151*$I151/12*2,IF($J151&gt;=7,-$E151*$I151/12*3,0))))))</f>
        <v>0</v>
      </c>
      <c r="DH151" s="406">
        <f>IF($H151&lt;&gt;DJ$5,0,IF(DJ151&lt;0,IF(OR($J151=1,$J151=2,$J151=3,$J151=4,$J151=5,$J151=6,$J151=7),-$E151*$I151/12*3,IF($J151=8,-$E151*$I151/12*2,IF($J151=9,-$E151*$I151/12*1,0)))))+IF(DE$5&lt;&gt;$H151,0,IF(DE151&lt;0,IF($J151=7,-$E151*$I151/12*0,IF($J151=8,-$E151*$I151/12*1,IF($J151=9,-$E151*$I151/12*2,IF($J151&gt;=10,-$E151*$I151/12*3,0))))))</f>
        <v>0</v>
      </c>
      <c r="DI151" s="402">
        <f>IF($H151&lt;&gt;DJ$5,0,IF(DJ151&lt;0,IF(OR($J151=1,$J151=2,$J151=3,$J151=4,$J151=5,$J151=6,$J151=7,$J151=8,$J151=9,$J151=10),-$E151*$I151/12*3,IF($J151=11,-$E151*$I151/12*2,IF($J151=12,-$E151*$I151/12*1,0)))))+IF(DE$5&lt;&gt;$H151,0,IF(DE151&lt;0,IF($J151=10,-$E151*$I151/12*0,IF($J151=11,-$E151*$I151/12*1,IF($J151=12,-$E151*$I151/12*2,0)))))</f>
        <v>0</v>
      </c>
      <c r="DJ151" s="403">
        <f>IF(AND(DE151&lt;&gt;0,DE$5=$H151),-$I151*$E151-DE151,IF(DJ$5=$H151,-$I151*$E151*(12-$J151+1)/12,0))</f>
        <v>0</v>
      </c>
      <c r="DK151" s="400">
        <f>IF($H151&lt;&gt;DO$5,0,IF(DO151&lt;0,IF($J151=1,-$E151*$I151/12*3,IF($J151=2,-$E151*$I151/12*2,IF($J151=3,-$E151*$I151/12*1,0)))))+IF(DJ$5&lt;&gt;$H151,0,IF(DJ151&lt;0,IF($J151=1,-$E151*$I151/12*0,IF($J151=2,-$E151*$I151/12*1,IF($J151=3,-$E151*$I151/12*2,IF($J151&gt;=4,-$E151*$I151/12*3,0))))))</f>
        <v>0</v>
      </c>
      <c r="DL151" s="406">
        <f>IF($H151&lt;&gt;DO$5,0,IF(DO151&lt;0,IF(OR($J151=1,$J151=2,$J151=3,$J151=4),-$E151*$I151/12*3,IF($J151=5,-$E151*$I151/12*2,IF($J151=6,-$E151*$I151/12*1,0)))))+IF(DJ$5&lt;&gt;$H151,0,IF(DJ151&lt;0,IF($J151=4,-$E151*$I151/12*0,IF($J151=5,-$E151*$I151/12*1,IF($J151=6,-$E151*$I151/12*2,IF($J151&gt;=7,-$E151*$I151/12*3,0))))))</f>
        <v>0</v>
      </c>
      <c r="DM151" s="406">
        <f>IF($H151&lt;&gt;DO$5,0,IF(DO151&lt;0,IF(OR($J151=1,$J151=2,$J151=3,$J151=4,$J151=5,$J151=6,$J151=7),-$E151*$I151/12*3,IF($J151=8,-$E151*$I151/12*2,IF($J151=9,-$E151*$I151/12*1,0)))))+IF(DJ$5&lt;&gt;$H151,0,IF(DJ151&lt;0,IF($J151=7,-$E151*$I151/12*0,IF($J151=8,-$E151*$I151/12*1,IF($J151=9,-$E151*$I151/12*2,IF($J151&gt;=10,-$E151*$I151/12*3,0))))))</f>
        <v>0</v>
      </c>
      <c r="DN151" s="402">
        <f>IF($H151&lt;&gt;DO$5,0,IF(DO151&lt;0,IF(OR($J151=1,$J151=2,$J151=3,$J151=4,$J151=5,$J151=6,$J151=7,$J151=8,$J151=9,$J151=10),-$E151*$I151/12*3,IF($J151=11,-$E151*$I151/12*2,IF($J151=12,-$E151*$I151/12*1,0)))))+IF(DJ$5&lt;&gt;$H151,0,IF(DJ151&lt;0,IF($J151=10,-$E151*$I151/12*0,IF($J151=11,-$E151*$I151/12*1,IF($J151=12,-$E151*$I151/12*2,0)))))</f>
        <v>0</v>
      </c>
      <c r="DO151" s="403">
        <f>IF(AND(DJ151&lt;&gt;0,DJ$5=$H151),-$I151*$E151-DJ151,IF(DO$5=$H151,-$I151*$E151*(12-$J151+1)/12,0))</f>
        <v>0</v>
      </c>
      <c r="DP151" s="400">
        <f>IF($H151&lt;&gt;DT$5,0,IF(DT151&lt;0,IF($J151=1,-$E151*$I151/12*3,IF($J151=2,-$E151*$I151/12*2,IF($J151=3,-$E151*$I151/12*1,0)))))+IF(DO$5&lt;&gt;$H151,0,IF(DO151&lt;0,IF($J151=1,-$E151*$I151/12*0,IF($J151=2,-$E151*$I151/12*1,IF($J151=3,-$E151*$I151/12*2,IF($J151&gt;=4,-$E151*$I151/12*3,0))))))</f>
        <v>0</v>
      </c>
      <c r="DQ151" s="406">
        <f>IF($H151&lt;&gt;DT$5,0,IF(DT151&lt;0,IF(OR($J151=1,$J151=2,$J151=3,$J151=4),-$E151*$I151/12*3,IF($J151=5,-$E151*$I151/12*2,IF($J151=6,-$E151*$I151/12*1,0)))))+IF(DO$5&lt;&gt;$H151,0,IF(DO151&lt;0,IF($J151=4,-$E151*$I151/12*0,IF($J151=5,-$E151*$I151/12*1,IF($J151=6,-$E151*$I151/12*2,IF($J151&gt;=7,-$E151*$I151/12*3,0))))))</f>
        <v>0</v>
      </c>
      <c r="DR151" s="406">
        <f>IF($H151&lt;&gt;DT$5,0,IF(DT151&lt;0,IF(OR($J151=1,$J151=2,$J151=3,$J151=4,$J151=5,$J151=6,$J151=7),-$E151*$I151/12*3,IF($J151=8,-$E151*$I151/12*2,IF($J151=9,-$E151*$I151/12*1,0)))))+IF(DO$5&lt;&gt;$H151,0,IF(DO151&lt;0,IF($J151=7,-$E151*$I151/12*0,IF($J151=8,-$E151*$I151/12*1,IF($J151=9,-$E151*$I151/12*2,IF($J151&gt;=10,-$E151*$I151/12*3,0))))))</f>
        <v>0</v>
      </c>
      <c r="DS151" s="402">
        <f>IF($H151&lt;&gt;DT$5,0,IF(DT151&lt;0,IF(OR($J151=1,$J151=2,$J151=3,$J151=4,$J151=5,$J151=6,$J151=7,$J151=8,$J151=9,$J151=10),-$E151*$I151/12*3,IF($J151=11,-$E151*$I151/12*2,IF($J151=12,-$E151*$I151/12*1,0)))))+IF(DO$5&lt;&gt;$H151,0,IF(DO151&lt;0,IF($J151=10,-$E151*$I151/12*0,IF($J151=11,-$E151*$I151/12*1,IF($J151=12,-$E151*$I151/12*2,0)))))</f>
        <v>0</v>
      </c>
      <c r="DT151" s="403">
        <f>IF(AND(DO151&lt;&gt;0,DO$5=$H151),-$I151*$E151-DO151,IF(DT$5=$H151,-$I151*$E151*(12-$J151+1)/12,0))</f>
        <v>0</v>
      </c>
      <c r="EI151" s="759"/>
    </row>
    <row r="152" spans="1:139" ht="12.75" customHeight="1" x14ac:dyDescent="0.2">
      <c r="C152" s="847" t="s">
        <v>616</v>
      </c>
      <c r="D152" s="70"/>
      <c r="E152" s="530">
        <f>IF(F152=0,G152,F152)</f>
        <v>400</v>
      </c>
      <c r="F152" s="715">
        <v>400</v>
      </c>
      <c r="G152" s="715">
        <v>400</v>
      </c>
      <c r="H152" s="449">
        <v>2041</v>
      </c>
      <c r="I152" s="450">
        <v>4.4999999999999998E-2</v>
      </c>
      <c r="J152" s="451">
        <v>8</v>
      </c>
      <c r="K152" s="392"/>
      <c r="L152" s="397">
        <f>IF(L$5=$H152,-$E152,0)</f>
        <v>0</v>
      </c>
      <c r="M152" s="394">
        <f>IF(Q152=0,0,IF(Q152&lt;0,IF($J152=3,Q152,IF($J152=2,Q152,IF($J152=1,Q152,0)))))</f>
        <v>0</v>
      </c>
      <c r="N152" s="404">
        <f>IF(Q152=0,0,IF(Q152&lt;0,IF($J152=6,Q152,IF($J152=5,Q152,IF($J152=4,Q152,0)))))</f>
        <v>0</v>
      </c>
      <c r="O152" s="404">
        <f>IF(Q152=0,0,IF(Q152&lt;0,IF($J152=9,Q152,IF($J152=8,Q152,IF($J152=7,Q152,0)))))</f>
        <v>0</v>
      </c>
      <c r="P152" s="396">
        <f>IF(Q152=0,0,IF(Q152&lt;0,IF($J152=12,Q152,IF($J152=11,Q152,IF($J152=10,Q152,0)))))</f>
        <v>0</v>
      </c>
      <c r="Q152" s="397">
        <f>IF(Q$5=$H152,-$E152,0)</f>
        <v>0</v>
      </c>
      <c r="R152" s="394">
        <f>IF(V152=0,0,IF(V152&lt;0,IF($J152=3,V152,IF($J152=2,V152,IF($J152=1,V152,0)))))</f>
        <v>0</v>
      </c>
      <c r="S152" s="404">
        <f>IF(V152=0,0,IF(V152&lt;0,IF($J152=6,V152,IF($J152=5,V152,IF($J152=4,V152,0)))))</f>
        <v>0</v>
      </c>
      <c r="T152" s="404">
        <f>IF(V152=0,0,IF(V152&lt;0,IF($J152=9,V152,IF($J152=8,V152,IF($J152=7,V152,0)))))</f>
        <v>0</v>
      </c>
      <c r="U152" s="396">
        <f>IF(V152=0,0,IF(V152&lt;0,IF($J152=12,V152,IF($J152=11,V152,IF($J152=10,V152,0)))))</f>
        <v>0</v>
      </c>
      <c r="V152" s="397">
        <f>IF(V$5=$H152,-$E152,0)</f>
        <v>0</v>
      </c>
      <c r="W152" s="394">
        <f>IF(AA152=0,0,IF(AA152&lt;0,IF($J152=3,AA152,IF($J152=2,AA152,IF($J152=1,AA152,0)))))</f>
        <v>0</v>
      </c>
      <c r="X152" s="404">
        <f>IF(AA152=0,0,IF(AA152&lt;0,IF($J152=6,AA152,IF($J152=5,AA152,IF($J152=4,AA152,0)))))</f>
        <v>0</v>
      </c>
      <c r="Y152" s="404">
        <f>IF(AA152=0,0,IF(AA152&lt;0,IF($J152=9,AA152,IF($J152=8,AA152,IF($J152=7,AA152,0)))))</f>
        <v>0</v>
      </c>
      <c r="Z152" s="396">
        <f>IF(AA152=0,0,IF(AA152&lt;0,IF($J152=12,AA152,IF($J152=11,AA152,IF($J152=10,AA152,0)))))</f>
        <v>0</v>
      </c>
      <c r="AA152" s="397">
        <f>IF(AA$5=$H152,-$E152,0)</f>
        <v>0</v>
      </c>
      <c r="AB152" s="394">
        <f>IF(AF152=0,0,IF(AF152&lt;0,IF($J152=3,AF152,IF($J152=2,AF152,IF($J152=1,AF152,0)))))</f>
        <v>0</v>
      </c>
      <c r="AC152" s="404">
        <f>IF(AF152=0,0,IF(AF152&lt;0,IF($J152=6,AF152,IF($J152=5,AF152,IF($J152=4,AF152,0)))))</f>
        <v>0</v>
      </c>
      <c r="AD152" s="404">
        <f>IF(AF152=0,0,IF(AF152&lt;0,IF($J152=9,AF152,IF($J152=8,AF152,IF($J152=7,AF152,0)))))</f>
        <v>0</v>
      </c>
      <c r="AE152" s="396">
        <f>IF(AF152=0,0,IF(AF152&lt;0,IF($J152=12,AF152,IF($J152=11,AF152,IF($J152=10,AF152,0)))))</f>
        <v>0</v>
      </c>
      <c r="AF152" s="397">
        <f>IF(AF$5=$H152,-$E152,0)</f>
        <v>0</v>
      </c>
      <c r="AG152" s="394">
        <f>IF(AK152=0,0,IF(AK152&lt;0,IF($J152=3,AK152,IF($J152=2,AK152,IF($J152=1,AK152,0)))))</f>
        <v>0</v>
      </c>
      <c r="AH152" s="404">
        <f>IF(AK152=0,0,IF(AK152&lt;0,IF($J152=6,AK152,IF($J152=5,AK152,IF($J152=4,AK152,0)))))</f>
        <v>0</v>
      </c>
      <c r="AI152" s="404">
        <f>IF(AK152=0,0,IF(AK152&lt;0,IF($J152=9,AK152,IF($J152=8,AK152,IF($J152=7,AK152,0)))))</f>
        <v>0</v>
      </c>
      <c r="AJ152" s="396">
        <f>IF(AK152=0,0,IF(AK152&lt;0,IF($J152=12,AK152,IF($J152=11,AK152,IF($J152=10,AK152,0)))))</f>
        <v>0</v>
      </c>
      <c r="AK152" s="397">
        <f>IF(AK$5=$H152,-$E152,0)</f>
        <v>0</v>
      </c>
      <c r="AL152" s="394">
        <f>IF(AP152=0,0,IF(AP152&lt;0,IF($J152=3,AP152,IF($J152=2,AP152,IF($J152=1,AP152,0)))))</f>
        <v>0</v>
      </c>
      <c r="AM152" s="404">
        <f>IF(AP152=0,0,IF(AP152&lt;0,IF($J152=6,AP152,IF($J152=5,AP152,IF($J152=4,AP152,0)))))</f>
        <v>0</v>
      </c>
      <c r="AN152" s="404">
        <f>IF(AP152=0,0,IF(AP152&lt;0,IF($J152=9,AP152,IF($J152=8,AP152,IF($J152=7,AP152,0)))))</f>
        <v>0</v>
      </c>
      <c r="AO152" s="396">
        <f>IF(AP152=0,0,IF(AP152&lt;0,IF($J152=12,AP152,IF($J152=11,AP152,IF($J152=10,AP152,0)))))</f>
        <v>0</v>
      </c>
      <c r="AP152" s="397">
        <f>IF(AP$5=$H152,-$E152,0)</f>
        <v>0</v>
      </c>
      <c r="AQ152" s="394">
        <f>IF(AU152=0,0,IF(AU152&lt;0,IF($J152=3,AU152,IF($J152=2,AU152,IF($J152=1,AU152,0)))))</f>
        <v>0</v>
      </c>
      <c r="AR152" s="404">
        <f>IF(AU152=0,0,IF(AU152&lt;0,IF($J152=6,AU152,IF($J152=5,AU152,IF($J152=4,AU152,0)))))</f>
        <v>0</v>
      </c>
      <c r="AS152" s="404">
        <f>IF(AU152=0,0,IF(AU152&lt;0,IF($J152=9,AU152,IF($J152=8,AU152,IF($J152=7,AU152,0)))))</f>
        <v>0</v>
      </c>
      <c r="AT152" s="396">
        <f>IF(AU152=0,0,IF(AU152&lt;0,IF($J152=12,AU152,IF($J152=11,AU152,IF($J152=10,AU152,0)))))</f>
        <v>0</v>
      </c>
      <c r="AU152" s="397">
        <f>IF(AU$5=$H152,-$E152,0)</f>
        <v>0</v>
      </c>
      <c r="AV152" s="394">
        <f>IF(AZ152=0,0,IF(AZ152&lt;0,IF($J152=3,AZ152,IF($J152=2,AZ152,IF($J152=1,AZ152,0)))))</f>
        <v>0</v>
      </c>
      <c r="AW152" s="404">
        <f>IF(AZ152=0,0,IF(AZ152&lt;0,IF($J152=6,AZ152,IF($J152=5,AZ152,IF($J152=4,AZ152,0)))))</f>
        <v>0</v>
      </c>
      <c r="AX152" s="404">
        <f>IF(AZ152=0,0,IF(AZ152&lt;0,IF($J152=9,AZ152,IF($J152=8,AZ152,IF($J152=7,AZ152,0)))))</f>
        <v>0</v>
      </c>
      <c r="AY152" s="396">
        <f>IF(AZ152=0,0,IF(AZ152&lt;0,IF($J152=12,AZ152,IF($J152=11,AZ152,IF($J152=10,AZ152,0)))))</f>
        <v>0</v>
      </c>
      <c r="AZ152" s="397">
        <f>IF(AZ$5=$H152,-$E152,0)</f>
        <v>0</v>
      </c>
      <c r="BA152" s="394">
        <f>IF(BE152=0,0,IF(BE152&lt;0,IF($J152=3,BE152,IF($J152=2,BE152,IF($J152=1,BE152,0)))))</f>
        <v>0</v>
      </c>
      <c r="BB152" s="404">
        <f>IF(BE152=0,0,IF(BE152&lt;0,IF($J152=6,BE152,IF($J152=5,BE152,IF($J152=4,BE152,0)))))</f>
        <v>0</v>
      </c>
      <c r="BC152" s="404">
        <f>IF(BE152=0,0,IF(BE152&lt;0,IF($J152=9,BE152,IF($J152=8,BE152,IF($J152=7,BE152,0)))))</f>
        <v>0</v>
      </c>
      <c r="BD152" s="396">
        <f>IF(BE152=0,0,IF(BE152&lt;0,IF($J152=12,BE152,IF($J152=11,BE152,IF($J152=10,BE152,0)))))</f>
        <v>0</v>
      </c>
      <c r="BE152" s="397">
        <f>IF(BE$5=$H152,-$E152,0)</f>
        <v>0</v>
      </c>
      <c r="BF152" s="394">
        <f>IF(BJ152=0,0,IF(BJ152&lt;0,IF($J152=3,BJ152,IF($J152=2,BJ152,IF($J152=1,BJ152,0)))))</f>
        <v>0</v>
      </c>
      <c r="BG152" s="404">
        <f>IF(BJ152=0,0,IF(BJ152&lt;0,IF($J152=6,BJ152,IF($J152=5,BJ152,IF($J152=4,BJ152,0)))))</f>
        <v>0</v>
      </c>
      <c r="BH152" s="404">
        <f>IF(BJ152=0,0,IF(BJ152&lt;0,IF($J152=9,BJ152,IF($J152=8,BJ152,IF($J152=7,BJ152,0)))))</f>
        <v>0</v>
      </c>
      <c r="BI152" s="396">
        <f>IF(BJ152=0,0,IF(BJ152&lt;0,IF($J152=12,BJ152,IF($J152=11,BJ152,IF($J152=10,BJ152,0)))))</f>
        <v>0</v>
      </c>
      <c r="BJ152" s="397">
        <f>IF(BJ$5=$H152,-$E152,0)</f>
        <v>0</v>
      </c>
      <c r="BK152" s="394">
        <f>IF(BO152=0,0,IF(BO152&lt;0,IF($J152=3,BO152,IF($J152=2,BO152,IF($J152=1,BO152,0)))))</f>
        <v>0</v>
      </c>
      <c r="BL152" s="404">
        <f>IF(BO152=0,0,IF(BO152&lt;0,IF($J152=6,BO152,IF($J152=5,BO152,IF($J152=4,BO152,0)))))</f>
        <v>0</v>
      </c>
      <c r="BM152" s="404">
        <f>IF(BO152=0,0,IF(BO152&lt;0,IF($J152=9,BO152,IF($J152=8,BO152,IF($J152=7,BO152,0)))))</f>
        <v>0</v>
      </c>
      <c r="BN152" s="396">
        <f>IF(BO152=0,0,IF(BO152&lt;0,IF($J152=12,BO152,IF($J152=11,BO152,IF($J152=10,BO152,0)))))</f>
        <v>0</v>
      </c>
      <c r="BO152" s="397">
        <f>IF(BO$5=$H152,-$E152,0)</f>
        <v>0</v>
      </c>
      <c r="BP152" s="452"/>
      <c r="BQ152" s="403">
        <f>IF(AND(BP152&lt;&gt;0,BP$5=$H152),-$I152*$E152-BP152,IF(BQ$5=$H152,-$I152*$E152*(12-$J152+1)/12,0))</f>
        <v>0</v>
      </c>
      <c r="BR152" s="400">
        <f>IF($H152&lt;&gt;BV$5,0,IF(BV152&lt;0,IF($J152=1,-$E152*$I152/12*3,IF($J152=2,-$E152*$I152/12*2,IF($J152=3,-$E152*$I152/12*1,0)))))+IF(BQ$5&lt;&gt;$H152,0,IF(BQ152&lt;0,IF($J152=1,-$E152*$I152/12*0,IF($J152=2,-$E152*$I152/12*1,IF($J152=3,-$E152*$I152/12*2,IF($J152&gt;=4,-$E152*$I152/12*3,0))))))</f>
        <v>0</v>
      </c>
      <c r="BS152" s="406">
        <f>IF($H152&lt;&gt;BV$5,0,IF(BV152&lt;0,IF(OR($J152=1,$J152=2,$J152=3,$J152=4),-$E152*$I152/12*3,IF($J152=5,-$E152*$I152/12*2,IF($J152=6,-$E152*$I152/12*1,0)))))+IF(BQ$5&lt;&gt;$H152,0,IF(BQ152&lt;0,IF($J152=4,-$E152*$I152/12*0,IF($J152=5,-$E152*$I152/12*1,IF($J152=6,-$E152*$I152/12*2,IF($J152&gt;=7,-$E152*$I152/12*3,0))))))</f>
        <v>0</v>
      </c>
      <c r="BT152" s="406">
        <f>IF($H152&lt;&gt;BV$5,0,IF(BV152&lt;0,IF(OR($J152=1,$J152=2,$J152=3,$J152=4,$J152=5,$J152=6,$J152=7),-$E152*$I152/12*3,IF($J152=8,-$E152*$I152/12*2,IF($J152=9,-$E152*$I152/12*1,0)))))+IF(BQ$5&lt;&gt;$H152,0,IF(BQ152&lt;0,IF($J152=7,-$E152*$I152/12*0,IF($J152=8,-$E152*$I152/12*1,IF($J152=9,-$E152*$I152/12*2,IF($J152&gt;=10,-$E152*$I152/12*3,0))))))</f>
        <v>0</v>
      </c>
      <c r="BU152" s="402">
        <f>IF($H152&lt;&gt;BV$5,0,IF(BV152&lt;0,IF(OR($J152=1,$J152=2,$J152=3,$J152=4,$J152=5,$J152=6,$J152=7,$J152=8,$J152=9,$J152=10),-$E152*$I152/12*3,IF($J152=11,-$E152*$I152/12*2,IF($J152=12,-$E152*$I152/12*1,0)))))+IF(BQ$5&lt;&gt;$H152,0,IF(BQ152&lt;0,IF($J152=10,-$E152*$I152/12*0,IF($J152=11,-$E152*$I152/12*1,IF($J152=12,-$E152*$I152/12*2,0)))))</f>
        <v>0</v>
      </c>
      <c r="BV152" s="403">
        <f>IF(AND(BQ152&lt;&gt;0,BQ$5=$H152),-$I152*$E152-BQ152,IF(BV$5=$H152,-$I152*$E152*(12-$J152+1)/12,0))</f>
        <v>0</v>
      </c>
      <c r="BW152" s="400">
        <f>IF($H152&lt;&gt;CA$5,0,IF(CA152&lt;0,IF($J152=1,-$E152*$I152/12*3,IF($J152=2,-$E152*$I152/12*2,IF($J152=3,-$E152*$I152/12*1,0)))))+IF(BV$5&lt;&gt;$H152,0,IF(BV152&lt;0,IF($J152=1,-$E152*$I152/12*0,IF($J152=2,-$E152*$I152/12*1,IF($J152=3,-$E152*$I152/12*2,IF($J152&gt;=4,-$E152*$I152/12*3,0))))))</f>
        <v>0</v>
      </c>
      <c r="BX152" s="406">
        <f>IF($H152&lt;&gt;CA$5,0,IF(CA152&lt;0,IF(OR($J152=1,$J152=2,$J152=3,$J152=4),-$E152*$I152/12*3,IF($J152=5,-$E152*$I152/12*2,IF($J152=6,-$E152*$I152/12*1,0)))))+IF(BV$5&lt;&gt;$H152,0,IF(BV152&lt;0,IF($J152=4,-$E152*$I152/12*0,IF($J152=5,-$E152*$I152/12*1,IF($J152=6,-$E152*$I152/12*2,IF($J152&gt;=7,-$E152*$I152/12*3,0))))))</f>
        <v>0</v>
      </c>
      <c r="BY152" s="406">
        <f>IF($H152&lt;&gt;CA$5,0,IF(CA152&lt;0,IF(OR($J152=1,$J152=2,$J152=3,$J152=4,$J152=5,$J152=6,$J152=7),-$E152*$I152/12*3,IF($J152=8,-$E152*$I152/12*2,IF($J152=9,-$E152*$I152/12*1,0)))))+IF(BV$5&lt;&gt;$H152,0,IF(BV152&lt;0,IF($J152=7,-$E152*$I152/12*0,IF($J152=8,-$E152*$I152/12*1,IF($J152=9,-$E152*$I152/12*2,IF($J152&gt;=10,-$E152*$I152/12*3,0))))))</f>
        <v>0</v>
      </c>
      <c r="BZ152" s="402">
        <f>IF($H152&lt;&gt;CA$5,0,IF(CA152&lt;0,IF(OR($J152=1,$J152=2,$J152=3,$J152=4,$J152=5,$J152=6,$J152=7,$J152=8,$J152=9,$J152=10),-$E152*$I152/12*3,IF($J152=11,-$E152*$I152/12*2,IF($J152=12,-$E152*$I152/12*1,0)))))+IF(BV$5&lt;&gt;$H152,0,IF(BV152&lt;0,IF($J152=10,-$E152*$I152/12*0,IF($J152=11,-$E152*$I152/12*1,IF($J152=12,-$E152*$I152/12*2,0)))))</f>
        <v>0</v>
      </c>
      <c r="CA152" s="403">
        <f>IF(AND(BV152&lt;&gt;0,BV$5=$H152),-$I152*$E152-BV152,IF(CA$5=$H152,-$I152*$E152*(12-$J152+1)/12,0))</f>
        <v>0</v>
      </c>
      <c r="CB152" s="400">
        <f>IF($H152&lt;&gt;CF$5,0,IF(CF152&lt;0,IF($J152=1,-$E152*$I152/12*3,IF($J152=2,-$E152*$I152/12*2,IF($J152=3,-$E152*$I152/12*1,0)))))+IF(CA$5&lt;&gt;$H152,0,IF(CA152&lt;0,IF($J152=1,-$E152*$I152/12*0,IF($J152=2,-$E152*$I152/12*1,IF($J152=3,-$E152*$I152/12*2,IF($J152&gt;=4,-$E152*$I152/12*3,0))))))</f>
        <v>0</v>
      </c>
      <c r="CC152" s="406">
        <f>IF($H152&lt;&gt;CF$5,0,IF(CF152&lt;0,IF(OR($J152=1,$J152=2,$J152=3,$J152=4),-$E152*$I152/12*3,IF($J152=5,-$E152*$I152/12*2,IF($J152=6,-$E152*$I152/12*1,0)))))+IF(CA$5&lt;&gt;$H152,0,IF(CA152&lt;0,IF($J152=4,-$E152*$I152/12*0,IF($J152=5,-$E152*$I152/12*1,IF($J152=6,-$E152*$I152/12*2,IF($J152&gt;=7,-$E152*$I152/12*3,0))))))</f>
        <v>0</v>
      </c>
      <c r="CD152" s="406">
        <f>IF($H152&lt;&gt;CF$5,0,IF(CF152&lt;0,IF(OR($J152=1,$J152=2,$J152=3,$J152=4,$J152=5,$J152=6,$J152=7),-$E152*$I152/12*3,IF($J152=8,-$E152*$I152/12*2,IF($J152=9,-$E152*$I152/12*1,0)))))+IF(CA$5&lt;&gt;$H152,0,IF(CA152&lt;0,IF($J152=7,-$E152*$I152/12*0,IF($J152=8,-$E152*$I152/12*1,IF($J152=9,-$E152*$I152/12*2,IF($J152&gt;=10,-$E152*$I152/12*3,0))))))</f>
        <v>0</v>
      </c>
      <c r="CE152" s="402">
        <f>IF($H152&lt;&gt;CF$5,0,IF(CF152&lt;0,IF(OR($J152=1,$J152=2,$J152=3,$J152=4,$J152=5,$J152=6,$J152=7,$J152=8,$J152=9,$J152=10),-$E152*$I152/12*3,IF($J152=11,-$E152*$I152/12*2,IF($J152=12,-$E152*$I152/12*1,0)))))+IF(CA$5&lt;&gt;$H152,0,IF(CA152&lt;0,IF($J152=10,-$E152*$I152/12*0,IF($J152=11,-$E152*$I152/12*1,IF($J152=12,-$E152*$I152/12*2,0)))))</f>
        <v>0</v>
      </c>
      <c r="CF152" s="403">
        <f>IF(AND(CA152&lt;&gt;0,CA$5=$H152),-$I152*$E152-CA152,IF(CF$5=$H152,-$I152*$E152*(12-$J152+1)/12,0))</f>
        <v>0</v>
      </c>
      <c r="CG152" s="400">
        <f>IF($H152&lt;&gt;CK$5,0,IF(CK152&lt;0,IF($J152=1,-$E152*$I152/12*3,IF($J152=2,-$E152*$I152/12*2,IF($J152=3,-$E152*$I152/12*1,0)))))+IF(CF$5&lt;&gt;$H152,0,IF(CF152&lt;0,IF($J152=1,-$E152*$I152/12*0,IF($J152=2,-$E152*$I152/12*1,IF($J152=3,-$E152*$I152/12*2,IF($J152&gt;=4,-$E152*$I152/12*3,0))))))</f>
        <v>0</v>
      </c>
      <c r="CH152" s="406">
        <f>IF($H152&lt;&gt;CK$5,0,IF(CK152&lt;0,IF(OR($J152=1,$J152=2,$J152=3,$J152=4),-$E152*$I152/12*3,IF($J152=5,-$E152*$I152/12*2,IF($J152=6,-$E152*$I152/12*1,0)))))+IF(CF$5&lt;&gt;$H152,0,IF(CF152&lt;0,IF($J152=4,-$E152*$I152/12*0,IF($J152=5,-$E152*$I152/12*1,IF($J152=6,-$E152*$I152/12*2,IF($J152&gt;=7,-$E152*$I152/12*3,0))))))</f>
        <v>0</v>
      </c>
      <c r="CI152" s="406">
        <f>IF($H152&lt;&gt;CK$5,0,IF(CK152&lt;0,IF(OR($J152=1,$J152=2,$J152=3,$J152=4,$J152=5,$J152=6,$J152=7),-$E152*$I152/12*3,IF($J152=8,-$E152*$I152/12*2,IF($J152=9,-$E152*$I152/12*1,0)))))+IF(CF$5&lt;&gt;$H152,0,IF(CF152&lt;0,IF($J152=7,-$E152*$I152/12*0,IF($J152=8,-$E152*$I152/12*1,IF($J152=9,-$E152*$I152/12*2,IF($J152&gt;=10,-$E152*$I152/12*3,0))))))</f>
        <v>0</v>
      </c>
      <c r="CJ152" s="402">
        <f>IF($H152&lt;&gt;CK$5,0,IF(CK152&lt;0,IF(OR($J152=1,$J152=2,$J152=3,$J152=4,$J152=5,$J152=6,$J152=7,$J152=8,$J152=9,$J152=10),-$E152*$I152/12*3,IF($J152=11,-$E152*$I152/12*2,IF($J152=12,-$E152*$I152/12*1,0)))))+IF(CF$5&lt;&gt;$H152,0,IF(CF152&lt;0,IF($J152=10,-$E152*$I152/12*0,IF($J152=11,-$E152*$I152/12*1,IF($J152=12,-$E152*$I152/12*2,0)))))</f>
        <v>0</v>
      </c>
      <c r="CK152" s="403">
        <f>IF(AND(CF152&lt;&gt;0,CF$5=$H152),-$I152*$E152-CF152,IF(CK$5=$H152,-$I152*$E152*(12-$J152+1)/12,0))</f>
        <v>0</v>
      </c>
      <c r="CL152" s="400">
        <f>IF($H152&lt;&gt;CP$5,0,IF(CP152&lt;0,IF($J152=1,-$E152*$I152/12*3,IF($J152=2,-$E152*$I152/12*2,IF($J152=3,-$E152*$I152/12*1,0)))))+IF(CK$5&lt;&gt;$H152,0,IF(CK152&lt;0,IF($J152=1,-$E152*$I152/12*0,IF($J152=2,-$E152*$I152/12*1,IF($J152=3,-$E152*$I152/12*2,IF($J152&gt;=4,-$E152*$I152/12*3,0))))))</f>
        <v>0</v>
      </c>
      <c r="CM152" s="406">
        <f>IF($H152&lt;&gt;CP$5,0,IF(CP152&lt;0,IF(OR($J152=1,$J152=2,$J152=3,$J152=4),-$E152*$I152/12*3,IF($J152=5,-$E152*$I152/12*2,IF($J152=6,-$E152*$I152/12*1,0)))))+IF(CK$5&lt;&gt;$H152,0,IF(CK152&lt;0,IF($J152=4,-$E152*$I152/12*0,IF($J152=5,-$E152*$I152/12*1,IF($J152=6,-$E152*$I152/12*2,IF($J152&gt;=7,-$E152*$I152/12*3,0))))))</f>
        <v>0</v>
      </c>
      <c r="CN152" s="406">
        <f>IF($H152&lt;&gt;CP$5,0,IF(CP152&lt;0,IF(OR($J152=1,$J152=2,$J152=3,$J152=4,$J152=5,$J152=6,$J152=7),-$E152*$I152/12*3,IF($J152=8,-$E152*$I152/12*2,IF($J152=9,-$E152*$I152/12*1,0)))))+IF(CK$5&lt;&gt;$H152,0,IF(CK152&lt;0,IF($J152=7,-$E152*$I152/12*0,IF($J152=8,-$E152*$I152/12*1,IF($J152=9,-$E152*$I152/12*2,IF($J152&gt;=10,-$E152*$I152/12*3,0))))))</f>
        <v>0</v>
      </c>
      <c r="CO152" s="402">
        <f>IF($H152&lt;&gt;CP$5,0,IF(CP152&lt;0,IF(OR($J152=1,$J152=2,$J152=3,$J152=4,$J152=5,$J152=6,$J152=7,$J152=8,$J152=9,$J152=10),-$E152*$I152/12*3,IF($J152=11,-$E152*$I152/12*2,IF($J152=12,-$E152*$I152/12*1,0)))))+IF(CK$5&lt;&gt;$H152,0,IF(CK152&lt;0,IF($J152=10,-$E152*$I152/12*0,IF($J152=11,-$E152*$I152/12*1,IF($J152=12,-$E152*$I152/12*2,0)))))</f>
        <v>0</v>
      </c>
      <c r="CP152" s="403">
        <f>IF(AND(CK152&lt;&gt;0,CK$5=$H152),-$I152*$E152-CK152,IF(CP$5=$H152,-$I152*$E152*(12-$J152+1)/12,0))</f>
        <v>0</v>
      </c>
      <c r="CQ152" s="400">
        <f>IF($H152&lt;&gt;CU$5,0,IF(CU152&lt;0,IF($J152=1,-$E152*$I152/12*3,IF($J152=2,-$E152*$I152/12*2,IF($J152=3,-$E152*$I152/12*1,0)))))+IF(CP$5&lt;&gt;$H152,0,IF(CP152&lt;0,IF($J152=1,-$E152*$I152/12*0,IF($J152=2,-$E152*$I152/12*1,IF($J152=3,-$E152*$I152/12*2,IF($J152&gt;=4,-$E152*$I152/12*3,0))))))</f>
        <v>0</v>
      </c>
      <c r="CR152" s="406">
        <f>IF($H152&lt;&gt;CU$5,0,IF(CU152&lt;0,IF(OR($J152=1,$J152=2,$J152=3,$J152=4),-$E152*$I152/12*3,IF($J152=5,-$E152*$I152/12*2,IF($J152=6,-$E152*$I152/12*1,0)))))+IF(CP$5&lt;&gt;$H152,0,IF(CP152&lt;0,IF($J152=4,-$E152*$I152/12*0,IF($J152=5,-$E152*$I152/12*1,IF($J152=6,-$E152*$I152/12*2,IF($J152&gt;=7,-$E152*$I152/12*3,0))))))</f>
        <v>0</v>
      </c>
      <c r="CS152" s="406">
        <f>IF($H152&lt;&gt;CU$5,0,IF(CU152&lt;0,IF(OR($J152=1,$J152=2,$J152=3,$J152=4,$J152=5,$J152=6,$J152=7),-$E152*$I152/12*3,IF($J152=8,-$E152*$I152/12*2,IF($J152=9,-$E152*$I152/12*1,0)))))+IF(CP$5&lt;&gt;$H152,0,IF(CP152&lt;0,IF($J152=7,-$E152*$I152/12*0,IF($J152=8,-$E152*$I152/12*1,IF($J152=9,-$E152*$I152/12*2,IF($J152&gt;=10,-$E152*$I152/12*3,0))))))</f>
        <v>0</v>
      </c>
      <c r="CT152" s="402">
        <f>IF($H152&lt;&gt;CU$5,0,IF(CU152&lt;0,IF(OR($J152=1,$J152=2,$J152=3,$J152=4,$J152=5,$J152=6,$J152=7,$J152=8,$J152=9,$J152=10),-$E152*$I152/12*3,IF($J152=11,-$E152*$I152/12*2,IF($J152=12,-$E152*$I152/12*1,0)))))+IF(CP$5&lt;&gt;$H152,0,IF(CP152&lt;0,IF($J152=10,-$E152*$I152/12*0,IF($J152=11,-$E152*$I152/12*1,IF($J152=12,-$E152*$I152/12*2,0)))))</f>
        <v>0</v>
      </c>
      <c r="CU152" s="403">
        <f>IF(AND(CP152&lt;&gt;0,CP$5=$H152),-$I152*$E152-CP152,IF(CU$5=$H152,-$I152*$E152*(12-$J152+1)/12,0))</f>
        <v>0</v>
      </c>
      <c r="CV152" s="400">
        <f>IF($H152&lt;&gt;CZ$5,0,IF(CZ152&lt;0,IF($J152=1,-$E152*$I152/12*3,IF($J152=2,-$E152*$I152/12*2,IF($J152=3,-$E152*$I152/12*1,0)))))+IF(CU$5&lt;&gt;$H152,0,IF(CU152&lt;0,IF($J152=1,-$E152*$I152/12*0,IF($J152=2,-$E152*$I152/12*1,IF($J152=3,-$E152*$I152/12*2,IF($J152&gt;=4,-$E152*$I152/12*3,0))))))</f>
        <v>0</v>
      </c>
      <c r="CW152" s="406">
        <f>IF($H152&lt;&gt;CZ$5,0,IF(CZ152&lt;0,IF(OR($J152=1,$J152=2,$J152=3,$J152=4),-$E152*$I152/12*3,IF($J152=5,-$E152*$I152/12*2,IF($J152=6,-$E152*$I152/12*1,0)))))+IF(CU$5&lt;&gt;$H152,0,IF(CU152&lt;0,IF($J152=4,-$E152*$I152/12*0,IF($J152=5,-$E152*$I152/12*1,IF($J152=6,-$E152*$I152/12*2,IF($J152&gt;=7,-$E152*$I152/12*3,0))))))</f>
        <v>0</v>
      </c>
      <c r="CX152" s="406">
        <f>IF($H152&lt;&gt;CZ$5,0,IF(CZ152&lt;0,IF(OR($J152=1,$J152=2,$J152=3,$J152=4,$J152=5,$J152=6,$J152=7),-$E152*$I152/12*3,IF($J152=8,-$E152*$I152/12*2,IF($J152=9,-$E152*$I152/12*1,0)))))+IF(CU$5&lt;&gt;$H152,0,IF(CU152&lt;0,IF($J152=7,-$E152*$I152/12*0,IF($J152=8,-$E152*$I152/12*1,IF($J152=9,-$E152*$I152/12*2,IF($J152&gt;=10,-$E152*$I152/12*3,0))))))</f>
        <v>0</v>
      </c>
      <c r="CY152" s="402">
        <f>IF($H152&lt;&gt;CZ$5,0,IF(CZ152&lt;0,IF(OR($J152=1,$J152=2,$J152=3,$J152=4,$J152=5,$J152=6,$J152=7,$J152=8,$J152=9,$J152=10),-$E152*$I152/12*3,IF($J152=11,-$E152*$I152/12*2,IF($J152=12,-$E152*$I152/12*1,0)))))+IF(CU$5&lt;&gt;$H152,0,IF(CU152&lt;0,IF($J152=10,-$E152*$I152/12*0,IF($J152=11,-$E152*$I152/12*1,IF($J152=12,-$E152*$I152/12*2,0)))))</f>
        <v>0</v>
      </c>
      <c r="CZ152" s="403">
        <f>IF(AND(CU152&lt;&gt;0,CU$5=$H152),-$I152*$E152-CU152,IF(CZ$5=$H152,-$I152*$E152*(12-$J152+1)/12,0))</f>
        <v>0</v>
      </c>
      <c r="DA152" s="400">
        <f>IF($H152&lt;&gt;DE$5,0,IF(DE152&lt;0,IF($J152=1,-$E152*$I152/12*3,IF($J152=2,-$E152*$I152/12*2,IF($J152=3,-$E152*$I152/12*1,0)))))+IF(CZ$5&lt;&gt;$H152,0,IF(CZ152&lt;0,IF($J152=1,-$E152*$I152/12*0,IF($J152=2,-$E152*$I152/12*1,IF($J152=3,-$E152*$I152/12*2,IF($J152&gt;=4,-$E152*$I152/12*3,0))))))</f>
        <v>0</v>
      </c>
      <c r="DB152" s="406">
        <f>IF($H152&lt;&gt;DE$5,0,IF(DE152&lt;0,IF(OR($J152=1,$J152=2,$J152=3,$J152=4),-$E152*$I152/12*3,IF($J152=5,-$E152*$I152/12*2,IF($J152=6,-$E152*$I152/12*1,0)))))+IF(CZ$5&lt;&gt;$H152,0,IF(CZ152&lt;0,IF($J152=4,-$E152*$I152/12*0,IF($J152=5,-$E152*$I152/12*1,IF($J152=6,-$E152*$I152/12*2,IF($J152&gt;=7,-$E152*$I152/12*3,0))))))</f>
        <v>0</v>
      </c>
      <c r="DC152" s="406">
        <f>IF($H152&lt;&gt;DE$5,0,IF(DE152&lt;0,IF(OR($J152=1,$J152=2,$J152=3,$J152=4,$J152=5,$J152=6,$J152=7),-$E152*$I152/12*3,IF($J152=8,-$E152*$I152/12*2,IF($J152=9,-$E152*$I152/12*1,0)))))+IF(CZ$5&lt;&gt;$H152,0,IF(CZ152&lt;0,IF($J152=7,-$E152*$I152/12*0,IF($J152=8,-$E152*$I152/12*1,IF($J152=9,-$E152*$I152/12*2,IF($J152&gt;=10,-$E152*$I152/12*3,0))))))</f>
        <v>0</v>
      </c>
      <c r="DD152" s="402">
        <f>IF($H152&lt;&gt;DE$5,0,IF(DE152&lt;0,IF(OR($J152=1,$J152=2,$J152=3,$J152=4,$J152=5,$J152=6,$J152=7,$J152=8,$J152=9,$J152=10),-$E152*$I152/12*3,IF($J152=11,-$E152*$I152/12*2,IF($J152=12,-$E152*$I152/12*1,0)))))+IF(CZ$5&lt;&gt;$H152,0,IF(CZ152&lt;0,IF($J152=10,-$E152*$I152/12*0,IF($J152=11,-$E152*$I152/12*1,IF($J152=12,-$E152*$I152/12*2,0)))))</f>
        <v>0</v>
      </c>
      <c r="DE152" s="403">
        <f>IF(AND(CZ152&lt;&gt;0,CZ$5=$H152),-$I152*$E152-CZ152,IF(DE$5=$H152,-$I152*$E152*(12-$J152+1)/12,0))</f>
        <v>0</v>
      </c>
      <c r="DF152" s="400">
        <f>IF($H152&lt;&gt;DJ$5,0,IF(DJ152&lt;0,IF($J152=1,-$E152*$I152/12*3,IF($J152=2,-$E152*$I152/12*2,IF($J152=3,-$E152*$I152/12*1,0)))))+IF(DE$5&lt;&gt;$H152,0,IF(DE152&lt;0,IF($J152=1,-$E152*$I152/12*0,IF($J152=2,-$E152*$I152/12*1,IF($J152=3,-$E152*$I152/12*2,IF($J152&gt;=4,-$E152*$I152/12*3,0))))))</f>
        <v>0</v>
      </c>
      <c r="DG152" s="406">
        <f>IF($H152&lt;&gt;DJ$5,0,IF(DJ152&lt;0,IF(OR($J152=1,$J152=2,$J152=3,$J152=4),-$E152*$I152/12*3,IF($J152=5,-$E152*$I152/12*2,IF($J152=6,-$E152*$I152/12*1,0)))))+IF(DE$5&lt;&gt;$H152,0,IF(DE152&lt;0,IF($J152=4,-$E152*$I152/12*0,IF($J152=5,-$E152*$I152/12*1,IF($J152=6,-$E152*$I152/12*2,IF($J152&gt;=7,-$E152*$I152/12*3,0))))))</f>
        <v>0</v>
      </c>
      <c r="DH152" s="406">
        <f>IF($H152&lt;&gt;DJ$5,0,IF(DJ152&lt;0,IF(OR($J152=1,$J152=2,$J152=3,$J152=4,$J152=5,$J152=6,$J152=7),-$E152*$I152/12*3,IF($J152=8,-$E152*$I152/12*2,IF($J152=9,-$E152*$I152/12*1,0)))))+IF(DE$5&lt;&gt;$H152,0,IF(DE152&lt;0,IF($J152=7,-$E152*$I152/12*0,IF($J152=8,-$E152*$I152/12*1,IF($J152=9,-$E152*$I152/12*2,IF($J152&gt;=10,-$E152*$I152/12*3,0))))))</f>
        <v>0</v>
      </c>
      <c r="DI152" s="402">
        <f>IF($H152&lt;&gt;DJ$5,0,IF(DJ152&lt;0,IF(OR($J152=1,$J152=2,$J152=3,$J152=4,$J152=5,$J152=6,$J152=7,$J152=8,$J152=9,$J152=10),-$E152*$I152/12*3,IF($J152=11,-$E152*$I152/12*2,IF($J152=12,-$E152*$I152/12*1,0)))))+IF(DE$5&lt;&gt;$H152,0,IF(DE152&lt;0,IF($J152=10,-$E152*$I152/12*0,IF($J152=11,-$E152*$I152/12*1,IF($J152=12,-$E152*$I152/12*2,0)))))</f>
        <v>0</v>
      </c>
      <c r="DJ152" s="403">
        <f>IF(AND(DE152&lt;&gt;0,DE$5=$H152),-$I152*$E152-DE152,IF(DJ$5=$H152,-$I152*$E152*(12-$J152+1)/12,0))</f>
        <v>0</v>
      </c>
      <c r="DK152" s="400">
        <f>IF($H152&lt;&gt;DO$5,0,IF(DO152&lt;0,IF($J152=1,-$E152*$I152/12*3,IF($J152=2,-$E152*$I152/12*2,IF($J152=3,-$E152*$I152/12*1,0)))))+IF(DJ$5&lt;&gt;$H152,0,IF(DJ152&lt;0,IF($J152=1,-$E152*$I152/12*0,IF($J152=2,-$E152*$I152/12*1,IF($J152=3,-$E152*$I152/12*2,IF($J152&gt;=4,-$E152*$I152/12*3,0))))))</f>
        <v>0</v>
      </c>
      <c r="DL152" s="406">
        <f>IF($H152&lt;&gt;DO$5,0,IF(DO152&lt;0,IF(OR($J152=1,$J152=2,$J152=3,$J152=4),-$E152*$I152/12*3,IF($J152=5,-$E152*$I152/12*2,IF($J152=6,-$E152*$I152/12*1,0)))))+IF(DJ$5&lt;&gt;$H152,0,IF(DJ152&lt;0,IF($J152=4,-$E152*$I152/12*0,IF($J152=5,-$E152*$I152/12*1,IF($J152=6,-$E152*$I152/12*2,IF($J152&gt;=7,-$E152*$I152/12*3,0))))))</f>
        <v>0</v>
      </c>
      <c r="DM152" s="406">
        <f>IF($H152&lt;&gt;DO$5,0,IF(DO152&lt;0,IF(OR($J152=1,$J152=2,$J152=3,$J152=4,$J152=5,$J152=6,$J152=7),-$E152*$I152/12*3,IF($J152=8,-$E152*$I152/12*2,IF($J152=9,-$E152*$I152/12*1,0)))))+IF(DJ$5&lt;&gt;$H152,0,IF(DJ152&lt;0,IF($J152=7,-$E152*$I152/12*0,IF($J152=8,-$E152*$I152/12*1,IF($J152=9,-$E152*$I152/12*2,IF($J152&gt;=10,-$E152*$I152/12*3,0))))))</f>
        <v>0</v>
      </c>
      <c r="DN152" s="402">
        <f>IF($H152&lt;&gt;DO$5,0,IF(DO152&lt;0,IF(OR($J152=1,$J152=2,$J152=3,$J152=4,$J152=5,$J152=6,$J152=7,$J152=8,$J152=9,$J152=10),-$E152*$I152/12*3,IF($J152=11,-$E152*$I152/12*2,IF($J152=12,-$E152*$I152/12*1,0)))))+IF(DJ$5&lt;&gt;$H152,0,IF(DJ152&lt;0,IF($J152=10,-$E152*$I152/12*0,IF($J152=11,-$E152*$I152/12*1,IF($J152=12,-$E152*$I152/12*2,0)))))</f>
        <v>0</v>
      </c>
      <c r="DO152" s="403">
        <f>IF(AND(DJ152&lt;&gt;0,DJ$5=$H152),-$I152*$E152-DJ152,IF(DO$5=$H152,-$I152*$E152*(12-$J152+1)/12,0))</f>
        <v>0</v>
      </c>
      <c r="DP152" s="400">
        <f>IF($H152&lt;&gt;DT$5,0,IF(DT152&lt;0,IF($J152=1,-$E152*$I152/12*3,IF($J152=2,-$E152*$I152/12*2,IF($J152=3,-$E152*$I152/12*1,0)))))+IF(DO$5&lt;&gt;$H152,0,IF(DO152&lt;0,IF($J152=1,-$E152*$I152/12*0,IF($J152=2,-$E152*$I152/12*1,IF($J152=3,-$E152*$I152/12*2,IF($J152&gt;=4,-$E152*$I152/12*3,0))))))</f>
        <v>0</v>
      </c>
      <c r="DQ152" s="406">
        <f>IF($H152&lt;&gt;DT$5,0,IF(DT152&lt;0,IF(OR($J152=1,$J152=2,$J152=3,$J152=4),-$E152*$I152/12*3,IF($J152=5,-$E152*$I152/12*2,IF($J152=6,-$E152*$I152/12*1,0)))))+IF(DO$5&lt;&gt;$H152,0,IF(DO152&lt;0,IF($J152=4,-$E152*$I152/12*0,IF($J152=5,-$E152*$I152/12*1,IF($J152=6,-$E152*$I152/12*2,IF($J152&gt;=7,-$E152*$I152/12*3,0))))))</f>
        <v>0</v>
      </c>
      <c r="DR152" s="406">
        <f>IF($H152&lt;&gt;DT$5,0,IF(DT152&lt;0,IF(OR($J152=1,$J152=2,$J152=3,$J152=4,$J152=5,$J152=6,$J152=7),-$E152*$I152/12*3,IF($J152=8,-$E152*$I152/12*2,IF($J152=9,-$E152*$I152/12*1,0)))))+IF(DO$5&lt;&gt;$H152,0,IF(DO152&lt;0,IF($J152=7,-$E152*$I152/12*0,IF($J152=8,-$E152*$I152/12*1,IF($J152=9,-$E152*$I152/12*2,IF($J152&gt;=10,-$E152*$I152/12*3,0))))))</f>
        <v>0</v>
      </c>
      <c r="DS152" s="402">
        <f>IF($H152&lt;&gt;DT$5,0,IF(DT152&lt;0,IF(OR($J152=1,$J152=2,$J152=3,$J152=4,$J152=5,$J152=6,$J152=7,$J152=8,$J152=9,$J152=10),-$E152*$I152/12*3,IF($J152=11,-$E152*$I152/12*2,IF($J152=12,-$E152*$I152/12*1,0)))))+IF(DO$5&lt;&gt;$H152,0,IF(DO152&lt;0,IF($J152=10,-$E152*$I152/12*0,IF($J152=11,-$E152*$I152/12*1,IF($J152=12,-$E152*$I152/12*2,0)))))</f>
        <v>0</v>
      </c>
      <c r="DT152" s="403">
        <f>IF(AND(DO152&lt;&gt;0,DO$5=$H152),-$I152*$E152-DO152,IF(DT$5=$H152,-$I152*$E152*(12-$J152+1)/12,0))</f>
        <v>0</v>
      </c>
      <c r="EI152" s="759"/>
    </row>
    <row r="153" spans="1:139" ht="12.75" customHeight="1" x14ac:dyDescent="0.2">
      <c r="C153" s="847" t="s">
        <v>617</v>
      </c>
      <c r="D153" s="826"/>
      <c r="E153" s="530">
        <f>IF(F153=0,G153,F153)</f>
        <v>300</v>
      </c>
      <c r="F153" s="831">
        <v>300</v>
      </c>
      <c r="G153" s="831">
        <v>300</v>
      </c>
      <c r="H153" s="808">
        <v>2046</v>
      </c>
      <c r="I153" s="809">
        <v>3.4000000000000002E-2</v>
      </c>
      <c r="J153" s="810">
        <v>8</v>
      </c>
      <c r="K153" s="392"/>
      <c r="L153" s="397">
        <f>IF(L$5=$H153,-$E153,0)</f>
        <v>0</v>
      </c>
      <c r="M153" s="394">
        <f>IF(Q153=0,0,IF(Q153&lt;0,IF($J153=3,Q153,IF($J153=2,Q153,IF($J153=1,Q153,0)))))</f>
        <v>0</v>
      </c>
      <c r="N153" s="404">
        <f>IF(Q153=0,0,IF(Q153&lt;0,IF($J153=6,Q153,IF($J153=5,Q153,IF($J153=4,Q153,0)))))</f>
        <v>0</v>
      </c>
      <c r="O153" s="404">
        <f>IF(Q153=0,0,IF(Q153&lt;0,IF($J153=9,Q153,IF($J153=8,Q153,IF($J153=7,Q153,0)))))</f>
        <v>0</v>
      </c>
      <c r="P153" s="396">
        <f>IF(Q153=0,0,IF(Q153&lt;0,IF($J153=12,Q153,IF($J153=11,Q153,IF($J153=10,Q153,0)))))</f>
        <v>0</v>
      </c>
      <c r="Q153" s="397">
        <f>IF(Q$5=$H153,-$E153,0)</f>
        <v>0</v>
      </c>
      <c r="R153" s="394">
        <f>IF(V153=0,0,IF(V153&lt;0,IF($J153=3,V153,IF($J153=2,V153,IF($J153=1,V153,0)))))</f>
        <v>0</v>
      </c>
      <c r="S153" s="404">
        <f>IF(V153=0,0,IF(V153&lt;0,IF($J153=6,V153,IF($J153=5,V153,IF($J153=4,V153,0)))))</f>
        <v>0</v>
      </c>
      <c r="T153" s="404">
        <f>IF(V153=0,0,IF(V153&lt;0,IF($J153=9,V153,IF($J153=8,V153,IF($J153=7,V153,0)))))</f>
        <v>0</v>
      </c>
      <c r="U153" s="396">
        <f>IF(V153=0,0,IF(V153&lt;0,IF($J153=12,V153,IF($J153=11,V153,IF($J153=10,V153,0)))))</f>
        <v>0</v>
      </c>
      <c r="V153" s="397">
        <f>IF(V$5=$H153,-$E153,0)</f>
        <v>0</v>
      </c>
      <c r="W153" s="394">
        <f>IF(AA153=0,0,IF(AA153&lt;0,IF($J153=3,AA153,IF($J153=2,AA153,IF($J153=1,AA153,0)))))</f>
        <v>0</v>
      </c>
      <c r="X153" s="404">
        <f>IF(AA153=0,0,IF(AA153&lt;0,IF($J153=6,AA153,IF($J153=5,AA153,IF($J153=4,AA153,0)))))</f>
        <v>0</v>
      </c>
      <c r="Y153" s="404">
        <f>IF(AA153=0,0,IF(AA153&lt;0,IF($J153=9,AA153,IF($J153=8,AA153,IF($J153=7,AA153,0)))))</f>
        <v>0</v>
      </c>
      <c r="Z153" s="396">
        <f>IF(AA153=0,0,IF(AA153&lt;0,IF($J153=12,AA153,IF($J153=11,AA153,IF($J153=10,AA153,0)))))</f>
        <v>0</v>
      </c>
      <c r="AA153" s="397">
        <f>IF(AA$5=$H153,-$E153,0)</f>
        <v>0</v>
      </c>
      <c r="AB153" s="394">
        <f>IF(AF153=0,0,IF(AF153&lt;0,IF($J153=3,AF153,IF($J153=2,AF153,IF($J153=1,AF153,0)))))</f>
        <v>0</v>
      </c>
      <c r="AC153" s="404">
        <f>IF(AF153=0,0,IF(AF153&lt;0,IF($J153=6,AF153,IF($J153=5,AF153,IF($J153=4,AF153,0)))))</f>
        <v>0</v>
      </c>
      <c r="AD153" s="404">
        <f>IF(AF153=0,0,IF(AF153&lt;0,IF($J153=9,AF153,IF($J153=8,AF153,IF($J153=7,AF153,0)))))</f>
        <v>0</v>
      </c>
      <c r="AE153" s="396">
        <f>IF(AF153=0,0,IF(AF153&lt;0,IF($J153=12,AF153,IF($J153=11,AF153,IF($J153=10,AF153,0)))))</f>
        <v>0</v>
      </c>
      <c r="AF153" s="397">
        <f>IF(AF$5=$H153,-$E153,0)</f>
        <v>0</v>
      </c>
      <c r="AG153" s="394">
        <f>IF(AK153=0,0,IF(AK153&lt;0,IF($J153=3,AK153,IF($J153=2,AK153,IF($J153=1,AK153,0)))))</f>
        <v>0</v>
      </c>
      <c r="AH153" s="404">
        <f>IF(AK153=0,0,IF(AK153&lt;0,IF($J153=6,AK153,IF($J153=5,AK153,IF($J153=4,AK153,0)))))</f>
        <v>0</v>
      </c>
      <c r="AI153" s="404">
        <f>IF(AK153=0,0,IF(AK153&lt;0,IF($J153=9,AK153,IF($J153=8,AK153,IF($J153=7,AK153,0)))))</f>
        <v>0</v>
      </c>
      <c r="AJ153" s="396">
        <f>IF(AK153=0,0,IF(AK153&lt;0,IF($J153=12,AK153,IF($J153=11,AK153,IF($J153=10,AK153,0)))))</f>
        <v>0</v>
      </c>
      <c r="AK153" s="397">
        <f>IF(AK$5=$H153,-$E153,0)</f>
        <v>0</v>
      </c>
      <c r="AL153" s="394">
        <f>IF(AP153=0,0,IF(AP153&lt;0,IF($J153=3,AP153,IF($J153=2,AP153,IF($J153=1,AP153,0)))))</f>
        <v>0</v>
      </c>
      <c r="AM153" s="404">
        <f>IF(AP153=0,0,IF(AP153&lt;0,IF($J153=6,AP153,IF($J153=5,AP153,IF($J153=4,AP153,0)))))</f>
        <v>0</v>
      </c>
      <c r="AN153" s="404">
        <f>IF(AP153=0,0,IF(AP153&lt;0,IF($J153=9,AP153,IF($J153=8,AP153,IF($J153=7,AP153,0)))))</f>
        <v>0</v>
      </c>
      <c r="AO153" s="396">
        <f>IF(AP153=0,0,IF(AP153&lt;0,IF($J153=12,AP153,IF($J153=11,AP153,IF($J153=10,AP153,0)))))</f>
        <v>0</v>
      </c>
      <c r="AP153" s="397">
        <f>IF(AP$5=$H153,-$E153,0)</f>
        <v>0</v>
      </c>
      <c r="AQ153" s="394">
        <f>IF(AU153=0,0,IF(AU153&lt;0,IF($J153=3,AU153,IF($J153=2,AU153,IF($J153=1,AU153,0)))))</f>
        <v>0</v>
      </c>
      <c r="AR153" s="404">
        <f>IF(AU153=0,0,IF(AU153&lt;0,IF($J153=6,AU153,IF($J153=5,AU153,IF($J153=4,AU153,0)))))</f>
        <v>0</v>
      </c>
      <c r="AS153" s="404">
        <f>IF(AU153=0,0,IF(AU153&lt;0,IF($J153=9,AU153,IF($J153=8,AU153,IF($J153=7,AU153,0)))))</f>
        <v>0</v>
      </c>
      <c r="AT153" s="396">
        <f>IF(AU153=0,0,IF(AU153&lt;0,IF($J153=12,AU153,IF($J153=11,AU153,IF($J153=10,AU153,0)))))</f>
        <v>0</v>
      </c>
      <c r="AU153" s="397">
        <f>IF(AU$5=$H153,-$E153,0)</f>
        <v>0</v>
      </c>
      <c r="AV153" s="394">
        <f>IF(AZ153=0,0,IF(AZ153&lt;0,IF($J153=3,AZ153,IF($J153=2,AZ153,IF($J153=1,AZ153,0)))))</f>
        <v>0</v>
      </c>
      <c r="AW153" s="404">
        <f>IF(AZ153=0,0,IF(AZ153&lt;0,IF($J153=6,AZ153,IF($J153=5,AZ153,IF($J153=4,AZ153,0)))))</f>
        <v>0</v>
      </c>
      <c r="AX153" s="404">
        <f>IF(AZ153=0,0,IF(AZ153&lt;0,IF($J153=9,AZ153,IF($J153=8,AZ153,IF($J153=7,AZ153,0)))))</f>
        <v>0</v>
      </c>
      <c r="AY153" s="396">
        <f>IF(AZ153=0,0,IF(AZ153&lt;0,IF($J153=12,AZ153,IF($J153=11,AZ153,IF($J153=10,AZ153,0)))))</f>
        <v>0</v>
      </c>
      <c r="AZ153" s="397">
        <f>IF(AZ$5=$H153,-$E153,0)</f>
        <v>0</v>
      </c>
      <c r="BA153" s="394">
        <f>IF(BE153=0,0,IF(BE153&lt;0,IF($J153=3,BE153,IF($J153=2,BE153,IF($J153=1,BE153,0)))))</f>
        <v>0</v>
      </c>
      <c r="BB153" s="404">
        <f>IF(BE153=0,0,IF(BE153&lt;0,IF($J153=6,BE153,IF($J153=5,BE153,IF($J153=4,BE153,0)))))</f>
        <v>0</v>
      </c>
      <c r="BC153" s="404">
        <f>IF(BE153=0,0,IF(BE153&lt;0,IF($J153=9,BE153,IF($J153=8,BE153,IF($J153=7,BE153,0)))))</f>
        <v>0</v>
      </c>
      <c r="BD153" s="396">
        <f>IF(BE153=0,0,IF(BE153&lt;0,IF($J153=12,BE153,IF($J153=11,BE153,IF($J153=10,BE153,0)))))</f>
        <v>0</v>
      </c>
      <c r="BE153" s="397">
        <f>IF(BE$5=$H153,-$E153,0)</f>
        <v>0</v>
      </c>
      <c r="BF153" s="394">
        <f>IF(BJ153=0,0,IF(BJ153&lt;0,IF($J153=3,BJ153,IF($J153=2,BJ153,IF($J153=1,BJ153,0)))))</f>
        <v>0</v>
      </c>
      <c r="BG153" s="404">
        <f>IF(BJ153=0,0,IF(BJ153&lt;0,IF($J153=6,BJ153,IF($J153=5,BJ153,IF($J153=4,BJ153,0)))))</f>
        <v>0</v>
      </c>
      <c r="BH153" s="404">
        <f>IF(BJ153=0,0,IF(BJ153&lt;0,IF($J153=9,BJ153,IF($J153=8,BJ153,IF($J153=7,BJ153,0)))))</f>
        <v>0</v>
      </c>
      <c r="BI153" s="396">
        <f>IF(BJ153=0,0,IF(BJ153&lt;0,IF($J153=12,BJ153,IF($J153=11,BJ153,IF($J153=10,BJ153,0)))))</f>
        <v>0</v>
      </c>
      <c r="BJ153" s="397">
        <f>IF(BJ$5=$H153,-$E153,0)</f>
        <v>0</v>
      </c>
      <c r="BK153" s="394">
        <f>IF(BO153=0,0,IF(BO153&lt;0,IF($J153=3,BO153,IF($J153=2,BO153,IF($J153=1,BO153,0)))))</f>
        <v>0</v>
      </c>
      <c r="BL153" s="404">
        <f>IF(BO153=0,0,IF(BO153&lt;0,IF($J153=6,BO153,IF($J153=5,BO153,IF($J153=4,BO153,0)))))</f>
        <v>0</v>
      </c>
      <c r="BM153" s="404">
        <f>IF(BO153=0,0,IF(BO153&lt;0,IF($J153=9,BO153,IF($J153=8,BO153,IF($J153=7,BO153,0)))))</f>
        <v>0</v>
      </c>
      <c r="BN153" s="396">
        <f>IF(BO153=0,0,IF(BO153&lt;0,IF($J153=12,BO153,IF($J153=11,BO153,IF($J153=10,BO153,0)))))</f>
        <v>0</v>
      </c>
      <c r="BO153" s="397">
        <f>IF(BO$5=$H153,-$E153,0)</f>
        <v>0</v>
      </c>
      <c r="BP153" s="452"/>
      <c r="BQ153" s="403">
        <f>IF(AND(BP153&lt;&gt;0,BP$5=$H153),-$I153*$E153-BP153,IF(BQ$5=$H153,-$I153*$E153*(12-$J153+1)/12,0))</f>
        <v>0</v>
      </c>
      <c r="BR153" s="400">
        <f>IF($H153&lt;&gt;BV$5,0,IF(BV153&lt;0,IF($J153=1,-$E153*$I153/12*3,IF($J153=2,-$E153*$I153/12*2,IF($J153=3,-$E153*$I153/12*1,0)))))+IF(BQ$5&lt;&gt;$H153,0,IF(BQ153&lt;0,IF($J153=1,-$E153*$I153/12*0,IF($J153=2,-$E153*$I153/12*1,IF($J153=3,-$E153*$I153/12*2,IF($J153&gt;=4,-$E153*$I153/12*3,0))))))</f>
        <v>0</v>
      </c>
      <c r="BS153" s="406">
        <f>IF($H153&lt;&gt;BV$5,0,IF(BV153&lt;0,IF(OR($J153=1,$J153=2,$J153=3,$J153=4),-$E153*$I153/12*3,IF($J153=5,-$E153*$I153/12*2,IF($J153=6,-$E153*$I153/12*1,0)))))+IF(BQ$5&lt;&gt;$H153,0,IF(BQ153&lt;0,IF($J153=4,-$E153*$I153/12*0,IF($J153=5,-$E153*$I153/12*1,IF($J153=6,-$E153*$I153/12*2,IF($J153&gt;=7,-$E153*$I153/12*3,0))))))</f>
        <v>0</v>
      </c>
      <c r="BT153" s="406">
        <f>IF($H153&lt;&gt;BV$5,0,IF(BV153&lt;0,IF(OR($J153=1,$J153=2,$J153=3,$J153=4,$J153=5,$J153=6,$J153=7),-$E153*$I153/12*3,IF($J153=8,-$E153*$I153/12*2,IF($J153=9,-$E153*$I153/12*1,0)))))+IF(BQ$5&lt;&gt;$H153,0,IF(BQ153&lt;0,IF($J153=7,-$E153*$I153/12*0,IF($J153=8,-$E153*$I153/12*1,IF($J153=9,-$E153*$I153/12*2,IF($J153&gt;=10,-$E153*$I153/12*3,0))))))</f>
        <v>0</v>
      </c>
      <c r="BU153" s="402">
        <f>IF($H153&lt;&gt;BV$5,0,IF(BV153&lt;0,IF(OR($J153=1,$J153=2,$J153=3,$J153=4,$J153=5,$J153=6,$J153=7,$J153=8,$J153=9,$J153=10),-$E153*$I153/12*3,IF($J153=11,-$E153*$I153/12*2,IF($J153=12,-$E153*$I153/12*1,0)))))+IF(BQ$5&lt;&gt;$H153,0,IF(BQ153&lt;0,IF($J153=10,-$E153*$I153/12*0,IF($J153=11,-$E153*$I153/12*1,IF($J153=12,-$E153*$I153/12*2,0)))))</f>
        <v>0</v>
      </c>
      <c r="BV153" s="403">
        <f>IF(AND(BQ153&lt;&gt;0,BQ$5=$H153),-$I153*$E153-BQ153,IF(BV$5=$H153,-$I153*$E153*(12-$J153+1)/12,0))</f>
        <v>0</v>
      </c>
      <c r="BW153" s="400">
        <f>IF($H153&lt;&gt;CA$5,0,IF(CA153&lt;0,IF($J153=1,-$E153*$I153/12*3,IF($J153=2,-$E153*$I153/12*2,IF($J153=3,-$E153*$I153/12*1,0)))))+IF(BV$5&lt;&gt;$H153,0,IF(BV153&lt;0,IF($J153=1,-$E153*$I153/12*0,IF($J153=2,-$E153*$I153/12*1,IF($J153=3,-$E153*$I153/12*2,IF($J153&gt;=4,-$E153*$I153/12*3,0))))))</f>
        <v>0</v>
      </c>
      <c r="BX153" s="406">
        <f>IF($H153&lt;&gt;CA$5,0,IF(CA153&lt;0,IF(OR($J153=1,$J153=2,$J153=3,$J153=4),-$E153*$I153/12*3,IF($J153=5,-$E153*$I153/12*2,IF($J153=6,-$E153*$I153/12*1,0)))))+IF(BV$5&lt;&gt;$H153,0,IF(BV153&lt;0,IF($J153=4,-$E153*$I153/12*0,IF($J153=5,-$E153*$I153/12*1,IF($J153=6,-$E153*$I153/12*2,IF($J153&gt;=7,-$E153*$I153/12*3,0))))))</f>
        <v>0</v>
      </c>
      <c r="BY153" s="406">
        <f>IF($H153&lt;&gt;CA$5,0,IF(CA153&lt;0,IF(OR($J153=1,$J153=2,$J153=3,$J153=4,$J153=5,$J153=6,$J153=7),-$E153*$I153/12*3,IF($J153=8,-$E153*$I153/12*2,IF($J153=9,-$E153*$I153/12*1,0)))))+IF(BV$5&lt;&gt;$H153,0,IF(BV153&lt;0,IF($J153=7,-$E153*$I153/12*0,IF($J153=8,-$E153*$I153/12*1,IF($J153=9,-$E153*$I153/12*2,IF($J153&gt;=10,-$E153*$I153/12*3,0))))))</f>
        <v>0</v>
      </c>
      <c r="BZ153" s="402">
        <f>IF($H153&lt;&gt;CA$5,0,IF(CA153&lt;0,IF(OR($J153=1,$J153=2,$J153=3,$J153=4,$J153=5,$J153=6,$J153=7,$J153=8,$J153=9,$J153=10),-$E153*$I153/12*3,IF($J153=11,-$E153*$I153/12*2,IF($J153=12,-$E153*$I153/12*1,0)))))+IF(BV$5&lt;&gt;$H153,0,IF(BV153&lt;0,IF($J153=10,-$E153*$I153/12*0,IF($J153=11,-$E153*$I153/12*1,IF($J153=12,-$E153*$I153/12*2,0)))))</f>
        <v>0</v>
      </c>
      <c r="CA153" s="403">
        <f>IF(AND(BV153&lt;&gt;0,BV$5=$H153),-$I153*$E153-BV153,IF(CA$5=$H153,-$I153*$E153*(12-$J153+1)/12,0))</f>
        <v>0</v>
      </c>
      <c r="CB153" s="400">
        <f>IF($H153&lt;&gt;CF$5,0,IF(CF153&lt;0,IF($J153=1,-$E153*$I153/12*3,IF($J153=2,-$E153*$I153/12*2,IF($J153=3,-$E153*$I153/12*1,0)))))+IF(CA$5&lt;&gt;$H153,0,IF(CA153&lt;0,IF($J153=1,-$E153*$I153/12*0,IF($J153=2,-$E153*$I153/12*1,IF($J153=3,-$E153*$I153/12*2,IF($J153&gt;=4,-$E153*$I153/12*3,0))))))</f>
        <v>0</v>
      </c>
      <c r="CC153" s="406">
        <f>IF($H153&lt;&gt;CF$5,0,IF(CF153&lt;0,IF(OR($J153=1,$J153=2,$J153=3,$J153=4),-$E153*$I153/12*3,IF($J153=5,-$E153*$I153/12*2,IF($J153=6,-$E153*$I153/12*1,0)))))+IF(CA$5&lt;&gt;$H153,0,IF(CA153&lt;0,IF($J153=4,-$E153*$I153/12*0,IF($J153=5,-$E153*$I153/12*1,IF($J153=6,-$E153*$I153/12*2,IF($J153&gt;=7,-$E153*$I153/12*3,0))))))</f>
        <v>0</v>
      </c>
      <c r="CD153" s="406">
        <f>IF($H153&lt;&gt;CF$5,0,IF(CF153&lt;0,IF(OR($J153=1,$J153=2,$J153=3,$J153=4,$J153=5,$J153=6,$J153=7),-$E153*$I153/12*3,IF($J153=8,-$E153*$I153/12*2,IF($J153=9,-$E153*$I153/12*1,0)))))+IF(CA$5&lt;&gt;$H153,0,IF(CA153&lt;0,IF($J153=7,-$E153*$I153/12*0,IF($J153=8,-$E153*$I153/12*1,IF($J153=9,-$E153*$I153/12*2,IF($J153&gt;=10,-$E153*$I153/12*3,0))))))</f>
        <v>0</v>
      </c>
      <c r="CE153" s="402">
        <f>IF($H153&lt;&gt;CF$5,0,IF(CF153&lt;0,IF(OR($J153=1,$J153=2,$J153=3,$J153=4,$J153=5,$J153=6,$J153=7,$J153=8,$J153=9,$J153=10),-$E153*$I153/12*3,IF($J153=11,-$E153*$I153/12*2,IF($J153=12,-$E153*$I153/12*1,0)))))+IF(CA$5&lt;&gt;$H153,0,IF(CA153&lt;0,IF($J153=10,-$E153*$I153/12*0,IF($J153=11,-$E153*$I153/12*1,IF($J153=12,-$E153*$I153/12*2,0)))))</f>
        <v>0</v>
      </c>
      <c r="CF153" s="403">
        <f>IF(AND(CA153&lt;&gt;0,CA$5=$H153),-$I153*$E153-CA153,IF(CF$5=$H153,-$I153*$E153*(12-$J153+1)/12,0))</f>
        <v>0</v>
      </c>
      <c r="CG153" s="400">
        <f>IF($H153&lt;&gt;CK$5,0,IF(CK153&lt;0,IF($J153=1,-$E153*$I153/12*3,IF($J153=2,-$E153*$I153/12*2,IF($J153=3,-$E153*$I153/12*1,0)))))+IF(CF$5&lt;&gt;$H153,0,IF(CF153&lt;0,IF($J153=1,-$E153*$I153/12*0,IF($J153=2,-$E153*$I153/12*1,IF($J153=3,-$E153*$I153/12*2,IF($J153&gt;=4,-$E153*$I153/12*3,0))))))</f>
        <v>0</v>
      </c>
      <c r="CH153" s="406">
        <f>IF($H153&lt;&gt;CK$5,0,IF(CK153&lt;0,IF(OR($J153=1,$J153=2,$J153=3,$J153=4),-$E153*$I153/12*3,IF($J153=5,-$E153*$I153/12*2,IF($J153=6,-$E153*$I153/12*1,0)))))+IF(CF$5&lt;&gt;$H153,0,IF(CF153&lt;0,IF($J153=4,-$E153*$I153/12*0,IF($J153=5,-$E153*$I153/12*1,IF($J153=6,-$E153*$I153/12*2,IF($J153&gt;=7,-$E153*$I153/12*3,0))))))</f>
        <v>0</v>
      </c>
      <c r="CI153" s="406">
        <f>IF($H153&lt;&gt;CK$5,0,IF(CK153&lt;0,IF(OR($J153=1,$J153=2,$J153=3,$J153=4,$J153=5,$J153=6,$J153=7),-$E153*$I153/12*3,IF($J153=8,-$E153*$I153/12*2,IF($J153=9,-$E153*$I153/12*1,0)))))+IF(CF$5&lt;&gt;$H153,0,IF(CF153&lt;0,IF($J153=7,-$E153*$I153/12*0,IF($J153=8,-$E153*$I153/12*1,IF($J153=9,-$E153*$I153/12*2,IF($J153&gt;=10,-$E153*$I153/12*3,0))))))</f>
        <v>0</v>
      </c>
      <c r="CJ153" s="402">
        <f>IF($H153&lt;&gt;CK$5,0,IF(CK153&lt;0,IF(OR($J153=1,$J153=2,$J153=3,$J153=4,$J153=5,$J153=6,$J153=7,$J153=8,$J153=9,$J153=10),-$E153*$I153/12*3,IF($J153=11,-$E153*$I153/12*2,IF($J153=12,-$E153*$I153/12*1,0)))))+IF(CF$5&lt;&gt;$H153,0,IF(CF153&lt;0,IF($J153=10,-$E153*$I153/12*0,IF($J153=11,-$E153*$I153/12*1,IF($J153=12,-$E153*$I153/12*2,0)))))</f>
        <v>0</v>
      </c>
      <c r="CK153" s="403">
        <f>IF(AND(CF153&lt;&gt;0,CF$5=$H153),-$I153*$E153-CF153,IF(CK$5=$H153,-$I153*$E153*(12-$J153+1)/12,0))</f>
        <v>0</v>
      </c>
      <c r="CL153" s="400">
        <f>IF($H153&lt;&gt;CP$5,0,IF(CP153&lt;0,IF($J153=1,-$E153*$I153/12*3,IF($J153=2,-$E153*$I153/12*2,IF($J153=3,-$E153*$I153/12*1,0)))))+IF(CK$5&lt;&gt;$H153,0,IF(CK153&lt;0,IF($J153=1,-$E153*$I153/12*0,IF($J153=2,-$E153*$I153/12*1,IF($J153=3,-$E153*$I153/12*2,IF($J153&gt;=4,-$E153*$I153/12*3,0))))))</f>
        <v>0</v>
      </c>
      <c r="CM153" s="406">
        <f>IF($H153&lt;&gt;CP$5,0,IF(CP153&lt;0,IF(OR($J153=1,$J153=2,$J153=3,$J153=4),-$E153*$I153/12*3,IF($J153=5,-$E153*$I153/12*2,IF($J153=6,-$E153*$I153/12*1,0)))))+IF(CK$5&lt;&gt;$H153,0,IF(CK153&lt;0,IF($J153=4,-$E153*$I153/12*0,IF($J153=5,-$E153*$I153/12*1,IF($J153=6,-$E153*$I153/12*2,IF($J153&gt;=7,-$E153*$I153/12*3,0))))))</f>
        <v>0</v>
      </c>
      <c r="CN153" s="406">
        <f>IF($H153&lt;&gt;CP$5,0,IF(CP153&lt;0,IF(OR($J153=1,$J153=2,$J153=3,$J153=4,$J153=5,$J153=6,$J153=7),-$E153*$I153/12*3,IF($J153=8,-$E153*$I153/12*2,IF($J153=9,-$E153*$I153/12*1,0)))))+IF(CK$5&lt;&gt;$H153,0,IF(CK153&lt;0,IF($J153=7,-$E153*$I153/12*0,IF($J153=8,-$E153*$I153/12*1,IF($J153=9,-$E153*$I153/12*2,IF($J153&gt;=10,-$E153*$I153/12*3,0))))))</f>
        <v>0</v>
      </c>
      <c r="CO153" s="402">
        <f>IF($H153&lt;&gt;CP$5,0,IF(CP153&lt;0,IF(OR($J153=1,$J153=2,$J153=3,$J153=4,$J153=5,$J153=6,$J153=7,$J153=8,$J153=9,$J153=10),-$E153*$I153/12*3,IF($J153=11,-$E153*$I153/12*2,IF($J153=12,-$E153*$I153/12*1,0)))))+IF(CK$5&lt;&gt;$H153,0,IF(CK153&lt;0,IF($J153=10,-$E153*$I153/12*0,IF($J153=11,-$E153*$I153/12*1,IF($J153=12,-$E153*$I153/12*2,0)))))</f>
        <v>0</v>
      </c>
      <c r="CP153" s="403">
        <f>IF(AND(CK153&lt;&gt;0,CK$5=$H153),-$I153*$E153-CK153,IF(CP$5=$H153,-$I153*$E153*(12-$J153+1)/12,0))</f>
        <v>0</v>
      </c>
      <c r="CQ153" s="400">
        <f>IF($H153&lt;&gt;CU$5,0,IF(CU153&lt;0,IF($J153=1,-$E153*$I153/12*3,IF($J153=2,-$E153*$I153/12*2,IF($J153=3,-$E153*$I153/12*1,0)))))+IF(CP$5&lt;&gt;$H153,0,IF(CP153&lt;0,IF($J153=1,-$E153*$I153/12*0,IF($J153=2,-$E153*$I153/12*1,IF($J153=3,-$E153*$I153/12*2,IF($J153&gt;=4,-$E153*$I153/12*3,0))))))</f>
        <v>0</v>
      </c>
      <c r="CR153" s="406">
        <f>IF($H153&lt;&gt;CU$5,0,IF(CU153&lt;0,IF(OR($J153=1,$J153=2,$J153=3,$J153=4),-$E153*$I153/12*3,IF($J153=5,-$E153*$I153/12*2,IF($J153=6,-$E153*$I153/12*1,0)))))+IF(CP$5&lt;&gt;$H153,0,IF(CP153&lt;0,IF($J153=4,-$E153*$I153/12*0,IF($J153=5,-$E153*$I153/12*1,IF($J153=6,-$E153*$I153/12*2,IF($J153&gt;=7,-$E153*$I153/12*3,0))))))</f>
        <v>0</v>
      </c>
      <c r="CS153" s="406">
        <f>IF($H153&lt;&gt;CU$5,0,IF(CU153&lt;0,IF(OR($J153=1,$J153=2,$J153=3,$J153=4,$J153=5,$J153=6,$J153=7),-$E153*$I153/12*3,IF($J153=8,-$E153*$I153/12*2,IF($J153=9,-$E153*$I153/12*1,0)))))+IF(CP$5&lt;&gt;$H153,0,IF(CP153&lt;0,IF($J153=7,-$E153*$I153/12*0,IF($J153=8,-$E153*$I153/12*1,IF($J153=9,-$E153*$I153/12*2,IF($J153&gt;=10,-$E153*$I153/12*3,0))))))</f>
        <v>0</v>
      </c>
      <c r="CT153" s="402">
        <f>IF($H153&lt;&gt;CU$5,0,IF(CU153&lt;0,IF(OR($J153=1,$J153=2,$J153=3,$J153=4,$J153=5,$J153=6,$J153=7,$J153=8,$J153=9,$J153=10),-$E153*$I153/12*3,IF($J153=11,-$E153*$I153/12*2,IF($J153=12,-$E153*$I153/12*1,0)))))+IF(CP$5&lt;&gt;$H153,0,IF(CP153&lt;0,IF($J153=10,-$E153*$I153/12*0,IF($J153=11,-$E153*$I153/12*1,IF($J153=12,-$E153*$I153/12*2,0)))))</f>
        <v>0</v>
      </c>
      <c r="CU153" s="403">
        <f>IF(AND(CP153&lt;&gt;0,CP$5=$H153),-$I153*$E153-CP153,IF(CU$5=$H153,-$I153*$E153*(12-$J153+1)/12,0))</f>
        <v>0</v>
      </c>
      <c r="CV153" s="400">
        <f>IF($H153&lt;&gt;CZ$5,0,IF(CZ153&lt;0,IF($J153=1,-$E153*$I153/12*3,IF($J153=2,-$E153*$I153/12*2,IF($J153=3,-$E153*$I153/12*1,0)))))+IF(CU$5&lt;&gt;$H153,0,IF(CU153&lt;0,IF($J153=1,-$E153*$I153/12*0,IF($J153=2,-$E153*$I153/12*1,IF($J153=3,-$E153*$I153/12*2,IF($J153&gt;=4,-$E153*$I153/12*3,0))))))</f>
        <v>0</v>
      </c>
      <c r="CW153" s="406">
        <f>IF($H153&lt;&gt;CZ$5,0,IF(CZ153&lt;0,IF(OR($J153=1,$J153=2,$J153=3,$J153=4),-$E153*$I153/12*3,IF($J153=5,-$E153*$I153/12*2,IF($J153=6,-$E153*$I153/12*1,0)))))+IF(CU$5&lt;&gt;$H153,0,IF(CU153&lt;0,IF($J153=4,-$E153*$I153/12*0,IF($J153=5,-$E153*$I153/12*1,IF($J153=6,-$E153*$I153/12*2,IF($J153&gt;=7,-$E153*$I153/12*3,0))))))</f>
        <v>0</v>
      </c>
      <c r="CX153" s="406">
        <f>IF($H153&lt;&gt;CZ$5,0,IF(CZ153&lt;0,IF(OR($J153=1,$J153=2,$J153=3,$J153=4,$J153=5,$J153=6,$J153=7),-$E153*$I153/12*3,IF($J153=8,-$E153*$I153/12*2,IF($J153=9,-$E153*$I153/12*1,0)))))+IF(CU$5&lt;&gt;$H153,0,IF(CU153&lt;0,IF($J153=7,-$E153*$I153/12*0,IF($J153=8,-$E153*$I153/12*1,IF($J153=9,-$E153*$I153/12*2,IF($J153&gt;=10,-$E153*$I153/12*3,0))))))</f>
        <v>0</v>
      </c>
      <c r="CY153" s="402">
        <f>IF($H153&lt;&gt;CZ$5,0,IF(CZ153&lt;0,IF(OR($J153=1,$J153=2,$J153=3,$J153=4,$J153=5,$J153=6,$J153=7,$J153=8,$J153=9,$J153=10),-$E153*$I153/12*3,IF($J153=11,-$E153*$I153/12*2,IF($J153=12,-$E153*$I153/12*1,0)))))+IF(CU$5&lt;&gt;$H153,0,IF(CU153&lt;0,IF($J153=10,-$E153*$I153/12*0,IF($J153=11,-$E153*$I153/12*1,IF($J153=12,-$E153*$I153/12*2,0)))))</f>
        <v>0</v>
      </c>
      <c r="CZ153" s="403">
        <f>IF(AND(CU153&lt;&gt;0,CU$5=$H153),-$I153*$E153-CU153,IF(CZ$5=$H153,-$I153*$E153*(12-$J153+1)/12,0))</f>
        <v>0</v>
      </c>
      <c r="DA153" s="400">
        <f>IF($H153&lt;&gt;DE$5,0,IF(DE153&lt;0,IF($J153=1,-$E153*$I153/12*3,IF($J153=2,-$E153*$I153/12*2,IF($J153=3,-$E153*$I153/12*1,0)))))+IF(CZ$5&lt;&gt;$H153,0,IF(CZ153&lt;0,IF($J153=1,-$E153*$I153/12*0,IF($J153=2,-$E153*$I153/12*1,IF($J153=3,-$E153*$I153/12*2,IF($J153&gt;=4,-$E153*$I153/12*3,0))))))</f>
        <v>0</v>
      </c>
      <c r="DB153" s="406">
        <f>IF($H153&lt;&gt;DE$5,0,IF(DE153&lt;0,IF(OR($J153=1,$J153=2,$J153=3,$J153=4),-$E153*$I153/12*3,IF($J153=5,-$E153*$I153/12*2,IF($J153=6,-$E153*$I153/12*1,0)))))+IF(CZ$5&lt;&gt;$H153,0,IF(CZ153&lt;0,IF($J153=4,-$E153*$I153/12*0,IF($J153=5,-$E153*$I153/12*1,IF($J153=6,-$E153*$I153/12*2,IF($J153&gt;=7,-$E153*$I153/12*3,0))))))</f>
        <v>0</v>
      </c>
      <c r="DC153" s="406">
        <f>IF($H153&lt;&gt;DE$5,0,IF(DE153&lt;0,IF(OR($J153=1,$J153=2,$J153=3,$J153=4,$J153=5,$J153=6,$J153=7),-$E153*$I153/12*3,IF($J153=8,-$E153*$I153/12*2,IF($J153=9,-$E153*$I153/12*1,0)))))+IF(CZ$5&lt;&gt;$H153,0,IF(CZ153&lt;0,IF($J153=7,-$E153*$I153/12*0,IF($J153=8,-$E153*$I153/12*1,IF($J153=9,-$E153*$I153/12*2,IF($J153&gt;=10,-$E153*$I153/12*3,0))))))</f>
        <v>0</v>
      </c>
      <c r="DD153" s="402">
        <f>IF($H153&lt;&gt;DE$5,0,IF(DE153&lt;0,IF(OR($J153=1,$J153=2,$J153=3,$J153=4,$J153=5,$J153=6,$J153=7,$J153=8,$J153=9,$J153=10),-$E153*$I153/12*3,IF($J153=11,-$E153*$I153/12*2,IF($J153=12,-$E153*$I153/12*1,0)))))+IF(CZ$5&lt;&gt;$H153,0,IF(CZ153&lt;0,IF($J153=10,-$E153*$I153/12*0,IF($J153=11,-$E153*$I153/12*1,IF($J153=12,-$E153*$I153/12*2,0)))))</f>
        <v>0</v>
      </c>
      <c r="DE153" s="403">
        <f>IF(AND(CZ153&lt;&gt;0,CZ$5=$H153),-$I153*$E153-CZ153,IF(DE$5=$H153,-$I153*$E153*(12-$J153+1)/12,0))</f>
        <v>0</v>
      </c>
      <c r="DF153" s="400">
        <f>IF($H153&lt;&gt;DJ$5,0,IF(DJ153&lt;0,IF($J153=1,-$E153*$I153/12*3,IF($J153=2,-$E153*$I153/12*2,IF($J153=3,-$E153*$I153/12*1,0)))))+IF(DE$5&lt;&gt;$H153,0,IF(DE153&lt;0,IF($J153=1,-$E153*$I153/12*0,IF($J153=2,-$E153*$I153/12*1,IF($J153=3,-$E153*$I153/12*2,IF($J153&gt;=4,-$E153*$I153/12*3,0))))))</f>
        <v>0</v>
      </c>
      <c r="DG153" s="406">
        <f>IF($H153&lt;&gt;DJ$5,0,IF(DJ153&lt;0,IF(OR($J153=1,$J153=2,$J153=3,$J153=4),-$E153*$I153/12*3,IF($J153=5,-$E153*$I153/12*2,IF($J153=6,-$E153*$I153/12*1,0)))))+IF(DE$5&lt;&gt;$H153,0,IF(DE153&lt;0,IF($J153=4,-$E153*$I153/12*0,IF($J153=5,-$E153*$I153/12*1,IF($J153=6,-$E153*$I153/12*2,IF($J153&gt;=7,-$E153*$I153/12*3,0))))))</f>
        <v>0</v>
      </c>
      <c r="DH153" s="406">
        <f>IF($H153&lt;&gt;DJ$5,0,IF(DJ153&lt;0,IF(OR($J153=1,$J153=2,$J153=3,$J153=4,$J153=5,$J153=6,$J153=7),-$E153*$I153/12*3,IF($J153=8,-$E153*$I153/12*2,IF($J153=9,-$E153*$I153/12*1,0)))))+IF(DE$5&lt;&gt;$H153,0,IF(DE153&lt;0,IF($J153=7,-$E153*$I153/12*0,IF($J153=8,-$E153*$I153/12*1,IF($J153=9,-$E153*$I153/12*2,IF($J153&gt;=10,-$E153*$I153/12*3,0))))))</f>
        <v>0</v>
      </c>
      <c r="DI153" s="402">
        <f>IF($H153&lt;&gt;DJ$5,0,IF(DJ153&lt;0,IF(OR($J153=1,$J153=2,$J153=3,$J153=4,$J153=5,$J153=6,$J153=7,$J153=8,$J153=9,$J153=10),-$E153*$I153/12*3,IF($J153=11,-$E153*$I153/12*2,IF($J153=12,-$E153*$I153/12*1,0)))))+IF(DE$5&lt;&gt;$H153,0,IF(DE153&lt;0,IF($J153=10,-$E153*$I153/12*0,IF($J153=11,-$E153*$I153/12*1,IF($J153=12,-$E153*$I153/12*2,0)))))</f>
        <v>0</v>
      </c>
      <c r="DJ153" s="403">
        <f>IF(AND(DE153&lt;&gt;0,DE$5=$H153),-$I153*$E153-DE153,IF(DJ$5=$H153,-$I153*$E153*(12-$J153+1)/12,0))</f>
        <v>0</v>
      </c>
      <c r="DK153" s="400">
        <f>IF($H153&lt;&gt;DO$5,0,IF(DO153&lt;0,IF($J153=1,-$E153*$I153/12*3,IF($J153=2,-$E153*$I153/12*2,IF($J153=3,-$E153*$I153/12*1,0)))))+IF(DJ$5&lt;&gt;$H153,0,IF(DJ153&lt;0,IF($J153=1,-$E153*$I153/12*0,IF($J153=2,-$E153*$I153/12*1,IF($J153=3,-$E153*$I153/12*2,IF($J153&gt;=4,-$E153*$I153/12*3,0))))))</f>
        <v>0</v>
      </c>
      <c r="DL153" s="406">
        <f>IF($H153&lt;&gt;DO$5,0,IF(DO153&lt;0,IF(OR($J153=1,$J153=2,$J153=3,$J153=4),-$E153*$I153/12*3,IF($J153=5,-$E153*$I153/12*2,IF($J153=6,-$E153*$I153/12*1,0)))))+IF(DJ$5&lt;&gt;$H153,0,IF(DJ153&lt;0,IF($J153=4,-$E153*$I153/12*0,IF($J153=5,-$E153*$I153/12*1,IF($J153=6,-$E153*$I153/12*2,IF($J153&gt;=7,-$E153*$I153/12*3,0))))))</f>
        <v>0</v>
      </c>
      <c r="DM153" s="406">
        <f>IF($H153&lt;&gt;DO$5,0,IF(DO153&lt;0,IF(OR($J153=1,$J153=2,$J153=3,$J153=4,$J153=5,$J153=6,$J153=7),-$E153*$I153/12*3,IF($J153=8,-$E153*$I153/12*2,IF($J153=9,-$E153*$I153/12*1,0)))))+IF(DJ$5&lt;&gt;$H153,0,IF(DJ153&lt;0,IF($J153=7,-$E153*$I153/12*0,IF($J153=8,-$E153*$I153/12*1,IF($J153=9,-$E153*$I153/12*2,IF($J153&gt;=10,-$E153*$I153/12*3,0))))))</f>
        <v>0</v>
      </c>
      <c r="DN153" s="402">
        <f>IF($H153&lt;&gt;DO$5,0,IF(DO153&lt;0,IF(OR($J153=1,$J153=2,$J153=3,$J153=4,$J153=5,$J153=6,$J153=7,$J153=8,$J153=9,$J153=10),-$E153*$I153/12*3,IF($J153=11,-$E153*$I153/12*2,IF($J153=12,-$E153*$I153/12*1,0)))))+IF(DJ$5&lt;&gt;$H153,0,IF(DJ153&lt;0,IF($J153=10,-$E153*$I153/12*0,IF($J153=11,-$E153*$I153/12*1,IF($J153=12,-$E153*$I153/12*2,0)))))</f>
        <v>0</v>
      </c>
      <c r="DO153" s="403">
        <f>IF(AND(DJ153&lt;&gt;0,DJ$5=$H153),-$I153*$E153-DJ153,IF(DO$5=$H153,-$I153*$E153*(12-$J153+1)/12,0))</f>
        <v>0</v>
      </c>
      <c r="DP153" s="400">
        <f>IF($H153&lt;&gt;DT$5,0,IF(DT153&lt;0,IF($J153=1,-$E153*$I153/12*3,IF($J153=2,-$E153*$I153/12*2,IF($J153=3,-$E153*$I153/12*1,0)))))+IF(DO$5&lt;&gt;$H153,0,IF(DO153&lt;0,IF($J153=1,-$E153*$I153/12*0,IF($J153=2,-$E153*$I153/12*1,IF($J153=3,-$E153*$I153/12*2,IF($J153&gt;=4,-$E153*$I153/12*3,0))))))</f>
        <v>0</v>
      </c>
      <c r="DQ153" s="406">
        <f>IF($H153&lt;&gt;DT$5,0,IF(DT153&lt;0,IF(OR($J153=1,$J153=2,$J153=3,$J153=4),-$E153*$I153/12*3,IF($J153=5,-$E153*$I153/12*2,IF($J153=6,-$E153*$I153/12*1,0)))))+IF(DO$5&lt;&gt;$H153,0,IF(DO153&lt;0,IF($J153=4,-$E153*$I153/12*0,IF($J153=5,-$E153*$I153/12*1,IF($J153=6,-$E153*$I153/12*2,IF($J153&gt;=7,-$E153*$I153/12*3,0))))))</f>
        <v>0</v>
      </c>
      <c r="DR153" s="406">
        <f>IF($H153&lt;&gt;DT$5,0,IF(DT153&lt;0,IF(OR($J153=1,$J153=2,$J153=3,$J153=4,$J153=5,$J153=6,$J153=7),-$E153*$I153/12*3,IF($J153=8,-$E153*$I153/12*2,IF($J153=9,-$E153*$I153/12*1,0)))))+IF(DO$5&lt;&gt;$H153,0,IF(DO153&lt;0,IF($J153=7,-$E153*$I153/12*0,IF($J153=8,-$E153*$I153/12*1,IF($J153=9,-$E153*$I153/12*2,IF($J153&gt;=10,-$E153*$I153/12*3,0))))))</f>
        <v>0</v>
      </c>
      <c r="DS153" s="402">
        <f>IF($H153&lt;&gt;DT$5,0,IF(DT153&lt;0,IF(OR($J153=1,$J153=2,$J153=3,$J153=4,$J153=5,$J153=6,$J153=7,$J153=8,$J153=9,$J153=10),-$E153*$I153/12*3,IF($J153=11,-$E153*$I153/12*2,IF($J153=12,-$E153*$I153/12*1,0)))))+IF(DO$5&lt;&gt;$H153,0,IF(DO153&lt;0,IF($J153=10,-$E153*$I153/12*0,IF($J153=11,-$E153*$I153/12*1,IF($J153=12,-$E153*$I153/12*2,0)))))</f>
        <v>0</v>
      </c>
      <c r="DT153" s="403">
        <f>IF(AND(DO153&lt;&gt;0,DO$5=$H153),-$I153*$E153-DO153,IF(DT$5=$H153,-$I153*$E153*(12-$J153+1)/12,0))</f>
        <v>0</v>
      </c>
      <c r="EI153" s="759"/>
    </row>
    <row r="154" spans="1:139" ht="12.75" customHeight="1" x14ac:dyDescent="0.2">
      <c r="C154" s="847" t="s">
        <v>641</v>
      </c>
      <c r="D154" s="52"/>
      <c r="E154" s="530">
        <f>IF(F154=0,G154,F154)</f>
        <v>450</v>
      </c>
      <c r="F154" s="831">
        <v>450</v>
      </c>
      <c r="G154" s="537">
        <v>0</v>
      </c>
      <c r="H154" s="808">
        <v>2047</v>
      </c>
      <c r="I154" s="809">
        <v>3.6999999999999998E-2</v>
      </c>
      <c r="J154" s="810">
        <v>8</v>
      </c>
      <c r="K154" s="392"/>
      <c r="L154" s="393">
        <f>IF(L$5=$H154,$E154,0)</f>
        <v>0</v>
      </c>
      <c r="M154" s="394">
        <f>IF(Q154=0,0,IF(Q154&gt;0,IF($J154=3,Q154,IF($J154=2,Q154,IF($J154=1,Q154,0)))))</f>
        <v>0</v>
      </c>
      <c r="N154" s="395">
        <f>IF(Q154=0,0,IF(Q154&gt;0,IF($J154=6,Q154,IF($J154=5,Q154,IF($J154=4,Q154,0)))))</f>
        <v>0</v>
      </c>
      <c r="O154" s="395">
        <f>IF(Q154=0,0,IF(Q154&gt;0,IF($J154=9,Q154,IF($J154=8,Q154,IF($J154=7,Q154,0)))))</f>
        <v>0</v>
      </c>
      <c r="P154" s="396">
        <f>IF(Q154=0,0,IF(Q154&gt;0,IF($J154=12,Q154,IF($J154=11,Q154,IF($J154=10,Q154,0)))))</f>
        <v>0</v>
      </c>
      <c r="Q154" s="397">
        <f>IF(Q$5=$H154,$E154,0)</f>
        <v>0</v>
      </c>
      <c r="R154" s="394">
        <f>IF(V154=0,0,IF(V154&gt;0,IF($J154=3,V154,IF($J154=2,V154,IF($J154=1,V154,0)))))</f>
        <v>0</v>
      </c>
      <c r="S154" s="395">
        <f>IF(V154=0,0,IF(V154&gt;0,IF($J154=6,V154,IF($J154=5,V154,IF($J154=4,V154,0)))))</f>
        <v>0</v>
      </c>
      <c r="T154" s="395">
        <f>IF(V154=0,0,IF(V154&gt;0,IF($J154=9,V154,IF($J154=8,V154,IF($J154=7,V154,0)))))</f>
        <v>0</v>
      </c>
      <c r="U154" s="396">
        <f>IF(V154=0,0,IF(V154&gt;0,IF($J154=12,V154,IF($J154=11,V154,IF($J154=10,V154,0)))))</f>
        <v>0</v>
      </c>
      <c r="V154" s="397">
        <f>IF(V$5=$H154,$E154,0)</f>
        <v>0</v>
      </c>
      <c r="W154" s="394">
        <f>IF(AA154=0,0,IF(AA154&gt;0,IF($J154=3,AA154,IF($J154=2,AA154,IF($J154=1,AA154,0)))))</f>
        <v>0</v>
      </c>
      <c r="X154" s="395">
        <f>IF(AA154=0,0,IF(AA154&gt;0,IF($J154=6,AA154,IF($J154=5,AA154,IF($J154=4,AA154,0)))))</f>
        <v>0</v>
      </c>
      <c r="Y154" s="395">
        <f>IF(AA154=0,0,IF(AA154&gt;0,IF($J154=9,AA154,IF($J154=8,AA154,IF($J154=7,AA154,0)))))</f>
        <v>0</v>
      </c>
      <c r="Z154" s="396">
        <f>IF(AA154=0,0,IF(AA154&gt;0,IF($J154=12,AA154,IF($J154=11,AA154,IF($J154=10,AA154,0)))))</f>
        <v>0</v>
      </c>
      <c r="AA154" s="397">
        <f>IF(AA$5=$H154,$E154,0)</f>
        <v>0</v>
      </c>
      <c r="AB154" s="394">
        <f>IF(AF154=0,0,IF(AF154&gt;0,IF($J154=3,AF154,IF($J154=2,AF154,IF($J154=1,AF154,0)))))</f>
        <v>0</v>
      </c>
      <c r="AC154" s="395">
        <f>IF(AF154=0,0,IF(AF154&gt;0,IF($J154=6,AF154,IF($J154=5,AF154,IF($J154=4,AF154,0)))))</f>
        <v>0</v>
      </c>
      <c r="AD154" s="395">
        <f>IF(AF154=0,0,IF(AF154&gt;0,IF($J154=9,AF154,IF($J154=8,AF154,IF($J154=7,AF154,0)))))</f>
        <v>0</v>
      </c>
      <c r="AE154" s="396">
        <f>IF(AF154=0,0,IF(AF154&gt;0,IF($J154=12,AF154,IF($J154=11,AF154,IF($J154=10,AF154,0)))))</f>
        <v>0</v>
      </c>
      <c r="AF154" s="397">
        <f>IF(AF$5=$H154,$E154,0)</f>
        <v>0</v>
      </c>
      <c r="AG154" s="394">
        <f>IF(AK154=0,0,IF(AK154&gt;0,IF($J154=3,AK154,IF($J154=2,AK154,IF($J154=1,AK154,0)))))</f>
        <v>0</v>
      </c>
      <c r="AH154" s="395">
        <f>IF(AK154=0,0,IF(AK154&gt;0,IF($J154=6,AK154,IF($J154=5,AK154,IF($J154=4,AK154,0)))))</f>
        <v>0</v>
      </c>
      <c r="AI154" s="395">
        <f>IF(AK154=0,0,IF(AK154&gt;0,IF($J154=9,AK154,IF($J154=8,AK154,IF($J154=7,AK154,0)))))</f>
        <v>0</v>
      </c>
      <c r="AJ154" s="396">
        <f>IF(AK154=0,0,IF(AK154&gt;0,IF($J154=12,AK154,IF($J154=11,AK154,IF($J154=10,AK154,0)))))</f>
        <v>0</v>
      </c>
      <c r="AK154" s="397">
        <f>IF(AK$5=$H154,$E154,0)</f>
        <v>0</v>
      </c>
      <c r="AL154" s="394">
        <f>IF(AP154=0,0,IF(AP154&gt;0,IF($J154=3,AP154,IF($J154=2,AP154,IF($J154=1,AP154,0)))))</f>
        <v>0</v>
      </c>
      <c r="AM154" s="395">
        <f>IF(AP154=0,0,IF(AP154&gt;0,IF($J154=6,AP154,IF($J154=5,AP154,IF($J154=4,AP154,0)))))</f>
        <v>0</v>
      </c>
      <c r="AN154" s="395">
        <f>IF(AP154=0,0,IF(AP154&gt;0,IF($J154=9,AP154,IF($J154=8,AP154,IF($J154=7,AP154,0)))))</f>
        <v>0</v>
      </c>
      <c r="AO154" s="396">
        <f>IF(AP154=0,0,IF(AP154&gt;0,IF($J154=12,AP154,IF($J154=11,AP154,IF($J154=10,AP154,0)))))</f>
        <v>0</v>
      </c>
      <c r="AP154" s="397">
        <f>IF(AP$5=$H154,$E154,0)</f>
        <v>0</v>
      </c>
      <c r="AQ154" s="394">
        <f>IF(AU154=0,0,IF(AU154&gt;0,IF($J154=3,AU154,IF($J154=2,AU154,IF($J154=1,AU154,0)))))</f>
        <v>0</v>
      </c>
      <c r="AR154" s="395">
        <f>IF(AU154=0,0,IF(AU154&gt;0,IF($J154=6,AU154,IF($J154=5,AU154,IF($J154=4,AU154,0)))))</f>
        <v>0</v>
      </c>
      <c r="AS154" s="395">
        <f>IF(AU154=0,0,IF(AU154&gt;0,IF($J154=9,AU154,IF($J154=8,AU154,IF($J154=7,AU154,0)))))</f>
        <v>0</v>
      </c>
      <c r="AT154" s="396">
        <f>IF(AU154=0,0,IF(AU154&gt;0,IF($J154=12,AU154,IF($J154=11,AU154,IF($J154=10,AU154,0)))))</f>
        <v>0</v>
      </c>
      <c r="AU154" s="397">
        <f>IF(AU$5=$H154,$E154,0)</f>
        <v>0</v>
      </c>
      <c r="AV154" s="394">
        <f>IF(AZ154=0,0,IF(AZ154&gt;0,IF($J154=3,AZ154,IF($J154=2,AZ154,IF($J154=1,AZ154,0)))))</f>
        <v>0</v>
      </c>
      <c r="AW154" s="395">
        <f>IF(AZ154=0,0,IF(AZ154&gt;0,IF($J154=6,AZ154,IF($J154=5,AZ154,IF($J154=4,AZ154,0)))))</f>
        <v>0</v>
      </c>
      <c r="AX154" s="395">
        <f>IF(AZ154=0,0,IF(AZ154&gt;0,IF($J154=9,AZ154,IF($J154=8,AZ154,IF($J154=7,AZ154,0)))))</f>
        <v>0</v>
      </c>
      <c r="AY154" s="396">
        <f>IF(AZ154=0,0,IF(AZ154&gt;0,IF($J154=12,AZ154,IF($J154=11,AZ154,IF($J154=10,AZ154,0)))))</f>
        <v>0</v>
      </c>
      <c r="AZ154" s="397">
        <f>IF(AZ$5=$H154,$E154,0)</f>
        <v>0</v>
      </c>
      <c r="BA154" s="394">
        <f>IF(BE154=0,0,IF(BE154&gt;0,IF($J154=3,BE154,IF($J154=2,BE154,IF($J154=1,BE154,0)))))</f>
        <v>0</v>
      </c>
      <c r="BB154" s="395">
        <f>IF(BE154=0,0,IF(BE154&gt;0,IF($J154=6,BE154,IF($J154=5,BE154,IF($J154=4,BE154,0)))))</f>
        <v>0</v>
      </c>
      <c r="BC154" s="395">
        <f>IF(BE154=0,0,IF(BE154&gt;0,IF($J154=9,BE154,IF($J154=8,BE154,IF($J154=7,BE154,0)))))</f>
        <v>0</v>
      </c>
      <c r="BD154" s="396">
        <f>IF(BE154=0,0,IF(BE154&gt;0,IF($J154=12,BE154,IF($J154=11,BE154,IF($J154=10,BE154,0)))))</f>
        <v>0</v>
      </c>
      <c r="BE154" s="397">
        <f>IF(BE$5=$H154,$E154,0)</f>
        <v>0</v>
      </c>
      <c r="BF154" s="394">
        <f>IF(BJ154=0,0,IF(BJ154&gt;0,IF($J154=3,BJ154,IF($J154=2,BJ154,IF($J154=1,BJ154,0)))))</f>
        <v>0</v>
      </c>
      <c r="BG154" s="395">
        <f>IF(BJ154=0,0,IF(BJ154&gt;0,IF($J154=6,BJ154,IF($J154=5,BJ154,IF($J154=4,BJ154,0)))))</f>
        <v>0</v>
      </c>
      <c r="BH154" s="395">
        <f>IF(BJ154=0,0,IF(BJ154&gt;0,IF($J154=9,BJ154,IF($J154=8,BJ154,IF($J154=7,BJ154,0)))))</f>
        <v>0</v>
      </c>
      <c r="BI154" s="396">
        <f>IF(BJ154=0,0,IF(BJ154&gt;0,IF($J154=12,BJ154,IF($J154=11,BJ154,IF($J154=10,BJ154,0)))))</f>
        <v>0</v>
      </c>
      <c r="BJ154" s="397">
        <f>IF(BJ$5=$H154,$E154,0)</f>
        <v>0</v>
      </c>
      <c r="BK154" s="394">
        <f>IF(BO154=0,0,IF(BO154&gt;0,IF($J154=3,BO154,IF($J154=2,BO154,IF($J154=1,BO154,0)))))</f>
        <v>0</v>
      </c>
      <c r="BL154" s="395">
        <f>IF(BO154=0,0,IF(BO154&gt;0,IF($J154=6,BO154,IF($J154=5,BO154,IF($J154=4,BO154,0)))))</f>
        <v>0</v>
      </c>
      <c r="BM154" s="395">
        <f>IF(BO154=0,0,IF(BO154&gt;0,IF($J154=9,BO154,IF($J154=8,BO154,IF($J154=7,BO154,0)))))</f>
        <v>0</v>
      </c>
      <c r="BN154" s="396">
        <f>IF(BO154=0,0,IF(BO154&gt;0,IF($J154=12,BO154,IF($J154=11,BO154,IF($J154=10,BO154,0)))))</f>
        <v>0</v>
      </c>
      <c r="BO154" s="397">
        <f>IF(BO$5=$H154,$E154,0)</f>
        <v>0</v>
      </c>
      <c r="BP154" s="445"/>
      <c r="BQ154" s="399">
        <f>IF(AND(BP154&lt;&gt;0,BP$5=$H154),$I154*$E154-BP154,IF(BQ$5=$H154,$I154*$E154*(12-$J154+1)/12,0))</f>
        <v>0</v>
      </c>
      <c r="BR154" s="400">
        <f>IF($H154&lt;&gt;BV$5,0,IF(BV154&gt;0,IF($J154=1,$E154*$I154/12*3,IF($J154=2,$E154*$I154/12*2,IF($J154=3,$E154*$I154/12*1,0)))))+IF(BQ$5&lt;&gt;$H154,0,IF(BQ154&gt;0,IF($J154=1,$E154*$I154/12*0,IF($J154=2,$E154*$I154/12*1,IF($J154=3,$E154*$I154/12*2,IF($J154&gt;=4,$E154*$I154/12*3,0))))))</f>
        <v>0</v>
      </c>
      <c r="BS154" s="401">
        <f>IF($H154&lt;&gt;BV$5,0,IF(BV154&gt;0,IF(OR($J154=1,$J154=2,$J154=3,$J154=4),$E154*$I154/12*3,IF($J154=5,$E154*$I154/12*2,IF($J154=6,$E154*$I154/12*1,0)))))+IF(BQ$5&lt;&gt;$H154,0,IF(BQ154&gt;0,IF($J154=4,$E154*$I154/12*0,IF($J154=5,$E154*$I154/12*1,IF($J154=6,$E154*$I154/12*2,IF($J154&gt;=7,$E154*$I154/12*3,0))))))</f>
        <v>0</v>
      </c>
      <c r="BT154" s="401">
        <f>IF($H154&lt;&gt;BV$5,0,IF(BV154&gt;0,IF(OR($J154=1,$J154=2,$J154=3,$J154=4,$J154=5,$J154=6,$J154=7),$E154*$I154/12*3,IF($J154=8,$E154*$I154/12*2,IF($J154=9,$E154*$I154/12*1,0)))))+IF(BQ$5&lt;&gt;$H154,0,IF(BQ154&gt;0,IF($J154=7,$E154*$I154/12*0,IF($J154=8,$E154*$I154/12*1,IF($J154=9,$E154*$I154/12*2,IF($J154&gt;=10,$E154*$I154/12*3,0))))))</f>
        <v>0</v>
      </c>
      <c r="BU154" s="402">
        <f>IF($H154&lt;&gt;BV$5,0,IF(BV154&gt;0,IF(OR($J154=1,$J154=2,$J154=3,$J154=4,$J154=5,$J154=6,$J154=7,$J154=8,$J154=9,$J154=10),$E154*$I154/12*3,IF($J154=11,$E154*$I154/12*2,IF($J154=12,$E154*$I154/12*1,0)))))+IF(BQ$5&lt;&gt;$H154,0,IF(BQ154&gt;0,IF($J154=10,$E154*$I154/12*0,IF($J154=11,$E154*$I154/12*1,IF($J154=12,$E154*$I154/12*2,0)))))</f>
        <v>0</v>
      </c>
      <c r="BV154" s="403">
        <f>IF(AND(BQ154&lt;&gt;0,BQ$5=$H154),$I154*$E154-BQ154,IF(BV$5=$H154,$I154*$E154*(12-$J154+1)/12,0))</f>
        <v>0</v>
      </c>
      <c r="BW154" s="400">
        <f>IF($H154&lt;&gt;CA$5,0,IF(CA154&gt;0,IF($J154=1,$E154*$I154/12*3,IF($J154=2,$E154*$I154/12*2,IF($J154=3,$E154*$I154/12*1,0)))))+IF(BV$5&lt;&gt;$H154,0,IF(BV154&gt;0,IF($J154=1,$E154*$I154/12*0,IF($J154=2,$E154*$I154/12*1,IF($J154=3,$E154*$I154/12*2,IF($J154&gt;=4,$E154*$I154/12*3,0))))))</f>
        <v>0</v>
      </c>
      <c r="BX154" s="401">
        <f>IF($H154&lt;&gt;CA$5,0,IF(CA154&gt;0,IF(OR($J154=1,$J154=2,$J154=3,$J154=4),$E154*$I154/12*3,IF($J154=5,$E154*$I154/12*2,IF($J154=6,$E154*$I154/12*1,0)))))+IF(BV$5&lt;&gt;$H154,0,IF(BV154&gt;0,IF($J154=4,$E154*$I154/12*0,IF($J154=5,$E154*$I154/12*1,IF($J154=6,$E154*$I154/12*2,IF($J154&gt;=7,$E154*$I154/12*3,0))))))</f>
        <v>0</v>
      </c>
      <c r="BY154" s="401">
        <f>IF($H154&lt;&gt;CA$5,0,IF(CA154&gt;0,IF(OR($J154=1,$J154=2,$J154=3,$J154=4,$J154=5,$J154=6,$J154=7),$E154*$I154/12*3,IF($J154=8,$E154*$I154/12*2,IF($J154=9,$E154*$I154/12*1,0)))))+IF(BV$5&lt;&gt;$H154,0,IF(BV154&gt;0,IF($J154=7,$E154*$I154/12*0,IF($J154=8,$E154*$I154/12*1,IF($J154=9,$E154*$I154/12*2,IF($J154&gt;=10,$E154*$I154/12*3,0))))))</f>
        <v>0</v>
      </c>
      <c r="BZ154" s="402">
        <f>IF($H154&lt;&gt;CA$5,0,IF(CA154&gt;0,IF(OR($J154=1,$J154=2,$J154=3,$J154=4,$J154=5,$J154=6,$J154=7,$J154=8,$J154=9,$J154=10),$E154*$I154/12*3,IF($J154=11,$E154*$I154/12*2,IF($J154=12,$E154*$I154/12*1,0)))))+IF(BV$5&lt;&gt;$H154,0,IF(BV154&gt;0,IF($J154=10,$E154*$I154/12*0,IF($J154=11,$E154*$I154/12*1,IF($J154=12,$E154*$I154/12*2,0)))))</f>
        <v>0</v>
      </c>
      <c r="CA154" s="403">
        <f>IF(AND(BV154&lt;&gt;0,BV$5=$H154),$I154*$E154-BV154,IF(CA$5=$H154,$I154*$E154*(12-$J154+1)/12,0))</f>
        <v>0</v>
      </c>
      <c r="CB154" s="400">
        <f>IF($H154&lt;&gt;CF$5,0,IF(CF154&gt;0,IF($J154=1,$E154*$I154/12*3,IF($J154=2,$E154*$I154/12*2,IF($J154=3,$E154*$I154/12*1,0)))))+IF(CA$5&lt;&gt;$H154,0,IF(CA154&gt;0,IF($J154=1,$E154*$I154/12*0,IF($J154=2,$E154*$I154/12*1,IF($J154=3,$E154*$I154/12*2,IF($J154&gt;=4,$E154*$I154/12*3,0))))))</f>
        <v>0</v>
      </c>
      <c r="CC154" s="401">
        <f>IF($H154&lt;&gt;CF$5,0,IF(CF154&gt;0,IF(OR($J154=1,$J154=2,$J154=3,$J154=4),$E154*$I154/12*3,IF($J154=5,$E154*$I154/12*2,IF($J154=6,$E154*$I154/12*1,0)))))+IF(CA$5&lt;&gt;$H154,0,IF(CA154&gt;0,IF($J154=4,$E154*$I154/12*0,IF($J154=5,$E154*$I154/12*1,IF($J154=6,$E154*$I154/12*2,IF($J154&gt;=7,$E154*$I154/12*3,0))))))</f>
        <v>0</v>
      </c>
      <c r="CD154" s="401">
        <f>IF($H154&lt;&gt;CF$5,0,IF(CF154&gt;0,IF(OR($J154=1,$J154=2,$J154=3,$J154=4,$J154=5,$J154=6,$J154=7),$E154*$I154/12*3,IF($J154=8,$E154*$I154/12*2,IF($J154=9,$E154*$I154/12*1,0)))))+IF(CA$5&lt;&gt;$H154,0,IF(CA154&gt;0,IF($J154=7,$E154*$I154/12*0,IF($J154=8,$E154*$I154/12*1,IF($J154=9,$E154*$I154/12*2,IF($J154&gt;=10,$E154*$I154/12*3,0))))))</f>
        <v>0</v>
      </c>
      <c r="CE154" s="402">
        <f>IF($H154&lt;&gt;CF$5,0,IF(CF154&gt;0,IF(OR($J154=1,$J154=2,$J154=3,$J154=4,$J154=5,$J154=6,$J154=7,$J154=8,$J154=9,$J154=10),$E154*$I154/12*3,IF($J154=11,$E154*$I154/12*2,IF($J154=12,$E154*$I154/12*1,0)))))+IF(CA$5&lt;&gt;$H154,0,IF(CA154&gt;0,IF($J154=10,$E154*$I154/12*0,IF($J154=11,$E154*$I154/12*1,IF($J154=12,$E154*$I154/12*2,0)))))</f>
        <v>0</v>
      </c>
      <c r="CF154" s="403">
        <f>IF(AND(CA154&lt;&gt;0,CA$5=$H154),$I154*$E154-CA154,IF(CF$5=$H154,$I154*$E154*(12-$J154+1)/12,0))</f>
        <v>0</v>
      </c>
      <c r="CG154" s="400">
        <f>IF($H154&lt;&gt;CK$5,0,IF(CK154&gt;0,IF($J154=1,$E154*$I154/12*3,IF($J154=2,$E154*$I154/12*2,IF($J154=3,$E154*$I154/12*1,0)))))+IF(CF$5&lt;&gt;$H154,0,IF(CF154&gt;0,IF($J154=1,$E154*$I154/12*0,IF($J154=2,$E154*$I154/12*1,IF($J154=3,$E154*$I154/12*2,IF($J154&gt;=4,$E154*$I154/12*3,0))))))</f>
        <v>0</v>
      </c>
      <c r="CH154" s="401">
        <f>IF($H154&lt;&gt;CK$5,0,IF(CK154&gt;0,IF(OR($J154=1,$J154=2,$J154=3,$J154=4),$E154*$I154/12*3,IF($J154=5,$E154*$I154/12*2,IF($J154=6,$E154*$I154/12*1,0)))))+IF(CF$5&lt;&gt;$H154,0,IF(CF154&gt;0,IF($J154=4,$E154*$I154/12*0,IF($J154=5,$E154*$I154/12*1,IF($J154=6,$E154*$I154/12*2,IF($J154&gt;=7,$E154*$I154/12*3,0))))))</f>
        <v>0</v>
      </c>
      <c r="CI154" s="401">
        <f>IF($H154&lt;&gt;CK$5,0,IF(CK154&gt;0,IF(OR($J154=1,$J154=2,$J154=3,$J154=4,$J154=5,$J154=6,$J154=7),$E154*$I154/12*3,IF($J154=8,$E154*$I154/12*2,IF($J154=9,$E154*$I154/12*1,0)))))+IF(CF$5&lt;&gt;$H154,0,IF(CF154&gt;0,IF($J154=7,$E154*$I154/12*0,IF($J154=8,$E154*$I154/12*1,IF($J154=9,$E154*$I154/12*2,IF($J154&gt;=10,$E154*$I154/12*3,0))))))</f>
        <v>0</v>
      </c>
      <c r="CJ154" s="402">
        <f>IF($H154&lt;&gt;CK$5,0,IF(CK154&gt;0,IF(OR($J154=1,$J154=2,$J154=3,$J154=4,$J154=5,$J154=6,$J154=7,$J154=8,$J154=9,$J154=10),$E154*$I154/12*3,IF($J154=11,$E154*$I154/12*2,IF($J154=12,$E154*$I154/12*1,0)))))+IF(CF$5&lt;&gt;$H154,0,IF(CF154&gt;0,IF($J154=10,$E154*$I154/12*0,IF($J154=11,$E154*$I154/12*1,IF($J154=12,$E154*$I154/12*2,0)))))</f>
        <v>0</v>
      </c>
      <c r="CK154" s="403">
        <f>IF(AND(CF154&lt;&gt;0,CF$5=$H154),$I154*$E154-CF154,IF(CK$5=$H154,$I154*$E154*(12-$J154+1)/12,0))</f>
        <v>0</v>
      </c>
      <c r="CL154" s="400">
        <f>IF($H154&lt;&gt;CP$5,0,IF(CP154&gt;0,IF($J154=1,$E154*$I154/12*3,IF($J154=2,$E154*$I154/12*2,IF($J154=3,$E154*$I154/12*1,0)))))+IF(CK$5&lt;&gt;$H154,0,IF(CK154&gt;0,IF($J154=1,$E154*$I154/12*0,IF($J154=2,$E154*$I154/12*1,IF($J154=3,$E154*$I154/12*2,IF($J154&gt;=4,$E154*$I154/12*3,0))))))</f>
        <v>0</v>
      </c>
      <c r="CM154" s="401">
        <f>IF($H154&lt;&gt;CP$5,0,IF(CP154&gt;0,IF(OR($J154=1,$J154=2,$J154=3,$J154=4),$E154*$I154/12*3,IF($J154=5,$E154*$I154/12*2,IF($J154=6,$E154*$I154/12*1,0)))))+IF(CK$5&lt;&gt;$H154,0,IF(CK154&gt;0,IF($J154=4,$E154*$I154/12*0,IF($J154=5,$E154*$I154/12*1,IF($J154=6,$E154*$I154/12*2,IF($J154&gt;=7,$E154*$I154/12*3,0))))))</f>
        <v>0</v>
      </c>
      <c r="CN154" s="401">
        <f>IF($H154&lt;&gt;CP$5,0,IF(CP154&gt;0,IF(OR($J154=1,$J154=2,$J154=3,$J154=4,$J154=5,$J154=6,$J154=7),$E154*$I154/12*3,IF($J154=8,$E154*$I154/12*2,IF($J154=9,$E154*$I154/12*1,0)))))+IF(CK$5&lt;&gt;$H154,0,IF(CK154&gt;0,IF($J154=7,$E154*$I154/12*0,IF($J154=8,$E154*$I154/12*1,IF($J154=9,$E154*$I154/12*2,IF($J154&gt;=10,$E154*$I154/12*3,0))))))</f>
        <v>0</v>
      </c>
      <c r="CO154" s="402">
        <f>IF($H154&lt;&gt;CP$5,0,IF(CP154&gt;0,IF(OR($J154=1,$J154=2,$J154=3,$J154=4,$J154=5,$J154=6,$J154=7,$J154=8,$J154=9,$J154=10),$E154*$I154/12*3,IF($J154=11,$E154*$I154/12*2,IF($J154=12,$E154*$I154/12*1,0)))))+IF(CK$5&lt;&gt;$H154,0,IF(CK154&gt;0,IF($J154=10,$E154*$I154/12*0,IF($J154=11,$E154*$I154/12*1,IF($J154=12,$E154*$I154/12*2,0)))))</f>
        <v>0</v>
      </c>
      <c r="CP154" s="403">
        <f>IF(AND(CK154&lt;&gt;0,CK$5=$H154),$I154*$E154-CK154,IF(CP$5=$H154,$I154*$E154*(12-$J154+1)/12,0))</f>
        <v>0</v>
      </c>
      <c r="CQ154" s="400">
        <f>IF($H154&lt;&gt;CU$5,0,IF(CU154&gt;0,IF($J154=1,$E154*$I154/12*3,IF($J154=2,$E154*$I154/12*2,IF($J154=3,$E154*$I154/12*1,0)))))+IF(CP$5&lt;&gt;$H154,0,IF(CP154&gt;0,IF($J154=1,$E154*$I154/12*0,IF($J154=2,$E154*$I154/12*1,IF($J154=3,$E154*$I154/12*2,IF($J154&gt;=4,$E154*$I154/12*3,0))))))</f>
        <v>0</v>
      </c>
      <c r="CR154" s="401">
        <f>IF($H154&lt;&gt;CU$5,0,IF(CU154&gt;0,IF(OR($J154=1,$J154=2,$J154=3,$J154=4),$E154*$I154/12*3,IF($J154=5,$E154*$I154/12*2,IF($J154=6,$E154*$I154/12*1,0)))))+IF(CP$5&lt;&gt;$H154,0,IF(CP154&gt;0,IF($J154=4,$E154*$I154/12*0,IF($J154=5,$E154*$I154/12*1,IF($J154=6,$E154*$I154/12*2,IF($J154&gt;=7,$E154*$I154/12*3,0))))))</f>
        <v>0</v>
      </c>
      <c r="CS154" s="401">
        <f>IF($H154&lt;&gt;CU$5,0,IF(CU154&gt;0,IF(OR($J154=1,$J154=2,$J154=3,$J154=4,$J154=5,$J154=6,$J154=7),$E154*$I154/12*3,IF($J154=8,$E154*$I154/12*2,IF($J154=9,$E154*$I154/12*1,0)))))+IF(CP$5&lt;&gt;$H154,0,IF(CP154&gt;0,IF($J154=7,$E154*$I154/12*0,IF($J154=8,$E154*$I154/12*1,IF($J154=9,$E154*$I154/12*2,IF($J154&gt;=10,$E154*$I154/12*3,0))))))</f>
        <v>0</v>
      </c>
      <c r="CT154" s="402">
        <f>IF($H154&lt;&gt;CU$5,0,IF(CU154&gt;0,IF(OR($J154=1,$J154=2,$J154=3,$J154=4,$J154=5,$J154=6,$J154=7,$J154=8,$J154=9,$J154=10),$E154*$I154/12*3,IF($J154=11,$E154*$I154/12*2,IF($J154=12,$E154*$I154/12*1,0)))))+IF(CP$5&lt;&gt;$H154,0,IF(CP154&gt;0,IF($J154=10,$E154*$I154/12*0,IF($J154=11,$E154*$I154/12*1,IF($J154=12,$E154*$I154/12*2,0)))))</f>
        <v>0</v>
      </c>
      <c r="CU154" s="403">
        <f>IF(AND(CP154&lt;&gt;0,CP$5=$H154),$I154*$E154-CP154,IF(CU$5=$H154,$I154*$E154*(12-$J154+1)/12,0))</f>
        <v>0</v>
      </c>
      <c r="CV154" s="400">
        <f>IF($H154&lt;&gt;CZ$5,0,IF(CZ154&gt;0,IF($J154=1,$E154*$I154/12*3,IF($J154=2,$E154*$I154/12*2,IF($J154=3,$E154*$I154/12*1,0)))))+IF(CU$5&lt;&gt;$H154,0,IF(CU154&gt;0,IF($J154=1,$E154*$I154/12*0,IF($J154=2,$E154*$I154/12*1,IF($J154=3,$E154*$I154/12*2,IF($J154&gt;=4,$E154*$I154/12*3,0))))))</f>
        <v>0</v>
      </c>
      <c r="CW154" s="401">
        <f>IF($H154&lt;&gt;CZ$5,0,IF(CZ154&gt;0,IF(OR($J154=1,$J154=2,$J154=3,$J154=4),$E154*$I154/12*3,IF($J154=5,$E154*$I154/12*2,IF($J154=6,$E154*$I154/12*1,0)))))+IF(CU$5&lt;&gt;$H154,0,IF(CU154&gt;0,IF($J154=4,$E154*$I154/12*0,IF($J154=5,$E154*$I154/12*1,IF($J154=6,$E154*$I154/12*2,IF($J154&gt;=7,$E154*$I154/12*3,0))))))</f>
        <v>0</v>
      </c>
      <c r="CX154" s="401">
        <f>IF($H154&lt;&gt;CZ$5,0,IF(CZ154&gt;0,IF(OR($J154=1,$J154=2,$J154=3,$J154=4,$J154=5,$J154=6,$J154=7),$E154*$I154/12*3,IF($J154=8,$E154*$I154/12*2,IF($J154=9,$E154*$I154/12*1,0)))))+IF(CU$5&lt;&gt;$H154,0,IF(CU154&gt;0,IF($J154=7,$E154*$I154/12*0,IF($J154=8,$E154*$I154/12*1,IF($J154=9,$E154*$I154/12*2,IF($J154&gt;=10,$E154*$I154/12*3,0))))))</f>
        <v>0</v>
      </c>
      <c r="CY154" s="402">
        <f>IF($H154&lt;&gt;CZ$5,0,IF(CZ154&gt;0,IF(OR($J154=1,$J154=2,$J154=3,$J154=4,$J154=5,$J154=6,$J154=7,$J154=8,$J154=9,$J154=10),$E154*$I154/12*3,IF($J154=11,$E154*$I154/12*2,IF($J154=12,$E154*$I154/12*1,0)))))+IF(CU$5&lt;&gt;$H154,0,IF(CU154&gt;0,IF($J154=10,$E154*$I154/12*0,IF($J154=11,$E154*$I154/12*1,IF($J154=12,$E154*$I154/12*2,0)))))</f>
        <v>0</v>
      </c>
      <c r="CZ154" s="403">
        <f>IF(AND(CU154&lt;&gt;0,CU$5=$H154),$I154*$E154-CU154,IF(CZ$5=$H154,$I154*$E154*(12-$J154+1)/12,0))</f>
        <v>0</v>
      </c>
      <c r="DA154" s="400">
        <f>IF($H154&lt;&gt;DE$5,0,IF(DE154&gt;0,IF($J154=1,$E154*$I154/12*3,IF($J154=2,$E154*$I154/12*2,IF($J154=3,$E154*$I154/12*1,0)))))+IF(CZ$5&lt;&gt;$H154,0,IF(CZ154&gt;0,IF($J154=1,$E154*$I154/12*0,IF($J154=2,$E154*$I154/12*1,IF($J154=3,$E154*$I154/12*2,IF($J154&gt;=4,$E154*$I154/12*3,0))))))</f>
        <v>0</v>
      </c>
      <c r="DB154" s="401">
        <f>IF($H154&lt;&gt;DE$5,0,IF(DE154&gt;0,IF(OR($J154=1,$J154=2,$J154=3,$J154=4),$E154*$I154/12*3,IF($J154=5,$E154*$I154/12*2,IF($J154=6,$E154*$I154/12*1,0)))))+IF(CZ$5&lt;&gt;$H154,0,IF(CZ154&gt;0,IF($J154=4,$E154*$I154/12*0,IF($J154=5,$E154*$I154/12*1,IF($J154=6,$E154*$I154/12*2,IF($J154&gt;=7,$E154*$I154/12*3,0))))))</f>
        <v>0</v>
      </c>
      <c r="DC154" s="401">
        <f>IF($H154&lt;&gt;DE$5,0,IF(DE154&gt;0,IF(OR($J154=1,$J154=2,$J154=3,$J154=4,$J154=5,$J154=6,$J154=7),$E154*$I154/12*3,IF($J154=8,$E154*$I154/12*2,IF($J154=9,$E154*$I154/12*1,0)))))+IF(CZ$5&lt;&gt;$H154,0,IF(CZ154&gt;0,IF($J154=7,$E154*$I154/12*0,IF($J154=8,$E154*$I154/12*1,IF($J154=9,$E154*$I154/12*2,IF($J154&gt;=10,$E154*$I154/12*3,0))))))</f>
        <v>0</v>
      </c>
      <c r="DD154" s="402">
        <f>IF($H154&lt;&gt;DE$5,0,IF(DE154&gt;0,IF(OR($J154=1,$J154=2,$J154=3,$J154=4,$J154=5,$J154=6,$J154=7,$J154=8,$J154=9,$J154=10),$E154*$I154/12*3,IF($J154=11,$E154*$I154/12*2,IF($J154=12,$E154*$I154/12*1,0)))))+IF(CZ$5&lt;&gt;$H154,0,IF(CZ154&gt;0,IF($J154=10,$E154*$I154/12*0,IF($J154=11,$E154*$I154/12*1,IF($J154=12,$E154*$I154/12*2,0)))))</f>
        <v>0</v>
      </c>
      <c r="DE154" s="403">
        <f>IF(AND(CZ154&lt;&gt;0,CZ$5=$H154),$I154*$E154-CZ154,IF(DE$5=$H154,$I154*$E154*(12-$J154+1)/12,0))</f>
        <v>0</v>
      </c>
      <c r="DF154" s="400">
        <f>IF($H154&lt;&gt;DJ$5,0,IF(DJ154&gt;0,IF($J154=1,$E154*$I154/12*3,IF($J154=2,$E154*$I154/12*2,IF($J154=3,$E154*$I154/12*1,0)))))+IF(DE$5&lt;&gt;$H154,0,IF(DE154&gt;0,IF($J154=1,$E154*$I154/12*0,IF($J154=2,$E154*$I154/12*1,IF($J154=3,$E154*$I154/12*2,IF($J154&gt;=4,$E154*$I154/12*3,0))))))</f>
        <v>0</v>
      </c>
      <c r="DG154" s="401">
        <f>IF($H154&lt;&gt;DJ$5,0,IF(DJ154&gt;0,IF(OR($J154=1,$J154=2,$J154=3,$J154=4),$E154*$I154/12*3,IF($J154=5,$E154*$I154/12*2,IF($J154=6,$E154*$I154/12*1,0)))))+IF(DE$5&lt;&gt;$H154,0,IF(DE154&gt;0,IF($J154=4,$E154*$I154/12*0,IF($J154=5,$E154*$I154/12*1,IF($J154=6,$E154*$I154/12*2,IF($J154&gt;=7,$E154*$I154/12*3,0))))))</f>
        <v>0</v>
      </c>
      <c r="DH154" s="401">
        <f>IF($H154&lt;&gt;DJ$5,0,IF(DJ154&gt;0,IF(OR($J154=1,$J154=2,$J154=3,$J154=4,$J154=5,$J154=6,$J154=7),$E154*$I154/12*3,IF($J154=8,$E154*$I154/12*2,IF($J154=9,$E154*$I154/12*1,0)))))+IF(DE$5&lt;&gt;$H154,0,IF(DE154&gt;0,IF($J154=7,$E154*$I154/12*0,IF($J154=8,$E154*$I154/12*1,IF($J154=9,$E154*$I154/12*2,IF($J154&gt;=10,$E154*$I154/12*3,0))))))</f>
        <v>0</v>
      </c>
      <c r="DI154" s="402">
        <f>IF($H154&lt;&gt;DJ$5,0,IF(DJ154&gt;0,IF(OR($J154=1,$J154=2,$J154=3,$J154=4,$J154=5,$J154=6,$J154=7,$J154=8,$J154=9,$J154=10),$E154*$I154/12*3,IF($J154=11,$E154*$I154/12*2,IF($J154=12,$E154*$I154/12*1,0)))))+IF(DE$5&lt;&gt;$H154,0,IF(DE154&gt;0,IF($J154=10,$E154*$I154/12*0,IF($J154=11,$E154*$I154/12*1,IF($J154=12,$E154*$I154/12*2,0)))))</f>
        <v>0</v>
      </c>
      <c r="DJ154" s="403">
        <f>IF(AND(DE154&lt;&gt;0,DE$5=$H154),$I154*$E154-DE154,IF(DJ$5=$H154,$I154*$E154*(12-$J154+1)/12,0))</f>
        <v>0</v>
      </c>
      <c r="DK154" s="400">
        <f>IF($H154&lt;&gt;DO$5,0,IF(DO154&gt;0,IF($J154=1,$E154*$I154/12*3,IF($J154=2,$E154*$I154/12*2,IF($J154=3,$E154*$I154/12*1,0)))))+IF(DJ$5&lt;&gt;$H154,0,IF(DJ154&gt;0,IF($J154=1,$E154*$I154/12*0,IF($J154=2,$E154*$I154/12*1,IF($J154=3,$E154*$I154/12*2,IF($J154&gt;=4,$E154*$I154/12*3,0))))))</f>
        <v>0</v>
      </c>
      <c r="DL154" s="401">
        <f>IF($H154&lt;&gt;DO$5,0,IF(DO154&gt;0,IF(OR($J154=1,$J154=2,$J154=3,$J154=4),$E154*$I154/12*3,IF($J154=5,$E154*$I154/12*2,IF($J154=6,$E154*$I154/12*1,0)))))+IF(DJ$5&lt;&gt;$H154,0,IF(DJ154&gt;0,IF($J154=4,$E154*$I154/12*0,IF($J154=5,$E154*$I154/12*1,IF($J154=6,$E154*$I154/12*2,IF($J154&gt;=7,$E154*$I154/12*3,0))))))</f>
        <v>0</v>
      </c>
      <c r="DM154" s="401">
        <f>IF($H154&lt;&gt;DO$5,0,IF(DO154&gt;0,IF(OR($J154=1,$J154=2,$J154=3,$J154=4,$J154=5,$J154=6,$J154=7),$E154*$I154/12*3,IF($J154=8,$E154*$I154/12*2,IF($J154=9,$E154*$I154/12*1,0)))))+IF(DJ$5&lt;&gt;$H154,0,IF(DJ154&gt;0,IF($J154=7,$E154*$I154/12*0,IF($J154=8,$E154*$I154/12*1,IF($J154=9,$E154*$I154/12*2,IF($J154&gt;=10,$E154*$I154/12*3,0))))))</f>
        <v>0</v>
      </c>
      <c r="DN154" s="402">
        <f>IF($H154&lt;&gt;DO$5,0,IF(DO154&gt;0,IF(OR($J154=1,$J154=2,$J154=3,$J154=4,$J154=5,$J154=6,$J154=7,$J154=8,$J154=9,$J154=10),$E154*$I154/12*3,IF($J154=11,$E154*$I154/12*2,IF($J154=12,$E154*$I154/12*1,0)))))+IF(DJ$5&lt;&gt;$H154,0,IF(DJ154&gt;0,IF($J154=10,$E154*$I154/12*0,IF($J154=11,$E154*$I154/12*1,IF($J154=12,$E154*$I154/12*2,0)))))</f>
        <v>0</v>
      </c>
      <c r="DO154" s="403">
        <f>IF(AND(DJ154&lt;&gt;0,DJ$5=$H154),$I154*$E154-DJ154,IF(DO$5=$H154,$I154*$E154*(12-$J154+1)/12,0))</f>
        <v>0</v>
      </c>
      <c r="DP154" s="400">
        <f>IF($H154&lt;&gt;DT$5,0,IF(DT154&gt;0,IF($J154=1,$E154*$I154/12*3,IF($J154=2,$E154*$I154/12*2,IF($J154=3,$E154*$I154/12*1,0)))))+IF(DO$5&lt;&gt;$H154,0,IF(DO154&gt;0,IF($J154=1,$E154*$I154/12*0,IF($J154=2,$E154*$I154/12*1,IF($J154=3,$E154*$I154/12*2,IF($J154&gt;=4,$E154*$I154/12*3,0))))))</f>
        <v>0</v>
      </c>
      <c r="DQ154" s="401">
        <f>IF($H154&lt;&gt;DT$5,0,IF(DT154&gt;0,IF(OR($J154=1,$J154=2,$J154=3,$J154=4),$E154*$I154/12*3,IF($J154=5,$E154*$I154/12*2,IF($J154=6,$E154*$I154/12*1,0)))))+IF(DO$5&lt;&gt;$H154,0,IF(DO154&gt;0,IF($J154=4,$E154*$I154/12*0,IF($J154=5,$E154*$I154/12*1,IF($J154=6,$E154*$I154/12*2,IF($J154&gt;=7,$E154*$I154/12*3,0))))))</f>
        <v>0</v>
      </c>
      <c r="DR154" s="401">
        <f>IF($H154&lt;&gt;DT$5,0,IF(DT154&gt;0,IF(OR($J154=1,$J154=2,$J154=3,$J154=4,$J154=5,$J154=6,$J154=7),$E154*$I154/12*3,IF($J154=8,$E154*$I154/12*2,IF($J154=9,$E154*$I154/12*1,0)))))+IF(DO$5&lt;&gt;$H154,0,IF(DO154&gt;0,IF($J154=7,$E154*$I154/12*0,IF($J154=8,$E154*$I154/12*1,IF($J154=9,$E154*$I154/12*2,IF($J154&gt;=10,$E154*$I154/12*3,0))))))</f>
        <v>0</v>
      </c>
      <c r="DS154" s="402">
        <f>IF($H154&lt;&gt;DT$5,0,IF(DT154&gt;0,IF(OR($J154=1,$J154=2,$J154=3,$J154=4,$J154=5,$J154=6,$J154=7,$J154=8,$J154=9,$J154=10),$E154*$I154/12*3,IF($J154=11,$E154*$I154/12*2,IF($J154=12,$E154*$I154/12*1,0)))))+IF(DO$5&lt;&gt;$H154,0,IF(DO154&gt;0,IF($J154=10,$E154*$I154/12*0,IF($J154=11,$E154*$I154/12*1,IF($J154=12,$E154*$I154/12*2,0)))))</f>
        <v>0</v>
      </c>
      <c r="DT154" s="403">
        <f>IF(AND(DO154&lt;&gt;0,DO$5=$H154),$I154*$E154-DO154,IF(DT$5=$H154,$I154*$E154*(12-$J154+1)/12,0))</f>
        <v>0</v>
      </c>
    </row>
    <row r="155" spans="1:139" ht="12.75" customHeight="1" x14ac:dyDescent="0.2">
      <c r="C155" s="453"/>
      <c r="D155" s="453"/>
      <c r="E155" s="533"/>
      <c r="F155" s="538"/>
      <c r="G155" s="538"/>
      <c r="H155" s="577"/>
      <c r="I155" s="504"/>
      <c r="J155" s="497"/>
      <c r="K155" s="411"/>
      <c r="L155" s="412"/>
      <c r="M155" s="413"/>
      <c r="N155" s="414"/>
      <c r="O155" s="414"/>
      <c r="P155" s="415"/>
      <c r="Q155" s="412"/>
      <c r="R155" s="413"/>
      <c r="S155" s="414"/>
      <c r="T155" s="414"/>
      <c r="U155" s="415"/>
      <c r="V155" s="412"/>
      <c r="W155" s="413"/>
      <c r="X155" s="414"/>
      <c r="Y155" s="414"/>
      <c r="Z155" s="415"/>
      <c r="AA155" s="412"/>
      <c r="AB155" s="413"/>
      <c r="AC155" s="414"/>
      <c r="AD155" s="414"/>
      <c r="AE155" s="415"/>
      <c r="AF155" s="412"/>
      <c r="AG155" s="413"/>
      <c r="AH155" s="414"/>
      <c r="AI155" s="414"/>
      <c r="AJ155" s="415"/>
      <c r="AK155" s="412"/>
      <c r="AL155" s="413"/>
      <c r="AM155" s="414"/>
      <c r="AN155" s="414"/>
      <c r="AO155" s="415"/>
      <c r="AP155" s="412"/>
      <c r="AQ155" s="413"/>
      <c r="AR155" s="414"/>
      <c r="AS155" s="414"/>
      <c r="AT155" s="415"/>
      <c r="AU155" s="412"/>
      <c r="AV155" s="413"/>
      <c r="AW155" s="414"/>
      <c r="AX155" s="414"/>
      <c r="AY155" s="415"/>
      <c r="AZ155" s="412"/>
      <c r="BA155" s="413"/>
      <c r="BB155" s="414"/>
      <c r="BC155" s="414"/>
      <c r="BD155" s="415"/>
      <c r="BE155" s="412"/>
      <c r="BF155" s="413"/>
      <c r="BG155" s="414"/>
      <c r="BH155" s="414"/>
      <c r="BI155" s="415"/>
      <c r="BJ155" s="412"/>
      <c r="BK155" s="413"/>
      <c r="BL155" s="414"/>
      <c r="BM155" s="414"/>
      <c r="BN155" s="415"/>
      <c r="BO155" s="412"/>
      <c r="BP155" s="458"/>
      <c r="BQ155" s="417"/>
      <c r="BR155" s="418"/>
      <c r="BS155" s="419"/>
      <c r="BT155" s="419"/>
      <c r="BU155" s="420"/>
      <c r="BV155" s="417"/>
      <c r="BW155" s="418"/>
      <c r="BX155" s="419"/>
      <c r="BY155" s="419"/>
      <c r="BZ155" s="420"/>
      <c r="CA155" s="417"/>
      <c r="CB155" s="418"/>
      <c r="CC155" s="419"/>
      <c r="CD155" s="419"/>
      <c r="CE155" s="420"/>
      <c r="CF155" s="417"/>
      <c r="CG155" s="418"/>
      <c r="CH155" s="419"/>
      <c r="CI155" s="419"/>
      <c r="CJ155" s="420"/>
      <c r="CK155" s="417"/>
      <c r="CL155" s="418"/>
      <c r="CM155" s="419"/>
      <c r="CN155" s="419"/>
      <c r="CO155" s="420"/>
      <c r="CP155" s="417"/>
      <c r="CQ155" s="418"/>
      <c r="CR155" s="419"/>
      <c r="CS155" s="419"/>
      <c r="CT155" s="420"/>
      <c r="CU155" s="417"/>
      <c r="CV155" s="418"/>
      <c r="CW155" s="419"/>
      <c r="CX155" s="419"/>
      <c r="CY155" s="420"/>
      <c r="CZ155" s="417"/>
      <c r="DA155" s="418"/>
      <c r="DB155" s="419"/>
      <c r="DC155" s="419"/>
      <c r="DD155" s="420"/>
      <c r="DE155" s="417"/>
      <c r="DF155" s="418"/>
      <c r="DG155" s="419"/>
      <c r="DH155" s="419"/>
      <c r="DI155" s="420"/>
      <c r="DJ155" s="417"/>
      <c r="DK155" s="418"/>
      <c r="DL155" s="419"/>
      <c r="DM155" s="419"/>
      <c r="DN155" s="420"/>
      <c r="DO155" s="417"/>
      <c r="DP155" s="418"/>
      <c r="DQ155" s="419"/>
      <c r="DR155" s="419"/>
      <c r="DS155" s="420"/>
      <c r="DT155" s="417"/>
    </row>
    <row r="156" spans="1:139" ht="12.75" customHeight="1" x14ac:dyDescent="0.2">
      <c r="A156" s="26"/>
      <c r="B156" s="26"/>
      <c r="C156" s="141" t="s">
        <v>170</v>
      </c>
      <c r="D156" s="141"/>
      <c r="E156" s="535">
        <f>SUM(E147:E155)</f>
        <v>2100</v>
      </c>
      <c r="F156" s="705">
        <f>SUM(F147:F155)</f>
        <v>1850</v>
      </c>
      <c r="G156" s="705">
        <f>SUM(G147:G155)</f>
        <v>1650</v>
      </c>
      <c r="H156" s="584"/>
      <c r="I156" s="460"/>
      <c r="J156" s="461"/>
      <c r="K156" s="462"/>
      <c r="L156" s="424">
        <f t="shared" ref="L156:AQ156" si="1209">SUM(L147:L155)</f>
        <v>0</v>
      </c>
      <c r="M156" s="425">
        <f t="shared" si="1209"/>
        <v>0</v>
      </c>
      <c r="N156" s="426">
        <f t="shared" si="1209"/>
        <v>0</v>
      </c>
      <c r="O156" s="426">
        <f t="shared" si="1209"/>
        <v>0</v>
      </c>
      <c r="P156" s="427">
        <f t="shared" si="1209"/>
        <v>0</v>
      </c>
      <c r="Q156" s="424">
        <f t="shared" si="1209"/>
        <v>0</v>
      </c>
      <c r="R156" s="425">
        <f t="shared" si="1209"/>
        <v>0</v>
      </c>
      <c r="S156" s="426">
        <f t="shared" si="1209"/>
        <v>0</v>
      </c>
      <c r="T156" s="426">
        <f t="shared" si="1209"/>
        <v>0</v>
      </c>
      <c r="U156" s="427">
        <f t="shared" si="1209"/>
        <v>0</v>
      </c>
      <c r="V156" s="424">
        <f t="shared" si="1209"/>
        <v>0</v>
      </c>
      <c r="W156" s="425">
        <f t="shared" si="1209"/>
        <v>0</v>
      </c>
      <c r="X156" s="426">
        <f t="shared" si="1209"/>
        <v>0</v>
      </c>
      <c r="Y156" s="426">
        <f t="shared" si="1209"/>
        <v>0</v>
      </c>
      <c r="Z156" s="427">
        <f t="shared" si="1209"/>
        <v>0</v>
      </c>
      <c r="AA156" s="424">
        <f t="shared" si="1209"/>
        <v>0</v>
      </c>
      <c r="AB156" s="425">
        <f t="shared" si="1209"/>
        <v>0</v>
      </c>
      <c r="AC156" s="426">
        <f t="shared" si="1209"/>
        <v>0</v>
      </c>
      <c r="AD156" s="426">
        <f t="shared" si="1209"/>
        <v>0</v>
      </c>
      <c r="AE156" s="427">
        <f t="shared" si="1209"/>
        <v>0</v>
      </c>
      <c r="AF156" s="424">
        <f t="shared" si="1209"/>
        <v>0</v>
      </c>
      <c r="AG156" s="425">
        <f t="shared" si="1209"/>
        <v>0</v>
      </c>
      <c r="AH156" s="426">
        <f t="shared" si="1209"/>
        <v>0</v>
      </c>
      <c r="AI156" s="426">
        <f t="shared" si="1209"/>
        <v>0</v>
      </c>
      <c r="AJ156" s="427">
        <f t="shared" si="1209"/>
        <v>0</v>
      </c>
      <c r="AK156" s="424">
        <f t="shared" si="1209"/>
        <v>0</v>
      </c>
      <c r="AL156" s="425">
        <f t="shared" si="1209"/>
        <v>0</v>
      </c>
      <c r="AM156" s="426">
        <f t="shared" si="1209"/>
        <v>0</v>
      </c>
      <c r="AN156" s="426">
        <f t="shared" si="1209"/>
        <v>0</v>
      </c>
      <c r="AO156" s="427">
        <f t="shared" si="1209"/>
        <v>0</v>
      </c>
      <c r="AP156" s="424">
        <f t="shared" si="1209"/>
        <v>0</v>
      </c>
      <c r="AQ156" s="425">
        <f t="shared" si="1209"/>
        <v>0</v>
      </c>
      <c r="AR156" s="426">
        <f t="shared" ref="AR156:BJ156" si="1210">SUM(AR147:AR155)</f>
        <v>0</v>
      </c>
      <c r="AS156" s="426">
        <f t="shared" si="1210"/>
        <v>-250</v>
      </c>
      <c r="AT156" s="427">
        <f t="shared" si="1210"/>
        <v>0</v>
      </c>
      <c r="AU156" s="424">
        <f t="shared" si="1210"/>
        <v>-250</v>
      </c>
      <c r="AV156" s="425">
        <f t="shared" si="1210"/>
        <v>0</v>
      </c>
      <c r="AW156" s="426">
        <f t="shared" si="1210"/>
        <v>0</v>
      </c>
      <c r="AX156" s="426">
        <f t="shared" si="1210"/>
        <v>0</v>
      </c>
      <c r="AY156" s="427">
        <f t="shared" si="1210"/>
        <v>0</v>
      </c>
      <c r="AZ156" s="424">
        <f t="shared" si="1210"/>
        <v>0</v>
      </c>
      <c r="BA156" s="425">
        <f t="shared" si="1210"/>
        <v>0</v>
      </c>
      <c r="BB156" s="426">
        <f t="shared" si="1210"/>
        <v>0</v>
      </c>
      <c r="BC156" s="426">
        <f t="shared" si="1210"/>
        <v>0</v>
      </c>
      <c r="BD156" s="427">
        <f t="shared" si="1210"/>
        <v>0</v>
      </c>
      <c r="BE156" s="424">
        <f t="shared" si="1210"/>
        <v>0</v>
      </c>
      <c r="BF156" s="425">
        <f t="shared" si="1210"/>
        <v>0</v>
      </c>
      <c r="BG156" s="426">
        <f t="shared" si="1210"/>
        <v>0</v>
      </c>
      <c r="BH156" s="426">
        <f t="shared" si="1210"/>
        <v>0</v>
      </c>
      <c r="BI156" s="427">
        <f t="shared" si="1210"/>
        <v>0</v>
      </c>
      <c r="BJ156" s="424">
        <f t="shared" si="1210"/>
        <v>0</v>
      </c>
      <c r="BK156" s="425">
        <f t="shared" ref="BK156:BO156" si="1211">SUM(BK147:BK155)</f>
        <v>0</v>
      </c>
      <c r="BL156" s="426">
        <f t="shared" si="1211"/>
        <v>0</v>
      </c>
      <c r="BM156" s="426">
        <f t="shared" si="1211"/>
        <v>0</v>
      </c>
      <c r="BN156" s="427">
        <f t="shared" si="1211"/>
        <v>0</v>
      </c>
      <c r="BO156" s="424">
        <f t="shared" si="1211"/>
        <v>0</v>
      </c>
      <c r="BP156" s="463"/>
      <c r="BQ156" s="429">
        <f t="shared" ref="BQ156:CV156" si="1212">SUM(BQ147:BQ155)</f>
        <v>0</v>
      </c>
      <c r="BR156" s="430">
        <f t="shared" si="1212"/>
        <v>0</v>
      </c>
      <c r="BS156" s="431">
        <f t="shared" si="1212"/>
        <v>0</v>
      </c>
      <c r="BT156" s="431">
        <f t="shared" si="1212"/>
        <v>0</v>
      </c>
      <c r="BU156" s="432">
        <f t="shared" si="1212"/>
        <v>0</v>
      </c>
      <c r="BV156" s="429">
        <f t="shared" si="1212"/>
        <v>0</v>
      </c>
      <c r="BW156" s="430">
        <f t="shared" si="1212"/>
        <v>0</v>
      </c>
      <c r="BX156" s="431">
        <f t="shared" si="1212"/>
        <v>0</v>
      </c>
      <c r="BY156" s="431">
        <f t="shared" si="1212"/>
        <v>0</v>
      </c>
      <c r="BZ156" s="432">
        <f t="shared" si="1212"/>
        <v>0</v>
      </c>
      <c r="CA156" s="429">
        <f t="shared" si="1212"/>
        <v>0</v>
      </c>
      <c r="CB156" s="430">
        <f t="shared" si="1212"/>
        <v>0</v>
      </c>
      <c r="CC156" s="431">
        <f t="shared" si="1212"/>
        <v>0</v>
      </c>
      <c r="CD156" s="431">
        <f t="shared" si="1212"/>
        <v>0</v>
      </c>
      <c r="CE156" s="432">
        <f t="shared" si="1212"/>
        <v>0</v>
      </c>
      <c r="CF156" s="429">
        <f t="shared" si="1212"/>
        <v>0</v>
      </c>
      <c r="CG156" s="430">
        <f t="shared" si="1212"/>
        <v>0</v>
      </c>
      <c r="CH156" s="431">
        <f t="shared" si="1212"/>
        <v>0</v>
      </c>
      <c r="CI156" s="431">
        <f t="shared" si="1212"/>
        <v>0</v>
      </c>
      <c r="CJ156" s="432">
        <f t="shared" si="1212"/>
        <v>0</v>
      </c>
      <c r="CK156" s="429">
        <f t="shared" si="1212"/>
        <v>0</v>
      </c>
      <c r="CL156" s="430">
        <f t="shared" si="1212"/>
        <v>0</v>
      </c>
      <c r="CM156" s="431">
        <f t="shared" si="1212"/>
        <v>0</v>
      </c>
      <c r="CN156" s="431">
        <f t="shared" si="1212"/>
        <v>0</v>
      </c>
      <c r="CO156" s="432">
        <f t="shared" si="1212"/>
        <v>0</v>
      </c>
      <c r="CP156" s="429">
        <f t="shared" si="1212"/>
        <v>0</v>
      </c>
      <c r="CQ156" s="430">
        <f t="shared" si="1212"/>
        <v>0</v>
      </c>
      <c r="CR156" s="431">
        <f t="shared" si="1212"/>
        <v>0</v>
      </c>
      <c r="CS156" s="431">
        <f t="shared" si="1212"/>
        <v>0</v>
      </c>
      <c r="CT156" s="432">
        <f t="shared" si="1212"/>
        <v>0</v>
      </c>
      <c r="CU156" s="429">
        <f t="shared" si="1212"/>
        <v>0</v>
      </c>
      <c r="CV156" s="430">
        <f t="shared" si="1212"/>
        <v>0</v>
      </c>
      <c r="CW156" s="431">
        <f t="shared" ref="CW156:DO156" si="1213">SUM(CW147:CW155)</f>
        <v>0</v>
      </c>
      <c r="CX156" s="431">
        <f t="shared" si="1213"/>
        <v>-3.6458333333333335</v>
      </c>
      <c r="CY156" s="432">
        <f t="shared" si="1213"/>
        <v>-5.46875</v>
      </c>
      <c r="CZ156" s="429">
        <f t="shared" si="1213"/>
        <v>-9.1145833333333339</v>
      </c>
      <c r="DA156" s="430">
        <f t="shared" si="1213"/>
        <v>-5.46875</v>
      </c>
      <c r="DB156" s="431">
        <f t="shared" si="1213"/>
        <v>-5.46875</v>
      </c>
      <c r="DC156" s="431">
        <f t="shared" si="1213"/>
        <v>-1.8229166666666667</v>
      </c>
      <c r="DD156" s="432">
        <f t="shared" si="1213"/>
        <v>0</v>
      </c>
      <c r="DE156" s="429">
        <f t="shared" si="1213"/>
        <v>-12.760416666666666</v>
      </c>
      <c r="DF156" s="430">
        <f t="shared" si="1213"/>
        <v>0</v>
      </c>
      <c r="DG156" s="431">
        <f t="shared" si="1213"/>
        <v>0</v>
      </c>
      <c r="DH156" s="431">
        <f t="shared" si="1213"/>
        <v>0</v>
      </c>
      <c r="DI156" s="432">
        <f t="shared" si="1213"/>
        <v>0</v>
      </c>
      <c r="DJ156" s="429">
        <f t="shared" si="1213"/>
        <v>0</v>
      </c>
      <c r="DK156" s="430">
        <f t="shared" si="1213"/>
        <v>0</v>
      </c>
      <c r="DL156" s="431">
        <f t="shared" si="1213"/>
        <v>0</v>
      </c>
      <c r="DM156" s="431">
        <f t="shared" si="1213"/>
        <v>0</v>
      </c>
      <c r="DN156" s="432">
        <f t="shared" si="1213"/>
        <v>0</v>
      </c>
      <c r="DO156" s="429">
        <f t="shared" si="1213"/>
        <v>0</v>
      </c>
      <c r="DP156" s="430">
        <f t="shared" ref="DP156:DT156" si="1214">SUM(DP147:DP155)</f>
        <v>0</v>
      </c>
      <c r="DQ156" s="431">
        <f t="shared" si="1214"/>
        <v>0</v>
      </c>
      <c r="DR156" s="431">
        <f t="shared" si="1214"/>
        <v>0</v>
      </c>
      <c r="DS156" s="432">
        <f t="shared" si="1214"/>
        <v>0</v>
      </c>
      <c r="DT156" s="429">
        <f t="shared" si="1214"/>
        <v>0</v>
      </c>
    </row>
    <row r="157" spans="1:139" ht="12.75" customHeight="1" x14ac:dyDescent="0.2">
      <c r="C157" s="464"/>
      <c r="D157" s="464"/>
      <c r="E157" s="530"/>
      <c r="F157" s="537"/>
      <c r="G157" s="537"/>
      <c r="H157" s="449"/>
      <c r="I157" s="465"/>
      <c r="J157" s="466" t="s">
        <v>315</v>
      </c>
      <c r="K157" s="392"/>
      <c r="L157" s="393"/>
      <c r="M157" s="394"/>
      <c r="N157" s="395"/>
      <c r="O157" s="395"/>
      <c r="P157" s="396"/>
      <c r="Q157" s="397"/>
      <c r="R157" s="394"/>
      <c r="S157" s="395"/>
      <c r="T157" s="395"/>
      <c r="U157" s="396"/>
      <c r="V157" s="397"/>
      <c r="W157" s="394"/>
      <c r="X157" s="395"/>
      <c r="Y157" s="395"/>
      <c r="Z157" s="396"/>
      <c r="AA157" s="397"/>
      <c r="AB157" s="394"/>
      <c r="AC157" s="395"/>
      <c r="AD157" s="395"/>
      <c r="AE157" s="396"/>
      <c r="AF157" s="397"/>
      <c r="AG157" s="394"/>
      <c r="AH157" s="395"/>
      <c r="AI157" s="395"/>
      <c r="AJ157" s="396"/>
      <c r="AK157" s="397"/>
      <c r="AL157" s="394"/>
      <c r="AM157" s="395"/>
      <c r="AN157" s="395"/>
      <c r="AO157" s="396"/>
      <c r="AP157" s="397"/>
      <c r="AQ157" s="394"/>
      <c r="AR157" s="395"/>
      <c r="AS157" s="395"/>
      <c r="AT157" s="396"/>
      <c r="AU157" s="397"/>
      <c r="AV157" s="394"/>
      <c r="AW157" s="395"/>
      <c r="AX157" s="395"/>
      <c r="AY157" s="396"/>
      <c r="AZ157" s="397"/>
      <c r="BA157" s="394"/>
      <c r="BB157" s="395"/>
      <c r="BC157" s="395"/>
      <c r="BD157" s="396"/>
      <c r="BE157" s="397"/>
      <c r="BF157" s="394"/>
      <c r="BG157" s="395"/>
      <c r="BH157" s="395"/>
      <c r="BI157" s="396"/>
      <c r="BJ157" s="397"/>
      <c r="BK157" s="394"/>
      <c r="BL157" s="395"/>
      <c r="BM157" s="395"/>
      <c r="BN157" s="396"/>
      <c r="BO157" s="397"/>
      <c r="BP157" s="452"/>
      <c r="BQ157" s="399"/>
      <c r="BR157" s="400"/>
      <c r="BS157" s="401"/>
      <c r="BT157" s="401"/>
      <c r="BU157" s="402"/>
      <c r="BV157" s="403"/>
      <c r="BW157" s="400"/>
      <c r="BX157" s="401"/>
      <c r="BY157" s="401"/>
      <c r="BZ157" s="402"/>
      <c r="CA157" s="403"/>
      <c r="CB157" s="400"/>
      <c r="CC157" s="401"/>
      <c r="CD157" s="401"/>
      <c r="CE157" s="402"/>
      <c r="CF157" s="403"/>
      <c r="CG157" s="400"/>
      <c r="CH157" s="401"/>
      <c r="CI157" s="401"/>
      <c r="CJ157" s="402"/>
      <c r="CK157" s="403"/>
      <c r="CL157" s="400"/>
      <c r="CM157" s="401"/>
      <c r="CN157" s="401"/>
      <c r="CO157" s="402"/>
      <c r="CP157" s="403"/>
      <c r="CQ157" s="400"/>
      <c r="CR157" s="401"/>
      <c r="CS157" s="401"/>
      <c r="CT157" s="402"/>
      <c r="CU157" s="403"/>
      <c r="CV157" s="400"/>
      <c r="CW157" s="401"/>
      <c r="CX157" s="401"/>
      <c r="CY157" s="402"/>
      <c r="CZ157" s="403"/>
      <c r="DA157" s="400"/>
      <c r="DB157" s="401"/>
      <c r="DC157" s="401"/>
      <c r="DD157" s="402"/>
      <c r="DE157" s="403"/>
      <c r="DF157" s="400"/>
      <c r="DG157" s="401"/>
      <c r="DH157" s="401"/>
      <c r="DI157" s="402"/>
      <c r="DJ157" s="403"/>
      <c r="DK157" s="400"/>
      <c r="DL157" s="401"/>
      <c r="DM157" s="401"/>
      <c r="DN157" s="402"/>
      <c r="DO157" s="403"/>
      <c r="DP157" s="400"/>
      <c r="DQ157" s="401"/>
      <c r="DR157" s="401"/>
      <c r="DS157" s="402"/>
      <c r="DT157" s="403"/>
    </row>
    <row r="158" spans="1:139" ht="12.75" customHeight="1" x14ac:dyDescent="0.2">
      <c r="C158" s="467" t="s">
        <v>330</v>
      </c>
      <c r="D158" s="467"/>
      <c r="E158" s="530"/>
      <c r="F158" s="537"/>
      <c r="G158" s="537"/>
      <c r="H158" s="580"/>
      <c r="I158" s="390"/>
      <c r="J158" s="391"/>
      <c r="K158" s="392"/>
      <c r="L158" s="393"/>
      <c r="M158" s="394"/>
      <c r="N158" s="395"/>
      <c r="O158" s="395"/>
      <c r="P158" s="396"/>
      <c r="Q158" s="397"/>
      <c r="R158" s="394"/>
      <c r="S158" s="395"/>
      <c r="T158" s="395"/>
      <c r="U158" s="396"/>
      <c r="V158" s="397"/>
      <c r="W158" s="394"/>
      <c r="X158" s="395"/>
      <c r="Y158" s="395"/>
      <c r="Z158" s="396"/>
      <c r="AA158" s="397"/>
      <c r="AB158" s="394"/>
      <c r="AC158" s="395"/>
      <c r="AD158" s="395"/>
      <c r="AE158" s="396"/>
      <c r="AF158" s="397"/>
      <c r="AG158" s="394"/>
      <c r="AH158" s="395"/>
      <c r="AI158" s="395"/>
      <c r="AJ158" s="396"/>
      <c r="AK158" s="397"/>
      <c r="AL158" s="394"/>
      <c r="AM158" s="395"/>
      <c r="AN158" s="395"/>
      <c r="AO158" s="396"/>
      <c r="AP158" s="397"/>
      <c r="AQ158" s="394"/>
      <c r="AR158" s="395"/>
      <c r="AS158" s="395"/>
      <c r="AT158" s="396"/>
      <c r="AU158" s="397"/>
      <c r="AV158" s="394"/>
      <c r="AW158" s="395"/>
      <c r="AX158" s="395"/>
      <c r="AY158" s="396"/>
      <c r="AZ158" s="397"/>
      <c r="BA158" s="394"/>
      <c r="BB158" s="395"/>
      <c r="BC158" s="395"/>
      <c r="BD158" s="396"/>
      <c r="BE158" s="397"/>
      <c r="BF158" s="394"/>
      <c r="BG158" s="395"/>
      <c r="BH158" s="395"/>
      <c r="BI158" s="396"/>
      <c r="BJ158" s="397"/>
      <c r="BK158" s="394"/>
      <c r="BL158" s="395"/>
      <c r="BM158" s="395"/>
      <c r="BN158" s="396"/>
      <c r="BO158" s="397"/>
      <c r="BP158" s="445"/>
      <c r="BQ158" s="399"/>
      <c r="BR158" s="400"/>
      <c r="BS158" s="401"/>
      <c r="BT158" s="401"/>
      <c r="BU158" s="402"/>
      <c r="BV158" s="403"/>
      <c r="BW158" s="400"/>
      <c r="BX158" s="401"/>
      <c r="BY158" s="401"/>
      <c r="BZ158" s="402"/>
      <c r="CA158" s="403"/>
      <c r="CB158" s="400"/>
      <c r="CC158" s="401"/>
      <c r="CD158" s="401"/>
      <c r="CE158" s="402"/>
      <c r="CF158" s="403"/>
      <c r="CG158" s="400"/>
      <c r="CH158" s="401"/>
      <c r="CI158" s="401"/>
      <c r="CJ158" s="402"/>
      <c r="CK158" s="403"/>
      <c r="CL158" s="400"/>
      <c r="CM158" s="401"/>
      <c r="CN158" s="401"/>
      <c r="CO158" s="402"/>
      <c r="CP158" s="403"/>
      <c r="CQ158" s="400"/>
      <c r="CR158" s="401"/>
      <c r="CS158" s="401"/>
      <c r="CT158" s="402"/>
      <c r="CU158" s="403"/>
      <c r="CV158" s="400"/>
      <c r="CW158" s="401"/>
      <c r="CX158" s="401"/>
      <c r="CY158" s="402"/>
      <c r="CZ158" s="403"/>
      <c r="DA158" s="400"/>
      <c r="DB158" s="401"/>
      <c r="DC158" s="401"/>
      <c r="DD158" s="402"/>
      <c r="DE158" s="403"/>
      <c r="DF158" s="400"/>
      <c r="DG158" s="401"/>
      <c r="DH158" s="401"/>
      <c r="DI158" s="402"/>
      <c r="DJ158" s="403"/>
      <c r="DK158" s="400"/>
      <c r="DL158" s="401"/>
      <c r="DM158" s="401"/>
      <c r="DN158" s="402"/>
      <c r="DO158" s="403"/>
      <c r="DP158" s="400"/>
      <c r="DQ158" s="401"/>
      <c r="DR158" s="401"/>
      <c r="DS158" s="402"/>
      <c r="DT158" s="403"/>
    </row>
    <row r="159" spans="1:139" ht="12.75" customHeight="1" x14ac:dyDescent="0.2">
      <c r="C159" s="806" t="s">
        <v>643</v>
      </c>
      <c r="D159" s="52"/>
      <c r="E159" s="831">
        <v>450</v>
      </c>
      <c r="F159" s="537"/>
      <c r="G159" s="537"/>
      <c r="H159" s="808">
        <v>2017</v>
      </c>
      <c r="I159" s="809">
        <v>3.6999999999999998E-2</v>
      </c>
      <c r="J159" s="810">
        <v>8</v>
      </c>
      <c r="K159" s="392"/>
      <c r="L159" s="393">
        <f t="shared" ref="L159:L163" si="1215">IF(L$5=$H159,$E159,0)</f>
        <v>0</v>
      </c>
      <c r="M159" s="394">
        <f t="shared" ref="M159:M162" si="1216">IF(Q159=0,0,IF(Q159&gt;0,IF($J159=3,Q159,IF($J159=2,Q159,IF($J159=1,Q159,0)))))</f>
        <v>0</v>
      </c>
      <c r="N159" s="395">
        <f t="shared" ref="N159:N162" si="1217">IF(Q159=0,0,IF(Q159&gt;0,IF($J159=6,Q159,IF($J159=5,Q159,IF($J159=4,Q159,0)))))</f>
        <v>0</v>
      </c>
      <c r="O159" s="395">
        <f t="shared" ref="O159:O162" si="1218">IF(Q159=0,0,IF(Q159&gt;0,IF($J159=9,Q159,IF($J159=8,Q159,IF($J159=7,Q159,0)))))</f>
        <v>0</v>
      </c>
      <c r="P159" s="396">
        <f t="shared" ref="P159:P162" si="1219">IF(Q159=0,0,IF(Q159&gt;0,IF($J159=12,Q159,IF($J159=11,Q159,IF($J159=10,Q159,0)))))</f>
        <v>0</v>
      </c>
      <c r="Q159" s="397">
        <f t="shared" ref="Q159:Q163" si="1220">IF(Q$5=$H159,$E159,0)</f>
        <v>0</v>
      </c>
      <c r="R159" s="394">
        <f t="shared" ref="R159:R162" si="1221">IF(V159=0,0,IF(V159&gt;0,IF($J159=3,V159,IF($J159=2,V159,IF($J159=1,V159,0)))))</f>
        <v>0</v>
      </c>
      <c r="S159" s="395">
        <f t="shared" ref="S159:S162" si="1222">IF(V159=0,0,IF(V159&gt;0,IF($J159=6,V159,IF($J159=5,V159,IF($J159=4,V159,0)))))</f>
        <v>0</v>
      </c>
      <c r="T159" s="395">
        <f t="shared" ref="T159:T162" si="1223">IF(V159=0,0,IF(V159&gt;0,IF($J159=9,V159,IF($J159=8,V159,IF($J159=7,V159,0)))))</f>
        <v>0</v>
      </c>
      <c r="U159" s="396">
        <f t="shared" ref="U159:U162" si="1224">IF(V159=0,0,IF(V159&gt;0,IF($J159=12,V159,IF($J159=11,V159,IF($J159=10,V159,0)))))</f>
        <v>0</v>
      </c>
      <c r="V159" s="397">
        <f t="shared" ref="V159:V163" si="1225">IF(V$5=$H159,$E159,0)</f>
        <v>0</v>
      </c>
      <c r="W159" s="394">
        <f t="shared" ref="W159:W162" si="1226">IF(AA159=0,0,IF(AA159&gt;0,IF($J159=3,AA159,IF($J159=2,AA159,IF($J159=1,AA159,0)))))</f>
        <v>0</v>
      </c>
      <c r="X159" s="395">
        <f t="shared" ref="X159:X162" si="1227">IF(AA159=0,0,IF(AA159&gt;0,IF($J159=6,AA159,IF($J159=5,AA159,IF($J159=4,AA159,0)))))</f>
        <v>0</v>
      </c>
      <c r="Y159" s="395">
        <f t="shared" ref="Y159:Y162" si="1228">IF(AA159=0,0,IF(AA159&gt;0,IF($J159=9,AA159,IF($J159=8,AA159,IF($J159=7,AA159,0)))))</f>
        <v>0</v>
      </c>
      <c r="Z159" s="396">
        <f t="shared" ref="Z159:Z162" si="1229">IF(AA159=0,0,IF(AA159&gt;0,IF($J159=12,AA159,IF($J159=11,AA159,IF($J159=10,AA159,0)))))</f>
        <v>0</v>
      </c>
      <c r="AA159" s="397">
        <f t="shared" ref="AA159:AA163" si="1230">IF(AA$5=$H159,$E159,0)</f>
        <v>0</v>
      </c>
      <c r="AB159" s="394">
        <f t="shared" ref="AB159:AB162" si="1231">IF(AF159=0,0,IF(AF159&gt;0,IF($J159=3,AF159,IF($J159=2,AF159,IF($J159=1,AF159,0)))))</f>
        <v>0</v>
      </c>
      <c r="AC159" s="395">
        <f t="shared" ref="AC159:AC162" si="1232">IF(AF159=0,0,IF(AF159&gt;0,IF($J159=6,AF159,IF($J159=5,AF159,IF($J159=4,AF159,0)))))</f>
        <v>0</v>
      </c>
      <c r="AD159" s="395">
        <f t="shared" ref="AD159:AD162" si="1233">IF(AF159=0,0,IF(AF159&gt;0,IF($J159=9,AF159,IF($J159=8,AF159,IF($J159=7,AF159,0)))))</f>
        <v>0</v>
      </c>
      <c r="AE159" s="396">
        <f t="shared" ref="AE159:AE162" si="1234">IF(AF159=0,0,IF(AF159&gt;0,IF($J159=12,AF159,IF($J159=11,AF159,IF($J159=10,AF159,0)))))</f>
        <v>0</v>
      </c>
      <c r="AF159" s="397">
        <f t="shared" ref="AF159:AF163" si="1235">IF(AF$5=$H159,$E159,0)</f>
        <v>0</v>
      </c>
      <c r="AG159" s="394">
        <f t="shared" ref="AG159:AG162" si="1236">IF(AK159=0,0,IF(AK159&gt;0,IF($J159=3,AK159,IF($J159=2,AK159,IF($J159=1,AK159,0)))))</f>
        <v>0</v>
      </c>
      <c r="AH159" s="395">
        <f t="shared" ref="AH159:AH162" si="1237">IF(AK159=0,0,IF(AK159&gt;0,IF($J159=6,AK159,IF($J159=5,AK159,IF($J159=4,AK159,0)))))</f>
        <v>0</v>
      </c>
      <c r="AI159" s="395">
        <f t="shared" ref="AI159:AI162" si="1238">IF(AK159=0,0,IF(AK159&gt;0,IF($J159=9,AK159,IF($J159=8,AK159,IF($J159=7,AK159,0)))))</f>
        <v>0</v>
      </c>
      <c r="AJ159" s="396">
        <f t="shared" ref="AJ159:AJ162" si="1239">IF(AK159=0,0,IF(AK159&gt;0,IF($J159=12,AK159,IF($J159=11,AK159,IF($J159=10,AK159,0)))))</f>
        <v>0</v>
      </c>
      <c r="AK159" s="397">
        <f t="shared" ref="AK159:AK163" si="1240">IF(AK$5=$H159,$E159,0)</f>
        <v>0</v>
      </c>
      <c r="AL159" s="394">
        <f t="shared" ref="AL159:AL162" si="1241">IF(AP159=0,0,IF(AP159&gt;0,IF($J159=3,AP159,IF($J159=2,AP159,IF($J159=1,AP159,0)))))</f>
        <v>0</v>
      </c>
      <c r="AM159" s="395">
        <f t="shared" ref="AM159:AM162" si="1242">IF(AP159=0,0,IF(AP159&gt;0,IF($J159=6,AP159,IF($J159=5,AP159,IF($J159=4,AP159,0)))))</f>
        <v>0</v>
      </c>
      <c r="AN159" s="395">
        <f t="shared" ref="AN159:AN162" si="1243">IF(AP159=0,0,IF(AP159&gt;0,IF($J159=9,AP159,IF($J159=8,AP159,IF($J159=7,AP159,0)))))</f>
        <v>0</v>
      </c>
      <c r="AO159" s="396">
        <f t="shared" ref="AO159:AO162" si="1244">IF(AP159=0,0,IF(AP159&gt;0,IF($J159=12,AP159,IF($J159=11,AP159,IF($J159=10,AP159,0)))))</f>
        <v>0</v>
      </c>
      <c r="AP159" s="397">
        <f t="shared" ref="AP159:AP163" si="1245">IF(AP$5=$H159,$E159,0)</f>
        <v>0</v>
      </c>
      <c r="AQ159" s="394">
        <f t="shared" ref="AQ159:AQ162" si="1246">IF(AU159=0,0,IF(AU159&gt;0,IF($J159=3,AU159,IF($J159=2,AU159,IF($J159=1,AU159,0)))))</f>
        <v>0</v>
      </c>
      <c r="AR159" s="395">
        <f t="shared" ref="AR159:AR162" si="1247">IF(AU159=0,0,IF(AU159&gt;0,IF($J159=6,AU159,IF($J159=5,AU159,IF($J159=4,AU159,0)))))</f>
        <v>0</v>
      </c>
      <c r="AS159" s="395">
        <f t="shared" ref="AS159:AS162" si="1248">IF(AU159=0,0,IF(AU159&gt;0,IF($J159=9,AU159,IF($J159=8,AU159,IF($J159=7,AU159,0)))))</f>
        <v>450</v>
      </c>
      <c r="AT159" s="396">
        <f t="shared" ref="AT159:AT162" si="1249">IF(AU159=0,0,IF(AU159&gt;0,IF($J159=12,AU159,IF($J159=11,AU159,IF($J159=10,AU159,0)))))</f>
        <v>0</v>
      </c>
      <c r="AU159" s="397">
        <f t="shared" ref="AU159:AU163" si="1250">IF(AU$5=$H159,$E159,0)</f>
        <v>450</v>
      </c>
      <c r="AV159" s="394">
        <f t="shared" ref="AV159:AV162" si="1251">IF(AZ159=0,0,IF(AZ159&gt;0,IF($J159=3,AZ159,IF($J159=2,AZ159,IF($J159=1,AZ159,0)))))</f>
        <v>0</v>
      </c>
      <c r="AW159" s="395">
        <f t="shared" ref="AW159:AW162" si="1252">IF(AZ159=0,0,IF(AZ159&gt;0,IF($J159=6,AZ159,IF($J159=5,AZ159,IF($J159=4,AZ159,0)))))</f>
        <v>0</v>
      </c>
      <c r="AX159" s="395">
        <f t="shared" ref="AX159:AX162" si="1253">IF(AZ159=0,0,IF(AZ159&gt;0,IF($J159=9,AZ159,IF($J159=8,AZ159,IF($J159=7,AZ159,0)))))</f>
        <v>0</v>
      </c>
      <c r="AY159" s="396">
        <f t="shared" ref="AY159:AY162" si="1254">IF(AZ159=0,0,IF(AZ159&gt;0,IF($J159=12,AZ159,IF($J159=11,AZ159,IF($J159=10,AZ159,0)))))</f>
        <v>0</v>
      </c>
      <c r="AZ159" s="397">
        <f t="shared" ref="AZ159:AZ163" si="1255">IF(AZ$5=$H159,$E159,0)</f>
        <v>0</v>
      </c>
      <c r="BA159" s="394">
        <f t="shared" ref="BA159:BA162" si="1256">IF(BE159=0,0,IF(BE159&gt;0,IF($J159=3,BE159,IF($J159=2,BE159,IF($J159=1,BE159,0)))))</f>
        <v>0</v>
      </c>
      <c r="BB159" s="395">
        <f t="shared" ref="BB159:BB162" si="1257">IF(BE159=0,0,IF(BE159&gt;0,IF($J159=6,BE159,IF($J159=5,BE159,IF($J159=4,BE159,0)))))</f>
        <v>0</v>
      </c>
      <c r="BC159" s="395">
        <f t="shared" ref="BC159:BC162" si="1258">IF(BE159=0,0,IF(BE159&gt;0,IF($J159=9,BE159,IF($J159=8,BE159,IF($J159=7,BE159,0)))))</f>
        <v>0</v>
      </c>
      <c r="BD159" s="396">
        <f t="shared" ref="BD159:BD162" si="1259">IF(BE159=0,0,IF(BE159&gt;0,IF($J159=12,BE159,IF($J159=11,BE159,IF($J159=10,BE159,0)))))</f>
        <v>0</v>
      </c>
      <c r="BE159" s="397">
        <f t="shared" ref="BE159:BE163" si="1260">IF(BE$5=$H159,$E159,0)</f>
        <v>0</v>
      </c>
      <c r="BF159" s="394">
        <f t="shared" ref="BF159:BF162" si="1261">IF(BJ159=0,0,IF(BJ159&gt;0,IF($J159=3,BJ159,IF($J159=2,BJ159,IF($J159=1,BJ159,0)))))</f>
        <v>0</v>
      </c>
      <c r="BG159" s="395">
        <f t="shared" ref="BG159:BG162" si="1262">IF(BJ159=0,0,IF(BJ159&gt;0,IF($J159=6,BJ159,IF($J159=5,BJ159,IF($J159=4,BJ159,0)))))</f>
        <v>0</v>
      </c>
      <c r="BH159" s="395">
        <f t="shared" ref="BH159:BH162" si="1263">IF(BJ159=0,0,IF(BJ159&gt;0,IF($J159=9,BJ159,IF($J159=8,BJ159,IF($J159=7,BJ159,0)))))</f>
        <v>0</v>
      </c>
      <c r="BI159" s="396">
        <f t="shared" ref="BI159:BI162" si="1264">IF(BJ159=0,0,IF(BJ159&gt;0,IF($J159=12,BJ159,IF($J159=11,BJ159,IF($J159=10,BJ159,0)))))</f>
        <v>0</v>
      </c>
      <c r="BJ159" s="397">
        <f t="shared" ref="BJ159:BJ163" si="1265">IF(BJ$5=$H159,$E159,0)</f>
        <v>0</v>
      </c>
      <c r="BK159" s="394">
        <f t="shared" ref="BK159:BK162" si="1266">IF(BO159=0,0,IF(BO159&gt;0,IF($J159=3,BO159,IF($J159=2,BO159,IF($J159=1,BO159,0)))))</f>
        <v>0</v>
      </c>
      <c r="BL159" s="395">
        <f t="shared" ref="BL159:BL162" si="1267">IF(BO159=0,0,IF(BO159&gt;0,IF($J159=6,BO159,IF($J159=5,BO159,IF($J159=4,BO159,0)))))</f>
        <v>0</v>
      </c>
      <c r="BM159" s="395">
        <f t="shared" ref="BM159:BM162" si="1268">IF(BO159=0,0,IF(BO159&gt;0,IF($J159=9,BO159,IF($J159=8,BO159,IF($J159=7,BO159,0)))))</f>
        <v>0</v>
      </c>
      <c r="BN159" s="396">
        <f t="shared" ref="BN159:BN162" si="1269">IF(BO159=0,0,IF(BO159&gt;0,IF($J159=12,BO159,IF($J159=11,BO159,IF($J159=10,BO159,0)))))</f>
        <v>0</v>
      </c>
      <c r="BO159" s="397">
        <f t="shared" ref="BO159:BO163" si="1270">IF(BO$5=$H159,$E159,0)</f>
        <v>0</v>
      </c>
      <c r="BP159" s="445"/>
      <c r="BQ159" s="399">
        <f t="shared" ref="BQ159:BQ162" si="1271">IF(AND(BP159&lt;&gt;0,BP$5=$H159),$I159*$E159-BP159,IF(BQ$5=$H159,$I159*$E159*(12-$J159+1)/12,0))</f>
        <v>0</v>
      </c>
      <c r="BR159" s="400">
        <f t="shared" ref="BR159:BR162" si="1272">IF($H159&lt;&gt;BV$5,0,IF(BV159&gt;0,IF($J159=1,$E159*$I159/12*3,IF($J159=2,$E159*$I159/12*2,IF($J159=3,$E159*$I159/12*1,0)))))+IF(BQ$5&lt;&gt;$H159,0,IF(BQ159&gt;0,IF($J159=1,$E159*$I159/12*0,IF($J159=2,$E159*$I159/12*1,IF($J159=3,$E159*$I159/12*2,IF($J159&gt;=4,$E159*$I159/12*3,0))))))</f>
        <v>0</v>
      </c>
      <c r="BS159" s="401">
        <f t="shared" ref="BS159:BS162" si="1273">IF($H159&lt;&gt;BV$5,0,IF(BV159&gt;0,IF(OR($J159=1,$J159=2,$J159=3,$J159=4),$E159*$I159/12*3,IF($J159=5,$E159*$I159/12*2,IF($J159=6,$E159*$I159/12*1,0)))))+IF(BQ$5&lt;&gt;$H159,0,IF(BQ159&gt;0,IF($J159=4,$E159*$I159/12*0,IF($J159=5,$E159*$I159/12*1,IF($J159=6,$E159*$I159/12*2,IF($J159&gt;=7,$E159*$I159/12*3,0))))))</f>
        <v>0</v>
      </c>
      <c r="BT159" s="401">
        <f t="shared" ref="BT159:BT162" si="1274">IF($H159&lt;&gt;BV$5,0,IF(BV159&gt;0,IF(OR($J159=1,$J159=2,$J159=3,$J159=4,$J159=5,$J159=6,$J159=7),$E159*$I159/12*3,IF($J159=8,$E159*$I159/12*2,IF($J159=9,$E159*$I159/12*1,0)))))+IF(BQ$5&lt;&gt;$H159,0,IF(BQ159&gt;0,IF($J159=7,$E159*$I159/12*0,IF($J159=8,$E159*$I159/12*1,IF($J159=9,$E159*$I159/12*2,IF($J159&gt;=10,$E159*$I159/12*3,0))))))</f>
        <v>0</v>
      </c>
      <c r="BU159" s="402">
        <f t="shared" ref="BU159:BU162" si="1275">IF($H159&lt;&gt;BV$5,0,IF(BV159&gt;0,IF(OR($J159=1,$J159=2,$J159=3,$J159=4,$J159=5,$J159=6,$J159=7,$J159=8,$J159=9,$J159=10),$E159*$I159/12*3,IF($J159=11,$E159*$I159/12*2,IF($J159=12,$E159*$I159/12*1,0)))))+IF(BQ$5&lt;&gt;$H159,0,IF(BQ159&gt;0,IF($J159=10,$E159*$I159/12*0,IF($J159=11,$E159*$I159/12*1,IF($J159=12,$E159*$I159/12*2,0)))))</f>
        <v>0</v>
      </c>
      <c r="BV159" s="403">
        <f t="shared" ref="BV159:BV162" si="1276">IF(AND(BQ159&lt;&gt;0,BQ$5=$H159),$I159*$E159-BQ159,IF(BV$5=$H159,$I159*$E159*(12-$J159+1)/12,0))</f>
        <v>0</v>
      </c>
      <c r="BW159" s="400">
        <f t="shared" ref="BW159:BW162" si="1277">IF($H159&lt;&gt;CA$5,0,IF(CA159&gt;0,IF($J159=1,$E159*$I159/12*3,IF($J159=2,$E159*$I159/12*2,IF($J159=3,$E159*$I159/12*1,0)))))+IF(BV$5&lt;&gt;$H159,0,IF(BV159&gt;0,IF($J159=1,$E159*$I159/12*0,IF($J159=2,$E159*$I159/12*1,IF($J159=3,$E159*$I159/12*2,IF($J159&gt;=4,$E159*$I159/12*3,0))))))</f>
        <v>0</v>
      </c>
      <c r="BX159" s="401">
        <f t="shared" ref="BX159:BX162" si="1278">IF($H159&lt;&gt;CA$5,0,IF(CA159&gt;0,IF(OR($J159=1,$J159=2,$J159=3,$J159=4),$E159*$I159/12*3,IF($J159=5,$E159*$I159/12*2,IF($J159=6,$E159*$I159/12*1,0)))))+IF(BV$5&lt;&gt;$H159,0,IF(BV159&gt;0,IF($J159=4,$E159*$I159/12*0,IF($J159=5,$E159*$I159/12*1,IF($J159=6,$E159*$I159/12*2,IF($J159&gt;=7,$E159*$I159/12*3,0))))))</f>
        <v>0</v>
      </c>
      <c r="BY159" s="401">
        <f t="shared" ref="BY159:BY162" si="1279">IF($H159&lt;&gt;CA$5,0,IF(CA159&gt;0,IF(OR($J159=1,$J159=2,$J159=3,$J159=4,$J159=5,$J159=6,$J159=7),$E159*$I159/12*3,IF($J159=8,$E159*$I159/12*2,IF($J159=9,$E159*$I159/12*1,0)))))+IF(BV$5&lt;&gt;$H159,0,IF(BV159&gt;0,IF($J159=7,$E159*$I159/12*0,IF($J159=8,$E159*$I159/12*1,IF($J159=9,$E159*$I159/12*2,IF($J159&gt;=10,$E159*$I159/12*3,0))))))</f>
        <v>0</v>
      </c>
      <c r="BZ159" s="402">
        <f t="shared" ref="BZ159:BZ162" si="1280">IF($H159&lt;&gt;CA$5,0,IF(CA159&gt;0,IF(OR($J159=1,$J159=2,$J159=3,$J159=4,$J159=5,$J159=6,$J159=7,$J159=8,$J159=9,$J159=10),$E159*$I159/12*3,IF($J159=11,$E159*$I159/12*2,IF($J159=12,$E159*$I159/12*1,0)))))+IF(BV$5&lt;&gt;$H159,0,IF(BV159&gt;0,IF($J159=10,$E159*$I159/12*0,IF($J159=11,$E159*$I159/12*1,IF($J159=12,$E159*$I159/12*2,0)))))</f>
        <v>0</v>
      </c>
      <c r="CA159" s="403">
        <f t="shared" ref="CA159:CA162" si="1281">IF(AND(BV159&lt;&gt;0,BV$5=$H159),$I159*$E159-BV159,IF(CA$5=$H159,$I159*$E159*(12-$J159+1)/12,0))</f>
        <v>0</v>
      </c>
      <c r="CB159" s="400">
        <f t="shared" ref="CB159:CB162" si="1282">IF($H159&lt;&gt;CF$5,0,IF(CF159&gt;0,IF($J159=1,$E159*$I159/12*3,IF($J159=2,$E159*$I159/12*2,IF($J159=3,$E159*$I159/12*1,0)))))+IF(CA$5&lt;&gt;$H159,0,IF(CA159&gt;0,IF($J159=1,$E159*$I159/12*0,IF($J159=2,$E159*$I159/12*1,IF($J159=3,$E159*$I159/12*2,IF($J159&gt;=4,$E159*$I159/12*3,0))))))</f>
        <v>0</v>
      </c>
      <c r="CC159" s="401">
        <f t="shared" ref="CC159:CC162" si="1283">IF($H159&lt;&gt;CF$5,0,IF(CF159&gt;0,IF(OR($J159=1,$J159=2,$J159=3,$J159=4),$E159*$I159/12*3,IF($J159=5,$E159*$I159/12*2,IF($J159=6,$E159*$I159/12*1,0)))))+IF(CA$5&lt;&gt;$H159,0,IF(CA159&gt;0,IF($J159=4,$E159*$I159/12*0,IF($J159=5,$E159*$I159/12*1,IF($J159=6,$E159*$I159/12*2,IF($J159&gt;=7,$E159*$I159/12*3,0))))))</f>
        <v>0</v>
      </c>
      <c r="CD159" s="401">
        <f t="shared" ref="CD159:CD162" si="1284">IF($H159&lt;&gt;CF$5,0,IF(CF159&gt;0,IF(OR($J159=1,$J159=2,$J159=3,$J159=4,$J159=5,$J159=6,$J159=7),$E159*$I159/12*3,IF($J159=8,$E159*$I159/12*2,IF($J159=9,$E159*$I159/12*1,0)))))+IF(CA$5&lt;&gt;$H159,0,IF(CA159&gt;0,IF($J159=7,$E159*$I159/12*0,IF($J159=8,$E159*$I159/12*1,IF($J159=9,$E159*$I159/12*2,IF($J159&gt;=10,$E159*$I159/12*3,0))))))</f>
        <v>0</v>
      </c>
      <c r="CE159" s="402">
        <f t="shared" ref="CE159:CE162" si="1285">IF($H159&lt;&gt;CF$5,0,IF(CF159&gt;0,IF(OR($J159=1,$J159=2,$J159=3,$J159=4,$J159=5,$J159=6,$J159=7,$J159=8,$J159=9,$J159=10),$E159*$I159/12*3,IF($J159=11,$E159*$I159/12*2,IF($J159=12,$E159*$I159/12*1,0)))))+IF(CA$5&lt;&gt;$H159,0,IF(CA159&gt;0,IF($J159=10,$E159*$I159/12*0,IF($J159=11,$E159*$I159/12*1,IF($J159=12,$E159*$I159/12*2,0)))))</f>
        <v>0</v>
      </c>
      <c r="CF159" s="403">
        <f t="shared" ref="CF159:CF162" si="1286">IF(AND(CA159&lt;&gt;0,CA$5=$H159),$I159*$E159-CA159,IF(CF$5=$H159,$I159*$E159*(12-$J159+1)/12,0))</f>
        <v>0</v>
      </c>
      <c r="CG159" s="400">
        <f t="shared" ref="CG159:CG162" si="1287">IF($H159&lt;&gt;CK$5,0,IF(CK159&gt;0,IF($J159=1,$E159*$I159/12*3,IF($J159=2,$E159*$I159/12*2,IF($J159=3,$E159*$I159/12*1,0)))))+IF(CF$5&lt;&gt;$H159,0,IF(CF159&gt;0,IF($J159=1,$E159*$I159/12*0,IF($J159=2,$E159*$I159/12*1,IF($J159=3,$E159*$I159/12*2,IF($J159&gt;=4,$E159*$I159/12*3,0))))))</f>
        <v>0</v>
      </c>
      <c r="CH159" s="401">
        <f t="shared" ref="CH159:CH162" si="1288">IF($H159&lt;&gt;CK$5,0,IF(CK159&gt;0,IF(OR($J159=1,$J159=2,$J159=3,$J159=4),$E159*$I159/12*3,IF($J159=5,$E159*$I159/12*2,IF($J159=6,$E159*$I159/12*1,0)))))+IF(CF$5&lt;&gt;$H159,0,IF(CF159&gt;0,IF($J159=4,$E159*$I159/12*0,IF($J159=5,$E159*$I159/12*1,IF($J159=6,$E159*$I159/12*2,IF($J159&gt;=7,$E159*$I159/12*3,0))))))</f>
        <v>0</v>
      </c>
      <c r="CI159" s="401">
        <f t="shared" ref="CI159:CI162" si="1289">IF($H159&lt;&gt;CK$5,0,IF(CK159&gt;0,IF(OR($J159=1,$J159=2,$J159=3,$J159=4,$J159=5,$J159=6,$J159=7),$E159*$I159/12*3,IF($J159=8,$E159*$I159/12*2,IF($J159=9,$E159*$I159/12*1,0)))))+IF(CF$5&lt;&gt;$H159,0,IF(CF159&gt;0,IF($J159=7,$E159*$I159/12*0,IF($J159=8,$E159*$I159/12*1,IF($J159=9,$E159*$I159/12*2,IF($J159&gt;=10,$E159*$I159/12*3,0))))))</f>
        <v>0</v>
      </c>
      <c r="CJ159" s="402">
        <f t="shared" ref="CJ159:CJ162" si="1290">IF($H159&lt;&gt;CK$5,0,IF(CK159&gt;0,IF(OR($J159=1,$J159=2,$J159=3,$J159=4,$J159=5,$J159=6,$J159=7,$J159=8,$J159=9,$J159=10),$E159*$I159/12*3,IF($J159=11,$E159*$I159/12*2,IF($J159=12,$E159*$I159/12*1,0)))))+IF(CF$5&lt;&gt;$H159,0,IF(CF159&gt;0,IF($J159=10,$E159*$I159/12*0,IF($J159=11,$E159*$I159/12*1,IF($J159=12,$E159*$I159/12*2,0)))))</f>
        <v>0</v>
      </c>
      <c r="CK159" s="403">
        <f t="shared" ref="CK159:CK162" si="1291">IF(AND(CF159&lt;&gt;0,CF$5=$H159),$I159*$E159-CF159,IF(CK$5=$H159,$I159*$E159*(12-$J159+1)/12,0))</f>
        <v>0</v>
      </c>
      <c r="CL159" s="400">
        <f t="shared" ref="CL159:CL162" si="1292">IF($H159&lt;&gt;CP$5,0,IF(CP159&gt;0,IF($J159=1,$E159*$I159/12*3,IF($J159=2,$E159*$I159/12*2,IF($J159=3,$E159*$I159/12*1,0)))))+IF(CK$5&lt;&gt;$H159,0,IF(CK159&gt;0,IF($J159=1,$E159*$I159/12*0,IF($J159=2,$E159*$I159/12*1,IF($J159=3,$E159*$I159/12*2,IF($J159&gt;=4,$E159*$I159/12*3,0))))))</f>
        <v>0</v>
      </c>
      <c r="CM159" s="401">
        <f t="shared" ref="CM159:CM162" si="1293">IF($H159&lt;&gt;CP$5,0,IF(CP159&gt;0,IF(OR($J159=1,$J159=2,$J159=3,$J159=4),$E159*$I159/12*3,IF($J159=5,$E159*$I159/12*2,IF($J159=6,$E159*$I159/12*1,0)))))+IF(CK$5&lt;&gt;$H159,0,IF(CK159&gt;0,IF($J159=4,$E159*$I159/12*0,IF($J159=5,$E159*$I159/12*1,IF($J159=6,$E159*$I159/12*2,IF($J159&gt;=7,$E159*$I159/12*3,0))))))</f>
        <v>0</v>
      </c>
      <c r="CN159" s="401">
        <f t="shared" ref="CN159:CN162" si="1294">IF($H159&lt;&gt;CP$5,0,IF(CP159&gt;0,IF(OR($J159=1,$J159=2,$J159=3,$J159=4,$J159=5,$J159=6,$J159=7),$E159*$I159/12*3,IF($J159=8,$E159*$I159/12*2,IF($J159=9,$E159*$I159/12*1,0)))))+IF(CK$5&lt;&gt;$H159,0,IF(CK159&gt;0,IF($J159=7,$E159*$I159/12*0,IF($J159=8,$E159*$I159/12*1,IF($J159=9,$E159*$I159/12*2,IF($J159&gt;=10,$E159*$I159/12*3,0))))))</f>
        <v>0</v>
      </c>
      <c r="CO159" s="402">
        <f t="shared" ref="CO159:CO162" si="1295">IF($H159&lt;&gt;CP$5,0,IF(CP159&gt;0,IF(OR($J159=1,$J159=2,$J159=3,$J159=4,$J159=5,$J159=6,$J159=7,$J159=8,$J159=9,$J159=10),$E159*$I159/12*3,IF($J159=11,$E159*$I159/12*2,IF($J159=12,$E159*$I159/12*1,0)))))+IF(CK$5&lt;&gt;$H159,0,IF(CK159&gt;0,IF($J159=10,$E159*$I159/12*0,IF($J159=11,$E159*$I159/12*1,IF($J159=12,$E159*$I159/12*2,0)))))</f>
        <v>0</v>
      </c>
      <c r="CP159" s="403">
        <f t="shared" ref="CP159:CP162" si="1296">IF(AND(CK159&lt;&gt;0,CK$5=$H159),$I159*$E159-CK159,IF(CP$5=$H159,$I159*$E159*(12-$J159+1)/12,0))</f>
        <v>0</v>
      </c>
      <c r="CQ159" s="400">
        <f t="shared" ref="CQ159:CQ162" si="1297">IF($H159&lt;&gt;CU$5,0,IF(CU159&gt;0,IF($J159=1,$E159*$I159/12*3,IF($J159=2,$E159*$I159/12*2,IF($J159=3,$E159*$I159/12*1,0)))))+IF(CP$5&lt;&gt;$H159,0,IF(CP159&gt;0,IF($J159=1,$E159*$I159/12*0,IF($J159=2,$E159*$I159/12*1,IF($J159=3,$E159*$I159/12*2,IF($J159&gt;=4,$E159*$I159/12*3,0))))))</f>
        <v>0</v>
      </c>
      <c r="CR159" s="401">
        <f t="shared" ref="CR159:CR162" si="1298">IF($H159&lt;&gt;CU$5,0,IF(CU159&gt;0,IF(OR($J159=1,$J159=2,$J159=3,$J159=4),$E159*$I159/12*3,IF($J159=5,$E159*$I159/12*2,IF($J159=6,$E159*$I159/12*1,0)))))+IF(CP$5&lt;&gt;$H159,0,IF(CP159&gt;0,IF($J159=4,$E159*$I159/12*0,IF($J159=5,$E159*$I159/12*1,IF($J159=6,$E159*$I159/12*2,IF($J159&gt;=7,$E159*$I159/12*3,0))))))</f>
        <v>0</v>
      </c>
      <c r="CS159" s="401">
        <f t="shared" ref="CS159:CS162" si="1299">IF($H159&lt;&gt;CU$5,0,IF(CU159&gt;0,IF(OR($J159=1,$J159=2,$J159=3,$J159=4,$J159=5,$J159=6,$J159=7),$E159*$I159/12*3,IF($J159=8,$E159*$I159/12*2,IF($J159=9,$E159*$I159/12*1,0)))))+IF(CP$5&lt;&gt;$H159,0,IF(CP159&gt;0,IF($J159=7,$E159*$I159/12*0,IF($J159=8,$E159*$I159/12*1,IF($J159=9,$E159*$I159/12*2,IF($J159&gt;=10,$E159*$I159/12*3,0))))))</f>
        <v>0</v>
      </c>
      <c r="CT159" s="402">
        <f t="shared" ref="CT159:CT162" si="1300">IF($H159&lt;&gt;CU$5,0,IF(CU159&gt;0,IF(OR($J159=1,$J159=2,$J159=3,$J159=4,$J159=5,$J159=6,$J159=7,$J159=8,$J159=9,$J159=10),$E159*$I159/12*3,IF($J159=11,$E159*$I159/12*2,IF($J159=12,$E159*$I159/12*1,0)))))+IF(CP$5&lt;&gt;$H159,0,IF(CP159&gt;0,IF($J159=10,$E159*$I159/12*0,IF($J159=11,$E159*$I159/12*1,IF($J159=12,$E159*$I159/12*2,0)))))</f>
        <v>0</v>
      </c>
      <c r="CU159" s="403">
        <f t="shared" ref="CU159:CU162" si="1301">IF(AND(CP159&lt;&gt;0,CP$5=$H159),$I159*$E159-CP159,IF(CU$5=$H159,$I159*$E159*(12-$J159+1)/12,0))</f>
        <v>0</v>
      </c>
      <c r="CV159" s="400">
        <f t="shared" ref="CV159:CV162" si="1302">IF($H159&lt;&gt;CZ$5,0,IF(CZ159&gt;0,IF($J159=1,$E159*$I159/12*3,IF($J159=2,$E159*$I159/12*2,IF($J159=3,$E159*$I159/12*1,0)))))+IF(CU$5&lt;&gt;$H159,0,IF(CU159&gt;0,IF($J159=1,$E159*$I159/12*0,IF($J159=2,$E159*$I159/12*1,IF($J159=3,$E159*$I159/12*2,IF($J159&gt;=4,$E159*$I159/12*3,0))))))</f>
        <v>0</v>
      </c>
      <c r="CW159" s="401">
        <f t="shared" ref="CW159:CW162" si="1303">IF($H159&lt;&gt;CZ$5,0,IF(CZ159&gt;0,IF(OR($J159=1,$J159=2,$J159=3,$J159=4),$E159*$I159/12*3,IF($J159=5,$E159*$I159/12*2,IF($J159=6,$E159*$I159/12*1,0)))))+IF(CU$5&lt;&gt;$H159,0,IF(CU159&gt;0,IF($J159=4,$E159*$I159/12*0,IF($J159=5,$E159*$I159/12*1,IF($J159=6,$E159*$I159/12*2,IF($J159&gt;=7,$E159*$I159/12*3,0))))))</f>
        <v>0</v>
      </c>
      <c r="CX159" s="401">
        <f t="shared" ref="CX159:CX162" si="1304">IF($H159&lt;&gt;CZ$5,0,IF(CZ159&gt;0,IF(OR($J159=1,$J159=2,$J159=3,$J159=4,$J159=5,$J159=6,$J159=7),$E159*$I159/12*3,IF($J159=8,$E159*$I159/12*2,IF($J159=9,$E159*$I159/12*1,0)))))+IF(CU$5&lt;&gt;$H159,0,IF(CU159&gt;0,IF($J159=7,$E159*$I159/12*0,IF($J159=8,$E159*$I159/12*1,IF($J159=9,$E159*$I159/12*2,IF($J159&gt;=10,$E159*$I159/12*3,0))))))</f>
        <v>2.7749999999999999</v>
      </c>
      <c r="CY159" s="402">
        <f t="shared" ref="CY159:CY162" si="1305">IF($H159&lt;&gt;CZ$5,0,IF(CZ159&gt;0,IF(OR($J159=1,$J159=2,$J159=3,$J159=4,$J159=5,$J159=6,$J159=7,$J159=8,$J159=9,$J159=10),$E159*$I159/12*3,IF($J159=11,$E159*$I159/12*2,IF($J159=12,$E159*$I159/12*1,0)))))+IF(CU$5&lt;&gt;$H159,0,IF(CU159&gt;0,IF($J159=10,$E159*$I159/12*0,IF($J159=11,$E159*$I159/12*1,IF($J159=12,$E159*$I159/12*2,0)))))</f>
        <v>4.1624999999999996</v>
      </c>
      <c r="CZ159" s="403">
        <f t="shared" ref="CZ159:CZ162" si="1306">IF(AND(CU159&lt;&gt;0,CU$5=$H159),$I159*$E159-CU159,IF(CZ$5=$H159,$I159*$E159*(12-$J159+1)/12,0))</f>
        <v>6.9375</v>
      </c>
      <c r="DA159" s="400">
        <f t="shared" ref="DA159:DA162" si="1307">IF($H159&lt;&gt;DE$5,0,IF(DE159&gt;0,IF($J159=1,$E159*$I159/12*3,IF($J159=2,$E159*$I159/12*2,IF($J159=3,$E159*$I159/12*1,0)))))+IF(CZ$5&lt;&gt;$H159,0,IF(CZ159&gt;0,IF($J159=1,$E159*$I159/12*0,IF($J159=2,$E159*$I159/12*1,IF($J159=3,$E159*$I159/12*2,IF($J159&gt;=4,$E159*$I159/12*3,0))))))</f>
        <v>4.1624999999999996</v>
      </c>
      <c r="DB159" s="401">
        <f t="shared" ref="DB159:DB162" si="1308">IF($H159&lt;&gt;DE$5,0,IF(DE159&gt;0,IF(OR($J159=1,$J159=2,$J159=3,$J159=4),$E159*$I159/12*3,IF($J159=5,$E159*$I159/12*2,IF($J159=6,$E159*$I159/12*1,0)))))+IF(CZ$5&lt;&gt;$H159,0,IF(CZ159&gt;0,IF($J159=4,$E159*$I159/12*0,IF($J159=5,$E159*$I159/12*1,IF($J159=6,$E159*$I159/12*2,IF($J159&gt;=7,$E159*$I159/12*3,0))))))</f>
        <v>4.1624999999999996</v>
      </c>
      <c r="DC159" s="401">
        <f t="shared" ref="DC159:DC162" si="1309">IF($H159&lt;&gt;DE$5,0,IF(DE159&gt;0,IF(OR($J159=1,$J159=2,$J159=3,$J159=4,$J159=5,$J159=6,$J159=7),$E159*$I159/12*3,IF($J159=8,$E159*$I159/12*2,IF($J159=9,$E159*$I159/12*1,0)))))+IF(CZ$5&lt;&gt;$H159,0,IF(CZ159&gt;0,IF($J159=7,$E159*$I159/12*0,IF($J159=8,$E159*$I159/12*1,IF($J159=9,$E159*$I159/12*2,IF($J159&gt;=10,$E159*$I159/12*3,0))))))</f>
        <v>1.3875</v>
      </c>
      <c r="DD159" s="402">
        <f t="shared" ref="DD159:DD162" si="1310">IF($H159&lt;&gt;DE$5,0,IF(DE159&gt;0,IF(OR($J159=1,$J159=2,$J159=3,$J159=4,$J159=5,$J159=6,$J159=7,$J159=8,$J159=9,$J159=10),$E159*$I159/12*3,IF($J159=11,$E159*$I159/12*2,IF($J159=12,$E159*$I159/12*1,0)))))+IF(CZ$5&lt;&gt;$H159,0,IF(CZ159&gt;0,IF($J159=10,$E159*$I159/12*0,IF($J159=11,$E159*$I159/12*1,IF($J159=12,$E159*$I159/12*2,0)))))</f>
        <v>0</v>
      </c>
      <c r="DE159" s="403">
        <f t="shared" ref="DE159:DE162" si="1311">IF(AND(CZ159&lt;&gt;0,CZ$5=$H159),$I159*$E159-CZ159,IF(DE$5=$H159,$I159*$E159*(12-$J159+1)/12,0))</f>
        <v>9.7124999999999986</v>
      </c>
      <c r="DF159" s="400">
        <f t="shared" ref="DF159:DF162" si="1312">IF($H159&lt;&gt;DJ$5,0,IF(DJ159&gt;0,IF($J159=1,$E159*$I159/12*3,IF($J159=2,$E159*$I159/12*2,IF($J159=3,$E159*$I159/12*1,0)))))+IF(DE$5&lt;&gt;$H159,0,IF(DE159&gt;0,IF($J159=1,$E159*$I159/12*0,IF($J159=2,$E159*$I159/12*1,IF($J159=3,$E159*$I159/12*2,IF($J159&gt;=4,$E159*$I159/12*3,0))))))</f>
        <v>0</v>
      </c>
      <c r="DG159" s="401">
        <f t="shared" ref="DG159:DG162" si="1313">IF($H159&lt;&gt;DJ$5,0,IF(DJ159&gt;0,IF(OR($J159=1,$J159=2,$J159=3,$J159=4),$E159*$I159/12*3,IF($J159=5,$E159*$I159/12*2,IF($J159=6,$E159*$I159/12*1,0)))))+IF(DE$5&lt;&gt;$H159,0,IF(DE159&gt;0,IF($J159=4,$E159*$I159/12*0,IF($J159=5,$E159*$I159/12*1,IF($J159=6,$E159*$I159/12*2,IF($J159&gt;=7,$E159*$I159/12*3,0))))))</f>
        <v>0</v>
      </c>
      <c r="DH159" s="401">
        <f t="shared" ref="DH159:DH162" si="1314">IF($H159&lt;&gt;DJ$5,0,IF(DJ159&gt;0,IF(OR($J159=1,$J159=2,$J159=3,$J159=4,$J159=5,$J159=6,$J159=7),$E159*$I159/12*3,IF($J159=8,$E159*$I159/12*2,IF($J159=9,$E159*$I159/12*1,0)))))+IF(DE$5&lt;&gt;$H159,0,IF(DE159&gt;0,IF($J159=7,$E159*$I159/12*0,IF($J159=8,$E159*$I159/12*1,IF($J159=9,$E159*$I159/12*2,IF($J159&gt;=10,$E159*$I159/12*3,0))))))</f>
        <v>0</v>
      </c>
      <c r="DI159" s="402">
        <f t="shared" ref="DI159:DI162" si="1315">IF($H159&lt;&gt;DJ$5,0,IF(DJ159&gt;0,IF(OR($J159=1,$J159=2,$J159=3,$J159=4,$J159=5,$J159=6,$J159=7,$J159=8,$J159=9,$J159=10),$E159*$I159/12*3,IF($J159=11,$E159*$I159/12*2,IF($J159=12,$E159*$I159/12*1,0)))))+IF(DE$5&lt;&gt;$H159,0,IF(DE159&gt;0,IF($J159=10,$E159*$I159/12*0,IF($J159=11,$E159*$I159/12*1,IF($J159=12,$E159*$I159/12*2,0)))))</f>
        <v>0</v>
      </c>
      <c r="DJ159" s="403">
        <f t="shared" ref="DJ159:DJ162" si="1316">IF(AND(DE159&lt;&gt;0,DE$5=$H159),$I159*$E159-DE159,IF(DJ$5=$H159,$I159*$E159*(12-$J159+1)/12,0))</f>
        <v>0</v>
      </c>
      <c r="DK159" s="400">
        <f t="shared" ref="DK159:DK162" si="1317">IF($H159&lt;&gt;DO$5,0,IF(DO159&gt;0,IF($J159=1,$E159*$I159/12*3,IF($J159=2,$E159*$I159/12*2,IF($J159=3,$E159*$I159/12*1,0)))))+IF(DJ$5&lt;&gt;$H159,0,IF(DJ159&gt;0,IF($J159=1,$E159*$I159/12*0,IF($J159=2,$E159*$I159/12*1,IF($J159=3,$E159*$I159/12*2,IF($J159&gt;=4,$E159*$I159/12*3,0))))))</f>
        <v>0</v>
      </c>
      <c r="DL159" s="401">
        <f t="shared" ref="DL159:DL162" si="1318">IF($H159&lt;&gt;DO$5,0,IF(DO159&gt;0,IF(OR($J159=1,$J159=2,$J159=3,$J159=4),$E159*$I159/12*3,IF($J159=5,$E159*$I159/12*2,IF($J159=6,$E159*$I159/12*1,0)))))+IF(DJ$5&lt;&gt;$H159,0,IF(DJ159&gt;0,IF($J159=4,$E159*$I159/12*0,IF($J159=5,$E159*$I159/12*1,IF($J159=6,$E159*$I159/12*2,IF($J159&gt;=7,$E159*$I159/12*3,0))))))</f>
        <v>0</v>
      </c>
      <c r="DM159" s="401">
        <f t="shared" ref="DM159:DM162" si="1319">IF($H159&lt;&gt;DO$5,0,IF(DO159&gt;0,IF(OR($J159=1,$J159=2,$J159=3,$J159=4,$J159=5,$J159=6,$J159=7),$E159*$I159/12*3,IF($J159=8,$E159*$I159/12*2,IF($J159=9,$E159*$I159/12*1,0)))))+IF(DJ$5&lt;&gt;$H159,0,IF(DJ159&gt;0,IF($J159=7,$E159*$I159/12*0,IF($J159=8,$E159*$I159/12*1,IF($J159=9,$E159*$I159/12*2,IF($J159&gt;=10,$E159*$I159/12*3,0))))))</f>
        <v>0</v>
      </c>
      <c r="DN159" s="402">
        <f t="shared" ref="DN159:DN162" si="1320">IF($H159&lt;&gt;DO$5,0,IF(DO159&gt;0,IF(OR($J159=1,$J159=2,$J159=3,$J159=4,$J159=5,$J159=6,$J159=7,$J159=8,$J159=9,$J159=10),$E159*$I159/12*3,IF($J159=11,$E159*$I159/12*2,IF($J159=12,$E159*$I159/12*1,0)))))+IF(DJ$5&lt;&gt;$H159,0,IF(DJ159&gt;0,IF($J159=10,$E159*$I159/12*0,IF($J159=11,$E159*$I159/12*1,IF($J159=12,$E159*$I159/12*2,0)))))</f>
        <v>0</v>
      </c>
      <c r="DO159" s="403">
        <f t="shared" ref="DO159:DO162" si="1321">IF(AND(DJ159&lt;&gt;0,DJ$5=$H159),$I159*$E159-DJ159,IF(DO$5=$H159,$I159*$E159*(12-$J159+1)/12,0))</f>
        <v>0</v>
      </c>
      <c r="DP159" s="400">
        <f t="shared" ref="DP159:DP162" si="1322">IF($H159&lt;&gt;DT$5,0,IF(DT159&gt;0,IF($J159=1,$E159*$I159/12*3,IF($J159=2,$E159*$I159/12*2,IF($J159=3,$E159*$I159/12*1,0)))))+IF(DO$5&lt;&gt;$H159,0,IF(DO159&gt;0,IF($J159=1,$E159*$I159/12*0,IF($J159=2,$E159*$I159/12*1,IF($J159=3,$E159*$I159/12*2,IF($J159&gt;=4,$E159*$I159/12*3,0))))))</f>
        <v>0</v>
      </c>
      <c r="DQ159" s="401">
        <f t="shared" ref="DQ159:DQ162" si="1323">IF($H159&lt;&gt;DT$5,0,IF(DT159&gt;0,IF(OR($J159=1,$J159=2,$J159=3,$J159=4),$E159*$I159/12*3,IF($J159=5,$E159*$I159/12*2,IF($J159=6,$E159*$I159/12*1,0)))))+IF(DO$5&lt;&gt;$H159,0,IF(DO159&gt;0,IF($J159=4,$E159*$I159/12*0,IF($J159=5,$E159*$I159/12*1,IF($J159=6,$E159*$I159/12*2,IF($J159&gt;=7,$E159*$I159/12*3,0))))))</f>
        <v>0</v>
      </c>
      <c r="DR159" s="401">
        <f t="shared" ref="DR159:DR162" si="1324">IF($H159&lt;&gt;DT$5,0,IF(DT159&gt;0,IF(OR($J159=1,$J159=2,$J159=3,$J159=4,$J159=5,$J159=6,$J159=7),$E159*$I159/12*3,IF($J159=8,$E159*$I159/12*2,IF($J159=9,$E159*$I159/12*1,0)))))+IF(DO$5&lt;&gt;$H159,0,IF(DO159&gt;0,IF($J159=7,$E159*$I159/12*0,IF($J159=8,$E159*$I159/12*1,IF($J159=9,$E159*$I159/12*2,IF($J159&gt;=10,$E159*$I159/12*3,0))))))</f>
        <v>0</v>
      </c>
      <c r="DS159" s="402">
        <f t="shared" ref="DS159:DS162" si="1325">IF($H159&lt;&gt;DT$5,0,IF(DT159&gt;0,IF(OR($J159=1,$J159=2,$J159=3,$J159=4,$J159=5,$J159=6,$J159=7,$J159=8,$J159=9,$J159=10),$E159*$I159/12*3,IF($J159=11,$E159*$I159/12*2,IF($J159=12,$E159*$I159/12*1,0)))))+IF(DO$5&lt;&gt;$H159,0,IF(DO159&gt;0,IF($J159=10,$E159*$I159/12*0,IF($J159=11,$E159*$I159/12*1,IF($J159=12,$E159*$I159/12*2,0)))))</f>
        <v>0</v>
      </c>
      <c r="DT159" s="403">
        <f t="shared" ref="DT159:DT162" si="1326">IF(AND(DO159&lt;&gt;0,DO$5=$H159),$I159*$E159-DO159,IF(DT$5=$H159,$I159*$E159*(12-$J159+1)/12,0))</f>
        <v>0</v>
      </c>
    </row>
    <row r="160" spans="1:139" ht="12.75" customHeight="1" x14ac:dyDescent="0.2">
      <c r="C160" s="52" t="s">
        <v>533</v>
      </c>
      <c r="D160" s="52"/>
      <c r="E160" s="530">
        <f>SPS!BB146</f>
        <v>350</v>
      </c>
      <c r="F160" s="537"/>
      <c r="G160" s="537"/>
      <c r="H160" s="468">
        <v>2018</v>
      </c>
      <c r="I160" s="469">
        <v>0.04</v>
      </c>
      <c r="J160" s="470">
        <v>7</v>
      </c>
      <c r="K160" s="392"/>
      <c r="L160" s="393">
        <f t="shared" si="1215"/>
        <v>0</v>
      </c>
      <c r="M160" s="394">
        <f t="shared" si="1216"/>
        <v>0</v>
      </c>
      <c r="N160" s="395">
        <f t="shared" si="1217"/>
        <v>0</v>
      </c>
      <c r="O160" s="395">
        <f t="shared" si="1218"/>
        <v>0</v>
      </c>
      <c r="P160" s="396">
        <f t="shared" si="1219"/>
        <v>0</v>
      </c>
      <c r="Q160" s="397">
        <f t="shared" si="1220"/>
        <v>0</v>
      </c>
      <c r="R160" s="394">
        <f t="shared" si="1221"/>
        <v>0</v>
      </c>
      <c r="S160" s="395">
        <f t="shared" si="1222"/>
        <v>0</v>
      </c>
      <c r="T160" s="395">
        <f t="shared" si="1223"/>
        <v>0</v>
      </c>
      <c r="U160" s="396">
        <f t="shared" si="1224"/>
        <v>0</v>
      </c>
      <c r="V160" s="397">
        <f t="shared" si="1225"/>
        <v>0</v>
      </c>
      <c r="W160" s="394">
        <f t="shared" si="1226"/>
        <v>0</v>
      </c>
      <c r="X160" s="395">
        <f t="shared" si="1227"/>
        <v>0</v>
      </c>
      <c r="Y160" s="395">
        <f t="shared" si="1228"/>
        <v>0</v>
      </c>
      <c r="Z160" s="396">
        <f t="shared" si="1229"/>
        <v>0</v>
      </c>
      <c r="AA160" s="397">
        <f t="shared" si="1230"/>
        <v>0</v>
      </c>
      <c r="AB160" s="394">
        <f t="shared" si="1231"/>
        <v>0</v>
      </c>
      <c r="AC160" s="395">
        <f t="shared" si="1232"/>
        <v>0</v>
      </c>
      <c r="AD160" s="395">
        <f t="shared" si="1233"/>
        <v>0</v>
      </c>
      <c r="AE160" s="396">
        <f t="shared" si="1234"/>
        <v>0</v>
      </c>
      <c r="AF160" s="397">
        <f t="shared" si="1235"/>
        <v>0</v>
      </c>
      <c r="AG160" s="394">
        <f t="shared" si="1236"/>
        <v>0</v>
      </c>
      <c r="AH160" s="395">
        <f t="shared" si="1237"/>
        <v>0</v>
      </c>
      <c r="AI160" s="395">
        <f t="shared" si="1238"/>
        <v>0</v>
      </c>
      <c r="AJ160" s="396">
        <f t="shared" si="1239"/>
        <v>0</v>
      </c>
      <c r="AK160" s="397">
        <f t="shared" si="1240"/>
        <v>0</v>
      </c>
      <c r="AL160" s="394">
        <f t="shared" si="1241"/>
        <v>0</v>
      </c>
      <c r="AM160" s="395">
        <f t="shared" si="1242"/>
        <v>0</v>
      </c>
      <c r="AN160" s="395">
        <f t="shared" si="1243"/>
        <v>0</v>
      </c>
      <c r="AO160" s="396">
        <f t="shared" si="1244"/>
        <v>0</v>
      </c>
      <c r="AP160" s="397">
        <f t="shared" si="1245"/>
        <v>0</v>
      </c>
      <c r="AQ160" s="394">
        <f t="shared" si="1246"/>
        <v>0</v>
      </c>
      <c r="AR160" s="395">
        <f t="shared" si="1247"/>
        <v>0</v>
      </c>
      <c r="AS160" s="395">
        <f t="shared" si="1248"/>
        <v>0</v>
      </c>
      <c r="AT160" s="396">
        <f t="shared" si="1249"/>
        <v>0</v>
      </c>
      <c r="AU160" s="397">
        <f t="shared" si="1250"/>
        <v>0</v>
      </c>
      <c r="AV160" s="394">
        <f t="shared" si="1251"/>
        <v>0</v>
      </c>
      <c r="AW160" s="395">
        <f t="shared" si="1252"/>
        <v>0</v>
      </c>
      <c r="AX160" s="395">
        <f t="shared" si="1253"/>
        <v>350</v>
      </c>
      <c r="AY160" s="396">
        <f t="shared" si="1254"/>
        <v>0</v>
      </c>
      <c r="AZ160" s="397">
        <f t="shared" si="1255"/>
        <v>350</v>
      </c>
      <c r="BA160" s="394">
        <f t="shared" si="1256"/>
        <v>0</v>
      </c>
      <c r="BB160" s="395">
        <f t="shared" si="1257"/>
        <v>0</v>
      </c>
      <c r="BC160" s="395">
        <f t="shared" si="1258"/>
        <v>0</v>
      </c>
      <c r="BD160" s="396">
        <f t="shared" si="1259"/>
        <v>0</v>
      </c>
      <c r="BE160" s="397">
        <f t="shared" si="1260"/>
        <v>0</v>
      </c>
      <c r="BF160" s="394">
        <f t="shared" si="1261"/>
        <v>0</v>
      </c>
      <c r="BG160" s="395">
        <f t="shared" si="1262"/>
        <v>0</v>
      </c>
      <c r="BH160" s="395">
        <f t="shared" si="1263"/>
        <v>0</v>
      </c>
      <c r="BI160" s="396">
        <f t="shared" si="1264"/>
        <v>0</v>
      </c>
      <c r="BJ160" s="397">
        <f t="shared" si="1265"/>
        <v>0</v>
      </c>
      <c r="BK160" s="394">
        <f t="shared" si="1266"/>
        <v>0</v>
      </c>
      <c r="BL160" s="395">
        <f t="shared" si="1267"/>
        <v>0</v>
      </c>
      <c r="BM160" s="395">
        <f t="shared" si="1268"/>
        <v>0</v>
      </c>
      <c r="BN160" s="396">
        <f t="shared" si="1269"/>
        <v>0</v>
      </c>
      <c r="BO160" s="397">
        <f t="shared" si="1270"/>
        <v>0</v>
      </c>
      <c r="BP160" s="445"/>
      <c r="BQ160" s="399">
        <f t="shared" si="1271"/>
        <v>0</v>
      </c>
      <c r="BR160" s="400">
        <f t="shared" si="1272"/>
        <v>0</v>
      </c>
      <c r="BS160" s="401">
        <f t="shared" si="1273"/>
        <v>0</v>
      </c>
      <c r="BT160" s="401">
        <f t="shared" si="1274"/>
        <v>0</v>
      </c>
      <c r="BU160" s="402">
        <f t="shared" si="1275"/>
        <v>0</v>
      </c>
      <c r="BV160" s="403">
        <f t="shared" si="1276"/>
        <v>0</v>
      </c>
      <c r="BW160" s="400">
        <f t="shared" si="1277"/>
        <v>0</v>
      </c>
      <c r="BX160" s="401">
        <f t="shared" si="1278"/>
        <v>0</v>
      </c>
      <c r="BY160" s="401">
        <f t="shared" si="1279"/>
        <v>0</v>
      </c>
      <c r="BZ160" s="402">
        <f t="shared" si="1280"/>
        <v>0</v>
      </c>
      <c r="CA160" s="403">
        <f t="shared" si="1281"/>
        <v>0</v>
      </c>
      <c r="CB160" s="400">
        <f t="shared" si="1282"/>
        <v>0</v>
      </c>
      <c r="CC160" s="401">
        <f t="shared" si="1283"/>
        <v>0</v>
      </c>
      <c r="CD160" s="401">
        <f t="shared" si="1284"/>
        <v>0</v>
      </c>
      <c r="CE160" s="402">
        <f t="shared" si="1285"/>
        <v>0</v>
      </c>
      <c r="CF160" s="403">
        <f t="shared" si="1286"/>
        <v>0</v>
      </c>
      <c r="CG160" s="400">
        <f t="shared" si="1287"/>
        <v>0</v>
      </c>
      <c r="CH160" s="401">
        <f t="shared" si="1288"/>
        <v>0</v>
      </c>
      <c r="CI160" s="401">
        <f t="shared" si="1289"/>
        <v>0</v>
      </c>
      <c r="CJ160" s="402">
        <f t="shared" si="1290"/>
        <v>0</v>
      </c>
      <c r="CK160" s="403">
        <f t="shared" si="1291"/>
        <v>0</v>
      </c>
      <c r="CL160" s="400">
        <f t="shared" si="1292"/>
        <v>0</v>
      </c>
      <c r="CM160" s="401">
        <f t="shared" si="1293"/>
        <v>0</v>
      </c>
      <c r="CN160" s="401">
        <f t="shared" si="1294"/>
        <v>0</v>
      </c>
      <c r="CO160" s="402">
        <f t="shared" si="1295"/>
        <v>0</v>
      </c>
      <c r="CP160" s="403">
        <f t="shared" si="1296"/>
        <v>0</v>
      </c>
      <c r="CQ160" s="400">
        <f t="shared" si="1297"/>
        <v>0</v>
      </c>
      <c r="CR160" s="401">
        <f t="shared" si="1298"/>
        <v>0</v>
      </c>
      <c r="CS160" s="401">
        <f t="shared" si="1299"/>
        <v>0</v>
      </c>
      <c r="CT160" s="402">
        <f t="shared" si="1300"/>
        <v>0</v>
      </c>
      <c r="CU160" s="403">
        <f t="shared" si="1301"/>
        <v>0</v>
      </c>
      <c r="CV160" s="400">
        <f t="shared" si="1302"/>
        <v>0</v>
      </c>
      <c r="CW160" s="401">
        <f t="shared" si="1303"/>
        <v>0</v>
      </c>
      <c r="CX160" s="401">
        <f t="shared" si="1304"/>
        <v>0</v>
      </c>
      <c r="CY160" s="402">
        <f t="shared" si="1305"/>
        <v>0</v>
      </c>
      <c r="CZ160" s="403">
        <f t="shared" si="1306"/>
        <v>0</v>
      </c>
      <c r="DA160" s="400">
        <f t="shared" si="1307"/>
        <v>0</v>
      </c>
      <c r="DB160" s="401">
        <f t="shared" si="1308"/>
        <v>0</v>
      </c>
      <c r="DC160" s="401">
        <f t="shared" si="1309"/>
        <v>3.5</v>
      </c>
      <c r="DD160" s="402">
        <f t="shared" si="1310"/>
        <v>3.5</v>
      </c>
      <c r="DE160" s="403">
        <f t="shared" si="1311"/>
        <v>7</v>
      </c>
      <c r="DF160" s="400">
        <f t="shared" si="1312"/>
        <v>3.5</v>
      </c>
      <c r="DG160" s="401">
        <f t="shared" si="1313"/>
        <v>3.5</v>
      </c>
      <c r="DH160" s="401">
        <f t="shared" si="1314"/>
        <v>0</v>
      </c>
      <c r="DI160" s="402">
        <f t="shared" si="1315"/>
        <v>0</v>
      </c>
      <c r="DJ160" s="403">
        <f t="shared" si="1316"/>
        <v>7</v>
      </c>
      <c r="DK160" s="400">
        <f t="shared" si="1317"/>
        <v>0</v>
      </c>
      <c r="DL160" s="401">
        <f t="shared" si="1318"/>
        <v>0</v>
      </c>
      <c r="DM160" s="401">
        <f t="shared" si="1319"/>
        <v>0</v>
      </c>
      <c r="DN160" s="402">
        <f t="shared" si="1320"/>
        <v>0</v>
      </c>
      <c r="DO160" s="403">
        <f t="shared" si="1321"/>
        <v>0</v>
      </c>
      <c r="DP160" s="400">
        <f t="shared" si="1322"/>
        <v>0</v>
      </c>
      <c r="DQ160" s="401">
        <f t="shared" si="1323"/>
        <v>0</v>
      </c>
      <c r="DR160" s="401">
        <f t="shared" si="1324"/>
        <v>0</v>
      </c>
      <c r="DS160" s="402">
        <f t="shared" si="1325"/>
        <v>0</v>
      </c>
      <c r="DT160" s="403">
        <f t="shared" si="1326"/>
        <v>0</v>
      </c>
    </row>
    <row r="161" spans="1:124" ht="12.75" customHeight="1" x14ac:dyDescent="0.2">
      <c r="C161" s="847" t="s">
        <v>560</v>
      </c>
      <c r="D161" s="52"/>
      <c r="E161" s="530">
        <f>+SPS!BG146</f>
        <v>400</v>
      </c>
      <c r="F161" s="537"/>
      <c r="G161" s="537"/>
      <c r="H161" s="468">
        <v>2019</v>
      </c>
      <c r="I161" s="469">
        <v>4.4999999999999998E-2</v>
      </c>
      <c r="J161" s="470">
        <v>7</v>
      </c>
      <c r="K161" s="392"/>
      <c r="L161" s="393">
        <f t="shared" si="1215"/>
        <v>0</v>
      </c>
      <c r="M161" s="394">
        <f t="shared" si="1216"/>
        <v>0</v>
      </c>
      <c r="N161" s="395">
        <f t="shared" si="1217"/>
        <v>0</v>
      </c>
      <c r="O161" s="395">
        <f t="shared" si="1218"/>
        <v>0</v>
      </c>
      <c r="P161" s="396">
        <f t="shared" si="1219"/>
        <v>0</v>
      </c>
      <c r="Q161" s="397">
        <f t="shared" si="1220"/>
        <v>0</v>
      </c>
      <c r="R161" s="394">
        <f t="shared" si="1221"/>
        <v>0</v>
      </c>
      <c r="S161" s="395">
        <f t="shared" si="1222"/>
        <v>0</v>
      </c>
      <c r="T161" s="395">
        <f t="shared" si="1223"/>
        <v>0</v>
      </c>
      <c r="U161" s="396">
        <f t="shared" si="1224"/>
        <v>0</v>
      </c>
      <c r="V161" s="397">
        <f t="shared" si="1225"/>
        <v>0</v>
      </c>
      <c r="W161" s="394">
        <f t="shared" si="1226"/>
        <v>0</v>
      </c>
      <c r="X161" s="395">
        <f t="shared" si="1227"/>
        <v>0</v>
      </c>
      <c r="Y161" s="395">
        <f t="shared" si="1228"/>
        <v>0</v>
      </c>
      <c r="Z161" s="396">
        <f t="shared" si="1229"/>
        <v>0</v>
      </c>
      <c r="AA161" s="397">
        <f t="shared" si="1230"/>
        <v>0</v>
      </c>
      <c r="AB161" s="394">
        <f t="shared" si="1231"/>
        <v>0</v>
      </c>
      <c r="AC161" s="395">
        <f t="shared" si="1232"/>
        <v>0</v>
      </c>
      <c r="AD161" s="395">
        <f t="shared" si="1233"/>
        <v>0</v>
      </c>
      <c r="AE161" s="396">
        <f t="shared" si="1234"/>
        <v>0</v>
      </c>
      <c r="AF161" s="397">
        <f t="shared" si="1235"/>
        <v>0</v>
      </c>
      <c r="AG161" s="394">
        <f t="shared" si="1236"/>
        <v>0</v>
      </c>
      <c r="AH161" s="395">
        <f t="shared" si="1237"/>
        <v>0</v>
      </c>
      <c r="AI161" s="395">
        <f t="shared" si="1238"/>
        <v>0</v>
      </c>
      <c r="AJ161" s="396">
        <f t="shared" si="1239"/>
        <v>0</v>
      </c>
      <c r="AK161" s="397">
        <f t="shared" si="1240"/>
        <v>0</v>
      </c>
      <c r="AL161" s="394">
        <f t="shared" si="1241"/>
        <v>0</v>
      </c>
      <c r="AM161" s="395">
        <f t="shared" si="1242"/>
        <v>0</v>
      </c>
      <c r="AN161" s="395">
        <f t="shared" si="1243"/>
        <v>0</v>
      </c>
      <c r="AO161" s="396">
        <f t="shared" si="1244"/>
        <v>0</v>
      </c>
      <c r="AP161" s="397">
        <f t="shared" si="1245"/>
        <v>0</v>
      </c>
      <c r="AQ161" s="394">
        <f t="shared" si="1246"/>
        <v>0</v>
      </c>
      <c r="AR161" s="395">
        <f t="shared" si="1247"/>
        <v>0</v>
      </c>
      <c r="AS161" s="395">
        <f t="shared" si="1248"/>
        <v>0</v>
      </c>
      <c r="AT161" s="396">
        <f t="shared" si="1249"/>
        <v>0</v>
      </c>
      <c r="AU161" s="397">
        <f t="shared" si="1250"/>
        <v>0</v>
      </c>
      <c r="AV161" s="394">
        <f t="shared" si="1251"/>
        <v>0</v>
      </c>
      <c r="AW161" s="395">
        <f t="shared" si="1252"/>
        <v>0</v>
      </c>
      <c r="AX161" s="395">
        <f t="shared" si="1253"/>
        <v>0</v>
      </c>
      <c r="AY161" s="396">
        <f t="shared" si="1254"/>
        <v>0</v>
      </c>
      <c r="AZ161" s="397">
        <f t="shared" si="1255"/>
        <v>0</v>
      </c>
      <c r="BA161" s="394">
        <f t="shared" si="1256"/>
        <v>0</v>
      </c>
      <c r="BB161" s="395">
        <f t="shared" si="1257"/>
        <v>0</v>
      </c>
      <c r="BC161" s="395">
        <f t="shared" si="1258"/>
        <v>400</v>
      </c>
      <c r="BD161" s="396">
        <f t="shared" si="1259"/>
        <v>0</v>
      </c>
      <c r="BE161" s="397">
        <f t="shared" si="1260"/>
        <v>400</v>
      </c>
      <c r="BF161" s="394">
        <f t="shared" si="1261"/>
        <v>0</v>
      </c>
      <c r="BG161" s="395">
        <f t="shared" si="1262"/>
        <v>0</v>
      </c>
      <c r="BH161" s="395">
        <f t="shared" si="1263"/>
        <v>0</v>
      </c>
      <c r="BI161" s="396">
        <f t="shared" si="1264"/>
        <v>0</v>
      </c>
      <c r="BJ161" s="397">
        <f t="shared" si="1265"/>
        <v>0</v>
      </c>
      <c r="BK161" s="394">
        <f t="shared" si="1266"/>
        <v>0</v>
      </c>
      <c r="BL161" s="395">
        <f t="shared" si="1267"/>
        <v>0</v>
      </c>
      <c r="BM161" s="395">
        <f t="shared" si="1268"/>
        <v>0</v>
      </c>
      <c r="BN161" s="396">
        <f t="shared" si="1269"/>
        <v>0</v>
      </c>
      <c r="BO161" s="397">
        <f t="shared" si="1270"/>
        <v>0</v>
      </c>
      <c r="BP161" s="445"/>
      <c r="BQ161" s="399">
        <f t="shared" si="1271"/>
        <v>0</v>
      </c>
      <c r="BR161" s="400">
        <f t="shared" si="1272"/>
        <v>0</v>
      </c>
      <c r="BS161" s="401">
        <f t="shared" si="1273"/>
        <v>0</v>
      </c>
      <c r="BT161" s="401">
        <f t="shared" si="1274"/>
        <v>0</v>
      </c>
      <c r="BU161" s="402">
        <f t="shared" si="1275"/>
        <v>0</v>
      </c>
      <c r="BV161" s="403">
        <f t="shared" si="1276"/>
        <v>0</v>
      </c>
      <c r="BW161" s="400">
        <f t="shared" si="1277"/>
        <v>0</v>
      </c>
      <c r="BX161" s="401">
        <f t="shared" si="1278"/>
        <v>0</v>
      </c>
      <c r="BY161" s="401">
        <f t="shared" si="1279"/>
        <v>0</v>
      </c>
      <c r="BZ161" s="402">
        <f t="shared" si="1280"/>
        <v>0</v>
      </c>
      <c r="CA161" s="403">
        <f t="shared" si="1281"/>
        <v>0</v>
      </c>
      <c r="CB161" s="400">
        <f t="shared" si="1282"/>
        <v>0</v>
      </c>
      <c r="CC161" s="401">
        <f t="shared" si="1283"/>
        <v>0</v>
      </c>
      <c r="CD161" s="401">
        <f t="shared" si="1284"/>
        <v>0</v>
      </c>
      <c r="CE161" s="402">
        <f t="shared" si="1285"/>
        <v>0</v>
      </c>
      <c r="CF161" s="403">
        <f t="shared" si="1286"/>
        <v>0</v>
      </c>
      <c r="CG161" s="400">
        <f t="shared" si="1287"/>
        <v>0</v>
      </c>
      <c r="CH161" s="401">
        <f t="shared" si="1288"/>
        <v>0</v>
      </c>
      <c r="CI161" s="401">
        <f t="shared" si="1289"/>
        <v>0</v>
      </c>
      <c r="CJ161" s="402">
        <f t="shared" si="1290"/>
        <v>0</v>
      </c>
      <c r="CK161" s="403">
        <f t="shared" si="1291"/>
        <v>0</v>
      </c>
      <c r="CL161" s="400">
        <f t="shared" si="1292"/>
        <v>0</v>
      </c>
      <c r="CM161" s="401">
        <f t="shared" si="1293"/>
        <v>0</v>
      </c>
      <c r="CN161" s="401">
        <f t="shared" si="1294"/>
        <v>0</v>
      </c>
      <c r="CO161" s="402">
        <f t="shared" si="1295"/>
        <v>0</v>
      </c>
      <c r="CP161" s="403">
        <f t="shared" si="1296"/>
        <v>0</v>
      </c>
      <c r="CQ161" s="400">
        <f t="shared" si="1297"/>
        <v>0</v>
      </c>
      <c r="CR161" s="401">
        <f t="shared" si="1298"/>
        <v>0</v>
      </c>
      <c r="CS161" s="401">
        <f t="shared" si="1299"/>
        <v>0</v>
      </c>
      <c r="CT161" s="402">
        <f t="shared" si="1300"/>
        <v>0</v>
      </c>
      <c r="CU161" s="403">
        <f t="shared" si="1301"/>
        <v>0</v>
      </c>
      <c r="CV161" s="400">
        <f t="shared" si="1302"/>
        <v>0</v>
      </c>
      <c r="CW161" s="401">
        <f t="shared" si="1303"/>
        <v>0</v>
      </c>
      <c r="CX161" s="401">
        <f t="shared" si="1304"/>
        <v>0</v>
      </c>
      <c r="CY161" s="402">
        <f t="shared" si="1305"/>
        <v>0</v>
      </c>
      <c r="CZ161" s="403">
        <f t="shared" si="1306"/>
        <v>0</v>
      </c>
      <c r="DA161" s="400">
        <f t="shared" si="1307"/>
        <v>0</v>
      </c>
      <c r="DB161" s="401">
        <f t="shared" si="1308"/>
        <v>0</v>
      </c>
      <c r="DC161" s="401">
        <f t="shared" si="1309"/>
        <v>0</v>
      </c>
      <c r="DD161" s="402">
        <f t="shared" si="1310"/>
        <v>0</v>
      </c>
      <c r="DE161" s="403">
        <f t="shared" si="1311"/>
        <v>0</v>
      </c>
      <c r="DF161" s="400">
        <f t="shared" si="1312"/>
        <v>0</v>
      </c>
      <c r="DG161" s="401">
        <f t="shared" si="1313"/>
        <v>0</v>
      </c>
      <c r="DH161" s="401">
        <f t="shared" si="1314"/>
        <v>4.5</v>
      </c>
      <c r="DI161" s="402">
        <f t="shared" si="1315"/>
        <v>4.5</v>
      </c>
      <c r="DJ161" s="403">
        <f t="shared" si="1316"/>
        <v>9</v>
      </c>
      <c r="DK161" s="400">
        <f t="shared" si="1317"/>
        <v>4.5</v>
      </c>
      <c r="DL161" s="401">
        <f t="shared" si="1318"/>
        <v>4.5</v>
      </c>
      <c r="DM161" s="401">
        <f t="shared" si="1319"/>
        <v>0</v>
      </c>
      <c r="DN161" s="402">
        <f t="shared" si="1320"/>
        <v>0</v>
      </c>
      <c r="DO161" s="403">
        <f t="shared" si="1321"/>
        <v>9</v>
      </c>
      <c r="DP161" s="400">
        <f t="shared" si="1322"/>
        <v>0</v>
      </c>
      <c r="DQ161" s="401">
        <f t="shared" si="1323"/>
        <v>0</v>
      </c>
      <c r="DR161" s="401">
        <f t="shared" si="1324"/>
        <v>0</v>
      </c>
      <c r="DS161" s="402">
        <f t="shared" si="1325"/>
        <v>0</v>
      </c>
      <c r="DT161" s="403">
        <f t="shared" si="1326"/>
        <v>0</v>
      </c>
    </row>
    <row r="162" spans="1:124" ht="12.75" customHeight="1" x14ac:dyDescent="0.2">
      <c r="C162" s="847" t="s">
        <v>603</v>
      </c>
      <c r="D162" s="52"/>
      <c r="E162" s="530">
        <f>+SPS!BL146</f>
        <v>150</v>
      </c>
      <c r="F162" s="537"/>
      <c r="G162" s="537"/>
      <c r="H162" s="468">
        <v>2020</v>
      </c>
      <c r="I162" s="469">
        <v>4.4999999999999998E-2</v>
      </c>
      <c r="J162" s="470">
        <v>7</v>
      </c>
      <c r="K162" s="392"/>
      <c r="L162" s="393">
        <f t="shared" si="1215"/>
        <v>0</v>
      </c>
      <c r="M162" s="394">
        <f t="shared" si="1216"/>
        <v>0</v>
      </c>
      <c r="N162" s="395">
        <f t="shared" si="1217"/>
        <v>0</v>
      </c>
      <c r="O162" s="395">
        <f t="shared" si="1218"/>
        <v>0</v>
      </c>
      <c r="P162" s="396">
        <f t="shared" si="1219"/>
        <v>0</v>
      </c>
      <c r="Q162" s="397">
        <f t="shared" si="1220"/>
        <v>0</v>
      </c>
      <c r="R162" s="394">
        <f t="shared" si="1221"/>
        <v>0</v>
      </c>
      <c r="S162" s="395">
        <f t="shared" si="1222"/>
        <v>0</v>
      </c>
      <c r="T162" s="395">
        <f t="shared" si="1223"/>
        <v>0</v>
      </c>
      <c r="U162" s="396">
        <f t="shared" si="1224"/>
        <v>0</v>
      </c>
      <c r="V162" s="397">
        <f t="shared" si="1225"/>
        <v>0</v>
      </c>
      <c r="W162" s="394">
        <f t="shared" si="1226"/>
        <v>0</v>
      </c>
      <c r="X162" s="395">
        <f t="shared" si="1227"/>
        <v>0</v>
      </c>
      <c r="Y162" s="395">
        <f t="shared" si="1228"/>
        <v>0</v>
      </c>
      <c r="Z162" s="396">
        <f t="shared" si="1229"/>
        <v>0</v>
      </c>
      <c r="AA162" s="397">
        <f t="shared" si="1230"/>
        <v>0</v>
      </c>
      <c r="AB162" s="394">
        <f t="shared" si="1231"/>
        <v>0</v>
      </c>
      <c r="AC162" s="395">
        <f t="shared" si="1232"/>
        <v>0</v>
      </c>
      <c r="AD162" s="395">
        <f t="shared" si="1233"/>
        <v>0</v>
      </c>
      <c r="AE162" s="396">
        <f t="shared" si="1234"/>
        <v>0</v>
      </c>
      <c r="AF162" s="397">
        <f t="shared" si="1235"/>
        <v>0</v>
      </c>
      <c r="AG162" s="394">
        <f t="shared" si="1236"/>
        <v>0</v>
      </c>
      <c r="AH162" s="395">
        <f t="shared" si="1237"/>
        <v>0</v>
      </c>
      <c r="AI162" s="395">
        <f t="shared" si="1238"/>
        <v>0</v>
      </c>
      <c r="AJ162" s="396">
        <f t="shared" si="1239"/>
        <v>0</v>
      </c>
      <c r="AK162" s="397">
        <f t="shared" si="1240"/>
        <v>0</v>
      </c>
      <c r="AL162" s="394">
        <f t="shared" si="1241"/>
        <v>0</v>
      </c>
      <c r="AM162" s="395">
        <f t="shared" si="1242"/>
        <v>0</v>
      </c>
      <c r="AN162" s="395">
        <f t="shared" si="1243"/>
        <v>0</v>
      </c>
      <c r="AO162" s="396">
        <f t="shared" si="1244"/>
        <v>0</v>
      </c>
      <c r="AP162" s="397">
        <f t="shared" si="1245"/>
        <v>0</v>
      </c>
      <c r="AQ162" s="394">
        <f t="shared" si="1246"/>
        <v>0</v>
      </c>
      <c r="AR162" s="395">
        <f t="shared" si="1247"/>
        <v>0</v>
      </c>
      <c r="AS162" s="395">
        <f t="shared" si="1248"/>
        <v>0</v>
      </c>
      <c r="AT162" s="396">
        <f t="shared" si="1249"/>
        <v>0</v>
      </c>
      <c r="AU162" s="397">
        <f t="shared" si="1250"/>
        <v>0</v>
      </c>
      <c r="AV162" s="394">
        <f t="shared" si="1251"/>
        <v>0</v>
      </c>
      <c r="AW162" s="395">
        <f t="shared" si="1252"/>
        <v>0</v>
      </c>
      <c r="AX162" s="395">
        <f t="shared" si="1253"/>
        <v>0</v>
      </c>
      <c r="AY162" s="396">
        <f t="shared" si="1254"/>
        <v>0</v>
      </c>
      <c r="AZ162" s="397">
        <f t="shared" si="1255"/>
        <v>0</v>
      </c>
      <c r="BA162" s="394">
        <f t="shared" si="1256"/>
        <v>0</v>
      </c>
      <c r="BB162" s="395">
        <f t="shared" si="1257"/>
        <v>0</v>
      </c>
      <c r="BC162" s="395">
        <f t="shared" si="1258"/>
        <v>0</v>
      </c>
      <c r="BD162" s="396">
        <f t="shared" si="1259"/>
        <v>0</v>
      </c>
      <c r="BE162" s="397">
        <f t="shared" si="1260"/>
        <v>0</v>
      </c>
      <c r="BF162" s="394">
        <f t="shared" si="1261"/>
        <v>0</v>
      </c>
      <c r="BG162" s="395">
        <f t="shared" si="1262"/>
        <v>0</v>
      </c>
      <c r="BH162" s="395">
        <f t="shared" si="1263"/>
        <v>150</v>
      </c>
      <c r="BI162" s="396">
        <f t="shared" si="1264"/>
        <v>0</v>
      </c>
      <c r="BJ162" s="397">
        <f t="shared" si="1265"/>
        <v>150</v>
      </c>
      <c r="BK162" s="394">
        <f t="shared" si="1266"/>
        <v>0</v>
      </c>
      <c r="BL162" s="395">
        <f t="shared" si="1267"/>
        <v>0</v>
      </c>
      <c r="BM162" s="395">
        <f t="shared" si="1268"/>
        <v>0</v>
      </c>
      <c r="BN162" s="396">
        <f t="shared" si="1269"/>
        <v>0</v>
      </c>
      <c r="BO162" s="397">
        <f t="shared" si="1270"/>
        <v>0</v>
      </c>
      <c r="BP162" s="445"/>
      <c r="BQ162" s="399">
        <f t="shared" si="1271"/>
        <v>0</v>
      </c>
      <c r="BR162" s="400">
        <f t="shared" si="1272"/>
        <v>0</v>
      </c>
      <c r="BS162" s="401">
        <f t="shared" si="1273"/>
        <v>0</v>
      </c>
      <c r="BT162" s="401">
        <f t="shared" si="1274"/>
        <v>0</v>
      </c>
      <c r="BU162" s="402">
        <f t="shared" si="1275"/>
        <v>0</v>
      </c>
      <c r="BV162" s="403">
        <f t="shared" si="1276"/>
        <v>0</v>
      </c>
      <c r="BW162" s="400">
        <f t="shared" si="1277"/>
        <v>0</v>
      </c>
      <c r="BX162" s="401">
        <f t="shared" si="1278"/>
        <v>0</v>
      </c>
      <c r="BY162" s="401">
        <f t="shared" si="1279"/>
        <v>0</v>
      </c>
      <c r="BZ162" s="402">
        <f t="shared" si="1280"/>
        <v>0</v>
      </c>
      <c r="CA162" s="403">
        <f t="shared" si="1281"/>
        <v>0</v>
      </c>
      <c r="CB162" s="400">
        <f t="shared" si="1282"/>
        <v>0</v>
      </c>
      <c r="CC162" s="401">
        <f t="shared" si="1283"/>
        <v>0</v>
      </c>
      <c r="CD162" s="401">
        <f t="shared" si="1284"/>
        <v>0</v>
      </c>
      <c r="CE162" s="402">
        <f t="shared" si="1285"/>
        <v>0</v>
      </c>
      <c r="CF162" s="403">
        <f t="shared" si="1286"/>
        <v>0</v>
      </c>
      <c r="CG162" s="400">
        <f t="shared" si="1287"/>
        <v>0</v>
      </c>
      <c r="CH162" s="401">
        <f t="shared" si="1288"/>
        <v>0</v>
      </c>
      <c r="CI162" s="401">
        <f t="shared" si="1289"/>
        <v>0</v>
      </c>
      <c r="CJ162" s="402">
        <f t="shared" si="1290"/>
        <v>0</v>
      </c>
      <c r="CK162" s="403">
        <f t="shared" si="1291"/>
        <v>0</v>
      </c>
      <c r="CL162" s="400">
        <f t="shared" si="1292"/>
        <v>0</v>
      </c>
      <c r="CM162" s="401">
        <f t="shared" si="1293"/>
        <v>0</v>
      </c>
      <c r="CN162" s="401">
        <f t="shared" si="1294"/>
        <v>0</v>
      </c>
      <c r="CO162" s="402">
        <f t="shared" si="1295"/>
        <v>0</v>
      </c>
      <c r="CP162" s="403">
        <f t="shared" si="1296"/>
        <v>0</v>
      </c>
      <c r="CQ162" s="400">
        <f t="shared" si="1297"/>
        <v>0</v>
      </c>
      <c r="CR162" s="401">
        <f t="shared" si="1298"/>
        <v>0</v>
      </c>
      <c r="CS162" s="401">
        <f t="shared" si="1299"/>
        <v>0</v>
      </c>
      <c r="CT162" s="402">
        <f t="shared" si="1300"/>
        <v>0</v>
      </c>
      <c r="CU162" s="403">
        <f t="shared" si="1301"/>
        <v>0</v>
      </c>
      <c r="CV162" s="400">
        <f t="shared" si="1302"/>
        <v>0</v>
      </c>
      <c r="CW162" s="401">
        <f t="shared" si="1303"/>
        <v>0</v>
      </c>
      <c r="CX162" s="401">
        <f t="shared" si="1304"/>
        <v>0</v>
      </c>
      <c r="CY162" s="402">
        <f t="shared" si="1305"/>
        <v>0</v>
      </c>
      <c r="CZ162" s="403">
        <f t="shared" si="1306"/>
        <v>0</v>
      </c>
      <c r="DA162" s="400">
        <f t="shared" si="1307"/>
        <v>0</v>
      </c>
      <c r="DB162" s="401">
        <f t="shared" si="1308"/>
        <v>0</v>
      </c>
      <c r="DC162" s="401">
        <f t="shared" si="1309"/>
        <v>0</v>
      </c>
      <c r="DD162" s="402">
        <f t="shared" si="1310"/>
        <v>0</v>
      </c>
      <c r="DE162" s="403">
        <f t="shared" si="1311"/>
        <v>0</v>
      </c>
      <c r="DF162" s="400">
        <f t="shared" si="1312"/>
        <v>0</v>
      </c>
      <c r="DG162" s="401">
        <f t="shared" si="1313"/>
        <v>0</v>
      </c>
      <c r="DH162" s="401">
        <f t="shared" si="1314"/>
        <v>0</v>
      </c>
      <c r="DI162" s="402">
        <f t="shared" si="1315"/>
        <v>0</v>
      </c>
      <c r="DJ162" s="403">
        <f t="shared" si="1316"/>
        <v>0</v>
      </c>
      <c r="DK162" s="400">
        <f t="shared" si="1317"/>
        <v>0</v>
      </c>
      <c r="DL162" s="401">
        <f t="shared" si="1318"/>
        <v>0</v>
      </c>
      <c r="DM162" s="401">
        <f t="shared" si="1319"/>
        <v>1.6875</v>
      </c>
      <c r="DN162" s="402">
        <f t="shared" si="1320"/>
        <v>1.6875</v>
      </c>
      <c r="DO162" s="403">
        <f t="shared" si="1321"/>
        <v>3.375</v>
      </c>
      <c r="DP162" s="400">
        <f t="shared" si="1322"/>
        <v>1.6875</v>
      </c>
      <c r="DQ162" s="401">
        <f t="shared" si="1323"/>
        <v>1.6875</v>
      </c>
      <c r="DR162" s="401">
        <f t="shared" si="1324"/>
        <v>0</v>
      </c>
      <c r="DS162" s="402">
        <f t="shared" si="1325"/>
        <v>0</v>
      </c>
      <c r="DT162" s="403">
        <f t="shared" si="1326"/>
        <v>3.375</v>
      </c>
    </row>
    <row r="163" spans="1:124" ht="12.75" customHeight="1" x14ac:dyDescent="0.2">
      <c r="C163" s="996" t="s">
        <v>674</v>
      </c>
      <c r="D163" s="52"/>
      <c r="E163" s="530">
        <f>+SPS!BQ146</f>
        <v>150</v>
      </c>
      <c r="F163" s="537"/>
      <c r="G163" s="537"/>
      <c r="H163" s="468">
        <v>2021</v>
      </c>
      <c r="I163" s="469">
        <v>4.4999999999999998E-2</v>
      </c>
      <c r="J163" s="470">
        <v>7</v>
      </c>
      <c r="K163" s="392"/>
      <c r="L163" s="393">
        <f t="shared" si="1215"/>
        <v>0</v>
      </c>
      <c r="M163" s="394">
        <f t="shared" ref="M163" si="1327">IF(Q163=0,0,IF(Q163&gt;0,IF($J163=3,Q163,IF($J163=2,Q163,IF($J163=1,Q163,0)))))</f>
        <v>0</v>
      </c>
      <c r="N163" s="395">
        <f t="shared" ref="N163" si="1328">IF(Q163=0,0,IF(Q163&gt;0,IF($J163=6,Q163,IF($J163=5,Q163,IF($J163=4,Q163,0)))))</f>
        <v>0</v>
      </c>
      <c r="O163" s="395">
        <f t="shared" ref="O163" si="1329">IF(Q163=0,0,IF(Q163&gt;0,IF($J163=9,Q163,IF($J163=8,Q163,IF($J163=7,Q163,0)))))</f>
        <v>0</v>
      </c>
      <c r="P163" s="396">
        <f t="shared" ref="P163" si="1330">IF(Q163=0,0,IF(Q163&gt;0,IF($J163=12,Q163,IF($J163=11,Q163,IF($J163=10,Q163,0)))))</f>
        <v>0</v>
      </c>
      <c r="Q163" s="397">
        <f t="shared" si="1220"/>
        <v>0</v>
      </c>
      <c r="R163" s="394">
        <f t="shared" ref="R163" si="1331">IF(V163=0,0,IF(V163&gt;0,IF($J163=3,V163,IF($J163=2,V163,IF($J163=1,V163,0)))))</f>
        <v>0</v>
      </c>
      <c r="S163" s="395">
        <f t="shared" ref="S163" si="1332">IF(V163=0,0,IF(V163&gt;0,IF($J163=6,V163,IF($J163=5,V163,IF($J163=4,V163,0)))))</f>
        <v>0</v>
      </c>
      <c r="T163" s="395">
        <f t="shared" ref="T163" si="1333">IF(V163=0,0,IF(V163&gt;0,IF($J163=9,V163,IF($J163=8,V163,IF($J163=7,V163,0)))))</f>
        <v>0</v>
      </c>
      <c r="U163" s="396">
        <f t="shared" ref="U163" si="1334">IF(V163=0,0,IF(V163&gt;0,IF($J163=12,V163,IF($J163=11,V163,IF($J163=10,V163,0)))))</f>
        <v>0</v>
      </c>
      <c r="V163" s="397">
        <f t="shared" si="1225"/>
        <v>0</v>
      </c>
      <c r="W163" s="394">
        <f t="shared" ref="W163" si="1335">IF(AA163=0,0,IF(AA163&gt;0,IF($J163=3,AA163,IF($J163=2,AA163,IF($J163=1,AA163,0)))))</f>
        <v>0</v>
      </c>
      <c r="X163" s="395">
        <f t="shared" ref="X163" si="1336">IF(AA163=0,0,IF(AA163&gt;0,IF($J163=6,AA163,IF($J163=5,AA163,IF($J163=4,AA163,0)))))</f>
        <v>0</v>
      </c>
      <c r="Y163" s="395">
        <f t="shared" ref="Y163" si="1337">IF(AA163=0,0,IF(AA163&gt;0,IF($J163=9,AA163,IF($J163=8,AA163,IF($J163=7,AA163,0)))))</f>
        <v>0</v>
      </c>
      <c r="Z163" s="396">
        <f t="shared" ref="Z163" si="1338">IF(AA163=0,0,IF(AA163&gt;0,IF($J163=12,AA163,IF($J163=11,AA163,IF($J163=10,AA163,0)))))</f>
        <v>0</v>
      </c>
      <c r="AA163" s="397">
        <f t="shared" si="1230"/>
        <v>0</v>
      </c>
      <c r="AB163" s="394">
        <f t="shared" ref="AB163" si="1339">IF(AF163=0,0,IF(AF163&gt;0,IF($J163=3,AF163,IF($J163=2,AF163,IF($J163=1,AF163,0)))))</f>
        <v>0</v>
      </c>
      <c r="AC163" s="395">
        <f t="shared" ref="AC163" si="1340">IF(AF163=0,0,IF(AF163&gt;0,IF($J163=6,AF163,IF($J163=5,AF163,IF($J163=4,AF163,0)))))</f>
        <v>0</v>
      </c>
      <c r="AD163" s="395">
        <f t="shared" ref="AD163" si="1341">IF(AF163=0,0,IF(AF163&gt;0,IF($J163=9,AF163,IF($J163=8,AF163,IF($J163=7,AF163,0)))))</f>
        <v>0</v>
      </c>
      <c r="AE163" s="396">
        <f t="shared" ref="AE163" si="1342">IF(AF163=0,0,IF(AF163&gt;0,IF($J163=12,AF163,IF($J163=11,AF163,IF($J163=10,AF163,0)))))</f>
        <v>0</v>
      </c>
      <c r="AF163" s="397">
        <f t="shared" si="1235"/>
        <v>0</v>
      </c>
      <c r="AG163" s="394">
        <f t="shared" ref="AG163" si="1343">IF(AK163=0,0,IF(AK163&gt;0,IF($J163=3,AK163,IF($J163=2,AK163,IF($J163=1,AK163,0)))))</f>
        <v>0</v>
      </c>
      <c r="AH163" s="395">
        <f t="shared" ref="AH163" si="1344">IF(AK163=0,0,IF(AK163&gt;0,IF($J163=6,AK163,IF($J163=5,AK163,IF($J163=4,AK163,0)))))</f>
        <v>0</v>
      </c>
      <c r="AI163" s="395">
        <f t="shared" ref="AI163" si="1345">IF(AK163=0,0,IF(AK163&gt;0,IF($J163=9,AK163,IF($J163=8,AK163,IF($J163=7,AK163,0)))))</f>
        <v>0</v>
      </c>
      <c r="AJ163" s="396">
        <f t="shared" ref="AJ163" si="1346">IF(AK163=0,0,IF(AK163&gt;0,IF($J163=12,AK163,IF($J163=11,AK163,IF($J163=10,AK163,0)))))</f>
        <v>0</v>
      </c>
      <c r="AK163" s="397">
        <f t="shared" si="1240"/>
        <v>0</v>
      </c>
      <c r="AL163" s="394">
        <f t="shared" ref="AL163" si="1347">IF(AP163=0,0,IF(AP163&gt;0,IF($J163=3,AP163,IF($J163=2,AP163,IF($J163=1,AP163,0)))))</f>
        <v>0</v>
      </c>
      <c r="AM163" s="395">
        <f t="shared" ref="AM163" si="1348">IF(AP163=0,0,IF(AP163&gt;0,IF($J163=6,AP163,IF($J163=5,AP163,IF($J163=4,AP163,0)))))</f>
        <v>0</v>
      </c>
      <c r="AN163" s="395">
        <f t="shared" ref="AN163" si="1349">IF(AP163=0,0,IF(AP163&gt;0,IF($J163=9,AP163,IF($J163=8,AP163,IF($J163=7,AP163,0)))))</f>
        <v>0</v>
      </c>
      <c r="AO163" s="396">
        <f t="shared" ref="AO163" si="1350">IF(AP163=0,0,IF(AP163&gt;0,IF($J163=12,AP163,IF($J163=11,AP163,IF($J163=10,AP163,0)))))</f>
        <v>0</v>
      </c>
      <c r="AP163" s="397">
        <f t="shared" si="1245"/>
        <v>0</v>
      </c>
      <c r="AQ163" s="394">
        <f t="shared" ref="AQ163" si="1351">IF(AU163=0,0,IF(AU163&gt;0,IF($J163=3,AU163,IF($J163=2,AU163,IF($J163=1,AU163,0)))))</f>
        <v>0</v>
      </c>
      <c r="AR163" s="395">
        <f t="shared" ref="AR163" si="1352">IF(AU163=0,0,IF(AU163&gt;0,IF($J163=6,AU163,IF($J163=5,AU163,IF($J163=4,AU163,0)))))</f>
        <v>0</v>
      </c>
      <c r="AS163" s="395">
        <f t="shared" ref="AS163" si="1353">IF(AU163=0,0,IF(AU163&gt;0,IF($J163=9,AU163,IF($J163=8,AU163,IF($J163=7,AU163,0)))))</f>
        <v>0</v>
      </c>
      <c r="AT163" s="396">
        <f t="shared" ref="AT163" si="1354">IF(AU163=0,0,IF(AU163&gt;0,IF($J163=12,AU163,IF($J163=11,AU163,IF($J163=10,AU163,0)))))</f>
        <v>0</v>
      </c>
      <c r="AU163" s="397">
        <f t="shared" si="1250"/>
        <v>0</v>
      </c>
      <c r="AV163" s="394">
        <f t="shared" ref="AV163" si="1355">IF(AZ163=0,0,IF(AZ163&gt;0,IF($J163=3,AZ163,IF($J163=2,AZ163,IF($J163=1,AZ163,0)))))</f>
        <v>0</v>
      </c>
      <c r="AW163" s="395">
        <f t="shared" ref="AW163" si="1356">IF(AZ163=0,0,IF(AZ163&gt;0,IF($J163=6,AZ163,IF($J163=5,AZ163,IF($J163=4,AZ163,0)))))</f>
        <v>0</v>
      </c>
      <c r="AX163" s="395">
        <f t="shared" ref="AX163" si="1357">IF(AZ163=0,0,IF(AZ163&gt;0,IF($J163=9,AZ163,IF($J163=8,AZ163,IF($J163=7,AZ163,0)))))</f>
        <v>0</v>
      </c>
      <c r="AY163" s="396">
        <f t="shared" ref="AY163" si="1358">IF(AZ163=0,0,IF(AZ163&gt;0,IF($J163=12,AZ163,IF($J163=11,AZ163,IF($J163=10,AZ163,0)))))</f>
        <v>0</v>
      </c>
      <c r="AZ163" s="397">
        <f t="shared" si="1255"/>
        <v>0</v>
      </c>
      <c r="BA163" s="394">
        <f t="shared" ref="BA163" si="1359">IF(BE163=0,0,IF(BE163&gt;0,IF($J163=3,BE163,IF($J163=2,BE163,IF($J163=1,BE163,0)))))</f>
        <v>0</v>
      </c>
      <c r="BB163" s="395">
        <f t="shared" ref="BB163" si="1360">IF(BE163=0,0,IF(BE163&gt;0,IF($J163=6,BE163,IF($J163=5,BE163,IF($J163=4,BE163,0)))))</f>
        <v>0</v>
      </c>
      <c r="BC163" s="395">
        <f t="shared" ref="BC163" si="1361">IF(BE163=0,0,IF(BE163&gt;0,IF($J163=9,BE163,IF($J163=8,BE163,IF($J163=7,BE163,0)))))</f>
        <v>0</v>
      </c>
      <c r="BD163" s="396">
        <f t="shared" ref="BD163" si="1362">IF(BE163=0,0,IF(BE163&gt;0,IF($J163=12,BE163,IF($J163=11,BE163,IF($J163=10,BE163,0)))))</f>
        <v>0</v>
      </c>
      <c r="BE163" s="397">
        <f t="shared" si="1260"/>
        <v>0</v>
      </c>
      <c r="BF163" s="394">
        <f t="shared" ref="BF163" si="1363">IF(BJ163=0,0,IF(BJ163&gt;0,IF($J163=3,BJ163,IF($J163=2,BJ163,IF($J163=1,BJ163,0)))))</f>
        <v>0</v>
      </c>
      <c r="BG163" s="395">
        <f t="shared" ref="BG163" si="1364">IF(BJ163=0,0,IF(BJ163&gt;0,IF($J163=6,BJ163,IF($J163=5,BJ163,IF($J163=4,BJ163,0)))))</f>
        <v>0</v>
      </c>
      <c r="BH163" s="395">
        <f t="shared" ref="BH163" si="1365">IF(BJ163=0,0,IF(BJ163&gt;0,IF($J163=9,BJ163,IF($J163=8,BJ163,IF($J163=7,BJ163,0)))))</f>
        <v>0</v>
      </c>
      <c r="BI163" s="396">
        <f t="shared" ref="BI163" si="1366">IF(BJ163=0,0,IF(BJ163&gt;0,IF($J163=12,BJ163,IF($J163=11,BJ163,IF($J163=10,BJ163,0)))))</f>
        <v>0</v>
      </c>
      <c r="BJ163" s="397">
        <f t="shared" si="1265"/>
        <v>0</v>
      </c>
      <c r="BK163" s="394">
        <f t="shared" ref="BK163" si="1367">IF(BO163=0,0,IF(BO163&gt;0,IF($J163=3,BO163,IF($J163=2,BO163,IF($J163=1,BO163,0)))))</f>
        <v>0</v>
      </c>
      <c r="BL163" s="395">
        <f t="shared" ref="BL163" si="1368">IF(BO163=0,0,IF(BO163&gt;0,IF($J163=6,BO163,IF($J163=5,BO163,IF($J163=4,BO163,0)))))</f>
        <v>0</v>
      </c>
      <c r="BM163" s="395">
        <f t="shared" ref="BM163" si="1369">IF(BO163=0,0,IF(BO163&gt;0,IF($J163=9,BO163,IF($J163=8,BO163,IF($J163=7,BO163,0)))))</f>
        <v>150</v>
      </c>
      <c r="BN163" s="396">
        <f t="shared" ref="BN163" si="1370">IF(BO163=0,0,IF(BO163&gt;0,IF($J163=12,BO163,IF($J163=11,BO163,IF($J163=10,BO163,0)))))</f>
        <v>0</v>
      </c>
      <c r="BO163" s="397">
        <f t="shared" si="1270"/>
        <v>150</v>
      </c>
      <c r="BP163" s="445"/>
      <c r="BQ163" s="399">
        <f t="shared" ref="BQ163" si="1371">IF(AND(BP163&lt;&gt;0,BP$5=$H163),$I163*$E163-BP163,IF(BQ$5=$H163,$I163*$E163*(12-$J163+1)/12,0))</f>
        <v>0</v>
      </c>
      <c r="BR163" s="400">
        <f t="shared" ref="BR163" si="1372">IF($H163&lt;&gt;BV$5,0,IF(BV163&gt;0,IF($J163=1,$E163*$I163/12*3,IF($J163=2,$E163*$I163/12*2,IF($J163=3,$E163*$I163/12*1,0)))))+IF(BQ$5&lt;&gt;$H163,0,IF(BQ163&gt;0,IF($J163=1,$E163*$I163/12*0,IF($J163=2,$E163*$I163/12*1,IF($J163=3,$E163*$I163/12*2,IF($J163&gt;=4,$E163*$I163/12*3,0))))))</f>
        <v>0</v>
      </c>
      <c r="BS163" s="401">
        <f t="shared" ref="BS163" si="1373">IF($H163&lt;&gt;BV$5,0,IF(BV163&gt;0,IF(OR($J163=1,$J163=2,$J163=3,$J163=4),$E163*$I163/12*3,IF($J163=5,$E163*$I163/12*2,IF($J163=6,$E163*$I163/12*1,0)))))+IF(BQ$5&lt;&gt;$H163,0,IF(BQ163&gt;0,IF($J163=4,$E163*$I163/12*0,IF($J163=5,$E163*$I163/12*1,IF($J163=6,$E163*$I163/12*2,IF($J163&gt;=7,$E163*$I163/12*3,0))))))</f>
        <v>0</v>
      </c>
      <c r="BT163" s="401">
        <f t="shared" ref="BT163" si="1374">IF($H163&lt;&gt;BV$5,0,IF(BV163&gt;0,IF(OR($J163=1,$J163=2,$J163=3,$J163=4,$J163=5,$J163=6,$J163=7),$E163*$I163/12*3,IF($J163=8,$E163*$I163/12*2,IF($J163=9,$E163*$I163/12*1,0)))))+IF(BQ$5&lt;&gt;$H163,0,IF(BQ163&gt;0,IF($J163=7,$E163*$I163/12*0,IF($J163=8,$E163*$I163/12*1,IF($J163=9,$E163*$I163/12*2,IF($J163&gt;=10,$E163*$I163/12*3,0))))))</f>
        <v>0</v>
      </c>
      <c r="BU163" s="402">
        <f t="shared" ref="BU163" si="1375">IF($H163&lt;&gt;BV$5,0,IF(BV163&gt;0,IF(OR($J163=1,$J163=2,$J163=3,$J163=4,$J163=5,$J163=6,$J163=7,$J163=8,$J163=9,$J163=10),$E163*$I163/12*3,IF($J163=11,$E163*$I163/12*2,IF($J163=12,$E163*$I163/12*1,0)))))+IF(BQ$5&lt;&gt;$H163,0,IF(BQ163&gt;0,IF($J163=10,$E163*$I163/12*0,IF($J163=11,$E163*$I163/12*1,IF($J163=12,$E163*$I163/12*2,0)))))</f>
        <v>0</v>
      </c>
      <c r="BV163" s="403">
        <f t="shared" ref="BV163" si="1376">IF(AND(BQ163&lt;&gt;0,BQ$5=$H163),$I163*$E163-BQ163,IF(BV$5=$H163,$I163*$E163*(12-$J163+1)/12,0))</f>
        <v>0</v>
      </c>
      <c r="BW163" s="400">
        <f t="shared" ref="BW163" si="1377">IF($H163&lt;&gt;CA$5,0,IF(CA163&gt;0,IF($J163=1,$E163*$I163/12*3,IF($J163=2,$E163*$I163/12*2,IF($J163=3,$E163*$I163/12*1,0)))))+IF(BV$5&lt;&gt;$H163,0,IF(BV163&gt;0,IF($J163=1,$E163*$I163/12*0,IF($J163=2,$E163*$I163/12*1,IF($J163=3,$E163*$I163/12*2,IF($J163&gt;=4,$E163*$I163/12*3,0))))))</f>
        <v>0</v>
      </c>
      <c r="BX163" s="401">
        <f t="shared" ref="BX163" si="1378">IF($H163&lt;&gt;CA$5,0,IF(CA163&gt;0,IF(OR($J163=1,$J163=2,$J163=3,$J163=4),$E163*$I163/12*3,IF($J163=5,$E163*$I163/12*2,IF($J163=6,$E163*$I163/12*1,0)))))+IF(BV$5&lt;&gt;$H163,0,IF(BV163&gt;0,IF($J163=4,$E163*$I163/12*0,IF($J163=5,$E163*$I163/12*1,IF($J163=6,$E163*$I163/12*2,IF($J163&gt;=7,$E163*$I163/12*3,0))))))</f>
        <v>0</v>
      </c>
      <c r="BY163" s="401">
        <f t="shared" ref="BY163" si="1379">IF($H163&lt;&gt;CA$5,0,IF(CA163&gt;0,IF(OR($J163=1,$J163=2,$J163=3,$J163=4,$J163=5,$J163=6,$J163=7),$E163*$I163/12*3,IF($J163=8,$E163*$I163/12*2,IF($J163=9,$E163*$I163/12*1,0)))))+IF(BV$5&lt;&gt;$H163,0,IF(BV163&gt;0,IF($J163=7,$E163*$I163/12*0,IF($J163=8,$E163*$I163/12*1,IF($J163=9,$E163*$I163/12*2,IF($J163&gt;=10,$E163*$I163/12*3,0))))))</f>
        <v>0</v>
      </c>
      <c r="BZ163" s="402">
        <f t="shared" ref="BZ163" si="1380">IF($H163&lt;&gt;CA$5,0,IF(CA163&gt;0,IF(OR($J163=1,$J163=2,$J163=3,$J163=4,$J163=5,$J163=6,$J163=7,$J163=8,$J163=9,$J163=10),$E163*$I163/12*3,IF($J163=11,$E163*$I163/12*2,IF($J163=12,$E163*$I163/12*1,0)))))+IF(BV$5&lt;&gt;$H163,0,IF(BV163&gt;0,IF($J163=10,$E163*$I163/12*0,IF($J163=11,$E163*$I163/12*1,IF($J163=12,$E163*$I163/12*2,0)))))</f>
        <v>0</v>
      </c>
      <c r="CA163" s="403">
        <f t="shared" ref="CA163" si="1381">IF(AND(BV163&lt;&gt;0,BV$5=$H163),$I163*$E163-BV163,IF(CA$5=$H163,$I163*$E163*(12-$J163+1)/12,0))</f>
        <v>0</v>
      </c>
      <c r="CB163" s="400">
        <f t="shared" ref="CB163" si="1382">IF($H163&lt;&gt;CF$5,0,IF(CF163&gt;0,IF($J163=1,$E163*$I163/12*3,IF($J163=2,$E163*$I163/12*2,IF($J163=3,$E163*$I163/12*1,0)))))+IF(CA$5&lt;&gt;$H163,0,IF(CA163&gt;0,IF($J163=1,$E163*$I163/12*0,IF($J163=2,$E163*$I163/12*1,IF($J163=3,$E163*$I163/12*2,IF($J163&gt;=4,$E163*$I163/12*3,0))))))</f>
        <v>0</v>
      </c>
      <c r="CC163" s="401">
        <f t="shared" ref="CC163" si="1383">IF($H163&lt;&gt;CF$5,0,IF(CF163&gt;0,IF(OR($J163=1,$J163=2,$J163=3,$J163=4),$E163*$I163/12*3,IF($J163=5,$E163*$I163/12*2,IF($J163=6,$E163*$I163/12*1,0)))))+IF(CA$5&lt;&gt;$H163,0,IF(CA163&gt;0,IF($J163=4,$E163*$I163/12*0,IF($J163=5,$E163*$I163/12*1,IF($J163=6,$E163*$I163/12*2,IF($J163&gt;=7,$E163*$I163/12*3,0))))))</f>
        <v>0</v>
      </c>
      <c r="CD163" s="401">
        <f t="shared" ref="CD163" si="1384">IF($H163&lt;&gt;CF$5,0,IF(CF163&gt;0,IF(OR($J163=1,$J163=2,$J163=3,$J163=4,$J163=5,$J163=6,$J163=7),$E163*$I163/12*3,IF($J163=8,$E163*$I163/12*2,IF($J163=9,$E163*$I163/12*1,0)))))+IF(CA$5&lt;&gt;$H163,0,IF(CA163&gt;0,IF($J163=7,$E163*$I163/12*0,IF($J163=8,$E163*$I163/12*1,IF($J163=9,$E163*$I163/12*2,IF($J163&gt;=10,$E163*$I163/12*3,0))))))</f>
        <v>0</v>
      </c>
      <c r="CE163" s="402">
        <f t="shared" ref="CE163" si="1385">IF($H163&lt;&gt;CF$5,0,IF(CF163&gt;0,IF(OR($J163=1,$J163=2,$J163=3,$J163=4,$J163=5,$J163=6,$J163=7,$J163=8,$J163=9,$J163=10),$E163*$I163/12*3,IF($J163=11,$E163*$I163/12*2,IF($J163=12,$E163*$I163/12*1,0)))))+IF(CA$5&lt;&gt;$H163,0,IF(CA163&gt;0,IF($J163=10,$E163*$I163/12*0,IF($J163=11,$E163*$I163/12*1,IF($J163=12,$E163*$I163/12*2,0)))))</f>
        <v>0</v>
      </c>
      <c r="CF163" s="403">
        <f t="shared" ref="CF163" si="1386">IF(AND(CA163&lt;&gt;0,CA$5=$H163),$I163*$E163-CA163,IF(CF$5=$H163,$I163*$E163*(12-$J163+1)/12,0))</f>
        <v>0</v>
      </c>
      <c r="CG163" s="400">
        <f t="shared" ref="CG163" si="1387">IF($H163&lt;&gt;CK$5,0,IF(CK163&gt;0,IF($J163=1,$E163*$I163/12*3,IF($J163=2,$E163*$I163/12*2,IF($J163=3,$E163*$I163/12*1,0)))))+IF(CF$5&lt;&gt;$H163,0,IF(CF163&gt;0,IF($J163=1,$E163*$I163/12*0,IF($J163=2,$E163*$I163/12*1,IF($J163=3,$E163*$I163/12*2,IF($J163&gt;=4,$E163*$I163/12*3,0))))))</f>
        <v>0</v>
      </c>
      <c r="CH163" s="401">
        <f t="shared" ref="CH163" si="1388">IF($H163&lt;&gt;CK$5,0,IF(CK163&gt;0,IF(OR($J163=1,$J163=2,$J163=3,$J163=4),$E163*$I163/12*3,IF($J163=5,$E163*$I163/12*2,IF($J163=6,$E163*$I163/12*1,0)))))+IF(CF$5&lt;&gt;$H163,0,IF(CF163&gt;0,IF($J163=4,$E163*$I163/12*0,IF($J163=5,$E163*$I163/12*1,IF($J163=6,$E163*$I163/12*2,IF($J163&gt;=7,$E163*$I163/12*3,0))))))</f>
        <v>0</v>
      </c>
      <c r="CI163" s="401">
        <f t="shared" ref="CI163" si="1389">IF($H163&lt;&gt;CK$5,0,IF(CK163&gt;0,IF(OR($J163=1,$J163=2,$J163=3,$J163=4,$J163=5,$J163=6,$J163=7),$E163*$I163/12*3,IF($J163=8,$E163*$I163/12*2,IF($J163=9,$E163*$I163/12*1,0)))))+IF(CF$5&lt;&gt;$H163,0,IF(CF163&gt;0,IF($J163=7,$E163*$I163/12*0,IF($J163=8,$E163*$I163/12*1,IF($J163=9,$E163*$I163/12*2,IF($J163&gt;=10,$E163*$I163/12*3,0))))))</f>
        <v>0</v>
      </c>
      <c r="CJ163" s="402">
        <f t="shared" ref="CJ163" si="1390">IF($H163&lt;&gt;CK$5,0,IF(CK163&gt;0,IF(OR($J163=1,$J163=2,$J163=3,$J163=4,$J163=5,$J163=6,$J163=7,$J163=8,$J163=9,$J163=10),$E163*$I163/12*3,IF($J163=11,$E163*$I163/12*2,IF($J163=12,$E163*$I163/12*1,0)))))+IF(CF$5&lt;&gt;$H163,0,IF(CF163&gt;0,IF($J163=10,$E163*$I163/12*0,IF($J163=11,$E163*$I163/12*1,IF($J163=12,$E163*$I163/12*2,0)))))</f>
        <v>0</v>
      </c>
      <c r="CK163" s="403">
        <f t="shared" ref="CK163" si="1391">IF(AND(CF163&lt;&gt;0,CF$5=$H163),$I163*$E163-CF163,IF(CK$5=$H163,$I163*$E163*(12-$J163+1)/12,0))</f>
        <v>0</v>
      </c>
      <c r="CL163" s="400">
        <f t="shared" ref="CL163" si="1392">IF($H163&lt;&gt;CP$5,0,IF(CP163&gt;0,IF($J163=1,$E163*$I163/12*3,IF($J163=2,$E163*$I163/12*2,IF($J163=3,$E163*$I163/12*1,0)))))+IF(CK$5&lt;&gt;$H163,0,IF(CK163&gt;0,IF($J163=1,$E163*$I163/12*0,IF($J163=2,$E163*$I163/12*1,IF($J163=3,$E163*$I163/12*2,IF($J163&gt;=4,$E163*$I163/12*3,0))))))</f>
        <v>0</v>
      </c>
      <c r="CM163" s="401">
        <f t="shared" ref="CM163" si="1393">IF($H163&lt;&gt;CP$5,0,IF(CP163&gt;0,IF(OR($J163=1,$J163=2,$J163=3,$J163=4),$E163*$I163/12*3,IF($J163=5,$E163*$I163/12*2,IF($J163=6,$E163*$I163/12*1,0)))))+IF(CK$5&lt;&gt;$H163,0,IF(CK163&gt;0,IF($J163=4,$E163*$I163/12*0,IF($J163=5,$E163*$I163/12*1,IF($J163=6,$E163*$I163/12*2,IF($J163&gt;=7,$E163*$I163/12*3,0))))))</f>
        <v>0</v>
      </c>
      <c r="CN163" s="401">
        <f t="shared" ref="CN163" si="1394">IF($H163&lt;&gt;CP$5,0,IF(CP163&gt;0,IF(OR($J163=1,$J163=2,$J163=3,$J163=4,$J163=5,$J163=6,$J163=7),$E163*$I163/12*3,IF($J163=8,$E163*$I163/12*2,IF($J163=9,$E163*$I163/12*1,0)))))+IF(CK$5&lt;&gt;$H163,0,IF(CK163&gt;0,IF($J163=7,$E163*$I163/12*0,IF($J163=8,$E163*$I163/12*1,IF($J163=9,$E163*$I163/12*2,IF($J163&gt;=10,$E163*$I163/12*3,0))))))</f>
        <v>0</v>
      </c>
      <c r="CO163" s="402">
        <f t="shared" ref="CO163" si="1395">IF($H163&lt;&gt;CP$5,0,IF(CP163&gt;0,IF(OR($J163=1,$J163=2,$J163=3,$J163=4,$J163=5,$J163=6,$J163=7,$J163=8,$J163=9,$J163=10),$E163*$I163/12*3,IF($J163=11,$E163*$I163/12*2,IF($J163=12,$E163*$I163/12*1,0)))))+IF(CK$5&lt;&gt;$H163,0,IF(CK163&gt;0,IF($J163=10,$E163*$I163/12*0,IF($J163=11,$E163*$I163/12*1,IF($J163=12,$E163*$I163/12*2,0)))))</f>
        <v>0</v>
      </c>
      <c r="CP163" s="403">
        <f t="shared" ref="CP163" si="1396">IF(AND(CK163&lt;&gt;0,CK$5=$H163),$I163*$E163-CK163,IF(CP$5=$H163,$I163*$E163*(12-$J163+1)/12,0))</f>
        <v>0</v>
      </c>
      <c r="CQ163" s="400">
        <f t="shared" ref="CQ163" si="1397">IF($H163&lt;&gt;CU$5,0,IF(CU163&gt;0,IF($J163=1,$E163*$I163/12*3,IF($J163=2,$E163*$I163/12*2,IF($J163=3,$E163*$I163/12*1,0)))))+IF(CP$5&lt;&gt;$H163,0,IF(CP163&gt;0,IF($J163=1,$E163*$I163/12*0,IF($J163=2,$E163*$I163/12*1,IF($J163=3,$E163*$I163/12*2,IF($J163&gt;=4,$E163*$I163/12*3,0))))))</f>
        <v>0</v>
      </c>
      <c r="CR163" s="401">
        <f t="shared" ref="CR163" si="1398">IF($H163&lt;&gt;CU$5,0,IF(CU163&gt;0,IF(OR($J163=1,$J163=2,$J163=3,$J163=4),$E163*$I163/12*3,IF($J163=5,$E163*$I163/12*2,IF($J163=6,$E163*$I163/12*1,0)))))+IF(CP$5&lt;&gt;$H163,0,IF(CP163&gt;0,IF($J163=4,$E163*$I163/12*0,IF($J163=5,$E163*$I163/12*1,IF($J163=6,$E163*$I163/12*2,IF($J163&gt;=7,$E163*$I163/12*3,0))))))</f>
        <v>0</v>
      </c>
      <c r="CS163" s="401">
        <f t="shared" ref="CS163" si="1399">IF($H163&lt;&gt;CU$5,0,IF(CU163&gt;0,IF(OR($J163=1,$J163=2,$J163=3,$J163=4,$J163=5,$J163=6,$J163=7),$E163*$I163/12*3,IF($J163=8,$E163*$I163/12*2,IF($J163=9,$E163*$I163/12*1,0)))))+IF(CP$5&lt;&gt;$H163,0,IF(CP163&gt;0,IF($J163=7,$E163*$I163/12*0,IF($J163=8,$E163*$I163/12*1,IF($J163=9,$E163*$I163/12*2,IF($J163&gt;=10,$E163*$I163/12*3,0))))))</f>
        <v>0</v>
      </c>
      <c r="CT163" s="402">
        <f t="shared" ref="CT163" si="1400">IF($H163&lt;&gt;CU$5,0,IF(CU163&gt;0,IF(OR($J163=1,$J163=2,$J163=3,$J163=4,$J163=5,$J163=6,$J163=7,$J163=8,$J163=9,$J163=10),$E163*$I163/12*3,IF($J163=11,$E163*$I163/12*2,IF($J163=12,$E163*$I163/12*1,0)))))+IF(CP$5&lt;&gt;$H163,0,IF(CP163&gt;0,IF($J163=10,$E163*$I163/12*0,IF($J163=11,$E163*$I163/12*1,IF($J163=12,$E163*$I163/12*2,0)))))</f>
        <v>0</v>
      </c>
      <c r="CU163" s="403">
        <f t="shared" ref="CU163" si="1401">IF(AND(CP163&lt;&gt;0,CP$5=$H163),$I163*$E163-CP163,IF(CU$5=$H163,$I163*$E163*(12-$J163+1)/12,0))</f>
        <v>0</v>
      </c>
      <c r="CV163" s="400">
        <f t="shared" ref="CV163" si="1402">IF($H163&lt;&gt;CZ$5,0,IF(CZ163&gt;0,IF($J163=1,$E163*$I163/12*3,IF($J163=2,$E163*$I163/12*2,IF($J163=3,$E163*$I163/12*1,0)))))+IF(CU$5&lt;&gt;$H163,0,IF(CU163&gt;0,IF($J163=1,$E163*$I163/12*0,IF($J163=2,$E163*$I163/12*1,IF($J163=3,$E163*$I163/12*2,IF($J163&gt;=4,$E163*$I163/12*3,0))))))</f>
        <v>0</v>
      </c>
      <c r="CW163" s="401">
        <f t="shared" ref="CW163" si="1403">IF($H163&lt;&gt;CZ$5,0,IF(CZ163&gt;0,IF(OR($J163=1,$J163=2,$J163=3,$J163=4),$E163*$I163/12*3,IF($J163=5,$E163*$I163/12*2,IF($J163=6,$E163*$I163/12*1,0)))))+IF(CU$5&lt;&gt;$H163,0,IF(CU163&gt;0,IF($J163=4,$E163*$I163/12*0,IF($J163=5,$E163*$I163/12*1,IF($J163=6,$E163*$I163/12*2,IF($J163&gt;=7,$E163*$I163/12*3,0))))))</f>
        <v>0</v>
      </c>
      <c r="CX163" s="401">
        <f t="shared" ref="CX163" si="1404">IF($H163&lt;&gt;CZ$5,0,IF(CZ163&gt;0,IF(OR($J163=1,$J163=2,$J163=3,$J163=4,$J163=5,$J163=6,$J163=7),$E163*$I163/12*3,IF($J163=8,$E163*$I163/12*2,IF($J163=9,$E163*$I163/12*1,0)))))+IF(CU$5&lt;&gt;$H163,0,IF(CU163&gt;0,IF($J163=7,$E163*$I163/12*0,IF($J163=8,$E163*$I163/12*1,IF($J163=9,$E163*$I163/12*2,IF($J163&gt;=10,$E163*$I163/12*3,0))))))</f>
        <v>0</v>
      </c>
      <c r="CY163" s="402">
        <f t="shared" ref="CY163" si="1405">IF($H163&lt;&gt;CZ$5,0,IF(CZ163&gt;0,IF(OR($J163=1,$J163=2,$J163=3,$J163=4,$J163=5,$J163=6,$J163=7,$J163=8,$J163=9,$J163=10),$E163*$I163/12*3,IF($J163=11,$E163*$I163/12*2,IF($J163=12,$E163*$I163/12*1,0)))))+IF(CU$5&lt;&gt;$H163,0,IF(CU163&gt;0,IF($J163=10,$E163*$I163/12*0,IF($J163=11,$E163*$I163/12*1,IF($J163=12,$E163*$I163/12*2,0)))))</f>
        <v>0</v>
      </c>
      <c r="CZ163" s="403">
        <f t="shared" ref="CZ163" si="1406">IF(AND(CU163&lt;&gt;0,CU$5=$H163),$I163*$E163-CU163,IF(CZ$5=$H163,$I163*$E163*(12-$J163+1)/12,0))</f>
        <v>0</v>
      </c>
      <c r="DA163" s="400">
        <f t="shared" ref="DA163" si="1407">IF($H163&lt;&gt;DE$5,0,IF(DE163&gt;0,IF($J163=1,$E163*$I163/12*3,IF($J163=2,$E163*$I163/12*2,IF($J163=3,$E163*$I163/12*1,0)))))+IF(CZ$5&lt;&gt;$H163,0,IF(CZ163&gt;0,IF($J163=1,$E163*$I163/12*0,IF($J163=2,$E163*$I163/12*1,IF($J163=3,$E163*$I163/12*2,IF($J163&gt;=4,$E163*$I163/12*3,0))))))</f>
        <v>0</v>
      </c>
      <c r="DB163" s="401">
        <f t="shared" ref="DB163" si="1408">IF($H163&lt;&gt;DE$5,0,IF(DE163&gt;0,IF(OR($J163=1,$J163=2,$J163=3,$J163=4),$E163*$I163/12*3,IF($J163=5,$E163*$I163/12*2,IF($J163=6,$E163*$I163/12*1,0)))))+IF(CZ$5&lt;&gt;$H163,0,IF(CZ163&gt;0,IF($J163=4,$E163*$I163/12*0,IF($J163=5,$E163*$I163/12*1,IF($J163=6,$E163*$I163/12*2,IF($J163&gt;=7,$E163*$I163/12*3,0))))))</f>
        <v>0</v>
      </c>
      <c r="DC163" s="401">
        <f t="shared" ref="DC163" si="1409">IF($H163&lt;&gt;DE$5,0,IF(DE163&gt;0,IF(OR($J163=1,$J163=2,$J163=3,$J163=4,$J163=5,$J163=6,$J163=7),$E163*$I163/12*3,IF($J163=8,$E163*$I163/12*2,IF($J163=9,$E163*$I163/12*1,0)))))+IF(CZ$5&lt;&gt;$H163,0,IF(CZ163&gt;0,IF($J163=7,$E163*$I163/12*0,IF($J163=8,$E163*$I163/12*1,IF($J163=9,$E163*$I163/12*2,IF($J163&gt;=10,$E163*$I163/12*3,0))))))</f>
        <v>0</v>
      </c>
      <c r="DD163" s="402">
        <f t="shared" ref="DD163" si="1410">IF($H163&lt;&gt;DE$5,0,IF(DE163&gt;0,IF(OR($J163=1,$J163=2,$J163=3,$J163=4,$J163=5,$J163=6,$J163=7,$J163=8,$J163=9,$J163=10),$E163*$I163/12*3,IF($J163=11,$E163*$I163/12*2,IF($J163=12,$E163*$I163/12*1,0)))))+IF(CZ$5&lt;&gt;$H163,0,IF(CZ163&gt;0,IF($J163=10,$E163*$I163/12*0,IF($J163=11,$E163*$I163/12*1,IF($J163=12,$E163*$I163/12*2,0)))))</f>
        <v>0</v>
      </c>
      <c r="DE163" s="403">
        <f t="shared" ref="DE163" si="1411">IF(AND(CZ163&lt;&gt;0,CZ$5=$H163),$I163*$E163-CZ163,IF(DE$5=$H163,$I163*$E163*(12-$J163+1)/12,0))</f>
        <v>0</v>
      </c>
      <c r="DF163" s="400">
        <f t="shared" ref="DF163" si="1412">IF($H163&lt;&gt;DJ$5,0,IF(DJ163&gt;0,IF($J163=1,$E163*$I163/12*3,IF($J163=2,$E163*$I163/12*2,IF($J163=3,$E163*$I163/12*1,0)))))+IF(DE$5&lt;&gt;$H163,0,IF(DE163&gt;0,IF($J163=1,$E163*$I163/12*0,IF($J163=2,$E163*$I163/12*1,IF($J163=3,$E163*$I163/12*2,IF($J163&gt;=4,$E163*$I163/12*3,0))))))</f>
        <v>0</v>
      </c>
      <c r="DG163" s="401">
        <f t="shared" ref="DG163" si="1413">IF($H163&lt;&gt;DJ$5,0,IF(DJ163&gt;0,IF(OR($J163=1,$J163=2,$J163=3,$J163=4),$E163*$I163/12*3,IF($J163=5,$E163*$I163/12*2,IF($J163=6,$E163*$I163/12*1,0)))))+IF(DE$5&lt;&gt;$H163,0,IF(DE163&gt;0,IF($J163=4,$E163*$I163/12*0,IF($J163=5,$E163*$I163/12*1,IF($J163=6,$E163*$I163/12*2,IF($J163&gt;=7,$E163*$I163/12*3,0))))))</f>
        <v>0</v>
      </c>
      <c r="DH163" s="401">
        <f t="shared" ref="DH163" si="1414">IF($H163&lt;&gt;DJ$5,0,IF(DJ163&gt;0,IF(OR($J163=1,$J163=2,$J163=3,$J163=4,$J163=5,$J163=6,$J163=7),$E163*$I163/12*3,IF($J163=8,$E163*$I163/12*2,IF($J163=9,$E163*$I163/12*1,0)))))+IF(DE$5&lt;&gt;$H163,0,IF(DE163&gt;0,IF($J163=7,$E163*$I163/12*0,IF($J163=8,$E163*$I163/12*1,IF($J163=9,$E163*$I163/12*2,IF($J163&gt;=10,$E163*$I163/12*3,0))))))</f>
        <v>0</v>
      </c>
      <c r="DI163" s="402">
        <f t="shared" ref="DI163" si="1415">IF($H163&lt;&gt;DJ$5,0,IF(DJ163&gt;0,IF(OR($J163=1,$J163=2,$J163=3,$J163=4,$J163=5,$J163=6,$J163=7,$J163=8,$J163=9,$J163=10),$E163*$I163/12*3,IF($J163=11,$E163*$I163/12*2,IF($J163=12,$E163*$I163/12*1,0)))))+IF(DE$5&lt;&gt;$H163,0,IF(DE163&gt;0,IF($J163=10,$E163*$I163/12*0,IF($J163=11,$E163*$I163/12*1,IF($J163=12,$E163*$I163/12*2,0)))))</f>
        <v>0</v>
      </c>
      <c r="DJ163" s="403">
        <f t="shared" ref="DJ163" si="1416">IF(AND(DE163&lt;&gt;0,DE$5=$H163),$I163*$E163-DE163,IF(DJ$5=$H163,$I163*$E163*(12-$J163+1)/12,0))</f>
        <v>0</v>
      </c>
      <c r="DK163" s="400">
        <f t="shared" ref="DK163" si="1417">IF($H163&lt;&gt;DO$5,0,IF(DO163&gt;0,IF($J163=1,$E163*$I163/12*3,IF($J163=2,$E163*$I163/12*2,IF($J163=3,$E163*$I163/12*1,0)))))+IF(DJ$5&lt;&gt;$H163,0,IF(DJ163&gt;0,IF($J163=1,$E163*$I163/12*0,IF($J163=2,$E163*$I163/12*1,IF($J163=3,$E163*$I163/12*2,IF($J163&gt;=4,$E163*$I163/12*3,0))))))</f>
        <v>0</v>
      </c>
      <c r="DL163" s="401">
        <f t="shared" ref="DL163" si="1418">IF($H163&lt;&gt;DO$5,0,IF(DO163&gt;0,IF(OR($J163=1,$J163=2,$J163=3,$J163=4),$E163*$I163/12*3,IF($J163=5,$E163*$I163/12*2,IF($J163=6,$E163*$I163/12*1,0)))))+IF(DJ$5&lt;&gt;$H163,0,IF(DJ163&gt;0,IF($J163=4,$E163*$I163/12*0,IF($J163=5,$E163*$I163/12*1,IF($J163=6,$E163*$I163/12*2,IF($J163&gt;=7,$E163*$I163/12*3,0))))))</f>
        <v>0</v>
      </c>
      <c r="DM163" s="401">
        <f t="shared" ref="DM163" si="1419">IF($H163&lt;&gt;DO$5,0,IF(DO163&gt;0,IF(OR($J163=1,$J163=2,$J163=3,$J163=4,$J163=5,$J163=6,$J163=7),$E163*$I163/12*3,IF($J163=8,$E163*$I163/12*2,IF($J163=9,$E163*$I163/12*1,0)))))+IF(DJ$5&lt;&gt;$H163,0,IF(DJ163&gt;0,IF($J163=7,$E163*$I163/12*0,IF($J163=8,$E163*$I163/12*1,IF($J163=9,$E163*$I163/12*2,IF($J163&gt;=10,$E163*$I163/12*3,0))))))</f>
        <v>0</v>
      </c>
      <c r="DN163" s="402">
        <f t="shared" ref="DN163" si="1420">IF($H163&lt;&gt;DO$5,0,IF(DO163&gt;0,IF(OR($J163=1,$J163=2,$J163=3,$J163=4,$J163=5,$J163=6,$J163=7,$J163=8,$J163=9,$J163=10),$E163*$I163/12*3,IF($J163=11,$E163*$I163/12*2,IF($J163=12,$E163*$I163/12*1,0)))))+IF(DJ$5&lt;&gt;$H163,0,IF(DJ163&gt;0,IF($J163=10,$E163*$I163/12*0,IF($J163=11,$E163*$I163/12*1,IF($J163=12,$E163*$I163/12*2,0)))))</f>
        <v>0</v>
      </c>
      <c r="DO163" s="403">
        <f t="shared" ref="DO163" si="1421">IF(AND(DJ163&lt;&gt;0,DJ$5=$H163),$I163*$E163-DJ163,IF(DO$5=$H163,$I163*$E163*(12-$J163+1)/12,0))</f>
        <v>0</v>
      </c>
      <c r="DP163" s="400">
        <f t="shared" ref="DP163" si="1422">IF($H163&lt;&gt;DT$5,0,IF(DT163&gt;0,IF($J163=1,$E163*$I163/12*3,IF($J163=2,$E163*$I163/12*2,IF($J163=3,$E163*$I163/12*1,0)))))+IF(DO$5&lt;&gt;$H163,0,IF(DO163&gt;0,IF($J163=1,$E163*$I163/12*0,IF($J163=2,$E163*$I163/12*1,IF($J163=3,$E163*$I163/12*2,IF($J163&gt;=4,$E163*$I163/12*3,0))))))</f>
        <v>0</v>
      </c>
      <c r="DQ163" s="401">
        <f t="shared" ref="DQ163" si="1423">IF($H163&lt;&gt;DT$5,0,IF(DT163&gt;0,IF(OR($J163=1,$J163=2,$J163=3,$J163=4),$E163*$I163/12*3,IF($J163=5,$E163*$I163/12*2,IF($J163=6,$E163*$I163/12*1,0)))))+IF(DO$5&lt;&gt;$H163,0,IF(DO163&gt;0,IF($J163=4,$E163*$I163/12*0,IF($J163=5,$E163*$I163/12*1,IF($J163=6,$E163*$I163/12*2,IF($J163&gt;=7,$E163*$I163/12*3,0))))))</f>
        <v>0</v>
      </c>
      <c r="DR163" s="401">
        <f t="shared" ref="DR163" si="1424">IF($H163&lt;&gt;DT$5,0,IF(DT163&gt;0,IF(OR($J163=1,$J163=2,$J163=3,$J163=4,$J163=5,$J163=6,$J163=7),$E163*$I163/12*3,IF($J163=8,$E163*$I163/12*2,IF($J163=9,$E163*$I163/12*1,0)))))+IF(DO$5&lt;&gt;$H163,0,IF(DO163&gt;0,IF($J163=7,$E163*$I163/12*0,IF($J163=8,$E163*$I163/12*1,IF($J163=9,$E163*$I163/12*2,IF($J163&gt;=10,$E163*$I163/12*3,0))))))</f>
        <v>1.6875</v>
      </c>
      <c r="DS163" s="402">
        <f t="shared" ref="DS163" si="1425">IF($H163&lt;&gt;DT$5,0,IF(DT163&gt;0,IF(OR($J163=1,$J163=2,$J163=3,$J163=4,$J163=5,$J163=6,$J163=7,$J163=8,$J163=9,$J163=10),$E163*$I163/12*3,IF($J163=11,$E163*$I163/12*2,IF($J163=12,$E163*$I163/12*1,0)))))+IF(DO$5&lt;&gt;$H163,0,IF(DO163&gt;0,IF($J163=10,$E163*$I163/12*0,IF($J163=11,$E163*$I163/12*1,IF($J163=12,$E163*$I163/12*2,0)))))</f>
        <v>1.6875</v>
      </c>
      <c r="DT163" s="403">
        <f t="shared" ref="DT163" si="1426">IF(AND(DO163&lt;&gt;0,DO$5=$H163),$I163*$E163-DO163,IF(DT$5=$H163,$I163*$E163*(12-$J163+1)/12,0))</f>
        <v>3.375</v>
      </c>
    </row>
    <row r="164" spans="1:124" ht="12.75" customHeight="1" x14ac:dyDescent="0.2">
      <c r="C164" s="471"/>
      <c r="D164" s="471"/>
      <c r="E164" s="533"/>
      <c r="F164" s="538"/>
      <c r="G164" s="538"/>
      <c r="H164" s="577"/>
      <c r="I164" s="504"/>
      <c r="J164" s="497"/>
      <c r="K164" s="411"/>
      <c r="L164" s="412"/>
      <c r="M164" s="413"/>
      <c r="N164" s="414"/>
      <c r="O164" s="414"/>
      <c r="P164" s="415"/>
      <c r="Q164" s="412"/>
      <c r="R164" s="413"/>
      <c r="S164" s="414"/>
      <c r="T164" s="414"/>
      <c r="U164" s="415"/>
      <c r="V164" s="412"/>
      <c r="W164" s="413"/>
      <c r="X164" s="414"/>
      <c r="Y164" s="414"/>
      <c r="Z164" s="415"/>
      <c r="AA164" s="412"/>
      <c r="AB164" s="413"/>
      <c r="AC164" s="414"/>
      <c r="AD164" s="414"/>
      <c r="AE164" s="415"/>
      <c r="AF164" s="412"/>
      <c r="AG164" s="413"/>
      <c r="AH164" s="414"/>
      <c r="AI164" s="414"/>
      <c r="AJ164" s="415"/>
      <c r="AK164" s="412"/>
      <c r="AL164" s="413"/>
      <c r="AM164" s="414"/>
      <c r="AN164" s="414"/>
      <c r="AO164" s="415"/>
      <c r="AP164" s="412"/>
      <c r="AQ164" s="413"/>
      <c r="AR164" s="414"/>
      <c r="AS164" s="414"/>
      <c r="AT164" s="415"/>
      <c r="AU164" s="412"/>
      <c r="AV164" s="413"/>
      <c r="AW164" s="414"/>
      <c r="AX164" s="414"/>
      <c r="AY164" s="415"/>
      <c r="AZ164" s="412"/>
      <c r="BA164" s="413"/>
      <c r="BB164" s="414"/>
      <c r="BC164" s="414"/>
      <c r="BD164" s="415"/>
      <c r="BE164" s="412"/>
      <c r="BF164" s="413"/>
      <c r="BG164" s="414"/>
      <c r="BH164" s="414"/>
      <c r="BI164" s="415"/>
      <c r="BJ164" s="412"/>
      <c r="BK164" s="413"/>
      <c r="BL164" s="414"/>
      <c r="BM164" s="414"/>
      <c r="BN164" s="415"/>
      <c r="BO164" s="412"/>
      <c r="BP164" s="505"/>
      <c r="BQ164" s="417"/>
      <c r="BR164" s="418"/>
      <c r="BS164" s="419"/>
      <c r="BT164" s="419"/>
      <c r="BU164" s="420"/>
      <c r="BV164" s="417"/>
      <c r="BW164" s="418"/>
      <c r="BX164" s="419"/>
      <c r="BY164" s="419"/>
      <c r="BZ164" s="420"/>
      <c r="CA164" s="417"/>
      <c r="CB164" s="418"/>
      <c r="CC164" s="419"/>
      <c r="CD164" s="419"/>
      <c r="CE164" s="420"/>
      <c r="CF164" s="417"/>
      <c r="CG164" s="418"/>
      <c r="CH164" s="419"/>
      <c r="CI164" s="419"/>
      <c r="CJ164" s="420"/>
      <c r="CK164" s="417"/>
      <c r="CL164" s="418"/>
      <c r="CM164" s="419"/>
      <c r="CN164" s="419"/>
      <c r="CO164" s="420"/>
      <c r="CP164" s="417"/>
      <c r="CQ164" s="418"/>
      <c r="CR164" s="419"/>
      <c r="CS164" s="419"/>
      <c r="CT164" s="420"/>
      <c r="CU164" s="417"/>
      <c r="CV164" s="418"/>
      <c r="CW164" s="419"/>
      <c r="CX164" s="419"/>
      <c r="CY164" s="420"/>
      <c r="CZ164" s="417"/>
      <c r="DA164" s="418"/>
      <c r="DB164" s="419"/>
      <c r="DC164" s="419"/>
      <c r="DD164" s="420"/>
      <c r="DE164" s="417"/>
      <c r="DF164" s="418"/>
      <c r="DG164" s="419"/>
      <c r="DH164" s="419"/>
      <c r="DI164" s="420"/>
      <c r="DJ164" s="417"/>
      <c r="DK164" s="418"/>
      <c r="DL164" s="419"/>
      <c r="DM164" s="419"/>
      <c r="DN164" s="420"/>
      <c r="DO164" s="417"/>
      <c r="DP164" s="418"/>
      <c r="DQ164" s="419"/>
      <c r="DR164" s="419"/>
      <c r="DS164" s="420"/>
      <c r="DT164" s="417"/>
    </row>
    <row r="165" spans="1:124" ht="12.75" customHeight="1" x14ac:dyDescent="0.2">
      <c r="A165" s="26"/>
      <c r="B165" s="26"/>
      <c r="C165" s="141" t="s">
        <v>170</v>
      </c>
      <c r="D165" s="26"/>
      <c r="E165" s="535">
        <f>SUM(E159:E164)</f>
        <v>1500</v>
      </c>
      <c r="F165" s="705"/>
      <c r="G165" s="705"/>
      <c r="H165" s="579"/>
      <c r="I165" s="422"/>
      <c r="J165" s="423"/>
      <c r="K165" s="462"/>
      <c r="L165" s="424">
        <f t="shared" ref="L165:AQ165" si="1427">SUM(L159:L164)</f>
        <v>0</v>
      </c>
      <c r="M165" s="425">
        <f t="shared" si="1427"/>
        <v>0</v>
      </c>
      <c r="N165" s="426">
        <f t="shared" si="1427"/>
        <v>0</v>
      </c>
      <c r="O165" s="426">
        <f t="shared" si="1427"/>
        <v>0</v>
      </c>
      <c r="P165" s="427">
        <f t="shared" si="1427"/>
        <v>0</v>
      </c>
      <c r="Q165" s="424">
        <f t="shared" si="1427"/>
        <v>0</v>
      </c>
      <c r="R165" s="425">
        <f t="shared" si="1427"/>
        <v>0</v>
      </c>
      <c r="S165" s="426">
        <f t="shared" si="1427"/>
        <v>0</v>
      </c>
      <c r="T165" s="426">
        <f t="shared" si="1427"/>
        <v>0</v>
      </c>
      <c r="U165" s="427">
        <f t="shared" si="1427"/>
        <v>0</v>
      </c>
      <c r="V165" s="424">
        <f t="shared" si="1427"/>
        <v>0</v>
      </c>
      <c r="W165" s="425">
        <f t="shared" si="1427"/>
        <v>0</v>
      </c>
      <c r="X165" s="426">
        <f t="shared" si="1427"/>
        <v>0</v>
      </c>
      <c r="Y165" s="426">
        <f t="shared" si="1427"/>
        <v>0</v>
      </c>
      <c r="Z165" s="427">
        <f t="shared" si="1427"/>
        <v>0</v>
      </c>
      <c r="AA165" s="424">
        <f t="shared" si="1427"/>
        <v>0</v>
      </c>
      <c r="AB165" s="425">
        <f t="shared" si="1427"/>
        <v>0</v>
      </c>
      <c r="AC165" s="426">
        <f t="shared" si="1427"/>
        <v>0</v>
      </c>
      <c r="AD165" s="426">
        <f t="shared" si="1427"/>
        <v>0</v>
      </c>
      <c r="AE165" s="427">
        <f t="shared" si="1427"/>
        <v>0</v>
      </c>
      <c r="AF165" s="424">
        <f t="shared" si="1427"/>
        <v>0</v>
      </c>
      <c r="AG165" s="425">
        <f t="shared" si="1427"/>
        <v>0</v>
      </c>
      <c r="AH165" s="426">
        <f t="shared" si="1427"/>
        <v>0</v>
      </c>
      <c r="AI165" s="426">
        <f t="shared" si="1427"/>
        <v>0</v>
      </c>
      <c r="AJ165" s="427">
        <f t="shared" si="1427"/>
        <v>0</v>
      </c>
      <c r="AK165" s="424">
        <f t="shared" si="1427"/>
        <v>0</v>
      </c>
      <c r="AL165" s="425">
        <f t="shared" si="1427"/>
        <v>0</v>
      </c>
      <c r="AM165" s="426">
        <f t="shared" si="1427"/>
        <v>0</v>
      </c>
      <c r="AN165" s="426">
        <f t="shared" si="1427"/>
        <v>0</v>
      </c>
      <c r="AO165" s="427">
        <f t="shared" si="1427"/>
        <v>0</v>
      </c>
      <c r="AP165" s="424">
        <f t="shared" si="1427"/>
        <v>0</v>
      </c>
      <c r="AQ165" s="425">
        <f t="shared" si="1427"/>
        <v>0</v>
      </c>
      <c r="AR165" s="426">
        <f t="shared" ref="AR165:BJ165" si="1428">SUM(AR159:AR164)</f>
        <v>0</v>
      </c>
      <c r="AS165" s="426">
        <f t="shared" si="1428"/>
        <v>450</v>
      </c>
      <c r="AT165" s="427">
        <f t="shared" si="1428"/>
        <v>0</v>
      </c>
      <c r="AU165" s="424">
        <f t="shared" si="1428"/>
        <v>450</v>
      </c>
      <c r="AV165" s="425">
        <f t="shared" si="1428"/>
        <v>0</v>
      </c>
      <c r="AW165" s="426">
        <f t="shared" si="1428"/>
        <v>0</v>
      </c>
      <c r="AX165" s="426">
        <f t="shared" si="1428"/>
        <v>350</v>
      </c>
      <c r="AY165" s="427">
        <f t="shared" si="1428"/>
        <v>0</v>
      </c>
      <c r="AZ165" s="424">
        <f t="shared" si="1428"/>
        <v>350</v>
      </c>
      <c r="BA165" s="425">
        <f t="shared" si="1428"/>
        <v>0</v>
      </c>
      <c r="BB165" s="426">
        <f t="shared" si="1428"/>
        <v>0</v>
      </c>
      <c r="BC165" s="426">
        <f t="shared" si="1428"/>
        <v>400</v>
      </c>
      <c r="BD165" s="427">
        <f t="shared" si="1428"/>
        <v>0</v>
      </c>
      <c r="BE165" s="424">
        <f t="shared" si="1428"/>
        <v>400</v>
      </c>
      <c r="BF165" s="425">
        <f t="shared" si="1428"/>
        <v>0</v>
      </c>
      <c r="BG165" s="426">
        <f t="shared" si="1428"/>
        <v>0</v>
      </c>
      <c r="BH165" s="426">
        <f t="shared" si="1428"/>
        <v>150</v>
      </c>
      <c r="BI165" s="427">
        <f t="shared" si="1428"/>
        <v>0</v>
      </c>
      <c r="BJ165" s="424">
        <f t="shared" si="1428"/>
        <v>150</v>
      </c>
      <c r="BK165" s="425">
        <f t="shared" ref="BK165:BO165" si="1429">SUM(BK159:BK164)</f>
        <v>0</v>
      </c>
      <c r="BL165" s="426">
        <f t="shared" si="1429"/>
        <v>0</v>
      </c>
      <c r="BM165" s="426">
        <f t="shared" si="1429"/>
        <v>150</v>
      </c>
      <c r="BN165" s="427">
        <f t="shared" si="1429"/>
        <v>0</v>
      </c>
      <c r="BO165" s="424">
        <f t="shared" si="1429"/>
        <v>150</v>
      </c>
      <c r="BP165" s="481"/>
      <c r="BQ165" s="429">
        <f t="shared" ref="BQ165:CV165" si="1430">SUM(BQ159:BQ164)</f>
        <v>0</v>
      </c>
      <c r="BR165" s="430">
        <f t="shared" si="1430"/>
        <v>0</v>
      </c>
      <c r="BS165" s="431">
        <f t="shared" si="1430"/>
        <v>0</v>
      </c>
      <c r="BT165" s="431">
        <f t="shared" si="1430"/>
        <v>0</v>
      </c>
      <c r="BU165" s="432">
        <f t="shared" si="1430"/>
        <v>0</v>
      </c>
      <c r="BV165" s="429">
        <f t="shared" si="1430"/>
        <v>0</v>
      </c>
      <c r="BW165" s="430">
        <f t="shared" si="1430"/>
        <v>0</v>
      </c>
      <c r="BX165" s="431">
        <f t="shared" si="1430"/>
        <v>0</v>
      </c>
      <c r="BY165" s="431">
        <f t="shared" si="1430"/>
        <v>0</v>
      </c>
      <c r="BZ165" s="432">
        <f t="shared" si="1430"/>
        <v>0</v>
      </c>
      <c r="CA165" s="429">
        <f t="shared" si="1430"/>
        <v>0</v>
      </c>
      <c r="CB165" s="430">
        <f t="shared" si="1430"/>
        <v>0</v>
      </c>
      <c r="CC165" s="431">
        <f t="shared" si="1430"/>
        <v>0</v>
      </c>
      <c r="CD165" s="431">
        <f t="shared" si="1430"/>
        <v>0</v>
      </c>
      <c r="CE165" s="432">
        <f t="shared" si="1430"/>
        <v>0</v>
      </c>
      <c r="CF165" s="429">
        <f t="shared" si="1430"/>
        <v>0</v>
      </c>
      <c r="CG165" s="430">
        <f t="shared" si="1430"/>
        <v>0</v>
      </c>
      <c r="CH165" s="431">
        <f t="shared" si="1430"/>
        <v>0</v>
      </c>
      <c r="CI165" s="431">
        <f t="shared" si="1430"/>
        <v>0</v>
      </c>
      <c r="CJ165" s="432">
        <f t="shared" si="1430"/>
        <v>0</v>
      </c>
      <c r="CK165" s="429">
        <f t="shared" si="1430"/>
        <v>0</v>
      </c>
      <c r="CL165" s="430">
        <f t="shared" si="1430"/>
        <v>0</v>
      </c>
      <c r="CM165" s="431">
        <f t="shared" si="1430"/>
        <v>0</v>
      </c>
      <c r="CN165" s="431">
        <f t="shared" si="1430"/>
        <v>0</v>
      </c>
      <c r="CO165" s="432">
        <f t="shared" si="1430"/>
        <v>0</v>
      </c>
      <c r="CP165" s="429">
        <f t="shared" si="1430"/>
        <v>0</v>
      </c>
      <c r="CQ165" s="430">
        <f t="shared" si="1430"/>
        <v>0</v>
      </c>
      <c r="CR165" s="431">
        <f t="shared" si="1430"/>
        <v>0</v>
      </c>
      <c r="CS165" s="431">
        <f t="shared" si="1430"/>
        <v>0</v>
      </c>
      <c r="CT165" s="432">
        <f t="shared" si="1430"/>
        <v>0</v>
      </c>
      <c r="CU165" s="429">
        <f t="shared" si="1430"/>
        <v>0</v>
      </c>
      <c r="CV165" s="430">
        <f t="shared" si="1430"/>
        <v>0</v>
      </c>
      <c r="CW165" s="431">
        <f t="shared" ref="CW165:DO165" si="1431">SUM(CW159:CW164)</f>
        <v>0</v>
      </c>
      <c r="CX165" s="431">
        <f t="shared" si="1431"/>
        <v>2.7749999999999999</v>
      </c>
      <c r="CY165" s="432">
        <f t="shared" si="1431"/>
        <v>4.1624999999999996</v>
      </c>
      <c r="CZ165" s="429">
        <f t="shared" si="1431"/>
        <v>6.9375</v>
      </c>
      <c r="DA165" s="430">
        <f t="shared" si="1431"/>
        <v>4.1624999999999996</v>
      </c>
      <c r="DB165" s="431">
        <f t="shared" si="1431"/>
        <v>4.1624999999999996</v>
      </c>
      <c r="DC165" s="431">
        <f t="shared" si="1431"/>
        <v>4.8875000000000002</v>
      </c>
      <c r="DD165" s="432">
        <f t="shared" si="1431"/>
        <v>3.5</v>
      </c>
      <c r="DE165" s="429">
        <f t="shared" si="1431"/>
        <v>16.712499999999999</v>
      </c>
      <c r="DF165" s="430">
        <f t="shared" si="1431"/>
        <v>3.5</v>
      </c>
      <c r="DG165" s="431">
        <f t="shared" si="1431"/>
        <v>3.5</v>
      </c>
      <c r="DH165" s="431">
        <f t="shared" si="1431"/>
        <v>4.5</v>
      </c>
      <c r="DI165" s="432">
        <f t="shared" si="1431"/>
        <v>4.5</v>
      </c>
      <c r="DJ165" s="429">
        <f t="shared" si="1431"/>
        <v>16</v>
      </c>
      <c r="DK165" s="430">
        <f t="shared" si="1431"/>
        <v>4.5</v>
      </c>
      <c r="DL165" s="431">
        <f t="shared" si="1431"/>
        <v>4.5</v>
      </c>
      <c r="DM165" s="431">
        <f t="shared" si="1431"/>
        <v>1.6875</v>
      </c>
      <c r="DN165" s="432">
        <f t="shared" si="1431"/>
        <v>1.6875</v>
      </c>
      <c r="DO165" s="429">
        <f t="shared" si="1431"/>
        <v>12.375</v>
      </c>
      <c r="DP165" s="430">
        <f t="shared" ref="DP165:DT165" si="1432">SUM(DP159:DP164)</f>
        <v>1.6875</v>
      </c>
      <c r="DQ165" s="431">
        <f t="shared" si="1432"/>
        <v>1.6875</v>
      </c>
      <c r="DR165" s="431">
        <f t="shared" si="1432"/>
        <v>1.6875</v>
      </c>
      <c r="DS165" s="432">
        <f t="shared" si="1432"/>
        <v>1.6875</v>
      </c>
      <c r="DT165" s="429">
        <f t="shared" si="1432"/>
        <v>6.75</v>
      </c>
    </row>
    <row r="166" spans="1:124" ht="12.75" customHeight="1" x14ac:dyDescent="0.2">
      <c r="C166" s="26"/>
      <c r="D166" s="26"/>
      <c r="E166" s="530"/>
      <c r="F166" s="537"/>
      <c r="G166" s="537"/>
      <c r="H166" s="580"/>
      <c r="I166" s="390"/>
      <c r="J166" s="391"/>
      <c r="K166" s="392"/>
      <c r="L166" s="393"/>
      <c r="M166" s="394"/>
      <c r="N166" s="395"/>
      <c r="O166" s="395"/>
      <c r="P166" s="396"/>
      <c r="Q166" s="397"/>
      <c r="R166" s="394"/>
      <c r="S166" s="395"/>
      <c r="T166" s="395"/>
      <c r="U166" s="396"/>
      <c r="V166" s="397"/>
      <c r="W166" s="394"/>
      <c r="X166" s="395"/>
      <c r="Y166" s="395"/>
      <c r="Z166" s="396"/>
      <c r="AA166" s="397"/>
      <c r="AB166" s="394"/>
      <c r="AC166" s="395"/>
      <c r="AD166" s="395"/>
      <c r="AE166" s="396"/>
      <c r="AF166" s="397"/>
      <c r="AG166" s="394"/>
      <c r="AH166" s="395"/>
      <c r="AI166" s="395"/>
      <c r="AJ166" s="396"/>
      <c r="AK166" s="397"/>
      <c r="AL166" s="394"/>
      <c r="AM166" s="395"/>
      <c r="AN166" s="395"/>
      <c r="AO166" s="396"/>
      <c r="AP166" s="397"/>
      <c r="AQ166" s="394"/>
      <c r="AR166" s="395"/>
      <c r="AS166" s="395"/>
      <c r="AT166" s="396"/>
      <c r="AU166" s="397"/>
      <c r="AV166" s="394"/>
      <c r="AW166" s="395"/>
      <c r="AX166" s="395"/>
      <c r="AY166" s="396"/>
      <c r="AZ166" s="397"/>
      <c r="BA166" s="394"/>
      <c r="BB166" s="395"/>
      <c r="BC166" s="395"/>
      <c r="BD166" s="396"/>
      <c r="BE166" s="397"/>
      <c r="BF166" s="394"/>
      <c r="BG166" s="395"/>
      <c r="BH166" s="395"/>
      <c r="BI166" s="396"/>
      <c r="BJ166" s="397"/>
      <c r="BK166" s="394"/>
      <c r="BL166" s="395"/>
      <c r="BM166" s="395"/>
      <c r="BN166" s="396"/>
      <c r="BO166" s="397"/>
      <c r="BP166" s="452"/>
      <c r="BQ166" s="399"/>
      <c r="BR166" s="400"/>
      <c r="BS166" s="401"/>
      <c r="BT166" s="401"/>
      <c r="BU166" s="402"/>
      <c r="BV166" s="403"/>
      <c r="BW166" s="400"/>
      <c r="BX166" s="401"/>
      <c r="BY166" s="401"/>
      <c r="BZ166" s="402"/>
      <c r="CA166" s="403"/>
      <c r="CB166" s="400"/>
      <c r="CC166" s="401"/>
      <c r="CD166" s="401"/>
      <c r="CE166" s="402"/>
      <c r="CF166" s="403"/>
      <c r="CG166" s="400"/>
      <c r="CH166" s="401"/>
      <c r="CI166" s="401"/>
      <c r="CJ166" s="402"/>
      <c r="CK166" s="403"/>
      <c r="CL166" s="400"/>
      <c r="CM166" s="401"/>
      <c r="CN166" s="401"/>
      <c r="CO166" s="402"/>
      <c r="CP166" s="403"/>
      <c r="CQ166" s="400"/>
      <c r="CR166" s="401"/>
      <c r="CS166" s="401"/>
      <c r="CT166" s="402"/>
      <c r="CU166" s="403"/>
      <c r="CV166" s="400"/>
      <c r="CW166" s="401"/>
      <c r="CX166" s="401"/>
      <c r="CY166" s="402"/>
      <c r="CZ166" s="403"/>
      <c r="DA166" s="400"/>
      <c r="DB166" s="401"/>
      <c r="DC166" s="401"/>
      <c r="DD166" s="402"/>
      <c r="DE166" s="403"/>
      <c r="DF166" s="400"/>
      <c r="DG166" s="401"/>
      <c r="DH166" s="401"/>
      <c r="DI166" s="402"/>
      <c r="DJ166" s="403"/>
      <c r="DK166" s="400"/>
      <c r="DL166" s="401"/>
      <c r="DM166" s="401"/>
      <c r="DN166" s="402"/>
      <c r="DO166" s="403"/>
      <c r="DP166" s="400"/>
      <c r="DQ166" s="401"/>
      <c r="DR166" s="401"/>
      <c r="DS166" s="402"/>
      <c r="DT166" s="403"/>
    </row>
    <row r="167" spans="1:124" ht="12.75" customHeight="1" x14ac:dyDescent="0.2">
      <c r="A167" s="26"/>
      <c r="B167" s="26"/>
      <c r="C167" s="26" t="s">
        <v>334</v>
      </c>
      <c r="D167" s="26"/>
      <c r="E167" s="535"/>
      <c r="F167" s="705"/>
      <c r="G167" s="705"/>
      <c r="H167" s="587"/>
      <c r="I167" s="506"/>
      <c r="J167" s="507"/>
      <c r="K167" s="462"/>
      <c r="L167" s="424">
        <f t="shared" ref="L167:AQ167" si="1433">+L165+L156</f>
        <v>0</v>
      </c>
      <c r="M167" s="425">
        <f t="shared" si="1433"/>
        <v>0</v>
      </c>
      <c r="N167" s="426">
        <f t="shared" si="1433"/>
        <v>0</v>
      </c>
      <c r="O167" s="426">
        <f t="shared" si="1433"/>
        <v>0</v>
      </c>
      <c r="P167" s="427">
        <f t="shared" si="1433"/>
        <v>0</v>
      </c>
      <c r="Q167" s="424">
        <f t="shared" si="1433"/>
        <v>0</v>
      </c>
      <c r="R167" s="425">
        <f t="shared" si="1433"/>
        <v>0</v>
      </c>
      <c r="S167" s="426">
        <f t="shared" si="1433"/>
        <v>0</v>
      </c>
      <c r="T167" s="426">
        <f t="shared" si="1433"/>
        <v>0</v>
      </c>
      <c r="U167" s="427">
        <f t="shared" si="1433"/>
        <v>0</v>
      </c>
      <c r="V167" s="424">
        <f t="shared" si="1433"/>
        <v>0</v>
      </c>
      <c r="W167" s="425">
        <f t="shared" si="1433"/>
        <v>0</v>
      </c>
      <c r="X167" s="426">
        <f t="shared" si="1433"/>
        <v>0</v>
      </c>
      <c r="Y167" s="426">
        <f t="shared" si="1433"/>
        <v>0</v>
      </c>
      <c r="Z167" s="427">
        <f t="shared" si="1433"/>
        <v>0</v>
      </c>
      <c r="AA167" s="424">
        <f t="shared" si="1433"/>
        <v>0</v>
      </c>
      <c r="AB167" s="425">
        <f t="shared" si="1433"/>
        <v>0</v>
      </c>
      <c r="AC167" s="426">
        <f t="shared" si="1433"/>
        <v>0</v>
      </c>
      <c r="AD167" s="426">
        <f t="shared" si="1433"/>
        <v>0</v>
      </c>
      <c r="AE167" s="427">
        <f t="shared" si="1433"/>
        <v>0</v>
      </c>
      <c r="AF167" s="424">
        <f t="shared" si="1433"/>
        <v>0</v>
      </c>
      <c r="AG167" s="425">
        <f t="shared" si="1433"/>
        <v>0</v>
      </c>
      <c r="AH167" s="426">
        <f t="shared" si="1433"/>
        <v>0</v>
      </c>
      <c r="AI167" s="426">
        <f t="shared" si="1433"/>
        <v>0</v>
      </c>
      <c r="AJ167" s="427">
        <f t="shared" si="1433"/>
        <v>0</v>
      </c>
      <c r="AK167" s="424">
        <f t="shared" si="1433"/>
        <v>0</v>
      </c>
      <c r="AL167" s="425">
        <f t="shared" si="1433"/>
        <v>0</v>
      </c>
      <c r="AM167" s="426">
        <f t="shared" si="1433"/>
        <v>0</v>
      </c>
      <c r="AN167" s="426">
        <f t="shared" si="1433"/>
        <v>0</v>
      </c>
      <c r="AO167" s="427">
        <f t="shared" si="1433"/>
        <v>0</v>
      </c>
      <c r="AP167" s="424">
        <f t="shared" si="1433"/>
        <v>0</v>
      </c>
      <c r="AQ167" s="425">
        <f t="shared" si="1433"/>
        <v>0</v>
      </c>
      <c r="AR167" s="426">
        <f t="shared" ref="AR167:BJ167" si="1434">+AR165+AR156</f>
        <v>0</v>
      </c>
      <c r="AS167" s="426">
        <f t="shared" si="1434"/>
        <v>200</v>
      </c>
      <c r="AT167" s="427">
        <f t="shared" si="1434"/>
        <v>0</v>
      </c>
      <c r="AU167" s="424">
        <f t="shared" si="1434"/>
        <v>200</v>
      </c>
      <c r="AV167" s="425">
        <f t="shared" si="1434"/>
        <v>0</v>
      </c>
      <c r="AW167" s="426">
        <f t="shared" si="1434"/>
        <v>0</v>
      </c>
      <c r="AX167" s="426">
        <f t="shared" si="1434"/>
        <v>350</v>
      </c>
      <c r="AY167" s="427">
        <f t="shared" si="1434"/>
        <v>0</v>
      </c>
      <c r="AZ167" s="424">
        <f t="shared" si="1434"/>
        <v>350</v>
      </c>
      <c r="BA167" s="425">
        <f t="shared" si="1434"/>
        <v>0</v>
      </c>
      <c r="BB167" s="426">
        <f t="shared" si="1434"/>
        <v>0</v>
      </c>
      <c r="BC167" s="426">
        <f t="shared" si="1434"/>
        <v>400</v>
      </c>
      <c r="BD167" s="427">
        <f t="shared" si="1434"/>
        <v>0</v>
      </c>
      <c r="BE167" s="424">
        <f t="shared" si="1434"/>
        <v>400</v>
      </c>
      <c r="BF167" s="425">
        <f t="shared" si="1434"/>
        <v>0</v>
      </c>
      <c r="BG167" s="426">
        <f t="shared" si="1434"/>
        <v>0</v>
      </c>
      <c r="BH167" s="426">
        <f t="shared" si="1434"/>
        <v>150</v>
      </c>
      <c r="BI167" s="427">
        <f t="shared" si="1434"/>
        <v>0</v>
      </c>
      <c r="BJ167" s="424">
        <f t="shared" si="1434"/>
        <v>150</v>
      </c>
      <c r="BK167" s="425">
        <f t="shared" ref="BK167:BO167" si="1435">+BK165+BK156</f>
        <v>0</v>
      </c>
      <c r="BL167" s="426">
        <f t="shared" si="1435"/>
        <v>0</v>
      </c>
      <c r="BM167" s="426">
        <f t="shared" si="1435"/>
        <v>150</v>
      </c>
      <c r="BN167" s="427">
        <f t="shared" si="1435"/>
        <v>0</v>
      </c>
      <c r="BO167" s="424">
        <f t="shared" si="1435"/>
        <v>150</v>
      </c>
      <c r="BP167" s="481"/>
      <c r="BQ167" s="429">
        <f t="shared" ref="BQ167:CV167" si="1436">+BQ165+BQ156</f>
        <v>0</v>
      </c>
      <c r="BR167" s="430">
        <f t="shared" si="1436"/>
        <v>0</v>
      </c>
      <c r="BS167" s="431">
        <f t="shared" si="1436"/>
        <v>0</v>
      </c>
      <c r="BT167" s="431">
        <f t="shared" si="1436"/>
        <v>0</v>
      </c>
      <c r="BU167" s="432">
        <f t="shared" si="1436"/>
        <v>0</v>
      </c>
      <c r="BV167" s="429">
        <f t="shared" si="1436"/>
        <v>0</v>
      </c>
      <c r="BW167" s="430">
        <f t="shared" si="1436"/>
        <v>0</v>
      </c>
      <c r="BX167" s="431">
        <f t="shared" si="1436"/>
        <v>0</v>
      </c>
      <c r="BY167" s="431">
        <f t="shared" si="1436"/>
        <v>0</v>
      </c>
      <c r="BZ167" s="432">
        <f t="shared" si="1436"/>
        <v>0</v>
      </c>
      <c r="CA167" s="429">
        <f t="shared" si="1436"/>
        <v>0</v>
      </c>
      <c r="CB167" s="430">
        <f t="shared" si="1436"/>
        <v>0</v>
      </c>
      <c r="CC167" s="431">
        <f t="shared" si="1436"/>
        <v>0</v>
      </c>
      <c r="CD167" s="431">
        <f t="shared" si="1436"/>
        <v>0</v>
      </c>
      <c r="CE167" s="432">
        <f t="shared" si="1436"/>
        <v>0</v>
      </c>
      <c r="CF167" s="429">
        <f t="shared" si="1436"/>
        <v>0</v>
      </c>
      <c r="CG167" s="430">
        <f t="shared" si="1436"/>
        <v>0</v>
      </c>
      <c r="CH167" s="431">
        <f t="shared" si="1436"/>
        <v>0</v>
      </c>
      <c r="CI167" s="431">
        <f t="shared" si="1436"/>
        <v>0</v>
      </c>
      <c r="CJ167" s="432">
        <f t="shared" si="1436"/>
        <v>0</v>
      </c>
      <c r="CK167" s="429">
        <f t="shared" si="1436"/>
        <v>0</v>
      </c>
      <c r="CL167" s="430">
        <f t="shared" si="1436"/>
        <v>0</v>
      </c>
      <c r="CM167" s="431">
        <f t="shared" si="1436"/>
        <v>0</v>
      </c>
      <c r="CN167" s="431">
        <f t="shared" si="1436"/>
        <v>0</v>
      </c>
      <c r="CO167" s="432">
        <f t="shared" si="1436"/>
        <v>0</v>
      </c>
      <c r="CP167" s="429">
        <f t="shared" si="1436"/>
        <v>0</v>
      </c>
      <c r="CQ167" s="430">
        <f t="shared" si="1436"/>
        <v>0</v>
      </c>
      <c r="CR167" s="431">
        <f t="shared" si="1436"/>
        <v>0</v>
      </c>
      <c r="CS167" s="431">
        <f t="shared" si="1436"/>
        <v>0</v>
      </c>
      <c r="CT167" s="432">
        <f t="shared" si="1436"/>
        <v>0</v>
      </c>
      <c r="CU167" s="429">
        <f t="shared" si="1436"/>
        <v>0</v>
      </c>
      <c r="CV167" s="430">
        <f t="shared" si="1436"/>
        <v>0</v>
      </c>
      <c r="CW167" s="431">
        <f t="shared" ref="CW167:DO167" si="1437">+CW165+CW156</f>
        <v>0</v>
      </c>
      <c r="CX167" s="431">
        <f t="shared" si="1437"/>
        <v>-0.87083333333333357</v>
      </c>
      <c r="CY167" s="432">
        <f t="shared" si="1437"/>
        <v>-1.3062500000000004</v>
      </c>
      <c r="CZ167" s="429">
        <f t="shared" si="1437"/>
        <v>-2.1770833333333339</v>
      </c>
      <c r="DA167" s="430">
        <f t="shared" si="1437"/>
        <v>-1.3062500000000004</v>
      </c>
      <c r="DB167" s="431">
        <f t="shared" si="1437"/>
        <v>-1.3062500000000004</v>
      </c>
      <c r="DC167" s="431">
        <f t="shared" si="1437"/>
        <v>3.0645833333333332</v>
      </c>
      <c r="DD167" s="432">
        <f t="shared" si="1437"/>
        <v>3.5</v>
      </c>
      <c r="DE167" s="429">
        <f t="shared" si="1437"/>
        <v>3.9520833333333325</v>
      </c>
      <c r="DF167" s="430">
        <f t="shared" si="1437"/>
        <v>3.5</v>
      </c>
      <c r="DG167" s="431">
        <f t="shared" si="1437"/>
        <v>3.5</v>
      </c>
      <c r="DH167" s="431">
        <f t="shared" si="1437"/>
        <v>4.5</v>
      </c>
      <c r="DI167" s="432">
        <f t="shared" si="1437"/>
        <v>4.5</v>
      </c>
      <c r="DJ167" s="429">
        <f t="shared" si="1437"/>
        <v>16</v>
      </c>
      <c r="DK167" s="430">
        <f t="shared" si="1437"/>
        <v>4.5</v>
      </c>
      <c r="DL167" s="431">
        <f t="shared" si="1437"/>
        <v>4.5</v>
      </c>
      <c r="DM167" s="431">
        <f t="shared" si="1437"/>
        <v>1.6875</v>
      </c>
      <c r="DN167" s="432">
        <f t="shared" si="1437"/>
        <v>1.6875</v>
      </c>
      <c r="DO167" s="429">
        <f t="shared" si="1437"/>
        <v>12.375</v>
      </c>
      <c r="DP167" s="430">
        <f t="shared" ref="DP167:DT167" si="1438">+DP165+DP156</f>
        <v>1.6875</v>
      </c>
      <c r="DQ167" s="431">
        <f t="shared" si="1438"/>
        <v>1.6875</v>
      </c>
      <c r="DR167" s="431">
        <f t="shared" si="1438"/>
        <v>1.6875</v>
      </c>
      <c r="DS167" s="432">
        <f t="shared" si="1438"/>
        <v>1.6875</v>
      </c>
      <c r="DT167" s="429">
        <f t="shared" si="1438"/>
        <v>6.75</v>
      </c>
    </row>
    <row r="168" spans="1:124" ht="12.75" customHeight="1" x14ac:dyDescent="0.2">
      <c r="A168" s="26"/>
      <c r="B168" s="26"/>
      <c r="C168" s="26"/>
      <c r="D168" s="26"/>
      <c r="E168" s="535"/>
      <c r="F168" s="705"/>
      <c r="G168" s="705"/>
      <c r="H168" s="587"/>
      <c r="I168" s="506"/>
      <c r="J168" s="507"/>
      <c r="K168" s="462"/>
      <c r="L168" s="482"/>
      <c r="M168" s="425"/>
      <c r="N168" s="433"/>
      <c r="O168" s="433"/>
      <c r="P168" s="427"/>
      <c r="Q168" s="424"/>
      <c r="R168" s="425"/>
      <c r="S168" s="433"/>
      <c r="T168" s="433"/>
      <c r="U168" s="427"/>
      <c r="V168" s="424"/>
      <c r="W168" s="425"/>
      <c r="X168" s="433"/>
      <c r="Y168" s="433"/>
      <c r="Z168" s="427"/>
      <c r="AA168" s="424"/>
      <c r="AB168" s="425"/>
      <c r="AC168" s="433"/>
      <c r="AD168" s="433"/>
      <c r="AE168" s="427"/>
      <c r="AF168" s="424"/>
      <c r="AG168" s="425"/>
      <c r="AH168" s="433"/>
      <c r="AI168" s="433"/>
      <c r="AJ168" s="427"/>
      <c r="AK168" s="424"/>
      <c r="AL168" s="425"/>
      <c r="AM168" s="433"/>
      <c r="AN168" s="433"/>
      <c r="AO168" s="427"/>
      <c r="AP168" s="424"/>
      <c r="AQ168" s="425"/>
      <c r="AR168" s="433"/>
      <c r="AS168" s="433"/>
      <c r="AT168" s="427"/>
      <c r="AU168" s="424"/>
      <c r="AV168" s="425"/>
      <c r="AW168" s="433"/>
      <c r="AX168" s="433"/>
      <c r="AY168" s="427"/>
      <c r="AZ168" s="424"/>
      <c r="BA168" s="425"/>
      <c r="BB168" s="433"/>
      <c r="BC168" s="433"/>
      <c r="BD168" s="427"/>
      <c r="BE168" s="424"/>
      <c r="BF168" s="425"/>
      <c r="BG168" s="433"/>
      <c r="BH168" s="433"/>
      <c r="BI168" s="427"/>
      <c r="BJ168" s="424"/>
      <c r="BK168" s="425"/>
      <c r="BL168" s="433"/>
      <c r="BM168" s="433"/>
      <c r="BN168" s="427"/>
      <c r="BO168" s="424"/>
      <c r="BP168" s="481"/>
      <c r="BQ168" s="434"/>
      <c r="BR168" s="430"/>
      <c r="BS168" s="435"/>
      <c r="BT168" s="435"/>
      <c r="BU168" s="432"/>
      <c r="BV168" s="429"/>
      <c r="BW168" s="430"/>
      <c r="BX168" s="435"/>
      <c r="BY168" s="435"/>
      <c r="BZ168" s="432"/>
      <c r="CA168" s="429"/>
      <c r="CB168" s="430"/>
      <c r="CC168" s="435"/>
      <c r="CD168" s="435"/>
      <c r="CE168" s="432"/>
      <c r="CF168" s="429"/>
      <c r="CG168" s="430"/>
      <c r="CH168" s="435"/>
      <c r="CI168" s="435"/>
      <c r="CJ168" s="432"/>
      <c r="CK168" s="429"/>
      <c r="CL168" s="430"/>
      <c r="CM168" s="435"/>
      <c r="CN168" s="435"/>
      <c r="CO168" s="432"/>
      <c r="CP168" s="429"/>
      <c r="CQ168" s="430"/>
      <c r="CR168" s="435"/>
      <c r="CS168" s="435"/>
      <c r="CT168" s="432"/>
      <c r="CU168" s="429"/>
      <c r="CV168" s="430"/>
      <c r="CW168" s="435"/>
      <c r="CX168" s="435"/>
      <c r="CY168" s="432"/>
      <c r="CZ168" s="429"/>
      <c r="DA168" s="430"/>
      <c r="DB168" s="435"/>
      <c r="DC168" s="435"/>
      <c r="DD168" s="432"/>
      <c r="DE168" s="429"/>
      <c r="DF168" s="430"/>
      <c r="DG168" s="435"/>
      <c r="DH168" s="435"/>
      <c r="DI168" s="432"/>
      <c r="DJ168" s="429"/>
      <c r="DK168" s="430"/>
      <c r="DL168" s="435"/>
      <c r="DM168" s="435"/>
      <c r="DN168" s="432"/>
      <c r="DO168" s="429"/>
      <c r="DP168" s="430"/>
      <c r="DQ168" s="435"/>
      <c r="DR168" s="435"/>
      <c r="DS168" s="432"/>
      <c r="DT168" s="429"/>
    </row>
    <row r="169" spans="1:124" ht="12.75" customHeight="1" thickBot="1" x14ac:dyDescent="0.25">
      <c r="B169" s="377"/>
      <c r="C169" s="377"/>
      <c r="D169" s="377"/>
      <c r="E169" s="539"/>
      <c r="F169" s="540"/>
      <c r="G169" s="540"/>
      <c r="H169" s="581"/>
      <c r="I169" s="438"/>
      <c r="J169" s="439"/>
      <c r="K169" s="483"/>
      <c r="L169" s="440"/>
      <c r="M169" s="484"/>
      <c r="N169" s="485"/>
      <c r="O169" s="485"/>
      <c r="P169" s="486"/>
      <c r="Q169" s="440"/>
      <c r="R169" s="484"/>
      <c r="S169" s="485"/>
      <c r="T169" s="485"/>
      <c r="U169" s="486"/>
      <c r="V169" s="440"/>
      <c r="W169" s="484"/>
      <c r="X169" s="485"/>
      <c r="Y169" s="485"/>
      <c r="Z169" s="486"/>
      <c r="AA169" s="440"/>
      <c r="AB169" s="484"/>
      <c r="AC169" s="485"/>
      <c r="AD169" s="485"/>
      <c r="AE169" s="486"/>
      <c r="AF169" s="440"/>
      <c r="AG169" s="484"/>
      <c r="AH169" s="485"/>
      <c r="AI169" s="485"/>
      <c r="AJ169" s="486"/>
      <c r="AK169" s="440"/>
      <c r="AL169" s="484"/>
      <c r="AM169" s="485"/>
      <c r="AN169" s="485"/>
      <c r="AO169" s="486"/>
      <c r="AP169" s="440"/>
      <c r="AQ169" s="484"/>
      <c r="AR169" s="485"/>
      <c r="AS169" s="485"/>
      <c r="AT169" s="486"/>
      <c r="AU169" s="440"/>
      <c r="AV169" s="484"/>
      <c r="AW169" s="485"/>
      <c r="AX169" s="485"/>
      <c r="AY169" s="486"/>
      <c r="AZ169" s="440"/>
      <c r="BA169" s="484"/>
      <c r="BB169" s="485"/>
      <c r="BC169" s="485"/>
      <c r="BD169" s="486"/>
      <c r="BE169" s="440"/>
      <c r="BF169" s="484"/>
      <c r="BG169" s="485"/>
      <c r="BH169" s="485"/>
      <c r="BI169" s="486"/>
      <c r="BJ169" s="440"/>
      <c r="BK169" s="484"/>
      <c r="BL169" s="485"/>
      <c r="BM169" s="485"/>
      <c r="BN169" s="486"/>
      <c r="BO169" s="440"/>
      <c r="BP169" s="487"/>
      <c r="BQ169" s="442"/>
      <c r="BR169" s="488"/>
      <c r="BS169" s="489"/>
      <c r="BT169" s="489"/>
      <c r="BU169" s="490"/>
      <c r="BV169" s="442"/>
      <c r="BW169" s="488"/>
      <c r="BX169" s="489"/>
      <c r="BY169" s="489"/>
      <c r="BZ169" s="490"/>
      <c r="CA169" s="442"/>
      <c r="CB169" s="488"/>
      <c r="CC169" s="489"/>
      <c r="CD169" s="489"/>
      <c r="CE169" s="490"/>
      <c r="CF169" s="442"/>
      <c r="CG169" s="488"/>
      <c r="CH169" s="489"/>
      <c r="CI169" s="489"/>
      <c r="CJ169" s="490"/>
      <c r="CK169" s="442"/>
      <c r="CL169" s="488"/>
      <c r="CM169" s="489"/>
      <c r="CN169" s="489"/>
      <c r="CO169" s="490"/>
      <c r="CP169" s="442"/>
      <c r="CQ169" s="488"/>
      <c r="CR169" s="489"/>
      <c r="CS169" s="489"/>
      <c r="CT169" s="490"/>
      <c r="CU169" s="442"/>
      <c r="CV169" s="488"/>
      <c r="CW169" s="489"/>
      <c r="CX169" s="489"/>
      <c r="CY169" s="490"/>
      <c r="CZ169" s="442"/>
      <c r="DA169" s="488"/>
      <c r="DB169" s="489"/>
      <c r="DC169" s="489"/>
      <c r="DD169" s="490"/>
      <c r="DE169" s="442"/>
      <c r="DF169" s="488"/>
      <c r="DG169" s="489"/>
      <c r="DH169" s="489"/>
      <c r="DI169" s="490"/>
      <c r="DJ169" s="442"/>
      <c r="DK169" s="488"/>
      <c r="DL169" s="489"/>
      <c r="DM169" s="489"/>
      <c r="DN169" s="490"/>
      <c r="DO169" s="442"/>
      <c r="DP169" s="488"/>
      <c r="DQ169" s="489"/>
      <c r="DR169" s="489"/>
      <c r="DS169" s="490"/>
      <c r="DT169" s="442"/>
    </row>
    <row r="170" spans="1:124" ht="12.75" customHeight="1" x14ac:dyDescent="0.2">
      <c r="B170" s="16"/>
      <c r="C170" s="16"/>
      <c r="D170" s="17"/>
      <c r="E170" s="530"/>
      <c r="F170" s="537"/>
      <c r="G170" s="537"/>
      <c r="H170" s="586"/>
      <c r="I170" s="492"/>
      <c r="J170" s="444"/>
      <c r="K170" s="392"/>
      <c r="L170" s="393"/>
      <c r="M170" s="394"/>
      <c r="N170" s="395"/>
      <c r="O170" s="395"/>
      <c r="P170" s="396"/>
      <c r="Q170" s="397"/>
      <c r="R170" s="394"/>
      <c r="S170" s="395"/>
      <c r="T170" s="395"/>
      <c r="U170" s="396"/>
      <c r="V170" s="397"/>
      <c r="W170" s="394"/>
      <c r="X170" s="395"/>
      <c r="Y170" s="395"/>
      <c r="Z170" s="396"/>
      <c r="AA170" s="397"/>
      <c r="AB170" s="394"/>
      <c r="AC170" s="395"/>
      <c r="AD170" s="395"/>
      <c r="AE170" s="396"/>
      <c r="AF170" s="397"/>
      <c r="AG170" s="394"/>
      <c r="AH170" s="395"/>
      <c r="AI170" s="395"/>
      <c r="AJ170" s="396"/>
      <c r="AK170" s="397"/>
      <c r="AL170" s="394"/>
      <c r="AM170" s="395"/>
      <c r="AN170" s="395"/>
      <c r="AO170" s="396"/>
      <c r="AP170" s="397"/>
      <c r="AQ170" s="394"/>
      <c r="AR170" s="395"/>
      <c r="AS170" s="395"/>
      <c r="AT170" s="396"/>
      <c r="AU170" s="397"/>
      <c r="AV170" s="394"/>
      <c r="AW170" s="395"/>
      <c r="AX170" s="395"/>
      <c r="AY170" s="396"/>
      <c r="AZ170" s="397"/>
      <c r="BA170" s="394"/>
      <c r="BB170" s="395"/>
      <c r="BC170" s="395"/>
      <c r="BD170" s="396"/>
      <c r="BE170" s="397"/>
      <c r="BF170" s="394"/>
      <c r="BG170" s="395"/>
      <c r="BH170" s="395"/>
      <c r="BI170" s="396"/>
      <c r="BJ170" s="397"/>
      <c r="BK170" s="394"/>
      <c r="BL170" s="395"/>
      <c r="BM170" s="395"/>
      <c r="BN170" s="396"/>
      <c r="BO170" s="397"/>
      <c r="BP170" s="445"/>
      <c r="BQ170" s="399"/>
      <c r="BR170" s="400"/>
      <c r="BS170" s="401"/>
      <c r="BT170" s="401"/>
      <c r="BU170" s="402"/>
      <c r="BV170" s="403"/>
      <c r="BW170" s="400"/>
      <c r="BX170" s="401"/>
      <c r="BY170" s="401"/>
      <c r="BZ170" s="402"/>
      <c r="CA170" s="403"/>
      <c r="CB170" s="400"/>
      <c r="CC170" s="401"/>
      <c r="CD170" s="401"/>
      <c r="CE170" s="402"/>
      <c r="CF170" s="403"/>
      <c r="CG170" s="400"/>
      <c r="CH170" s="401"/>
      <c r="CI170" s="401"/>
      <c r="CJ170" s="402"/>
      <c r="CK170" s="403"/>
      <c r="CL170" s="400"/>
      <c r="CM170" s="401"/>
      <c r="CN170" s="401"/>
      <c r="CO170" s="402"/>
      <c r="CP170" s="403"/>
      <c r="CQ170" s="400"/>
      <c r="CR170" s="401"/>
      <c r="CS170" s="401"/>
      <c r="CT170" s="402"/>
      <c r="CU170" s="403"/>
      <c r="CV170" s="400"/>
      <c r="CW170" s="401"/>
      <c r="CX170" s="401"/>
      <c r="CY170" s="402"/>
      <c r="CZ170" s="403"/>
      <c r="DA170" s="400"/>
      <c r="DB170" s="401"/>
      <c r="DC170" s="401"/>
      <c r="DD170" s="402"/>
      <c r="DE170" s="403"/>
      <c r="DF170" s="400"/>
      <c r="DG170" s="401"/>
      <c r="DH170" s="401"/>
      <c r="DI170" s="402"/>
      <c r="DJ170" s="403"/>
      <c r="DK170" s="400"/>
      <c r="DL170" s="401"/>
      <c r="DM170" s="401"/>
      <c r="DN170" s="402"/>
      <c r="DO170" s="403"/>
      <c r="DP170" s="400"/>
      <c r="DQ170" s="401"/>
      <c r="DR170" s="401"/>
      <c r="DS170" s="402"/>
      <c r="DT170" s="403"/>
    </row>
    <row r="171" spans="1:124" ht="12.75" customHeight="1" x14ac:dyDescent="0.2">
      <c r="C171" s="26"/>
      <c r="D171" s="26"/>
      <c r="E171" s="530"/>
      <c r="F171" s="537"/>
      <c r="G171" s="537"/>
      <c r="H171" s="580"/>
      <c r="I171" s="390"/>
      <c r="J171" s="391"/>
      <c r="K171" s="392"/>
      <c r="L171" s="393"/>
      <c r="M171" s="394"/>
      <c r="N171" s="395"/>
      <c r="O171" s="395"/>
      <c r="P171" s="396"/>
      <c r="Q171" s="397"/>
      <c r="R171" s="394"/>
      <c r="S171" s="395"/>
      <c r="T171" s="395"/>
      <c r="U171" s="396"/>
      <c r="V171" s="397"/>
      <c r="W171" s="394"/>
      <c r="X171" s="395"/>
      <c r="Y171" s="395"/>
      <c r="Z171" s="396"/>
      <c r="AA171" s="397"/>
      <c r="AB171" s="394"/>
      <c r="AC171" s="395"/>
      <c r="AD171" s="395"/>
      <c r="AE171" s="396"/>
      <c r="AF171" s="397"/>
      <c r="AG171" s="394"/>
      <c r="AH171" s="395"/>
      <c r="AI171" s="395"/>
      <c r="AJ171" s="396"/>
      <c r="AK171" s="397"/>
      <c r="AL171" s="394"/>
      <c r="AM171" s="395"/>
      <c r="AN171" s="395"/>
      <c r="AO171" s="396"/>
      <c r="AP171" s="397"/>
      <c r="AQ171" s="394"/>
      <c r="AR171" s="395"/>
      <c r="AS171" s="395"/>
      <c r="AT171" s="396"/>
      <c r="AU171" s="397"/>
      <c r="AV171" s="394"/>
      <c r="AW171" s="395"/>
      <c r="AX171" s="395"/>
      <c r="AY171" s="396"/>
      <c r="AZ171" s="397"/>
      <c r="BA171" s="394"/>
      <c r="BB171" s="395"/>
      <c r="BC171" s="395"/>
      <c r="BD171" s="396"/>
      <c r="BE171" s="397"/>
      <c r="BF171" s="394"/>
      <c r="BG171" s="395"/>
      <c r="BH171" s="395"/>
      <c r="BI171" s="396"/>
      <c r="BJ171" s="397"/>
      <c r="BK171" s="394"/>
      <c r="BL171" s="395"/>
      <c r="BM171" s="395"/>
      <c r="BN171" s="396"/>
      <c r="BO171" s="397"/>
      <c r="BP171" s="445"/>
      <c r="BQ171" s="399"/>
      <c r="BR171" s="400"/>
      <c r="BS171" s="401"/>
      <c r="BT171" s="401"/>
      <c r="BU171" s="402"/>
      <c r="BV171" s="403"/>
      <c r="BW171" s="400"/>
      <c r="BX171" s="401"/>
      <c r="BY171" s="401"/>
      <c r="BZ171" s="402"/>
      <c r="CA171" s="403"/>
      <c r="CB171" s="400"/>
      <c r="CC171" s="401"/>
      <c r="CD171" s="401"/>
      <c r="CE171" s="402"/>
      <c r="CF171" s="403"/>
      <c r="CG171" s="400"/>
      <c r="CH171" s="401"/>
      <c r="CI171" s="401"/>
      <c r="CJ171" s="402"/>
      <c r="CK171" s="403"/>
      <c r="CL171" s="400"/>
      <c r="CM171" s="401"/>
      <c r="CN171" s="401"/>
      <c r="CO171" s="402"/>
      <c r="CP171" s="403"/>
      <c r="CQ171" s="400"/>
      <c r="CR171" s="401"/>
      <c r="CS171" s="401"/>
      <c r="CT171" s="402"/>
      <c r="CU171" s="403"/>
      <c r="CV171" s="400"/>
      <c r="CW171" s="401"/>
      <c r="CX171" s="401"/>
      <c r="CY171" s="402"/>
      <c r="CZ171" s="403"/>
      <c r="DA171" s="400"/>
      <c r="DB171" s="401"/>
      <c r="DC171" s="401"/>
      <c r="DD171" s="402"/>
      <c r="DE171" s="403"/>
      <c r="DF171" s="400"/>
      <c r="DG171" s="401"/>
      <c r="DH171" s="401"/>
      <c r="DI171" s="402"/>
      <c r="DJ171" s="403"/>
      <c r="DK171" s="400"/>
      <c r="DL171" s="401"/>
      <c r="DM171" s="401"/>
      <c r="DN171" s="402"/>
      <c r="DO171" s="403"/>
      <c r="DP171" s="400"/>
      <c r="DQ171" s="401"/>
      <c r="DR171" s="401"/>
      <c r="DS171" s="402"/>
      <c r="DT171" s="403"/>
    </row>
    <row r="172" spans="1:124" ht="12.75" customHeight="1" x14ac:dyDescent="0.2">
      <c r="C172" s="240" t="s">
        <v>333</v>
      </c>
      <c r="D172" s="240"/>
      <c r="E172" s="530"/>
      <c r="F172" s="537"/>
      <c r="G172" s="537"/>
      <c r="H172" s="449"/>
      <c r="I172" s="390"/>
      <c r="J172" s="391"/>
      <c r="K172" s="448"/>
      <c r="L172" s="397"/>
      <c r="M172" s="394"/>
      <c r="N172" s="404"/>
      <c r="O172" s="404"/>
      <c r="P172" s="396"/>
      <c r="Q172" s="397"/>
      <c r="R172" s="394"/>
      <c r="S172" s="404"/>
      <c r="T172" s="404"/>
      <c r="U172" s="396"/>
      <c r="V172" s="397"/>
      <c r="W172" s="394"/>
      <c r="X172" s="404"/>
      <c r="Y172" s="404"/>
      <c r="Z172" s="396"/>
      <c r="AA172" s="397"/>
      <c r="AB172" s="394"/>
      <c r="AC172" s="404"/>
      <c r="AD172" s="404"/>
      <c r="AE172" s="396"/>
      <c r="AF172" s="397"/>
      <c r="AG172" s="394"/>
      <c r="AH172" s="404"/>
      <c r="AI172" s="404"/>
      <c r="AJ172" s="396"/>
      <c r="AK172" s="397"/>
      <c r="AL172" s="394"/>
      <c r="AM172" s="404"/>
      <c r="AN172" s="404"/>
      <c r="AO172" s="396"/>
      <c r="AP172" s="397"/>
      <c r="AQ172" s="394"/>
      <c r="AR172" s="404"/>
      <c r="AS172" s="404"/>
      <c r="AT172" s="396"/>
      <c r="AU172" s="397"/>
      <c r="AV172" s="394"/>
      <c r="AW172" s="404"/>
      <c r="AX172" s="404"/>
      <c r="AY172" s="396"/>
      <c r="AZ172" s="397"/>
      <c r="BA172" s="394"/>
      <c r="BB172" s="404"/>
      <c r="BC172" s="404"/>
      <c r="BD172" s="396"/>
      <c r="BE172" s="397"/>
      <c r="BF172" s="394"/>
      <c r="BG172" s="404"/>
      <c r="BH172" s="404"/>
      <c r="BI172" s="396"/>
      <c r="BJ172" s="397"/>
      <c r="BK172" s="394"/>
      <c r="BL172" s="404"/>
      <c r="BM172" s="404"/>
      <c r="BN172" s="396"/>
      <c r="BO172" s="397"/>
      <c r="BP172" s="445"/>
      <c r="BQ172" s="403"/>
      <c r="BR172" s="400"/>
      <c r="BS172" s="406"/>
      <c r="BT172" s="406"/>
      <c r="BU172" s="402"/>
      <c r="BV172" s="403"/>
      <c r="BW172" s="400"/>
      <c r="BX172" s="406"/>
      <c r="BY172" s="406"/>
      <c r="BZ172" s="402"/>
      <c r="CA172" s="403"/>
      <c r="CB172" s="400"/>
      <c r="CC172" s="406"/>
      <c r="CD172" s="406"/>
      <c r="CE172" s="402"/>
      <c r="CF172" s="403"/>
      <c r="CG172" s="400"/>
      <c r="CH172" s="406"/>
      <c r="CI172" s="406"/>
      <c r="CJ172" s="402"/>
      <c r="CK172" s="403"/>
      <c r="CL172" s="400"/>
      <c r="CM172" s="406"/>
      <c r="CN172" s="406"/>
      <c r="CO172" s="402"/>
      <c r="CP172" s="403"/>
      <c r="CQ172" s="400"/>
      <c r="CR172" s="406"/>
      <c r="CS172" s="406"/>
      <c r="CT172" s="402"/>
      <c r="CU172" s="403"/>
      <c r="CV172" s="400"/>
      <c r="CW172" s="406"/>
      <c r="CX172" s="406"/>
      <c r="CY172" s="402"/>
      <c r="CZ172" s="403"/>
      <c r="DA172" s="400"/>
      <c r="DB172" s="406"/>
      <c r="DC172" s="406"/>
      <c r="DD172" s="402"/>
      <c r="DE172" s="403"/>
      <c r="DF172" s="400"/>
      <c r="DG172" s="406"/>
      <c r="DH172" s="406"/>
      <c r="DI172" s="402"/>
      <c r="DJ172" s="403"/>
      <c r="DK172" s="400"/>
      <c r="DL172" s="406"/>
      <c r="DM172" s="406"/>
      <c r="DN172" s="402"/>
      <c r="DO172" s="403"/>
      <c r="DP172" s="400"/>
      <c r="DQ172" s="406"/>
      <c r="DR172" s="406"/>
      <c r="DS172" s="402"/>
      <c r="DT172" s="403"/>
    </row>
    <row r="173" spans="1:124" ht="12.75" customHeight="1" x14ac:dyDescent="0.2">
      <c r="C173" s="52" t="s">
        <v>337</v>
      </c>
      <c r="D173" s="70"/>
      <c r="E173" s="530">
        <f>IF(F173=0,G173,F173)</f>
        <v>0</v>
      </c>
      <c r="F173" s="532">
        <v>0</v>
      </c>
      <c r="G173" s="532">
        <v>0</v>
      </c>
      <c r="H173" s="449"/>
      <c r="I173" s="469"/>
      <c r="J173" s="470"/>
      <c r="K173" s="392"/>
      <c r="L173" s="397">
        <f>IF(L$5=$H173,-$E173,0)</f>
        <v>0</v>
      </c>
      <c r="M173" s="394">
        <f>IF(Q173=0,0,IF(Q173&lt;0,IF($J173=3,Q173,IF($J173=2,Q173,IF($J173=1,Q173,0)))))</f>
        <v>0</v>
      </c>
      <c r="N173" s="404">
        <f>IF(Q173=0,0,IF(Q173&lt;0,IF($J173=6,Q173,IF($J173=5,Q173,IF($J173=4,Q173,0)))))</f>
        <v>0</v>
      </c>
      <c r="O173" s="404">
        <f>IF(Q173=0,0,IF(Q173&lt;0,IF($J173=9,Q173,IF($J173=8,Q173,IF($J173=7,Q173,0)))))</f>
        <v>0</v>
      </c>
      <c r="P173" s="396">
        <f>IF(Q173=0,0,IF(Q173&lt;0,IF($J173=12,Q173,IF($J173=11,Q173,IF($J173=10,Q173,0)))))</f>
        <v>0</v>
      </c>
      <c r="Q173" s="397">
        <f>IF(Q$5=$H173,-$E173,0)</f>
        <v>0</v>
      </c>
      <c r="R173" s="394">
        <f>IF(V173=0,0,IF(V173&lt;0,IF($J173=3,V173,IF($J173=2,V173,IF($J173=1,V173,0)))))</f>
        <v>0</v>
      </c>
      <c r="S173" s="404">
        <f>IF(V173=0,0,IF(V173&lt;0,IF($J173=6,V173,IF($J173=5,V173,IF($J173=4,V173,0)))))</f>
        <v>0</v>
      </c>
      <c r="T173" s="404">
        <f>IF(V173=0,0,IF(V173&lt;0,IF($J173=9,V173,IF($J173=8,V173,IF($J173=7,V173,0)))))</f>
        <v>0</v>
      </c>
      <c r="U173" s="396">
        <f>IF(V173=0,0,IF(V173&lt;0,IF($J173=12,V173,IF($J173=11,V173,IF($J173=10,V173,0)))))</f>
        <v>0</v>
      </c>
      <c r="V173" s="397">
        <f>IF(V$5=$H173,-$E173,0)</f>
        <v>0</v>
      </c>
      <c r="W173" s="394">
        <f>IF(AA173=0,0,IF(AA173&lt;0,IF($J173=3,AA173,IF($J173=2,AA173,IF($J173=1,AA173,0)))))</f>
        <v>0</v>
      </c>
      <c r="X173" s="404">
        <f>IF(AA173=0,0,IF(AA173&lt;0,IF($J173=6,AA173,IF($J173=5,AA173,IF($J173=4,AA173,0)))))</f>
        <v>0</v>
      </c>
      <c r="Y173" s="404">
        <f>IF(AA173=0,0,IF(AA173&lt;0,IF($J173=9,AA173,IF($J173=8,AA173,IF($J173=7,AA173,0)))))</f>
        <v>0</v>
      </c>
      <c r="Z173" s="396">
        <f>IF(AA173=0,0,IF(AA173&lt;0,IF($J173=12,AA173,IF($J173=11,AA173,IF($J173=10,AA173,0)))))</f>
        <v>0</v>
      </c>
      <c r="AA173" s="397">
        <f>IF(AA$5=$H173,-$E173,0)</f>
        <v>0</v>
      </c>
      <c r="AB173" s="394">
        <f>IF(AF173=0,0,IF(AF173&lt;0,IF($J173=3,AF173,IF($J173=2,AF173,IF($J173=1,AF173,0)))))</f>
        <v>0</v>
      </c>
      <c r="AC173" s="404">
        <f>IF(AF173=0,0,IF(AF173&lt;0,IF($J173=6,AF173,IF($J173=5,AF173,IF($J173=4,AF173,0)))))</f>
        <v>0</v>
      </c>
      <c r="AD173" s="404">
        <f>IF(AF173=0,0,IF(AF173&lt;0,IF($J173=9,AF173,IF($J173=8,AF173,IF($J173=7,AF173,0)))))</f>
        <v>0</v>
      </c>
      <c r="AE173" s="396">
        <f>IF(AF173=0,0,IF(AF173&lt;0,IF($J173=12,AF173,IF($J173=11,AF173,IF($J173=10,AF173,0)))))</f>
        <v>0</v>
      </c>
      <c r="AF173" s="397">
        <f>IF(AF$5=$H173,-$E173,0)</f>
        <v>0</v>
      </c>
      <c r="AG173" s="394">
        <f>IF(AK173=0,0,IF(AK173&lt;0,IF($J173=3,AK173,IF($J173=2,AK173,IF($J173=1,AK173,0)))))</f>
        <v>0</v>
      </c>
      <c r="AH173" s="404">
        <f>IF(AK173=0,0,IF(AK173&lt;0,IF($J173=6,AK173,IF($J173=5,AK173,IF($J173=4,AK173,0)))))</f>
        <v>0</v>
      </c>
      <c r="AI173" s="404">
        <f>IF(AK173=0,0,IF(AK173&lt;0,IF($J173=9,AK173,IF($J173=8,AK173,IF($J173=7,AK173,0)))))</f>
        <v>0</v>
      </c>
      <c r="AJ173" s="396">
        <f>IF(AK173=0,0,IF(AK173&lt;0,IF($J173=12,AK173,IF($J173=11,AK173,IF($J173=10,AK173,0)))))</f>
        <v>0</v>
      </c>
      <c r="AK173" s="397">
        <f>IF(AK$5=$H173,-$E173,0)</f>
        <v>0</v>
      </c>
      <c r="AL173" s="394">
        <f>IF(AP173=0,0,IF(AP173&lt;0,IF($J173=3,AP173,IF($J173=2,AP173,IF($J173=1,AP173,0)))))</f>
        <v>0</v>
      </c>
      <c r="AM173" s="404">
        <f>IF(AP173=0,0,IF(AP173&lt;0,IF($J173=6,AP173,IF($J173=5,AP173,IF($J173=4,AP173,0)))))</f>
        <v>0</v>
      </c>
      <c r="AN173" s="404">
        <f>IF(AP173=0,0,IF(AP173&lt;0,IF($J173=9,AP173,IF($J173=8,AP173,IF($J173=7,AP173,0)))))</f>
        <v>0</v>
      </c>
      <c r="AO173" s="396">
        <f>IF(AP173=0,0,IF(AP173&lt;0,IF($J173=12,AP173,IF($J173=11,AP173,IF($J173=10,AP173,0)))))</f>
        <v>0</v>
      </c>
      <c r="AP173" s="397">
        <f>IF(AP$5=$H173,-$E173,0)</f>
        <v>0</v>
      </c>
      <c r="AQ173" s="394">
        <f>IF(AU173=0,0,IF(AU173&lt;0,IF($J173=3,AU173,IF($J173=2,AU173,IF($J173=1,AU173,0)))))</f>
        <v>0</v>
      </c>
      <c r="AR173" s="404">
        <f>IF(AU173=0,0,IF(AU173&lt;0,IF($J173=6,AU173,IF($J173=5,AU173,IF($J173=4,AU173,0)))))</f>
        <v>0</v>
      </c>
      <c r="AS173" s="404">
        <f>IF(AU173=0,0,IF(AU173&lt;0,IF($J173=9,AU173,IF($J173=8,AU173,IF($J173=7,AU173,0)))))</f>
        <v>0</v>
      </c>
      <c r="AT173" s="396">
        <f>IF(AU173=0,0,IF(AU173&lt;0,IF($J173=12,AU173,IF($J173=11,AU173,IF($J173=10,AU173,0)))))</f>
        <v>0</v>
      </c>
      <c r="AU173" s="397">
        <f>IF(AU$5=$H173,-$E173,0)</f>
        <v>0</v>
      </c>
      <c r="AV173" s="394">
        <f>IF(AZ173=0,0,IF(AZ173&lt;0,IF($J173=3,AZ173,IF($J173=2,AZ173,IF($J173=1,AZ173,0)))))</f>
        <v>0</v>
      </c>
      <c r="AW173" s="404">
        <f>IF(AZ173=0,0,IF(AZ173&lt;0,IF($J173=6,AZ173,IF($J173=5,AZ173,IF($J173=4,AZ173,0)))))</f>
        <v>0</v>
      </c>
      <c r="AX173" s="404">
        <f>IF(AZ173=0,0,IF(AZ173&lt;0,IF($J173=9,AZ173,IF($J173=8,AZ173,IF($J173=7,AZ173,0)))))</f>
        <v>0</v>
      </c>
      <c r="AY173" s="396">
        <f>IF(AZ173=0,0,IF(AZ173&lt;0,IF($J173=12,AZ173,IF($J173=11,AZ173,IF($J173=10,AZ173,0)))))</f>
        <v>0</v>
      </c>
      <c r="AZ173" s="397">
        <f>IF(AZ$5=$H173,-$E173,0)</f>
        <v>0</v>
      </c>
      <c r="BA173" s="394">
        <f>IF(BE173=0,0,IF(BE173&lt;0,IF($J173=3,BE173,IF($J173=2,BE173,IF($J173=1,BE173,0)))))</f>
        <v>0</v>
      </c>
      <c r="BB173" s="404">
        <f>IF(BE173=0,0,IF(BE173&lt;0,IF($J173=6,BE173,IF($J173=5,BE173,IF($J173=4,BE173,0)))))</f>
        <v>0</v>
      </c>
      <c r="BC173" s="404">
        <f>IF(BE173=0,0,IF(BE173&lt;0,IF($J173=9,BE173,IF($J173=8,BE173,IF($J173=7,BE173,0)))))</f>
        <v>0</v>
      </c>
      <c r="BD173" s="396">
        <f>IF(BE173=0,0,IF(BE173&lt;0,IF($J173=12,BE173,IF($J173=11,BE173,IF($J173=10,BE173,0)))))</f>
        <v>0</v>
      </c>
      <c r="BE173" s="397">
        <f>IF(BE$5=$H173,-$E173,0)</f>
        <v>0</v>
      </c>
      <c r="BF173" s="394">
        <f>IF(BJ173=0,0,IF(BJ173&lt;0,IF($J173=3,BJ173,IF($J173=2,BJ173,IF($J173=1,BJ173,0)))))</f>
        <v>0</v>
      </c>
      <c r="BG173" s="404">
        <f>IF(BJ173=0,0,IF(BJ173&lt;0,IF($J173=6,BJ173,IF($J173=5,BJ173,IF($J173=4,BJ173,0)))))</f>
        <v>0</v>
      </c>
      <c r="BH173" s="404">
        <f>IF(BJ173=0,0,IF(BJ173&lt;0,IF($J173=9,BJ173,IF($J173=8,BJ173,IF($J173=7,BJ173,0)))))</f>
        <v>0</v>
      </c>
      <c r="BI173" s="396">
        <f>IF(BJ173=0,0,IF(BJ173&lt;0,IF($J173=12,BJ173,IF($J173=11,BJ173,IF($J173=10,BJ173,0)))))</f>
        <v>0</v>
      </c>
      <c r="BJ173" s="397">
        <f>IF(BJ$5=$H173,-$E173,0)</f>
        <v>0</v>
      </c>
      <c r="BK173" s="394">
        <f>IF(BO173=0,0,IF(BO173&lt;0,IF($J173=3,BO173,IF($J173=2,BO173,IF($J173=1,BO173,0)))))</f>
        <v>0</v>
      </c>
      <c r="BL173" s="404">
        <f>IF(BO173=0,0,IF(BO173&lt;0,IF($J173=6,BO173,IF($J173=5,BO173,IF($J173=4,BO173,0)))))</f>
        <v>0</v>
      </c>
      <c r="BM173" s="404">
        <f>IF(BO173=0,0,IF(BO173&lt;0,IF($J173=9,BO173,IF($J173=8,BO173,IF($J173=7,BO173,0)))))</f>
        <v>0</v>
      </c>
      <c r="BN173" s="396">
        <f>IF(BO173=0,0,IF(BO173&lt;0,IF($J173=12,BO173,IF($J173=11,BO173,IF($J173=10,BO173,0)))))</f>
        <v>0</v>
      </c>
      <c r="BO173" s="397">
        <f>IF(BO$5=$H173,-$E173,0)</f>
        <v>0</v>
      </c>
      <c r="BP173" s="445"/>
      <c r="BQ173" s="403">
        <f>IF(AND(BP173&lt;&gt;0,BP$5=$H173),-$I173*$E173-BP173,IF(BQ$5=$H173,-$I173*$E173*(12-$J173+1)/12,0))</f>
        <v>0</v>
      </c>
      <c r="BR173" s="400">
        <f>IF($H173&lt;&gt;BV$5,0,IF(BV173&lt;0,IF($J173=1,-$E173*$I173/12*3,IF($J173=2,-$E173*$I173/12*2,IF($J173=3,-$E173*$I173/12*1,0)))))+IF(BQ$5&lt;&gt;$H173,0,IF(BQ173&lt;0,IF($J173=1,-$E173*$I173/12*0,IF($J173=2,-$E173*$I173/12*1,IF($J173=3,-$E173*$I173/12*2,IF($J173&gt;=4,-$E173*$I173/12*3,0))))))</f>
        <v>0</v>
      </c>
      <c r="BS173" s="406">
        <f>IF($H173&lt;&gt;BV$5,0,IF(BV173&lt;0,IF(OR($J173=1,$J173=2,$J173=3,$J173=4),-$E173*$I173/12*3,IF($J173=5,-$E173*$I173/12*2,IF($J173=6,-$E173*$I173/12*1,0)))))+IF(BQ$5&lt;&gt;$H173,0,IF(BQ173&lt;0,IF($J173=4,-$E173*$I173/12*0,IF($J173=5,-$E173*$I173/12*1,IF($J173=6,-$E173*$I173/12*2,IF($J173&gt;=7,-$E173*$I173/12*3,0))))))</f>
        <v>0</v>
      </c>
      <c r="BT173" s="406">
        <f>IF($H173&lt;&gt;BV$5,0,IF(BV173&lt;0,IF(OR($J173=1,$J173=2,$J173=3,$J173=4,$J173=5,$J173=6,$J173=7),-$E173*$I173/12*3,IF($J173=8,-$E173*$I173/12*2,IF($J173=9,-$E173*$I173/12*1,0)))))+IF(BQ$5&lt;&gt;$H173,0,IF(BQ173&lt;0,IF($J173=7,-$E173*$I173/12*0,IF($J173=8,-$E173*$I173/12*1,IF($J173=9,-$E173*$I173/12*2,IF($J173&gt;=10,-$E173*$I173/12*3,0))))))</f>
        <v>0</v>
      </c>
      <c r="BU173" s="402">
        <f>IF($H173&lt;&gt;BV$5,0,IF(BV173&lt;0,IF(OR($J173=1,$J173=2,$J173=3,$J173=4,$J173=5,$J173=6,$J173=7,$J173=8,$J173=9,$J173=10),-$E173*$I173/12*3,IF($J173=11,-$E173*$I173/12*2,IF($J173=12,-$E173*$I173/12*1,0)))))+IF(BQ$5&lt;&gt;$H173,0,IF(BQ173&lt;0,IF($J173=10,-$E173*$I173/12*0,IF($J173=11,-$E173*$I173/12*1,IF($J173=12,-$E173*$I173/12*2,0)))))</f>
        <v>0</v>
      </c>
      <c r="BV173" s="403">
        <f>IF(AND(BQ173&lt;&gt;0,BQ$5=$H173),-$I173*$E173-BQ173,IF(BV$5=$H173,-$I173*$E173*(12-$J173+1)/12,0))</f>
        <v>0</v>
      </c>
      <c r="BW173" s="400">
        <f>IF($H173&lt;&gt;CA$5,0,IF(CA173&lt;0,IF($J173=1,-$E173*$I173/12*3,IF($J173=2,-$E173*$I173/12*2,IF($J173=3,-$E173*$I173/12*1,0)))))+IF(BV$5&lt;&gt;$H173,0,IF(BV173&lt;0,IF($J173=1,-$E173*$I173/12*0,IF($J173=2,-$E173*$I173/12*1,IF($J173=3,-$E173*$I173/12*2,IF($J173&gt;=4,-$E173*$I173/12*3,0))))))</f>
        <v>0</v>
      </c>
      <c r="BX173" s="406">
        <f>IF($H173&lt;&gt;CA$5,0,IF(CA173&lt;0,IF(OR($J173=1,$J173=2,$J173=3,$J173=4),-$E173*$I173/12*3,IF($J173=5,-$E173*$I173/12*2,IF($J173=6,-$E173*$I173/12*1,0)))))+IF(BV$5&lt;&gt;$H173,0,IF(BV173&lt;0,IF($J173=4,-$E173*$I173/12*0,IF($J173=5,-$E173*$I173/12*1,IF($J173=6,-$E173*$I173/12*2,IF($J173&gt;=7,-$E173*$I173/12*3,0))))))</f>
        <v>0</v>
      </c>
      <c r="BY173" s="406">
        <f>IF($H173&lt;&gt;CA$5,0,IF(CA173&lt;0,IF(OR($J173=1,$J173=2,$J173=3,$J173=4,$J173=5,$J173=6,$J173=7),-$E173*$I173/12*3,IF($J173=8,-$E173*$I173/12*2,IF($J173=9,-$E173*$I173/12*1,0)))))+IF(BV$5&lt;&gt;$H173,0,IF(BV173&lt;0,IF($J173=7,-$E173*$I173/12*0,IF($J173=8,-$E173*$I173/12*1,IF($J173=9,-$E173*$I173/12*2,IF($J173&gt;=10,-$E173*$I173/12*3,0))))))</f>
        <v>0</v>
      </c>
      <c r="BZ173" s="402">
        <f>IF($H173&lt;&gt;CA$5,0,IF(CA173&lt;0,IF(OR($J173=1,$J173=2,$J173=3,$J173=4,$J173=5,$J173=6,$J173=7,$J173=8,$J173=9,$J173=10),-$E173*$I173/12*3,IF($J173=11,-$E173*$I173/12*2,IF($J173=12,-$E173*$I173/12*1,0)))))+IF(BV$5&lt;&gt;$H173,0,IF(BV173&lt;0,IF($J173=10,-$E173*$I173/12*0,IF($J173=11,-$E173*$I173/12*1,IF($J173=12,-$E173*$I173/12*2,0)))))</f>
        <v>0</v>
      </c>
      <c r="CA173" s="403">
        <f>IF(AND(BV173&lt;&gt;0,BV$5=$H173),-$I173*$E173-BV173,IF(CA$5=$H173,-$I173*$E173*(12-$J173+1)/12,0))</f>
        <v>0</v>
      </c>
      <c r="CB173" s="400">
        <f>IF($H173&lt;&gt;CF$5,0,IF(CF173&lt;0,IF($J173=1,-$E173*$I173/12*3,IF($J173=2,-$E173*$I173/12*2,IF($J173=3,-$E173*$I173/12*1,0)))))+IF(CA$5&lt;&gt;$H173,0,IF(CA173&lt;0,IF($J173=1,-$E173*$I173/12*0,IF($J173=2,-$E173*$I173/12*1,IF($J173=3,-$E173*$I173/12*2,IF($J173&gt;=4,-$E173*$I173/12*3,0))))))</f>
        <v>0</v>
      </c>
      <c r="CC173" s="406">
        <f>IF($H173&lt;&gt;CF$5,0,IF(CF173&lt;0,IF(OR($J173=1,$J173=2,$J173=3,$J173=4),-$E173*$I173/12*3,IF($J173=5,-$E173*$I173/12*2,IF($J173=6,-$E173*$I173/12*1,0)))))+IF(CA$5&lt;&gt;$H173,0,IF(CA173&lt;0,IF($J173=4,-$E173*$I173/12*0,IF($J173=5,-$E173*$I173/12*1,IF($J173=6,-$E173*$I173/12*2,IF($J173&gt;=7,-$E173*$I173/12*3,0))))))</f>
        <v>0</v>
      </c>
      <c r="CD173" s="406">
        <f>IF($H173&lt;&gt;CF$5,0,IF(CF173&lt;0,IF(OR($J173=1,$J173=2,$J173=3,$J173=4,$J173=5,$J173=6,$J173=7),-$E173*$I173/12*3,IF($J173=8,-$E173*$I173/12*2,IF($J173=9,-$E173*$I173/12*1,0)))))+IF(CA$5&lt;&gt;$H173,0,IF(CA173&lt;0,IF($J173=7,-$E173*$I173/12*0,IF($J173=8,-$E173*$I173/12*1,IF($J173=9,-$E173*$I173/12*2,IF($J173&gt;=10,-$E173*$I173/12*3,0))))))</f>
        <v>0</v>
      </c>
      <c r="CE173" s="402">
        <f>IF($H173&lt;&gt;CF$5,0,IF(CF173&lt;0,IF(OR($J173=1,$J173=2,$J173=3,$J173=4,$J173=5,$J173=6,$J173=7,$J173=8,$J173=9,$J173=10),-$E173*$I173/12*3,IF($J173=11,-$E173*$I173/12*2,IF($J173=12,-$E173*$I173/12*1,0)))))+IF(CA$5&lt;&gt;$H173,0,IF(CA173&lt;0,IF($J173=10,-$E173*$I173/12*0,IF($J173=11,-$E173*$I173/12*1,IF($J173=12,-$E173*$I173/12*2,0)))))</f>
        <v>0</v>
      </c>
      <c r="CF173" s="403">
        <f>IF(AND(CA173&lt;&gt;0,CA$5=$H173),-$I173*$E173-CA173,IF(CF$5=$H173,-$I173*$E173*(12-$J173+1)/12,0))</f>
        <v>0</v>
      </c>
      <c r="CG173" s="400">
        <f>IF($H173&lt;&gt;CK$5,0,IF(CK173&lt;0,IF($J173=1,-$E173*$I173/12*3,IF($J173=2,-$E173*$I173/12*2,IF($J173=3,-$E173*$I173/12*1,0)))))+IF(CF$5&lt;&gt;$H173,0,IF(CF173&lt;0,IF($J173=1,-$E173*$I173/12*0,IF($J173=2,-$E173*$I173/12*1,IF($J173=3,-$E173*$I173/12*2,IF($J173&gt;=4,-$E173*$I173/12*3,0))))))</f>
        <v>0</v>
      </c>
      <c r="CH173" s="406">
        <f>IF($H173&lt;&gt;CK$5,0,IF(CK173&lt;0,IF(OR($J173=1,$J173=2,$J173=3,$J173=4),-$E173*$I173/12*3,IF($J173=5,-$E173*$I173/12*2,IF($J173=6,-$E173*$I173/12*1,0)))))+IF(CF$5&lt;&gt;$H173,0,IF(CF173&lt;0,IF($J173=4,-$E173*$I173/12*0,IF($J173=5,-$E173*$I173/12*1,IF($J173=6,-$E173*$I173/12*2,IF($J173&gt;=7,-$E173*$I173/12*3,0))))))</f>
        <v>0</v>
      </c>
      <c r="CI173" s="406">
        <f>IF($H173&lt;&gt;CK$5,0,IF(CK173&lt;0,IF(OR($J173=1,$J173=2,$J173=3,$J173=4,$J173=5,$J173=6,$J173=7),-$E173*$I173/12*3,IF($J173=8,-$E173*$I173/12*2,IF($J173=9,-$E173*$I173/12*1,0)))))+IF(CF$5&lt;&gt;$H173,0,IF(CF173&lt;0,IF($J173=7,-$E173*$I173/12*0,IF($J173=8,-$E173*$I173/12*1,IF($J173=9,-$E173*$I173/12*2,IF($J173&gt;=10,-$E173*$I173/12*3,0))))))</f>
        <v>0</v>
      </c>
      <c r="CJ173" s="402">
        <f>IF($H173&lt;&gt;CK$5,0,IF(CK173&lt;0,IF(OR($J173=1,$J173=2,$J173=3,$J173=4,$J173=5,$J173=6,$J173=7,$J173=8,$J173=9,$J173=10),-$E173*$I173/12*3,IF($J173=11,-$E173*$I173/12*2,IF($J173=12,-$E173*$I173/12*1,0)))))+IF(CF$5&lt;&gt;$H173,0,IF(CF173&lt;0,IF($J173=10,-$E173*$I173/12*0,IF($J173=11,-$E173*$I173/12*1,IF($J173=12,-$E173*$I173/12*2,0)))))</f>
        <v>0</v>
      </c>
      <c r="CK173" s="403">
        <f>IF(AND(CF173&lt;&gt;0,CF$5=$H173),-$I173*$E173-CF173,IF(CK$5=$H173,-$I173*$E173*(12-$J173+1)/12,0))</f>
        <v>0</v>
      </c>
      <c r="CL173" s="400">
        <f>IF($H173&lt;&gt;CP$5,0,IF(CP173&lt;0,IF($J173=1,-$E173*$I173/12*3,IF($J173=2,-$E173*$I173/12*2,IF($J173=3,-$E173*$I173/12*1,0)))))+IF(CK$5&lt;&gt;$H173,0,IF(CK173&lt;0,IF($J173=1,-$E173*$I173/12*0,IF($J173=2,-$E173*$I173/12*1,IF($J173=3,-$E173*$I173/12*2,IF($J173&gt;=4,-$E173*$I173/12*3,0))))))</f>
        <v>0</v>
      </c>
      <c r="CM173" s="406">
        <f>IF($H173&lt;&gt;CP$5,0,IF(CP173&lt;0,IF(OR($J173=1,$J173=2,$J173=3,$J173=4),-$E173*$I173/12*3,IF($J173=5,-$E173*$I173/12*2,IF($J173=6,-$E173*$I173/12*1,0)))))+IF(CK$5&lt;&gt;$H173,0,IF(CK173&lt;0,IF($J173=4,-$E173*$I173/12*0,IF($J173=5,-$E173*$I173/12*1,IF($J173=6,-$E173*$I173/12*2,IF($J173&gt;=7,-$E173*$I173/12*3,0))))))</f>
        <v>0</v>
      </c>
      <c r="CN173" s="406">
        <f>IF($H173&lt;&gt;CP$5,0,IF(CP173&lt;0,IF(OR($J173=1,$J173=2,$J173=3,$J173=4,$J173=5,$J173=6,$J173=7),-$E173*$I173/12*3,IF($J173=8,-$E173*$I173/12*2,IF($J173=9,-$E173*$I173/12*1,0)))))+IF(CK$5&lt;&gt;$H173,0,IF(CK173&lt;0,IF($J173=7,-$E173*$I173/12*0,IF($J173=8,-$E173*$I173/12*1,IF($J173=9,-$E173*$I173/12*2,IF($J173&gt;=10,-$E173*$I173/12*3,0))))))</f>
        <v>0</v>
      </c>
      <c r="CO173" s="402">
        <f>IF($H173&lt;&gt;CP$5,0,IF(CP173&lt;0,IF(OR($J173=1,$J173=2,$J173=3,$J173=4,$J173=5,$J173=6,$J173=7,$J173=8,$J173=9,$J173=10),-$E173*$I173/12*3,IF($J173=11,-$E173*$I173/12*2,IF($J173=12,-$E173*$I173/12*1,0)))))+IF(CK$5&lt;&gt;$H173,0,IF(CK173&lt;0,IF($J173=10,-$E173*$I173/12*0,IF($J173=11,-$E173*$I173/12*1,IF($J173=12,-$E173*$I173/12*2,0)))))</f>
        <v>0</v>
      </c>
      <c r="CP173" s="403">
        <f>IF(AND(CK173&lt;&gt;0,CK$5=$H173),-$I173*$E173-CK173,IF(CP$5=$H173,-$I173*$E173*(12-$J173+1)/12,0))</f>
        <v>0</v>
      </c>
      <c r="CQ173" s="400">
        <f>IF($H173&lt;&gt;CU$5,0,IF(CU173&lt;0,IF($J173=1,-$E173*$I173/12*3,IF($J173=2,-$E173*$I173/12*2,IF($J173=3,-$E173*$I173/12*1,0)))))+IF(CP$5&lt;&gt;$H173,0,IF(CP173&lt;0,IF($J173=1,-$E173*$I173/12*0,IF($J173=2,-$E173*$I173/12*1,IF($J173=3,-$E173*$I173/12*2,IF($J173&gt;=4,-$E173*$I173/12*3,0))))))</f>
        <v>0</v>
      </c>
      <c r="CR173" s="406">
        <f>IF($H173&lt;&gt;CU$5,0,IF(CU173&lt;0,IF(OR($J173=1,$J173=2,$J173=3,$J173=4),-$E173*$I173/12*3,IF($J173=5,-$E173*$I173/12*2,IF($J173=6,-$E173*$I173/12*1,0)))))+IF(CP$5&lt;&gt;$H173,0,IF(CP173&lt;0,IF($J173=4,-$E173*$I173/12*0,IF($J173=5,-$E173*$I173/12*1,IF($J173=6,-$E173*$I173/12*2,IF($J173&gt;=7,-$E173*$I173/12*3,0))))))</f>
        <v>0</v>
      </c>
      <c r="CS173" s="406">
        <f>IF($H173&lt;&gt;CU$5,0,IF(CU173&lt;0,IF(OR($J173=1,$J173=2,$J173=3,$J173=4,$J173=5,$J173=6,$J173=7),-$E173*$I173/12*3,IF($J173=8,-$E173*$I173/12*2,IF($J173=9,-$E173*$I173/12*1,0)))))+IF(CP$5&lt;&gt;$H173,0,IF(CP173&lt;0,IF($J173=7,-$E173*$I173/12*0,IF($J173=8,-$E173*$I173/12*1,IF($J173=9,-$E173*$I173/12*2,IF($J173&gt;=10,-$E173*$I173/12*3,0))))))</f>
        <v>0</v>
      </c>
      <c r="CT173" s="402">
        <f>IF($H173&lt;&gt;CU$5,0,IF(CU173&lt;0,IF(OR($J173=1,$J173=2,$J173=3,$J173=4,$J173=5,$J173=6,$J173=7,$J173=8,$J173=9,$J173=10),-$E173*$I173/12*3,IF($J173=11,-$E173*$I173/12*2,IF($J173=12,-$E173*$I173/12*1,0)))))+IF(CP$5&lt;&gt;$H173,0,IF(CP173&lt;0,IF($J173=10,-$E173*$I173/12*0,IF($J173=11,-$E173*$I173/12*1,IF($J173=12,-$E173*$I173/12*2,0)))))</f>
        <v>0</v>
      </c>
      <c r="CU173" s="403">
        <f>IF(AND(CP173&lt;&gt;0,CP$5=$H173),-$I173*$E173-CP173,IF(CU$5=$H173,-$I173*$E173*(12-$J173+1)/12,0))</f>
        <v>0</v>
      </c>
      <c r="CV173" s="400">
        <f>IF($H173&lt;&gt;CZ$5,0,IF(CZ173&lt;0,IF($J173=1,-$E173*$I173/12*3,IF($J173=2,-$E173*$I173/12*2,IF($J173=3,-$E173*$I173/12*1,0)))))+IF(CU$5&lt;&gt;$H173,0,IF(CU173&lt;0,IF($J173=1,-$E173*$I173/12*0,IF($J173=2,-$E173*$I173/12*1,IF($J173=3,-$E173*$I173/12*2,IF($J173&gt;=4,-$E173*$I173/12*3,0))))))</f>
        <v>0</v>
      </c>
      <c r="CW173" s="406">
        <f>IF($H173&lt;&gt;CZ$5,0,IF(CZ173&lt;0,IF(OR($J173=1,$J173=2,$J173=3,$J173=4),-$E173*$I173/12*3,IF($J173=5,-$E173*$I173/12*2,IF($J173=6,-$E173*$I173/12*1,0)))))+IF(CU$5&lt;&gt;$H173,0,IF(CU173&lt;0,IF($J173=4,-$E173*$I173/12*0,IF($J173=5,-$E173*$I173/12*1,IF($J173=6,-$E173*$I173/12*2,IF($J173&gt;=7,-$E173*$I173/12*3,0))))))</f>
        <v>0</v>
      </c>
      <c r="CX173" s="406">
        <f>IF($H173&lt;&gt;CZ$5,0,IF(CZ173&lt;0,IF(OR($J173=1,$J173=2,$J173=3,$J173=4,$J173=5,$J173=6,$J173=7),-$E173*$I173/12*3,IF($J173=8,-$E173*$I173/12*2,IF($J173=9,-$E173*$I173/12*1,0)))))+IF(CU$5&lt;&gt;$H173,0,IF(CU173&lt;0,IF($J173=7,-$E173*$I173/12*0,IF($J173=8,-$E173*$I173/12*1,IF($J173=9,-$E173*$I173/12*2,IF($J173&gt;=10,-$E173*$I173/12*3,0))))))</f>
        <v>0</v>
      </c>
      <c r="CY173" s="402">
        <f>IF($H173&lt;&gt;CZ$5,0,IF(CZ173&lt;0,IF(OR($J173=1,$J173=2,$J173=3,$J173=4,$J173=5,$J173=6,$J173=7,$J173=8,$J173=9,$J173=10),-$E173*$I173/12*3,IF($J173=11,-$E173*$I173/12*2,IF($J173=12,-$E173*$I173/12*1,0)))))+IF(CU$5&lt;&gt;$H173,0,IF(CU173&lt;0,IF($J173=10,-$E173*$I173/12*0,IF($J173=11,-$E173*$I173/12*1,IF($J173=12,-$E173*$I173/12*2,0)))))</f>
        <v>0</v>
      </c>
      <c r="CZ173" s="403">
        <f>IF(AND(CU173&lt;&gt;0,CU$5=$H173),-$I173*$E173-CU173,IF(CZ$5=$H173,-$I173*$E173*(12-$J173+1)/12,0))</f>
        <v>0</v>
      </c>
      <c r="DA173" s="400">
        <f>IF($H173&lt;&gt;DE$5,0,IF(DE173&lt;0,IF($J173=1,-$E173*$I173/12*3,IF($J173=2,-$E173*$I173/12*2,IF($J173=3,-$E173*$I173/12*1,0)))))+IF(CZ$5&lt;&gt;$H173,0,IF(CZ173&lt;0,IF($J173=1,-$E173*$I173/12*0,IF($J173=2,-$E173*$I173/12*1,IF($J173=3,-$E173*$I173/12*2,IF($J173&gt;=4,-$E173*$I173/12*3,0))))))</f>
        <v>0</v>
      </c>
      <c r="DB173" s="406">
        <f>IF($H173&lt;&gt;DE$5,0,IF(DE173&lt;0,IF(OR($J173=1,$J173=2,$J173=3,$J173=4),-$E173*$I173/12*3,IF($J173=5,-$E173*$I173/12*2,IF($J173=6,-$E173*$I173/12*1,0)))))+IF(CZ$5&lt;&gt;$H173,0,IF(CZ173&lt;0,IF($J173=4,-$E173*$I173/12*0,IF($J173=5,-$E173*$I173/12*1,IF($J173=6,-$E173*$I173/12*2,IF($J173&gt;=7,-$E173*$I173/12*3,0))))))</f>
        <v>0</v>
      </c>
      <c r="DC173" s="406">
        <f>IF($H173&lt;&gt;DE$5,0,IF(DE173&lt;0,IF(OR($J173=1,$J173=2,$J173=3,$J173=4,$J173=5,$J173=6,$J173=7),-$E173*$I173/12*3,IF($J173=8,-$E173*$I173/12*2,IF($J173=9,-$E173*$I173/12*1,0)))))+IF(CZ$5&lt;&gt;$H173,0,IF(CZ173&lt;0,IF($J173=7,-$E173*$I173/12*0,IF($J173=8,-$E173*$I173/12*1,IF($J173=9,-$E173*$I173/12*2,IF($J173&gt;=10,-$E173*$I173/12*3,0))))))</f>
        <v>0</v>
      </c>
      <c r="DD173" s="402">
        <f>IF($H173&lt;&gt;DE$5,0,IF(DE173&lt;0,IF(OR($J173=1,$J173=2,$J173=3,$J173=4,$J173=5,$J173=6,$J173=7,$J173=8,$J173=9,$J173=10),-$E173*$I173/12*3,IF($J173=11,-$E173*$I173/12*2,IF($J173=12,-$E173*$I173/12*1,0)))))+IF(CZ$5&lt;&gt;$H173,0,IF(CZ173&lt;0,IF($J173=10,-$E173*$I173/12*0,IF($J173=11,-$E173*$I173/12*1,IF($J173=12,-$E173*$I173/12*2,0)))))</f>
        <v>0</v>
      </c>
      <c r="DE173" s="403">
        <f>IF(AND(CZ173&lt;&gt;0,CZ$5=$H173),-$I173*$E173-CZ173,IF(DE$5=$H173,-$I173*$E173*(12-$J173+1)/12,0))</f>
        <v>0</v>
      </c>
      <c r="DF173" s="400">
        <f>IF($H173&lt;&gt;DJ$5,0,IF(DJ173&lt;0,IF($J173=1,-$E173*$I173/12*3,IF($J173=2,-$E173*$I173/12*2,IF($J173=3,-$E173*$I173/12*1,0)))))+IF(DE$5&lt;&gt;$H173,0,IF(DE173&lt;0,IF($J173=1,-$E173*$I173/12*0,IF($J173=2,-$E173*$I173/12*1,IF($J173=3,-$E173*$I173/12*2,IF($J173&gt;=4,-$E173*$I173/12*3,0))))))</f>
        <v>0</v>
      </c>
      <c r="DG173" s="406">
        <f>IF($H173&lt;&gt;DJ$5,0,IF(DJ173&lt;0,IF(OR($J173=1,$J173=2,$J173=3,$J173=4),-$E173*$I173/12*3,IF($J173=5,-$E173*$I173/12*2,IF($J173=6,-$E173*$I173/12*1,0)))))+IF(DE$5&lt;&gt;$H173,0,IF(DE173&lt;0,IF($J173=4,-$E173*$I173/12*0,IF($J173=5,-$E173*$I173/12*1,IF($J173=6,-$E173*$I173/12*2,IF($J173&gt;=7,-$E173*$I173/12*3,0))))))</f>
        <v>0</v>
      </c>
      <c r="DH173" s="406">
        <f>IF($H173&lt;&gt;DJ$5,0,IF(DJ173&lt;0,IF(OR($J173=1,$J173=2,$J173=3,$J173=4,$J173=5,$J173=6,$J173=7),-$E173*$I173/12*3,IF($J173=8,-$E173*$I173/12*2,IF($J173=9,-$E173*$I173/12*1,0)))))+IF(DE$5&lt;&gt;$H173,0,IF(DE173&lt;0,IF($J173=7,-$E173*$I173/12*0,IF($J173=8,-$E173*$I173/12*1,IF($J173=9,-$E173*$I173/12*2,IF($J173&gt;=10,-$E173*$I173/12*3,0))))))</f>
        <v>0</v>
      </c>
      <c r="DI173" s="402">
        <f>IF($H173&lt;&gt;DJ$5,0,IF(DJ173&lt;0,IF(OR($J173=1,$J173=2,$J173=3,$J173=4,$J173=5,$J173=6,$J173=7,$J173=8,$J173=9,$J173=10),-$E173*$I173/12*3,IF($J173=11,-$E173*$I173/12*2,IF($J173=12,-$E173*$I173/12*1,0)))))+IF(DE$5&lt;&gt;$H173,0,IF(DE173&lt;0,IF($J173=10,-$E173*$I173/12*0,IF($J173=11,-$E173*$I173/12*1,IF($J173=12,-$E173*$I173/12*2,0)))))</f>
        <v>0</v>
      </c>
      <c r="DJ173" s="403">
        <f>IF(AND(DE173&lt;&gt;0,DE$5=$H173),-$I173*$E173-DE173,IF(DJ$5=$H173,-$I173*$E173*(12-$J173+1)/12,0))</f>
        <v>0</v>
      </c>
      <c r="DK173" s="400">
        <f>IF($H173&lt;&gt;DO$5,0,IF(DO173&lt;0,IF($J173=1,-$E173*$I173/12*3,IF($J173=2,-$E173*$I173/12*2,IF($J173=3,-$E173*$I173/12*1,0)))))+IF(DJ$5&lt;&gt;$H173,0,IF(DJ173&lt;0,IF($J173=1,-$E173*$I173/12*0,IF($J173=2,-$E173*$I173/12*1,IF($J173=3,-$E173*$I173/12*2,IF($J173&gt;=4,-$E173*$I173/12*3,0))))))</f>
        <v>0</v>
      </c>
      <c r="DL173" s="406">
        <f>IF($H173&lt;&gt;DO$5,0,IF(DO173&lt;0,IF(OR($J173=1,$J173=2,$J173=3,$J173=4),-$E173*$I173/12*3,IF($J173=5,-$E173*$I173/12*2,IF($J173=6,-$E173*$I173/12*1,0)))))+IF(DJ$5&lt;&gt;$H173,0,IF(DJ173&lt;0,IF($J173=4,-$E173*$I173/12*0,IF($J173=5,-$E173*$I173/12*1,IF($J173=6,-$E173*$I173/12*2,IF($J173&gt;=7,-$E173*$I173/12*3,0))))))</f>
        <v>0</v>
      </c>
      <c r="DM173" s="406">
        <f>IF($H173&lt;&gt;DO$5,0,IF(DO173&lt;0,IF(OR($J173=1,$J173=2,$J173=3,$J173=4,$J173=5,$J173=6,$J173=7),-$E173*$I173/12*3,IF($J173=8,-$E173*$I173/12*2,IF($J173=9,-$E173*$I173/12*1,0)))))+IF(DJ$5&lt;&gt;$H173,0,IF(DJ173&lt;0,IF($J173=7,-$E173*$I173/12*0,IF($J173=8,-$E173*$I173/12*1,IF($J173=9,-$E173*$I173/12*2,IF($J173&gt;=10,-$E173*$I173/12*3,0))))))</f>
        <v>0</v>
      </c>
      <c r="DN173" s="402">
        <f>IF($H173&lt;&gt;DO$5,0,IF(DO173&lt;0,IF(OR($J173=1,$J173=2,$J173=3,$J173=4,$J173=5,$J173=6,$J173=7,$J173=8,$J173=9,$J173=10),-$E173*$I173/12*3,IF($J173=11,-$E173*$I173/12*2,IF($J173=12,-$E173*$I173/12*1,0)))))+IF(DJ$5&lt;&gt;$H173,0,IF(DJ173&lt;0,IF($J173=10,-$E173*$I173/12*0,IF($J173=11,-$E173*$I173/12*1,IF($J173=12,-$E173*$I173/12*2,0)))))</f>
        <v>0</v>
      </c>
      <c r="DO173" s="403">
        <f>IF(AND(DJ173&lt;&gt;0,DJ$5=$H173),-$I173*$E173-DJ173,IF(DO$5=$H173,-$I173*$E173*(12-$J173+1)/12,0))</f>
        <v>0</v>
      </c>
      <c r="DP173" s="400">
        <f>IF($H173&lt;&gt;DT$5,0,IF(DT173&lt;0,IF($J173=1,-$E173*$I173/12*3,IF($J173=2,-$E173*$I173/12*2,IF($J173=3,-$E173*$I173/12*1,0)))))+IF(DO$5&lt;&gt;$H173,0,IF(DO173&lt;0,IF($J173=1,-$E173*$I173/12*0,IF($J173=2,-$E173*$I173/12*1,IF($J173=3,-$E173*$I173/12*2,IF($J173&gt;=4,-$E173*$I173/12*3,0))))))</f>
        <v>0</v>
      </c>
      <c r="DQ173" s="406">
        <f>IF($H173&lt;&gt;DT$5,0,IF(DT173&lt;0,IF(OR($J173=1,$J173=2,$J173=3,$J173=4),-$E173*$I173/12*3,IF($J173=5,-$E173*$I173/12*2,IF($J173=6,-$E173*$I173/12*1,0)))))+IF(DO$5&lt;&gt;$H173,0,IF(DO173&lt;0,IF($J173=4,-$E173*$I173/12*0,IF($J173=5,-$E173*$I173/12*1,IF($J173=6,-$E173*$I173/12*2,IF($J173&gt;=7,-$E173*$I173/12*3,0))))))</f>
        <v>0</v>
      </c>
      <c r="DR173" s="406">
        <f>IF($H173&lt;&gt;DT$5,0,IF(DT173&lt;0,IF(OR($J173=1,$J173=2,$J173=3,$J173=4,$J173=5,$J173=6,$J173=7),-$E173*$I173/12*3,IF($J173=8,-$E173*$I173/12*2,IF($J173=9,-$E173*$I173/12*1,0)))))+IF(DO$5&lt;&gt;$H173,0,IF(DO173&lt;0,IF($J173=7,-$E173*$I173/12*0,IF($J173=8,-$E173*$I173/12*1,IF($J173=9,-$E173*$I173/12*2,IF($J173&gt;=10,-$E173*$I173/12*3,0))))))</f>
        <v>0</v>
      </c>
      <c r="DS173" s="402">
        <f>IF($H173&lt;&gt;DT$5,0,IF(DT173&lt;0,IF(OR($J173=1,$J173=2,$J173=3,$J173=4,$J173=5,$J173=6,$J173=7,$J173=8,$J173=9,$J173=10),-$E173*$I173/12*3,IF($J173=11,-$E173*$I173/12*2,IF($J173=12,-$E173*$I173/12*1,0)))))+IF(DO$5&lt;&gt;$H173,0,IF(DO173&lt;0,IF($J173=10,-$E173*$I173/12*0,IF($J173=11,-$E173*$I173/12*1,IF($J173=12,-$E173*$I173/12*2,0)))))</f>
        <v>0</v>
      </c>
      <c r="DT173" s="403">
        <f>IF(AND(DO173&lt;&gt;0,DO$5=$H173),-$I173*$E173-DO173,IF(DT$5=$H173,-$I173*$E173*(12-$J173+1)/12,0))</f>
        <v>0</v>
      </c>
    </row>
    <row r="174" spans="1:124" ht="12.75" customHeight="1" x14ac:dyDescent="0.2">
      <c r="C174" s="471" t="s">
        <v>337</v>
      </c>
      <c r="D174" s="70"/>
      <c r="E174" s="533">
        <f>IF(F174=0,G174,F174)</f>
        <v>0</v>
      </c>
      <c r="F174" s="534">
        <v>0</v>
      </c>
      <c r="G174" s="534">
        <v>0</v>
      </c>
      <c r="H174" s="449"/>
      <c r="I174" s="469"/>
      <c r="J174" s="470"/>
      <c r="K174" s="392"/>
      <c r="L174" s="397">
        <f>IF(L$5=$H174,-$E174,0)</f>
        <v>0</v>
      </c>
      <c r="M174" s="394">
        <f>IF(Q174=0,0,IF(Q174&lt;0,IF($J174=3,Q174,IF($J174=2,Q174,IF($J174=1,Q174,0)))))</f>
        <v>0</v>
      </c>
      <c r="N174" s="404">
        <f>IF(Q174=0,0,IF(Q174&lt;0,IF($J174=6,Q174,IF($J174=5,Q174,IF($J174=4,Q174,0)))))</f>
        <v>0</v>
      </c>
      <c r="O174" s="404">
        <f>IF(Q174=0,0,IF(Q174&lt;0,IF($J174=9,Q174,IF($J174=8,Q174,IF($J174=7,Q174,0)))))</f>
        <v>0</v>
      </c>
      <c r="P174" s="396">
        <f>IF(Q174=0,0,IF(Q174&lt;0,IF($J174=12,Q174,IF($J174=11,Q174,IF($J174=10,Q174,0)))))</f>
        <v>0</v>
      </c>
      <c r="Q174" s="397">
        <f>IF(Q$5=$H174,-$E174,0)</f>
        <v>0</v>
      </c>
      <c r="R174" s="394">
        <f>IF(V174=0,0,IF(V174&lt;0,IF($J174=3,V174,IF($J174=2,V174,IF($J174=1,V174,0)))))</f>
        <v>0</v>
      </c>
      <c r="S174" s="404">
        <f>IF(V174=0,0,IF(V174&lt;0,IF($J174=6,V174,IF($J174=5,V174,IF($J174=4,V174,0)))))</f>
        <v>0</v>
      </c>
      <c r="T174" s="404">
        <f>IF(V174=0,0,IF(V174&lt;0,IF($J174=9,V174,IF($J174=8,V174,IF($J174=7,V174,0)))))</f>
        <v>0</v>
      </c>
      <c r="U174" s="396">
        <f>IF(V174=0,0,IF(V174&lt;0,IF($J174=12,V174,IF($J174=11,V174,IF($J174=10,V174,0)))))</f>
        <v>0</v>
      </c>
      <c r="V174" s="397">
        <f>IF(V$5=$H174,-$E174,0)</f>
        <v>0</v>
      </c>
      <c r="W174" s="394">
        <f>IF(AA174=0,0,IF(AA174&lt;0,IF($J174=3,AA174,IF($J174=2,AA174,IF($J174=1,AA174,0)))))</f>
        <v>0</v>
      </c>
      <c r="X174" s="404">
        <f>IF(AA174=0,0,IF(AA174&lt;0,IF($J174=6,AA174,IF($J174=5,AA174,IF($J174=4,AA174,0)))))</f>
        <v>0</v>
      </c>
      <c r="Y174" s="404">
        <f>IF(AA174=0,0,IF(AA174&lt;0,IF($J174=9,AA174,IF($J174=8,AA174,IF($J174=7,AA174,0)))))</f>
        <v>0</v>
      </c>
      <c r="Z174" s="396">
        <f>IF(AA174=0,0,IF(AA174&lt;0,IF($J174=12,AA174,IF($J174=11,AA174,IF($J174=10,AA174,0)))))</f>
        <v>0</v>
      </c>
      <c r="AA174" s="397">
        <f>IF(AA$5=$H174,-$E174,0)</f>
        <v>0</v>
      </c>
      <c r="AB174" s="394">
        <f>IF(AF174=0,0,IF(AF174&lt;0,IF($J174=3,AF174,IF($J174=2,AF174,IF($J174=1,AF174,0)))))</f>
        <v>0</v>
      </c>
      <c r="AC174" s="404">
        <f>IF(AF174=0,0,IF(AF174&lt;0,IF($J174=6,AF174,IF($J174=5,AF174,IF($J174=4,AF174,0)))))</f>
        <v>0</v>
      </c>
      <c r="AD174" s="404">
        <f>IF(AF174=0,0,IF(AF174&lt;0,IF($J174=9,AF174,IF($J174=8,AF174,IF($J174=7,AF174,0)))))</f>
        <v>0</v>
      </c>
      <c r="AE174" s="396">
        <f>IF(AF174=0,0,IF(AF174&lt;0,IF($J174=12,AF174,IF($J174=11,AF174,IF($J174=10,AF174,0)))))</f>
        <v>0</v>
      </c>
      <c r="AF174" s="397">
        <f>IF(AF$5=$H174,-$E174,0)</f>
        <v>0</v>
      </c>
      <c r="AG174" s="394">
        <f>IF(AK174=0,0,IF(AK174&lt;0,IF($J174=3,AK174,IF($J174=2,AK174,IF($J174=1,AK174,0)))))</f>
        <v>0</v>
      </c>
      <c r="AH174" s="404">
        <f>IF(AK174=0,0,IF(AK174&lt;0,IF($J174=6,AK174,IF($J174=5,AK174,IF($J174=4,AK174,0)))))</f>
        <v>0</v>
      </c>
      <c r="AI174" s="404">
        <f>IF(AK174=0,0,IF(AK174&lt;0,IF($J174=9,AK174,IF($J174=8,AK174,IF($J174=7,AK174,0)))))</f>
        <v>0</v>
      </c>
      <c r="AJ174" s="396">
        <f>IF(AK174=0,0,IF(AK174&lt;0,IF($J174=12,AK174,IF($J174=11,AK174,IF($J174=10,AK174,0)))))</f>
        <v>0</v>
      </c>
      <c r="AK174" s="397">
        <f>IF(AK$5=$H174,-$E174,0)</f>
        <v>0</v>
      </c>
      <c r="AL174" s="394">
        <f>IF(AP174=0,0,IF(AP174&lt;0,IF($J174=3,AP174,IF($J174=2,AP174,IF($J174=1,AP174,0)))))</f>
        <v>0</v>
      </c>
      <c r="AM174" s="404">
        <f>IF(AP174=0,0,IF(AP174&lt;0,IF($J174=6,AP174,IF($J174=5,AP174,IF($J174=4,AP174,0)))))</f>
        <v>0</v>
      </c>
      <c r="AN174" s="404">
        <f>IF(AP174=0,0,IF(AP174&lt;0,IF($J174=9,AP174,IF($J174=8,AP174,IF($J174=7,AP174,0)))))</f>
        <v>0</v>
      </c>
      <c r="AO174" s="396">
        <f>IF(AP174=0,0,IF(AP174&lt;0,IF($J174=12,AP174,IF($J174=11,AP174,IF($J174=10,AP174,0)))))</f>
        <v>0</v>
      </c>
      <c r="AP174" s="397">
        <f>IF(AP$5=$H174,-$E174,0)</f>
        <v>0</v>
      </c>
      <c r="AQ174" s="394">
        <f>IF(AU174=0,0,IF(AU174&lt;0,IF($J174=3,AU174,IF($J174=2,AU174,IF($J174=1,AU174,0)))))</f>
        <v>0</v>
      </c>
      <c r="AR174" s="404">
        <f>IF(AU174=0,0,IF(AU174&lt;0,IF($J174=6,AU174,IF($J174=5,AU174,IF($J174=4,AU174,0)))))</f>
        <v>0</v>
      </c>
      <c r="AS174" s="404">
        <f>IF(AU174=0,0,IF(AU174&lt;0,IF($J174=9,AU174,IF($J174=8,AU174,IF($J174=7,AU174,0)))))</f>
        <v>0</v>
      </c>
      <c r="AT174" s="396">
        <f>IF(AU174=0,0,IF(AU174&lt;0,IF($J174=12,AU174,IF($J174=11,AU174,IF($J174=10,AU174,0)))))</f>
        <v>0</v>
      </c>
      <c r="AU174" s="397">
        <f>IF(AU$5=$H174,-$E174,0)</f>
        <v>0</v>
      </c>
      <c r="AV174" s="394">
        <f>IF(AZ174=0,0,IF(AZ174&lt;0,IF($J174=3,AZ174,IF($J174=2,AZ174,IF($J174=1,AZ174,0)))))</f>
        <v>0</v>
      </c>
      <c r="AW174" s="404">
        <f>IF(AZ174=0,0,IF(AZ174&lt;0,IF($J174=6,AZ174,IF($J174=5,AZ174,IF($J174=4,AZ174,0)))))</f>
        <v>0</v>
      </c>
      <c r="AX174" s="404">
        <f>IF(AZ174=0,0,IF(AZ174&lt;0,IF($J174=9,AZ174,IF($J174=8,AZ174,IF($J174=7,AZ174,0)))))</f>
        <v>0</v>
      </c>
      <c r="AY174" s="396">
        <f>IF(AZ174=0,0,IF(AZ174&lt;0,IF($J174=12,AZ174,IF($J174=11,AZ174,IF($J174=10,AZ174,0)))))</f>
        <v>0</v>
      </c>
      <c r="AZ174" s="397">
        <f>IF(AZ$5=$H174,-$E174,0)</f>
        <v>0</v>
      </c>
      <c r="BA174" s="394">
        <f>IF(BE174=0,0,IF(BE174&lt;0,IF($J174=3,BE174,IF($J174=2,BE174,IF($J174=1,BE174,0)))))</f>
        <v>0</v>
      </c>
      <c r="BB174" s="404">
        <f>IF(BE174=0,0,IF(BE174&lt;0,IF($J174=6,BE174,IF($J174=5,BE174,IF($J174=4,BE174,0)))))</f>
        <v>0</v>
      </c>
      <c r="BC174" s="404">
        <f>IF(BE174=0,0,IF(BE174&lt;0,IF($J174=9,BE174,IF($J174=8,BE174,IF($J174=7,BE174,0)))))</f>
        <v>0</v>
      </c>
      <c r="BD174" s="396">
        <f>IF(BE174=0,0,IF(BE174&lt;0,IF($J174=12,BE174,IF($J174=11,BE174,IF($J174=10,BE174,0)))))</f>
        <v>0</v>
      </c>
      <c r="BE174" s="397">
        <f>IF(BE$5=$H174,-$E174,0)</f>
        <v>0</v>
      </c>
      <c r="BF174" s="394">
        <f>IF(BJ174=0,0,IF(BJ174&lt;0,IF($J174=3,BJ174,IF($J174=2,BJ174,IF($J174=1,BJ174,0)))))</f>
        <v>0</v>
      </c>
      <c r="BG174" s="404">
        <f>IF(BJ174=0,0,IF(BJ174&lt;0,IF($J174=6,BJ174,IF($J174=5,BJ174,IF($J174=4,BJ174,0)))))</f>
        <v>0</v>
      </c>
      <c r="BH174" s="404">
        <f>IF(BJ174=0,0,IF(BJ174&lt;0,IF($J174=9,BJ174,IF($J174=8,BJ174,IF($J174=7,BJ174,0)))))</f>
        <v>0</v>
      </c>
      <c r="BI174" s="396">
        <f>IF(BJ174=0,0,IF(BJ174&lt;0,IF($J174=12,BJ174,IF($J174=11,BJ174,IF($J174=10,BJ174,0)))))</f>
        <v>0</v>
      </c>
      <c r="BJ174" s="397">
        <f>IF(BJ$5=$H174,-$E174,0)</f>
        <v>0</v>
      </c>
      <c r="BK174" s="394">
        <f>IF(BO174=0,0,IF(BO174&lt;0,IF($J174=3,BO174,IF($J174=2,BO174,IF($J174=1,BO174,0)))))</f>
        <v>0</v>
      </c>
      <c r="BL174" s="404">
        <f>IF(BO174=0,0,IF(BO174&lt;0,IF($J174=6,BO174,IF($J174=5,BO174,IF($J174=4,BO174,0)))))</f>
        <v>0</v>
      </c>
      <c r="BM174" s="404">
        <f>IF(BO174=0,0,IF(BO174&lt;0,IF($J174=9,BO174,IF($J174=8,BO174,IF($J174=7,BO174,0)))))</f>
        <v>0</v>
      </c>
      <c r="BN174" s="396">
        <f>IF(BO174=0,0,IF(BO174&lt;0,IF($J174=12,BO174,IF($J174=11,BO174,IF($J174=10,BO174,0)))))</f>
        <v>0</v>
      </c>
      <c r="BO174" s="397">
        <f>IF(BO$5=$H174,-$E174,0)</f>
        <v>0</v>
      </c>
      <c r="BP174" s="445"/>
      <c r="BQ174" s="403">
        <f>IF(AND(BP174&lt;&gt;0,BP$5=$H174),-$I174*$E174-BP174,IF(BQ$5=$H174,-$I174*$E174*(12-$J174+1)/12,0))</f>
        <v>0</v>
      </c>
      <c r="BR174" s="400">
        <f>IF($H174&lt;&gt;BV$5,0,IF(BV174&lt;0,IF($J174=1,-$E174*$I174/12*3,IF($J174=2,-$E174*$I174/12*2,IF($J174=3,-$E174*$I174/12*1,0)))))+IF(BQ$5&lt;&gt;$H174,0,IF(BQ174&lt;0,IF($J174=1,-$E174*$I174/12*0,IF($J174=2,-$E174*$I174/12*1,IF($J174=3,-$E174*$I174/12*2,IF($J174&gt;=4,-$E174*$I174/12*3,0))))))</f>
        <v>0</v>
      </c>
      <c r="BS174" s="406">
        <f>IF($H174&lt;&gt;BV$5,0,IF(BV174&lt;0,IF(OR($J174=1,$J174=2,$J174=3,$J174=4),-$E174*$I174/12*3,IF($J174=5,-$E174*$I174/12*2,IF($J174=6,-$E174*$I174/12*1,0)))))+IF(BQ$5&lt;&gt;$H174,0,IF(BQ174&lt;0,IF($J174=4,-$E174*$I174/12*0,IF($J174=5,-$E174*$I174/12*1,IF($J174=6,-$E174*$I174/12*2,IF($J174&gt;=7,-$E174*$I174/12*3,0))))))</f>
        <v>0</v>
      </c>
      <c r="BT174" s="406">
        <f>IF($H174&lt;&gt;BV$5,0,IF(BV174&lt;0,IF(OR($J174=1,$J174=2,$J174=3,$J174=4,$J174=5,$J174=6,$J174=7),-$E174*$I174/12*3,IF($J174=8,-$E174*$I174/12*2,IF($J174=9,-$E174*$I174/12*1,0)))))+IF(BQ$5&lt;&gt;$H174,0,IF(BQ174&lt;0,IF($J174=7,-$E174*$I174/12*0,IF($J174=8,-$E174*$I174/12*1,IF($J174=9,-$E174*$I174/12*2,IF($J174&gt;=10,-$E174*$I174/12*3,0))))))</f>
        <v>0</v>
      </c>
      <c r="BU174" s="402">
        <f>IF($H174&lt;&gt;BV$5,0,IF(BV174&lt;0,IF(OR($J174=1,$J174=2,$J174=3,$J174=4,$J174=5,$J174=6,$J174=7,$J174=8,$J174=9,$J174=10),-$E174*$I174/12*3,IF($J174=11,-$E174*$I174/12*2,IF($J174=12,-$E174*$I174/12*1,0)))))+IF(BQ$5&lt;&gt;$H174,0,IF(BQ174&lt;0,IF($J174=10,-$E174*$I174/12*0,IF($J174=11,-$E174*$I174/12*1,IF($J174=12,-$E174*$I174/12*2,0)))))</f>
        <v>0</v>
      </c>
      <c r="BV174" s="403">
        <f>IF(AND(BQ174&lt;&gt;0,BQ$5=$H174),-$I174*$E174-BQ174,IF(BV$5=$H174,-$I174*$E174*(12-$J174+1)/12,0))</f>
        <v>0</v>
      </c>
      <c r="BW174" s="400">
        <f>IF($H174&lt;&gt;CA$5,0,IF(CA174&lt;0,IF($J174=1,-$E174*$I174/12*3,IF($J174=2,-$E174*$I174/12*2,IF($J174=3,-$E174*$I174/12*1,0)))))+IF(BV$5&lt;&gt;$H174,0,IF(BV174&lt;0,IF($J174=1,-$E174*$I174/12*0,IF($J174=2,-$E174*$I174/12*1,IF($J174=3,-$E174*$I174/12*2,IF($J174&gt;=4,-$E174*$I174/12*3,0))))))</f>
        <v>0</v>
      </c>
      <c r="BX174" s="406">
        <f>IF($H174&lt;&gt;CA$5,0,IF(CA174&lt;0,IF(OR($J174=1,$J174=2,$J174=3,$J174=4),-$E174*$I174/12*3,IF($J174=5,-$E174*$I174/12*2,IF($J174=6,-$E174*$I174/12*1,0)))))+IF(BV$5&lt;&gt;$H174,0,IF(BV174&lt;0,IF($J174=4,-$E174*$I174/12*0,IF($J174=5,-$E174*$I174/12*1,IF($J174=6,-$E174*$I174/12*2,IF($J174&gt;=7,-$E174*$I174/12*3,0))))))</f>
        <v>0</v>
      </c>
      <c r="BY174" s="406">
        <f>IF($H174&lt;&gt;CA$5,0,IF(CA174&lt;0,IF(OR($J174=1,$J174=2,$J174=3,$J174=4,$J174=5,$J174=6,$J174=7),-$E174*$I174/12*3,IF($J174=8,-$E174*$I174/12*2,IF($J174=9,-$E174*$I174/12*1,0)))))+IF(BV$5&lt;&gt;$H174,0,IF(BV174&lt;0,IF($J174=7,-$E174*$I174/12*0,IF($J174=8,-$E174*$I174/12*1,IF($J174=9,-$E174*$I174/12*2,IF($J174&gt;=10,-$E174*$I174/12*3,0))))))</f>
        <v>0</v>
      </c>
      <c r="BZ174" s="402">
        <f>IF($H174&lt;&gt;CA$5,0,IF(CA174&lt;0,IF(OR($J174=1,$J174=2,$J174=3,$J174=4,$J174=5,$J174=6,$J174=7,$J174=8,$J174=9,$J174=10),-$E174*$I174/12*3,IF($J174=11,-$E174*$I174/12*2,IF($J174=12,-$E174*$I174/12*1,0)))))+IF(BV$5&lt;&gt;$H174,0,IF(BV174&lt;0,IF($J174=10,-$E174*$I174/12*0,IF($J174=11,-$E174*$I174/12*1,IF($J174=12,-$E174*$I174/12*2,0)))))</f>
        <v>0</v>
      </c>
      <c r="CA174" s="403">
        <f>IF(AND(BV174&lt;&gt;0,BV$5=$H174),-$I174*$E174-BV174,IF(CA$5=$H174,-$I174*$E174*(12-$J174+1)/12,0))</f>
        <v>0</v>
      </c>
      <c r="CB174" s="400">
        <f>IF($H174&lt;&gt;CF$5,0,IF(CF174&lt;0,IF($J174=1,-$E174*$I174/12*3,IF($J174=2,-$E174*$I174/12*2,IF($J174=3,-$E174*$I174/12*1,0)))))+IF(CA$5&lt;&gt;$H174,0,IF(CA174&lt;0,IF($J174=1,-$E174*$I174/12*0,IF($J174=2,-$E174*$I174/12*1,IF($J174=3,-$E174*$I174/12*2,IF($J174&gt;=4,-$E174*$I174/12*3,0))))))</f>
        <v>0</v>
      </c>
      <c r="CC174" s="406">
        <f>IF($H174&lt;&gt;CF$5,0,IF(CF174&lt;0,IF(OR($J174=1,$J174=2,$J174=3,$J174=4),-$E174*$I174/12*3,IF($J174=5,-$E174*$I174/12*2,IF($J174=6,-$E174*$I174/12*1,0)))))+IF(CA$5&lt;&gt;$H174,0,IF(CA174&lt;0,IF($J174=4,-$E174*$I174/12*0,IF($J174=5,-$E174*$I174/12*1,IF($J174=6,-$E174*$I174/12*2,IF($J174&gt;=7,-$E174*$I174/12*3,0))))))</f>
        <v>0</v>
      </c>
      <c r="CD174" s="406">
        <f>IF($H174&lt;&gt;CF$5,0,IF(CF174&lt;0,IF(OR($J174=1,$J174=2,$J174=3,$J174=4,$J174=5,$J174=6,$J174=7),-$E174*$I174/12*3,IF($J174=8,-$E174*$I174/12*2,IF($J174=9,-$E174*$I174/12*1,0)))))+IF(CA$5&lt;&gt;$H174,0,IF(CA174&lt;0,IF($J174=7,-$E174*$I174/12*0,IF($J174=8,-$E174*$I174/12*1,IF($J174=9,-$E174*$I174/12*2,IF($J174&gt;=10,-$E174*$I174/12*3,0))))))</f>
        <v>0</v>
      </c>
      <c r="CE174" s="402">
        <f>IF($H174&lt;&gt;CF$5,0,IF(CF174&lt;0,IF(OR($J174=1,$J174=2,$J174=3,$J174=4,$J174=5,$J174=6,$J174=7,$J174=8,$J174=9,$J174=10),-$E174*$I174/12*3,IF($J174=11,-$E174*$I174/12*2,IF($J174=12,-$E174*$I174/12*1,0)))))+IF(CA$5&lt;&gt;$H174,0,IF(CA174&lt;0,IF($J174=10,-$E174*$I174/12*0,IF($J174=11,-$E174*$I174/12*1,IF($J174=12,-$E174*$I174/12*2,0)))))</f>
        <v>0</v>
      </c>
      <c r="CF174" s="403">
        <f>IF(AND(CA174&lt;&gt;0,CA$5=$H174),-$I174*$E174-CA174,IF(CF$5=$H174,-$I174*$E174*(12-$J174+1)/12,0))</f>
        <v>0</v>
      </c>
      <c r="CG174" s="400">
        <f>IF($H174&lt;&gt;CK$5,0,IF(CK174&lt;0,IF($J174=1,-$E174*$I174/12*3,IF($J174=2,-$E174*$I174/12*2,IF($J174=3,-$E174*$I174/12*1,0)))))+IF(CF$5&lt;&gt;$H174,0,IF(CF174&lt;0,IF($J174=1,-$E174*$I174/12*0,IF($J174=2,-$E174*$I174/12*1,IF($J174=3,-$E174*$I174/12*2,IF($J174&gt;=4,-$E174*$I174/12*3,0))))))</f>
        <v>0</v>
      </c>
      <c r="CH174" s="406">
        <f>IF($H174&lt;&gt;CK$5,0,IF(CK174&lt;0,IF(OR($J174=1,$J174=2,$J174=3,$J174=4),-$E174*$I174/12*3,IF($J174=5,-$E174*$I174/12*2,IF($J174=6,-$E174*$I174/12*1,0)))))+IF(CF$5&lt;&gt;$H174,0,IF(CF174&lt;0,IF($J174=4,-$E174*$I174/12*0,IF($J174=5,-$E174*$I174/12*1,IF($J174=6,-$E174*$I174/12*2,IF($J174&gt;=7,-$E174*$I174/12*3,0))))))</f>
        <v>0</v>
      </c>
      <c r="CI174" s="406">
        <f>IF($H174&lt;&gt;CK$5,0,IF(CK174&lt;0,IF(OR($J174=1,$J174=2,$J174=3,$J174=4,$J174=5,$J174=6,$J174=7),-$E174*$I174/12*3,IF($J174=8,-$E174*$I174/12*2,IF($J174=9,-$E174*$I174/12*1,0)))))+IF(CF$5&lt;&gt;$H174,0,IF(CF174&lt;0,IF($J174=7,-$E174*$I174/12*0,IF($J174=8,-$E174*$I174/12*1,IF($J174=9,-$E174*$I174/12*2,IF($J174&gt;=10,-$E174*$I174/12*3,0))))))</f>
        <v>0</v>
      </c>
      <c r="CJ174" s="402">
        <f>IF($H174&lt;&gt;CK$5,0,IF(CK174&lt;0,IF(OR($J174=1,$J174=2,$J174=3,$J174=4,$J174=5,$J174=6,$J174=7,$J174=8,$J174=9,$J174=10),-$E174*$I174/12*3,IF($J174=11,-$E174*$I174/12*2,IF($J174=12,-$E174*$I174/12*1,0)))))+IF(CF$5&lt;&gt;$H174,0,IF(CF174&lt;0,IF($J174=10,-$E174*$I174/12*0,IF($J174=11,-$E174*$I174/12*1,IF($J174=12,-$E174*$I174/12*2,0)))))</f>
        <v>0</v>
      </c>
      <c r="CK174" s="403">
        <f>IF(AND(CF174&lt;&gt;0,CF$5=$H174),-$I174*$E174-CF174,IF(CK$5=$H174,-$I174*$E174*(12-$J174+1)/12,0))</f>
        <v>0</v>
      </c>
      <c r="CL174" s="400">
        <f>IF($H174&lt;&gt;CP$5,0,IF(CP174&lt;0,IF($J174=1,-$E174*$I174/12*3,IF($J174=2,-$E174*$I174/12*2,IF($J174=3,-$E174*$I174/12*1,0)))))+IF(CK$5&lt;&gt;$H174,0,IF(CK174&lt;0,IF($J174=1,-$E174*$I174/12*0,IF($J174=2,-$E174*$I174/12*1,IF($J174=3,-$E174*$I174/12*2,IF($J174&gt;=4,-$E174*$I174/12*3,0))))))</f>
        <v>0</v>
      </c>
      <c r="CM174" s="406">
        <f>IF($H174&lt;&gt;CP$5,0,IF(CP174&lt;0,IF(OR($J174=1,$J174=2,$J174=3,$J174=4),-$E174*$I174/12*3,IF($J174=5,-$E174*$I174/12*2,IF($J174=6,-$E174*$I174/12*1,0)))))+IF(CK$5&lt;&gt;$H174,0,IF(CK174&lt;0,IF($J174=4,-$E174*$I174/12*0,IF($J174=5,-$E174*$I174/12*1,IF($J174=6,-$E174*$I174/12*2,IF($J174&gt;=7,-$E174*$I174/12*3,0))))))</f>
        <v>0</v>
      </c>
      <c r="CN174" s="406">
        <f>IF($H174&lt;&gt;CP$5,0,IF(CP174&lt;0,IF(OR($J174=1,$J174=2,$J174=3,$J174=4,$J174=5,$J174=6,$J174=7),-$E174*$I174/12*3,IF($J174=8,-$E174*$I174/12*2,IF($J174=9,-$E174*$I174/12*1,0)))))+IF(CK$5&lt;&gt;$H174,0,IF(CK174&lt;0,IF($J174=7,-$E174*$I174/12*0,IF($J174=8,-$E174*$I174/12*1,IF($J174=9,-$E174*$I174/12*2,IF($J174&gt;=10,-$E174*$I174/12*3,0))))))</f>
        <v>0</v>
      </c>
      <c r="CO174" s="402">
        <f>IF($H174&lt;&gt;CP$5,0,IF(CP174&lt;0,IF(OR($J174=1,$J174=2,$J174=3,$J174=4,$J174=5,$J174=6,$J174=7,$J174=8,$J174=9,$J174=10),-$E174*$I174/12*3,IF($J174=11,-$E174*$I174/12*2,IF($J174=12,-$E174*$I174/12*1,0)))))+IF(CK$5&lt;&gt;$H174,0,IF(CK174&lt;0,IF($J174=10,-$E174*$I174/12*0,IF($J174=11,-$E174*$I174/12*1,IF($J174=12,-$E174*$I174/12*2,0)))))</f>
        <v>0</v>
      </c>
      <c r="CP174" s="403">
        <f>IF(AND(CK174&lt;&gt;0,CK$5=$H174),-$I174*$E174-CK174,IF(CP$5=$H174,-$I174*$E174*(12-$J174+1)/12,0))</f>
        <v>0</v>
      </c>
      <c r="CQ174" s="400">
        <f>IF($H174&lt;&gt;CU$5,0,IF(CU174&lt;0,IF($J174=1,-$E174*$I174/12*3,IF($J174=2,-$E174*$I174/12*2,IF($J174=3,-$E174*$I174/12*1,0)))))+IF(CP$5&lt;&gt;$H174,0,IF(CP174&lt;0,IF($J174=1,-$E174*$I174/12*0,IF($J174=2,-$E174*$I174/12*1,IF($J174=3,-$E174*$I174/12*2,IF($J174&gt;=4,-$E174*$I174/12*3,0))))))</f>
        <v>0</v>
      </c>
      <c r="CR174" s="406">
        <f>IF($H174&lt;&gt;CU$5,0,IF(CU174&lt;0,IF(OR($J174=1,$J174=2,$J174=3,$J174=4),-$E174*$I174/12*3,IF($J174=5,-$E174*$I174/12*2,IF($J174=6,-$E174*$I174/12*1,0)))))+IF(CP$5&lt;&gt;$H174,0,IF(CP174&lt;0,IF($J174=4,-$E174*$I174/12*0,IF($J174=5,-$E174*$I174/12*1,IF($J174=6,-$E174*$I174/12*2,IF($J174&gt;=7,-$E174*$I174/12*3,0))))))</f>
        <v>0</v>
      </c>
      <c r="CS174" s="406">
        <f>IF($H174&lt;&gt;CU$5,0,IF(CU174&lt;0,IF(OR($J174=1,$J174=2,$J174=3,$J174=4,$J174=5,$J174=6,$J174=7),-$E174*$I174/12*3,IF($J174=8,-$E174*$I174/12*2,IF($J174=9,-$E174*$I174/12*1,0)))))+IF(CP$5&lt;&gt;$H174,0,IF(CP174&lt;0,IF($J174=7,-$E174*$I174/12*0,IF($J174=8,-$E174*$I174/12*1,IF($J174=9,-$E174*$I174/12*2,IF($J174&gt;=10,-$E174*$I174/12*3,0))))))</f>
        <v>0</v>
      </c>
      <c r="CT174" s="402">
        <f>IF($H174&lt;&gt;CU$5,0,IF(CU174&lt;0,IF(OR($J174=1,$J174=2,$J174=3,$J174=4,$J174=5,$J174=6,$J174=7,$J174=8,$J174=9,$J174=10),-$E174*$I174/12*3,IF($J174=11,-$E174*$I174/12*2,IF($J174=12,-$E174*$I174/12*1,0)))))+IF(CP$5&lt;&gt;$H174,0,IF(CP174&lt;0,IF($J174=10,-$E174*$I174/12*0,IF($J174=11,-$E174*$I174/12*1,IF($J174=12,-$E174*$I174/12*2,0)))))</f>
        <v>0</v>
      </c>
      <c r="CU174" s="403">
        <f>IF(AND(CP174&lt;&gt;0,CP$5=$H174),-$I174*$E174-CP174,IF(CU$5=$H174,-$I174*$E174*(12-$J174+1)/12,0))</f>
        <v>0</v>
      </c>
      <c r="CV174" s="400">
        <f>IF($H174&lt;&gt;CZ$5,0,IF(CZ174&lt;0,IF($J174=1,-$E174*$I174/12*3,IF($J174=2,-$E174*$I174/12*2,IF($J174=3,-$E174*$I174/12*1,0)))))+IF(CU$5&lt;&gt;$H174,0,IF(CU174&lt;0,IF($J174=1,-$E174*$I174/12*0,IF($J174=2,-$E174*$I174/12*1,IF($J174=3,-$E174*$I174/12*2,IF($J174&gt;=4,-$E174*$I174/12*3,0))))))</f>
        <v>0</v>
      </c>
      <c r="CW174" s="406">
        <f>IF($H174&lt;&gt;CZ$5,0,IF(CZ174&lt;0,IF(OR($J174=1,$J174=2,$J174=3,$J174=4),-$E174*$I174/12*3,IF($J174=5,-$E174*$I174/12*2,IF($J174=6,-$E174*$I174/12*1,0)))))+IF(CU$5&lt;&gt;$H174,0,IF(CU174&lt;0,IF($J174=4,-$E174*$I174/12*0,IF($J174=5,-$E174*$I174/12*1,IF($J174=6,-$E174*$I174/12*2,IF($J174&gt;=7,-$E174*$I174/12*3,0))))))</f>
        <v>0</v>
      </c>
      <c r="CX174" s="406">
        <f>IF($H174&lt;&gt;CZ$5,0,IF(CZ174&lt;0,IF(OR($J174=1,$J174=2,$J174=3,$J174=4,$J174=5,$J174=6,$J174=7),-$E174*$I174/12*3,IF($J174=8,-$E174*$I174/12*2,IF($J174=9,-$E174*$I174/12*1,0)))))+IF(CU$5&lt;&gt;$H174,0,IF(CU174&lt;0,IF($J174=7,-$E174*$I174/12*0,IF($J174=8,-$E174*$I174/12*1,IF($J174=9,-$E174*$I174/12*2,IF($J174&gt;=10,-$E174*$I174/12*3,0))))))</f>
        <v>0</v>
      </c>
      <c r="CY174" s="402">
        <f>IF($H174&lt;&gt;CZ$5,0,IF(CZ174&lt;0,IF(OR($J174=1,$J174=2,$J174=3,$J174=4,$J174=5,$J174=6,$J174=7,$J174=8,$J174=9,$J174=10),-$E174*$I174/12*3,IF($J174=11,-$E174*$I174/12*2,IF($J174=12,-$E174*$I174/12*1,0)))))+IF(CU$5&lt;&gt;$H174,0,IF(CU174&lt;0,IF($J174=10,-$E174*$I174/12*0,IF($J174=11,-$E174*$I174/12*1,IF($J174=12,-$E174*$I174/12*2,0)))))</f>
        <v>0</v>
      </c>
      <c r="CZ174" s="403">
        <f>IF(AND(CU174&lt;&gt;0,CU$5=$H174),-$I174*$E174-CU174,IF(CZ$5=$H174,-$I174*$E174*(12-$J174+1)/12,0))</f>
        <v>0</v>
      </c>
      <c r="DA174" s="400">
        <f>IF($H174&lt;&gt;DE$5,0,IF(DE174&lt;0,IF($J174=1,-$E174*$I174/12*3,IF($J174=2,-$E174*$I174/12*2,IF($J174=3,-$E174*$I174/12*1,0)))))+IF(CZ$5&lt;&gt;$H174,0,IF(CZ174&lt;0,IF($J174=1,-$E174*$I174/12*0,IF($J174=2,-$E174*$I174/12*1,IF($J174=3,-$E174*$I174/12*2,IF($J174&gt;=4,-$E174*$I174/12*3,0))))))</f>
        <v>0</v>
      </c>
      <c r="DB174" s="406">
        <f>IF($H174&lt;&gt;DE$5,0,IF(DE174&lt;0,IF(OR($J174=1,$J174=2,$J174=3,$J174=4),-$E174*$I174/12*3,IF($J174=5,-$E174*$I174/12*2,IF($J174=6,-$E174*$I174/12*1,0)))))+IF(CZ$5&lt;&gt;$H174,0,IF(CZ174&lt;0,IF($J174=4,-$E174*$I174/12*0,IF($J174=5,-$E174*$I174/12*1,IF($J174=6,-$E174*$I174/12*2,IF($J174&gt;=7,-$E174*$I174/12*3,0))))))</f>
        <v>0</v>
      </c>
      <c r="DC174" s="406">
        <f>IF($H174&lt;&gt;DE$5,0,IF(DE174&lt;0,IF(OR($J174=1,$J174=2,$J174=3,$J174=4,$J174=5,$J174=6,$J174=7),-$E174*$I174/12*3,IF($J174=8,-$E174*$I174/12*2,IF($J174=9,-$E174*$I174/12*1,0)))))+IF(CZ$5&lt;&gt;$H174,0,IF(CZ174&lt;0,IF($J174=7,-$E174*$I174/12*0,IF($J174=8,-$E174*$I174/12*1,IF($J174=9,-$E174*$I174/12*2,IF($J174&gt;=10,-$E174*$I174/12*3,0))))))</f>
        <v>0</v>
      </c>
      <c r="DD174" s="402">
        <f>IF($H174&lt;&gt;DE$5,0,IF(DE174&lt;0,IF(OR($J174=1,$J174=2,$J174=3,$J174=4,$J174=5,$J174=6,$J174=7,$J174=8,$J174=9,$J174=10),-$E174*$I174/12*3,IF($J174=11,-$E174*$I174/12*2,IF($J174=12,-$E174*$I174/12*1,0)))))+IF(CZ$5&lt;&gt;$H174,0,IF(CZ174&lt;0,IF($J174=10,-$E174*$I174/12*0,IF($J174=11,-$E174*$I174/12*1,IF($J174=12,-$E174*$I174/12*2,0)))))</f>
        <v>0</v>
      </c>
      <c r="DE174" s="403">
        <f>IF(AND(CZ174&lt;&gt;0,CZ$5=$H174),-$I174*$E174-CZ174,IF(DE$5=$H174,-$I174*$E174*(12-$J174+1)/12,0))</f>
        <v>0</v>
      </c>
      <c r="DF174" s="400">
        <f>IF($H174&lt;&gt;DJ$5,0,IF(DJ174&lt;0,IF($J174=1,-$E174*$I174/12*3,IF($J174=2,-$E174*$I174/12*2,IF($J174=3,-$E174*$I174/12*1,0)))))+IF(DE$5&lt;&gt;$H174,0,IF(DE174&lt;0,IF($J174=1,-$E174*$I174/12*0,IF($J174=2,-$E174*$I174/12*1,IF($J174=3,-$E174*$I174/12*2,IF($J174&gt;=4,-$E174*$I174/12*3,0))))))</f>
        <v>0</v>
      </c>
      <c r="DG174" s="406">
        <f>IF($H174&lt;&gt;DJ$5,0,IF(DJ174&lt;0,IF(OR($J174=1,$J174=2,$J174=3,$J174=4),-$E174*$I174/12*3,IF($J174=5,-$E174*$I174/12*2,IF($J174=6,-$E174*$I174/12*1,0)))))+IF(DE$5&lt;&gt;$H174,0,IF(DE174&lt;0,IF($J174=4,-$E174*$I174/12*0,IF($J174=5,-$E174*$I174/12*1,IF($J174=6,-$E174*$I174/12*2,IF($J174&gt;=7,-$E174*$I174/12*3,0))))))</f>
        <v>0</v>
      </c>
      <c r="DH174" s="406">
        <f>IF($H174&lt;&gt;DJ$5,0,IF(DJ174&lt;0,IF(OR($J174=1,$J174=2,$J174=3,$J174=4,$J174=5,$J174=6,$J174=7),-$E174*$I174/12*3,IF($J174=8,-$E174*$I174/12*2,IF($J174=9,-$E174*$I174/12*1,0)))))+IF(DE$5&lt;&gt;$H174,0,IF(DE174&lt;0,IF($J174=7,-$E174*$I174/12*0,IF($J174=8,-$E174*$I174/12*1,IF($J174=9,-$E174*$I174/12*2,IF($J174&gt;=10,-$E174*$I174/12*3,0))))))</f>
        <v>0</v>
      </c>
      <c r="DI174" s="402">
        <f>IF($H174&lt;&gt;DJ$5,0,IF(DJ174&lt;0,IF(OR($J174=1,$J174=2,$J174=3,$J174=4,$J174=5,$J174=6,$J174=7,$J174=8,$J174=9,$J174=10),-$E174*$I174/12*3,IF($J174=11,-$E174*$I174/12*2,IF($J174=12,-$E174*$I174/12*1,0)))))+IF(DE$5&lt;&gt;$H174,0,IF(DE174&lt;0,IF($J174=10,-$E174*$I174/12*0,IF($J174=11,-$E174*$I174/12*1,IF($J174=12,-$E174*$I174/12*2,0)))))</f>
        <v>0</v>
      </c>
      <c r="DJ174" s="403">
        <f>IF(AND(DE174&lt;&gt;0,DE$5=$H174),-$I174*$E174-DE174,IF(DJ$5=$H174,-$I174*$E174*(12-$J174+1)/12,0))</f>
        <v>0</v>
      </c>
      <c r="DK174" s="400">
        <f>IF($H174&lt;&gt;DO$5,0,IF(DO174&lt;0,IF($J174=1,-$E174*$I174/12*3,IF($J174=2,-$E174*$I174/12*2,IF($J174=3,-$E174*$I174/12*1,0)))))+IF(DJ$5&lt;&gt;$H174,0,IF(DJ174&lt;0,IF($J174=1,-$E174*$I174/12*0,IF($J174=2,-$E174*$I174/12*1,IF($J174=3,-$E174*$I174/12*2,IF($J174&gt;=4,-$E174*$I174/12*3,0))))))</f>
        <v>0</v>
      </c>
      <c r="DL174" s="406">
        <f>IF($H174&lt;&gt;DO$5,0,IF(DO174&lt;0,IF(OR($J174=1,$J174=2,$J174=3,$J174=4),-$E174*$I174/12*3,IF($J174=5,-$E174*$I174/12*2,IF($J174=6,-$E174*$I174/12*1,0)))))+IF(DJ$5&lt;&gt;$H174,0,IF(DJ174&lt;0,IF($J174=4,-$E174*$I174/12*0,IF($J174=5,-$E174*$I174/12*1,IF($J174=6,-$E174*$I174/12*2,IF($J174&gt;=7,-$E174*$I174/12*3,0))))))</f>
        <v>0</v>
      </c>
      <c r="DM174" s="406">
        <f>IF($H174&lt;&gt;DO$5,0,IF(DO174&lt;0,IF(OR($J174=1,$J174=2,$J174=3,$J174=4,$J174=5,$J174=6,$J174=7),-$E174*$I174/12*3,IF($J174=8,-$E174*$I174/12*2,IF($J174=9,-$E174*$I174/12*1,0)))))+IF(DJ$5&lt;&gt;$H174,0,IF(DJ174&lt;0,IF($J174=7,-$E174*$I174/12*0,IF($J174=8,-$E174*$I174/12*1,IF($J174=9,-$E174*$I174/12*2,IF($J174&gt;=10,-$E174*$I174/12*3,0))))))</f>
        <v>0</v>
      </c>
      <c r="DN174" s="402">
        <f>IF($H174&lt;&gt;DO$5,0,IF(DO174&lt;0,IF(OR($J174=1,$J174=2,$J174=3,$J174=4,$J174=5,$J174=6,$J174=7,$J174=8,$J174=9,$J174=10),-$E174*$I174/12*3,IF($J174=11,-$E174*$I174/12*2,IF($J174=12,-$E174*$I174/12*1,0)))))+IF(DJ$5&lt;&gt;$H174,0,IF(DJ174&lt;0,IF($J174=10,-$E174*$I174/12*0,IF($J174=11,-$E174*$I174/12*1,IF($J174=12,-$E174*$I174/12*2,0)))))</f>
        <v>0</v>
      </c>
      <c r="DO174" s="403">
        <f>IF(AND(DJ174&lt;&gt;0,DJ$5=$H174),-$I174*$E174-DJ174,IF(DO$5=$H174,-$I174*$E174*(12-$J174+1)/12,0))</f>
        <v>0</v>
      </c>
      <c r="DP174" s="400">
        <f>IF($H174&lt;&gt;DT$5,0,IF(DT174&lt;0,IF($J174=1,-$E174*$I174/12*3,IF($J174=2,-$E174*$I174/12*2,IF($J174=3,-$E174*$I174/12*1,0)))))+IF(DO$5&lt;&gt;$H174,0,IF(DO174&lt;0,IF($J174=1,-$E174*$I174/12*0,IF($J174=2,-$E174*$I174/12*1,IF($J174=3,-$E174*$I174/12*2,IF($J174&gt;=4,-$E174*$I174/12*3,0))))))</f>
        <v>0</v>
      </c>
      <c r="DQ174" s="406">
        <f>IF($H174&lt;&gt;DT$5,0,IF(DT174&lt;0,IF(OR($J174=1,$J174=2,$J174=3,$J174=4),-$E174*$I174/12*3,IF($J174=5,-$E174*$I174/12*2,IF($J174=6,-$E174*$I174/12*1,0)))))+IF(DO$5&lt;&gt;$H174,0,IF(DO174&lt;0,IF($J174=4,-$E174*$I174/12*0,IF($J174=5,-$E174*$I174/12*1,IF($J174=6,-$E174*$I174/12*2,IF($J174&gt;=7,-$E174*$I174/12*3,0))))))</f>
        <v>0</v>
      </c>
      <c r="DR174" s="406">
        <f>IF($H174&lt;&gt;DT$5,0,IF(DT174&lt;0,IF(OR($J174=1,$J174=2,$J174=3,$J174=4,$J174=5,$J174=6,$J174=7),-$E174*$I174/12*3,IF($J174=8,-$E174*$I174/12*2,IF($J174=9,-$E174*$I174/12*1,0)))))+IF(DO$5&lt;&gt;$H174,0,IF(DO174&lt;0,IF($J174=7,-$E174*$I174/12*0,IF($J174=8,-$E174*$I174/12*1,IF($J174=9,-$E174*$I174/12*2,IF($J174&gt;=10,-$E174*$I174/12*3,0))))))</f>
        <v>0</v>
      </c>
      <c r="DS174" s="402">
        <f>IF($H174&lt;&gt;DT$5,0,IF(DT174&lt;0,IF(OR($J174=1,$J174=2,$J174=3,$J174=4,$J174=5,$J174=6,$J174=7,$J174=8,$J174=9,$J174=10),-$E174*$I174/12*3,IF($J174=11,-$E174*$I174/12*2,IF($J174=12,-$E174*$I174/12*1,0)))))+IF(DO$5&lt;&gt;$H174,0,IF(DO174&lt;0,IF($J174=10,-$E174*$I174/12*0,IF($J174=11,-$E174*$I174/12*1,IF($J174=12,-$E174*$I174/12*2,0)))))</f>
        <v>0</v>
      </c>
      <c r="DT174" s="403">
        <f>IF(AND(DO174&lt;&gt;0,DO$5=$H174),-$I174*$E174-DO174,IF(DT$5=$H174,-$I174*$E174*(12-$J174+1)/12,0))</f>
        <v>0</v>
      </c>
    </row>
    <row r="175" spans="1:124" s="278" customFormat="1" ht="12.75" customHeight="1" x14ac:dyDescent="0.2">
      <c r="A175"/>
      <c r="B175"/>
      <c r="C175" s="589" t="s">
        <v>170</v>
      </c>
      <c r="D175" s="589"/>
      <c r="E175" s="604">
        <f>SUM(E173:E174)</f>
        <v>0</v>
      </c>
      <c r="F175" s="590">
        <f>SUM(F173:F174)</f>
        <v>0</v>
      </c>
      <c r="G175" s="590">
        <f>SUM(G173:G174)</f>
        <v>0</v>
      </c>
      <c r="H175" s="591"/>
      <c r="I175" s="592"/>
      <c r="J175" s="593"/>
      <c r="K175" s="594"/>
      <c r="L175" s="595">
        <f t="shared" ref="L175:AK175" si="1439">SUM(L173:L174)</f>
        <v>0</v>
      </c>
      <c r="M175" s="596">
        <f t="shared" si="1439"/>
        <v>0</v>
      </c>
      <c r="N175" s="597">
        <f t="shared" si="1439"/>
        <v>0</v>
      </c>
      <c r="O175" s="597">
        <f t="shared" si="1439"/>
        <v>0</v>
      </c>
      <c r="P175" s="598">
        <f t="shared" si="1439"/>
        <v>0</v>
      </c>
      <c r="Q175" s="595">
        <f t="shared" si="1439"/>
        <v>0</v>
      </c>
      <c r="R175" s="596">
        <f t="shared" si="1439"/>
        <v>0</v>
      </c>
      <c r="S175" s="597">
        <f t="shared" si="1439"/>
        <v>0</v>
      </c>
      <c r="T175" s="597">
        <f t="shared" si="1439"/>
        <v>0</v>
      </c>
      <c r="U175" s="598">
        <f t="shared" si="1439"/>
        <v>0</v>
      </c>
      <c r="V175" s="595">
        <f t="shared" si="1439"/>
        <v>0</v>
      </c>
      <c r="W175" s="596">
        <f t="shared" si="1439"/>
        <v>0</v>
      </c>
      <c r="X175" s="597">
        <f t="shared" si="1439"/>
        <v>0</v>
      </c>
      <c r="Y175" s="597">
        <f t="shared" si="1439"/>
        <v>0</v>
      </c>
      <c r="Z175" s="598">
        <f t="shared" si="1439"/>
        <v>0</v>
      </c>
      <c r="AA175" s="595">
        <f t="shared" si="1439"/>
        <v>0</v>
      </c>
      <c r="AB175" s="596">
        <f t="shared" si="1439"/>
        <v>0</v>
      </c>
      <c r="AC175" s="597">
        <f t="shared" si="1439"/>
        <v>0</v>
      </c>
      <c r="AD175" s="597">
        <f t="shared" si="1439"/>
        <v>0</v>
      </c>
      <c r="AE175" s="598">
        <f t="shared" si="1439"/>
        <v>0</v>
      </c>
      <c r="AF175" s="595">
        <f t="shared" si="1439"/>
        <v>0</v>
      </c>
      <c r="AG175" s="596">
        <f t="shared" si="1439"/>
        <v>0</v>
      </c>
      <c r="AH175" s="597">
        <f t="shared" si="1439"/>
        <v>0</v>
      </c>
      <c r="AI175" s="597">
        <f t="shared" si="1439"/>
        <v>0</v>
      </c>
      <c r="AJ175" s="598">
        <f t="shared" si="1439"/>
        <v>0</v>
      </c>
      <c r="AK175" s="595">
        <f t="shared" si="1439"/>
        <v>0</v>
      </c>
      <c r="AL175" s="596">
        <f t="shared" ref="AL175:AU175" si="1440">SUM(AL173:AL174)</f>
        <v>0</v>
      </c>
      <c r="AM175" s="597">
        <f t="shared" si="1440"/>
        <v>0</v>
      </c>
      <c r="AN175" s="597">
        <f t="shared" si="1440"/>
        <v>0</v>
      </c>
      <c r="AO175" s="598">
        <f t="shared" si="1440"/>
        <v>0</v>
      </c>
      <c r="AP175" s="595">
        <f t="shared" si="1440"/>
        <v>0</v>
      </c>
      <c r="AQ175" s="596">
        <f t="shared" si="1440"/>
        <v>0</v>
      </c>
      <c r="AR175" s="597">
        <f t="shared" si="1440"/>
        <v>0</v>
      </c>
      <c r="AS175" s="597">
        <f t="shared" si="1440"/>
        <v>0</v>
      </c>
      <c r="AT175" s="598">
        <f t="shared" si="1440"/>
        <v>0</v>
      </c>
      <c r="AU175" s="595">
        <f t="shared" si="1440"/>
        <v>0</v>
      </c>
      <c r="AV175" s="596">
        <f t="shared" ref="AV175:BE175" si="1441">SUM(AV173:AV174)</f>
        <v>0</v>
      </c>
      <c r="AW175" s="597">
        <f t="shared" si="1441"/>
        <v>0</v>
      </c>
      <c r="AX175" s="597">
        <f t="shared" si="1441"/>
        <v>0</v>
      </c>
      <c r="AY175" s="598">
        <f t="shared" si="1441"/>
        <v>0</v>
      </c>
      <c r="AZ175" s="595">
        <f t="shared" si="1441"/>
        <v>0</v>
      </c>
      <c r="BA175" s="596">
        <f t="shared" si="1441"/>
        <v>0</v>
      </c>
      <c r="BB175" s="597">
        <f t="shared" si="1441"/>
        <v>0</v>
      </c>
      <c r="BC175" s="597">
        <f t="shared" si="1441"/>
        <v>0</v>
      </c>
      <c r="BD175" s="598">
        <f t="shared" si="1441"/>
        <v>0</v>
      </c>
      <c r="BE175" s="595">
        <f t="shared" si="1441"/>
        <v>0</v>
      </c>
      <c r="BF175" s="596">
        <f t="shared" ref="BF175:BO175" si="1442">SUM(BF173:BF174)</f>
        <v>0</v>
      </c>
      <c r="BG175" s="597">
        <f t="shared" si="1442"/>
        <v>0</v>
      </c>
      <c r="BH175" s="597">
        <f t="shared" si="1442"/>
        <v>0</v>
      </c>
      <c r="BI175" s="598">
        <f t="shared" si="1442"/>
        <v>0</v>
      </c>
      <c r="BJ175" s="595">
        <f t="shared" si="1442"/>
        <v>0</v>
      </c>
      <c r="BK175" s="596">
        <f t="shared" si="1442"/>
        <v>0</v>
      </c>
      <c r="BL175" s="597">
        <f t="shared" si="1442"/>
        <v>0</v>
      </c>
      <c r="BM175" s="597">
        <f t="shared" si="1442"/>
        <v>0</v>
      </c>
      <c r="BN175" s="598">
        <f t="shared" si="1442"/>
        <v>0</v>
      </c>
      <c r="BO175" s="595">
        <f t="shared" si="1442"/>
        <v>0</v>
      </c>
      <c r="BP175" s="599"/>
      <c r="BQ175" s="600">
        <f t="shared" ref="BQ175:CP175" si="1443">SUM(BQ173:BQ174)</f>
        <v>0</v>
      </c>
      <c r="BR175" s="601">
        <f t="shared" si="1443"/>
        <v>0</v>
      </c>
      <c r="BS175" s="602">
        <f t="shared" si="1443"/>
        <v>0</v>
      </c>
      <c r="BT175" s="602">
        <f t="shared" si="1443"/>
        <v>0</v>
      </c>
      <c r="BU175" s="603">
        <f t="shared" si="1443"/>
        <v>0</v>
      </c>
      <c r="BV175" s="600">
        <f t="shared" si="1443"/>
        <v>0</v>
      </c>
      <c r="BW175" s="601">
        <f t="shared" si="1443"/>
        <v>0</v>
      </c>
      <c r="BX175" s="602">
        <f t="shared" si="1443"/>
        <v>0</v>
      </c>
      <c r="BY175" s="602">
        <f t="shared" si="1443"/>
        <v>0</v>
      </c>
      <c r="BZ175" s="603">
        <f t="shared" si="1443"/>
        <v>0</v>
      </c>
      <c r="CA175" s="600">
        <f t="shared" si="1443"/>
        <v>0</v>
      </c>
      <c r="CB175" s="601">
        <f t="shared" si="1443"/>
        <v>0</v>
      </c>
      <c r="CC175" s="602">
        <f t="shared" si="1443"/>
        <v>0</v>
      </c>
      <c r="CD175" s="602">
        <f t="shared" si="1443"/>
        <v>0</v>
      </c>
      <c r="CE175" s="603">
        <f t="shared" si="1443"/>
        <v>0</v>
      </c>
      <c r="CF175" s="600">
        <f t="shared" si="1443"/>
        <v>0</v>
      </c>
      <c r="CG175" s="601">
        <f t="shared" si="1443"/>
        <v>0</v>
      </c>
      <c r="CH175" s="602">
        <f t="shared" si="1443"/>
        <v>0</v>
      </c>
      <c r="CI175" s="602">
        <f t="shared" si="1443"/>
        <v>0</v>
      </c>
      <c r="CJ175" s="603">
        <f t="shared" si="1443"/>
        <v>0</v>
      </c>
      <c r="CK175" s="600">
        <f t="shared" si="1443"/>
        <v>0</v>
      </c>
      <c r="CL175" s="601">
        <f t="shared" si="1443"/>
        <v>0</v>
      </c>
      <c r="CM175" s="602">
        <f t="shared" si="1443"/>
        <v>0</v>
      </c>
      <c r="CN175" s="602">
        <f t="shared" si="1443"/>
        <v>0</v>
      </c>
      <c r="CO175" s="603">
        <f t="shared" si="1443"/>
        <v>0</v>
      </c>
      <c r="CP175" s="600">
        <f t="shared" si="1443"/>
        <v>0</v>
      </c>
      <c r="CQ175" s="601">
        <f t="shared" ref="CQ175:CZ175" si="1444">SUM(CQ173:CQ174)</f>
        <v>0</v>
      </c>
      <c r="CR175" s="602">
        <f t="shared" si="1444"/>
        <v>0</v>
      </c>
      <c r="CS175" s="602">
        <f t="shared" si="1444"/>
        <v>0</v>
      </c>
      <c r="CT175" s="603">
        <f t="shared" si="1444"/>
        <v>0</v>
      </c>
      <c r="CU175" s="600">
        <f t="shared" si="1444"/>
        <v>0</v>
      </c>
      <c r="CV175" s="601">
        <f t="shared" si="1444"/>
        <v>0</v>
      </c>
      <c r="CW175" s="602">
        <f t="shared" si="1444"/>
        <v>0</v>
      </c>
      <c r="CX175" s="602">
        <f t="shared" si="1444"/>
        <v>0</v>
      </c>
      <c r="CY175" s="603">
        <f t="shared" si="1444"/>
        <v>0</v>
      </c>
      <c r="CZ175" s="600">
        <f t="shared" si="1444"/>
        <v>0</v>
      </c>
      <c r="DA175" s="601">
        <f t="shared" ref="DA175:DJ175" si="1445">SUM(DA173:DA174)</f>
        <v>0</v>
      </c>
      <c r="DB175" s="602">
        <f t="shared" si="1445"/>
        <v>0</v>
      </c>
      <c r="DC175" s="602">
        <f t="shared" si="1445"/>
        <v>0</v>
      </c>
      <c r="DD175" s="603">
        <f t="shared" si="1445"/>
        <v>0</v>
      </c>
      <c r="DE175" s="600">
        <f t="shared" si="1445"/>
        <v>0</v>
      </c>
      <c r="DF175" s="601">
        <f t="shared" si="1445"/>
        <v>0</v>
      </c>
      <c r="DG175" s="602">
        <f t="shared" si="1445"/>
        <v>0</v>
      </c>
      <c r="DH175" s="602">
        <f t="shared" si="1445"/>
        <v>0</v>
      </c>
      <c r="DI175" s="603">
        <f t="shared" si="1445"/>
        <v>0</v>
      </c>
      <c r="DJ175" s="600">
        <f t="shared" si="1445"/>
        <v>0</v>
      </c>
      <c r="DK175" s="601">
        <f t="shared" ref="DK175:DT175" si="1446">SUM(DK173:DK174)</f>
        <v>0</v>
      </c>
      <c r="DL175" s="602">
        <f t="shared" si="1446"/>
        <v>0</v>
      </c>
      <c r="DM175" s="602">
        <f t="shared" si="1446"/>
        <v>0</v>
      </c>
      <c r="DN175" s="603">
        <f t="shared" si="1446"/>
        <v>0</v>
      </c>
      <c r="DO175" s="600">
        <f t="shared" si="1446"/>
        <v>0</v>
      </c>
      <c r="DP175" s="601">
        <f t="shared" si="1446"/>
        <v>0</v>
      </c>
      <c r="DQ175" s="602">
        <f t="shared" si="1446"/>
        <v>0</v>
      </c>
      <c r="DR175" s="602">
        <f t="shared" si="1446"/>
        <v>0</v>
      </c>
      <c r="DS175" s="603">
        <f t="shared" si="1446"/>
        <v>0</v>
      </c>
      <c r="DT175" s="600">
        <f t="shared" si="1446"/>
        <v>0</v>
      </c>
    </row>
    <row r="176" spans="1:124" ht="12.75" customHeight="1" x14ac:dyDescent="0.2">
      <c r="C176" s="464"/>
      <c r="D176" s="464"/>
      <c r="E176" s="530"/>
      <c r="F176" s="537"/>
      <c r="G176" s="537"/>
      <c r="H176" s="449"/>
      <c r="I176" s="465"/>
      <c r="J176" s="466" t="s">
        <v>315</v>
      </c>
      <c r="K176" s="392"/>
      <c r="L176" s="393"/>
      <c r="M176" s="394"/>
      <c r="N176" s="395"/>
      <c r="O176" s="395"/>
      <c r="P176" s="396"/>
      <c r="Q176" s="397"/>
      <c r="R176" s="394"/>
      <c r="S176" s="395"/>
      <c r="T176" s="395"/>
      <c r="U176" s="396"/>
      <c r="V176" s="397"/>
      <c r="W176" s="394"/>
      <c r="X176" s="395"/>
      <c r="Y176" s="395"/>
      <c r="Z176" s="396"/>
      <c r="AA176" s="397"/>
      <c r="AB176" s="394"/>
      <c r="AC176" s="395"/>
      <c r="AD176" s="395"/>
      <c r="AE176" s="396"/>
      <c r="AF176" s="397"/>
      <c r="AG176" s="394"/>
      <c r="AH176" s="395"/>
      <c r="AI176" s="395"/>
      <c r="AJ176" s="396"/>
      <c r="AK176" s="397"/>
      <c r="AL176" s="394"/>
      <c r="AM176" s="395"/>
      <c r="AN176" s="395"/>
      <c r="AO176" s="396"/>
      <c r="AP176" s="397"/>
      <c r="AQ176" s="394"/>
      <c r="AR176" s="395"/>
      <c r="AS176" s="395"/>
      <c r="AT176" s="396"/>
      <c r="AU176" s="397"/>
      <c r="AV176" s="394"/>
      <c r="AW176" s="395"/>
      <c r="AX176" s="395"/>
      <c r="AY176" s="396"/>
      <c r="AZ176" s="397"/>
      <c r="BA176" s="394"/>
      <c r="BB176" s="395"/>
      <c r="BC176" s="395"/>
      <c r="BD176" s="396"/>
      <c r="BE176" s="397"/>
      <c r="BF176" s="394"/>
      <c r="BG176" s="395"/>
      <c r="BH176" s="395"/>
      <c r="BI176" s="396"/>
      <c r="BJ176" s="397"/>
      <c r="BK176" s="394"/>
      <c r="BL176" s="395"/>
      <c r="BM176" s="395"/>
      <c r="BN176" s="396"/>
      <c r="BO176" s="397"/>
      <c r="BP176" s="452"/>
      <c r="BQ176" s="399"/>
      <c r="BR176" s="400"/>
      <c r="BS176" s="401"/>
      <c r="BT176" s="401"/>
      <c r="BU176" s="402"/>
      <c r="BV176" s="403"/>
      <c r="BW176" s="400"/>
      <c r="BX176" s="401"/>
      <c r="BY176" s="401"/>
      <c r="BZ176" s="402"/>
      <c r="CA176" s="403"/>
      <c r="CB176" s="400"/>
      <c r="CC176" s="401"/>
      <c r="CD176" s="401"/>
      <c r="CE176" s="402"/>
      <c r="CF176" s="403"/>
      <c r="CG176" s="400"/>
      <c r="CH176" s="401"/>
      <c r="CI176" s="401"/>
      <c r="CJ176" s="402"/>
      <c r="CK176" s="403"/>
      <c r="CL176" s="400"/>
      <c r="CM176" s="401"/>
      <c r="CN176" s="401"/>
      <c r="CO176" s="402"/>
      <c r="CP176" s="403"/>
      <c r="CQ176" s="400"/>
      <c r="CR176" s="401"/>
      <c r="CS176" s="401"/>
      <c r="CT176" s="402"/>
      <c r="CU176" s="403"/>
      <c r="CV176" s="400"/>
      <c r="CW176" s="401"/>
      <c r="CX176" s="401"/>
      <c r="CY176" s="402"/>
      <c r="CZ176" s="403"/>
      <c r="DA176" s="400"/>
      <c r="DB176" s="401"/>
      <c r="DC176" s="401"/>
      <c r="DD176" s="402"/>
      <c r="DE176" s="403"/>
      <c r="DF176" s="400"/>
      <c r="DG176" s="401"/>
      <c r="DH176" s="401"/>
      <c r="DI176" s="402"/>
      <c r="DJ176" s="403"/>
      <c r="DK176" s="400"/>
      <c r="DL176" s="401"/>
      <c r="DM176" s="401"/>
      <c r="DN176" s="402"/>
      <c r="DO176" s="403"/>
      <c r="DP176" s="400"/>
      <c r="DQ176" s="401"/>
      <c r="DR176" s="401"/>
      <c r="DS176" s="402"/>
      <c r="DT176" s="403"/>
    </row>
    <row r="177" spans="1:124" ht="12.75" customHeight="1" x14ac:dyDescent="0.2">
      <c r="C177" s="467" t="s">
        <v>330</v>
      </c>
      <c r="D177" s="467"/>
      <c r="E177" s="530"/>
      <c r="F177" s="498"/>
      <c r="G177" s="498"/>
      <c r="H177" s="580"/>
      <c r="I177" s="390"/>
      <c r="J177" s="391"/>
      <c r="K177" s="392"/>
      <c r="L177" s="393"/>
      <c r="M177" s="394"/>
      <c r="N177" s="395"/>
      <c r="O177" s="395"/>
      <c r="P177" s="396"/>
      <c r="Q177" s="397"/>
      <c r="R177" s="394"/>
      <c r="S177" s="395"/>
      <c r="T177" s="395"/>
      <c r="U177" s="396"/>
      <c r="V177" s="397"/>
      <c r="W177" s="394"/>
      <c r="X177" s="395"/>
      <c r="Y177" s="395"/>
      <c r="Z177" s="396"/>
      <c r="AA177" s="397"/>
      <c r="AB177" s="394"/>
      <c r="AC177" s="395"/>
      <c r="AD177" s="395"/>
      <c r="AE177" s="396"/>
      <c r="AF177" s="397"/>
      <c r="AG177" s="394"/>
      <c r="AH177" s="395"/>
      <c r="AI177" s="395"/>
      <c r="AJ177" s="396"/>
      <c r="AK177" s="397"/>
      <c r="AL177" s="394"/>
      <c r="AM177" s="395"/>
      <c r="AN177" s="395"/>
      <c r="AO177" s="396"/>
      <c r="AP177" s="397"/>
      <c r="AQ177" s="394"/>
      <c r="AR177" s="395"/>
      <c r="AS177" s="395"/>
      <c r="AT177" s="396"/>
      <c r="AU177" s="397"/>
      <c r="AV177" s="394"/>
      <c r="AW177" s="395"/>
      <c r="AX177" s="395"/>
      <c r="AY177" s="396"/>
      <c r="AZ177" s="397"/>
      <c r="BA177" s="394"/>
      <c r="BB177" s="395"/>
      <c r="BC177" s="395"/>
      <c r="BD177" s="396"/>
      <c r="BE177" s="397"/>
      <c r="BF177" s="394"/>
      <c r="BG177" s="395"/>
      <c r="BH177" s="395"/>
      <c r="BI177" s="396"/>
      <c r="BJ177" s="397"/>
      <c r="BK177" s="394"/>
      <c r="BL177" s="395"/>
      <c r="BM177" s="395"/>
      <c r="BN177" s="396"/>
      <c r="BO177" s="397"/>
      <c r="BP177" s="445"/>
      <c r="BQ177" s="399"/>
      <c r="BR177" s="400"/>
      <c r="BS177" s="401"/>
      <c r="BT177" s="401"/>
      <c r="BU177" s="402"/>
      <c r="BV177" s="403"/>
      <c r="BW177" s="400"/>
      <c r="BX177" s="401"/>
      <c r="BY177" s="401"/>
      <c r="BZ177" s="402"/>
      <c r="CA177" s="403"/>
      <c r="CB177" s="400"/>
      <c r="CC177" s="401"/>
      <c r="CD177" s="401"/>
      <c r="CE177" s="402"/>
      <c r="CF177" s="403"/>
      <c r="CG177" s="400"/>
      <c r="CH177" s="401"/>
      <c r="CI177" s="401"/>
      <c r="CJ177" s="402"/>
      <c r="CK177" s="403"/>
      <c r="CL177" s="400"/>
      <c r="CM177" s="401"/>
      <c r="CN177" s="401"/>
      <c r="CO177" s="402"/>
      <c r="CP177" s="403"/>
      <c r="CQ177" s="400"/>
      <c r="CR177" s="401"/>
      <c r="CS177" s="401"/>
      <c r="CT177" s="402"/>
      <c r="CU177" s="403"/>
      <c r="CV177" s="400"/>
      <c r="CW177" s="401"/>
      <c r="CX177" s="401"/>
      <c r="CY177" s="402"/>
      <c r="CZ177" s="403"/>
      <c r="DA177" s="400"/>
      <c r="DB177" s="401"/>
      <c r="DC177" s="401"/>
      <c r="DD177" s="402"/>
      <c r="DE177" s="403"/>
      <c r="DF177" s="400"/>
      <c r="DG177" s="401"/>
      <c r="DH177" s="401"/>
      <c r="DI177" s="402"/>
      <c r="DJ177" s="403"/>
      <c r="DK177" s="400"/>
      <c r="DL177" s="401"/>
      <c r="DM177" s="401"/>
      <c r="DN177" s="402"/>
      <c r="DO177" s="403"/>
      <c r="DP177" s="400"/>
      <c r="DQ177" s="401"/>
      <c r="DR177" s="401"/>
      <c r="DS177" s="402"/>
      <c r="DT177" s="403"/>
    </row>
    <row r="178" spans="1:124" ht="12.75" customHeight="1" x14ac:dyDescent="0.2">
      <c r="C178" s="52" t="s">
        <v>337</v>
      </c>
      <c r="D178" s="52"/>
      <c r="E178" s="530">
        <f>IF(F178=0,G178,F178)</f>
        <v>0</v>
      </c>
      <c r="F178" s="532">
        <v>0</v>
      </c>
      <c r="G178" s="532">
        <v>0</v>
      </c>
      <c r="H178" s="449"/>
      <c r="I178" s="469"/>
      <c r="J178" s="470"/>
      <c r="K178" s="392"/>
      <c r="L178" s="397">
        <f>IF(L$5=$H178,$E178,0)</f>
        <v>0</v>
      </c>
      <c r="M178" s="394">
        <f>IF(Q178=0,0,IF(Q178&gt;0,IF($J178=3,Q178,IF($J178=2,Q178,IF($J178=1,Q178,0)))))</f>
        <v>0</v>
      </c>
      <c r="N178" s="404">
        <f>IF(Q178=0,0,IF(Q178&gt;0,IF($J178=6,Q178,IF($J178=5,Q178,IF($J178=4,Q178,0)))))</f>
        <v>0</v>
      </c>
      <c r="O178" s="404">
        <f>IF(Q178=0,0,IF(Q178&gt;0,IF($J178=9,Q178,IF($J178=8,Q178,IF($J178=7,Q178,0)))))</f>
        <v>0</v>
      </c>
      <c r="P178" s="396">
        <f>IF(Q178=0,0,IF(Q178&gt;0,IF($J178=12,Q178,IF($J178=11,Q178,IF($J178=10,Q178,0)))))</f>
        <v>0</v>
      </c>
      <c r="Q178" s="397">
        <f>IF(Q$5=$H178,$E178,0)</f>
        <v>0</v>
      </c>
      <c r="R178" s="394">
        <f>IF(V178=0,0,IF(V178&gt;0,IF($J178=3,V178,IF($J178=2,V178,IF($J178=1,V178,0)))))</f>
        <v>0</v>
      </c>
      <c r="S178" s="404">
        <f>IF(V178=0,0,IF(V178&gt;0,IF($J178=6,V178,IF($J178=5,V178,IF($J178=4,V178,0)))))</f>
        <v>0</v>
      </c>
      <c r="T178" s="404">
        <f>IF(V178=0,0,IF(V178&gt;0,IF($J178=9,V178,IF($J178=8,V178,IF($J178=7,V178,0)))))</f>
        <v>0</v>
      </c>
      <c r="U178" s="396">
        <f>IF(V178=0,0,IF(V178&gt;0,IF($J178=12,V178,IF($J178=11,V178,IF($J178=10,V178,0)))))</f>
        <v>0</v>
      </c>
      <c r="V178" s="397">
        <f>IF(V$5=$H178,$E178,0)</f>
        <v>0</v>
      </c>
      <c r="W178" s="394">
        <f>IF(AA178=0,0,IF(AA178&gt;0,IF($J178=3,AA178,IF($J178=2,AA178,IF($J178=1,AA178,0)))))</f>
        <v>0</v>
      </c>
      <c r="X178" s="404">
        <f>IF(AA178=0,0,IF(AA178&gt;0,IF($J178=6,AA178,IF($J178=5,AA178,IF($J178=4,AA178,0)))))</f>
        <v>0</v>
      </c>
      <c r="Y178" s="404">
        <f>IF(AA178=0,0,IF(AA178&gt;0,IF($J178=9,AA178,IF($J178=8,AA178,IF($J178=7,AA178,0)))))</f>
        <v>0</v>
      </c>
      <c r="Z178" s="396">
        <f>IF(AA178=0,0,IF(AA178&gt;0,IF($J178=12,AA178,IF($J178=11,AA178,IF($J178=10,AA178,0)))))</f>
        <v>0</v>
      </c>
      <c r="AA178" s="397">
        <f>IF(AA$5=$H178,$E178,0)</f>
        <v>0</v>
      </c>
      <c r="AB178" s="394">
        <f>IF(AF178=0,0,IF(AF178&gt;0,IF($J178=3,AF178,IF($J178=2,AF178,IF($J178=1,AF178,0)))))</f>
        <v>0</v>
      </c>
      <c r="AC178" s="404">
        <f>IF(AF178=0,0,IF(AF178&gt;0,IF($J178=6,AF178,IF($J178=5,AF178,IF($J178=4,AF178,0)))))</f>
        <v>0</v>
      </c>
      <c r="AD178" s="404">
        <f>IF(AF178=0,0,IF(AF178&gt;0,IF($J178=9,AF178,IF($J178=8,AF178,IF($J178=7,AF178,0)))))</f>
        <v>0</v>
      </c>
      <c r="AE178" s="396">
        <f>IF(AF178=0,0,IF(AF178&gt;0,IF($J178=12,AF178,IF($J178=11,AF178,IF($J178=10,AF178,0)))))</f>
        <v>0</v>
      </c>
      <c r="AF178" s="397">
        <f>IF(AF$5=$H178,$E178,0)</f>
        <v>0</v>
      </c>
      <c r="AG178" s="394">
        <f>IF(AK178=0,0,IF(AK178&gt;0,IF($J178=3,AK178,IF($J178=2,AK178,IF($J178=1,AK178,0)))))</f>
        <v>0</v>
      </c>
      <c r="AH178" s="404">
        <f>IF(AK178=0,0,IF(AK178&gt;0,IF($J178=6,AK178,IF($J178=5,AK178,IF($J178=4,AK178,0)))))</f>
        <v>0</v>
      </c>
      <c r="AI178" s="404">
        <f>IF(AK178=0,0,IF(AK178&gt;0,IF($J178=9,AK178,IF($J178=8,AK178,IF($J178=7,AK178,0)))))</f>
        <v>0</v>
      </c>
      <c r="AJ178" s="396">
        <f>IF(AK178=0,0,IF(AK178&gt;0,IF($J178=12,AK178,IF($J178=11,AK178,IF($J178=10,AK178,0)))))</f>
        <v>0</v>
      </c>
      <c r="AK178" s="397">
        <f>IF(AK$5=$H178,$E178,0)</f>
        <v>0</v>
      </c>
      <c r="AL178" s="394">
        <f>IF(AP178=0,0,IF(AP178&gt;0,IF($J178=3,AP178,IF($J178=2,AP178,IF($J178=1,AP178,0)))))</f>
        <v>0</v>
      </c>
      <c r="AM178" s="404">
        <f>IF(AP178=0,0,IF(AP178&gt;0,IF($J178=6,AP178,IF($J178=5,AP178,IF($J178=4,AP178,0)))))</f>
        <v>0</v>
      </c>
      <c r="AN178" s="404">
        <f>IF(AP178=0,0,IF(AP178&gt;0,IF($J178=9,AP178,IF($J178=8,AP178,IF($J178=7,AP178,0)))))</f>
        <v>0</v>
      </c>
      <c r="AO178" s="396">
        <f>IF(AP178=0,0,IF(AP178&gt;0,IF($J178=12,AP178,IF($J178=11,AP178,IF($J178=10,AP178,0)))))</f>
        <v>0</v>
      </c>
      <c r="AP178" s="397">
        <f>IF(AP$5=$H178,$E178,0)</f>
        <v>0</v>
      </c>
      <c r="AQ178" s="394">
        <f>IF(AU178=0,0,IF(AU178&gt;0,IF($J178=3,AU178,IF($J178=2,AU178,IF($J178=1,AU178,0)))))</f>
        <v>0</v>
      </c>
      <c r="AR178" s="404">
        <f>IF(AU178=0,0,IF(AU178&gt;0,IF($J178=6,AU178,IF($J178=5,AU178,IF($J178=4,AU178,0)))))</f>
        <v>0</v>
      </c>
      <c r="AS178" s="404">
        <f>IF(AU178=0,0,IF(AU178&gt;0,IF($J178=9,AU178,IF($J178=8,AU178,IF($J178=7,AU178,0)))))</f>
        <v>0</v>
      </c>
      <c r="AT178" s="396">
        <f>IF(AU178=0,0,IF(AU178&gt;0,IF($J178=12,AU178,IF($J178=11,AU178,IF($J178=10,AU178,0)))))</f>
        <v>0</v>
      </c>
      <c r="AU178" s="397">
        <f>IF(AU$5=$H178,$E178,0)</f>
        <v>0</v>
      </c>
      <c r="AV178" s="394">
        <f>IF(AZ178=0,0,IF(AZ178&gt;0,IF($J178=3,AZ178,IF($J178=2,AZ178,IF($J178=1,AZ178,0)))))</f>
        <v>0</v>
      </c>
      <c r="AW178" s="404">
        <f>IF(AZ178=0,0,IF(AZ178&gt;0,IF($J178=6,AZ178,IF($J178=5,AZ178,IF($J178=4,AZ178,0)))))</f>
        <v>0</v>
      </c>
      <c r="AX178" s="404">
        <f>IF(AZ178=0,0,IF(AZ178&gt;0,IF($J178=9,AZ178,IF($J178=8,AZ178,IF($J178=7,AZ178,0)))))</f>
        <v>0</v>
      </c>
      <c r="AY178" s="396">
        <f>IF(AZ178=0,0,IF(AZ178&gt;0,IF($J178=12,AZ178,IF($J178=11,AZ178,IF($J178=10,AZ178,0)))))</f>
        <v>0</v>
      </c>
      <c r="AZ178" s="397">
        <f>IF(AZ$5=$H178,$E178,0)</f>
        <v>0</v>
      </c>
      <c r="BA178" s="394">
        <f>IF(BE178=0,0,IF(BE178&gt;0,IF($J178=3,BE178,IF($J178=2,BE178,IF($J178=1,BE178,0)))))</f>
        <v>0</v>
      </c>
      <c r="BB178" s="404">
        <f>IF(BE178=0,0,IF(BE178&gt;0,IF($J178=6,BE178,IF($J178=5,BE178,IF($J178=4,BE178,0)))))</f>
        <v>0</v>
      </c>
      <c r="BC178" s="404">
        <f>IF(BE178=0,0,IF(BE178&gt;0,IF($J178=9,BE178,IF($J178=8,BE178,IF($J178=7,BE178,0)))))</f>
        <v>0</v>
      </c>
      <c r="BD178" s="396">
        <f>IF(BE178=0,0,IF(BE178&gt;0,IF($J178=12,BE178,IF($J178=11,BE178,IF($J178=10,BE178,0)))))</f>
        <v>0</v>
      </c>
      <c r="BE178" s="397">
        <f>IF(BE$5=$H178,$E178,0)</f>
        <v>0</v>
      </c>
      <c r="BF178" s="394">
        <f>IF(BJ178=0,0,IF(BJ178&gt;0,IF($J178=3,BJ178,IF($J178=2,BJ178,IF($J178=1,BJ178,0)))))</f>
        <v>0</v>
      </c>
      <c r="BG178" s="404">
        <f>IF(BJ178=0,0,IF(BJ178&gt;0,IF($J178=6,BJ178,IF($J178=5,BJ178,IF($J178=4,BJ178,0)))))</f>
        <v>0</v>
      </c>
      <c r="BH178" s="404">
        <f>IF(BJ178=0,0,IF(BJ178&gt;0,IF($J178=9,BJ178,IF($J178=8,BJ178,IF($J178=7,BJ178,0)))))</f>
        <v>0</v>
      </c>
      <c r="BI178" s="396">
        <f>IF(BJ178=0,0,IF(BJ178&gt;0,IF($J178=12,BJ178,IF($J178=11,BJ178,IF($J178=10,BJ178,0)))))</f>
        <v>0</v>
      </c>
      <c r="BJ178" s="397">
        <f>IF(BJ$5=$H178,$E178,0)</f>
        <v>0</v>
      </c>
      <c r="BK178" s="394">
        <f>IF(BO178=0,0,IF(BO178&gt;0,IF($J178=3,BO178,IF($J178=2,BO178,IF($J178=1,BO178,0)))))</f>
        <v>0</v>
      </c>
      <c r="BL178" s="404">
        <f>IF(BO178=0,0,IF(BO178&gt;0,IF($J178=6,BO178,IF($J178=5,BO178,IF($J178=4,BO178,0)))))</f>
        <v>0</v>
      </c>
      <c r="BM178" s="404">
        <f>IF(BO178=0,0,IF(BO178&gt;0,IF($J178=9,BO178,IF($J178=8,BO178,IF($J178=7,BO178,0)))))</f>
        <v>0</v>
      </c>
      <c r="BN178" s="396">
        <f>IF(BO178=0,0,IF(BO178&gt;0,IF($J178=12,BO178,IF($J178=11,BO178,IF($J178=10,BO178,0)))))</f>
        <v>0</v>
      </c>
      <c r="BO178" s="397">
        <f>IF(BO$5=$H178,$E178,0)</f>
        <v>0</v>
      </c>
      <c r="BP178" s="445"/>
      <c r="BQ178" s="403">
        <f>IF(AND(BP178&lt;&gt;0,BP$5=$H178),$I178*$E178-BP178,IF(BQ$5=$H178,$I178*$E178*(12-$J178+1)/12,0))</f>
        <v>0</v>
      </c>
      <c r="BR178" s="400">
        <f>IF($H178&lt;&gt;BV$5,0,IF(BV178&gt;0,IF($J178=1,$E178*$I178/12*3,IF($J178=2,$E178*$I178/12*2,IF($J178=3,$E178*$I178/12*1,0)))))+IF(BQ$5&lt;&gt;$H178,0,IF(BQ178&gt;0,IF($J178=1,$E178*$I178/12*0,IF($J178=2,$E178*$I178/12*1,IF($J178=3,$E178*$I178/12*2,IF($J178&gt;=4,$E178*$I178/12*3,0))))))</f>
        <v>0</v>
      </c>
      <c r="BS178" s="406">
        <f>IF($H178&lt;&gt;BV$5,0,IF(BV178&gt;0,IF(OR($J178=1,$J178=2,$J178=3,$J178=4),$E178*$I178/12*3,IF($J178=5,$E178*$I178/12*2,IF($J178=6,$E178*$I178/12*1,0)))))+IF(BQ$5&lt;&gt;$H178,0,IF(BQ178&gt;0,IF($J178=4,$E178*$I178/12*0,IF($J178=5,$E178*$I178/12*1,IF($J178=6,$E178*$I178/12*2,IF($J178&gt;=7,$E178*$I178/12*3,0))))))</f>
        <v>0</v>
      </c>
      <c r="BT178" s="406">
        <f>IF($H178&lt;&gt;BV$5,0,IF(BV178&gt;0,IF(OR($J178=1,$J178=2,$J178=3,$J178=4,$J178=5,$J178=6,$J178=7),$E178*$I178/12*3,IF($J178=8,$E178*$I178/12*2,IF($J178=9,$E178*$I178/12*1,0)))))+IF(BQ$5&lt;&gt;$H178,0,IF(BQ178&gt;0,IF($J178=7,$E178*$I178/12*0,IF($J178=8,$E178*$I178/12*1,IF($J178=9,$E178*$I178/12*2,IF($J178&gt;=10,$E178*$I178/12*3,0))))))</f>
        <v>0</v>
      </c>
      <c r="BU178" s="402">
        <f>IF($H178&lt;&gt;BV$5,0,IF(BV178&gt;0,IF(OR($J178=1,$J178=2,$J178=3,$J178=4,$J178=5,$J178=6,$J178=7,$J178=8,$J178=9,$J178=10),$E178*$I178/12*3,IF($J178=11,$E178*$I178/12*2,IF($J178=12,$E178*$I178/12*1,0)))))+IF(BQ$5&lt;&gt;$H178,0,IF(BQ178&gt;0,IF($J178=10,$E178*$I178/12*0,IF($J178=11,$E178*$I178/12*1,IF($J178=12,$E178*$I178/12*2,0)))))</f>
        <v>0</v>
      </c>
      <c r="BV178" s="403">
        <f>IF(AND(BQ178&lt;&gt;0,BQ$5=$H178),$I178*$E178-BQ178,IF(BV$5=$H178,$I178*$E178*(12-$J178+1)/12,0))</f>
        <v>0</v>
      </c>
      <c r="BW178" s="400">
        <f>IF($H178&lt;&gt;CA$5,0,IF(CA178&gt;0,IF($J178=1,$E178*$I178/12*3,IF($J178=2,$E178*$I178/12*2,IF($J178=3,$E178*$I178/12*1,0)))))+IF(BV$5&lt;&gt;$H178,0,IF(BV178&gt;0,IF($J178=1,$E178*$I178/12*0,IF($J178=2,$E178*$I178/12*1,IF($J178=3,$E178*$I178/12*2,IF($J178&gt;=4,$E178*$I178/12*3,0))))))</f>
        <v>0</v>
      </c>
      <c r="BX178" s="406">
        <f>IF($H178&lt;&gt;CA$5,0,IF(CA178&gt;0,IF(OR($J178=1,$J178=2,$J178=3,$J178=4),$E178*$I178/12*3,IF($J178=5,$E178*$I178/12*2,IF($J178=6,$E178*$I178/12*1,0)))))+IF(BV$5&lt;&gt;$H178,0,IF(BV178&gt;0,IF($J178=4,$E178*$I178/12*0,IF($J178=5,$E178*$I178/12*1,IF($J178=6,$E178*$I178/12*2,IF($J178&gt;=7,$E178*$I178/12*3,0))))))</f>
        <v>0</v>
      </c>
      <c r="BY178" s="406">
        <f>IF($H178&lt;&gt;CA$5,0,IF(CA178&gt;0,IF(OR($J178=1,$J178=2,$J178=3,$J178=4,$J178=5,$J178=6,$J178=7),$E178*$I178/12*3,IF($J178=8,$E178*$I178/12*2,IF($J178=9,$E178*$I178/12*1,0)))))+IF(BV$5&lt;&gt;$H178,0,IF(BV178&gt;0,IF($J178=7,$E178*$I178/12*0,IF($J178=8,$E178*$I178/12*1,IF($J178=9,$E178*$I178/12*2,IF($J178&gt;=10,$E178*$I178/12*3,0))))))</f>
        <v>0</v>
      </c>
      <c r="BZ178" s="402">
        <f>IF($H178&lt;&gt;CA$5,0,IF(CA178&gt;0,IF(OR($J178=1,$J178=2,$J178=3,$J178=4,$J178=5,$J178=6,$J178=7,$J178=8,$J178=9,$J178=10),$E178*$I178/12*3,IF($J178=11,$E178*$I178/12*2,IF($J178=12,$E178*$I178/12*1,0)))))+IF(BV$5&lt;&gt;$H178,0,IF(BV178&gt;0,IF($J178=10,$E178*$I178/12*0,IF($J178=11,$E178*$I178/12*1,IF($J178=12,$E178*$I178/12*2,0)))))</f>
        <v>0</v>
      </c>
      <c r="CA178" s="403">
        <f>IF(AND(BV178&lt;&gt;0,BV$5=$H178),$I178*$E178-BV178,IF(CA$5=$H178,$I178*$E178*(12-$J178+1)/12,0))</f>
        <v>0</v>
      </c>
      <c r="CB178" s="400">
        <f>IF($H178&lt;&gt;CF$5,0,IF(CF178&gt;0,IF($J178=1,$E178*$I178/12*3,IF($J178=2,$E178*$I178/12*2,IF($J178=3,$E178*$I178/12*1,0)))))+IF(CA$5&lt;&gt;$H178,0,IF(CA178&gt;0,IF($J178=1,$E178*$I178/12*0,IF($J178=2,$E178*$I178/12*1,IF($J178=3,$E178*$I178/12*2,IF($J178&gt;=4,$E178*$I178/12*3,0))))))</f>
        <v>0</v>
      </c>
      <c r="CC178" s="406">
        <f>IF($H178&lt;&gt;CF$5,0,IF(CF178&gt;0,IF(OR($J178=1,$J178=2,$J178=3,$J178=4),$E178*$I178/12*3,IF($J178=5,$E178*$I178/12*2,IF($J178=6,$E178*$I178/12*1,0)))))+IF(CA$5&lt;&gt;$H178,0,IF(CA178&gt;0,IF($J178=4,$E178*$I178/12*0,IF($J178=5,$E178*$I178/12*1,IF($J178=6,$E178*$I178/12*2,IF($J178&gt;=7,$E178*$I178/12*3,0))))))</f>
        <v>0</v>
      </c>
      <c r="CD178" s="406">
        <f>IF($H178&lt;&gt;CF$5,0,IF(CF178&gt;0,IF(OR($J178=1,$J178=2,$J178=3,$J178=4,$J178=5,$J178=6,$J178=7),$E178*$I178/12*3,IF($J178=8,$E178*$I178/12*2,IF($J178=9,$E178*$I178/12*1,0)))))+IF(CA$5&lt;&gt;$H178,0,IF(CA178&gt;0,IF($J178=7,$E178*$I178/12*0,IF($J178=8,$E178*$I178/12*1,IF($J178=9,$E178*$I178/12*2,IF($J178&gt;=10,$E178*$I178/12*3,0))))))</f>
        <v>0</v>
      </c>
      <c r="CE178" s="402">
        <f>IF($H178&lt;&gt;CF$5,0,IF(CF178&gt;0,IF(OR($J178=1,$J178=2,$J178=3,$J178=4,$J178=5,$J178=6,$J178=7,$J178=8,$J178=9,$J178=10),$E178*$I178/12*3,IF($J178=11,$E178*$I178/12*2,IF($J178=12,$E178*$I178/12*1,0)))))+IF(CA$5&lt;&gt;$H178,0,IF(CA178&gt;0,IF($J178=10,$E178*$I178/12*0,IF($J178=11,$E178*$I178/12*1,IF($J178=12,$E178*$I178/12*2,0)))))</f>
        <v>0</v>
      </c>
      <c r="CF178" s="403">
        <f>IF(AND(CA178&lt;&gt;0,CA$5=$H178),$I178*$E178-CA178,IF(CF$5=$H178,$I178*$E178*(12-$J178+1)/12,0))</f>
        <v>0</v>
      </c>
      <c r="CG178" s="400">
        <f>IF($H178&lt;&gt;CK$5,0,IF(CK178&gt;0,IF($J178=1,$E178*$I178/12*3,IF($J178=2,$E178*$I178/12*2,IF($J178=3,$E178*$I178/12*1,0)))))+IF(CF$5&lt;&gt;$H178,0,IF(CF178&gt;0,IF($J178=1,$E178*$I178/12*0,IF($J178=2,$E178*$I178/12*1,IF($J178=3,$E178*$I178/12*2,IF($J178&gt;=4,$E178*$I178/12*3,0))))))</f>
        <v>0</v>
      </c>
      <c r="CH178" s="406">
        <f>IF($H178&lt;&gt;CK$5,0,IF(CK178&gt;0,IF(OR($J178=1,$J178=2,$J178=3,$J178=4),$E178*$I178/12*3,IF($J178=5,$E178*$I178/12*2,IF($J178=6,$E178*$I178/12*1,0)))))+IF(CF$5&lt;&gt;$H178,0,IF(CF178&gt;0,IF($J178=4,$E178*$I178/12*0,IF($J178=5,$E178*$I178/12*1,IF($J178=6,$E178*$I178/12*2,IF($J178&gt;=7,$E178*$I178/12*3,0))))))</f>
        <v>0</v>
      </c>
      <c r="CI178" s="406">
        <f>IF($H178&lt;&gt;CK$5,0,IF(CK178&gt;0,IF(OR($J178=1,$J178=2,$J178=3,$J178=4,$J178=5,$J178=6,$J178=7),$E178*$I178/12*3,IF($J178=8,$E178*$I178/12*2,IF($J178=9,$E178*$I178/12*1,0)))))+IF(CF$5&lt;&gt;$H178,0,IF(CF178&gt;0,IF($J178=7,$E178*$I178/12*0,IF($J178=8,$E178*$I178/12*1,IF($J178=9,$E178*$I178/12*2,IF($J178&gt;=10,$E178*$I178/12*3,0))))))</f>
        <v>0</v>
      </c>
      <c r="CJ178" s="402">
        <f>IF($H178&lt;&gt;CK$5,0,IF(CK178&gt;0,IF(OR($J178=1,$J178=2,$J178=3,$J178=4,$J178=5,$J178=6,$J178=7,$J178=8,$J178=9,$J178=10),$E178*$I178/12*3,IF($J178=11,$E178*$I178/12*2,IF($J178=12,$E178*$I178/12*1,0)))))+IF(CF$5&lt;&gt;$H178,0,IF(CF178&gt;0,IF($J178=10,$E178*$I178/12*0,IF($J178=11,$E178*$I178/12*1,IF($J178=12,$E178*$I178/12*2,0)))))</f>
        <v>0</v>
      </c>
      <c r="CK178" s="403">
        <f>IF(AND(CF178&lt;&gt;0,CF$5=$H178),$I178*$E178-CF178,IF(CK$5=$H178,$I178*$E178*(12-$J178+1)/12,0))</f>
        <v>0</v>
      </c>
      <c r="CL178" s="400">
        <f>IF($H178&lt;&gt;CP$5,0,IF(CP178&gt;0,IF($J178=1,$E178*$I178/12*3,IF($J178=2,$E178*$I178/12*2,IF($J178=3,$E178*$I178/12*1,0)))))+IF(CK$5&lt;&gt;$H178,0,IF(CK178&gt;0,IF($J178=1,$E178*$I178/12*0,IF($J178=2,$E178*$I178/12*1,IF($J178=3,$E178*$I178/12*2,IF($J178&gt;=4,$E178*$I178/12*3,0))))))</f>
        <v>0</v>
      </c>
      <c r="CM178" s="406">
        <f>IF($H178&lt;&gt;CP$5,0,IF(CP178&gt;0,IF(OR($J178=1,$J178=2,$J178=3,$J178=4),$E178*$I178/12*3,IF($J178=5,$E178*$I178/12*2,IF($J178=6,$E178*$I178/12*1,0)))))+IF(CK$5&lt;&gt;$H178,0,IF(CK178&gt;0,IF($J178=4,$E178*$I178/12*0,IF($J178=5,$E178*$I178/12*1,IF($J178=6,$E178*$I178/12*2,IF($J178&gt;=7,$E178*$I178/12*3,0))))))</f>
        <v>0</v>
      </c>
      <c r="CN178" s="406">
        <f>IF($H178&lt;&gt;CP$5,0,IF(CP178&gt;0,IF(OR($J178=1,$J178=2,$J178=3,$J178=4,$J178=5,$J178=6,$J178=7),$E178*$I178/12*3,IF($J178=8,$E178*$I178/12*2,IF($J178=9,$E178*$I178/12*1,0)))))+IF(CK$5&lt;&gt;$H178,0,IF(CK178&gt;0,IF($J178=7,$E178*$I178/12*0,IF($J178=8,$E178*$I178/12*1,IF($J178=9,$E178*$I178/12*2,IF($J178&gt;=10,$E178*$I178/12*3,0))))))</f>
        <v>0</v>
      </c>
      <c r="CO178" s="402">
        <f>IF($H178&lt;&gt;CP$5,0,IF(CP178&gt;0,IF(OR($J178=1,$J178=2,$J178=3,$J178=4,$J178=5,$J178=6,$J178=7,$J178=8,$J178=9,$J178=10),$E178*$I178/12*3,IF($J178=11,$E178*$I178/12*2,IF($J178=12,$E178*$I178/12*1,0)))))+IF(CK$5&lt;&gt;$H178,0,IF(CK178&gt;0,IF($J178=10,$E178*$I178/12*0,IF($J178=11,$E178*$I178/12*1,IF($J178=12,$E178*$I178/12*2,0)))))</f>
        <v>0</v>
      </c>
      <c r="CP178" s="403">
        <f>IF(AND(CK178&lt;&gt;0,CK$5=$H178),$I178*$E178-CK178,IF(CP$5=$H178,$I178*$E178*(12-$J178+1)/12,0))</f>
        <v>0</v>
      </c>
      <c r="CQ178" s="400">
        <f>IF($H178&lt;&gt;CU$5,0,IF(CU178&gt;0,IF($J178=1,$E178*$I178/12*3,IF($J178=2,$E178*$I178/12*2,IF($J178=3,$E178*$I178/12*1,0)))))+IF(CP$5&lt;&gt;$H178,0,IF(CP178&gt;0,IF($J178=1,$E178*$I178/12*0,IF($J178=2,$E178*$I178/12*1,IF($J178=3,$E178*$I178/12*2,IF($J178&gt;=4,$E178*$I178/12*3,0))))))</f>
        <v>0</v>
      </c>
      <c r="CR178" s="406">
        <f>IF($H178&lt;&gt;CU$5,0,IF(CU178&gt;0,IF(OR($J178=1,$J178=2,$J178=3,$J178=4),$E178*$I178/12*3,IF($J178=5,$E178*$I178/12*2,IF($J178=6,$E178*$I178/12*1,0)))))+IF(CP$5&lt;&gt;$H178,0,IF(CP178&gt;0,IF($J178=4,$E178*$I178/12*0,IF($J178=5,$E178*$I178/12*1,IF($J178=6,$E178*$I178/12*2,IF($J178&gt;=7,$E178*$I178/12*3,0))))))</f>
        <v>0</v>
      </c>
      <c r="CS178" s="406">
        <f>IF($H178&lt;&gt;CU$5,0,IF(CU178&gt;0,IF(OR($J178=1,$J178=2,$J178=3,$J178=4,$J178=5,$J178=6,$J178=7),$E178*$I178/12*3,IF($J178=8,$E178*$I178/12*2,IF($J178=9,$E178*$I178/12*1,0)))))+IF(CP$5&lt;&gt;$H178,0,IF(CP178&gt;0,IF($J178=7,$E178*$I178/12*0,IF($J178=8,$E178*$I178/12*1,IF($J178=9,$E178*$I178/12*2,IF($J178&gt;=10,$E178*$I178/12*3,0))))))</f>
        <v>0</v>
      </c>
      <c r="CT178" s="402">
        <f>IF($H178&lt;&gt;CU$5,0,IF(CU178&gt;0,IF(OR($J178=1,$J178=2,$J178=3,$J178=4,$J178=5,$J178=6,$J178=7,$J178=8,$J178=9,$J178=10),$E178*$I178/12*3,IF($J178=11,$E178*$I178/12*2,IF($J178=12,$E178*$I178/12*1,0)))))+IF(CP$5&lt;&gt;$H178,0,IF(CP178&gt;0,IF($J178=10,$E178*$I178/12*0,IF($J178=11,$E178*$I178/12*1,IF($J178=12,$E178*$I178/12*2,0)))))</f>
        <v>0</v>
      </c>
      <c r="CU178" s="403">
        <f>IF(AND(CP178&lt;&gt;0,CP$5=$H178),$I178*$E178-CP178,IF(CU$5=$H178,$I178*$E178*(12-$J178+1)/12,0))</f>
        <v>0</v>
      </c>
      <c r="CV178" s="400">
        <f>IF($H178&lt;&gt;CZ$5,0,IF(CZ178&gt;0,IF($J178=1,$E178*$I178/12*3,IF($J178=2,$E178*$I178/12*2,IF($J178=3,$E178*$I178/12*1,0)))))+IF(CU$5&lt;&gt;$H178,0,IF(CU178&gt;0,IF($J178=1,$E178*$I178/12*0,IF($J178=2,$E178*$I178/12*1,IF($J178=3,$E178*$I178/12*2,IF($J178&gt;=4,$E178*$I178/12*3,0))))))</f>
        <v>0</v>
      </c>
      <c r="CW178" s="406">
        <f>IF($H178&lt;&gt;CZ$5,0,IF(CZ178&gt;0,IF(OR($J178=1,$J178=2,$J178=3,$J178=4),$E178*$I178/12*3,IF($J178=5,$E178*$I178/12*2,IF($J178=6,$E178*$I178/12*1,0)))))+IF(CU$5&lt;&gt;$H178,0,IF(CU178&gt;0,IF($J178=4,$E178*$I178/12*0,IF($J178=5,$E178*$I178/12*1,IF($J178=6,$E178*$I178/12*2,IF($J178&gt;=7,$E178*$I178/12*3,0))))))</f>
        <v>0</v>
      </c>
      <c r="CX178" s="406">
        <f>IF($H178&lt;&gt;CZ$5,0,IF(CZ178&gt;0,IF(OR($J178=1,$J178=2,$J178=3,$J178=4,$J178=5,$J178=6,$J178=7),$E178*$I178/12*3,IF($J178=8,$E178*$I178/12*2,IF($J178=9,$E178*$I178/12*1,0)))))+IF(CU$5&lt;&gt;$H178,0,IF(CU178&gt;0,IF($J178=7,$E178*$I178/12*0,IF($J178=8,$E178*$I178/12*1,IF($J178=9,$E178*$I178/12*2,IF($J178&gt;=10,$E178*$I178/12*3,0))))))</f>
        <v>0</v>
      </c>
      <c r="CY178" s="402">
        <f>IF($H178&lt;&gt;CZ$5,0,IF(CZ178&gt;0,IF(OR($J178=1,$J178=2,$J178=3,$J178=4,$J178=5,$J178=6,$J178=7,$J178=8,$J178=9,$J178=10),$E178*$I178/12*3,IF($J178=11,$E178*$I178/12*2,IF($J178=12,$E178*$I178/12*1,0)))))+IF(CU$5&lt;&gt;$H178,0,IF(CU178&gt;0,IF($J178=10,$E178*$I178/12*0,IF($J178=11,$E178*$I178/12*1,IF($J178=12,$E178*$I178/12*2,0)))))</f>
        <v>0</v>
      </c>
      <c r="CZ178" s="403">
        <f>IF(AND(CU178&lt;&gt;0,CU$5=$H178),$I178*$E178-CU178,IF(CZ$5=$H178,$I178*$E178*(12-$J178+1)/12,0))</f>
        <v>0</v>
      </c>
      <c r="DA178" s="400">
        <f>IF($H178&lt;&gt;DE$5,0,IF(DE178&gt;0,IF($J178=1,$E178*$I178/12*3,IF($J178=2,$E178*$I178/12*2,IF($J178=3,$E178*$I178/12*1,0)))))+IF(CZ$5&lt;&gt;$H178,0,IF(CZ178&gt;0,IF($J178=1,$E178*$I178/12*0,IF($J178=2,$E178*$I178/12*1,IF($J178=3,$E178*$I178/12*2,IF($J178&gt;=4,$E178*$I178/12*3,0))))))</f>
        <v>0</v>
      </c>
      <c r="DB178" s="406">
        <f>IF($H178&lt;&gt;DE$5,0,IF(DE178&gt;0,IF(OR($J178=1,$J178=2,$J178=3,$J178=4),$E178*$I178/12*3,IF($J178=5,$E178*$I178/12*2,IF($J178=6,$E178*$I178/12*1,0)))))+IF(CZ$5&lt;&gt;$H178,0,IF(CZ178&gt;0,IF($J178=4,$E178*$I178/12*0,IF($J178=5,$E178*$I178/12*1,IF($J178=6,$E178*$I178/12*2,IF($J178&gt;=7,$E178*$I178/12*3,0))))))</f>
        <v>0</v>
      </c>
      <c r="DC178" s="406">
        <f>IF($H178&lt;&gt;DE$5,0,IF(DE178&gt;0,IF(OR($J178=1,$J178=2,$J178=3,$J178=4,$J178=5,$J178=6,$J178=7),$E178*$I178/12*3,IF($J178=8,$E178*$I178/12*2,IF($J178=9,$E178*$I178/12*1,0)))))+IF(CZ$5&lt;&gt;$H178,0,IF(CZ178&gt;0,IF($J178=7,$E178*$I178/12*0,IF($J178=8,$E178*$I178/12*1,IF($J178=9,$E178*$I178/12*2,IF($J178&gt;=10,$E178*$I178/12*3,0))))))</f>
        <v>0</v>
      </c>
      <c r="DD178" s="402">
        <f>IF($H178&lt;&gt;DE$5,0,IF(DE178&gt;0,IF(OR($J178=1,$J178=2,$J178=3,$J178=4,$J178=5,$J178=6,$J178=7,$J178=8,$J178=9,$J178=10),$E178*$I178/12*3,IF($J178=11,$E178*$I178/12*2,IF($J178=12,$E178*$I178/12*1,0)))))+IF(CZ$5&lt;&gt;$H178,0,IF(CZ178&gt;0,IF($J178=10,$E178*$I178/12*0,IF($J178=11,$E178*$I178/12*1,IF($J178=12,$E178*$I178/12*2,0)))))</f>
        <v>0</v>
      </c>
      <c r="DE178" s="403">
        <f>IF(AND(CZ178&lt;&gt;0,CZ$5=$H178),$I178*$E178-CZ178,IF(DE$5=$H178,$I178*$E178*(12-$J178+1)/12,0))</f>
        <v>0</v>
      </c>
      <c r="DF178" s="400">
        <f>IF($H178&lt;&gt;DJ$5,0,IF(DJ178&gt;0,IF($J178=1,$E178*$I178/12*3,IF($J178=2,$E178*$I178/12*2,IF($J178=3,$E178*$I178/12*1,0)))))+IF(DE$5&lt;&gt;$H178,0,IF(DE178&gt;0,IF($J178=1,$E178*$I178/12*0,IF($J178=2,$E178*$I178/12*1,IF($J178=3,$E178*$I178/12*2,IF($J178&gt;=4,$E178*$I178/12*3,0))))))</f>
        <v>0</v>
      </c>
      <c r="DG178" s="406">
        <f>IF($H178&lt;&gt;DJ$5,0,IF(DJ178&gt;0,IF(OR($J178=1,$J178=2,$J178=3,$J178=4),$E178*$I178/12*3,IF($J178=5,$E178*$I178/12*2,IF($J178=6,$E178*$I178/12*1,0)))))+IF(DE$5&lt;&gt;$H178,0,IF(DE178&gt;0,IF($J178=4,$E178*$I178/12*0,IF($J178=5,$E178*$I178/12*1,IF($J178=6,$E178*$I178/12*2,IF($J178&gt;=7,$E178*$I178/12*3,0))))))</f>
        <v>0</v>
      </c>
      <c r="DH178" s="406">
        <f>IF($H178&lt;&gt;DJ$5,0,IF(DJ178&gt;0,IF(OR($J178=1,$J178=2,$J178=3,$J178=4,$J178=5,$J178=6,$J178=7),$E178*$I178/12*3,IF($J178=8,$E178*$I178/12*2,IF($J178=9,$E178*$I178/12*1,0)))))+IF(DE$5&lt;&gt;$H178,0,IF(DE178&gt;0,IF($J178=7,$E178*$I178/12*0,IF($J178=8,$E178*$I178/12*1,IF($J178=9,$E178*$I178/12*2,IF($J178&gt;=10,$E178*$I178/12*3,0))))))</f>
        <v>0</v>
      </c>
      <c r="DI178" s="402">
        <f>IF($H178&lt;&gt;DJ$5,0,IF(DJ178&gt;0,IF(OR($J178=1,$J178=2,$J178=3,$J178=4,$J178=5,$J178=6,$J178=7,$J178=8,$J178=9,$J178=10),$E178*$I178/12*3,IF($J178=11,$E178*$I178/12*2,IF($J178=12,$E178*$I178/12*1,0)))))+IF(DE$5&lt;&gt;$H178,0,IF(DE178&gt;0,IF($J178=10,$E178*$I178/12*0,IF($J178=11,$E178*$I178/12*1,IF($J178=12,$E178*$I178/12*2,0)))))</f>
        <v>0</v>
      </c>
      <c r="DJ178" s="403">
        <f>IF(AND(DE178&lt;&gt;0,DE$5=$H178),$I178*$E178-DE178,IF(DJ$5=$H178,$I178*$E178*(12-$J178+1)/12,0))</f>
        <v>0</v>
      </c>
      <c r="DK178" s="400">
        <f>IF($H178&lt;&gt;DO$5,0,IF(DO178&gt;0,IF($J178=1,$E178*$I178/12*3,IF($J178=2,$E178*$I178/12*2,IF($J178=3,$E178*$I178/12*1,0)))))+IF(DJ$5&lt;&gt;$H178,0,IF(DJ178&gt;0,IF($J178=1,$E178*$I178/12*0,IF($J178=2,$E178*$I178/12*1,IF($J178=3,$E178*$I178/12*2,IF($J178&gt;=4,$E178*$I178/12*3,0))))))</f>
        <v>0</v>
      </c>
      <c r="DL178" s="406">
        <f>IF($H178&lt;&gt;DO$5,0,IF(DO178&gt;0,IF(OR($J178=1,$J178=2,$J178=3,$J178=4),$E178*$I178/12*3,IF($J178=5,$E178*$I178/12*2,IF($J178=6,$E178*$I178/12*1,0)))))+IF(DJ$5&lt;&gt;$H178,0,IF(DJ178&gt;0,IF($J178=4,$E178*$I178/12*0,IF($J178=5,$E178*$I178/12*1,IF($J178=6,$E178*$I178/12*2,IF($J178&gt;=7,$E178*$I178/12*3,0))))))</f>
        <v>0</v>
      </c>
      <c r="DM178" s="406">
        <f>IF($H178&lt;&gt;DO$5,0,IF(DO178&gt;0,IF(OR($J178=1,$J178=2,$J178=3,$J178=4,$J178=5,$J178=6,$J178=7),$E178*$I178/12*3,IF($J178=8,$E178*$I178/12*2,IF($J178=9,$E178*$I178/12*1,0)))))+IF(DJ$5&lt;&gt;$H178,0,IF(DJ178&gt;0,IF($J178=7,$E178*$I178/12*0,IF($J178=8,$E178*$I178/12*1,IF($J178=9,$E178*$I178/12*2,IF($J178&gt;=10,$E178*$I178/12*3,0))))))</f>
        <v>0</v>
      </c>
      <c r="DN178" s="402">
        <f>IF($H178&lt;&gt;DO$5,0,IF(DO178&gt;0,IF(OR($J178=1,$J178=2,$J178=3,$J178=4,$J178=5,$J178=6,$J178=7,$J178=8,$J178=9,$J178=10),$E178*$I178/12*3,IF($J178=11,$E178*$I178/12*2,IF($J178=12,$E178*$I178/12*1,0)))))+IF(DJ$5&lt;&gt;$H178,0,IF(DJ178&gt;0,IF($J178=10,$E178*$I178/12*0,IF($J178=11,$E178*$I178/12*1,IF($J178=12,$E178*$I178/12*2,0)))))</f>
        <v>0</v>
      </c>
      <c r="DO178" s="403">
        <f>IF(AND(DJ178&lt;&gt;0,DJ$5=$H178),$I178*$E178-DJ178,IF(DO$5=$H178,$I178*$E178*(12-$J178+1)/12,0))</f>
        <v>0</v>
      </c>
      <c r="DP178" s="400">
        <f>IF($H178&lt;&gt;DT$5,0,IF(DT178&gt;0,IF($J178=1,$E178*$I178/12*3,IF($J178=2,$E178*$I178/12*2,IF($J178=3,$E178*$I178/12*1,0)))))+IF(DO$5&lt;&gt;$H178,0,IF(DO178&gt;0,IF($J178=1,$E178*$I178/12*0,IF($J178=2,$E178*$I178/12*1,IF($J178=3,$E178*$I178/12*2,IF($J178&gt;=4,$E178*$I178/12*3,0))))))</f>
        <v>0</v>
      </c>
      <c r="DQ178" s="406">
        <f>IF($H178&lt;&gt;DT$5,0,IF(DT178&gt;0,IF(OR($J178=1,$J178=2,$J178=3,$J178=4),$E178*$I178/12*3,IF($J178=5,$E178*$I178/12*2,IF($J178=6,$E178*$I178/12*1,0)))))+IF(DO$5&lt;&gt;$H178,0,IF(DO178&gt;0,IF($J178=4,$E178*$I178/12*0,IF($J178=5,$E178*$I178/12*1,IF($J178=6,$E178*$I178/12*2,IF($J178&gt;=7,$E178*$I178/12*3,0))))))</f>
        <v>0</v>
      </c>
      <c r="DR178" s="406">
        <f>IF($H178&lt;&gt;DT$5,0,IF(DT178&gt;0,IF(OR($J178=1,$J178=2,$J178=3,$J178=4,$J178=5,$J178=6,$J178=7),$E178*$I178/12*3,IF($J178=8,$E178*$I178/12*2,IF($J178=9,$E178*$I178/12*1,0)))))+IF(DO$5&lt;&gt;$H178,0,IF(DO178&gt;0,IF($J178=7,$E178*$I178/12*0,IF($J178=8,$E178*$I178/12*1,IF($J178=9,$E178*$I178/12*2,IF($J178&gt;=10,$E178*$I178/12*3,0))))))</f>
        <v>0</v>
      </c>
      <c r="DS178" s="402">
        <f>IF($H178&lt;&gt;DT$5,0,IF(DT178&gt;0,IF(OR($J178=1,$J178=2,$J178=3,$J178=4,$J178=5,$J178=6,$J178=7,$J178=8,$J178=9,$J178=10),$E178*$I178/12*3,IF($J178=11,$E178*$I178/12*2,IF($J178=12,$E178*$I178/12*1,0)))))+IF(DO$5&lt;&gt;$H178,0,IF(DO178&gt;0,IF($J178=10,$E178*$I178/12*0,IF($J178=11,$E178*$I178/12*1,IF($J178=12,$E178*$I178/12*2,0)))))</f>
        <v>0</v>
      </c>
      <c r="DT178" s="403">
        <f>IF(AND(DO178&lt;&gt;0,DO$5=$H178),$I178*$E178-DO178,IF(DT$5=$H178,$I178*$E178*(12-$J178+1)/12,0))</f>
        <v>0</v>
      </c>
    </row>
    <row r="179" spans="1:124" ht="12.75" customHeight="1" x14ac:dyDescent="0.2">
      <c r="C179" s="471" t="s">
        <v>337</v>
      </c>
      <c r="D179" s="70"/>
      <c r="E179" s="533">
        <f>IF(F179=0,G179,F179)</f>
        <v>0</v>
      </c>
      <c r="F179" s="534">
        <v>0</v>
      </c>
      <c r="G179" s="534">
        <v>0</v>
      </c>
      <c r="H179" s="449"/>
      <c r="I179" s="469"/>
      <c r="J179" s="470"/>
      <c r="K179" s="392"/>
      <c r="L179" s="397">
        <f>IF(L$5=$H179,$E179,0)</f>
        <v>0</v>
      </c>
      <c r="M179" s="394">
        <f>IF(Q179=0,0,IF(Q179&gt;0,IF($J179=3,Q179,IF($J179=2,Q179,IF($J179=1,Q179,0)))))</f>
        <v>0</v>
      </c>
      <c r="N179" s="404">
        <f>IF(Q179=0,0,IF(Q179&gt;0,IF($J179=6,Q179,IF($J179=5,Q179,IF($J179=4,Q179,0)))))</f>
        <v>0</v>
      </c>
      <c r="O179" s="404">
        <f>IF(Q179=0,0,IF(Q179&gt;0,IF($J179=9,Q179,IF($J179=8,Q179,IF($J179=7,Q179,0)))))</f>
        <v>0</v>
      </c>
      <c r="P179" s="396">
        <f>IF(Q179=0,0,IF(Q179&gt;0,IF($J179=12,Q179,IF($J179=11,Q179,IF($J179=10,Q179,0)))))</f>
        <v>0</v>
      </c>
      <c r="Q179" s="397">
        <f>IF(Q$5=$H179,$E179,0)</f>
        <v>0</v>
      </c>
      <c r="R179" s="394">
        <f>IF(V179=0,0,IF(V179&gt;0,IF($J179=3,V179,IF($J179=2,V179,IF($J179=1,V179,0)))))</f>
        <v>0</v>
      </c>
      <c r="S179" s="404">
        <f>IF(V179=0,0,IF(V179&gt;0,IF($J179=6,V179,IF($J179=5,V179,IF($J179=4,V179,0)))))</f>
        <v>0</v>
      </c>
      <c r="T179" s="404">
        <f>IF(V179=0,0,IF(V179&gt;0,IF($J179=9,V179,IF($J179=8,V179,IF($J179=7,V179,0)))))</f>
        <v>0</v>
      </c>
      <c r="U179" s="396">
        <f>IF(V179=0,0,IF(V179&gt;0,IF($J179=12,V179,IF($J179=11,V179,IF($J179=10,V179,0)))))</f>
        <v>0</v>
      </c>
      <c r="V179" s="397">
        <f>IF(V$5=$H179,$E179,0)</f>
        <v>0</v>
      </c>
      <c r="W179" s="394">
        <f>IF(AA179=0,0,IF(AA179&gt;0,IF($J179=3,AA179,IF($J179=2,AA179,IF($J179=1,AA179,0)))))</f>
        <v>0</v>
      </c>
      <c r="X179" s="404">
        <f>IF(AA179=0,0,IF(AA179&gt;0,IF($J179=6,AA179,IF($J179=5,AA179,IF($J179=4,AA179,0)))))</f>
        <v>0</v>
      </c>
      <c r="Y179" s="404">
        <f>IF(AA179=0,0,IF(AA179&gt;0,IF($J179=9,AA179,IF($J179=8,AA179,IF($J179=7,AA179,0)))))</f>
        <v>0</v>
      </c>
      <c r="Z179" s="396">
        <f>IF(AA179=0,0,IF(AA179&gt;0,IF($J179=12,AA179,IF($J179=11,AA179,IF($J179=10,AA179,0)))))</f>
        <v>0</v>
      </c>
      <c r="AA179" s="397">
        <f>IF(AA$5=$H179,$E179,0)</f>
        <v>0</v>
      </c>
      <c r="AB179" s="394">
        <f>IF(AF179=0,0,IF(AF179&gt;0,IF($J179=3,AF179,IF($J179=2,AF179,IF($J179=1,AF179,0)))))</f>
        <v>0</v>
      </c>
      <c r="AC179" s="404">
        <f>IF(AF179=0,0,IF(AF179&gt;0,IF($J179=6,AF179,IF($J179=5,AF179,IF($J179=4,AF179,0)))))</f>
        <v>0</v>
      </c>
      <c r="AD179" s="404">
        <f>IF(AF179=0,0,IF(AF179&gt;0,IF($J179=9,AF179,IF($J179=8,AF179,IF($J179=7,AF179,0)))))</f>
        <v>0</v>
      </c>
      <c r="AE179" s="396">
        <f>IF(AF179=0,0,IF(AF179&gt;0,IF($J179=12,AF179,IF($J179=11,AF179,IF($J179=10,AF179,0)))))</f>
        <v>0</v>
      </c>
      <c r="AF179" s="397">
        <f>IF(AF$5=$H179,$E179,0)</f>
        <v>0</v>
      </c>
      <c r="AG179" s="394">
        <f>IF(AK179=0,0,IF(AK179&gt;0,IF($J179=3,AK179,IF($J179=2,AK179,IF($J179=1,AK179,0)))))</f>
        <v>0</v>
      </c>
      <c r="AH179" s="404">
        <f>IF(AK179=0,0,IF(AK179&gt;0,IF($J179=6,AK179,IF($J179=5,AK179,IF($J179=4,AK179,0)))))</f>
        <v>0</v>
      </c>
      <c r="AI179" s="404">
        <f>IF(AK179=0,0,IF(AK179&gt;0,IF($J179=9,AK179,IF($J179=8,AK179,IF($J179=7,AK179,0)))))</f>
        <v>0</v>
      </c>
      <c r="AJ179" s="396">
        <f>IF(AK179=0,0,IF(AK179&gt;0,IF($J179=12,AK179,IF($J179=11,AK179,IF($J179=10,AK179,0)))))</f>
        <v>0</v>
      </c>
      <c r="AK179" s="397">
        <f>IF(AK$5=$H179,$E179,0)</f>
        <v>0</v>
      </c>
      <c r="AL179" s="394">
        <f>IF(AP179=0,0,IF(AP179&gt;0,IF($J179=3,AP179,IF($J179=2,AP179,IF($J179=1,AP179,0)))))</f>
        <v>0</v>
      </c>
      <c r="AM179" s="404">
        <f>IF(AP179=0,0,IF(AP179&gt;0,IF($J179=6,AP179,IF($J179=5,AP179,IF($J179=4,AP179,0)))))</f>
        <v>0</v>
      </c>
      <c r="AN179" s="404">
        <f>IF(AP179=0,0,IF(AP179&gt;0,IF($J179=9,AP179,IF($J179=8,AP179,IF($J179=7,AP179,0)))))</f>
        <v>0</v>
      </c>
      <c r="AO179" s="396">
        <f>IF(AP179=0,0,IF(AP179&gt;0,IF($J179=12,AP179,IF($J179=11,AP179,IF($J179=10,AP179,0)))))</f>
        <v>0</v>
      </c>
      <c r="AP179" s="397">
        <f>IF(AP$5=$H179,$E179,0)</f>
        <v>0</v>
      </c>
      <c r="AQ179" s="394">
        <f>IF(AU179=0,0,IF(AU179&gt;0,IF($J179=3,AU179,IF($J179=2,AU179,IF($J179=1,AU179,0)))))</f>
        <v>0</v>
      </c>
      <c r="AR179" s="404">
        <f>IF(AU179=0,0,IF(AU179&gt;0,IF($J179=6,AU179,IF($J179=5,AU179,IF($J179=4,AU179,0)))))</f>
        <v>0</v>
      </c>
      <c r="AS179" s="404">
        <f>IF(AU179=0,0,IF(AU179&gt;0,IF($J179=9,AU179,IF($J179=8,AU179,IF($J179=7,AU179,0)))))</f>
        <v>0</v>
      </c>
      <c r="AT179" s="396">
        <f>IF(AU179=0,0,IF(AU179&gt;0,IF($J179=12,AU179,IF($J179=11,AU179,IF($J179=10,AU179,0)))))</f>
        <v>0</v>
      </c>
      <c r="AU179" s="397">
        <f>IF(AU$5=$H179,$E179,0)</f>
        <v>0</v>
      </c>
      <c r="AV179" s="394">
        <f>IF(AZ179=0,0,IF(AZ179&gt;0,IF($J179=3,AZ179,IF($J179=2,AZ179,IF($J179=1,AZ179,0)))))</f>
        <v>0</v>
      </c>
      <c r="AW179" s="404">
        <f>IF(AZ179=0,0,IF(AZ179&gt;0,IF($J179=6,AZ179,IF($J179=5,AZ179,IF($J179=4,AZ179,0)))))</f>
        <v>0</v>
      </c>
      <c r="AX179" s="404">
        <f>IF(AZ179=0,0,IF(AZ179&gt;0,IF($J179=9,AZ179,IF($J179=8,AZ179,IF($J179=7,AZ179,0)))))</f>
        <v>0</v>
      </c>
      <c r="AY179" s="396">
        <f>IF(AZ179=0,0,IF(AZ179&gt;0,IF($J179=12,AZ179,IF($J179=11,AZ179,IF($J179=10,AZ179,0)))))</f>
        <v>0</v>
      </c>
      <c r="AZ179" s="397">
        <f>IF(AZ$5=$H179,$E179,0)</f>
        <v>0</v>
      </c>
      <c r="BA179" s="394">
        <f>IF(BE179=0,0,IF(BE179&gt;0,IF($J179=3,BE179,IF($J179=2,BE179,IF($J179=1,BE179,0)))))</f>
        <v>0</v>
      </c>
      <c r="BB179" s="404">
        <f>IF(BE179=0,0,IF(BE179&gt;0,IF($J179=6,BE179,IF($J179=5,BE179,IF($J179=4,BE179,0)))))</f>
        <v>0</v>
      </c>
      <c r="BC179" s="404">
        <f>IF(BE179=0,0,IF(BE179&gt;0,IF($J179=9,BE179,IF($J179=8,BE179,IF($J179=7,BE179,0)))))</f>
        <v>0</v>
      </c>
      <c r="BD179" s="396">
        <f>IF(BE179=0,0,IF(BE179&gt;0,IF($J179=12,BE179,IF($J179=11,BE179,IF($J179=10,BE179,0)))))</f>
        <v>0</v>
      </c>
      <c r="BE179" s="397">
        <f>IF(BE$5=$H179,$E179,0)</f>
        <v>0</v>
      </c>
      <c r="BF179" s="394">
        <f>IF(BJ179=0,0,IF(BJ179&gt;0,IF($J179=3,BJ179,IF($J179=2,BJ179,IF($J179=1,BJ179,0)))))</f>
        <v>0</v>
      </c>
      <c r="BG179" s="404">
        <f>IF(BJ179=0,0,IF(BJ179&gt;0,IF($J179=6,BJ179,IF($J179=5,BJ179,IF($J179=4,BJ179,0)))))</f>
        <v>0</v>
      </c>
      <c r="BH179" s="404">
        <f>IF(BJ179=0,0,IF(BJ179&gt;0,IF($J179=9,BJ179,IF($J179=8,BJ179,IF($J179=7,BJ179,0)))))</f>
        <v>0</v>
      </c>
      <c r="BI179" s="396">
        <f>IF(BJ179=0,0,IF(BJ179&gt;0,IF($J179=12,BJ179,IF($J179=11,BJ179,IF($J179=10,BJ179,0)))))</f>
        <v>0</v>
      </c>
      <c r="BJ179" s="397">
        <f>IF(BJ$5=$H179,$E179,0)</f>
        <v>0</v>
      </c>
      <c r="BK179" s="394">
        <f>IF(BO179=0,0,IF(BO179&gt;0,IF($J179=3,BO179,IF($J179=2,BO179,IF($J179=1,BO179,0)))))</f>
        <v>0</v>
      </c>
      <c r="BL179" s="404">
        <f>IF(BO179=0,0,IF(BO179&gt;0,IF($J179=6,BO179,IF($J179=5,BO179,IF($J179=4,BO179,0)))))</f>
        <v>0</v>
      </c>
      <c r="BM179" s="404">
        <f>IF(BO179=0,0,IF(BO179&gt;0,IF($J179=9,BO179,IF($J179=8,BO179,IF($J179=7,BO179,0)))))</f>
        <v>0</v>
      </c>
      <c r="BN179" s="396">
        <f>IF(BO179=0,0,IF(BO179&gt;0,IF($J179=12,BO179,IF($J179=11,BO179,IF($J179=10,BO179,0)))))</f>
        <v>0</v>
      </c>
      <c r="BO179" s="397">
        <f>IF(BO$5=$H179,$E179,0)</f>
        <v>0</v>
      </c>
      <c r="BP179" s="445"/>
      <c r="BQ179" s="403">
        <f>IF(AND(BP179&lt;&gt;0,BP$5=$H179),$I179*$E179-BP179,IF(BQ$5=$H179,$I179*$E179*(12-$J179+1)/12,0))</f>
        <v>0</v>
      </c>
      <c r="BR179" s="400">
        <f>IF($H179&lt;&gt;BV$5,0,IF(BV179&gt;0,IF($J179=1,$E179*$I179/12*3,IF($J179=2,$E179*$I179/12*2,IF($J179=3,$E179*$I179/12*1,0)))))+IF(BQ$5&lt;&gt;$H179,0,IF(BQ179&gt;0,IF($J179=1,$E179*$I179/12*0,IF($J179=2,$E179*$I179/12*1,IF($J179=3,$E179*$I179/12*2,IF($J179&gt;=4,$E179*$I179/12*3,0))))))</f>
        <v>0</v>
      </c>
      <c r="BS179" s="406">
        <f>IF($H179&lt;&gt;BV$5,0,IF(BV179&gt;0,IF(OR($J179=1,$J179=2,$J179=3,$J179=4),$E179*$I179/12*3,IF($J179=5,$E179*$I179/12*2,IF($J179=6,$E179*$I179/12*1,0)))))+IF(BQ$5&lt;&gt;$H179,0,IF(BQ179&gt;0,IF($J179=4,$E179*$I179/12*0,IF($J179=5,$E179*$I179/12*1,IF($J179=6,$E179*$I179/12*2,IF($J179&gt;=7,$E179*$I179/12*3,0))))))</f>
        <v>0</v>
      </c>
      <c r="BT179" s="406">
        <f>IF($H179&lt;&gt;BV$5,0,IF(BV179&gt;0,IF(OR($J179=1,$J179=2,$J179=3,$J179=4,$J179=5,$J179=6,$J179=7),$E179*$I179/12*3,IF($J179=8,$E179*$I179/12*2,IF($J179=9,$E179*$I179/12*1,0)))))+IF(BQ$5&lt;&gt;$H179,0,IF(BQ179&gt;0,IF($J179=7,$E179*$I179/12*0,IF($J179=8,$E179*$I179/12*1,IF($J179=9,$E179*$I179/12*2,IF($J179&gt;=10,$E179*$I179/12*3,0))))))</f>
        <v>0</v>
      </c>
      <c r="BU179" s="402">
        <f>IF($H179&lt;&gt;BV$5,0,IF(BV179&gt;0,IF(OR($J179=1,$J179=2,$J179=3,$J179=4,$J179=5,$J179=6,$J179=7,$J179=8,$J179=9,$J179=10),$E179*$I179/12*3,IF($J179=11,$E179*$I179/12*2,IF($J179=12,$E179*$I179/12*1,0)))))+IF(BQ$5&lt;&gt;$H179,0,IF(BQ179&gt;0,IF($J179=10,$E179*$I179/12*0,IF($J179=11,$E179*$I179/12*1,IF($J179=12,$E179*$I179/12*2,0)))))</f>
        <v>0</v>
      </c>
      <c r="BV179" s="403">
        <f>IF(AND(BQ179&lt;&gt;0,BQ$5=$H179),$I179*$E179-BQ179,IF(BV$5=$H179,$I179*$E179*(12-$J179+1)/12,0))</f>
        <v>0</v>
      </c>
      <c r="BW179" s="400">
        <f>IF($H179&lt;&gt;CA$5,0,IF(CA179&gt;0,IF($J179=1,$E179*$I179/12*3,IF($J179=2,$E179*$I179/12*2,IF($J179=3,$E179*$I179/12*1,0)))))+IF(BV$5&lt;&gt;$H179,0,IF(BV179&gt;0,IF($J179=1,$E179*$I179/12*0,IF($J179=2,$E179*$I179/12*1,IF($J179=3,$E179*$I179/12*2,IF($J179&gt;=4,$E179*$I179/12*3,0))))))</f>
        <v>0</v>
      </c>
      <c r="BX179" s="406">
        <f>IF($H179&lt;&gt;CA$5,0,IF(CA179&gt;0,IF(OR($J179=1,$J179=2,$J179=3,$J179=4),$E179*$I179/12*3,IF($J179=5,$E179*$I179/12*2,IF($J179=6,$E179*$I179/12*1,0)))))+IF(BV$5&lt;&gt;$H179,0,IF(BV179&gt;0,IF($J179=4,$E179*$I179/12*0,IF($J179=5,$E179*$I179/12*1,IF($J179=6,$E179*$I179/12*2,IF($J179&gt;=7,$E179*$I179/12*3,0))))))</f>
        <v>0</v>
      </c>
      <c r="BY179" s="406">
        <f>IF($H179&lt;&gt;CA$5,0,IF(CA179&gt;0,IF(OR($J179=1,$J179=2,$J179=3,$J179=4,$J179=5,$J179=6,$J179=7),$E179*$I179/12*3,IF($J179=8,$E179*$I179/12*2,IF($J179=9,$E179*$I179/12*1,0)))))+IF(BV$5&lt;&gt;$H179,0,IF(BV179&gt;0,IF($J179=7,$E179*$I179/12*0,IF($J179=8,$E179*$I179/12*1,IF($J179=9,$E179*$I179/12*2,IF($J179&gt;=10,$E179*$I179/12*3,0))))))</f>
        <v>0</v>
      </c>
      <c r="BZ179" s="402">
        <f>IF($H179&lt;&gt;CA$5,0,IF(CA179&gt;0,IF(OR($J179=1,$J179=2,$J179=3,$J179=4,$J179=5,$J179=6,$J179=7,$J179=8,$J179=9,$J179=10),$E179*$I179/12*3,IF($J179=11,$E179*$I179/12*2,IF($J179=12,$E179*$I179/12*1,0)))))+IF(BV$5&lt;&gt;$H179,0,IF(BV179&gt;0,IF($J179=10,$E179*$I179/12*0,IF($J179=11,$E179*$I179/12*1,IF($J179=12,$E179*$I179/12*2,0)))))</f>
        <v>0</v>
      </c>
      <c r="CA179" s="403">
        <f>IF(AND(BV179&lt;&gt;0,BV$5=$H179),$I179*$E179-BV179,IF(CA$5=$H179,$I179*$E179*(12-$J179+1)/12,0))</f>
        <v>0</v>
      </c>
      <c r="CB179" s="400">
        <f>IF($H179&lt;&gt;CF$5,0,IF(CF179&gt;0,IF($J179=1,$E179*$I179/12*3,IF($J179=2,$E179*$I179/12*2,IF($J179=3,$E179*$I179/12*1,0)))))+IF(CA$5&lt;&gt;$H179,0,IF(CA179&gt;0,IF($J179=1,$E179*$I179/12*0,IF($J179=2,$E179*$I179/12*1,IF($J179=3,$E179*$I179/12*2,IF($J179&gt;=4,$E179*$I179/12*3,0))))))</f>
        <v>0</v>
      </c>
      <c r="CC179" s="406">
        <f>IF($H179&lt;&gt;CF$5,0,IF(CF179&gt;0,IF(OR($J179=1,$J179=2,$J179=3,$J179=4),$E179*$I179/12*3,IF($J179=5,$E179*$I179/12*2,IF($J179=6,$E179*$I179/12*1,0)))))+IF(CA$5&lt;&gt;$H179,0,IF(CA179&gt;0,IF($J179=4,$E179*$I179/12*0,IF($J179=5,$E179*$I179/12*1,IF($J179=6,$E179*$I179/12*2,IF($J179&gt;=7,$E179*$I179/12*3,0))))))</f>
        <v>0</v>
      </c>
      <c r="CD179" s="406">
        <f>IF($H179&lt;&gt;CF$5,0,IF(CF179&gt;0,IF(OR($J179=1,$J179=2,$J179=3,$J179=4,$J179=5,$J179=6,$J179=7),$E179*$I179/12*3,IF($J179=8,$E179*$I179/12*2,IF($J179=9,$E179*$I179/12*1,0)))))+IF(CA$5&lt;&gt;$H179,0,IF(CA179&gt;0,IF($J179=7,$E179*$I179/12*0,IF($J179=8,$E179*$I179/12*1,IF($J179=9,$E179*$I179/12*2,IF($J179&gt;=10,$E179*$I179/12*3,0))))))</f>
        <v>0</v>
      </c>
      <c r="CE179" s="402">
        <f>IF($H179&lt;&gt;CF$5,0,IF(CF179&gt;0,IF(OR($J179=1,$J179=2,$J179=3,$J179=4,$J179=5,$J179=6,$J179=7,$J179=8,$J179=9,$J179=10),$E179*$I179/12*3,IF($J179=11,$E179*$I179/12*2,IF($J179=12,$E179*$I179/12*1,0)))))+IF(CA$5&lt;&gt;$H179,0,IF(CA179&gt;0,IF($J179=10,$E179*$I179/12*0,IF($J179=11,$E179*$I179/12*1,IF($J179=12,$E179*$I179/12*2,0)))))</f>
        <v>0</v>
      </c>
      <c r="CF179" s="403">
        <f>IF(AND(CA179&lt;&gt;0,CA$5=$H179),$I179*$E179-CA179,IF(CF$5=$H179,$I179*$E179*(12-$J179+1)/12,0))</f>
        <v>0</v>
      </c>
      <c r="CG179" s="400">
        <f>IF($H179&lt;&gt;CK$5,0,IF(CK179&gt;0,IF($J179=1,$E179*$I179/12*3,IF($J179=2,$E179*$I179/12*2,IF($J179=3,$E179*$I179/12*1,0)))))+IF(CF$5&lt;&gt;$H179,0,IF(CF179&gt;0,IF($J179=1,$E179*$I179/12*0,IF($J179=2,$E179*$I179/12*1,IF($J179=3,$E179*$I179/12*2,IF($J179&gt;=4,$E179*$I179/12*3,0))))))</f>
        <v>0</v>
      </c>
      <c r="CH179" s="406">
        <f>IF($H179&lt;&gt;CK$5,0,IF(CK179&gt;0,IF(OR($J179=1,$J179=2,$J179=3,$J179=4),$E179*$I179/12*3,IF($J179=5,$E179*$I179/12*2,IF($J179=6,$E179*$I179/12*1,0)))))+IF(CF$5&lt;&gt;$H179,0,IF(CF179&gt;0,IF($J179=4,$E179*$I179/12*0,IF($J179=5,$E179*$I179/12*1,IF($J179=6,$E179*$I179/12*2,IF($J179&gt;=7,$E179*$I179/12*3,0))))))</f>
        <v>0</v>
      </c>
      <c r="CI179" s="406">
        <f>IF($H179&lt;&gt;CK$5,0,IF(CK179&gt;0,IF(OR($J179=1,$J179=2,$J179=3,$J179=4,$J179=5,$J179=6,$J179=7),$E179*$I179/12*3,IF($J179=8,$E179*$I179/12*2,IF($J179=9,$E179*$I179/12*1,0)))))+IF(CF$5&lt;&gt;$H179,0,IF(CF179&gt;0,IF($J179=7,$E179*$I179/12*0,IF($J179=8,$E179*$I179/12*1,IF($J179=9,$E179*$I179/12*2,IF($J179&gt;=10,$E179*$I179/12*3,0))))))</f>
        <v>0</v>
      </c>
      <c r="CJ179" s="402">
        <f>IF($H179&lt;&gt;CK$5,0,IF(CK179&gt;0,IF(OR($J179=1,$J179=2,$J179=3,$J179=4,$J179=5,$J179=6,$J179=7,$J179=8,$J179=9,$J179=10),$E179*$I179/12*3,IF($J179=11,$E179*$I179/12*2,IF($J179=12,$E179*$I179/12*1,0)))))+IF(CF$5&lt;&gt;$H179,0,IF(CF179&gt;0,IF($J179=10,$E179*$I179/12*0,IF($J179=11,$E179*$I179/12*1,IF($J179=12,$E179*$I179/12*2,0)))))</f>
        <v>0</v>
      </c>
      <c r="CK179" s="403">
        <f>IF(AND(CF179&lt;&gt;0,CF$5=$H179),$I179*$E179-CF179,IF(CK$5=$H179,$I179*$E179*(12-$J179+1)/12,0))</f>
        <v>0</v>
      </c>
      <c r="CL179" s="400">
        <f>IF($H179&lt;&gt;CP$5,0,IF(CP179&gt;0,IF($J179=1,$E179*$I179/12*3,IF($J179=2,$E179*$I179/12*2,IF($J179=3,$E179*$I179/12*1,0)))))+IF(CK$5&lt;&gt;$H179,0,IF(CK179&gt;0,IF($J179=1,$E179*$I179/12*0,IF($J179=2,$E179*$I179/12*1,IF($J179=3,$E179*$I179/12*2,IF($J179&gt;=4,$E179*$I179/12*3,0))))))</f>
        <v>0</v>
      </c>
      <c r="CM179" s="406">
        <f>IF($H179&lt;&gt;CP$5,0,IF(CP179&gt;0,IF(OR($J179=1,$J179=2,$J179=3,$J179=4),$E179*$I179/12*3,IF($J179=5,$E179*$I179/12*2,IF($J179=6,$E179*$I179/12*1,0)))))+IF(CK$5&lt;&gt;$H179,0,IF(CK179&gt;0,IF($J179=4,$E179*$I179/12*0,IF($J179=5,$E179*$I179/12*1,IF($J179=6,$E179*$I179/12*2,IF($J179&gt;=7,$E179*$I179/12*3,0))))))</f>
        <v>0</v>
      </c>
      <c r="CN179" s="406">
        <f>IF($H179&lt;&gt;CP$5,0,IF(CP179&gt;0,IF(OR($J179=1,$J179=2,$J179=3,$J179=4,$J179=5,$J179=6,$J179=7),$E179*$I179/12*3,IF($J179=8,$E179*$I179/12*2,IF($J179=9,$E179*$I179/12*1,0)))))+IF(CK$5&lt;&gt;$H179,0,IF(CK179&gt;0,IF($J179=7,$E179*$I179/12*0,IF($J179=8,$E179*$I179/12*1,IF($J179=9,$E179*$I179/12*2,IF($J179&gt;=10,$E179*$I179/12*3,0))))))</f>
        <v>0</v>
      </c>
      <c r="CO179" s="402">
        <f>IF($H179&lt;&gt;CP$5,0,IF(CP179&gt;0,IF(OR($J179=1,$J179=2,$J179=3,$J179=4,$J179=5,$J179=6,$J179=7,$J179=8,$J179=9,$J179=10),$E179*$I179/12*3,IF($J179=11,$E179*$I179/12*2,IF($J179=12,$E179*$I179/12*1,0)))))+IF(CK$5&lt;&gt;$H179,0,IF(CK179&gt;0,IF($J179=10,$E179*$I179/12*0,IF($J179=11,$E179*$I179/12*1,IF($J179=12,$E179*$I179/12*2,0)))))</f>
        <v>0</v>
      </c>
      <c r="CP179" s="403">
        <f>IF(AND(CK179&lt;&gt;0,CK$5=$H179),$I179*$E179-CK179,IF(CP$5=$H179,$I179*$E179*(12-$J179+1)/12,0))</f>
        <v>0</v>
      </c>
      <c r="CQ179" s="400">
        <f>IF($H179&lt;&gt;CU$5,0,IF(CU179&gt;0,IF($J179=1,$E179*$I179/12*3,IF($J179=2,$E179*$I179/12*2,IF($J179=3,$E179*$I179/12*1,0)))))+IF(CP$5&lt;&gt;$H179,0,IF(CP179&gt;0,IF($J179=1,$E179*$I179/12*0,IF($J179=2,$E179*$I179/12*1,IF($J179=3,$E179*$I179/12*2,IF($J179&gt;=4,$E179*$I179/12*3,0))))))</f>
        <v>0</v>
      </c>
      <c r="CR179" s="406">
        <f>IF($H179&lt;&gt;CU$5,0,IF(CU179&gt;0,IF(OR($J179=1,$J179=2,$J179=3,$J179=4),$E179*$I179/12*3,IF($J179=5,$E179*$I179/12*2,IF($J179=6,$E179*$I179/12*1,0)))))+IF(CP$5&lt;&gt;$H179,0,IF(CP179&gt;0,IF($J179=4,$E179*$I179/12*0,IF($J179=5,$E179*$I179/12*1,IF($J179=6,$E179*$I179/12*2,IF($J179&gt;=7,$E179*$I179/12*3,0))))))</f>
        <v>0</v>
      </c>
      <c r="CS179" s="406">
        <f>IF($H179&lt;&gt;CU$5,0,IF(CU179&gt;0,IF(OR($J179=1,$J179=2,$J179=3,$J179=4,$J179=5,$J179=6,$J179=7),$E179*$I179/12*3,IF($J179=8,$E179*$I179/12*2,IF($J179=9,$E179*$I179/12*1,0)))))+IF(CP$5&lt;&gt;$H179,0,IF(CP179&gt;0,IF($J179=7,$E179*$I179/12*0,IF($J179=8,$E179*$I179/12*1,IF($J179=9,$E179*$I179/12*2,IF($J179&gt;=10,$E179*$I179/12*3,0))))))</f>
        <v>0</v>
      </c>
      <c r="CT179" s="402">
        <f>IF($H179&lt;&gt;CU$5,0,IF(CU179&gt;0,IF(OR($J179=1,$J179=2,$J179=3,$J179=4,$J179=5,$J179=6,$J179=7,$J179=8,$J179=9,$J179=10),$E179*$I179/12*3,IF($J179=11,$E179*$I179/12*2,IF($J179=12,$E179*$I179/12*1,0)))))+IF(CP$5&lt;&gt;$H179,0,IF(CP179&gt;0,IF($J179=10,$E179*$I179/12*0,IF($J179=11,$E179*$I179/12*1,IF($J179=12,$E179*$I179/12*2,0)))))</f>
        <v>0</v>
      </c>
      <c r="CU179" s="403">
        <f>IF(AND(CP179&lt;&gt;0,CP$5=$H179),$I179*$E179-CP179,IF(CU$5=$H179,$I179*$E179*(12-$J179+1)/12,0))</f>
        <v>0</v>
      </c>
      <c r="CV179" s="400">
        <f>IF($H179&lt;&gt;CZ$5,0,IF(CZ179&gt;0,IF($J179=1,$E179*$I179/12*3,IF($J179=2,$E179*$I179/12*2,IF($J179=3,$E179*$I179/12*1,0)))))+IF(CU$5&lt;&gt;$H179,0,IF(CU179&gt;0,IF($J179=1,$E179*$I179/12*0,IF($J179=2,$E179*$I179/12*1,IF($J179=3,$E179*$I179/12*2,IF($J179&gt;=4,$E179*$I179/12*3,0))))))</f>
        <v>0</v>
      </c>
      <c r="CW179" s="406">
        <f>IF($H179&lt;&gt;CZ$5,0,IF(CZ179&gt;0,IF(OR($J179=1,$J179=2,$J179=3,$J179=4),$E179*$I179/12*3,IF($J179=5,$E179*$I179/12*2,IF($J179=6,$E179*$I179/12*1,0)))))+IF(CU$5&lt;&gt;$H179,0,IF(CU179&gt;0,IF($J179=4,$E179*$I179/12*0,IF($J179=5,$E179*$I179/12*1,IF($J179=6,$E179*$I179/12*2,IF($J179&gt;=7,$E179*$I179/12*3,0))))))</f>
        <v>0</v>
      </c>
      <c r="CX179" s="406">
        <f>IF($H179&lt;&gt;CZ$5,0,IF(CZ179&gt;0,IF(OR($J179=1,$J179=2,$J179=3,$J179=4,$J179=5,$J179=6,$J179=7),$E179*$I179/12*3,IF($J179=8,$E179*$I179/12*2,IF($J179=9,$E179*$I179/12*1,0)))))+IF(CU$5&lt;&gt;$H179,0,IF(CU179&gt;0,IF($J179=7,$E179*$I179/12*0,IF($J179=8,$E179*$I179/12*1,IF($J179=9,$E179*$I179/12*2,IF($J179&gt;=10,$E179*$I179/12*3,0))))))</f>
        <v>0</v>
      </c>
      <c r="CY179" s="402">
        <f>IF($H179&lt;&gt;CZ$5,0,IF(CZ179&gt;0,IF(OR($J179=1,$J179=2,$J179=3,$J179=4,$J179=5,$J179=6,$J179=7,$J179=8,$J179=9,$J179=10),$E179*$I179/12*3,IF($J179=11,$E179*$I179/12*2,IF($J179=12,$E179*$I179/12*1,0)))))+IF(CU$5&lt;&gt;$H179,0,IF(CU179&gt;0,IF($J179=10,$E179*$I179/12*0,IF($J179=11,$E179*$I179/12*1,IF($J179=12,$E179*$I179/12*2,0)))))</f>
        <v>0</v>
      </c>
      <c r="CZ179" s="403">
        <f>IF(AND(CU179&lt;&gt;0,CU$5=$H179),$I179*$E179-CU179,IF(CZ$5=$H179,$I179*$E179*(12-$J179+1)/12,0))</f>
        <v>0</v>
      </c>
      <c r="DA179" s="400">
        <f>IF($H179&lt;&gt;DE$5,0,IF(DE179&gt;0,IF($J179=1,$E179*$I179/12*3,IF($J179=2,$E179*$I179/12*2,IF($J179=3,$E179*$I179/12*1,0)))))+IF(CZ$5&lt;&gt;$H179,0,IF(CZ179&gt;0,IF($J179=1,$E179*$I179/12*0,IF($J179=2,$E179*$I179/12*1,IF($J179=3,$E179*$I179/12*2,IF($J179&gt;=4,$E179*$I179/12*3,0))))))</f>
        <v>0</v>
      </c>
      <c r="DB179" s="406">
        <f>IF($H179&lt;&gt;DE$5,0,IF(DE179&gt;0,IF(OR($J179=1,$J179=2,$J179=3,$J179=4),$E179*$I179/12*3,IF($J179=5,$E179*$I179/12*2,IF($J179=6,$E179*$I179/12*1,0)))))+IF(CZ$5&lt;&gt;$H179,0,IF(CZ179&gt;0,IF($J179=4,$E179*$I179/12*0,IF($J179=5,$E179*$I179/12*1,IF($J179=6,$E179*$I179/12*2,IF($J179&gt;=7,$E179*$I179/12*3,0))))))</f>
        <v>0</v>
      </c>
      <c r="DC179" s="406">
        <f>IF($H179&lt;&gt;DE$5,0,IF(DE179&gt;0,IF(OR($J179=1,$J179=2,$J179=3,$J179=4,$J179=5,$J179=6,$J179=7),$E179*$I179/12*3,IF($J179=8,$E179*$I179/12*2,IF($J179=9,$E179*$I179/12*1,0)))))+IF(CZ$5&lt;&gt;$H179,0,IF(CZ179&gt;0,IF($J179=7,$E179*$I179/12*0,IF($J179=8,$E179*$I179/12*1,IF($J179=9,$E179*$I179/12*2,IF($J179&gt;=10,$E179*$I179/12*3,0))))))</f>
        <v>0</v>
      </c>
      <c r="DD179" s="402">
        <f>IF($H179&lt;&gt;DE$5,0,IF(DE179&gt;0,IF(OR($J179=1,$J179=2,$J179=3,$J179=4,$J179=5,$J179=6,$J179=7,$J179=8,$J179=9,$J179=10),$E179*$I179/12*3,IF($J179=11,$E179*$I179/12*2,IF($J179=12,$E179*$I179/12*1,0)))))+IF(CZ$5&lt;&gt;$H179,0,IF(CZ179&gt;0,IF($J179=10,$E179*$I179/12*0,IF($J179=11,$E179*$I179/12*1,IF($J179=12,$E179*$I179/12*2,0)))))</f>
        <v>0</v>
      </c>
      <c r="DE179" s="403">
        <f>IF(AND(CZ179&lt;&gt;0,CZ$5=$H179),$I179*$E179-CZ179,IF(DE$5=$H179,$I179*$E179*(12-$J179+1)/12,0))</f>
        <v>0</v>
      </c>
      <c r="DF179" s="400">
        <f>IF($H179&lt;&gt;DJ$5,0,IF(DJ179&gt;0,IF($J179=1,$E179*$I179/12*3,IF($J179=2,$E179*$I179/12*2,IF($J179=3,$E179*$I179/12*1,0)))))+IF(DE$5&lt;&gt;$H179,0,IF(DE179&gt;0,IF($J179=1,$E179*$I179/12*0,IF($J179=2,$E179*$I179/12*1,IF($J179=3,$E179*$I179/12*2,IF($J179&gt;=4,$E179*$I179/12*3,0))))))</f>
        <v>0</v>
      </c>
      <c r="DG179" s="406">
        <f>IF($H179&lt;&gt;DJ$5,0,IF(DJ179&gt;0,IF(OR($J179=1,$J179=2,$J179=3,$J179=4),$E179*$I179/12*3,IF($J179=5,$E179*$I179/12*2,IF($J179=6,$E179*$I179/12*1,0)))))+IF(DE$5&lt;&gt;$H179,0,IF(DE179&gt;0,IF($J179=4,$E179*$I179/12*0,IF($J179=5,$E179*$I179/12*1,IF($J179=6,$E179*$I179/12*2,IF($J179&gt;=7,$E179*$I179/12*3,0))))))</f>
        <v>0</v>
      </c>
      <c r="DH179" s="406">
        <f>IF($H179&lt;&gt;DJ$5,0,IF(DJ179&gt;0,IF(OR($J179=1,$J179=2,$J179=3,$J179=4,$J179=5,$J179=6,$J179=7),$E179*$I179/12*3,IF($J179=8,$E179*$I179/12*2,IF($J179=9,$E179*$I179/12*1,0)))))+IF(DE$5&lt;&gt;$H179,0,IF(DE179&gt;0,IF($J179=7,$E179*$I179/12*0,IF($J179=8,$E179*$I179/12*1,IF($J179=9,$E179*$I179/12*2,IF($J179&gt;=10,$E179*$I179/12*3,0))))))</f>
        <v>0</v>
      </c>
      <c r="DI179" s="402">
        <f>IF($H179&lt;&gt;DJ$5,0,IF(DJ179&gt;0,IF(OR($J179=1,$J179=2,$J179=3,$J179=4,$J179=5,$J179=6,$J179=7,$J179=8,$J179=9,$J179=10),$E179*$I179/12*3,IF($J179=11,$E179*$I179/12*2,IF($J179=12,$E179*$I179/12*1,0)))))+IF(DE$5&lt;&gt;$H179,0,IF(DE179&gt;0,IF($J179=10,$E179*$I179/12*0,IF($J179=11,$E179*$I179/12*1,IF($J179=12,$E179*$I179/12*2,0)))))</f>
        <v>0</v>
      </c>
      <c r="DJ179" s="403">
        <f>IF(AND(DE179&lt;&gt;0,DE$5=$H179),$I179*$E179-DE179,IF(DJ$5=$H179,$I179*$E179*(12-$J179+1)/12,0))</f>
        <v>0</v>
      </c>
      <c r="DK179" s="400">
        <f>IF($H179&lt;&gt;DO$5,0,IF(DO179&gt;0,IF($J179=1,$E179*$I179/12*3,IF($J179=2,$E179*$I179/12*2,IF($J179=3,$E179*$I179/12*1,0)))))+IF(DJ$5&lt;&gt;$H179,0,IF(DJ179&gt;0,IF($J179=1,$E179*$I179/12*0,IF($J179=2,$E179*$I179/12*1,IF($J179=3,$E179*$I179/12*2,IF($J179&gt;=4,$E179*$I179/12*3,0))))))</f>
        <v>0</v>
      </c>
      <c r="DL179" s="406">
        <f>IF($H179&lt;&gt;DO$5,0,IF(DO179&gt;0,IF(OR($J179=1,$J179=2,$J179=3,$J179=4),$E179*$I179/12*3,IF($J179=5,$E179*$I179/12*2,IF($J179=6,$E179*$I179/12*1,0)))))+IF(DJ$5&lt;&gt;$H179,0,IF(DJ179&gt;0,IF($J179=4,$E179*$I179/12*0,IF($J179=5,$E179*$I179/12*1,IF($J179=6,$E179*$I179/12*2,IF($J179&gt;=7,$E179*$I179/12*3,0))))))</f>
        <v>0</v>
      </c>
      <c r="DM179" s="406">
        <f>IF($H179&lt;&gt;DO$5,0,IF(DO179&gt;0,IF(OR($J179=1,$J179=2,$J179=3,$J179=4,$J179=5,$J179=6,$J179=7),$E179*$I179/12*3,IF($J179=8,$E179*$I179/12*2,IF($J179=9,$E179*$I179/12*1,0)))))+IF(DJ$5&lt;&gt;$H179,0,IF(DJ179&gt;0,IF($J179=7,$E179*$I179/12*0,IF($J179=8,$E179*$I179/12*1,IF($J179=9,$E179*$I179/12*2,IF($J179&gt;=10,$E179*$I179/12*3,0))))))</f>
        <v>0</v>
      </c>
      <c r="DN179" s="402">
        <f>IF($H179&lt;&gt;DO$5,0,IF(DO179&gt;0,IF(OR($J179=1,$J179=2,$J179=3,$J179=4,$J179=5,$J179=6,$J179=7,$J179=8,$J179=9,$J179=10),$E179*$I179/12*3,IF($J179=11,$E179*$I179/12*2,IF($J179=12,$E179*$I179/12*1,0)))))+IF(DJ$5&lt;&gt;$H179,0,IF(DJ179&gt;0,IF($J179=10,$E179*$I179/12*0,IF($J179=11,$E179*$I179/12*1,IF($J179=12,$E179*$I179/12*2,0)))))</f>
        <v>0</v>
      </c>
      <c r="DO179" s="403">
        <f>IF(AND(DJ179&lt;&gt;0,DJ$5=$H179),$I179*$E179-DJ179,IF(DO$5=$H179,$I179*$E179*(12-$J179+1)/12,0))</f>
        <v>0</v>
      </c>
      <c r="DP179" s="400">
        <f>IF($H179&lt;&gt;DT$5,0,IF(DT179&gt;0,IF($J179=1,$E179*$I179/12*3,IF($J179=2,$E179*$I179/12*2,IF($J179=3,$E179*$I179/12*1,0)))))+IF(DO$5&lt;&gt;$H179,0,IF(DO179&gt;0,IF($J179=1,$E179*$I179/12*0,IF($J179=2,$E179*$I179/12*1,IF($J179=3,$E179*$I179/12*2,IF($J179&gt;=4,$E179*$I179/12*3,0))))))</f>
        <v>0</v>
      </c>
      <c r="DQ179" s="406">
        <f>IF($H179&lt;&gt;DT$5,0,IF(DT179&gt;0,IF(OR($J179=1,$J179=2,$J179=3,$J179=4),$E179*$I179/12*3,IF($J179=5,$E179*$I179/12*2,IF($J179=6,$E179*$I179/12*1,0)))))+IF(DO$5&lt;&gt;$H179,0,IF(DO179&gt;0,IF($J179=4,$E179*$I179/12*0,IF($J179=5,$E179*$I179/12*1,IF($J179=6,$E179*$I179/12*2,IF($J179&gt;=7,$E179*$I179/12*3,0))))))</f>
        <v>0</v>
      </c>
      <c r="DR179" s="406">
        <f>IF($H179&lt;&gt;DT$5,0,IF(DT179&gt;0,IF(OR($J179=1,$J179=2,$J179=3,$J179=4,$J179=5,$J179=6,$J179=7),$E179*$I179/12*3,IF($J179=8,$E179*$I179/12*2,IF($J179=9,$E179*$I179/12*1,0)))))+IF(DO$5&lt;&gt;$H179,0,IF(DO179&gt;0,IF($J179=7,$E179*$I179/12*0,IF($J179=8,$E179*$I179/12*1,IF($J179=9,$E179*$I179/12*2,IF($J179&gt;=10,$E179*$I179/12*3,0))))))</f>
        <v>0</v>
      </c>
      <c r="DS179" s="402">
        <f>IF($H179&lt;&gt;DT$5,0,IF(DT179&gt;0,IF(OR($J179=1,$J179=2,$J179=3,$J179=4,$J179=5,$J179=6,$J179=7,$J179=8,$J179=9,$J179=10),$E179*$I179/12*3,IF($J179=11,$E179*$I179/12*2,IF($J179=12,$E179*$I179/12*1,0)))))+IF(DO$5&lt;&gt;$H179,0,IF(DO179&gt;0,IF($J179=10,$E179*$I179/12*0,IF($J179=11,$E179*$I179/12*1,IF($J179=12,$E179*$I179/12*2,0)))))</f>
        <v>0</v>
      </c>
      <c r="DT179" s="403">
        <f>IF(AND(DO179&lt;&gt;0,DO$5=$H179),$I179*$E179-DO179,IF(DT$5=$H179,$I179*$E179*(12-$J179+1)/12,0))</f>
        <v>0</v>
      </c>
    </row>
    <row r="180" spans="1:124" s="278" customFormat="1" ht="12.75" customHeight="1" x14ac:dyDescent="0.2">
      <c r="A180"/>
      <c r="B180"/>
      <c r="C180" s="589" t="s">
        <v>170</v>
      </c>
      <c r="D180" s="589"/>
      <c r="E180" s="604">
        <f>SUM(E178:E179)</f>
        <v>0</v>
      </c>
      <c r="F180" s="590">
        <f>SUM(F178:F179)</f>
        <v>0</v>
      </c>
      <c r="G180" s="590">
        <f>SUM(G178:G179)</f>
        <v>0</v>
      </c>
      <c r="H180" s="591"/>
      <c r="I180" s="592"/>
      <c r="J180" s="593"/>
      <c r="K180" s="594"/>
      <c r="L180" s="595">
        <f>SUM(L178:L179)</f>
        <v>0</v>
      </c>
      <c r="M180" s="596">
        <f t="shared" ref="M180:AK180" si="1447">SUM(M178:M179)</f>
        <v>0</v>
      </c>
      <c r="N180" s="597">
        <f t="shared" si="1447"/>
        <v>0</v>
      </c>
      <c r="O180" s="597">
        <f t="shared" si="1447"/>
        <v>0</v>
      </c>
      <c r="P180" s="598">
        <f t="shared" si="1447"/>
        <v>0</v>
      </c>
      <c r="Q180" s="595">
        <f t="shared" si="1447"/>
        <v>0</v>
      </c>
      <c r="R180" s="596">
        <f t="shared" si="1447"/>
        <v>0</v>
      </c>
      <c r="S180" s="597">
        <f t="shared" si="1447"/>
        <v>0</v>
      </c>
      <c r="T180" s="597">
        <f t="shared" si="1447"/>
        <v>0</v>
      </c>
      <c r="U180" s="598">
        <f t="shared" si="1447"/>
        <v>0</v>
      </c>
      <c r="V180" s="595">
        <f t="shared" si="1447"/>
        <v>0</v>
      </c>
      <c r="W180" s="596">
        <f t="shared" si="1447"/>
        <v>0</v>
      </c>
      <c r="X180" s="597">
        <f t="shared" si="1447"/>
        <v>0</v>
      </c>
      <c r="Y180" s="597">
        <f t="shared" si="1447"/>
        <v>0</v>
      </c>
      <c r="Z180" s="598">
        <f t="shared" si="1447"/>
        <v>0</v>
      </c>
      <c r="AA180" s="595">
        <f t="shared" si="1447"/>
        <v>0</v>
      </c>
      <c r="AB180" s="596">
        <f t="shared" si="1447"/>
        <v>0</v>
      </c>
      <c r="AC180" s="597">
        <f t="shared" si="1447"/>
        <v>0</v>
      </c>
      <c r="AD180" s="597">
        <f t="shared" si="1447"/>
        <v>0</v>
      </c>
      <c r="AE180" s="598">
        <f t="shared" si="1447"/>
        <v>0</v>
      </c>
      <c r="AF180" s="595">
        <f t="shared" si="1447"/>
        <v>0</v>
      </c>
      <c r="AG180" s="596">
        <f t="shared" si="1447"/>
        <v>0</v>
      </c>
      <c r="AH180" s="597">
        <f t="shared" si="1447"/>
        <v>0</v>
      </c>
      <c r="AI180" s="597">
        <f t="shared" si="1447"/>
        <v>0</v>
      </c>
      <c r="AJ180" s="598">
        <f t="shared" si="1447"/>
        <v>0</v>
      </c>
      <c r="AK180" s="595">
        <f t="shared" si="1447"/>
        <v>0</v>
      </c>
      <c r="AL180" s="596">
        <f t="shared" ref="AL180:AU180" si="1448">SUM(AL178:AL179)</f>
        <v>0</v>
      </c>
      <c r="AM180" s="597">
        <f t="shared" si="1448"/>
        <v>0</v>
      </c>
      <c r="AN180" s="597">
        <f t="shared" si="1448"/>
        <v>0</v>
      </c>
      <c r="AO180" s="598">
        <f t="shared" si="1448"/>
        <v>0</v>
      </c>
      <c r="AP180" s="595">
        <f t="shared" si="1448"/>
        <v>0</v>
      </c>
      <c r="AQ180" s="596">
        <f t="shared" si="1448"/>
        <v>0</v>
      </c>
      <c r="AR180" s="597">
        <f t="shared" si="1448"/>
        <v>0</v>
      </c>
      <c r="AS180" s="597">
        <f t="shared" si="1448"/>
        <v>0</v>
      </c>
      <c r="AT180" s="598">
        <f t="shared" si="1448"/>
        <v>0</v>
      </c>
      <c r="AU180" s="595">
        <f t="shared" si="1448"/>
        <v>0</v>
      </c>
      <c r="AV180" s="596">
        <f t="shared" ref="AV180:BE180" si="1449">SUM(AV178:AV179)</f>
        <v>0</v>
      </c>
      <c r="AW180" s="597">
        <f t="shared" si="1449"/>
        <v>0</v>
      </c>
      <c r="AX180" s="597">
        <f t="shared" si="1449"/>
        <v>0</v>
      </c>
      <c r="AY180" s="598">
        <f t="shared" si="1449"/>
        <v>0</v>
      </c>
      <c r="AZ180" s="595">
        <f t="shared" si="1449"/>
        <v>0</v>
      </c>
      <c r="BA180" s="596">
        <f t="shared" si="1449"/>
        <v>0</v>
      </c>
      <c r="BB180" s="597">
        <f t="shared" si="1449"/>
        <v>0</v>
      </c>
      <c r="BC180" s="597">
        <f t="shared" si="1449"/>
        <v>0</v>
      </c>
      <c r="BD180" s="598">
        <f t="shared" si="1449"/>
        <v>0</v>
      </c>
      <c r="BE180" s="595">
        <f t="shared" si="1449"/>
        <v>0</v>
      </c>
      <c r="BF180" s="596">
        <f t="shared" ref="BF180:BO180" si="1450">SUM(BF178:BF179)</f>
        <v>0</v>
      </c>
      <c r="BG180" s="597">
        <f t="shared" si="1450"/>
        <v>0</v>
      </c>
      <c r="BH180" s="597">
        <f t="shared" si="1450"/>
        <v>0</v>
      </c>
      <c r="BI180" s="598">
        <f t="shared" si="1450"/>
        <v>0</v>
      </c>
      <c r="BJ180" s="595">
        <f t="shared" si="1450"/>
        <v>0</v>
      </c>
      <c r="BK180" s="596">
        <f t="shared" si="1450"/>
        <v>0</v>
      </c>
      <c r="BL180" s="597">
        <f t="shared" si="1450"/>
        <v>0</v>
      </c>
      <c r="BM180" s="597">
        <f t="shared" si="1450"/>
        <v>0</v>
      </c>
      <c r="BN180" s="598">
        <f t="shared" si="1450"/>
        <v>0</v>
      </c>
      <c r="BO180" s="595">
        <f t="shared" si="1450"/>
        <v>0</v>
      </c>
      <c r="BP180" s="599"/>
      <c r="BQ180" s="600">
        <f t="shared" ref="BQ180:CP180" si="1451">SUM(BQ178:BQ179)</f>
        <v>0</v>
      </c>
      <c r="BR180" s="601">
        <f t="shared" si="1451"/>
        <v>0</v>
      </c>
      <c r="BS180" s="602">
        <f t="shared" si="1451"/>
        <v>0</v>
      </c>
      <c r="BT180" s="602">
        <f t="shared" si="1451"/>
        <v>0</v>
      </c>
      <c r="BU180" s="603">
        <f t="shared" si="1451"/>
        <v>0</v>
      </c>
      <c r="BV180" s="600">
        <f t="shared" si="1451"/>
        <v>0</v>
      </c>
      <c r="BW180" s="601">
        <f t="shared" si="1451"/>
        <v>0</v>
      </c>
      <c r="BX180" s="602">
        <f t="shared" si="1451"/>
        <v>0</v>
      </c>
      <c r="BY180" s="602">
        <f t="shared" si="1451"/>
        <v>0</v>
      </c>
      <c r="BZ180" s="603">
        <f t="shared" si="1451"/>
        <v>0</v>
      </c>
      <c r="CA180" s="600">
        <f t="shared" si="1451"/>
        <v>0</v>
      </c>
      <c r="CB180" s="601">
        <f t="shared" si="1451"/>
        <v>0</v>
      </c>
      <c r="CC180" s="602">
        <f t="shared" si="1451"/>
        <v>0</v>
      </c>
      <c r="CD180" s="602">
        <f t="shared" si="1451"/>
        <v>0</v>
      </c>
      <c r="CE180" s="603">
        <f t="shared" si="1451"/>
        <v>0</v>
      </c>
      <c r="CF180" s="600">
        <f t="shared" si="1451"/>
        <v>0</v>
      </c>
      <c r="CG180" s="601">
        <f t="shared" si="1451"/>
        <v>0</v>
      </c>
      <c r="CH180" s="602">
        <f t="shared" si="1451"/>
        <v>0</v>
      </c>
      <c r="CI180" s="602">
        <f t="shared" si="1451"/>
        <v>0</v>
      </c>
      <c r="CJ180" s="603">
        <f t="shared" si="1451"/>
        <v>0</v>
      </c>
      <c r="CK180" s="600">
        <f t="shared" si="1451"/>
        <v>0</v>
      </c>
      <c r="CL180" s="601">
        <f t="shared" si="1451"/>
        <v>0</v>
      </c>
      <c r="CM180" s="602">
        <f t="shared" si="1451"/>
        <v>0</v>
      </c>
      <c r="CN180" s="602">
        <f t="shared" si="1451"/>
        <v>0</v>
      </c>
      <c r="CO180" s="603">
        <f t="shared" si="1451"/>
        <v>0</v>
      </c>
      <c r="CP180" s="600">
        <f t="shared" si="1451"/>
        <v>0</v>
      </c>
      <c r="CQ180" s="601">
        <f t="shared" ref="CQ180:CZ180" si="1452">SUM(CQ178:CQ179)</f>
        <v>0</v>
      </c>
      <c r="CR180" s="602">
        <f t="shared" si="1452"/>
        <v>0</v>
      </c>
      <c r="CS180" s="602">
        <f t="shared" si="1452"/>
        <v>0</v>
      </c>
      <c r="CT180" s="603">
        <f t="shared" si="1452"/>
        <v>0</v>
      </c>
      <c r="CU180" s="600">
        <f t="shared" si="1452"/>
        <v>0</v>
      </c>
      <c r="CV180" s="601">
        <f t="shared" si="1452"/>
        <v>0</v>
      </c>
      <c r="CW180" s="602">
        <f t="shared" si="1452"/>
        <v>0</v>
      </c>
      <c r="CX180" s="602">
        <f t="shared" si="1452"/>
        <v>0</v>
      </c>
      <c r="CY180" s="603">
        <f t="shared" si="1452"/>
        <v>0</v>
      </c>
      <c r="CZ180" s="600">
        <f t="shared" si="1452"/>
        <v>0</v>
      </c>
      <c r="DA180" s="601">
        <f t="shared" ref="DA180:DJ180" si="1453">SUM(DA178:DA179)</f>
        <v>0</v>
      </c>
      <c r="DB180" s="602">
        <f t="shared" si="1453"/>
        <v>0</v>
      </c>
      <c r="DC180" s="602">
        <f t="shared" si="1453"/>
        <v>0</v>
      </c>
      <c r="DD180" s="603">
        <f t="shared" si="1453"/>
        <v>0</v>
      </c>
      <c r="DE180" s="600">
        <f t="shared" si="1453"/>
        <v>0</v>
      </c>
      <c r="DF180" s="601">
        <f t="shared" si="1453"/>
        <v>0</v>
      </c>
      <c r="DG180" s="602">
        <f t="shared" si="1453"/>
        <v>0</v>
      </c>
      <c r="DH180" s="602">
        <f t="shared" si="1453"/>
        <v>0</v>
      </c>
      <c r="DI180" s="603">
        <f t="shared" si="1453"/>
        <v>0</v>
      </c>
      <c r="DJ180" s="600">
        <f t="shared" si="1453"/>
        <v>0</v>
      </c>
      <c r="DK180" s="601">
        <f t="shared" ref="DK180:DT180" si="1454">SUM(DK178:DK179)</f>
        <v>0</v>
      </c>
      <c r="DL180" s="602">
        <f t="shared" si="1454"/>
        <v>0</v>
      </c>
      <c r="DM180" s="602">
        <f t="shared" si="1454"/>
        <v>0</v>
      </c>
      <c r="DN180" s="603">
        <f t="shared" si="1454"/>
        <v>0</v>
      </c>
      <c r="DO180" s="600">
        <f t="shared" si="1454"/>
        <v>0</v>
      </c>
      <c r="DP180" s="601">
        <f t="shared" si="1454"/>
        <v>0</v>
      </c>
      <c r="DQ180" s="602">
        <f t="shared" si="1454"/>
        <v>0</v>
      </c>
      <c r="DR180" s="602">
        <f t="shared" si="1454"/>
        <v>0</v>
      </c>
      <c r="DS180" s="603">
        <f t="shared" si="1454"/>
        <v>0</v>
      </c>
      <c r="DT180" s="600">
        <f t="shared" si="1454"/>
        <v>0</v>
      </c>
    </row>
    <row r="181" spans="1:124" ht="12.75" customHeight="1" x14ac:dyDescent="0.2">
      <c r="C181" s="26"/>
      <c r="D181" s="26"/>
      <c r="E181" s="530"/>
      <c r="F181" s="537"/>
      <c r="G181" s="537"/>
      <c r="H181" s="580"/>
      <c r="I181" s="390"/>
      <c r="J181" s="391"/>
      <c r="K181" s="392"/>
      <c r="L181" s="393"/>
      <c r="M181" s="394"/>
      <c r="N181" s="395"/>
      <c r="O181" s="395"/>
      <c r="P181" s="396"/>
      <c r="Q181" s="397"/>
      <c r="R181" s="394"/>
      <c r="S181" s="395"/>
      <c r="T181" s="395"/>
      <c r="U181" s="396"/>
      <c r="V181" s="397"/>
      <c r="W181" s="394"/>
      <c r="X181" s="395"/>
      <c r="Y181" s="395"/>
      <c r="Z181" s="396"/>
      <c r="AA181" s="397"/>
      <c r="AB181" s="394"/>
      <c r="AC181" s="395"/>
      <c r="AD181" s="395"/>
      <c r="AE181" s="396"/>
      <c r="AF181" s="397"/>
      <c r="AG181" s="394"/>
      <c r="AH181" s="395"/>
      <c r="AI181" s="395"/>
      <c r="AJ181" s="396"/>
      <c r="AK181" s="397"/>
      <c r="AL181" s="394"/>
      <c r="AM181" s="395"/>
      <c r="AN181" s="395"/>
      <c r="AO181" s="396"/>
      <c r="AP181" s="397"/>
      <c r="AQ181" s="394"/>
      <c r="AR181" s="395"/>
      <c r="AS181" s="395"/>
      <c r="AT181" s="396"/>
      <c r="AU181" s="397"/>
      <c r="AV181" s="394"/>
      <c r="AW181" s="395"/>
      <c r="AX181" s="395"/>
      <c r="AY181" s="396"/>
      <c r="AZ181" s="397"/>
      <c r="BA181" s="394"/>
      <c r="BB181" s="395"/>
      <c r="BC181" s="395"/>
      <c r="BD181" s="396"/>
      <c r="BE181" s="397"/>
      <c r="BF181" s="394"/>
      <c r="BG181" s="395"/>
      <c r="BH181" s="395"/>
      <c r="BI181" s="396"/>
      <c r="BJ181" s="397"/>
      <c r="BK181" s="394"/>
      <c r="BL181" s="395"/>
      <c r="BM181" s="395"/>
      <c r="BN181" s="396"/>
      <c r="BO181" s="397"/>
      <c r="BP181" s="452"/>
      <c r="BQ181" s="399"/>
      <c r="BR181" s="400"/>
      <c r="BS181" s="401"/>
      <c r="BT181" s="401"/>
      <c r="BU181" s="402"/>
      <c r="BV181" s="403"/>
      <c r="BW181" s="400"/>
      <c r="BX181" s="401"/>
      <c r="BY181" s="401"/>
      <c r="BZ181" s="402"/>
      <c r="CA181" s="403"/>
      <c r="CB181" s="400"/>
      <c r="CC181" s="401"/>
      <c r="CD181" s="401"/>
      <c r="CE181" s="402"/>
      <c r="CF181" s="403"/>
      <c r="CG181" s="400"/>
      <c r="CH181" s="401"/>
      <c r="CI181" s="401"/>
      <c r="CJ181" s="402"/>
      <c r="CK181" s="403"/>
      <c r="CL181" s="400"/>
      <c r="CM181" s="401"/>
      <c r="CN181" s="401"/>
      <c r="CO181" s="402"/>
      <c r="CP181" s="403"/>
      <c r="CQ181" s="400"/>
      <c r="CR181" s="401"/>
      <c r="CS181" s="401"/>
      <c r="CT181" s="402"/>
      <c r="CU181" s="403"/>
      <c r="CV181" s="400"/>
      <c r="CW181" s="401"/>
      <c r="CX181" s="401"/>
      <c r="CY181" s="402"/>
      <c r="CZ181" s="403"/>
      <c r="DA181" s="400"/>
      <c r="DB181" s="401"/>
      <c r="DC181" s="401"/>
      <c r="DD181" s="402"/>
      <c r="DE181" s="403"/>
      <c r="DF181" s="400"/>
      <c r="DG181" s="401"/>
      <c r="DH181" s="401"/>
      <c r="DI181" s="402"/>
      <c r="DJ181" s="403"/>
      <c r="DK181" s="400"/>
      <c r="DL181" s="401"/>
      <c r="DM181" s="401"/>
      <c r="DN181" s="402"/>
      <c r="DO181" s="403"/>
      <c r="DP181" s="400"/>
      <c r="DQ181" s="401"/>
      <c r="DR181" s="401"/>
      <c r="DS181" s="402"/>
      <c r="DT181" s="403"/>
    </row>
    <row r="182" spans="1:124" ht="12.75" customHeight="1" x14ac:dyDescent="0.2">
      <c r="A182" s="26"/>
      <c r="B182" s="26"/>
      <c r="C182" s="26" t="s">
        <v>334</v>
      </c>
      <c r="D182" s="26"/>
      <c r="E182" s="535"/>
      <c r="F182" s="705"/>
      <c r="G182" s="705"/>
      <c r="H182" s="587"/>
      <c r="I182" s="506"/>
      <c r="J182" s="507"/>
      <c r="K182" s="462"/>
      <c r="L182" s="424">
        <f t="shared" ref="L182:AK182" si="1455">+L180+L175</f>
        <v>0</v>
      </c>
      <c r="M182" s="425">
        <f t="shared" si="1455"/>
        <v>0</v>
      </c>
      <c r="N182" s="426">
        <f t="shared" si="1455"/>
        <v>0</v>
      </c>
      <c r="O182" s="426">
        <f t="shared" si="1455"/>
        <v>0</v>
      </c>
      <c r="P182" s="427">
        <f t="shared" si="1455"/>
        <v>0</v>
      </c>
      <c r="Q182" s="424">
        <f t="shared" si="1455"/>
        <v>0</v>
      </c>
      <c r="R182" s="425">
        <f t="shared" si="1455"/>
        <v>0</v>
      </c>
      <c r="S182" s="426">
        <f t="shared" si="1455"/>
        <v>0</v>
      </c>
      <c r="T182" s="426">
        <f t="shared" si="1455"/>
        <v>0</v>
      </c>
      <c r="U182" s="427">
        <f t="shared" si="1455"/>
        <v>0</v>
      </c>
      <c r="V182" s="424">
        <f t="shared" si="1455"/>
        <v>0</v>
      </c>
      <c r="W182" s="425">
        <f t="shared" si="1455"/>
        <v>0</v>
      </c>
      <c r="X182" s="426">
        <f t="shared" si="1455"/>
        <v>0</v>
      </c>
      <c r="Y182" s="426">
        <f t="shared" si="1455"/>
        <v>0</v>
      </c>
      <c r="Z182" s="427">
        <f t="shared" si="1455"/>
        <v>0</v>
      </c>
      <c r="AA182" s="424">
        <f t="shared" si="1455"/>
        <v>0</v>
      </c>
      <c r="AB182" s="425">
        <f t="shared" si="1455"/>
        <v>0</v>
      </c>
      <c r="AC182" s="426">
        <f t="shared" si="1455"/>
        <v>0</v>
      </c>
      <c r="AD182" s="426">
        <f t="shared" si="1455"/>
        <v>0</v>
      </c>
      <c r="AE182" s="427">
        <f t="shared" si="1455"/>
        <v>0</v>
      </c>
      <c r="AF182" s="424">
        <f t="shared" si="1455"/>
        <v>0</v>
      </c>
      <c r="AG182" s="425">
        <f t="shared" si="1455"/>
        <v>0</v>
      </c>
      <c r="AH182" s="426">
        <f t="shared" si="1455"/>
        <v>0</v>
      </c>
      <c r="AI182" s="426">
        <f t="shared" si="1455"/>
        <v>0</v>
      </c>
      <c r="AJ182" s="427">
        <f t="shared" si="1455"/>
        <v>0</v>
      </c>
      <c r="AK182" s="424">
        <f t="shared" si="1455"/>
        <v>0</v>
      </c>
      <c r="AL182" s="425">
        <f t="shared" ref="AL182:AU182" si="1456">+AL180+AL175</f>
        <v>0</v>
      </c>
      <c r="AM182" s="426">
        <f t="shared" si="1456"/>
        <v>0</v>
      </c>
      <c r="AN182" s="426">
        <f t="shared" si="1456"/>
        <v>0</v>
      </c>
      <c r="AO182" s="427">
        <f t="shared" si="1456"/>
        <v>0</v>
      </c>
      <c r="AP182" s="424">
        <f t="shared" si="1456"/>
        <v>0</v>
      </c>
      <c r="AQ182" s="425">
        <f t="shared" si="1456"/>
        <v>0</v>
      </c>
      <c r="AR182" s="426">
        <f t="shared" si="1456"/>
        <v>0</v>
      </c>
      <c r="AS182" s="426">
        <f t="shared" si="1456"/>
        <v>0</v>
      </c>
      <c r="AT182" s="427">
        <f t="shared" si="1456"/>
        <v>0</v>
      </c>
      <c r="AU182" s="424">
        <f t="shared" si="1456"/>
        <v>0</v>
      </c>
      <c r="AV182" s="425">
        <f t="shared" ref="AV182:BE182" si="1457">+AV180+AV175</f>
        <v>0</v>
      </c>
      <c r="AW182" s="426">
        <f t="shared" si="1457"/>
        <v>0</v>
      </c>
      <c r="AX182" s="426">
        <f t="shared" si="1457"/>
        <v>0</v>
      </c>
      <c r="AY182" s="427">
        <f t="shared" si="1457"/>
        <v>0</v>
      </c>
      <c r="AZ182" s="424">
        <f t="shared" si="1457"/>
        <v>0</v>
      </c>
      <c r="BA182" s="425">
        <f t="shared" si="1457"/>
        <v>0</v>
      </c>
      <c r="BB182" s="426">
        <f t="shared" si="1457"/>
        <v>0</v>
      </c>
      <c r="BC182" s="426">
        <f t="shared" si="1457"/>
        <v>0</v>
      </c>
      <c r="BD182" s="427">
        <f t="shared" si="1457"/>
        <v>0</v>
      </c>
      <c r="BE182" s="424">
        <f t="shared" si="1457"/>
        <v>0</v>
      </c>
      <c r="BF182" s="425">
        <f t="shared" ref="BF182:BO182" si="1458">+BF180+BF175</f>
        <v>0</v>
      </c>
      <c r="BG182" s="426">
        <f t="shared" si="1458"/>
        <v>0</v>
      </c>
      <c r="BH182" s="426">
        <f t="shared" si="1458"/>
        <v>0</v>
      </c>
      <c r="BI182" s="427">
        <f t="shared" si="1458"/>
        <v>0</v>
      </c>
      <c r="BJ182" s="424">
        <f t="shared" si="1458"/>
        <v>0</v>
      </c>
      <c r="BK182" s="425">
        <f t="shared" si="1458"/>
        <v>0</v>
      </c>
      <c r="BL182" s="426">
        <f t="shared" si="1458"/>
        <v>0</v>
      </c>
      <c r="BM182" s="426">
        <f t="shared" si="1458"/>
        <v>0</v>
      </c>
      <c r="BN182" s="427">
        <f t="shared" si="1458"/>
        <v>0</v>
      </c>
      <c r="BO182" s="424">
        <f t="shared" si="1458"/>
        <v>0</v>
      </c>
      <c r="BP182" s="481"/>
      <c r="BQ182" s="429">
        <f>+BQ180+BQ175</f>
        <v>0</v>
      </c>
      <c r="BR182" s="430">
        <f t="shared" ref="BR182:CP182" si="1459">+BR180+BR175</f>
        <v>0</v>
      </c>
      <c r="BS182" s="431">
        <f t="shared" si="1459"/>
        <v>0</v>
      </c>
      <c r="BT182" s="431">
        <f t="shared" si="1459"/>
        <v>0</v>
      </c>
      <c r="BU182" s="432">
        <f t="shared" si="1459"/>
        <v>0</v>
      </c>
      <c r="BV182" s="429">
        <f t="shared" si="1459"/>
        <v>0</v>
      </c>
      <c r="BW182" s="430">
        <f t="shared" si="1459"/>
        <v>0</v>
      </c>
      <c r="BX182" s="431">
        <f t="shared" si="1459"/>
        <v>0</v>
      </c>
      <c r="BY182" s="431">
        <f t="shared" si="1459"/>
        <v>0</v>
      </c>
      <c r="BZ182" s="432">
        <f t="shared" si="1459"/>
        <v>0</v>
      </c>
      <c r="CA182" s="429">
        <f t="shared" si="1459"/>
        <v>0</v>
      </c>
      <c r="CB182" s="430">
        <f t="shared" si="1459"/>
        <v>0</v>
      </c>
      <c r="CC182" s="431">
        <f t="shared" si="1459"/>
        <v>0</v>
      </c>
      <c r="CD182" s="431">
        <f t="shared" si="1459"/>
        <v>0</v>
      </c>
      <c r="CE182" s="432">
        <f t="shared" si="1459"/>
        <v>0</v>
      </c>
      <c r="CF182" s="429">
        <f t="shared" si="1459"/>
        <v>0</v>
      </c>
      <c r="CG182" s="430">
        <f t="shared" si="1459"/>
        <v>0</v>
      </c>
      <c r="CH182" s="431">
        <f t="shared" si="1459"/>
        <v>0</v>
      </c>
      <c r="CI182" s="431">
        <f t="shared" si="1459"/>
        <v>0</v>
      </c>
      <c r="CJ182" s="432">
        <f t="shared" si="1459"/>
        <v>0</v>
      </c>
      <c r="CK182" s="429">
        <f t="shared" si="1459"/>
        <v>0</v>
      </c>
      <c r="CL182" s="430">
        <f t="shared" si="1459"/>
        <v>0</v>
      </c>
      <c r="CM182" s="431">
        <f t="shared" si="1459"/>
        <v>0</v>
      </c>
      <c r="CN182" s="431">
        <f t="shared" si="1459"/>
        <v>0</v>
      </c>
      <c r="CO182" s="432">
        <f t="shared" si="1459"/>
        <v>0</v>
      </c>
      <c r="CP182" s="429">
        <f t="shared" si="1459"/>
        <v>0</v>
      </c>
      <c r="CQ182" s="430">
        <f t="shared" ref="CQ182:CZ182" si="1460">+CQ180+CQ175</f>
        <v>0</v>
      </c>
      <c r="CR182" s="431">
        <f t="shared" si="1460"/>
        <v>0</v>
      </c>
      <c r="CS182" s="431">
        <f t="shared" si="1460"/>
        <v>0</v>
      </c>
      <c r="CT182" s="432">
        <f t="shared" si="1460"/>
        <v>0</v>
      </c>
      <c r="CU182" s="429">
        <f t="shared" si="1460"/>
        <v>0</v>
      </c>
      <c r="CV182" s="430">
        <f t="shared" si="1460"/>
        <v>0</v>
      </c>
      <c r="CW182" s="431">
        <f t="shared" si="1460"/>
        <v>0</v>
      </c>
      <c r="CX182" s="431">
        <f t="shared" si="1460"/>
        <v>0</v>
      </c>
      <c r="CY182" s="432">
        <f t="shared" si="1460"/>
        <v>0</v>
      </c>
      <c r="CZ182" s="429">
        <f t="shared" si="1460"/>
        <v>0</v>
      </c>
      <c r="DA182" s="430">
        <f t="shared" ref="DA182:DJ182" si="1461">+DA180+DA175</f>
        <v>0</v>
      </c>
      <c r="DB182" s="431">
        <f t="shared" si="1461"/>
        <v>0</v>
      </c>
      <c r="DC182" s="431">
        <f t="shared" si="1461"/>
        <v>0</v>
      </c>
      <c r="DD182" s="432">
        <f t="shared" si="1461"/>
        <v>0</v>
      </c>
      <c r="DE182" s="429">
        <f t="shared" si="1461"/>
        <v>0</v>
      </c>
      <c r="DF182" s="430">
        <f t="shared" si="1461"/>
        <v>0</v>
      </c>
      <c r="DG182" s="431">
        <f t="shared" si="1461"/>
        <v>0</v>
      </c>
      <c r="DH182" s="431">
        <f t="shared" si="1461"/>
        <v>0</v>
      </c>
      <c r="DI182" s="432">
        <f t="shared" si="1461"/>
        <v>0</v>
      </c>
      <c r="DJ182" s="429">
        <f t="shared" si="1461"/>
        <v>0</v>
      </c>
      <c r="DK182" s="430">
        <f t="shared" ref="DK182:DT182" si="1462">+DK180+DK175</f>
        <v>0</v>
      </c>
      <c r="DL182" s="431">
        <f t="shared" si="1462"/>
        <v>0</v>
      </c>
      <c r="DM182" s="431">
        <f t="shared" si="1462"/>
        <v>0</v>
      </c>
      <c r="DN182" s="432">
        <f t="shared" si="1462"/>
        <v>0</v>
      </c>
      <c r="DO182" s="429">
        <f t="shared" si="1462"/>
        <v>0</v>
      </c>
      <c r="DP182" s="430">
        <f t="shared" si="1462"/>
        <v>0</v>
      </c>
      <c r="DQ182" s="431">
        <f t="shared" si="1462"/>
        <v>0</v>
      </c>
      <c r="DR182" s="431">
        <f t="shared" si="1462"/>
        <v>0</v>
      </c>
      <c r="DS182" s="432">
        <f t="shared" si="1462"/>
        <v>0</v>
      </c>
      <c r="DT182" s="429">
        <f t="shared" si="1462"/>
        <v>0</v>
      </c>
    </row>
    <row r="183" spans="1:124" ht="12.75" customHeight="1" thickBot="1" x14ac:dyDescent="0.25">
      <c r="B183" s="377"/>
      <c r="C183" s="377"/>
      <c r="D183" s="377"/>
      <c r="E183" s="539"/>
      <c r="F183" s="540"/>
      <c r="G183" s="540"/>
      <c r="H183" s="581"/>
      <c r="I183" s="438"/>
      <c r="J183" s="439"/>
      <c r="K183" s="483"/>
      <c r="L183" s="440"/>
      <c r="M183" s="484"/>
      <c r="N183" s="485"/>
      <c r="O183" s="485"/>
      <c r="P183" s="486"/>
      <c r="Q183" s="440"/>
      <c r="R183" s="484"/>
      <c r="S183" s="485"/>
      <c r="T183" s="485"/>
      <c r="U183" s="486"/>
      <c r="V183" s="440"/>
      <c r="W183" s="484"/>
      <c r="X183" s="485"/>
      <c r="Y183" s="485"/>
      <c r="Z183" s="486"/>
      <c r="AA183" s="440"/>
      <c r="AB183" s="484"/>
      <c r="AC183" s="485"/>
      <c r="AD183" s="485"/>
      <c r="AE183" s="486"/>
      <c r="AF183" s="440"/>
      <c r="AG183" s="484"/>
      <c r="AH183" s="485"/>
      <c r="AI183" s="485"/>
      <c r="AJ183" s="486"/>
      <c r="AK183" s="440"/>
      <c r="AL183" s="484"/>
      <c r="AM183" s="485"/>
      <c r="AN183" s="485"/>
      <c r="AO183" s="486"/>
      <c r="AP183" s="440"/>
      <c r="AQ183" s="484"/>
      <c r="AR183" s="485"/>
      <c r="AS183" s="485"/>
      <c r="AT183" s="486"/>
      <c r="AU183" s="440"/>
      <c r="AV183" s="484"/>
      <c r="AW183" s="485"/>
      <c r="AX183" s="485"/>
      <c r="AY183" s="486"/>
      <c r="AZ183" s="440"/>
      <c r="BA183" s="484"/>
      <c r="BB183" s="485"/>
      <c r="BC183" s="485"/>
      <c r="BD183" s="486"/>
      <c r="BE183" s="440"/>
      <c r="BF183" s="484"/>
      <c r="BG183" s="485"/>
      <c r="BH183" s="485"/>
      <c r="BI183" s="486"/>
      <c r="BJ183" s="440"/>
      <c r="BK183" s="484"/>
      <c r="BL183" s="485"/>
      <c r="BM183" s="485"/>
      <c r="BN183" s="486"/>
      <c r="BO183" s="440"/>
      <c r="BP183" s="487"/>
      <c r="BQ183" s="442"/>
      <c r="BR183" s="488"/>
      <c r="BS183" s="489"/>
      <c r="BT183" s="489"/>
      <c r="BU183" s="490"/>
      <c r="BV183" s="442"/>
      <c r="BW183" s="488"/>
      <c r="BX183" s="489"/>
      <c r="BY183" s="489"/>
      <c r="BZ183" s="490"/>
      <c r="CA183" s="442"/>
      <c r="CB183" s="488"/>
      <c r="CC183" s="489"/>
      <c r="CD183" s="489"/>
      <c r="CE183" s="490"/>
      <c r="CF183" s="442"/>
      <c r="CG183" s="488"/>
      <c r="CH183" s="489"/>
      <c r="CI183" s="489"/>
      <c r="CJ183" s="490"/>
      <c r="CK183" s="442"/>
      <c r="CL183" s="488"/>
      <c r="CM183" s="489"/>
      <c r="CN183" s="489"/>
      <c r="CO183" s="490"/>
      <c r="CP183" s="442"/>
      <c r="CQ183" s="488"/>
      <c r="CR183" s="489"/>
      <c r="CS183" s="489"/>
      <c r="CT183" s="490"/>
      <c r="CU183" s="442"/>
      <c r="CV183" s="488"/>
      <c r="CW183" s="489"/>
      <c r="CX183" s="489"/>
      <c r="CY183" s="490"/>
      <c r="CZ183" s="442"/>
      <c r="DA183" s="488"/>
      <c r="DB183" s="489"/>
      <c r="DC183" s="489"/>
      <c r="DD183" s="490"/>
      <c r="DE183" s="442"/>
      <c r="DF183" s="488"/>
      <c r="DG183" s="489"/>
      <c r="DH183" s="489"/>
      <c r="DI183" s="490"/>
      <c r="DJ183" s="442"/>
      <c r="DK183" s="488"/>
      <c r="DL183" s="489"/>
      <c r="DM183" s="489"/>
      <c r="DN183" s="490"/>
      <c r="DO183" s="442"/>
      <c r="DP183" s="488"/>
      <c r="DQ183" s="489"/>
      <c r="DR183" s="489"/>
      <c r="DS183" s="490"/>
      <c r="DT183" s="442"/>
    </row>
    <row r="189" spans="1:124" ht="12.75" customHeight="1" x14ac:dyDescent="0.2">
      <c r="F189" s="795"/>
      <c r="G189" s="795"/>
    </row>
    <row r="192" spans="1:124" ht="12.75" customHeight="1" x14ac:dyDescent="0.2">
      <c r="E192" s="795"/>
    </row>
  </sheetData>
  <phoneticPr fontId="45" type="noConversion"/>
  <pageMargins left="0.5" right="0.5" top="0.5" bottom="0.5" header="0" footer="0"/>
  <pageSetup scale="52" fitToWidth="2" fitToHeight="2" orientation="landscape" r:id="rId1"/>
  <headerFooter alignWithMargins="0"/>
  <rowBreaks count="2" manualBreakCount="2">
    <brk id="44" max="93" man="1"/>
    <brk id="79" max="16383" man="1"/>
  </rowBreak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T975"/>
  <sheetViews>
    <sheetView zoomScale="85" workbookViewId="0"/>
  </sheetViews>
  <sheetFormatPr defaultRowHeight="12.75" x14ac:dyDescent="0.2"/>
  <cols>
    <col min="1" max="1" width="2.85546875" customWidth="1"/>
    <col min="2" max="2" width="2.7109375" customWidth="1"/>
    <col min="3" max="3" width="39.7109375" customWidth="1"/>
    <col min="8" max="8" width="2.85546875" customWidth="1"/>
    <col min="9" max="9" width="39.7109375" customWidth="1"/>
  </cols>
  <sheetData>
    <row r="1" spans="1:46" ht="15" customHeight="1" x14ac:dyDescent="0.25">
      <c r="A1" s="2"/>
      <c r="B1" s="2"/>
      <c r="C1" s="2"/>
      <c r="D1" s="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</row>
    <row r="2" spans="1:46" ht="15" customHeight="1" x14ac:dyDescent="0.25">
      <c r="A2" s="2"/>
      <c r="B2" s="2" t="str">
        <f>Cover!$B$2</f>
        <v>Xcel Energy</v>
      </c>
      <c r="C2" s="3"/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94"/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94"/>
    </row>
    <row r="3" spans="1:46" ht="15" customHeight="1" x14ac:dyDescent="0.25">
      <c r="A3" s="6"/>
      <c r="B3" s="6" t="s">
        <v>453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94"/>
      <c r="AF3" s="94"/>
      <c r="AG3" s="94"/>
      <c r="AH3" s="94"/>
      <c r="AI3" s="94"/>
      <c r="AJ3" s="94"/>
      <c r="AK3" s="94"/>
      <c r="AL3" s="94"/>
      <c r="AM3" s="94"/>
      <c r="AN3" s="94"/>
      <c r="AO3" s="94"/>
      <c r="AP3" s="94"/>
      <c r="AQ3" s="94"/>
      <c r="AR3" s="94"/>
      <c r="AS3" s="94"/>
      <c r="AT3" s="94"/>
    </row>
    <row r="4" spans="1:46" x14ac:dyDescent="0.2">
      <c r="A4" s="9"/>
      <c r="B4" s="9" t="s">
        <v>1</v>
      </c>
      <c r="C4" s="8"/>
      <c r="D4" s="8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95"/>
      <c r="AF4" s="95"/>
      <c r="AG4" s="95"/>
      <c r="AH4" s="95"/>
      <c r="AI4" s="95"/>
      <c r="AJ4" s="95"/>
      <c r="AK4" s="95"/>
      <c r="AL4" s="95"/>
      <c r="AM4" s="95"/>
      <c r="AN4" s="95"/>
      <c r="AO4" s="95"/>
      <c r="AP4" s="95"/>
      <c r="AQ4" s="95"/>
      <c r="AR4" s="95"/>
      <c r="AS4" s="95"/>
      <c r="AT4" s="95"/>
    </row>
    <row r="5" spans="1:46" s="525" customFormat="1" x14ac:dyDescent="0.2">
      <c r="C5" s="649"/>
    </row>
    <row r="6" spans="1:46" s="525" customFormat="1" x14ac:dyDescent="0.2">
      <c r="B6" s="650" t="s">
        <v>341</v>
      </c>
      <c r="C6" s="651"/>
      <c r="D6" s="651"/>
      <c r="E6" s="651"/>
      <c r="F6" s="651"/>
      <c r="H6" s="650" t="s">
        <v>349</v>
      </c>
      <c r="I6" s="651"/>
      <c r="J6" s="651"/>
      <c r="K6" s="651"/>
    </row>
    <row r="7" spans="1:46" s="525" customFormat="1" x14ac:dyDescent="0.2">
      <c r="D7" s="642" t="s">
        <v>342</v>
      </c>
      <c r="E7" s="642" t="s">
        <v>343</v>
      </c>
      <c r="F7" s="642" t="s">
        <v>31</v>
      </c>
      <c r="I7" s="562" t="s">
        <v>4</v>
      </c>
      <c r="K7" s="652">
        <f>+F19</f>
        <v>1.8185773308164477</v>
      </c>
    </row>
    <row r="8" spans="1:46" s="525" customFormat="1" x14ac:dyDescent="0.2">
      <c r="C8" s="653" t="s">
        <v>344</v>
      </c>
      <c r="D8" s="654">
        <f>+XEL!S46</f>
        <v>1309.6899999999991</v>
      </c>
      <c r="E8" s="655">
        <f>+XEL!S56</f>
        <v>834.57999999999913</v>
      </c>
      <c r="F8" s="656">
        <f>+XEL!S63</f>
        <v>1.7186042441028369</v>
      </c>
      <c r="I8" s="657" t="s">
        <v>463</v>
      </c>
      <c r="K8" s="658">
        <f>+F20+F21</f>
        <v>0</v>
      </c>
    </row>
    <row r="9" spans="1:46" s="525" customFormat="1" x14ac:dyDescent="0.2">
      <c r="C9" s="657" t="s">
        <v>456</v>
      </c>
      <c r="D9" s="659">
        <f>+SUM('NSP-MN'!X63:X64,PSCO!X63:X64,SPS!X54,'NSP-WI'!X62)</f>
        <v>0</v>
      </c>
      <c r="E9" s="48">
        <f t="shared" ref="E9:E16" si="0">+D9*(1-$D$34)</f>
        <v>0</v>
      </c>
      <c r="F9" s="673">
        <f t="shared" ref="F9:F17" si="1">+E9/$D$33</f>
        <v>0</v>
      </c>
      <c r="G9" s="659"/>
      <c r="I9" s="657" t="s">
        <v>464</v>
      </c>
      <c r="K9" s="658">
        <f>+F22</f>
        <v>0</v>
      </c>
    </row>
    <row r="10" spans="1:46" s="525" customFormat="1" x14ac:dyDescent="0.2">
      <c r="C10" s="657" t="s">
        <v>457</v>
      </c>
      <c r="D10" s="659">
        <f>SUM('NSP-MN'!X67,PSCO!X68,'NSP-WI'!X64)</f>
        <v>0</v>
      </c>
      <c r="E10" s="48">
        <f t="shared" si="0"/>
        <v>0</v>
      </c>
      <c r="F10" s="673">
        <f t="shared" si="1"/>
        <v>0</v>
      </c>
      <c r="I10" s="657" t="s">
        <v>36</v>
      </c>
      <c r="K10" s="658">
        <f>+F23</f>
        <v>0.2541765193299752</v>
      </c>
    </row>
    <row r="11" spans="1:46" s="525" customFormat="1" x14ac:dyDescent="0.2">
      <c r="C11" s="573" t="s">
        <v>458</v>
      </c>
      <c r="D11" s="659">
        <f>SUM('NSP-MN'!X66,PSCO!X67,SPS!X56)</f>
        <v>0</v>
      </c>
      <c r="E11" s="48">
        <f t="shared" si="0"/>
        <v>0</v>
      </c>
      <c r="F11" s="673">
        <f t="shared" si="1"/>
        <v>0</v>
      </c>
      <c r="I11" s="657" t="s">
        <v>465</v>
      </c>
      <c r="K11" s="658">
        <f>+F24+F25</f>
        <v>-0.220168544953314</v>
      </c>
    </row>
    <row r="12" spans="1:46" s="525" customFormat="1" x14ac:dyDescent="0.2">
      <c r="C12" s="525" t="s">
        <v>462</v>
      </c>
      <c r="D12" s="640">
        <f>+XEL!X18-XEL!S18-SUM(D9:D11)</f>
        <v>125.57899999999972</v>
      </c>
      <c r="E12" s="48">
        <f t="shared" si="0"/>
        <v>80.674744058517462</v>
      </c>
      <c r="F12" s="673">
        <f t="shared" si="1"/>
        <v>0.16612902002309948</v>
      </c>
      <c r="G12" s="640"/>
      <c r="H12" s="640"/>
      <c r="I12" s="657" t="s">
        <v>466</v>
      </c>
      <c r="K12" s="658">
        <f>+F26+F27+F28</f>
        <v>0.13012883837593051</v>
      </c>
    </row>
    <row r="13" spans="1:46" s="525" customFormat="1" x14ac:dyDescent="0.2">
      <c r="C13" s="573" t="s">
        <v>459</v>
      </c>
      <c r="D13" s="659">
        <f>SUM(XEL!S20+XEL!S22+XEL!S23)-SUM(XEL!X20+XEL!X22+XEL!X23)</f>
        <v>-49.063999999999396</v>
      </c>
      <c r="E13" s="48">
        <f t="shared" si="0"/>
        <v>-31.519805401277765</v>
      </c>
      <c r="F13" s="673">
        <f t="shared" si="1"/>
        <v>-6.4906984753925978E-2</v>
      </c>
      <c r="I13" s="657" t="s">
        <v>346</v>
      </c>
      <c r="K13" s="658">
        <f>+F29</f>
        <v>-3.2336323005611067E-2</v>
      </c>
    </row>
    <row r="14" spans="1:46" s="525" customFormat="1" x14ac:dyDescent="0.2">
      <c r="C14" s="525" t="s">
        <v>178</v>
      </c>
      <c r="D14" s="661">
        <f>+XEL!S21-XEL!X21</f>
        <v>-35.433999999999969</v>
      </c>
      <c r="E14" s="48">
        <f t="shared" si="0"/>
        <v>-22.76359009842021</v>
      </c>
      <c r="F14" s="673">
        <f t="shared" si="1"/>
        <v>-4.6875796872872973E-2</v>
      </c>
      <c r="I14" s="562" t="s">
        <v>538</v>
      </c>
      <c r="K14" s="652">
        <f>+F30</f>
        <v>1.9503778205634286</v>
      </c>
    </row>
    <row r="15" spans="1:46" s="525" customFormat="1" x14ac:dyDescent="0.2">
      <c r="C15" s="657" t="s">
        <v>132</v>
      </c>
      <c r="D15" s="659">
        <f>+XEL!S44-XEL!X44</f>
        <v>-3.3500000000001364</v>
      </c>
      <c r="E15" s="48">
        <f t="shared" si="0"/>
        <v>-2.1521145461904068</v>
      </c>
      <c r="F15" s="673">
        <f t="shared" si="1"/>
        <v>-4.431729963428656E-3</v>
      </c>
    </row>
    <row r="16" spans="1:46" s="525" customFormat="1" x14ac:dyDescent="0.2">
      <c r="C16" s="657" t="s">
        <v>460</v>
      </c>
      <c r="D16" s="659">
        <f>+XEL!X37-XEL!S37</f>
        <v>7.9810000000000088</v>
      </c>
      <c r="E16" s="48">
        <f t="shared" si="0"/>
        <v>5.1271719979537185</v>
      </c>
      <c r="F16" s="673">
        <f t="shared" si="1"/>
        <v>1.0558100548693345E-2</v>
      </c>
      <c r="I16" s="562" t="s">
        <v>455</v>
      </c>
      <c r="J16" s="665" t="s">
        <v>32</v>
      </c>
      <c r="K16" s="665" t="s">
        <v>36</v>
      </c>
      <c r="L16" s="562" t="s">
        <v>454</v>
      </c>
    </row>
    <row r="17" spans="3:15" s="525" customFormat="1" x14ac:dyDescent="0.2">
      <c r="C17" s="657" t="s">
        <v>461</v>
      </c>
      <c r="D17" s="640">
        <f>D19-SUM(D8:D16)</f>
        <v>0</v>
      </c>
      <c r="E17" s="640">
        <f>E19-SUM(E8:E16)</f>
        <v>24.30859398941891</v>
      </c>
      <c r="F17" s="673">
        <f t="shared" si="1"/>
        <v>5.005733758104447E-2</v>
      </c>
      <c r="I17" s="666">
        <v>2011</v>
      </c>
      <c r="J17" s="661">
        <f>+Valuation!BW29</f>
        <v>16532.059499999996</v>
      </c>
      <c r="K17" s="667"/>
      <c r="L17" s="668"/>
      <c r="M17" s="33"/>
    </row>
    <row r="18" spans="3:15" s="525" customFormat="1" x14ac:dyDescent="0.2">
      <c r="C18" s="657" t="s">
        <v>346</v>
      </c>
      <c r="D18" s="663"/>
      <c r="E18" s="663"/>
      <c r="F18" s="660">
        <f>+F19-SUM(F8:F17)</f>
        <v>-1.0556859848998901E-2</v>
      </c>
      <c r="I18" s="666">
        <v>2012</v>
      </c>
      <c r="J18" s="661">
        <f>+Valuation!BX29</f>
        <v>17300.753000000001</v>
      </c>
      <c r="K18" s="667">
        <f>+J18/J17-1</f>
        <v>4.6497140903709155E-2</v>
      </c>
      <c r="L18" s="668">
        <f>+K18+L17</f>
        <v>4.6497140903709155E-2</v>
      </c>
      <c r="M18" s="662"/>
    </row>
    <row r="19" spans="3:15" s="525" customFormat="1" x14ac:dyDescent="0.2">
      <c r="C19" s="653" t="s">
        <v>347</v>
      </c>
      <c r="D19" s="654">
        <f>+XEL!X46</f>
        <v>1355.402000000001</v>
      </c>
      <c r="E19" s="655">
        <f>+XEL!X56</f>
        <v>888.2550000000009</v>
      </c>
      <c r="F19" s="664">
        <f>+XEL!X63</f>
        <v>1.8185773308164477</v>
      </c>
      <c r="G19" s="573"/>
      <c r="I19" s="666">
        <f>+I18+1</f>
        <v>2013</v>
      </c>
      <c r="J19" s="661">
        <f>+Valuation!BY29</f>
        <v>18420.519</v>
      </c>
      <c r="K19" s="667">
        <f>+J19/J18-1</f>
        <v>6.4723541223899339E-2</v>
      </c>
      <c r="L19" s="668">
        <f>+K19+L18</f>
        <v>0.11122068212760849</v>
      </c>
      <c r="M19" s="662"/>
      <c r="N19"/>
      <c r="O19"/>
    </row>
    <row r="20" spans="3:15" s="525" customFormat="1" x14ac:dyDescent="0.2">
      <c r="C20" s="657" t="s">
        <v>456</v>
      </c>
      <c r="D20" s="659">
        <f>+SUM('NSP-MN'!AC63:AC64,PSCO!AC63:AC64,SPS!AC54,'NSP-WI'!AC62)</f>
        <v>0</v>
      </c>
      <c r="E20" s="48">
        <f t="shared" ref="E20:E27" si="2">+D20*(1-$E$34)</f>
        <v>0</v>
      </c>
      <c r="F20" s="673">
        <f t="shared" ref="F20:F28" si="3">+E20/$E$33</f>
        <v>0</v>
      </c>
      <c r="G20" s="659"/>
      <c r="I20" s="666">
        <f>+I19+1</f>
        <v>2014</v>
      </c>
      <c r="J20" s="661">
        <f>+Valuation!BZ29</f>
        <v>19959.411</v>
      </c>
      <c r="K20" s="667">
        <f>+J20/J19-1</f>
        <v>8.3542271528831424E-2</v>
      </c>
      <c r="L20" s="668">
        <f>+K20+L19</f>
        <v>0.19476295365643992</v>
      </c>
    </row>
    <row r="21" spans="3:15" s="525" customFormat="1" x14ac:dyDescent="0.2">
      <c r="C21" s="657" t="s">
        <v>457</v>
      </c>
      <c r="D21" s="659">
        <f>SUM('NSP-MN'!AC67,PSCO!AC68,'NSP-WI'!AC64)</f>
        <v>0</v>
      </c>
      <c r="E21" s="48">
        <f t="shared" si="2"/>
        <v>0</v>
      </c>
      <c r="F21" s="673">
        <f t="shared" si="3"/>
        <v>0</v>
      </c>
      <c r="G21" s="659"/>
      <c r="I21" s="666">
        <f>+I20+1</f>
        <v>2015</v>
      </c>
      <c r="J21" s="661">
        <f>+Valuation!CA29</f>
        <v>21696.462500000001</v>
      </c>
      <c r="K21" s="667">
        <f>+J21/J20-1</f>
        <v>8.7029196402639508E-2</v>
      </c>
      <c r="L21" s="668">
        <f>+K21+L20</f>
        <v>0.28179215005907943</v>
      </c>
    </row>
    <row r="22" spans="3:15" s="525" customFormat="1" x14ac:dyDescent="0.2">
      <c r="C22" s="573" t="s">
        <v>458</v>
      </c>
      <c r="D22" s="659">
        <f>SUM('NSP-MN'!AC66,PSCO!AC67,SPS!AC56)</f>
        <v>0</v>
      </c>
      <c r="E22" s="48">
        <f t="shared" si="2"/>
        <v>0</v>
      </c>
      <c r="F22" s="673">
        <f t="shared" si="3"/>
        <v>0</v>
      </c>
      <c r="G22" s="659"/>
      <c r="I22" s="525" t="s">
        <v>506</v>
      </c>
      <c r="K22" s="668">
        <f>(J21/J17)^(1/4)-1</f>
        <v>7.0324563952625985E-2</v>
      </c>
    </row>
    <row r="23" spans="3:15" s="525" customFormat="1" x14ac:dyDescent="0.2">
      <c r="C23" s="525" t="s">
        <v>462</v>
      </c>
      <c r="D23" s="640">
        <f>+XEL!AC18-XEL!X18-SUM(D20:D22)</f>
        <v>185.89400000000023</v>
      </c>
      <c r="E23" s="48">
        <f t="shared" si="2"/>
        <v>124.14845404241713</v>
      </c>
      <c r="F23" s="673">
        <f t="shared" si="3"/>
        <v>0.2541765193299752</v>
      </c>
    </row>
    <row r="24" spans="3:15" s="525" customFormat="1" x14ac:dyDescent="0.2">
      <c r="C24" s="573" t="s">
        <v>459</v>
      </c>
      <c r="D24" s="659">
        <f>SUM(XEL!X20+XEL!X22+XEL!X23)-SUM(XEL!AC20+XEL!AC22+XEL!AC23)</f>
        <v>-109.21200000000044</v>
      </c>
      <c r="E24" s="48">
        <f t="shared" si="2"/>
        <v>-72.936732562000373</v>
      </c>
      <c r="F24" s="673">
        <f t="shared" si="3"/>
        <v>-0.1493277137996134</v>
      </c>
    </row>
    <row r="25" spans="3:15" s="525" customFormat="1" x14ac:dyDescent="0.2">
      <c r="C25" s="525" t="s">
        <v>178</v>
      </c>
      <c r="D25" s="661">
        <f>+XEL!X21-XEL!AC21</f>
        <v>-51.810000000000059</v>
      </c>
      <c r="E25" s="48">
        <f t="shared" si="2"/>
        <v>-34.601070523726591</v>
      </c>
      <c r="F25" s="673">
        <f t="shared" si="3"/>
        <v>-7.0840831153700587E-2</v>
      </c>
      <c r="I25" s="562"/>
    </row>
    <row r="26" spans="3:15" s="525" customFormat="1" x14ac:dyDescent="0.2">
      <c r="C26" s="657" t="s">
        <v>132</v>
      </c>
      <c r="D26" s="659">
        <f>+XEL!X44-XEL!AC44</f>
        <v>30.247000000000071</v>
      </c>
      <c r="E26" s="48">
        <f t="shared" si="2"/>
        <v>20.200320017972579</v>
      </c>
      <c r="F26" s="673">
        <f t="shared" si="3"/>
        <v>4.1357317504458285E-2</v>
      </c>
      <c r="I26" s="562"/>
      <c r="J26" s="652"/>
    </row>
    <row r="27" spans="3:15" s="525" customFormat="1" x14ac:dyDescent="0.2">
      <c r="C27" s="657" t="s">
        <v>460</v>
      </c>
      <c r="D27" s="659">
        <f>+XEL!AC37-XEL!X37</f>
        <v>21.688999999999993</v>
      </c>
      <c r="E27" s="48">
        <f t="shared" si="2"/>
        <v>14.484899027004534</v>
      </c>
      <c r="F27" s="673">
        <f t="shared" si="3"/>
        <v>2.9655795925354365E-2</v>
      </c>
      <c r="J27" s="669"/>
    </row>
    <row r="28" spans="3:15" s="525" customFormat="1" x14ac:dyDescent="0.2">
      <c r="C28" s="657" t="s">
        <v>461</v>
      </c>
      <c r="D28" s="640">
        <f>D30-SUM(D18:D27)</f>
        <v>0</v>
      </c>
      <c r="E28" s="640">
        <f>E30-SUM(E19:E27)</f>
        <v>28.874129998332137</v>
      </c>
      <c r="F28" s="673">
        <f t="shared" si="3"/>
        <v>5.9115724946117866E-2</v>
      </c>
      <c r="J28" s="658"/>
    </row>
    <row r="29" spans="3:15" s="525" customFormat="1" x14ac:dyDescent="0.2">
      <c r="C29" s="657" t="s">
        <v>346</v>
      </c>
      <c r="D29" s="663"/>
      <c r="E29" s="663"/>
      <c r="F29" s="660">
        <f>+F30-SUM(F19:F28)</f>
        <v>-3.2336323005611067E-2</v>
      </c>
      <c r="J29" s="669"/>
    </row>
    <row r="30" spans="3:15" s="525" customFormat="1" x14ac:dyDescent="0.2">
      <c r="C30" s="653" t="s">
        <v>348</v>
      </c>
      <c r="D30" s="654">
        <f>+XEL!AC46</f>
        <v>1432.2100000000003</v>
      </c>
      <c r="E30" s="655">
        <f>+XEL!AC56</f>
        <v>968.4250000000003</v>
      </c>
      <c r="F30" s="656">
        <f>+XEL!AC63</f>
        <v>1.9503778205634286</v>
      </c>
      <c r="I30" s="562"/>
      <c r="J30" s="652"/>
    </row>
    <row r="31" spans="3:15" s="525" customFormat="1" x14ac:dyDescent="0.2">
      <c r="J31" s="669"/>
    </row>
    <row r="32" spans="3:15" s="525" customFormat="1" x14ac:dyDescent="0.2">
      <c r="D32" s="562">
        <v>2011</v>
      </c>
      <c r="E32" s="562">
        <v>2012</v>
      </c>
      <c r="F32" s="562">
        <v>2013</v>
      </c>
      <c r="I32" s="670"/>
      <c r="J32" s="669"/>
    </row>
    <row r="33" spans="3:10" s="525" customFormat="1" x14ac:dyDescent="0.2">
      <c r="C33" s="573" t="s">
        <v>340</v>
      </c>
      <c r="D33" s="671">
        <f>+XEL!S60</f>
        <v>485.61500000000001</v>
      </c>
      <c r="E33" s="671">
        <f>+XEL!X60</f>
        <v>488.43400000000003</v>
      </c>
      <c r="F33" s="671">
        <f>+XEL!AC60</f>
        <v>496.53199999999998</v>
      </c>
      <c r="I33" s="670"/>
      <c r="J33" s="669"/>
    </row>
    <row r="34" spans="3:10" s="525" customFormat="1" x14ac:dyDescent="0.2">
      <c r="C34" s="666" t="s">
        <v>345</v>
      </c>
      <c r="D34" s="35">
        <f>+XEL!S117</f>
        <v>0.35757774740587489</v>
      </c>
      <c r="E34" s="35">
        <f>+XEL!X117</f>
        <v>0.33215459324982527</v>
      </c>
      <c r="F34" s="35">
        <f>+XEL!AC117</f>
        <v>0.33792251136355694</v>
      </c>
      <c r="I34" s="562"/>
      <c r="J34" s="652"/>
    </row>
    <row r="35" spans="3:10" s="525" customFormat="1" x14ac:dyDescent="0.2"/>
    <row r="36" spans="3:10" s="525" customFormat="1" x14ac:dyDescent="0.2"/>
    <row r="37" spans="3:10" s="525" customFormat="1" x14ac:dyDescent="0.2"/>
    <row r="38" spans="3:10" s="525" customFormat="1" x14ac:dyDescent="0.2"/>
    <row r="39" spans="3:10" s="525" customFormat="1" x14ac:dyDescent="0.2"/>
    <row r="40" spans="3:10" s="525" customFormat="1" x14ac:dyDescent="0.2"/>
    <row r="41" spans="3:10" s="525" customFormat="1" x14ac:dyDescent="0.2"/>
    <row r="42" spans="3:10" s="525" customFormat="1" x14ac:dyDescent="0.2">
      <c r="E42" s="672"/>
    </row>
    <row r="43" spans="3:10" s="525" customFormat="1" x14ac:dyDescent="0.2"/>
    <row r="44" spans="3:10" s="525" customFormat="1" x14ac:dyDescent="0.2"/>
    <row r="45" spans="3:10" s="525" customFormat="1" x14ac:dyDescent="0.2"/>
    <row r="46" spans="3:10" s="525" customFormat="1" x14ac:dyDescent="0.2"/>
    <row r="47" spans="3:10" s="525" customFormat="1" x14ac:dyDescent="0.2"/>
    <row r="48" spans="3:10" s="525" customFormat="1" x14ac:dyDescent="0.2"/>
    <row r="49" s="525" customFormat="1" x14ac:dyDescent="0.2"/>
    <row r="50" s="525" customFormat="1" x14ac:dyDescent="0.2"/>
    <row r="51" s="525" customFormat="1" x14ac:dyDescent="0.2"/>
    <row r="52" s="525" customFormat="1" x14ac:dyDescent="0.2"/>
    <row r="53" s="525" customFormat="1" x14ac:dyDescent="0.2"/>
    <row r="54" s="525" customFormat="1" x14ac:dyDescent="0.2"/>
    <row r="55" s="525" customFormat="1" x14ac:dyDescent="0.2"/>
    <row r="56" s="525" customFormat="1" x14ac:dyDescent="0.2"/>
    <row r="57" s="525" customFormat="1" x14ac:dyDescent="0.2"/>
    <row r="58" s="525" customFormat="1" x14ac:dyDescent="0.2"/>
    <row r="59" s="525" customFormat="1" x14ac:dyDescent="0.2"/>
    <row r="60" s="525" customFormat="1" x14ac:dyDescent="0.2"/>
    <row r="61" s="525" customFormat="1" x14ac:dyDescent="0.2"/>
    <row r="62" s="525" customFormat="1" x14ac:dyDescent="0.2"/>
    <row r="63" s="525" customFormat="1" x14ac:dyDescent="0.2"/>
    <row r="64" s="525" customFormat="1" x14ac:dyDescent="0.2"/>
    <row r="65" s="525" customFormat="1" x14ac:dyDescent="0.2"/>
    <row r="66" s="525" customFormat="1" x14ac:dyDescent="0.2"/>
    <row r="67" s="525" customFormat="1" x14ac:dyDescent="0.2"/>
    <row r="68" s="525" customFormat="1" x14ac:dyDescent="0.2"/>
    <row r="69" s="525" customFormat="1" x14ac:dyDescent="0.2"/>
    <row r="70" s="525" customFormat="1" x14ac:dyDescent="0.2"/>
    <row r="71" s="525" customFormat="1" x14ac:dyDescent="0.2"/>
    <row r="72" s="525" customFormat="1" x14ac:dyDescent="0.2"/>
    <row r="73" s="525" customFormat="1" x14ac:dyDescent="0.2"/>
    <row r="74" s="525" customFormat="1" x14ac:dyDescent="0.2"/>
    <row r="75" s="525" customFormat="1" x14ac:dyDescent="0.2"/>
    <row r="76" s="525" customFormat="1" x14ac:dyDescent="0.2"/>
    <row r="77" s="525" customFormat="1" x14ac:dyDescent="0.2"/>
    <row r="78" s="525" customFormat="1" x14ac:dyDescent="0.2"/>
    <row r="79" s="525" customFormat="1" x14ac:dyDescent="0.2"/>
    <row r="80" s="525" customFormat="1" x14ac:dyDescent="0.2"/>
    <row r="81" s="525" customFormat="1" x14ac:dyDescent="0.2"/>
    <row r="82" s="525" customFormat="1" x14ac:dyDescent="0.2"/>
    <row r="83" s="525" customFormat="1" x14ac:dyDescent="0.2"/>
    <row r="84" s="525" customFormat="1" x14ac:dyDescent="0.2"/>
    <row r="85" s="525" customFormat="1" x14ac:dyDescent="0.2"/>
    <row r="86" s="525" customFormat="1" x14ac:dyDescent="0.2"/>
    <row r="87" s="525" customFormat="1" x14ac:dyDescent="0.2"/>
    <row r="88" s="525" customFormat="1" x14ac:dyDescent="0.2"/>
    <row r="89" s="525" customFormat="1" x14ac:dyDescent="0.2"/>
    <row r="90" s="525" customFormat="1" x14ac:dyDescent="0.2"/>
    <row r="91" s="525" customFormat="1" x14ac:dyDescent="0.2"/>
    <row r="92" s="525" customFormat="1" x14ac:dyDescent="0.2"/>
    <row r="93" s="525" customFormat="1" x14ac:dyDescent="0.2"/>
    <row r="94" s="525" customFormat="1" x14ac:dyDescent="0.2"/>
    <row r="95" s="525" customFormat="1" x14ac:dyDescent="0.2"/>
    <row r="96" s="525" customFormat="1" x14ac:dyDescent="0.2"/>
    <row r="97" s="525" customFormat="1" x14ac:dyDescent="0.2"/>
    <row r="98" s="525" customFormat="1" x14ac:dyDescent="0.2"/>
    <row r="99" s="525" customFormat="1" x14ac:dyDescent="0.2"/>
    <row r="100" s="525" customFormat="1" x14ac:dyDescent="0.2"/>
    <row r="101" s="525" customFormat="1" x14ac:dyDescent="0.2"/>
    <row r="102" s="525" customFormat="1" x14ac:dyDescent="0.2"/>
    <row r="103" s="525" customFormat="1" x14ac:dyDescent="0.2"/>
    <row r="104" s="525" customFormat="1" x14ac:dyDescent="0.2"/>
    <row r="105" s="525" customFormat="1" x14ac:dyDescent="0.2"/>
    <row r="106" s="525" customFormat="1" x14ac:dyDescent="0.2"/>
    <row r="107" s="525" customFormat="1" x14ac:dyDescent="0.2"/>
    <row r="108" s="525" customFormat="1" x14ac:dyDescent="0.2"/>
    <row r="109" s="525" customFormat="1" x14ac:dyDescent="0.2"/>
    <row r="110" s="525" customFormat="1" x14ac:dyDescent="0.2"/>
    <row r="111" s="525" customFormat="1" x14ac:dyDescent="0.2"/>
    <row r="112" s="525" customFormat="1" x14ac:dyDescent="0.2"/>
    <row r="113" s="525" customFormat="1" x14ac:dyDescent="0.2"/>
    <row r="114" s="525" customFormat="1" x14ac:dyDescent="0.2"/>
    <row r="115" s="525" customFormat="1" x14ac:dyDescent="0.2"/>
    <row r="116" s="525" customFormat="1" x14ac:dyDescent="0.2"/>
    <row r="117" s="525" customFormat="1" x14ac:dyDescent="0.2"/>
    <row r="118" s="525" customFormat="1" x14ac:dyDescent="0.2"/>
    <row r="119" s="525" customFormat="1" x14ac:dyDescent="0.2"/>
    <row r="120" s="525" customFormat="1" x14ac:dyDescent="0.2"/>
    <row r="121" s="525" customFormat="1" x14ac:dyDescent="0.2"/>
    <row r="122" s="525" customFormat="1" x14ac:dyDescent="0.2"/>
    <row r="123" s="525" customFormat="1" x14ac:dyDescent="0.2"/>
    <row r="124" s="525" customFormat="1" x14ac:dyDescent="0.2"/>
    <row r="125" s="525" customFormat="1" x14ac:dyDescent="0.2"/>
    <row r="126" s="525" customFormat="1" x14ac:dyDescent="0.2"/>
    <row r="127" s="525" customFormat="1" x14ac:dyDescent="0.2"/>
    <row r="128" s="525" customFormat="1" x14ac:dyDescent="0.2"/>
    <row r="129" s="525" customFormat="1" x14ac:dyDescent="0.2"/>
    <row r="130" s="525" customFormat="1" x14ac:dyDescent="0.2"/>
    <row r="131" s="525" customFormat="1" x14ac:dyDescent="0.2"/>
    <row r="132" s="525" customFormat="1" x14ac:dyDescent="0.2"/>
    <row r="133" s="525" customFormat="1" x14ac:dyDescent="0.2"/>
    <row r="134" s="525" customFormat="1" x14ac:dyDescent="0.2"/>
    <row r="135" s="525" customFormat="1" x14ac:dyDescent="0.2"/>
    <row r="136" s="525" customFormat="1" x14ac:dyDescent="0.2"/>
    <row r="137" s="525" customFormat="1" x14ac:dyDescent="0.2"/>
    <row r="138" s="525" customFormat="1" x14ac:dyDescent="0.2"/>
    <row r="139" s="525" customFormat="1" x14ac:dyDescent="0.2"/>
    <row r="140" s="525" customFormat="1" x14ac:dyDescent="0.2"/>
    <row r="141" s="525" customFormat="1" x14ac:dyDescent="0.2"/>
    <row r="142" s="525" customFormat="1" x14ac:dyDescent="0.2"/>
    <row r="143" s="525" customFormat="1" x14ac:dyDescent="0.2"/>
    <row r="144" s="525" customFormat="1" x14ac:dyDescent="0.2"/>
    <row r="145" s="525" customFormat="1" x14ac:dyDescent="0.2"/>
    <row r="146" s="525" customFormat="1" x14ac:dyDescent="0.2"/>
    <row r="147" s="525" customFormat="1" x14ac:dyDescent="0.2"/>
    <row r="148" s="525" customFormat="1" x14ac:dyDescent="0.2"/>
    <row r="149" s="525" customFormat="1" x14ac:dyDescent="0.2"/>
    <row r="150" s="525" customFormat="1" x14ac:dyDescent="0.2"/>
    <row r="151" s="525" customFormat="1" x14ac:dyDescent="0.2"/>
    <row r="152" s="525" customFormat="1" x14ac:dyDescent="0.2"/>
    <row r="153" s="525" customFormat="1" x14ac:dyDescent="0.2"/>
    <row r="154" s="525" customFormat="1" x14ac:dyDescent="0.2"/>
    <row r="155" s="525" customFormat="1" x14ac:dyDescent="0.2"/>
    <row r="156" s="525" customFormat="1" x14ac:dyDescent="0.2"/>
    <row r="157" s="525" customFormat="1" x14ac:dyDescent="0.2"/>
    <row r="158" s="525" customFormat="1" x14ac:dyDescent="0.2"/>
    <row r="159" s="525" customFormat="1" x14ac:dyDescent="0.2"/>
    <row r="160" s="525" customFormat="1" x14ac:dyDescent="0.2"/>
    <row r="161" s="525" customFormat="1" x14ac:dyDescent="0.2"/>
    <row r="162" s="525" customFormat="1" x14ac:dyDescent="0.2"/>
    <row r="163" s="525" customFormat="1" x14ac:dyDescent="0.2"/>
    <row r="164" s="525" customFormat="1" x14ac:dyDescent="0.2"/>
    <row r="165" s="525" customFormat="1" x14ac:dyDescent="0.2"/>
    <row r="166" s="525" customFormat="1" x14ac:dyDescent="0.2"/>
    <row r="167" s="525" customFormat="1" x14ac:dyDescent="0.2"/>
    <row r="168" s="525" customFormat="1" x14ac:dyDescent="0.2"/>
    <row r="169" s="525" customFormat="1" x14ac:dyDescent="0.2"/>
    <row r="170" s="525" customFormat="1" x14ac:dyDescent="0.2"/>
    <row r="171" s="525" customFormat="1" x14ac:dyDescent="0.2"/>
    <row r="172" s="525" customFormat="1" x14ac:dyDescent="0.2"/>
    <row r="173" s="525" customFormat="1" x14ac:dyDescent="0.2"/>
    <row r="174" s="525" customFormat="1" x14ac:dyDescent="0.2"/>
    <row r="175" s="525" customFormat="1" x14ac:dyDescent="0.2"/>
    <row r="176" s="525" customFormat="1" x14ac:dyDescent="0.2"/>
    <row r="177" s="525" customFormat="1" x14ac:dyDescent="0.2"/>
    <row r="178" s="525" customFormat="1" x14ac:dyDescent="0.2"/>
    <row r="179" s="525" customFormat="1" x14ac:dyDescent="0.2"/>
    <row r="180" s="525" customFormat="1" x14ac:dyDescent="0.2"/>
    <row r="181" s="525" customFormat="1" x14ac:dyDescent="0.2"/>
    <row r="182" s="525" customFormat="1" x14ac:dyDescent="0.2"/>
    <row r="183" s="525" customFormat="1" x14ac:dyDescent="0.2"/>
    <row r="184" s="525" customFormat="1" x14ac:dyDescent="0.2"/>
    <row r="185" s="525" customFormat="1" x14ac:dyDescent="0.2"/>
    <row r="186" s="525" customFormat="1" x14ac:dyDescent="0.2"/>
    <row r="187" s="525" customFormat="1" x14ac:dyDescent="0.2"/>
    <row r="188" s="525" customFormat="1" x14ac:dyDescent="0.2"/>
    <row r="189" s="525" customFormat="1" x14ac:dyDescent="0.2"/>
    <row r="190" s="525" customFormat="1" x14ac:dyDescent="0.2"/>
    <row r="191" s="525" customFormat="1" x14ac:dyDescent="0.2"/>
    <row r="192" s="525" customFormat="1" x14ac:dyDescent="0.2"/>
    <row r="193" s="525" customFormat="1" x14ac:dyDescent="0.2"/>
    <row r="194" s="525" customFormat="1" x14ac:dyDescent="0.2"/>
    <row r="195" s="525" customFormat="1" x14ac:dyDescent="0.2"/>
    <row r="196" s="525" customFormat="1" x14ac:dyDescent="0.2"/>
    <row r="197" s="525" customFormat="1" x14ac:dyDescent="0.2"/>
    <row r="198" s="525" customFormat="1" x14ac:dyDescent="0.2"/>
    <row r="199" s="525" customFormat="1" x14ac:dyDescent="0.2"/>
    <row r="200" s="525" customFormat="1" x14ac:dyDescent="0.2"/>
    <row r="201" s="525" customFormat="1" x14ac:dyDescent="0.2"/>
    <row r="202" s="525" customFormat="1" x14ac:dyDescent="0.2"/>
    <row r="203" s="525" customFormat="1" x14ac:dyDescent="0.2"/>
    <row r="204" s="525" customFormat="1" x14ac:dyDescent="0.2"/>
    <row r="205" s="525" customFormat="1" x14ac:dyDescent="0.2"/>
    <row r="206" s="525" customFormat="1" x14ac:dyDescent="0.2"/>
    <row r="207" s="525" customFormat="1" x14ac:dyDescent="0.2"/>
    <row r="208" s="525" customFormat="1" x14ac:dyDescent="0.2"/>
    <row r="209" s="525" customFormat="1" x14ac:dyDescent="0.2"/>
    <row r="210" s="525" customFormat="1" x14ac:dyDescent="0.2"/>
    <row r="211" s="525" customFormat="1" x14ac:dyDescent="0.2"/>
    <row r="212" s="525" customFormat="1" x14ac:dyDescent="0.2"/>
    <row r="213" s="525" customFormat="1" x14ac:dyDescent="0.2"/>
    <row r="214" s="525" customFormat="1" x14ac:dyDescent="0.2"/>
    <row r="215" s="525" customFormat="1" x14ac:dyDescent="0.2"/>
    <row r="216" s="525" customFormat="1" x14ac:dyDescent="0.2"/>
    <row r="217" s="525" customFormat="1" x14ac:dyDescent="0.2"/>
    <row r="218" s="525" customFormat="1" x14ac:dyDescent="0.2"/>
    <row r="219" s="525" customFormat="1" x14ac:dyDescent="0.2"/>
    <row r="220" s="525" customFormat="1" x14ac:dyDescent="0.2"/>
    <row r="221" s="525" customFormat="1" x14ac:dyDescent="0.2"/>
    <row r="222" s="525" customFormat="1" x14ac:dyDescent="0.2"/>
    <row r="223" s="525" customFormat="1" x14ac:dyDescent="0.2"/>
    <row r="224" s="525" customFormat="1" x14ac:dyDescent="0.2"/>
    <row r="225" s="525" customFormat="1" x14ac:dyDescent="0.2"/>
    <row r="226" s="525" customFormat="1" x14ac:dyDescent="0.2"/>
    <row r="227" s="525" customFormat="1" x14ac:dyDescent="0.2"/>
    <row r="228" s="525" customFormat="1" x14ac:dyDescent="0.2"/>
    <row r="229" s="525" customFormat="1" x14ac:dyDescent="0.2"/>
    <row r="230" s="525" customFormat="1" x14ac:dyDescent="0.2"/>
    <row r="231" s="525" customFormat="1" x14ac:dyDescent="0.2"/>
    <row r="232" s="525" customFormat="1" x14ac:dyDescent="0.2"/>
    <row r="233" s="525" customFormat="1" x14ac:dyDescent="0.2"/>
    <row r="234" s="525" customFormat="1" x14ac:dyDescent="0.2"/>
    <row r="235" s="525" customFormat="1" x14ac:dyDescent="0.2"/>
    <row r="236" s="525" customFormat="1" x14ac:dyDescent="0.2"/>
    <row r="237" s="525" customFormat="1" x14ac:dyDescent="0.2"/>
    <row r="238" s="525" customFormat="1" x14ac:dyDescent="0.2"/>
    <row r="239" s="525" customFormat="1" x14ac:dyDescent="0.2"/>
    <row r="240" s="525" customFormat="1" x14ac:dyDescent="0.2"/>
    <row r="241" s="525" customFormat="1" x14ac:dyDescent="0.2"/>
    <row r="242" s="525" customFormat="1" x14ac:dyDescent="0.2"/>
    <row r="243" s="525" customFormat="1" x14ac:dyDescent="0.2"/>
    <row r="244" s="525" customFormat="1" x14ac:dyDescent="0.2"/>
    <row r="245" s="525" customFormat="1" x14ac:dyDescent="0.2"/>
    <row r="246" s="525" customFormat="1" x14ac:dyDescent="0.2"/>
    <row r="247" s="525" customFormat="1" x14ac:dyDescent="0.2"/>
    <row r="248" s="525" customFormat="1" x14ac:dyDescent="0.2"/>
    <row r="249" s="525" customFormat="1" x14ac:dyDescent="0.2"/>
    <row r="250" s="525" customFormat="1" x14ac:dyDescent="0.2"/>
    <row r="251" s="525" customFormat="1" x14ac:dyDescent="0.2"/>
    <row r="252" s="525" customFormat="1" x14ac:dyDescent="0.2"/>
    <row r="253" s="525" customFormat="1" x14ac:dyDescent="0.2"/>
    <row r="254" s="525" customFormat="1" x14ac:dyDescent="0.2"/>
    <row r="255" s="525" customFormat="1" x14ac:dyDescent="0.2"/>
    <row r="256" s="525" customFormat="1" x14ac:dyDescent="0.2"/>
    <row r="257" s="525" customFormat="1" x14ac:dyDescent="0.2"/>
    <row r="258" s="525" customFormat="1" x14ac:dyDescent="0.2"/>
    <row r="259" s="525" customFormat="1" x14ac:dyDescent="0.2"/>
    <row r="260" s="525" customFormat="1" x14ac:dyDescent="0.2"/>
    <row r="261" s="525" customFormat="1" x14ac:dyDescent="0.2"/>
    <row r="262" s="525" customFormat="1" x14ac:dyDescent="0.2"/>
    <row r="263" s="525" customFormat="1" x14ac:dyDescent="0.2"/>
    <row r="264" s="525" customFormat="1" x14ac:dyDescent="0.2"/>
    <row r="265" s="525" customFormat="1" x14ac:dyDescent="0.2"/>
    <row r="266" s="525" customFormat="1" x14ac:dyDescent="0.2"/>
    <row r="267" s="525" customFormat="1" x14ac:dyDescent="0.2"/>
    <row r="268" s="525" customFormat="1" x14ac:dyDescent="0.2"/>
    <row r="269" s="525" customFormat="1" x14ac:dyDescent="0.2"/>
    <row r="270" s="525" customFormat="1" x14ac:dyDescent="0.2"/>
    <row r="271" s="525" customFormat="1" x14ac:dyDescent="0.2"/>
    <row r="272" s="525" customFormat="1" x14ac:dyDescent="0.2"/>
    <row r="273" s="525" customFormat="1" x14ac:dyDescent="0.2"/>
    <row r="274" s="525" customFormat="1" x14ac:dyDescent="0.2"/>
    <row r="275" s="525" customFormat="1" x14ac:dyDescent="0.2"/>
    <row r="276" s="525" customFormat="1" x14ac:dyDescent="0.2"/>
    <row r="277" s="525" customFormat="1" x14ac:dyDescent="0.2"/>
    <row r="278" s="525" customFormat="1" x14ac:dyDescent="0.2"/>
    <row r="279" s="525" customFormat="1" x14ac:dyDescent="0.2"/>
    <row r="280" s="525" customFormat="1" x14ac:dyDescent="0.2"/>
    <row r="281" s="525" customFormat="1" x14ac:dyDescent="0.2"/>
    <row r="282" s="525" customFormat="1" x14ac:dyDescent="0.2"/>
    <row r="283" s="525" customFormat="1" x14ac:dyDescent="0.2"/>
    <row r="284" s="525" customFormat="1" x14ac:dyDescent="0.2"/>
    <row r="285" s="525" customFormat="1" x14ac:dyDescent="0.2"/>
    <row r="286" s="525" customFormat="1" x14ac:dyDescent="0.2"/>
    <row r="287" s="525" customFormat="1" x14ac:dyDescent="0.2"/>
    <row r="288" s="525" customFormat="1" x14ac:dyDescent="0.2"/>
    <row r="289" s="525" customFormat="1" x14ac:dyDescent="0.2"/>
    <row r="290" s="525" customFormat="1" x14ac:dyDescent="0.2"/>
    <row r="291" s="525" customFormat="1" x14ac:dyDescent="0.2"/>
    <row r="292" s="525" customFormat="1" x14ac:dyDescent="0.2"/>
    <row r="293" s="525" customFormat="1" x14ac:dyDescent="0.2"/>
    <row r="294" s="525" customFormat="1" x14ac:dyDescent="0.2"/>
    <row r="295" s="525" customFormat="1" x14ac:dyDescent="0.2"/>
    <row r="296" s="525" customFormat="1" x14ac:dyDescent="0.2"/>
    <row r="297" s="525" customFormat="1" x14ac:dyDescent="0.2"/>
    <row r="298" s="525" customFormat="1" x14ac:dyDescent="0.2"/>
    <row r="299" s="525" customFormat="1" x14ac:dyDescent="0.2"/>
    <row r="300" s="525" customFormat="1" x14ac:dyDescent="0.2"/>
    <row r="301" s="525" customFormat="1" x14ac:dyDescent="0.2"/>
    <row r="302" s="525" customFormat="1" x14ac:dyDescent="0.2"/>
    <row r="303" s="525" customFormat="1" x14ac:dyDescent="0.2"/>
    <row r="304" s="525" customFormat="1" x14ac:dyDescent="0.2"/>
    <row r="305" s="525" customFormat="1" x14ac:dyDescent="0.2"/>
    <row r="306" s="525" customFormat="1" x14ac:dyDescent="0.2"/>
    <row r="307" s="525" customFormat="1" x14ac:dyDescent="0.2"/>
    <row r="308" s="525" customFormat="1" x14ac:dyDescent="0.2"/>
    <row r="309" s="525" customFormat="1" x14ac:dyDescent="0.2"/>
    <row r="310" s="525" customFormat="1" x14ac:dyDescent="0.2"/>
    <row r="311" s="525" customFormat="1" x14ac:dyDescent="0.2"/>
    <row r="312" s="525" customFormat="1" x14ac:dyDescent="0.2"/>
    <row r="313" s="525" customFormat="1" x14ac:dyDescent="0.2"/>
    <row r="314" s="525" customFormat="1" x14ac:dyDescent="0.2"/>
    <row r="315" s="525" customFormat="1" x14ac:dyDescent="0.2"/>
    <row r="316" s="525" customFormat="1" x14ac:dyDescent="0.2"/>
    <row r="317" s="525" customFormat="1" x14ac:dyDescent="0.2"/>
    <row r="318" s="525" customFormat="1" x14ac:dyDescent="0.2"/>
    <row r="319" s="525" customFormat="1" x14ac:dyDescent="0.2"/>
    <row r="320" s="525" customFormat="1" x14ac:dyDescent="0.2"/>
    <row r="321" s="525" customFormat="1" x14ac:dyDescent="0.2"/>
    <row r="322" s="525" customFormat="1" x14ac:dyDescent="0.2"/>
    <row r="323" s="525" customFormat="1" x14ac:dyDescent="0.2"/>
    <row r="324" s="525" customFormat="1" x14ac:dyDescent="0.2"/>
    <row r="325" s="525" customFormat="1" x14ac:dyDescent="0.2"/>
    <row r="326" s="525" customFormat="1" x14ac:dyDescent="0.2"/>
    <row r="327" s="525" customFormat="1" x14ac:dyDescent="0.2"/>
    <row r="328" s="525" customFormat="1" x14ac:dyDescent="0.2"/>
    <row r="329" s="525" customFormat="1" x14ac:dyDescent="0.2"/>
    <row r="330" s="525" customFormat="1" x14ac:dyDescent="0.2"/>
    <row r="331" s="525" customFormat="1" x14ac:dyDescent="0.2"/>
    <row r="332" s="525" customFormat="1" x14ac:dyDescent="0.2"/>
    <row r="333" s="525" customFormat="1" x14ac:dyDescent="0.2"/>
    <row r="334" s="525" customFormat="1" x14ac:dyDescent="0.2"/>
    <row r="335" s="525" customFormat="1" x14ac:dyDescent="0.2"/>
    <row r="336" s="525" customFormat="1" x14ac:dyDescent="0.2"/>
    <row r="337" s="525" customFormat="1" x14ac:dyDescent="0.2"/>
    <row r="338" s="525" customFormat="1" x14ac:dyDescent="0.2"/>
    <row r="339" s="525" customFormat="1" x14ac:dyDescent="0.2"/>
    <row r="340" s="525" customFormat="1" x14ac:dyDescent="0.2"/>
    <row r="341" s="525" customFormat="1" x14ac:dyDescent="0.2"/>
    <row r="342" s="525" customFormat="1" x14ac:dyDescent="0.2"/>
    <row r="343" s="525" customFormat="1" x14ac:dyDescent="0.2"/>
    <row r="344" s="525" customFormat="1" x14ac:dyDescent="0.2"/>
    <row r="345" s="525" customFormat="1" x14ac:dyDescent="0.2"/>
    <row r="346" s="525" customFormat="1" x14ac:dyDescent="0.2"/>
    <row r="347" s="525" customFormat="1" x14ac:dyDescent="0.2"/>
    <row r="348" s="525" customFormat="1" x14ac:dyDescent="0.2"/>
    <row r="349" s="525" customFormat="1" x14ac:dyDescent="0.2"/>
    <row r="350" s="525" customFormat="1" x14ac:dyDescent="0.2"/>
    <row r="351" s="525" customFormat="1" x14ac:dyDescent="0.2"/>
    <row r="352" s="525" customFormat="1" x14ac:dyDescent="0.2"/>
    <row r="353" s="525" customFormat="1" x14ac:dyDescent="0.2"/>
    <row r="354" s="525" customFormat="1" x14ac:dyDescent="0.2"/>
    <row r="355" s="525" customFormat="1" x14ac:dyDescent="0.2"/>
    <row r="356" s="525" customFormat="1" x14ac:dyDescent="0.2"/>
    <row r="357" s="525" customFormat="1" x14ac:dyDescent="0.2"/>
    <row r="358" s="525" customFormat="1" x14ac:dyDescent="0.2"/>
    <row r="359" s="525" customFormat="1" x14ac:dyDescent="0.2"/>
    <row r="360" s="525" customFormat="1" x14ac:dyDescent="0.2"/>
    <row r="361" s="525" customFormat="1" x14ac:dyDescent="0.2"/>
    <row r="362" s="525" customFormat="1" x14ac:dyDescent="0.2"/>
    <row r="363" s="525" customFormat="1" x14ac:dyDescent="0.2"/>
    <row r="364" s="525" customFormat="1" x14ac:dyDescent="0.2"/>
    <row r="365" s="525" customFormat="1" x14ac:dyDescent="0.2"/>
    <row r="366" s="525" customFormat="1" x14ac:dyDescent="0.2"/>
    <row r="367" s="525" customFormat="1" x14ac:dyDescent="0.2"/>
    <row r="368" s="525" customFormat="1" x14ac:dyDescent="0.2"/>
    <row r="369" s="525" customFormat="1" x14ac:dyDescent="0.2"/>
    <row r="370" s="525" customFormat="1" x14ac:dyDescent="0.2"/>
    <row r="371" s="525" customFormat="1" x14ac:dyDescent="0.2"/>
    <row r="372" s="525" customFormat="1" x14ac:dyDescent="0.2"/>
    <row r="373" s="525" customFormat="1" x14ac:dyDescent="0.2"/>
    <row r="374" s="525" customFormat="1" x14ac:dyDescent="0.2"/>
    <row r="375" s="525" customFormat="1" x14ac:dyDescent="0.2"/>
    <row r="376" s="525" customFormat="1" x14ac:dyDescent="0.2"/>
    <row r="377" s="525" customFormat="1" x14ac:dyDescent="0.2"/>
    <row r="378" s="525" customFormat="1" x14ac:dyDescent="0.2"/>
    <row r="379" s="525" customFormat="1" x14ac:dyDescent="0.2"/>
    <row r="380" s="525" customFormat="1" x14ac:dyDescent="0.2"/>
    <row r="381" s="525" customFormat="1" x14ac:dyDescent="0.2"/>
    <row r="382" s="525" customFormat="1" x14ac:dyDescent="0.2"/>
    <row r="383" s="525" customFormat="1" x14ac:dyDescent="0.2"/>
    <row r="384" s="525" customFormat="1" x14ac:dyDescent="0.2"/>
    <row r="385" s="525" customFormat="1" x14ac:dyDescent="0.2"/>
    <row r="386" s="525" customFormat="1" x14ac:dyDescent="0.2"/>
    <row r="387" s="525" customFormat="1" x14ac:dyDescent="0.2"/>
    <row r="388" s="525" customFormat="1" x14ac:dyDescent="0.2"/>
    <row r="389" s="525" customFormat="1" x14ac:dyDescent="0.2"/>
    <row r="390" s="525" customFormat="1" x14ac:dyDescent="0.2"/>
    <row r="391" s="525" customFormat="1" x14ac:dyDescent="0.2"/>
    <row r="392" s="525" customFormat="1" x14ac:dyDescent="0.2"/>
    <row r="393" s="525" customFormat="1" x14ac:dyDescent="0.2"/>
    <row r="394" s="525" customFormat="1" x14ac:dyDescent="0.2"/>
    <row r="395" s="525" customFormat="1" x14ac:dyDescent="0.2"/>
    <row r="396" s="525" customFormat="1" x14ac:dyDescent="0.2"/>
    <row r="397" s="525" customFormat="1" x14ac:dyDescent="0.2"/>
    <row r="398" s="525" customFormat="1" x14ac:dyDescent="0.2"/>
    <row r="399" s="525" customFormat="1" x14ac:dyDescent="0.2"/>
    <row r="400" s="525" customFormat="1" x14ac:dyDescent="0.2"/>
    <row r="401" s="525" customFormat="1" x14ac:dyDescent="0.2"/>
    <row r="402" s="525" customFormat="1" x14ac:dyDescent="0.2"/>
    <row r="403" s="525" customFormat="1" x14ac:dyDescent="0.2"/>
    <row r="404" s="525" customFormat="1" x14ac:dyDescent="0.2"/>
    <row r="405" s="525" customFormat="1" x14ac:dyDescent="0.2"/>
    <row r="406" s="525" customFormat="1" x14ac:dyDescent="0.2"/>
    <row r="407" s="525" customFormat="1" x14ac:dyDescent="0.2"/>
    <row r="408" s="525" customFormat="1" x14ac:dyDescent="0.2"/>
    <row r="409" s="525" customFormat="1" x14ac:dyDescent="0.2"/>
    <row r="410" s="525" customFormat="1" x14ac:dyDescent="0.2"/>
    <row r="411" s="525" customFormat="1" x14ac:dyDescent="0.2"/>
    <row r="412" s="525" customFormat="1" x14ac:dyDescent="0.2"/>
    <row r="413" s="525" customFormat="1" x14ac:dyDescent="0.2"/>
    <row r="414" s="525" customFormat="1" x14ac:dyDescent="0.2"/>
    <row r="415" s="525" customFormat="1" x14ac:dyDescent="0.2"/>
    <row r="416" s="525" customFormat="1" x14ac:dyDescent="0.2"/>
    <row r="417" s="525" customFormat="1" x14ac:dyDescent="0.2"/>
    <row r="418" s="525" customFormat="1" x14ac:dyDescent="0.2"/>
    <row r="419" s="525" customFormat="1" x14ac:dyDescent="0.2"/>
    <row r="420" s="525" customFormat="1" x14ac:dyDescent="0.2"/>
    <row r="421" s="525" customFormat="1" x14ac:dyDescent="0.2"/>
    <row r="422" s="525" customFormat="1" x14ac:dyDescent="0.2"/>
    <row r="423" s="525" customFormat="1" x14ac:dyDescent="0.2"/>
    <row r="424" s="525" customFormat="1" x14ac:dyDescent="0.2"/>
    <row r="425" s="525" customFormat="1" x14ac:dyDescent="0.2"/>
    <row r="426" s="525" customFormat="1" x14ac:dyDescent="0.2"/>
    <row r="427" s="525" customFormat="1" x14ac:dyDescent="0.2"/>
    <row r="428" s="525" customFormat="1" x14ac:dyDescent="0.2"/>
    <row r="429" s="525" customFormat="1" x14ac:dyDescent="0.2"/>
    <row r="430" s="525" customFormat="1" x14ac:dyDescent="0.2"/>
    <row r="431" s="525" customFormat="1" x14ac:dyDescent="0.2"/>
    <row r="432" s="525" customFormat="1" x14ac:dyDescent="0.2"/>
    <row r="433" s="525" customFormat="1" x14ac:dyDescent="0.2"/>
    <row r="434" s="525" customFormat="1" x14ac:dyDescent="0.2"/>
    <row r="435" s="525" customFormat="1" x14ac:dyDescent="0.2"/>
    <row r="436" s="525" customFormat="1" x14ac:dyDescent="0.2"/>
    <row r="437" s="525" customFormat="1" x14ac:dyDescent="0.2"/>
    <row r="438" s="525" customFormat="1" x14ac:dyDescent="0.2"/>
    <row r="439" s="525" customFormat="1" x14ac:dyDescent="0.2"/>
    <row r="440" s="525" customFormat="1" x14ac:dyDescent="0.2"/>
    <row r="441" s="525" customFormat="1" x14ac:dyDescent="0.2"/>
    <row r="442" s="525" customFormat="1" x14ac:dyDescent="0.2"/>
    <row r="443" s="525" customFormat="1" x14ac:dyDescent="0.2"/>
    <row r="444" s="525" customFormat="1" x14ac:dyDescent="0.2"/>
    <row r="445" s="525" customFormat="1" x14ac:dyDescent="0.2"/>
    <row r="446" s="525" customFormat="1" x14ac:dyDescent="0.2"/>
    <row r="447" s="525" customFormat="1" x14ac:dyDescent="0.2"/>
    <row r="448" s="525" customFormat="1" x14ac:dyDescent="0.2"/>
    <row r="449" s="525" customFormat="1" x14ac:dyDescent="0.2"/>
    <row r="450" s="525" customFormat="1" x14ac:dyDescent="0.2"/>
    <row r="451" s="525" customFormat="1" x14ac:dyDescent="0.2"/>
    <row r="452" s="525" customFormat="1" x14ac:dyDescent="0.2"/>
    <row r="453" s="525" customFormat="1" x14ac:dyDescent="0.2"/>
    <row r="454" s="525" customFormat="1" x14ac:dyDescent="0.2"/>
    <row r="455" s="525" customFormat="1" x14ac:dyDescent="0.2"/>
    <row r="456" s="525" customFormat="1" x14ac:dyDescent="0.2"/>
    <row r="457" s="525" customFormat="1" x14ac:dyDescent="0.2"/>
    <row r="458" s="525" customFormat="1" x14ac:dyDescent="0.2"/>
    <row r="459" s="525" customFormat="1" x14ac:dyDescent="0.2"/>
    <row r="460" s="525" customFormat="1" x14ac:dyDescent="0.2"/>
    <row r="461" s="525" customFormat="1" x14ac:dyDescent="0.2"/>
    <row r="462" s="525" customFormat="1" x14ac:dyDescent="0.2"/>
    <row r="463" s="525" customFormat="1" x14ac:dyDescent="0.2"/>
    <row r="464" s="525" customFormat="1" x14ac:dyDescent="0.2"/>
    <row r="465" s="525" customFormat="1" x14ac:dyDescent="0.2"/>
    <row r="466" s="525" customFormat="1" x14ac:dyDescent="0.2"/>
    <row r="467" s="525" customFormat="1" x14ac:dyDescent="0.2"/>
    <row r="468" s="525" customFormat="1" x14ac:dyDescent="0.2"/>
    <row r="469" s="525" customFormat="1" x14ac:dyDescent="0.2"/>
    <row r="470" s="525" customFormat="1" x14ac:dyDescent="0.2"/>
    <row r="471" s="525" customFormat="1" x14ac:dyDescent="0.2"/>
    <row r="472" s="525" customFormat="1" x14ac:dyDescent="0.2"/>
    <row r="473" s="525" customFormat="1" x14ac:dyDescent="0.2"/>
    <row r="474" s="525" customFormat="1" x14ac:dyDescent="0.2"/>
    <row r="475" s="525" customFormat="1" x14ac:dyDescent="0.2"/>
    <row r="476" s="525" customFormat="1" x14ac:dyDescent="0.2"/>
    <row r="477" s="525" customFormat="1" x14ac:dyDescent="0.2"/>
    <row r="478" s="525" customFormat="1" x14ac:dyDescent="0.2"/>
    <row r="479" s="525" customFormat="1" x14ac:dyDescent="0.2"/>
    <row r="480" s="525" customFormat="1" x14ac:dyDescent="0.2"/>
    <row r="481" s="525" customFormat="1" x14ac:dyDescent="0.2"/>
    <row r="482" s="525" customFormat="1" x14ac:dyDescent="0.2"/>
    <row r="483" s="525" customFormat="1" x14ac:dyDescent="0.2"/>
    <row r="484" s="525" customFormat="1" x14ac:dyDescent="0.2"/>
    <row r="485" s="525" customFormat="1" x14ac:dyDescent="0.2"/>
    <row r="486" s="525" customFormat="1" x14ac:dyDescent="0.2"/>
    <row r="487" s="525" customFormat="1" x14ac:dyDescent="0.2"/>
    <row r="488" s="525" customFormat="1" x14ac:dyDescent="0.2"/>
    <row r="489" s="525" customFormat="1" x14ac:dyDescent="0.2"/>
    <row r="490" s="525" customFormat="1" x14ac:dyDescent="0.2"/>
    <row r="491" s="525" customFormat="1" x14ac:dyDescent="0.2"/>
    <row r="492" s="525" customFormat="1" x14ac:dyDescent="0.2"/>
    <row r="493" s="525" customFormat="1" x14ac:dyDescent="0.2"/>
    <row r="494" s="525" customFormat="1" x14ac:dyDescent="0.2"/>
    <row r="495" s="525" customFormat="1" x14ac:dyDescent="0.2"/>
    <row r="496" s="525" customFormat="1" x14ac:dyDescent="0.2"/>
    <row r="497" s="525" customFormat="1" x14ac:dyDescent="0.2"/>
    <row r="498" s="525" customFormat="1" x14ac:dyDescent="0.2"/>
    <row r="499" s="525" customFormat="1" x14ac:dyDescent="0.2"/>
    <row r="500" s="525" customFormat="1" x14ac:dyDescent="0.2"/>
    <row r="501" s="525" customFormat="1" x14ac:dyDescent="0.2"/>
    <row r="502" s="525" customFormat="1" x14ac:dyDescent="0.2"/>
    <row r="503" s="525" customFormat="1" x14ac:dyDescent="0.2"/>
    <row r="504" s="525" customFormat="1" x14ac:dyDescent="0.2"/>
    <row r="505" s="525" customFormat="1" x14ac:dyDescent="0.2"/>
    <row r="506" s="525" customFormat="1" x14ac:dyDescent="0.2"/>
    <row r="507" s="525" customFormat="1" x14ac:dyDescent="0.2"/>
    <row r="508" s="525" customFormat="1" x14ac:dyDescent="0.2"/>
    <row r="509" s="525" customFormat="1" x14ac:dyDescent="0.2"/>
    <row r="510" s="525" customFormat="1" x14ac:dyDescent="0.2"/>
    <row r="511" s="525" customFormat="1" x14ac:dyDescent="0.2"/>
    <row r="512" s="525" customFormat="1" x14ac:dyDescent="0.2"/>
    <row r="513" s="525" customFormat="1" x14ac:dyDescent="0.2"/>
    <row r="514" s="525" customFormat="1" x14ac:dyDescent="0.2"/>
    <row r="515" s="525" customFormat="1" x14ac:dyDescent="0.2"/>
    <row r="516" s="525" customFormat="1" x14ac:dyDescent="0.2"/>
    <row r="517" s="525" customFormat="1" x14ac:dyDescent="0.2"/>
    <row r="518" s="525" customFormat="1" x14ac:dyDescent="0.2"/>
    <row r="519" s="525" customFormat="1" x14ac:dyDescent="0.2"/>
    <row r="520" s="525" customFormat="1" x14ac:dyDescent="0.2"/>
    <row r="521" s="525" customFormat="1" x14ac:dyDescent="0.2"/>
    <row r="522" s="525" customFormat="1" x14ac:dyDescent="0.2"/>
    <row r="523" s="525" customFormat="1" x14ac:dyDescent="0.2"/>
    <row r="524" s="525" customFormat="1" x14ac:dyDescent="0.2"/>
    <row r="525" s="525" customFormat="1" x14ac:dyDescent="0.2"/>
    <row r="526" s="525" customFormat="1" x14ac:dyDescent="0.2"/>
    <row r="527" s="525" customFormat="1" x14ac:dyDescent="0.2"/>
    <row r="528" s="525" customFormat="1" x14ac:dyDescent="0.2"/>
    <row r="529" s="525" customFormat="1" x14ac:dyDescent="0.2"/>
    <row r="530" s="525" customFormat="1" x14ac:dyDescent="0.2"/>
    <row r="531" s="525" customFormat="1" x14ac:dyDescent="0.2"/>
    <row r="532" s="525" customFormat="1" x14ac:dyDescent="0.2"/>
    <row r="533" s="525" customFormat="1" x14ac:dyDescent="0.2"/>
    <row r="534" s="525" customFormat="1" x14ac:dyDescent="0.2"/>
    <row r="535" s="525" customFormat="1" x14ac:dyDescent="0.2"/>
    <row r="536" s="525" customFormat="1" x14ac:dyDescent="0.2"/>
    <row r="537" s="525" customFormat="1" x14ac:dyDescent="0.2"/>
    <row r="538" s="525" customFormat="1" x14ac:dyDescent="0.2"/>
    <row r="539" s="525" customFormat="1" x14ac:dyDescent="0.2"/>
    <row r="540" s="525" customFormat="1" x14ac:dyDescent="0.2"/>
    <row r="541" s="525" customFormat="1" x14ac:dyDescent="0.2"/>
    <row r="542" s="525" customFormat="1" x14ac:dyDescent="0.2"/>
    <row r="543" s="525" customFormat="1" x14ac:dyDescent="0.2"/>
    <row r="544" s="525" customFormat="1" x14ac:dyDescent="0.2"/>
    <row r="545" s="525" customFormat="1" x14ac:dyDescent="0.2"/>
    <row r="546" s="525" customFormat="1" x14ac:dyDescent="0.2"/>
    <row r="547" s="525" customFormat="1" x14ac:dyDescent="0.2"/>
    <row r="548" s="525" customFormat="1" x14ac:dyDescent="0.2"/>
    <row r="549" s="525" customFormat="1" x14ac:dyDescent="0.2"/>
    <row r="550" s="525" customFormat="1" x14ac:dyDescent="0.2"/>
    <row r="551" s="525" customFormat="1" x14ac:dyDescent="0.2"/>
    <row r="552" s="525" customFormat="1" x14ac:dyDescent="0.2"/>
    <row r="553" s="525" customFormat="1" x14ac:dyDescent="0.2"/>
    <row r="554" s="525" customFormat="1" x14ac:dyDescent="0.2"/>
    <row r="555" s="525" customFormat="1" x14ac:dyDescent="0.2"/>
    <row r="556" s="525" customFormat="1" x14ac:dyDescent="0.2"/>
    <row r="557" s="525" customFormat="1" x14ac:dyDescent="0.2"/>
    <row r="558" s="525" customFormat="1" x14ac:dyDescent="0.2"/>
    <row r="559" s="525" customFormat="1" x14ac:dyDescent="0.2"/>
    <row r="560" s="525" customFormat="1" x14ac:dyDescent="0.2"/>
    <row r="561" s="525" customFormat="1" x14ac:dyDescent="0.2"/>
    <row r="562" s="525" customFormat="1" x14ac:dyDescent="0.2"/>
    <row r="563" s="525" customFormat="1" x14ac:dyDescent="0.2"/>
    <row r="564" s="525" customFormat="1" x14ac:dyDescent="0.2"/>
    <row r="565" s="525" customFormat="1" x14ac:dyDescent="0.2"/>
    <row r="566" s="525" customFormat="1" x14ac:dyDescent="0.2"/>
    <row r="567" s="525" customFormat="1" x14ac:dyDescent="0.2"/>
    <row r="568" s="525" customFormat="1" x14ac:dyDescent="0.2"/>
    <row r="569" s="525" customFormat="1" x14ac:dyDescent="0.2"/>
    <row r="570" s="525" customFormat="1" x14ac:dyDescent="0.2"/>
    <row r="571" s="525" customFormat="1" x14ac:dyDescent="0.2"/>
    <row r="572" s="525" customFormat="1" x14ac:dyDescent="0.2"/>
    <row r="573" s="525" customFormat="1" x14ac:dyDescent="0.2"/>
    <row r="574" s="525" customFormat="1" x14ac:dyDescent="0.2"/>
    <row r="575" s="525" customFormat="1" x14ac:dyDescent="0.2"/>
    <row r="576" s="525" customFormat="1" x14ac:dyDescent="0.2"/>
    <row r="577" s="525" customFormat="1" x14ac:dyDescent="0.2"/>
    <row r="578" s="525" customFormat="1" x14ac:dyDescent="0.2"/>
    <row r="579" s="525" customFormat="1" x14ac:dyDescent="0.2"/>
    <row r="580" s="525" customFormat="1" x14ac:dyDescent="0.2"/>
    <row r="581" s="525" customFormat="1" x14ac:dyDescent="0.2"/>
    <row r="582" s="525" customFormat="1" x14ac:dyDescent="0.2"/>
    <row r="583" s="525" customFormat="1" x14ac:dyDescent="0.2"/>
    <row r="584" s="525" customFormat="1" x14ac:dyDescent="0.2"/>
    <row r="585" s="525" customFormat="1" x14ac:dyDescent="0.2"/>
    <row r="586" s="525" customFormat="1" x14ac:dyDescent="0.2"/>
    <row r="587" s="525" customFormat="1" x14ac:dyDescent="0.2"/>
    <row r="588" s="525" customFormat="1" x14ac:dyDescent="0.2"/>
    <row r="589" s="525" customFormat="1" x14ac:dyDescent="0.2"/>
    <row r="590" s="525" customFormat="1" x14ac:dyDescent="0.2"/>
    <row r="591" s="525" customFormat="1" x14ac:dyDescent="0.2"/>
    <row r="592" s="525" customFormat="1" x14ac:dyDescent="0.2"/>
    <row r="593" s="525" customFormat="1" x14ac:dyDescent="0.2"/>
    <row r="594" s="525" customFormat="1" x14ac:dyDescent="0.2"/>
    <row r="595" s="525" customFormat="1" x14ac:dyDescent="0.2"/>
    <row r="596" s="525" customFormat="1" x14ac:dyDescent="0.2"/>
    <row r="597" s="525" customFormat="1" x14ac:dyDescent="0.2"/>
    <row r="598" s="525" customFormat="1" x14ac:dyDescent="0.2"/>
    <row r="599" s="525" customFormat="1" x14ac:dyDescent="0.2"/>
    <row r="600" s="525" customFormat="1" x14ac:dyDescent="0.2"/>
    <row r="601" s="525" customFormat="1" x14ac:dyDescent="0.2"/>
    <row r="602" s="525" customFormat="1" x14ac:dyDescent="0.2"/>
    <row r="603" s="525" customFormat="1" x14ac:dyDescent="0.2"/>
    <row r="604" s="525" customFormat="1" x14ac:dyDescent="0.2"/>
    <row r="605" s="525" customFormat="1" x14ac:dyDescent="0.2"/>
    <row r="606" s="525" customFormat="1" x14ac:dyDescent="0.2"/>
    <row r="607" s="525" customFormat="1" x14ac:dyDescent="0.2"/>
    <row r="608" s="525" customFormat="1" x14ac:dyDescent="0.2"/>
    <row r="609" s="525" customFormat="1" x14ac:dyDescent="0.2"/>
    <row r="610" s="525" customFormat="1" x14ac:dyDescent="0.2"/>
    <row r="611" s="525" customFormat="1" x14ac:dyDescent="0.2"/>
    <row r="612" s="525" customFormat="1" x14ac:dyDescent="0.2"/>
    <row r="613" s="525" customFormat="1" x14ac:dyDescent="0.2"/>
    <row r="614" s="525" customFormat="1" x14ac:dyDescent="0.2"/>
    <row r="615" s="525" customFormat="1" x14ac:dyDescent="0.2"/>
    <row r="616" s="525" customFormat="1" x14ac:dyDescent="0.2"/>
    <row r="617" s="525" customFormat="1" x14ac:dyDescent="0.2"/>
    <row r="618" s="525" customFormat="1" x14ac:dyDescent="0.2"/>
    <row r="619" s="525" customFormat="1" x14ac:dyDescent="0.2"/>
    <row r="620" s="525" customFormat="1" x14ac:dyDescent="0.2"/>
    <row r="621" s="525" customFormat="1" x14ac:dyDescent="0.2"/>
    <row r="622" s="525" customFormat="1" x14ac:dyDescent="0.2"/>
    <row r="623" s="525" customFormat="1" x14ac:dyDescent="0.2"/>
    <row r="624" s="525" customFormat="1" x14ac:dyDescent="0.2"/>
    <row r="625" s="525" customFormat="1" x14ac:dyDescent="0.2"/>
    <row r="626" s="525" customFormat="1" x14ac:dyDescent="0.2"/>
    <row r="627" s="525" customFormat="1" x14ac:dyDescent="0.2"/>
    <row r="628" s="525" customFormat="1" x14ac:dyDescent="0.2"/>
    <row r="629" s="525" customFormat="1" x14ac:dyDescent="0.2"/>
    <row r="630" s="525" customFormat="1" x14ac:dyDescent="0.2"/>
    <row r="631" s="525" customFormat="1" x14ac:dyDescent="0.2"/>
    <row r="632" s="525" customFormat="1" x14ac:dyDescent="0.2"/>
    <row r="633" s="525" customFormat="1" x14ac:dyDescent="0.2"/>
    <row r="634" s="525" customFormat="1" x14ac:dyDescent="0.2"/>
    <row r="635" s="525" customFormat="1" x14ac:dyDescent="0.2"/>
    <row r="636" s="525" customFormat="1" x14ac:dyDescent="0.2"/>
    <row r="637" s="525" customFormat="1" x14ac:dyDescent="0.2"/>
    <row r="638" s="525" customFormat="1" x14ac:dyDescent="0.2"/>
    <row r="639" s="525" customFormat="1" x14ac:dyDescent="0.2"/>
    <row r="640" s="525" customFormat="1" x14ac:dyDescent="0.2"/>
    <row r="641" s="525" customFormat="1" x14ac:dyDescent="0.2"/>
    <row r="642" s="525" customFormat="1" x14ac:dyDescent="0.2"/>
    <row r="643" s="525" customFormat="1" x14ac:dyDescent="0.2"/>
    <row r="644" s="525" customFormat="1" x14ac:dyDescent="0.2"/>
    <row r="645" s="525" customFormat="1" x14ac:dyDescent="0.2"/>
    <row r="646" s="525" customFormat="1" x14ac:dyDescent="0.2"/>
    <row r="647" s="525" customFormat="1" x14ac:dyDescent="0.2"/>
    <row r="648" s="525" customFormat="1" x14ac:dyDescent="0.2"/>
    <row r="649" s="525" customFormat="1" x14ac:dyDescent="0.2"/>
    <row r="650" s="525" customFormat="1" x14ac:dyDescent="0.2"/>
    <row r="651" s="525" customFormat="1" x14ac:dyDescent="0.2"/>
    <row r="652" s="525" customFormat="1" x14ac:dyDescent="0.2"/>
    <row r="653" s="525" customFormat="1" x14ac:dyDescent="0.2"/>
    <row r="654" s="525" customFormat="1" x14ac:dyDescent="0.2"/>
    <row r="655" s="525" customFormat="1" x14ac:dyDescent="0.2"/>
    <row r="656" s="525" customFormat="1" x14ac:dyDescent="0.2"/>
    <row r="657" s="525" customFormat="1" x14ac:dyDescent="0.2"/>
    <row r="658" s="525" customFormat="1" x14ac:dyDescent="0.2"/>
    <row r="659" s="525" customFormat="1" x14ac:dyDescent="0.2"/>
    <row r="660" s="525" customFormat="1" x14ac:dyDescent="0.2"/>
    <row r="661" s="525" customFormat="1" x14ac:dyDescent="0.2"/>
    <row r="662" s="525" customFormat="1" x14ac:dyDescent="0.2"/>
    <row r="663" s="525" customFormat="1" x14ac:dyDescent="0.2"/>
    <row r="664" s="525" customFormat="1" x14ac:dyDescent="0.2"/>
    <row r="665" s="525" customFormat="1" x14ac:dyDescent="0.2"/>
    <row r="666" s="525" customFormat="1" x14ac:dyDescent="0.2"/>
    <row r="667" s="525" customFormat="1" x14ac:dyDescent="0.2"/>
    <row r="668" s="525" customFormat="1" x14ac:dyDescent="0.2"/>
    <row r="669" s="525" customFormat="1" x14ac:dyDescent="0.2"/>
    <row r="670" s="525" customFormat="1" x14ac:dyDescent="0.2"/>
    <row r="671" s="525" customFormat="1" x14ac:dyDescent="0.2"/>
    <row r="672" s="525" customFormat="1" x14ac:dyDescent="0.2"/>
    <row r="673" s="525" customFormat="1" x14ac:dyDescent="0.2"/>
    <row r="674" s="525" customFormat="1" x14ac:dyDescent="0.2"/>
    <row r="675" s="525" customFormat="1" x14ac:dyDescent="0.2"/>
    <row r="676" s="525" customFormat="1" x14ac:dyDescent="0.2"/>
    <row r="677" s="525" customFormat="1" x14ac:dyDescent="0.2"/>
    <row r="678" s="525" customFormat="1" x14ac:dyDescent="0.2"/>
    <row r="679" s="525" customFormat="1" x14ac:dyDescent="0.2"/>
    <row r="680" s="525" customFormat="1" x14ac:dyDescent="0.2"/>
    <row r="681" s="525" customFormat="1" x14ac:dyDescent="0.2"/>
    <row r="682" s="525" customFormat="1" x14ac:dyDescent="0.2"/>
    <row r="683" s="525" customFormat="1" x14ac:dyDescent="0.2"/>
    <row r="684" s="525" customFormat="1" x14ac:dyDescent="0.2"/>
    <row r="685" s="525" customFormat="1" x14ac:dyDescent="0.2"/>
    <row r="686" s="525" customFormat="1" x14ac:dyDescent="0.2"/>
    <row r="687" s="525" customFormat="1" x14ac:dyDescent="0.2"/>
    <row r="688" s="525" customFormat="1" x14ac:dyDescent="0.2"/>
    <row r="689" s="525" customFormat="1" x14ac:dyDescent="0.2"/>
    <row r="690" s="525" customFormat="1" x14ac:dyDescent="0.2"/>
    <row r="691" s="525" customFormat="1" x14ac:dyDescent="0.2"/>
    <row r="692" s="525" customFormat="1" x14ac:dyDescent="0.2"/>
    <row r="693" s="525" customFormat="1" x14ac:dyDescent="0.2"/>
    <row r="694" s="525" customFormat="1" x14ac:dyDescent="0.2"/>
    <row r="695" s="525" customFormat="1" x14ac:dyDescent="0.2"/>
    <row r="696" s="525" customFormat="1" x14ac:dyDescent="0.2"/>
    <row r="697" s="525" customFormat="1" x14ac:dyDescent="0.2"/>
    <row r="698" s="525" customFormat="1" x14ac:dyDescent="0.2"/>
    <row r="699" s="525" customFormat="1" x14ac:dyDescent="0.2"/>
    <row r="700" s="525" customFormat="1" x14ac:dyDescent="0.2"/>
    <row r="701" s="525" customFormat="1" x14ac:dyDescent="0.2"/>
    <row r="702" s="525" customFormat="1" x14ac:dyDescent="0.2"/>
    <row r="703" s="525" customFormat="1" x14ac:dyDescent="0.2"/>
    <row r="704" s="525" customFormat="1" x14ac:dyDescent="0.2"/>
    <row r="705" s="525" customFormat="1" x14ac:dyDescent="0.2"/>
    <row r="706" s="525" customFormat="1" x14ac:dyDescent="0.2"/>
    <row r="707" s="525" customFormat="1" x14ac:dyDescent="0.2"/>
    <row r="708" s="525" customFormat="1" x14ac:dyDescent="0.2"/>
    <row r="709" s="525" customFormat="1" x14ac:dyDescent="0.2"/>
    <row r="710" s="525" customFormat="1" x14ac:dyDescent="0.2"/>
    <row r="711" s="525" customFormat="1" x14ac:dyDescent="0.2"/>
    <row r="712" s="525" customFormat="1" x14ac:dyDescent="0.2"/>
    <row r="713" s="525" customFormat="1" x14ac:dyDescent="0.2"/>
    <row r="714" s="525" customFormat="1" x14ac:dyDescent="0.2"/>
    <row r="715" s="525" customFormat="1" x14ac:dyDescent="0.2"/>
    <row r="716" s="525" customFormat="1" x14ac:dyDescent="0.2"/>
    <row r="717" s="525" customFormat="1" x14ac:dyDescent="0.2"/>
    <row r="718" s="525" customFormat="1" x14ac:dyDescent="0.2"/>
    <row r="719" s="525" customFormat="1" x14ac:dyDescent="0.2"/>
    <row r="720" s="525" customFormat="1" x14ac:dyDescent="0.2"/>
    <row r="721" s="525" customFormat="1" x14ac:dyDescent="0.2"/>
    <row r="722" s="525" customFormat="1" x14ac:dyDescent="0.2"/>
    <row r="723" s="525" customFormat="1" x14ac:dyDescent="0.2"/>
    <row r="724" s="525" customFormat="1" x14ac:dyDescent="0.2"/>
    <row r="725" s="525" customFormat="1" x14ac:dyDescent="0.2"/>
    <row r="726" s="525" customFormat="1" x14ac:dyDescent="0.2"/>
    <row r="727" s="525" customFormat="1" x14ac:dyDescent="0.2"/>
    <row r="728" s="525" customFormat="1" x14ac:dyDescent="0.2"/>
    <row r="729" s="525" customFormat="1" x14ac:dyDescent="0.2"/>
    <row r="730" s="525" customFormat="1" x14ac:dyDescent="0.2"/>
    <row r="731" s="525" customFormat="1" x14ac:dyDescent="0.2"/>
    <row r="732" s="525" customFormat="1" x14ac:dyDescent="0.2"/>
    <row r="733" s="525" customFormat="1" x14ac:dyDescent="0.2"/>
    <row r="734" s="525" customFormat="1" x14ac:dyDescent="0.2"/>
    <row r="735" s="525" customFormat="1" x14ac:dyDescent="0.2"/>
    <row r="736" s="525" customFormat="1" x14ac:dyDescent="0.2"/>
    <row r="737" s="525" customFormat="1" x14ac:dyDescent="0.2"/>
    <row r="738" s="525" customFormat="1" x14ac:dyDescent="0.2"/>
    <row r="739" s="525" customFormat="1" x14ac:dyDescent="0.2"/>
    <row r="740" s="525" customFormat="1" x14ac:dyDescent="0.2"/>
    <row r="741" s="525" customFormat="1" x14ac:dyDescent="0.2"/>
    <row r="742" s="525" customFormat="1" x14ac:dyDescent="0.2"/>
    <row r="743" s="525" customFormat="1" x14ac:dyDescent="0.2"/>
    <row r="744" s="525" customFormat="1" x14ac:dyDescent="0.2"/>
    <row r="745" s="525" customFormat="1" x14ac:dyDescent="0.2"/>
    <row r="746" s="525" customFormat="1" x14ac:dyDescent="0.2"/>
    <row r="747" s="525" customFormat="1" x14ac:dyDescent="0.2"/>
    <row r="748" s="525" customFormat="1" x14ac:dyDescent="0.2"/>
    <row r="749" s="525" customFormat="1" x14ac:dyDescent="0.2"/>
    <row r="750" s="525" customFormat="1" x14ac:dyDescent="0.2"/>
    <row r="751" s="525" customFormat="1" x14ac:dyDescent="0.2"/>
    <row r="752" s="525" customFormat="1" x14ac:dyDescent="0.2"/>
    <row r="753" s="525" customFormat="1" x14ac:dyDescent="0.2"/>
    <row r="754" s="525" customFormat="1" x14ac:dyDescent="0.2"/>
    <row r="755" s="525" customFormat="1" x14ac:dyDescent="0.2"/>
    <row r="756" s="525" customFormat="1" x14ac:dyDescent="0.2"/>
    <row r="757" s="525" customFormat="1" x14ac:dyDescent="0.2"/>
    <row r="758" s="525" customFormat="1" x14ac:dyDescent="0.2"/>
    <row r="759" s="525" customFormat="1" x14ac:dyDescent="0.2"/>
    <row r="760" s="525" customFormat="1" x14ac:dyDescent="0.2"/>
    <row r="761" s="525" customFormat="1" x14ac:dyDescent="0.2"/>
    <row r="762" s="525" customFormat="1" x14ac:dyDescent="0.2"/>
    <row r="763" s="525" customFormat="1" x14ac:dyDescent="0.2"/>
    <row r="764" s="525" customFormat="1" x14ac:dyDescent="0.2"/>
    <row r="765" s="525" customFormat="1" x14ac:dyDescent="0.2"/>
    <row r="766" s="525" customFormat="1" x14ac:dyDescent="0.2"/>
    <row r="767" s="525" customFormat="1" x14ac:dyDescent="0.2"/>
    <row r="768" s="525" customFormat="1" x14ac:dyDescent="0.2"/>
    <row r="769" s="525" customFormat="1" x14ac:dyDescent="0.2"/>
    <row r="770" s="525" customFormat="1" x14ac:dyDescent="0.2"/>
    <row r="771" s="525" customFormat="1" x14ac:dyDescent="0.2"/>
    <row r="772" s="525" customFormat="1" x14ac:dyDescent="0.2"/>
    <row r="773" s="525" customFormat="1" x14ac:dyDescent="0.2"/>
    <row r="774" s="525" customFormat="1" x14ac:dyDescent="0.2"/>
    <row r="775" s="525" customFormat="1" x14ac:dyDescent="0.2"/>
    <row r="776" s="525" customFormat="1" x14ac:dyDescent="0.2"/>
    <row r="777" s="525" customFormat="1" x14ac:dyDescent="0.2"/>
    <row r="778" s="525" customFormat="1" x14ac:dyDescent="0.2"/>
    <row r="779" s="525" customFormat="1" x14ac:dyDescent="0.2"/>
    <row r="780" s="525" customFormat="1" x14ac:dyDescent="0.2"/>
    <row r="781" s="525" customFormat="1" x14ac:dyDescent="0.2"/>
    <row r="782" s="525" customFormat="1" x14ac:dyDescent="0.2"/>
    <row r="783" s="525" customFormat="1" x14ac:dyDescent="0.2"/>
    <row r="784" s="525" customFormat="1" x14ac:dyDescent="0.2"/>
    <row r="785" s="525" customFormat="1" x14ac:dyDescent="0.2"/>
    <row r="786" s="525" customFormat="1" x14ac:dyDescent="0.2"/>
    <row r="787" s="525" customFormat="1" x14ac:dyDescent="0.2"/>
    <row r="788" s="525" customFormat="1" x14ac:dyDescent="0.2"/>
    <row r="789" s="525" customFormat="1" x14ac:dyDescent="0.2"/>
    <row r="790" s="525" customFormat="1" x14ac:dyDescent="0.2"/>
    <row r="791" s="525" customFormat="1" x14ac:dyDescent="0.2"/>
    <row r="792" s="525" customFormat="1" x14ac:dyDescent="0.2"/>
    <row r="793" s="525" customFormat="1" x14ac:dyDescent="0.2"/>
    <row r="794" s="525" customFormat="1" x14ac:dyDescent="0.2"/>
    <row r="795" s="525" customFormat="1" x14ac:dyDescent="0.2"/>
    <row r="796" s="525" customFormat="1" x14ac:dyDescent="0.2"/>
    <row r="797" s="525" customFormat="1" x14ac:dyDescent="0.2"/>
    <row r="798" s="525" customFormat="1" x14ac:dyDescent="0.2"/>
    <row r="799" s="525" customFormat="1" x14ac:dyDescent="0.2"/>
    <row r="800" s="525" customFormat="1" x14ac:dyDescent="0.2"/>
    <row r="801" s="525" customFormat="1" x14ac:dyDescent="0.2"/>
    <row r="802" s="525" customFormat="1" x14ac:dyDescent="0.2"/>
    <row r="803" s="525" customFormat="1" x14ac:dyDescent="0.2"/>
    <row r="804" s="525" customFormat="1" x14ac:dyDescent="0.2"/>
    <row r="805" s="525" customFormat="1" x14ac:dyDescent="0.2"/>
    <row r="806" s="525" customFormat="1" x14ac:dyDescent="0.2"/>
    <row r="807" s="525" customFormat="1" x14ac:dyDescent="0.2"/>
    <row r="808" s="525" customFormat="1" x14ac:dyDescent="0.2"/>
    <row r="809" s="525" customFormat="1" x14ac:dyDescent="0.2"/>
    <row r="810" s="525" customFormat="1" x14ac:dyDescent="0.2"/>
    <row r="811" s="525" customFormat="1" x14ac:dyDescent="0.2"/>
    <row r="812" s="525" customFormat="1" x14ac:dyDescent="0.2"/>
    <row r="813" s="525" customFormat="1" x14ac:dyDescent="0.2"/>
    <row r="814" s="525" customFormat="1" x14ac:dyDescent="0.2"/>
    <row r="815" s="525" customFormat="1" x14ac:dyDescent="0.2"/>
    <row r="816" s="525" customFormat="1" x14ac:dyDescent="0.2"/>
    <row r="817" s="525" customFormat="1" x14ac:dyDescent="0.2"/>
    <row r="818" s="525" customFormat="1" x14ac:dyDescent="0.2"/>
    <row r="819" s="525" customFormat="1" x14ac:dyDescent="0.2"/>
    <row r="820" s="525" customFormat="1" x14ac:dyDescent="0.2"/>
    <row r="821" s="525" customFormat="1" x14ac:dyDescent="0.2"/>
    <row r="822" s="525" customFormat="1" x14ac:dyDescent="0.2"/>
    <row r="823" s="525" customFormat="1" x14ac:dyDescent="0.2"/>
    <row r="824" s="525" customFormat="1" x14ac:dyDescent="0.2"/>
    <row r="825" s="525" customFormat="1" x14ac:dyDescent="0.2"/>
    <row r="826" s="525" customFormat="1" x14ac:dyDescent="0.2"/>
    <row r="827" s="525" customFormat="1" x14ac:dyDescent="0.2"/>
    <row r="828" s="525" customFormat="1" x14ac:dyDescent="0.2"/>
    <row r="829" s="525" customFormat="1" x14ac:dyDescent="0.2"/>
    <row r="830" s="525" customFormat="1" x14ac:dyDescent="0.2"/>
    <row r="831" s="525" customFormat="1" x14ac:dyDescent="0.2"/>
    <row r="832" s="525" customFormat="1" x14ac:dyDescent="0.2"/>
    <row r="833" s="525" customFormat="1" x14ac:dyDescent="0.2"/>
    <row r="834" s="525" customFormat="1" x14ac:dyDescent="0.2"/>
    <row r="835" s="525" customFormat="1" x14ac:dyDescent="0.2"/>
    <row r="836" s="525" customFormat="1" x14ac:dyDescent="0.2"/>
    <row r="837" s="525" customFormat="1" x14ac:dyDescent="0.2"/>
    <row r="838" s="525" customFormat="1" x14ac:dyDescent="0.2"/>
    <row r="839" s="525" customFormat="1" x14ac:dyDescent="0.2"/>
    <row r="840" s="525" customFormat="1" x14ac:dyDescent="0.2"/>
    <row r="841" s="525" customFormat="1" x14ac:dyDescent="0.2"/>
    <row r="842" s="525" customFormat="1" x14ac:dyDescent="0.2"/>
    <row r="843" s="525" customFormat="1" x14ac:dyDescent="0.2"/>
    <row r="844" s="525" customFormat="1" x14ac:dyDescent="0.2"/>
    <row r="845" s="525" customFormat="1" x14ac:dyDescent="0.2"/>
    <row r="846" s="525" customFormat="1" x14ac:dyDescent="0.2"/>
    <row r="847" s="525" customFormat="1" x14ac:dyDescent="0.2"/>
    <row r="848" s="525" customFormat="1" x14ac:dyDescent="0.2"/>
    <row r="849" s="525" customFormat="1" x14ac:dyDescent="0.2"/>
    <row r="850" s="525" customFormat="1" x14ac:dyDescent="0.2"/>
    <row r="851" s="525" customFormat="1" x14ac:dyDescent="0.2"/>
    <row r="852" s="525" customFormat="1" x14ac:dyDescent="0.2"/>
    <row r="853" s="525" customFormat="1" x14ac:dyDescent="0.2"/>
    <row r="854" s="525" customFormat="1" x14ac:dyDescent="0.2"/>
    <row r="855" s="525" customFormat="1" x14ac:dyDescent="0.2"/>
    <row r="856" s="525" customFormat="1" x14ac:dyDescent="0.2"/>
    <row r="857" s="525" customFormat="1" x14ac:dyDescent="0.2"/>
    <row r="858" s="525" customFormat="1" x14ac:dyDescent="0.2"/>
    <row r="859" s="525" customFormat="1" x14ac:dyDescent="0.2"/>
    <row r="860" s="525" customFormat="1" x14ac:dyDescent="0.2"/>
    <row r="861" s="525" customFormat="1" x14ac:dyDescent="0.2"/>
    <row r="862" s="525" customFormat="1" x14ac:dyDescent="0.2"/>
    <row r="863" s="525" customFormat="1" x14ac:dyDescent="0.2"/>
    <row r="864" s="525" customFormat="1" x14ac:dyDescent="0.2"/>
    <row r="865" s="525" customFormat="1" x14ac:dyDescent="0.2"/>
    <row r="866" s="525" customFormat="1" x14ac:dyDescent="0.2"/>
    <row r="867" s="525" customFormat="1" x14ac:dyDescent="0.2"/>
    <row r="868" s="525" customFormat="1" x14ac:dyDescent="0.2"/>
    <row r="869" s="525" customFormat="1" x14ac:dyDescent="0.2"/>
    <row r="870" s="525" customFormat="1" x14ac:dyDescent="0.2"/>
    <row r="871" s="525" customFormat="1" x14ac:dyDescent="0.2"/>
    <row r="872" s="525" customFormat="1" x14ac:dyDescent="0.2"/>
    <row r="873" s="525" customFormat="1" x14ac:dyDescent="0.2"/>
    <row r="874" s="525" customFormat="1" x14ac:dyDescent="0.2"/>
    <row r="875" s="525" customFormat="1" x14ac:dyDescent="0.2"/>
    <row r="876" s="525" customFormat="1" x14ac:dyDescent="0.2"/>
    <row r="877" s="525" customFormat="1" x14ac:dyDescent="0.2"/>
    <row r="878" s="525" customFormat="1" x14ac:dyDescent="0.2"/>
    <row r="879" s="525" customFormat="1" x14ac:dyDescent="0.2"/>
    <row r="880" s="525" customFormat="1" x14ac:dyDescent="0.2"/>
    <row r="881" s="525" customFormat="1" x14ac:dyDescent="0.2"/>
    <row r="882" s="525" customFormat="1" x14ac:dyDescent="0.2"/>
    <row r="883" s="525" customFormat="1" x14ac:dyDescent="0.2"/>
    <row r="884" s="525" customFormat="1" x14ac:dyDescent="0.2"/>
    <row r="885" s="525" customFormat="1" x14ac:dyDescent="0.2"/>
    <row r="886" s="525" customFormat="1" x14ac:dyDescent="0.2"/>
    <row r="887" s="525" customFormat="1" x14ac:dyDescent="0.2"/>
    <row r="888" s="525" customFormat="1" x14ac:dyDescent="0.2"/>
    <row r="889" s="525" customFormat="1" x14ac:dyDescent="0.2"/>
    <row r="890" s="525" customFormat="1" x14ac:dyDescent="0.2"/>
    <row r="891" s="525" customFormat="1" x14ac:dyDescent="0.2"/>
    <row r="892" s="525" customFormat="1" x14ac:dyDescent="0.2"/>
    <row r="893" s="525" customFormat="1" x14ac:dyDescent="0.2"/>
    <row r="894" s="525" customFormat="1" x14ac:dyDescent="0.2"/>
    <row r="895" s="525" customFormat="1" x14ac:dyDescent="0.2"/>
    <row r="896" s="525" customFormat="1" x14ac:dyDescent="0.2"/>
    <row r="897" s="525" customFormat="1" x14ac:dyDescent="0.2"/>
    <row r="898" s="525" customFormat="1" x14ac:dyDescent="0.2"/>
    <row r="899" s="525" customFormat="1" x14ac:dyDescent="0.2"/>
    <row r="900" s="525" customFormat="1" x14ac:dyDescent="0.2"/>
    <row r="901" s="525" customFormat="1" x14ac:dyDescent="0.2"/>
    <row r="902" s="525" customFormat="1" x14ac:dyDescent="0.2"/>
    <row r="903" s="525" customFormat="1" x14ac:dyDescent="0.2"/>
    <row r="904" s="525" customFormat="1" x14ac:dyDescent="0.2"/>
    <row r="905" s="525" customFormat="1" x14ac:dyDescent="0.2"/>
    <row r="906" s="525" customFormat="1" x14ac:dyDescent="0.2"/>
    <row r="907" s="525" customFormat="1" x14ac:dyDescent="0.2"/>
    <row r="908" s="525" customFormat="1" x14ac:dyDescent="0.2"/>
    <row r="909" s="525" customFormat="1" x14ac:dyDescent="0.2"/>
    <row r="910" s="525" customFormat="1" x14ac:dyDescent="0.2"/>
    <row r="911" s="525" customFormat="1" x14ac:dyDescent="0.2"/>
    <row r="912" s="525" customFormat="1" x14ac:dyDescent="0.2"/>
    <row r="913" s="525" customFormat="1" x14ac:dyDescent="0.2"/>
    <row r="914" s="525" customFormat="1" x14ac:dyDescent="0.2"/>
    <row r="915" s="525" customFormat="1" x14ac:dyDescent="0.2"/>
    <row r="916" s="525" customFormat="1" x14ac:dyDescent="0.2"/>
    <row r="917" s="525" customFormat="1" x14ac:dyDescent="0.2"/>
    <row r="918" s="525" customFormat="1" x14ac:dyDescent="0.2"/>
    <row r="919" s="525" customFormat="1" x14ac:dyDescent="0.2"/>
    <row r="920" s="525" customFormat="1" x14ac:dyDescent="0.2"/>
    <row r="921" s="525" customFormat="1" x14ac:dyDescent="0.2"/>
    <row r="922" s="525" customFormat="1" x14ac:dyDescent="0.2"/>
    <row r="923" s="525" customFormat="1" x14ac:dyDescent="0.2"/>
    <row r="924" s="525" customFormat="1" x14ac:dyDescent="0.2"/>
    <row r="925" s="525" customFormat="1" x14ac:dyDescent="0.2"/>
    <row r="926" s="525" customFormat="1" x14ac:dyDescent="0.2"/>
    <row r="927" s="525" customFormat="1" x14ac:dyDescent="0.2"/>
    <row r="928" s="525" customFormat="1" x14ac:dyDescent="0.2"/>
    <row r="929" s="525" customFormat="1" x14ac:dyDescent="0.2"/>
    <row r="930" s="525" customFormat="1" x14ac:dyDescent="0.2"/>
    <row r="931" s="525" customFormat="1" x14ac:dyDescent="0.2"/>
    <row r="932" s="525" customFormat="1" x14ac:dyDescent="0.2"/>
    <row r="933" s="525" customFormat="1" x14ac:dyDescent="0.2"/>
    <row r="934" s="525" customFormat="1" x14ac:dyDescent="0.2"/>
    <row r="935" s="525" customFormat="1" x14ac:dyDescent="0.2"/>
    <row r="936" s="525" customFormat="1" x14ac:dyDescent="0.2"/>
    <row r="937" s="525" customFormat="1" x14ac:dyDescent="0.2"/>
    <row r="938" s="525" customFormat="1" x14ac:dyDescent="0.2"/>
    <row r="939" s="525" customFormat="1" x14ac:dyDescent="0.2"/>
    <row r="940" s="525" customFormat="1" x14ac:dyDescent="0.2"/>
    <row r="941" s="525" customFormat="1" x14ac:dyDescent="0.2"/>
    <row r="942" s="525" customFormat="1" x14ac:dyDescent="0.2"/>
    <row r="943" s="525" customFormat="1" x14ac:dyDescent="0.2"/>
    <row r="944" s="525" customFormat="1" x14ac:dyDescent="0.2"/>
    <row r="945" s="525" customFormat="1" x14ac:dyDescent="0.2"/>
    <row r="946" s="525" customFormat="1" x14ac:dyDescent="0.2"/>
    <row r="947" s="525" customFormat="1" x14ac:dyDescent="0.2"/>
    <row r="948" s="525" customFormat="1" x14ac:dyDescent="0.2"/>
    <row r="949" s="525" customFormat="1" x14ac:dyDescent="0.2"/>
    <row r="950" s="525" customFormat="1" x14ac:dyDescent="0.2"/>
    <row r="951" s="525" customFormat="1" x14ac:dyDescent="0.2"/>
    <row r="952" s="525" customFormat="1" x14ac:dyDescent="0.2"/>
    <row r="953" s="525" customFormat="1" x14ac:dyDescent="0.2"/>
    <row r="954" s="525" customFormat="1" x14ac:dyDescent="0.2"/>
    <row r="955" s="525" customFormat="1" x14ac:dyDescent="0.2"/>
    <row r="956" s="525" customFormat="1" x14ac:dyDescent="0.2"/>
    <row r="957" s="525" customFormat="1" x14ac:dyDescent="0.2"/>
    <row r="958" s="525" customFormat="1" x14ac:dyDescent="0.2"/>
    <row r="959" s="525" customFormat="1" x14ac:dyDescent="0.2"/>
    <row r="960" s="525" customFormat="1" x14ac:dyDescent="0.2"/>
    <row r="961" spans="2:3" s="525" customFormat="1" x14ac:dyDescent="0.2"/>
    <row r="962" spans="2:3" s="525" customFormat="1" x14ac:dyDescent="0.2"/>
    <row r="963" spans="2:3" s="525" customFormat="1" x14ac:dyDescent="0.2"/>
    <row r="964" spans="2:3" s="525" customFormat="1" x14ac:dyDescent="0.2"/>
    <row r="965" spans="2:3" s="525" customFormat="1" x14ac:dyDescent="0.2"/>
    <row r="966" spans="2:3" s="525" customFormat="1" x14ac:dyDescent="0.2"/>
    <row r="967" spans="2:3" s="525" customFormat="1" x14ac:dyDescent="0.2"/>
    <row r="968" spans="2:3" s="525" customFormat="1" x14ac:dyDescent="0.2"/>
    <row r="969" spans="2:3" s="525" customFormat="1" x14ac:dyDescent="0.2"/>
    <row r="970" spans="2:3" s="525" customFormat="1" x14ac:dyDescent="0.2">
      <c r="B970" s="525" t="s">
        <v>339</v>
      </c>
      <c r="C970" s="525" t="s">
        <v>339</v>
      </c>
    </row>
    <row r="971" spans="2:3" s="525" customFormat="1" x14ac:dyDescent="0.2"/>
    <row r="972" spans="2:3" s="525" customFormat="1" x14ac:dyDescent="0.2"/>
    <row r="973" spans="2:3" s="525" customFormat="1" x14ac:dyDescent="0.2"/>
    <row r="974" spans="2:3" s="525" customFormat="1" x14ac:dyDescent="0.2"/>
    <row r="975" spans="2:3" s="525" customFormat="1" x14ac:dyDescent="0.2"/>
  </sheetData>
  <phoneticPr fontId="23" type="noConversion"/>
  <pageMargins left="0.75" right="0.75" top="1" bottom="1" header="0.5" footer="0.5"/>
  <pageSetup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N2"/>
  <sheetViews>
    <sheetView topLeftCell="AC1" workbookViewId="0">
      <selection activeCell="AP8" sqref="AP8"/>
    </sheetView>
  </sheetViews>
  <sheetFormatPr defaultRowHeight="12.75" x14ac:dyDescent="0.2"/>
  <sheetData>
    <row r="1" spans="1:66" x14ac:dyDescent="0.2">
      <c r="A1" t="s">
        <v>651</v>
      </c>
    </row>
    <row r="2" spans="1:66" x14ac:dyDescent="0.2">
      <c r="A2" s="510" t="s">
        <v>648</v>
      </c>
      <c r="B2" s="510" t="s">
        <v>667</v>
      </c>
      <c r="C2" s="510" t="s">
        <v>491</v>
      </c>
      <c r="D2" s="510" t="s">
        <v>352</v>
      </c>
      <c r="E2" s="510" t="s">
        <v>359</v>
      </c>
      <c r="F2" s="510" t="s">
        <v>352</v>
      </c>
      <c r="G2" s="510" t="s">
        <v>490</v>
      </c>
      <c r="H2" s="510" t="s">
        <v>352</v>
      </c>
      <c r="I2" s="510" t="s">
        <v>650</v>
      </c>
      <c r="J2" s="510" t="s">
        <v>351</v>
      </c>
      <c r="K2" s="510" t="s">
        <v>488</v>
      </c>
      <c r="L2" s="510" t="s">
        <v>352</v>
      </c>
      <c r="M2" s="510" t="s">
        <v>487</v>
      </c>
      <c r="N2" s="510" t="s">
        <v>352</v>
      </c>
      <c r="O2" s="510" t="s">
        <v>480</v>
      </c>
      <c r="P2" s="510" t="s">
        <v>352</v>
      </c>
      <c r="Q2" s="510" t="s">
        <v>354</v>
      </c>
      <c r="R2" s="510" t="s">
        <v>352</v>
      </c>
      <c r="S2" s="510" t="s">
        <v>475</v>
      </c>
      <c r="T2" s="510" t="s">
        <v>507</v>
      </c>
      <c r="U2" s="985" t="s">
        <v>353</v>
      </c>
      <c r="V2" s="510" t="s">
        <v>352</v>
      </c>
      <c r="W2" s="510" t="s">
        <v>474</v>
      </c>
      <c r="X2" s="510" t="s">
        <v>351</v>
      </c>
      <c r="Y2" s="985" t="s">
        <v>493</v>
      </c>
      <c r="Z2" s="510" t="s">
        <v>352</v>
      </c>
      <c r="AA2" s="510" t="s">
        <v>495</v>
      </c>
      <c r="AB2" s="510" t="s">
        <v>352</v>
      </c>
      <c r="AC2" s="510" t="s">
        <v>496</v>
      </c>
      <c r="AD2" s="510" t="s">
        <v>352</v>
      </c>
      <c r="AE2" s="510" t="s">
        <v>410</v>
      </c>
      <c r="AF2" s="510" t="s">
        <v>644</v>
      </c>
      <c r="AG2" s="985" t="s">
        <v>482</v>
      </c>
      <c r="AH2" s="510" t="s">
        <v>352</v>
      </c>
      <c r="AI2" s="510" t="s">
        <v>492</v>
      </c>
      <c r="AJ2" s="510" t="s">
        <v>352</v>
      </c>
      <c r="AK2" s="510" t="s">
        <v>494</v>
      </c>
      <c r="AL2" s="510" t="s">
        <v>352</v>
      </c>
      <c r="AM2" s="510" t="s">
        <v>483</v>
      </c>
      <c r="AN2" s="510" t="s">
        <v>352</v>
      </c>
      <c r="AO2" s="985" t="s">
        <v>497</v>
      </c>
      <c r="AP2" s="510" t="s">
        <v>352</v>
      </c>
      <c r="AQ2" s="510" t="s">
        <v>484</v>
      </c>
      <c r="AR2" s="510" t="s">
        <v>352</v>
      </c>
      <c r="AS2" s="510" t="s">
        <v>489</v>
      </c>
      <c r="AT2" s="510" t="s">
        <v>352</v>
      </c>
      <c r="AU2" s="510" t="s">
        <v>485</v>
      </c>
      <c r="AV2" s="510" t="s">
        <v>352</v>
      </c>
      <c r="AW2" s="510" t="s">
        <v>355</v>
      </c>
      <c r="AX2" s="510" t="s">
        <v>352</v>
      </c>
      <c r="AY2" s="510" t="s">
        <v>649</v>
      </c>
      <c r="AZ2" s="510" t="s">
        <v>507</v>
      </c>
      <c r="BA2" s="510" t="s">
        <v>481</v>
      </c>
      <c r="BB2" s="510" t="s">
        <v>352</v>
      </c>
      <c r="BC2" s="510" t="s">
        <v>357</v>
      </c>
      <c r="BD2" s="510" t="s">
        <v>352</v>
      </c>
      <c r="BE2" s="510" t="s">
        <v>360</v>
      </c>
      <c r="BF2" s="510" t="s">
        <v>352</v>
      </c>
      <c r="BG2" s="510" t="s">
        <v>498</v>
      </c>
      <c r="BH2" s="510" t="s">
        <v>352</v>
      </c>
      <c r="BI2" s="983" t="s">
        <v>358</v>
      </c>
      <c r="BJ2" s="983" t="s">
        <v>352</v>
      </c>
      <c r="BK2" s="983" t="s">
        <v>356</v>
      </c>
      <c r="BL2" s="983" t="s">
        <v>352</v>
      </c>
      <c r="BM2" s="983" t="s">
        <v>486</v>
      </c>
      <c r="BN2" s="983" t="s">
        <v>352</v>
      </c>
    </row>
  </sheetData>
  <phoneticPr fontId="45" type="noConversion"/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2.75" x14ac:dyDescent="0.2"/>
  <sheetData/>
  <pageMargins left="0.7" right="0.7" top="0.75" bottom="0.75" header="0.3" footer="0.3"/>
  <pageSetup orientation="portrait" horizontalDpi="90" verticalDpi="9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3"/>
  <sheetViews>
    <sheetView workbookViewId="0">
      <selection activeCell="B42" sqref="B42"/>
    </sheetView>
  </sheetViews>
  <sheetFormatPr defaultRowHeight="12.75" x14ac:dyDescent="0.2"/>
  <cols>
    <col min="1" max="1" width="29.5703125" style="984" bestFit="1" customWidth="1"/>
    <col min="2" max="2" width="19.85546875" style="1024" customWidth="1"/>
    <col min="3" max="3" width="12" style="984" bestFit="1" customWidth="1"/>
    <col min="4" max="256" width="9.140625" style="984"/>
    <col min="257" max="257" width="29.5703125" style="984" bestFit="1" customWidth="1"/>
    <col min="258" max="258" width="19.85546875" style="984" customWidth="1"/>
    <col min="259" max="259" width="12" style="984" bestFit="1" customWidth="1"/>
    <col min="260" max="512" width="9.140625" style="984"/>
    <col min="513" max="513" width="29.5703125" style="984" bestFit="1" customWidth="1"/>
    <col min="514" max="514" width="19.85546875" style="984" customWidth="1"/>
    <col min="515" max="515" width="12" style="984" bestFit="1" customWidth="1"/>
    <col min="516" max="768" width="9.140625" style="984"/>
    <col min="769" max="769" width="29.5703125" style="984" bestFit="1" customWidth="1"/>
    <col min="770" max="770" width="19.85546875" style="984" customWidth="1"/>
    <col min="771" max="771" width="12" style="984" bestFit="1" customWidth="1"/>
    <col min="772" max="1024" width="9.140625" style="984"/>
    <col min="1025" max="1025" width="29.5703125" style="984" bestFit="1" customWidth="1"/>
    <col min="1026" max="1026" width="19.85546875" style="984" customWidth="1"/>
    <col min="1027" max="1027" width="12" style="984" bestFit="1" customWidth="1"/>
    <col min="1028" max="1280" width="9.140625" style="984"/>
    <col min="1281" max="1281" width="29.5703125" style="984" bestFit="1" customWidth="1"/>
    <col min="1282" max="1282" width="19.85546875" style="984" customWidth="1"/>
    <col min="1283" max="1283" width="12" style="984" bestFit="1" customWidth="1"/>
    <col min="1284" max="1536" width="9.140625" style="984"/>
    <col min="1537" max="1537" width="29.5703125" style="984" bestFit="1" customWidth="1"/>
    <col min="1538" max="1538" width="19.85546875" style="984" customWidth="1"/>
    <col min="1539" max="1539" width="12" style="984" bestFit="1" customWidth="1"/>
    <col min="1540" max="1792" width="9.140625" style="984"/>
    <col min="1793" max="1793" width="29.5703125" style="984" bestFit="1" customWidth="1"/>
    <col min="1794" max="1794" width="19.85546875" style="984" customWidth="1"/>
    <col min="1795" max="1795" width="12" style="984" bestFit="1" customWidth="1"/>
    <col min="1796" max="2048" width="9.140625" style="984"/>
    <col min="2049" max="2049" width="29.5703125" style="984" bestFit="1" customWidth="1"/>
    <col min="2050" max="2050" width="19.85546875" style="984" customWidth="1"/>
    <col min="2051" max="2051" width="12" style="984" bestFit="1" customWidth="1"/>
    <col min="2052" max="2304" width="9.140625" style="984"/>
    <col min="2305" max="2305" width="29.5703125" style="984" bestFit="1" customWidth="1"/>
    <col min="2306" max="2306" width="19.85546875" style="984" customWidth="1"/>
    <col min="2307" max="2307" width="12" style="984" bestFit="1" customWidth="1"/>
    <col min="2308" max="2560" width="9.140625" style="984"/>
    <col min="2561" max="2561" width="29.5703125" style="984" bestFit="1" customWidth="1"/>
    <col min="2562" max="2562" width="19.85546875" style="984" customWidth="1"/>
    <col min="2563" max="2563" width="12" style="984" bestFit="1" customWidth="1"/>
    <col min="2564" max="2816" width="9.140625" style="984"/>
    <col min="2817" max="2817" width="29.5703125" style="984" bestFit="1" customWidth="1"/>
    <col min="2818" max="2818" width="19.85546875" style="984" customWidth="1"/>
    <col min="2819" max="2819" width="12" style="984" bestFit="1" customWidth="1"/>
    <col min="2820" max="3072" width="9.140625" style="984"/>
    <col min="3073" max="3073" width="29.5703125" style="984" bestFit="1" customWidth="1"/>
    <col min="3074" max="3074" width="19.85546875" style="984" customWidth="1"/>
    <col min="3075" max="3075" width="12" style="984" bestFit="1" customWidth="1"/>
    <col min="3076" max="3328" width="9.140625" style="984"/>
    <col min="3329" max="3329" width="29.5703125" style="984" bestFit="1" customWidth="1"/>
    <col min="3330" max="3330" width="19.85546875" style="984" customWidth="1"/>
    <col min="3331" max="3331" width="12" style="984" bestFit="1" customWidth="1"/>
    <col min="3332" max="3584" width="9.140625" style="984"/>
    <col min="3585" max="3585" width="29.5703125" style="984" bestFit="1" customWidth="1"/>
    <col min="3586" max="3586" width="19.85546875" style="984" customWidth="1"/>
    <col min="3587" max="3587" width="12" style="984" bestFit="1" customWidth="1"/>
    <col min="3588" max="3840" width="9.140625" style="984"/>
    <col min="3841" max="3841" width="29.5703125" style="984" bestFit="1" customWidth="1"/>
    <col min="3842" max="3842" width="19.85546875" style="984" customWidth="1"/>
    <col min="3843" max="3843" width="12" style="984" bestFit="1" customWidth="1"/>
    <col min="3844" max="4096" width="9.140625" style="984"/>
    <col min="4097" max="4097" width="29.5703125" style="984" bestFit="1" customWidth="1"/>
    <col min="4098" max="4098" width="19.85546875" style="984" customWidth="1"/>
    <col min="4099" max="4099" width="12" style="984" bestFit="1" customWidth="1"/>
    <col min="4100" max="4352" width="9.140625" style="984"/>
    <col min="4353" max="4353" width="29.5703125" style="984" bestFit="1" customWidth="1"/>
    <col min="4354" max="4354" width="19.85546875" style="984" customWidth="1"/>
    <col min="4355" max="4355" width="12" style="984" bestFit="1" customWidth="1"/>
    <col min="4356" max="4608" width="9.140625" style="984"/>
    <col min="4609" max="4609" width="29.5703125" style="984" bestFit="1" customWidth="1"/>
    <col min="4610" max="4610" width="19.85546875" style="984" customWidth="1"/>
    <col min="4611" max="4611" width="12" style="984" bestFit="1" customWidth="1"/>
    <col min="4612" max="4864" width="9.140625" style="984"/>
    <col min="4865" max="4865" width="29.5703125" style="984" bestFit="1" customWidth="1"/>
    <col min="4866" max="4866" width="19.85546875" style="984" customWidth="1"/>
    <col min="4867" max="4867" width="12" style="984" bestFit="1" customWidth="1"/>
    <col min="4868" max="5120" width="9.140625" style="984"/>
    <col min="5121" max="5121" width="29.5703125" style="984" bestFit="1" customWidth="1"/>
    <col min="5122" max="5122" width="19.85546875" style="984" customWidth="1"/>
    <col min="5123" max="5123" width="12" style="984" bestFit="1" customWidth="1"/>
    <col min="5124" max="5376" width="9.140625" style="984"/>
    <col min="5377" max="5377" width="29.5703125" style="984" bestFit="1" customWidth="1"/>
    <col min="5378" max="5378" width="19.85546875" style="984" customWidth="1"/>
    <col min="5379" max="5379" width="12" style="984" bestFit="1" customWidth="1"/>
    <col min="5380" max="5632" width="9.140625" style="984"/>
    <col min="5633" max="5633" width="29.5703125" style="984" bestFit="1" customWidth="1"/>
    <col min="5634" max="5634" width="19.85546875" style="984" customWidth="1"/>
    <col min="5635" max="5635" width="12" style="984" bestFit="1" customWidth="1"/>
    <col min="5636" max="5888" width="9.140625" style="984"/>
    <col min="5889" max="5889" width="29.5703125" style="984" bestFit="1" customWidth="1"/>
    <col min="5890" max="5890" width="19.85546875" style="984" customWidth="1"/>
    <col min="5891" max="5891" width="12" style="984" bestFit="1" customWidth="1"/>
    <col min="5892" max="6144" width="9.140625" style="984"/>
    <col min="6145" max="6145" width="29.5703125" style="984" bestFit="1" customWidth="1"/>
    <col min="6146" max="6146" width="19.85546875" style="984" customWidth="1"/>
    <col min="6147" max="6147" width="12" style="984" bestFit="1" customWidth="1"/>
    <col min="6148" max="6400" width="9.140625" style="984"/>
    <col min="6401" max="6401" width="29.5703125" style="984" bestFit="1" customWidth="1"/>
    <col min="6402" max="6402" width="19.85546875" style="984" customWidth="1"/>
    <col min="6403" max="6403" width="12" style="984" bestFit="1" customWidth="1"/>
    <col min="6404" max="6656" width="9.140625" style="984"/>
    <col min="6657" max="6657" width="29.5703125" style="984" bestFit="1" customWidth="1"/>
    <col min="6658" max="6658" width="19.85546875" style="984" customWidth="1"/>
    <col min="6659" max="6659" width="12" style="984" bestFit="1" customWidth="1"/>
    <col min="6660" max="6912" width="9.140625" style="984"/>
    <col min="6913" max="6913" width="29.5703125" style="984" bestFit="1" customWidth="1"/>
    <col min="6914" max="6914" width="19.85546875" style="984" customWidth="1"/>
    <col min="6915" max="6915" width="12" style="984" bestFit="1" customWidth="1"/>
    <col min="6916" max="7168" width="9.140625" style="984"/>
    <col min="7169" max="7169" width="29.5703125" style="984" bestFit="1" customWidth="1"/>
    <col min="7170" max="7170" width="19.85546875" style="984" customWidth="1"/>
    <col min="7171" max="7171" width="12" style="984" bestFit="1" customWidth="1"/>
    <col min="7172" max="7424" width="9.140625" style="984"/>
    <col min="7425" max="7425" width="29.5703125" style="984" bestFit="1" customWidth="1"/>
    <col min="7426" max="7426" width="19.85546875" style="984" customWidth="1"/>
    <col min="7427" max="7427" width="12" style="984" bestFit="1" customWidth="1"/>
    <col min="7428" max="7680" width="9.140625" style="984"/>
    <col min="7681" max="7681" width="29.5703125" style="984" bestFit="1" customWidth="1"/>
    <col min="7682" max="7682" width="19.85546875" style="984" customWidth="1"/>
    <col min="7683" max="7683" width="12" style="984" bestFit="1" customWidth="1"/>
    <col min="7684" max="7936" width="9.140625" style="984"/>
    <col min="7937" max="7937" width="29.5703125" style="984" bestFit="1" customWidth="1"/>
    <col min="7938" max="7938" width="19.85546875" style="984" customWidth="1"/>
    <col min="7939" max="7939" width="12" style="984" bestFit="1" customWidth="1"/>
    <col min="7940" max="8192" width="9.140625" style="984"/>
    <col min="8193" max="8193" width="29.5703125" style="984" bestFit="1" customWidth="1"/>
    <col min="8194" max="8194" width="19.85546875" style="984" customWidth="1"/>
    <col min="8195" max="8195" width="12" style="984" bestFit="1" customWidth="1"/>
    <col min="8196" max="8448" width="9.140625" style="984"/>
    <col min="8449" max="8449" width="29.5703125" style="984" bestFit="1" customWidth="1"/>
    <col min="8450" max="8450" width="19.85546875" style="984" customWidth="1"/>
    <col min="8451" max="8451" width="12" style="984" bestFit="1" customWidth="1"/>
    <col min="8452" max="8704" width="9.140625" style="984"/>
    <col min="8705" max="8705" width="29.5703125" style="984" bestFit="1" customWidth="1"/>
    <col min="8706" max="8706" width="19.85546875" style="984" customWidth="1"/>
    <col min="8707" max="8707" width="12" style="984" bestFit="1" customWidth="1"/>
    <col min="8708" max="8960" width="9.140625" style="984"/>
    <col min="8961" max="8961" width="29.5703125" style="984" bestFit="1" customWidth="1"/>
    <col min="8962" max="8962" width="19.85546875" style="984" customWidth="1"/>
    <col min="8963" max="8963" width="12" style="984" bestFit="1" customWidth="1"/>
    <col min="8964" max="9216" width="9.140625" style="984"/>
    <col min="9217" max="9217" width="29.5703125" style="984" bestFit="1" customWidth="1"/>
    <col min="9218" max="9218" width="19.85546875" style="984" customWidth="1"/>
    <col min="9219" max="9219" width="12" style="984" bestFit="1" customWidth="1"/>
    <col min="9220" max="9472" width="9.140625" style="984"/>
    <col min="9473" max="9473" width="29.5703125" style="984" bestFit="1" customWidth="1"/>
    <col min="9474" max="9474" width="19.85546875" style="984" customWidth="1"/>
    <col min="9475" max="9475" width="12" style="984" bestFit="1" customWidth="1"/>
    <col min="9476" max="9728" width="9.140625" style="984"/>
    <col min="9729" max="9729" width="29.5703125" style="984" bestFit="1" customWidth="1"/>
    <col min="9730" max="9730" width="19.85546875" style="984" customWidth="1"/>
    <col min="9731" max="9731" width="12" style="984" bestFit="1" customWidth="1"/>
    <col min="9732" max="9984" width="9.140625" style="984"/>
    <col min="9985" max="9985" width="29.5703125" style="984" bestFit="1" customWidth="1"/>
    <col min="9986" max="9986" width="19.85546875" style="984" customWidth="1"/>
    <col min="9987" max="9987" width="12" style="984" bestFit="1" customWidth="1"/>
    <col min="9988" max="10240" width="9.140625" style="984"/>
    <col min="10241" max="10241" width="29.5703125" style="984" bestFit="1" customWidth="1"/>
    <col min="10242" max="10242" width="19.85546875" style="984" customWidth="1"/>
    <col min="10243" max="10243" width="12" style="984" bestFit="1" customWidth="1"/>
    <col min="10244" max="10496" width="9.140625" style="984"/>
    <col min="10497" max="10497" width="29.5703125" style="984" bestFit="1" customWidth="1"/>
    <col min="10498" max="10498" width="19.85546875" style="984" customWidth="1"/>
    <col min="10499" max="10499" width="12" style="984" bestFit="1" customWidth="1"/>
    <col min="10500" max="10752" width="9.140625" style="984"/>
    <col min="10753" max="10753" width="29.5703125" style="984" bestFit="1" customWidth="1"/>
    <col min="10754" max="10754" width="19.85546875" style="984" customWidth="1"/>
    <col min="10755" max="10755" width="12" style="984" bestFit="1" customWidth="1"/>
    <col min="10756" max="11008" width="9.140625" style="984"/>
    <col min="11009" max="11009" width="29.5703125" style="984" bestFit="1" customWidth="1"/>
    <col min="11010" max="11010" width="19.85546875" style="984" customWidth="1"/>
    <col min="11011" max="11011" width="12" style="984" bestFit="1" customWidth="1"/>
    <col min="11012" max="11264" width="9.140625" style="984"/>
    <col min="11265" max="11265" width="29.5703125" style="984" bestFit="1" customWidth="1"/>
    <col min="11266" max="11266" width="19.85546875" style="984" customWidth="1"/>
    <col min="11267" max="11267" width="12" style="984" bestFit="1" customWidth="1"/>
    <col min="11268" max="11520" width="9.140625" style="984"/>
    <col min="11521" max="11521" width="29.5703125" style="984" bestFit="1" customWidth="1"/>
    <col min="11522" max="11522" width="19.85546875" style="984" customWidth="1"/>
    <col min="11523" max="11523" width="12" style="984" bestFit="1" customWidth="1"/>
    <col min="11524" max="11776" width="9.140625" style="984"/>
    <col min="11777" max="11777" width="29.5703125" style="984" bestFit="1" customWidth="1"/>
    <col min="11778" max="11778" width="19.85546875" style="984" customWidth="1"/>
    <col min="11779" max="11779" width="12" style="984" bestFit="1" customWidth="1"/>
    <col min="11780" max="12032" width="9.140625" style="984"/>
    <col min="12033" max="12033" width="29.5703125" style="984" bestFit="1" customWidth="1"/>
    <col min="12034" max="12034" width="19.85546875" style="984" customWidth="1"/>
    <col min="12035" max="12035" width="12" style="984" bestFit="1" customWidth="1"/>
    <col min="12036" max="12288" width="9.140625" style="984"/>
    <col min="12289" max="12289" width="29.5703125" style="984" bestFit="1" customWidth="1"/>
    <col min="12290" max="12290" width="19.85546875" style="984" customWidth="1"/>
    <col min="12291" max="12291" width="12" style="984" bestFit="1" customWidth="1"/>
    <col min="12292" max="12544" width="9.140625" style="984"/>
    <col min="12545" max="12545" width="29.5703125" style="984" bestFit="1" customWidth="1"/>
    <col min="12546" max="12546" width="19.85546875" style="984" customWidth="1"/>
    <col min="12547" max="12547" width="12" style="984" bestFit="1" customWidth="1"/>
    <col min="12548" max="12800" width="9.140625" style="984"/>
    <col min="12801" max="12801" width="29.5703125" style="984" bestFit="1" customWidth="1"/>
    <col min="12802" max="12802" width="19.85546875" style="984" customWidth="1"/>
    <col min="12803" max="12803" width="12" style="984" bestFit="1" customWidth="1"/>
    <col min="12804" max="13056" width="9.140625" style="984"/>
    <col min="13057" max="13057" width="29.5703125" style="984" bestFit="1" customWidth="1"/>
    <col min="13058" max="13058" width="19.85546875" style="984" customWidth="1"/>
    <col min="13059" max="13059" width="12" style="984" bestFit="1" customWidth="1"/>
    <col min="13060" max="13312" width="9.140625" style="984"/>
    <col min="13313" max="13313" width="29.5703125" style="984" bestFit="1" customWidth="1"/>
    <col min="13314" max="13314" width="19.85546875" style="984" customWidth="1"/>
    <col min="13315" max="13315" width="12" style="984" bestFit="1" customWidth="1"/>
    <col min="13316" max="13568" width="9.140625" style="984"/>
    <col min="13569" max="13569" width="29.5703125" style="984" bestFit="1" customWidth="1"/>
    <col min="13570" max="13570" width="19.85546875" style="984" customWidth="1"/>
    <col min="13571" max="13571" width="12" style="984" bestFit="1" customWidth="1"/>
    <col min="13572" max="13824" width="9.140625" style="984"/>
    <col min="13825" max="13825" width="29.5703125" style="984" bestFit="1" customWidth="1"/>
    <col min="13826" max="13826" width="19.85546875" style="984" customWidth="1"/>
    <col min="13827" max="13827" width="12" style="984" bestFit="1" customWidth="1"/>
    <col min="13828" max="14080" width="9.140625" style="984"/>
    <col min="14081" max="14081" width="29.5703125" style="984" bestFit="1" customWidth="1"/>
    <col min="14082" max="14082" width="19.85546875" style="984" customWidth="1"/>
    <col min="14083" max="14083" width="12" style="984" bestFit="1" customWidth="1"/>
    <col min="14084" max="14336" width="9.140625" style="984"/>
    <col min="14337" max="14337" width="29.5703125" style="984" bestFit="1" customWidth="1"/>
    <col min="14338" max="14338" width="19.85546875" style="984" customWidth="1"/>
    <col min="14339" max="14339" width="12" style="984" bestFit="1" customWidth="1"/>
    <col min="14340" max="14592" width="9.140625" style="984"/>
    <col min="14593" max="14593" width="29.5703125" style="984" bestFit="1" customWidth="1"/>
    <col min="14594" max="14594" width="19.85546875" style="984" customWidth="1"/>
    <col min="14595" max="14595" width="12" style="984" bestFit="1" customWidth="1"/>
    <col min="14596" max="14848" width="9.140625" style="984"/>
    <col min="14849" max="14849" width="29.5703125" style="984" bestFit="1" customWidth="1"/>
    <col min="14850" max="14850" width="19.85546875" style="984" customWidth="1"/>
    <col min="14851" max="14851" width="12" style="984" bestFit="1" customWidth="1"/>
    <col min="14852" max="15104" width="9.140625" style="984"/>
    <col min="15105" max="15105" width="29.5703125" style="984" bestFit="1" customWidth="1"/>
    <col min="15106" max="15106" width="19.85546875" style="984" customWidth="1"/>
    <col min="15107" max="15107" width="12" style="984" bestFit="1" customWidth="1"/>
    <col min="15108" max="15360" width="9.140625" style="984"/>
    <col min="15361" max="15361" width="29.5703125" style="984" bestFit="1" customWidth="1"/>
    <col min="15362" max="15362" width="19.85546875" style="984" customWidth="1"/>
    <col min="15363" max="15363" width="12" style="984" bestFit="1" customWidth="1"/>
    <col min="15364" max="15616" width="9.140625" style="984"/>
    <col min="15617" max="15617" width="29.5703125" style="984" bestFit="1" customWidth="1"/>
    <col min="15618" max="15618" width="19.85546875" style="984" customWidth="1"/>
    <col min="15619" max="15619" width="12" style="984" bestFit="1" customWidth="1"/>
    <col min="15620" max="15872" width="9.140625" style="984"/>
    <col min="15873" max="15873" width="29.5703125" style="984" bestFit="1" customWidth="1"/>
    <col min="15874" max="15874" width="19.85546875" style="984" customWidth="1"/>
    <col min="15875" max="15875" width="12" style="984" bestFit="1" customWidth="1"/>
    <col min="15876" max="16128" width="9.140625" style="984"/>
    <col min="16129" max="16129" width="29.5703125" style="984" bestFit="1" customWidth="1"/>
    <col min="16130" max="16130" width="19.85546875" style="984" customWidth="1"/>
    <col min="16131" max="16131" width="12" style="984" bestFit="1" customWidth="1"/>
    <col min="16132" max="16384" width="9.140625" style="984"/>
  </cols>
  <sheetData>
    <row r="1" spans="1:2" x14ac:dyDescent="0.2">
      <c r="A1" s="984" t="s">
        <v>985</v>
      </c>
      <c r="B1" s="1023">
        <v>6.1</v>
      </c>
    </row>
    <row r="2" spans="1:2" x14ac:dyDescent="0.2">
      <c r="A2" s="984" t="s">
        <v>986</v>
      </c>
      <c r="B2" s="1027">
        <v>43203.723368055558</v>
      </c>
    </row>
    <row r="3" spans="1:2" x14ac:dyDescent="0.2">
      <c r="A3" s="984" t="s">
        <v>987</v>
      </c>
      <c r="B3" s="1024" t="s">
        <v>682</v>
      </c>
    </row>
    <row r="4" spans="1:2" x14ac:dyDescent="0.2">
      <c r="A4" s="984" t="s">
        <v>988</v>
      </c>
      <c r="B4" s="1024" t="s">
        <v>989</v>
      </c>
    </row>
    <row r="5" spans="1:2" x14ac:dyDescent="0.2">
      <c r="A5" s="984" t="s">
        <v>990</v>
      </c>
      <c r="B5" s="1024" t="s">
        <v>321</v>
      </c>
    </row>
    <row r="6" spans="1:2" x14ac:dyDescent="0.2">
      <c r="A6" s="984" t="s">
        <v>991</v>
      </c>
    </row>
    <row r="7" spans="1:2" x14ac:dyDescent="0.2">
      <c r="A7" s="984" t="s">
        <v>992</v>
      </c>
      <c r="B7" s="1024" t="s">
        <v>647</v>
      </c>
    </row>
    <row r="8" spans="1:2" x14ac:dyDescent="0.2">
      <c r="A8" s="984" t="s">
        <v>993</v>
      </c>
      <c r="B8" s="1024" t="s">
        <v>994</v>
      </c>
    </row>
    <row r="9" spans="1:2" x14ac:dyDescent="0.2">
      <c r="A9" s="984" t="s">
        <v>995</v>
      </c>
      <c r="B9" s="1024" t="s">
        <v>1031</v>
      </c>
    </row>
    <row r="10" spans="1:2" x14ac:dyDescent="0.2">
      <c r="A10" s="984" t="s">
        <v>996</v>
      </c>
    </row>
    <row r="11" spans="1:2" x14ac:dyDescent="0.2">
      <c r="A11" s="984" t="s">
        <v>997</v>
      </c>
    </row>
    <row r="12" spans="1:2" x14ac:dyDescent="0.2">
      <c r="A12" s="984" t="s">
        <v>998</v>
      </c>
    </row>
    <row r="13" spans="1:2" x14ac:dyDescent="0.2">
      <c r="A13" s="984" t="s">
        <v>999</v>
      </c>
    </row>
    <row r="14" spans="1:2" x14ac:dyDescent="0.2">
      <c r="A14" s="984" t="s">
        <v>1000</v>
      </c>
    </row>
    <row r="15" spans="1:2" x14ac:dyDescent="0.2">
      <c r="A15" s="984" t="s">
        <v>1001</v>
      </c>
    </row>
    <row r="16" spans="1:2" x14ac:dyDescent="0.2">
      <c r="A16" s="984" t="s">
        <v>1002</v>
      </c>
    </row>
    <row r="17" spans="1:4" x14ac:dyDescent="0.2">
      <c r="A17" s="984" t="s">
        <v>1003</v>
      </c>
      <c r="B17" s="1024" t="s">
        <v>1032</v>
      </c>
    </row>
    <row r="18" spans="1:4" x14ac:dyDescent="0.2">
      <c r="A18" s="984" t="s">
        <v>1004</v>
      </c>
      <c r="B18" s="1024" t="s">
        <v>683</v>
      </c>
    </row>
    <row r="19" spans="1:4" x14ac:dyDescent="0.2">
      <c r="A19" s="984" t="s">
        <v>1005</v>
      </c>
      <c r="B19" s="1024" t="s">
        <v>646</v>
      </c>
    </row>
    <row r="20" spans="1:4" x14ac:dyDescent="0.2">
      <c r="A20" s="984" t="s">
        <v>1006</v>
      </c>
      <c r="B20" s="1025" t="s">
        <v>1034</v>
      </c>
    </row>
    <row r="21" spans="1:4" x14ac:dyDescent="0.2">
      <c r="A21" s="984" t="s">
        <v>1007</v>
      </c>
      <c r="B21" s="1024" t="s">
        <v>646</v>
      </c>
    </row>
    <row r="22" spans="1:4" x14ac:dyDescent="0.2">
      <c r="A22" s="984" t="s">
        <v>1008</v>
      </c>
      <c r="B22" s="1025">
        <v>2614807</v>
      </c>
    </row>
    <row r="23" spans="1:4" x14ac:dyDescent="0.2">
      <c r="A23" s="984" t="s">
        <v>16</v>
      </c>
      <c r="B23" s="1023">
        <v>44.48</v>
      </c>
    </row>
    <row r="24" spans="1:4" x14ac:dyDescent="0.2">
      <c r="A24" s="984" t="s">
        <v>350</v>
      </c>
      <c r="B24" s="1024" t="s">
        <v>351</v>
      </c>
      <c r="D24" s="984" t="s">
        <v>315</v>
      </c>
    </row>
    <row r="25" spans="1:4" x14ac:dyDescent="0.2">
      <c r="A25" s="984" t="s">
        <v>1009</v>
      </c>
      <c r="B25" s="1024" t="s">
        <v>1035</v>
      </c>
    </row>
    <row r="26" spans="1:4" x14ac:dyDescent="0.2">
      <c r="A26" s="984" t="s">
        <v>423</v>
      </c>
      <c r="B26" s="1024">
        <v>0</v>
      </c>
    </row>
    <row r="27" spans="1:4" x14ac:dyDescent="0.2">
      <c r="A27" s="984" t="s">
        <v>1010</v>
      </c>
      <c r="B27" s="1024" t="s">
        <v>1011</v>
      </c>
    </row>
    <row r="28" spans="1:4" x14ac:dyDescent="0.2">
      <c r="A28" s="984" t="s">
        <v>1012</v>
      </c>
      <c r="B28" s="1024" t="s">
        <v>1013</v>
      </c>
    </row>
    <row r="29" spans="1:4" x14ac:dyDescent="0.2">
      <c r="A29" s="984" t="s">
        <v>1014</v>
      </c>
    </row>
    <row r="30" spans="1:4" x14ac:dyDescent="0.2">
      <c r="A30" s="984" t="s">
        <v>1015</v>
      </c>
    </row>
    <row r="31" spans="1:4" x14ac:dyDescent="0.2">
      <c r="A31" s="984" t="s">
        <v>1016</v>
      </c>
    </row>
    <row r="32" spans="1:4" x14ac:dyDescent="0.2">
      <c r="A32" s="984" t="s">
        <v>1017</v>
      </c>
      <c r="B32" s="1023"/>
    </row>
    <row r="33" spans="1:2" x14ac:dyDescent="0.2">
      <c r="A33" s="984" t="s">
        <v>1018</v>
      </c>
      <c r="B33" s="1023"/>
    </row>
    <row r="34" spans="1:2" x14ac:dyDescent="0.2">
      <c r="A34" s="984" t="s">
        <v>1019</v>
      </c>
      <c r="B34" s="1023"/>
    </row>
    <row r="35" spans="1:2" x14ac:dyDescent="0.2">
      <c r="A35" s="984" t="s">
        <v>1020</v>
      </c>
      <c r="B35" s="1024">
        <v>1000000</v>
      </c>
    </row>
    <row r="36" spans="1:2" x14ac:dyDescent="0.2">
      <c r="A36" s="984" t="s">
        <v>1021</v>
      </c>
      <c r="B36" s="1024" t="s">
        <v>1033</v>
      </c>
    </row>
    <row r="37" spans="1:2" x14ac:dyDescent="0.2">
      <c r="A37" s="984" t="s">
        <v>1022</v>
      </c>
      <c r="B37" s="1024" t="s">
        <v>1023</v>
      </c>
    </row>
    <row r="38" spans="1:2" x14ac:dyDescent="0.2">
      <c r="A38" s="984" t="s">
        <v>1024</v>
      </c>
      <c r="B38" s="1024" t="s">
        <v>1025</v>
      </c>
    </row>
    <row r="39" spans="1:2" x14ac:dyDescent="0.2">
      <c r="A39" s="984" t="s">
        <v>1026</v>
      </c>
      <c r="B39" s="1024" t="s">
        <v>645</v>
      </c>
    </row>
    <row r="40" spans="1:2" x14ac:dyDescent="0.2">
      <c r="A40" s="984" t="s">
        <v>1027</v>
      </c>
      <c r="B40" s="1024">
        <v>1500005507</v>
      </c>
    </row>
    <row r="41" spans="1:2" x14ac:dyDescent="0.2">
      <c r="A41" s="984" t="s">
        <v>1028</v>
      </c>
      <c r="B41" s="1024">
        <v>1</v>
      </c>
    </row>
    <row r="42" spans="1:2" x14ac:dyDescent="0.2">
      <c r="A42" s="1026" t="s">
        <v>1029</v>
      </c>
    </row>
    <row r="43" spans="1:2" x14ac:dyDescent="0.2">
      <c r="A43" s="984" t="s">
        <v>1030</v>
      </c>
    </row>
  </sheetData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workbookViewId="0">
      <selection activeCell="E11" sqref="E11"/>
    </sheetView>
  </sheetViews>
  <sheetFormatPr defaultRowHeight="12.75" x14ac:dyDescent="0.2"/>
  <cols>
    <col min="1" max="1" width="28.5703125" style="984" bestFit="1" customWidth="1"/>
    <col min="2" max="256" width="9.140625" style="984"/>
    <col min="257" max="257" width="28.5703125" style="984" bestFit="1" customWidth="1"/>
    <col min="258" max="512" width="9.140625" style="984"/>
    <col min="513" max="513" width="28.5703125" style="984" bestFit="1" customWidth="1"/>
    <col min="514" max="768" width="9.140625" style="984"/>
    <col min="769" max="769" width="28.5703125" style="984" bestFit="1" customWidth="1"/>
    <col min="770" max="1024" width="9.140625" style="984"/>
    <col min="1025" max="1025" width="28.5703125" style="984" bestFit="1" customWidth="1"/>
    <col min="1026" max="1280" width="9.140625" style="984"/>
    <col min="1281" max="1281" width="28.5703125" style="984" bestFit="1" customWidth="1"/>
    <col min="1282" max="1536" width="9.140625" style="984"/>
    <col min="1537" max="1537" width="28.5703125" style="984" bestFit="1" customWidth="1"/>
    <col min="1538" max="1792" width="9.140625" style="984"/>
    <col min="1793" max="1793" width="28.5703125" style="984" bestFit="1" customWidth="1"/>
    <col min="1794" max="2048" width="9.140625" style="984"/>
    <col min="2049" max="2049" width="28.5703125" style="984" bestFit="1" customWidth="1"/>
    <col min="2050" max="2304" width="9.140625" style="984"/>
    <col min="2305" max="2305" width="28.5703125" style="984" bestFit="1" customWidth="1"/>
    <col min="2306" max="2560" width="9.140625" style="984"/>
    <col min="2561" max="2561" width="28.5703125" style="984" bestFit="1" customWidth="1"/>
    <col min="2562" max="2816" width="9.140625" style="984"/>
    <col min="2817" max="2817" width="28.5703125" style="984" bestFit="1" customWidth="1"/>
    <col min="2818" max="3072" width="9.140625" style="984"/>
    <col min="3073" max="3073" width="28.5703125" style="984" bestFit="1" customWidth="1"/>
    <col min="3074" max="3328" width="9.140625" style="984"/>
    <col min="3329" max="3329" width="28.5703125" style="984" bestFit="1" customWidth="1"/>
    <col min="3330" max="3584" width="9.140625" style="984"/>
    <col min="3585" max="3585" width="28.5703125" style="984" bestFit="1" customWidth="1"/>
    <col min="3586" max="3840" width="9.140625" style="984"/>
    <col min="3841" max="3841" width="28.5703125" style="984" bestFit="1" customWidth="1"/>
    <col min="3842" max="4096" width="9.140625" style="984"/>
    <col min="4097" max="4097" width="28.5703125" style="984" bestFit="1" customWidth="1"/>
    <col min="4098" max="4352" width="9.140625" style="984"/>
    <col min="4353" max="4353" width="28.5703125" style="984" bestFit="1" customWidth="1"/>
    <col min="4354" max="4608" width="9.140625" style="984"/>
    <col min="4609" max="4609" width="28.5703125" style="984" bestFit="1" customWidth="1"/>
    <col min="4610" max="4864" width="9.140625" style="984"/>
    <col min="4865" max="4865" width="28.5703125" style="984" bestFit="1" customWidth="1"/>
    <col min="4866" max="5120" width="9.140625" style="984"/>
    <col min="5121" max="5121" width="28.5703125" style="984" bestFit="1" customWidth="1"/>
    <col min="5122" max="5376" width="9.140625" style="984"/>
    <col min="5377" max="5377" width="28.5703125" style="984" bestFit="1" customWidth="1"/>
    <col min="5378" max="5632" width="9.140625" style="984"/>
    <col min="5633" max="5633" width="28.5703125" style="984" bestFit="1" customWidth="1"/>
    <col min="5634" max="5888" width="9.140625" style="984"/>
    <col min="5889" max="5889" width="28.5703125" style="984" bestFit="1" customWidth="1"/>
    <col min="5890" max="6144" width="9.140625" style="984"/>
    <col min="6145" max="6145" width="28.5703125" style="984" bestFit="1" customWidth="1"/>
    <col min="6146" max="6400" width="9.140625" style="984"/>
    <col min="6401" max="6401" width="28.5703125" style="984" bestFit="1" customWidth="1"/>
    <col min="6402" max="6656" width="9.140625" style="984"/>
    <col min="6657" max="6657" width="28.5703125" style="984" bestFit="1" customWidth="1"/>
    <col min="6658" max="6912" width="9.140625" style="984"/>
    <col min="6913" max="6913" width="28.5703125" style="984" bestFit="1" customWidth="1"/>
    <col min="6914" max="7168" width="9.140625" style="984"/>
    <col min="7169" max="7169" width="28.5703125" style="984" bestFit="1" customWidth="1"/>
    <col min="7170" max="7424" width="9.140625" style="984"/>
    <col min="7425" max="7425" width="28.5703125" style="984" bestFit="1" customWidth="1"/>
    <col min="7426" max="7680" width="9.140625" style="984"/>
    <col min="7681" max="7681" width="28.5703125" style="984" bestFit="1" customWidth="1"/>
    <col min="7682" max="7936" width="9.140625" style="984"/>
    <col min="7937" max="7937" width="28.5703125" style="984" bestFit="1" customWidth="1"/>
    <col min="7938" max="8192" width="9.140625" style="984"/>
    <col min="8193" max="8193" width="28.5703125" style="984" bestFit="1" customWidth="1"/>
    <col min="8194" max="8448" width="9.140625" style="984"/>
    <col min="8449" max="8449" width="28.5703125" style="984" bestFit="1" customWidth="1"/>
    <col min="8450" max="8704" width="9.140625" style="984"/>
    <col min="8705" max="8705" width="28.5703125" style="984" bestFit="1" customWidth="1"/>
    <col min="8706" max="8960" width="9.140625" style="984"/>
    <col min="8961" max="8961" width="28.5703125" style="984" bestFit="1" customWidth="1"/>
    <col min="8962" max="9216" width="9.140625" style="984"/>
    <col min="9217" max="9217" width="28.5703125" style="984" bestFit="1" customWidth="1"/>
    <col min="9218" max="9472" width="9.140625" style="984"/>
    <col min="9473" max="9473" width="28.5703125" style="984" bestFit="1" customWidth="1"/>
    <col min="9474" max="9728" width="9.140625" style="984"/>
    <col min="9729" max="9729" width="28.5703125" style="984" bestFit="1" customWidth="1"/>
    <col min="9730" max="9984" width="9.140625" style="984"/>
    <col min="9985" max="9985" width="28.5703125" style="984" bestFit="1" customWidth="1"/>
    <col min="9986" max="10240" width="9.140625" style="984"/>
    <col min="10241" max="10241" width="28.5703125" style="984" bestFit="1" customWidth="1"/>
    <col min="10242" max="10496" width="9.140625" style="984"/>
    <col min="10497" max="10497" width="28.5703125" style="984" bestFit="1" customWidth="1"/>
    <col min="10498" max="10752" width="9.140625" style="984"/>
    <col min="10753" max="10753" width="28.5703125" style="984" bestFit="1" customWidth="1"/>
    <col min="10754" max="11008" width="9.140625" style="984"/>
    <col min="11009" max="11009" width="28.5703125" style="984" bestFit="1" customWidth="1"/>
    <col min="11010" max="11264" width="9.140625" style="984"/>
    <col min="11265" max="11265" width="28.5703125" style="984" bestFit="1" customWidth="1"/>
    <col min="11266" max="11520" width="9.140625" style="984"/>
    <col min="11521" max="11521" width="28.5703125" style="984" bestFit="1" customWidth="1"/>
    <col min="11522" max="11776" width="9.140625" style="984"/>
    <col min="11777" max="11777" width="28.5703125" style="984" bestFit="1" customWidth="1"/>
    <col min="11778" max="12032" width="9.140625" style="984"/>
    <col min="12033" max="12033" width="28.5703125" style="984" bestFit="1" customWidth="1"/>
    <col min="12034" max="12288" width="9.140625" style="984"/>
    <col min="12289" max="12289" width="28.5703125" style="984" bestFit="1" customWidth="1"/>
    <col min="12290" max="12544" width="9.140625" style="984"/>
    <col min="12545" max="12545" width="28.5703125" style="984" bestFit="1" customWidth="1"/>
    <col min="12546" max="12800" width="9.140625" style="984"/>
    <col min="12801" max="12801" width="28.5703125" style="984" bestFit="1" customWidth="1"/>
    <col min="12802" max="13056" width="9.140625" style="984"/>
    <col min="13057" max="13057" width="28.5703125" style="984" bestFit="1" customWidth="1"/>
    <col min="13058" max="13312" width="9.140625" style="984"/>
    <col min="13313" max="13313" width="28.5703125" style="984" bestFit="1" customWidth="1"/>
    <col min="13314" max="13568" width="9.140625" style="984"/>
    <col min="13569" max="13569" width="28.5703125" style="984" bestFit="1" customWidth="1"/>
    <col min="13570" max="13824" width="9.140625" style="984"/>
    <col min="13825" max="13825" width="28.5703125" style="984" bestFit="1" customWidth="1"/>
    <col min="13826" max="14080" width="9.140625" style="984"/>
    <col min="14081" max="14081" width="28.5703125" style="984" bestFit="1" customWidth="1"/>
    <col min="14082" max="14336" width="9.140625" style="984"/>
    <col min="14337" max="14337" width="28.5703125" style="984" bestFit="1" customWidth="1"/>
    <col min="14338" max="14592" width="9.140625" style="984"/>
    <col min="14593" max="14593" width="28.5703125" style="984" bestFit="1" customWidth="1"/>
    <col min="14594" max="14848" width="9.140625" style="984"/>
    <col min="14849" max="14849" width="28.5703125" style="984" bestFit="1" customWidth="1"/>
    <col min="14850" max="15104" width="9.140625" style="984"/>
    <col min="15105" max="15105" width="28.5703125" style="984" bestFit="1" customWidth="1"/>
    <col min="15106" max="15360" width="9.140625" style="984"/>
    <col min="15361" max="15361" width="28.5703125" style="984" bestFit="1" customWidth="1"/>
    <col min="15362" max="15616" width="9.140625" style="984"/>
    <col min="15617" max="15617" width="28.5703125" style="984" bestFit="1" customWidth="1"/>
    <col min="15618" max="15872" width="9.140625" style="984"/>
    <col min="15873" max="15873" width="28.5703125" style="984" bestFit="1" customWidth="1"/>
    <col min="15874" max="16128" width="9.140625" style="984"/>
    <col min="16129" max="16129" width="28.5703125" style="984" bestFit="1" customWidth="1"/>
    <col min="16130" max="16384" width="9.140625" style="984"/>
  </cols>
  <sheetData>
    <row r="1" spans="1:1" x14ac:dyDescent="0.2">
      <c r="A1" s="1028" t="s">
        <v>1036</v>
      </c>
    </row>
    <row r="2" spans="1:1" x14ac:dyDescent="0.2">
      <c r="A2" s="1028" t="s">
        <v>1041</v>
      </c>
    </row>
    <row r="3" spans="1:1" x14ac:dyDescent="0.2">
      <c r="A3" s="1028" t="s">
        <v>1042</v>
      </c>
    </row>
    <row r="4" spans="1:1" x14ac:dyDescent="0.2">
      <c r="A4" s="1028" t="s">
        <v>1043</v>
      </c>
    </row>
    <row r="5" spans="1:1" x14ac:dyDescent="0.2">
      <c r="A5" s="1028" t="s">
        <v>1044</v>
      </c>
    </row>
    <row r="6" spans="1:1" x14ac:dyDescent="0.2">
      <c r="A6" s="1028" t="s">
        <v>1037</v>
      </c>
    </row>
    <row r="7" spans="1:1" x14ac:dyDescent="0.2">
      <c r="A7" s="1028" t="s">
        <v>1045</v>
      </c>
    </row>
    <row r="8" spans="1:1" x14ac:dyDescent="0.2">
      <c r="A8" s="1028" t="s">
        <v>1046</v>
      </c>
    </row>
    <row r="9" spans="1:1" x14ac:dyDescent="0.2">
      <c r="A9" s="1028" t="s">
        <v>1047</v>
      </c>
    </row>
    <row r="10" spans="1:1" x14ac:dyDescent="0.2">
      <c r="A10" s="1028" t="s">
        <v>1038</v>
      </c>
    </row>
    <row r="11" spans="1:1" x14ac:dyDescent="0.2">
      <c r="A11" s="1028" t="s">
        <v>1048</v>
      </c>
    </row>
    <row r="12" spans="1:1" x14ac:dyDescent="0.2">
      <c r="A12" s="1028" t="s">
        <v>1039</v>
      </c>
    </row>
    <row r="13" spans="1:1" x14ac:dyDescent="0.2">
      <c r="A13" s="1028" t="s">
        <v>1040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/>
</file>

<file path=customXml/itemProps1.xml><?xml version="1.0" encoding="utf-8"?>
<ds:datastoreItem xmlns:ds="http://schemas.openxmlformats.org/officeDocument/2006/customXml" ds:itemID="{38B25A63-0EB9-4BD8-B5C0-594741F0F9E6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E5BC087F-5495-44A7-B226-F01D38D709A0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94</vt:i4>
      </vt:variant>
    </vt:vector>
  </HeadingPairs>
  <TitlesOfParts>
    <vt:vector size="110" baseType="lpstr">
      <vt:lpstr>ImportantDisclosures</vt:lpstr>
      <vt:lpstr>Cover</vt:lpstr>
      <vt:lpstr>Valuation</vt:lpstr>
      <vt:lpstr>Financial</vt:lpstr>
      <vt:lpstr>XEL</vt:lpstr>
      <vt:lpstr>NSP-MN</vt:lpstr>
      <vt:lpstr>PSCO</vt:lpstr>
      <vt:lpstr>SPS</vt:lpstr>
      <vt:lpstr>NSP-WI</vt:lpstr>
      <vt:lpstr>Parent</vt:lpstr>
      <vt:lpstr>Debt</vt:lpstr>
      <vt:lpstr>Chart Data</vt:lpstr>
      <vt:lpstr>MW-Cache</vt:lpstr>
      <vt:lpstr>Sheet1</vt:lpstr>
      <vt:lpstr>IndexInformation</vt:lpstr>
      <vt:lpstr>ModPubIndex</vt:lpstr>
      <vt:lpstr>Financial!_bdm.48BD514DC04A4AB4891E926213491EC9.edm</vt:lpstr>
      <vt:lpstr>Financial!_bdm.530488839E8A407C8F1C1B550BFC2836.edm</vt:lpstr>
      <vt:lpstr>Financial!_bdm.7264DC3258CD40029D96B7569D540AD9.edm</vt:lpstr>
      <vt:lpstr>Financial!_bdm.E967D92EDBF846E2B7B774FBF88F28E1.edm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basept</vt:lpstr>
      <vt:lpstr>bearpt</vt:lpstr>
      <vt:lpstr>ModPubIndex!BRO</vt:lpstr>
      <vt:lpstr>bullpt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EPS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Linking_Range_1</vt:lpstr>
      <vt:lpstr>Linking_Range_2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Premium</vt:lpstr>
      <vt:lpstr>Debt!Print_Area</vt:lpstr>
      <vt:lpstr>Financial!Print_Area</vt:lpstr>
      <vt:lpstr>'NSP-MN'!Print_Area</vt:lpstr>
      <vt:lpstr>'NSP-WI'!Print_Area</vt:lpstr>
      <vt:lpstr>Parent!Print_Area</vt:lpstr>
      <vt:lpstr>PSCO!Print_Area</vt:lpstr>
      <vt:lpstr>SPS!Print_Area</vt:lpstr>
      <vt:lpstr>Valuation!Print_Area</vt:lpstr>
      <vt:lpstr>XEL!Print_Area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RegPct</vt:lpstr>
      <vt:lpstr>IndexInformation!ResearchTopic</vt:lpstr>
      <vt:lpstr>IndexInformation!RIC</vt:lpstr>
      <vt:lpstr>IndexInformation!SEDOL</vt:lpstr>
      <vt:lpstr>SO</vt:lpstr>
      <vt:lpstr>ImportantDisclosures!SourceDefined</vt:lpstr>
      <vt:lpstr>ImportantDisclosures!StockRating</vt:lpstr>
      <vt:lpstr>IndexInformation!SubjectCode</vt:lpstr>
      <vt:lpstr>SubmitterUserId</vt:lpstr>
      <vt:lpstr>Subs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  <vt:lpstr>UtilityEPS</vt:lpstr>
      <vt:lpstr>UtilityPE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2011-10-04T18:52:15Z</dcterms:created>
  <dc:creator>tverski</dc:creator>
  <cp:lastModifiedBy>Ellison, Ethan C (Research)</cp:lastModifiedBy>
  <cp:lastPrinted>2017-11-06T12:00:18Z</cp:lastPrinted>
  <dcterms:modified xsi:type="dcterms:W3CDTF">2018-04-13T21:21:41Z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2</vt:lpwstr>
  </property>
  <property fmtid="{D5CDD505-2E9C-101B-9397-08002B2CF9AE}" name="{A44787D4-0540-4523-9961-78E4036D8C6D}" pid="3">
    <vt:lpwstr>{5EEB90FB-5A64-4412-BA8F-70E566D9146A}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761675</vt:lpwstr>
  </property>
  <property fmtid="{D5CDD505-2E9C-101B-9397-08002B2CF9AE}" name="ERModPubCompanyName" pid="7">
    <vt:lpwstr>Xcel Energy Inc</vt:lpwstr>
  </property>
  <property fmtid="{D5CDD505-2E9C-101B-9397-08002B2CF9AE}" name="MSDH34TAG" pid="8">
    <vt:lpwstr>.TEZUF76X5TAHATHESADREYAK-00-INB160+*94600-06=abb47f3c/-3f60/-11e8/-b3f7/-7a79cfe26848,MD=20180413172614/-0400,ZZ=000Z-309e.</vt:lpwstr>
  </property>
</Properties>
</file>